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omments11.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24226"/>
  <mc:AlternateContent xmlns:mc="http://schemas.openxmlformats.org/markup-compatibility/2006">
    <mc:Choice Requires="x15">
      <x15ac:absPath xmlns:x15ac="http://schemas.microsoft.com/office/spreadsheetml/2010/11/ac" url="D:\Quynh Exel\2025\ABC\"/>
    </mc:Choice>
  </mc:AlternateContent>
  <xr:revisionPtr revIDLastSave="0" documentId="13_ncr:1_{70637FBD-7FCD-4325-AD3F-7D686CF20404}" xr6:coauthVersionLast="47" xr6:coauthVersionMax="47" xr10:uidLastSave="{00000000-0000-0000-0000-000000000000}"/>
  <bookViews>
    <workbookView xWindow="-120" yWindow="-120" windowWidth="29040" windowHeight="15840" firstSheet="8" activeTab="15" xr2:uid="{00000000-000D-0000-FFFF-FFFF00000000}"/>
  </bookViews>
  <sheets>
    <sheet name="TH.T3" sheetId="25" state="hidden" r:id="rId1"/>
    <sheet name="TH" sheetId="24" state="hidden" r:id="rId2"/>
    <sheet name="TL" sheetId="23" state="hidden" r:id="rId3"/>
    <sheet name="TH.T4" sheetId="26" state="hidden" r:id="rId4"/>
    <sheet name="TH.T5" sheetId="27" state="hidden" r:id="rId5"/>
    <sheet name="TH T10" sheetId="34" state="hidden" r:id="rId6"/>
    <sheet name="TH.Q2" sheetId="33" state="hidden" r:id="rId7"/>
    <sheet name="TH.T6" sheetId="28" state="hidden" r:id="rId8"/>
    <sheet name="T9" sheetId="43" r:id="rId9"/>
    <sheet name="TH T11" sheetId="35" state="hidden" r:id="rId10"/>
    <sheet name="CN" sheetId="6" r:id="rId11"/>
    <sheet name="NH" sheetId="2" state="hidden" r:id="rId12"/>
    <sheet name="CN mới" sheetId="9" state="hidden" r:id="rId13"/>
    <sheet name="THPT mới" sheetId="10" state="hidden" r:id="rId14"/>
    <sheet name="NH mới" sheetId="11" state="hidden" r:id="rId15"/>
    <sheet name="111" sheetId="22" r:id="rId16"/>
    <sheet name="DC T7" sheetId="21" state="hidden" r:id="rId17"/>
    <sheet name="DC T8" sheetId="31" state="hidden" r:id="rId18"/>
    <sheet name="DC T9" sheetId="32" state="hidden"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xlnm._FilterDatabase" localSheetId="15" hidden="1">'111'!$A$12:$BM$74</definedName>
    <definedName name="_xlnm._FilterDatabase" localSheetId="10" hidden="1">CN!$A$12:$AC$271</definedName>
    <definedName name="_xlnm._FilterDatabase" localSheetId="8" hidden="1">'T9'!$A$24:$AD$344</definedName>
    <definedName name="_xlnm._FilterDatabase" localSheetId="1" hidden="1">TH!$A$19:$AR$354</definedName>
    <definedName name="_xlnm._FilterDatabase" localSheetId="5" hidden="1">'TH T10'!$A$12:$AI$342</definedName>
    <definedName name="_xlnm._FilterDatabase" localSheetId="9" hidden="1">'TH T11'!$A$24:$AI$353</definedName>
    <definedName name="_xlnm._FilterDatabase" localSheetId="6" hidden="1">TH.Q2!$A$17:$AX$350</definedName>
    <definedName name="_xlnm._FilterDatabase" localSheetId="0" hidden="1">TH.T3!$A$29:$AQ$363</definedName>
    <definedName name="_xlnm._FilterDatabase" localSheetId="3" hidden="1">TH.T4!$A$20:$AP$352</definedName>
    <definedName name="_xlnm._FilterDatabase" localSheetId="4" hidden="1">TH.T5!$A$11:$BQ$11</definedName>
    <definedName name="_xlnm._FilterDatabase" localSheetId="7" hidden="1">TH.T6!$A$22:$AP$354</definedName>
    <definedName name="_xlnm._FilterDatabase" localSheetId="2" hidden="1">TL!$A$11:$BK$200</definedName>
    <definedName name="_xlnm.Print_Area" localSheetId="10">CN!$A$1:$S$283</definedName>
    <definedName name="_xlnm.Print_Area" localSheetId="11">NH!$A$1:$Y$27</definedName>
    <definedName name="_xlnm.Print_Area" localSheetId="8">'T9'!$A$1:$U$358</definedName>
    <definedName name="_xlnm.Print_Area" localSheetId="1">TH!$A$1:$AD$368</definedName>
    <definedName name="_xlnm.Print_Area" localSheetId="5">'TH T10'!$A$1:$U$356</definedName>
    <definedName name="_xlnm.Print_Area" localSheetId="9">'TH T11'!$A$1:$U$367</definedName>
    <definedName name="_xlnm.Print_Area" localSheetId="6">TH.Q2!$A$1:$AJ$363</definedName>
    <definedName name="_xlnm.Print_Area" localSheetId="0">TH.T3!$A$1:$AC$376</definedName>
    <definedName name="_xlnm.Print_Area" localSheetId="3">TH.T4!$A$1:$AB$365</definedName>
    <definedName name="_xlnm.Print_Area" localSheetId="4">TH.T5!$A$1:$AB$367</definedName>
    <definedName name="_xlnm.Print_Area" localSheetId="2">TL!$A$1:$Z$213</definedName>
    <definedName name="_xlnm.Print_Titles" localSheetId="15">'111'!$10:$12</definedName>
    <definedName name="_xlnm.Print_Titles" localSheetId="10">CN!$10:$12</definedName>
    <definedName name="_xlnm.Print_Titles" localSheetId="8">'T9'!$10:$11</definedName>
    <definedName name="_xlnm.Print_Titles" localSheetId="1">TH!$18:$19</definedName>
    <definedName name="_xlnm.Print_Titles" localSheetId="5">'TH T10'!$10:$12</definedName>
    <definedName name="_xlnm.Print_Titles" localSheetId="9">'TH T11'!$10:$11</definedName>
    <definedName name="_xlnm.Print_Titles" localSheetId="6">TH.Q2!$14:$17</definedName>
    <definedName name="_xlnm.Print_Titles" localSheetId="0">TH.T3!$18:$19</definedName>
    <definedName name="_xlnm.Print_Titles" localSheetId="3">TH.T4!$19:$20</definedName>
    <definedName name="_xlnm.Print_Titles" localSheetId="4">TH.T5!$10:$11</definedName>
    <definedName name="_xlnm.Print_Titles" localSheetId="7">TH.T6!$10:$11</definedName>
    <definedName name="_xlnm.Print_Titles" localSheetId="2">TL!$10:$11</definedName>
  </definedNames>
  <calcPr calcId="181029"/>
</workbook>
</file>

<file path=xl/calcChain.xml><?xml version="1.0" encoding="utf-8"?>
<calcChain xmlns="http://schemas.openxmlformats.org/spreadsheetml/2006/main">
  <c r="S74" i="22" l="1"/>
  <c r="T74" i="22"/>
  <c r="S283" i="43"/>
  <c r="S303" i="43"/>
  <c r="Q283" i="43"/>
  <c r="Q284" i="43"/>
  <c r="S284" i="43" s="1"/>
  <c r="Q285" i="43"/>
  <c r="S285" i="43" s="1"/>
  <c r="Q286" i="43"/>
  <c r="S286" i="43" s="1"/>
  <c r="Q287" i="43"/>
  <c r="S287" i="43" s="1"/>
  <c r="Q288" i="43"/>
  <c r="S288" i="43" s="1"/>
  <c r="Q289" i="43"/>
  <c r="S289" i="43" s="1"/>
  <c r="Q290" i="43"/>
  <c r="S290" i="43" s="1"/>
  <c r="Q291" i="43"/>
  <c r="S291" i="43" s="1"/>
  <c r="Q292" i="43"/>
  <c r="S292" i="43" s="1"/>
  <c r="Q293" i="43"/>
  <c r="S293" i="43" s="1"/>
  <c r="Q294" i="43"/>
  <c r="S294" i="43" s="1"/>
  <c r="Q295" i="43"/>
  <c r="S295" i="43" s="1"/>
  <c r="Q296" i="43"/>
  <c r="S296" i="43" s="1"/>
  <c r="Q297" i="43"/>
  <c r="S297" i="43" s="1"/>
  <c r="Q298" i="43"/>
  <c r="S298" i="43" s="1"/>
  <c r="Q299" i="43"/>
  <c r="S299" i="43" s="1"/>
  <c r="Q300" i="43"/>
  <c r="S300" i="43" s="1"/>
  <c r="Q301" i="43"/>
  <c r="S301" i="43" s="1"/>
  <c r="Q302" i="43"/>
  <c r="S302" i="43" s="1"/>
  <c r="Q303" i="43"/>
  <c r="Q304" i="43"/>
  <c r="S304" i="43" s="1"/>
  <c r="Q305" i="43"/>
  <c r="S305" i="43" s="1"/>
  <c r="Q306" i="43"/>
  <c r="S306" i="43" s="1"/>
  <c r="Q307" i="43"/>
  <c r="S307" i="43" s="1"/>
  <c r="Q308" i="43"/>
  <c r="S308" i="43" s="1"/>
  <c r="Q309" i="43"/>
  <c r="S309" i="43" s="1"/>
  <c r="Q310" i="43"/>
  <c r="S310" i="43" s="1"/>
  <c r="Q311" i="43"/>
  <c r="S311" i="43" s="1"/>
  <c r="Q312" i="43"/>
  <c r="S312" i="43" s="1"/>
  <c r="Q313" i="43"/>
  <c r="S313" i="43" s="1"/>
  <c r="Q314" i="43"/>
  <c r="S314" i="43" s="1"/>
  <c r="Q315" i="43"/>
  <c r="S315" i="43" s="1"/>
  <c r="Q316" i="43"/>
  <c r="S316" i="43" s="1"/>
  <c r="Q317" i="43"/>
  <c r="S317" i="43" s="1"/>
  <c r="Q318" i="43"/>
  <c r="S318" i="43" s="1"/>
  <c r="Q319" i="43"/>
  <c r="S319" i="43" s="1"/>
  <c r="Q320" i="43"/>
  <c r="S320" i="43" s="1"/>
  <c r="Q321" i="43"/>
  <c r="S321" i="43" s="1"/>
  <c r="Q322" i="43"/>
  <c r="S322" i="43" s="1"/>
  <c r="Q323" i="43"/>
  <c r="S323" i="43" s="1"/>
  <c r="Q324" i="43"/>
  <c r="S324" i="43" s="1"/>
  <c r="Q325" i="43"/>
  <c r="S325" i="43" s="1"/>
  <c r="Q326" i="43"/>
  <c r="S326" i="43" s="1"/>
  <c r="Q327" i="43"/>
  <c r="S327" i="43" s="1"/>
  <c r="Q328" i="43"/>
  <c r="S328" i="43" s="1"/>
  <c r="Q329" i="43"/>
  <c r="S329" i="43" s="1"/>
  <c r="Q330" i="43"/>
  <c r="S330" i="43" s="1"/>
  <c r="Q331" i="43"/>
  <c r="S331" i="43" s="1"/>
  <c r="Q332" i="43"/>
  <c r="S332" i="43" s="1"/>
  <c r="Q333" i="43"/>
  <c r="S333" i="43" s="1"/>
  <c r="Q334" i="43"/>
  <c r="S334" i="43" s="1"/>
  <c r="Q335" i="43"/>
  <c r="S335" i="43" s="1"/>
  <c r="Q336" i="43"/>
  <c r="S336" i="43" s="1"/>
  <c r="Q337" i="43"/>
  <c r="S337" i="43" s="1"/>
  <c r="Q338" i="43"/>
  <c r="S338" i="43" s="1"/>
  <c r="Q339" i="43"/>
  <c r="S339" i="43" s="1"/>
  <c r="Q340" i="43"/>
  <c r="S340" i="43" s="1"/>
  <c r="Q341" i="43"/>
  <c r="S341" i="43" s="1"/>
  <c r="Q342" i="43"/>
  <c r="S342" i="43" s="1"/>
  <c r="Q343" i="43"/>
  <c r="S343" i="43" s="1"/>
  <c r="O344" i="43"/>
  <c r="L344" i="43"/>
  <c r="G344" i="43"/>
  <c r="F344" i="43"/>
  <c r="U282" i="43"/>
  <c r="M282" i="43"/>
  <c r="N282" i="43" s="1"/>
  <c r="H282" i="43"/>
  <c r="E282" i="43"/>
  <c r="U281" i="43"/>
  <c r="M281" i="43"/>
  <c r="N281" i="43" s="1"/>
  <c r="H281" i="43"/>
  <c r="E281" i="43"/>
  <c r="U280" i="43"/>
  <c r="M280" i="43"/>
  <c r="N280" i="43" s="1"/>
  <c r="H280" i="43"/>
  <c r="E280" i="43"/>
  <c r="U279" i="43"/>
  <c r="M279" i="43"/>
  <c r="N279" i="43" s="1"/>
  <c r="H279" i="43"/>
  <c r="E279" i="43"/>
  <c r="U278" i="43"/>
  <c r="M278" i="43"/>
  <c r="N278" i="43" s="1"/>
  <c r="H278" i="43"/>
  <c r="E278" i="43"/>
  <c r="U277" i="43"/>
  <c r="M277" i="43"/>
  <c r="N277" i="43" s="1"/>
  <c r="H277" i="43"/>
  <c r="E277" i="43"/>
  <c r="U276" i="43"/>
  <c r="M276" i="43"/>
  <c r="N276" i="43" s="1"/>
  <c r="H276" i="43"/>
  <c r="E276" i="43"/>
  <c r="U275" i="43"/>
  <c r="M275" i="43"/>
  <c r="N275" i="43" s="1"/>
  <c r="H275" i="43"/>
  <c r="E275" i="43"/>
  <c r="U274" i="43"/>
  <c r="M274" i="43"/>
  <c r="N274" i="43" s="1"/>
  <c r="H274" i="43"/>
  <c r="E274" i="43"/>
  <c r="U273" i="43"/>
  <c r="M273" i="43"/>
  <c r="N273" i="43" s="1"/>
  <c r="H273" i="43"/>
  <c r="E273" i="43"/>
  <c r="U272" i="43"/>
  <c r="M272" i="43"/>
  <c r="N272" i="43" s="1"/>
  <c r="H272" i="43"/>
  <c r="E272" i="43"/>
  <c r="U271" i="43"/>
  <c r="M271" i="43"/>
  <c r="N271" i="43" s="1"/>
  <c r="H271" i="43"/>
  <c r="E271" i="43"/>
  <c r="U270" i="43"/>
  <c r="M270" i="43"/>
  <c r="N270" i="43" s="1"/>
  <c r="H270" i="43"/>
  <c r="E270" i="43"/>
  <c r="U269" i="43"/>
  <c r="M269" i="43"/>
  <c r="N269" i="43" s="1"/>
  <c r="H269" i="43"/>
  <c r="E269" i="43"/>
  <c r="U268" i="43"/>
  <c r="M268" i="43"/>
  <c r="N268" i="43" s="1"/>
  <c r="H268" i="43"/>
  <c r="E268" i="43"/>
  <c r="U267" i="43"/>
  <c r="M267" i="43"/>
  <c r="N267" i="43" s="1"/>
  <c r="H267" i="43"/>
  <c r="E267" i="43"/>
  <c r="U266" i="43"/>
  <c r="M266" i="43"/>
  <c r="N266" i="43" s="1"/>
  <c r="H266" i="43"/>
  <c r="E266" i="43"/>
  <c r="U265" i="43"/>
  <c r="M265" i="43"/>
  <c r="N265" i="43" s="1"/>
  <c r="H265" i="43"/>
  <c r="E265" i="43"/>
  <c r="U264" i="43"/>
  <c r="M264" i="43"/>
  <c r="N264" i="43" s="1"/>
  <c r="H264" i="43"/>
  <c r="E264" i="43"/>
  <c r="U263" i="43"/>
  <c r="M263" i="43"/>
  <c r="N263" i="43" s="1"/>
  <c r="H263" i="43"/>
  <c r="E263" i="43"/>
  <c r="U262" i="43"/>
  <c r="M262" i="43"/>
  <c r="N262" i="43" s="1"/>
  <c r="H262" i="43"/>
  <c r="E262" i="43"/>
  <c r="U261" i="43"/>
  <c r="M261" i="43"/>
  <c r="N261" i="43" s="1"/>
  <c r="H261" i="43"/>
  <c r="E261" i="43"/>
  <c r="U260" i="43"/>
  <c r="M260" i="43"/>
  <c r="N260" i="43" s="1"/>
  <c r="H260" i="43"/>
  <c r="E260" i="43"/>
  <c r="U259" i="43"/>
  <c r="M259" i="43"/>
  <c r="N259" i="43" s="1"/>
  <c r="H259" i="43"/>
  <c r="E259" i="43"/>
  <c r="U258" i="43"/>
  <c r="M258" i="43"/>
  <c r="N258" i="43" s="1"/>
  <c r="H258" i="43"/>
  <c r="E258" i="43"/>
  <c r="U257" i="43"/>
  <c r="M257" i="43"/>
  <c r="N257" i="43" s="1"/>
  <c r="H257" i="43"/>
  <c r="E257" i="43"/>
  <c r="U256" i="43"/>
  <c r="M256" i="43"/>
  <c r="N256" i="43" s="1"/>
  <c r="H256" i="43"/>
  <c r="E256" i="43"/>
  <c r="U255" i="43"/>
  <c r="M255" i="43"/>
  <c r="N255" i="43" s="1"/>
  <c r="H255" i="43"/>
  <c r="E255" i="43"/>
  <c r="U254" i="43"/>
  <c r="M254" i="43"/>
  <c r="N254" i="43" s="1"/>
  <c r="H254" i="43"/>
  <c r="E254" i="43"/>
  <c r="U253" i="43"/>
  <c r="M253" i="43"/>
  <c r="N253" i="43" s="1"/>
  <c r="H253" i="43"/>
  <c r="U252" i="43"/>
  <c r="M252" i="43"/>
  <c r="N252" i="43" s="1"/>
  <c r="H252" i="43"/>
  <c r="U251" i="43"/>
  <c r="M251" i="43"/>
  <c r="N251" i="43" s="1"/>
  <c r="H251" i="43"/>
  <c r="U250" i="43"/>
  <c r="M250" i="43"/>
  <c r="N250" i="43" s="1"/>
  <c r="H250" i="43"/>
  <c r="U249" i="43"/>
  <c r="M249" i="43"/>
  <c r="N249" i="43" s="1"/>
  <c r="H249" i="43"/>
  <c r="E249" i="43"/>
  <c r="M248" i="43"/>
  <c r="N248" i="43" s="1"/>
  <c r="H248" i="43"/>
  <c r="U247" i="43"/>
  <c r="M247" i="43"/>
  <c r="N247" i="43" s="1"/>
  <c r="H247" i="43"/>
  <c r="E247" i="43"/>
  <c r="U246" i="43"/>
  <c r="M246" i="43"/>
  <c r="N246" i="43" s="1"/>
  <c r="H246" i="43"/>
  <c r="E246" i="43"/>
  <c r="U245" i="43"/>
  <c r="M245" i="43"/>
  <c r="N245" i="43" s="1"/>
  <c r="H245" i="43"/>
  <c r="E245" i="43"/>
  <c r="U244" i="43"/>
  <c r="M244" i="43"/>
  <c r="N244" i="43" s="1"/>
  <c r="H244" i="43"/>
  <c r="E244" i="43"/>
  <c r="U243" i="43"/>
  <c r="M243" i="43"/>
  <c r="N243" i="43" s="1"/>
  <c r="H243" i="43"/>
  <c r="E243" i="43"/>
  <c r="U242" i="43"/>
  <c r="M242" i="43"/>
  <c r="N242" i="43" s="1"/>
  <c r="H242" i="43"/>
  <c r="E242" i="43"/>
  <c r="U241" i="43"/>
  <c r="M241" i="43"/>
  <c r="N241" i="43" s="1"/>
  <c r="H241" i="43"/>
  <c r="E241" i="43"/>
  <c r="U240" i="43"/>
  <c r="M240" i="43"/>
  <c r="N240" i="43" s="1"/>
  <c r="H240" i="43"/>
  <c r="E240" i="43"/>
  <c r="U239" i="43"/>
  <c r="M239" i="43"/>
  <c r="N239" i="43" s="1"/>
  <c r="H239" i="43"/>
  <c r="E239" i="43"/>
  <c r="U238" i="43"/>
  <c r="M238" i="43"/>
  <c r="N238" i="43" s="1"/>
  <c r="H238" i="43"/>
  <c r="E238" i="43"/>
  <c r="U237" i="43"/>
  <c r="M237" i="43"/>
  <c r="N237" i="43" s="1"/>
  <c r="H237" i="43"/>
  <c r="E237" i="43"/>
  <c r="U236" i="43"/>
  <c r="M236" i="43"/>
  <c r="N236" i="43" s="1"/>
  <c r="H236" i="43"/>
  <c r="E236" i="43"/>
  <c r="U235" i="43"/>
  <c r="M235" i="43"/>
  <c r="N235" i="43" s="1"/>
  <c r="H235" i="43"/>
  <c r="E235" i="43"/>
  <c r="U234" i="43"/>
  <c r="M234" i="43"/>
  <c r="N234" i="43" s="1"/>
  <c r="H234" i="43"/>
  <c r="E234" i="43"/>
  <c r="U233" i="43"/>
  <c r="M233" i="43"/>
  <c r="N233" i="43" s="1"/>
  <c r="H233" i="43"/>
  <c r="E233" i="43"/>
  <c r="U232" i="43"/>
  <c r="M232" i="43"/>
  <c r="N232" i="43" s="1"/>
  <c r="H232" i="43"/>
  <c r="E232" i="43"/>
  <c r="U231" i="43"/>
  <c r="M231" i="43"/>
  <c r="N231" i="43" s="1"/>
  <c r="H231" i="43"/>
  <c r="E231" i="43"/>
  <c r="U230" i="43"/>
  <c r="M230" i="43"/>
  <c r="N230" i="43" s="1"/>
  <c r="H230" i="43"/>
  <c r="E230" i="43"/>
  <c r="U229" i="43"/>
  <c r="M229" i="43"/>
  <c r="N229" i="43" s="1"/>
  <c r="H229" i="43"/>
  <c r="E229" i="43"/>
  <c r="U228" i="43"/>
  <c r="M228" i="43"/>
  <c r="N228" i="43" s="1"/>
  <c r="H228" i="43"/>
  <c r="E228" i="43"/>
  <c r="U227" i="43"/>
  <c r="M227" i="43"/>
  <c r="N227" i="43" s="1"/>
  <c r="H227" i="43"/>
  <c r="E227" i="43"/>
  <c r="U226" i="43"/>
  <c r="M226" i="43"/>
  <c r="N226" i="43" s="1"/>
  <c r="H226" i="43"/>
  <c r="E226" i="43"/>
  <c r="U225" i="43"/>
  <c r="M225" i="43"/>
  <c r="N225" i="43" s="1"/>
  <c r="H225" i="43"/>
  <c r="E225" i="43"/>
  <c r="U224" i="43"/>
  <c r="M224" i="43"/>
  <c r="N224" i="43" s="1"/>
  <c r="H224" i="43"/>
  <c r="E224" i="43"/>
  <c r="U223" i="43"/>
  <c r="M223" i="43"/>
  <c r="N223" i="43" s="1"/>
  <c r="H223" i="43"/>
  <c r="E223" i="43"/>
  <c r="U222" i="43"/>
  <c r="M222" i="43"/>
  <c r="N222" i="43" s="1"/>
  <c r="H222" i="43"/>
  <c r="E222" i="43"/>
  <c r="U221" i="43"/>
  <c r="M221" i="43"/>
  <c r="N221" i="43" s="1"/>
  <c r="H221" i="43"/>
  <c r="E221" i="43"/>
  <c r="U220" i="43"/>
  <c r="M220" i="43"/>
  <c r="N220" i="43" s="1"/>
  <c r="H220" i="43"/>
  <c r="E220" i="43"/>
  <c r="U219" i="43"/>
  <c r="M219" i="43"/>
  <c r="N219" i="43" s="1"/>
  <c r="I219" i="43"/>
  <c r="H219" i="43"/>
  <c r="E219" i="43"/>
  <c r="U218" i="43"/>
  <c r="M218" i="43"/>
  <c r="N218" i="43" s="1"/>
  <c r="H218" i="43"/>
  <c r="E218" i="43"/>
  <c r="U217" i="43"/>
  <c r="M217" i="43"/>
  <c r="N217" i="43" s="1"/>
  <c r="H217" i="43"/>
  <c r="E217" i="43"/>
  <c r="U216" i="43"/>
  <c r="M216" i="43"/>
  <c r="N216" i="43" s="1"/>
  <c r="H216" i="43"/>
  <c r="E216" i="43"/>
  <c r="U215" i="43"/>
  <c r="M215" i="43"/>
  <c r="N215" i="43" s="1"/>
  <c r="H215" i="43"/>
  <c r="E215" i="43"/>
  <c r="U214" i="43"/>
  <c r="M214" i="43"/>
  <c r="N214" i="43" s="1"/>
  <c r="H214" i="43"/>
  <c r="E214" i="43"/>
  <c r="U213" i="43"/>
  <c r="M213" i="43"/>
  <c r="N213" i="43" s="1"/>
  <c r="H213" i="43"/>
  <c r="E213" i="43"/>
  <c r="U212" i="43"/>
  <c r="M212" i="43"/>
  <c r="N212" i="43" s="1"/>
  <c r="H212" i="43"/>
  <c r="E212" i="43"/>
  <c r="U211" i="43"/>
  <c r="M211" i="43"/>
  <c r="N211" i="43" s="1"/>
  <c r="H211" i="43"/>
  <c r="E211" i="43"/>
  <c r="U210" i="43"/>
  <c r="M210" i="43"/>
  <c r="N210" i="43" s="1"/>
  <c r="H210" i="43"/>
  <c r="E210" i="43"/>
  <c r="U209" i="43"/>
  <c r="M209" i="43"/>
  <c r="N209" i="43" s="1"/>
  <c r="H209" i="43"/>
  <c r="E209" i="43"/>
  <c r="U208" i="43"/>
  <c r="M208" i="43"/>
  <c r="N208" i="43" s="1"/>
  <c r="H208" i="43"/>
  <c r="E208" i="43"/>
  <c r="U207" i="43"/>
  <c r="M207" i="43"/>
  <c r="N207" i="43" s="1"/>
  <c r="H207" i="43"/>
  <c r="E207" i="43"/>
  <c r="U206" i="43"/>
  <c r="M206" i="43"/>
  <c r="N206" i="43" s="1"/>
  <c r="H206" i="43"/>
  <c r="E206" i="43"/>
  <c r="U205" i="43"/>
  <c r="M205" i="43"/>
  <c r="N205" i="43" s="1"/>
  <c r="H205" i="43"/>
  <c r="E205" i="43"/>
  <c r="U204" i="43"/>
  <c r="M204" i="43"/>
  <c r="N204" i="43" s="1"/>
  <c r="H204" i="43"/>
  <c r="E204" i="43"/>
  <c r="U203" i="43"/>
  <c r="M203" i="43"/>
  <c r="N203" i="43" s="1"/>
  <c r="H203" i="43"/>
  <c r="E203" i="43"/>
  <c r="U202" i="43"/>
  <c r="M202" i="43"/>
  <c r="N202" i="43" s="1"/>
  <c r="H202" i="43"/>
  <c r="E202" i="43"/>
  <c r="U201" i="43"/>
  <c r="M201" i="43"/>
  <c r="N201" i="43" s="1"/>
  <c r="H201" i="43"/>
  <c r="E201" i="43"/>
  <c r="U200" i="43"/>
  <c r="M200" i="43"/>
  <c r="N200" i="43" s="1"/>
  <c r="H200" i="43"/>
  <c r="E200" i="43"/>
  <c r="U199" i="43"/>
  <c r="M199" i="43"/>
  <c r="N199" i="43" s="1"/>
  <c r="H199" i="43"/>
  <c r="E199" i="43"/>
  <c r="U198" i="43"/>
  <c r="M198" i="43"/>
  <c r="N198" i="43" s="1"/>
  <c r="H198" i="43"/>
  <c r="E198" i="43"/>
  <c r="U197" i="43"/>
  <c r="M197" i="43"/>
  <c r="N197" i="43" s="1"/>
  <c r="H197" i="43"/>
  <c r="E197" i="43"/>
  <c r="U196" i="43"/>
  <c r="M196" i="43"/>
  <c r="N196" i="43" s="1"/>
  <c r="H196" i="43"/>
  <c r="E196" i="43"/>
  <c r="U195" i="43"/>
  <c r="M195" i="43"/>
  <c r="N195" i="43" s="1"/>
  <c r="I195" i="43"/>
  <c r="H195" i="43"/>
  <c r="E195" i="43"/>
  <c r="U194" i="43"/>
  <c r="M194" i="43"/>
  <c r="N194" i="43" s="1"/>
  <c r="H194" i="43"/>
  <c r="E194" i="43"/>
  <c r="U193" i="43"/>
  <c r="M193" i="43"/>
  <c r="N193" i="43" s="1"/>
  <c r="H193" i="43"/>
  <c r="E193" i="43"/>
  <c r="U192" i="43"/>
  <c r="M192" i="43"/>
  <c r="N192" i="43" s="1"/>
  <c r="H192" i="43"/>
  <c r="E192" i="43"/>
  <c r="U191" i="43"/>
  <c r="M191" i="43"/>
  <c r="N191" i="43" s="1"/>
  <c r="H191" i="43"/>
  <c r="E191" i="43"/>
  <c r="U190" i="43"/>
  <c r="M190" i="43"/>
  <c r="N190" i="43" s="1"/>
  <c r="H190" i="43"/>
  <c r="E190" i="43"/>
  <c r="U189" i="43"/>
  <c r="M189" i="43"/>
  <c r="N189" i="43" s="1"/>
  <c r="H189" i="43"/>
  <c r="E189" i="43"/>
  <c r="U188" i="43"/>
  <c r="M188" i="43"/>
  <c r="N188" i="43" s="1"/>
  <c r="H188" i="43"/>
  <c r="E188" i="43"/>
  <c r="U187" i="43"/>
  <c r="M187" i="43"/>
  <c r="N187" i="43" s="1"/>
  <c r="H187" i="43"/>
  <c r="E187" i="43"/>
  <c r="U186" i="43"/>
  <c r="M186" i="43"/>
  <c r="N186" i="43" s="1"/>
  <c r="H186" i="43"/>
  <c r="E186" i="43"/>
  <c r="U185" i="43"/>
  <c r="M185" i="43"/>
  <c r="N185" i="43" s="1"/>
  <c r="H185" i="43"/>
  <c r="E185" i="43"/>
  <c r="U184" i="43"/>
  <c r="M184" i="43"/>
  <c r="N184" i="43" s="1"/>
  <c r="H184" i="43"/>
  <c r="E184" i="43"/>
  <c r="U183" i="43"/>
  <c r="M183" i="43"/>
  <c r="N183" i="43" s="1"/>
  <c r="H183" i="43"/>
  <c r="E183" i="43"/>
  <c r="U182" i="43"/>
  <c r="M182" i="43"/>
  <c r="N182" i="43" s="1"/>
  <c r="H182" i="43"/>
  <c r="E182" i="43"/>
  <c r="U181" i="43"/>
  <c r="M181" i="43"/>
  <c r="N181" i="43" s="1"/>
  <c r="H181" i="43"/>
  <c r="E181" i="43"/>
  <c r="U180" i="43"/>
  <c r="M180" i="43"/>
  <c r="N180" i="43" s="1"/>
  <c r="H180" i="43"/>
  <c r="E180" i="43"/>
  <c r="U179" i="43"/>
  <c r="M179" i="43"/>
  <c r="N179" i="43" s="1"/>
  <c r="H179" i="43"/>
  <c r="E179" i="43"/>
  <c r="U178" i="43"/>
  <c r="M178" i="43"/>
  <c r="N178" i="43" s="1"/>
  <c r="H178" i="43"/>
  <c r="E178" i="43"/>
  <c r="U177" i="43"/>
  <c r="M177" i="43"/>
  <c r="N177" i="43" s="1"/>
  <c r="H177" i="43"/>
  <c r="E177" i="43"/>
  <c r="U176" i="43"/>
  <c r="M176" i="43"/>
  <c r="N176" i="43" s="1"/>
  <c r="H176" i="43"/>
  <c r="E176" i="43"/>
  <c r="U175" i="43"/>
  <c r="M175" i="43"/>
  <c r="N175" i="43" s="1"/>
  <c r="H175" i="43"/>
  <c r="E175" i="43"/>
  <c r="U174" i="43"/>
  <c r="M174" i="43"/>
  <c r="N174" i="43" s="1"/>
  <c r="H174" i="43"/>
  <c r="E174" i="43"/>
  <c r="U173" i="43"/>
  <c r="M173" i="43"/>
  <c r="N173" i="43" s="1"/>
  <c r="H173" i="43"/>
  <c r="E173" i="43"/>
  <c r="U172" i="43"/>
  <c r="M172" i="43"/>
  <c r="N172" i="43" s="1"/>
  <c r="H172" i="43"/>
  <c r="E172" i="43"/>
  <c r="U171" i="43"/>
  <c r="M171" i="43"/>
  <c r="N171" i="43" s="1"/>
  <c r="H171" i="43"/>
  <c r="E171" i="43"/>
  <c r="U170" i="43"/>
  <c r="M170" i="43"/>
  <c r="N170" i="43" s="1"/>
  <c r="H170" i="43"/>
  <c r="U169" i="43"/>
  <c r="M169" i="43"/>
  <c r="N169" i="43" s="1"/>
  <c r="H169" i="43"/>
  <c r="M168" i="43"/>
  <c r="N168" i="43" s="1"/>
  <c r="H168" i="43"/>
  <c r="E168" i="43"/>
  <c r="U167" i="43"/>
  <c r="M167" i="43"/>
  <c r="N167" i="43" s="1"/>
  <c r="H167" i="43"/>
  <c r="E167" i="43"/>
  <c r="U166" i="43"/>
  <c r="M166" i="43"/>
  <c r="N166" i="43" s="1"/>
  <c r="H166" i="43"/>
  <c r="E166" i="43"/>
  <c r="U165" i="43"/>
  <c r="M165" i="43"/>
  <c r="N165" i="43" s="1"/>
  <c r="H165" i="43"/>
  <c r="E165" i="43"/>
  <c r="U164" i="43"/>
  <c r="M164" i="43"/>
  <c r="N164" i="43" s="1"/>
  <c r="H164" i="43"/>
  <c r="E164" i="43"/>
  <c r="U163" i="43"/>
  <c r="M163" i="43"/>
  <c r="N163" i="43" s="1"/>
  <c r="H163" i="43"/>
  <c r="E163" i="43"/>
  <c r="U162" i="43"/>
  <c r="M162" i="43"/>
  <c r="N162" i="43" s="1"/>
  <c r="H162" i="43"/>
  <c r="E162" i="43"/>
  <c r="U161" i="43"/>
  <c r="M161" i="43"/>
  <c r="N161" i="43" s="1"/>
  <c r="H161" i="43"/>
  <c r="E161" i="43"/>
  <c r="U160" i="43"/>
  <c r="M160" i="43"/>
  <c r="N160" i="43" s="1"/>
  <c r="H160" i="43"/>
  <c r="E160" i="43"/>
  <c r="U159" i="43"/>
  <c r="M159" i="43"/>
  <c r="N159" i="43" s="1"/>
  <c r="H159" i="43"/>
  <c r="E159" i="43"/>
  <c r="U158" i="43"/>
  <c r="M158" i="43"/>
  <c r="N158" i="43" s="1"/>
  <c r="H158" i="43"/>
  <c r="E158" i="43"/>
  <c r="U157" i="43"/>
  <c r="M157" i="43"/>
  <c r="N157" i="43" s="1"/>
  <c r="H157" i="43"/>
  <c r="E157" i="43"/>
  <c r="U156" i="43"/>
  <c r="M156" i="43"/>
  <c r="N156" i="43" s="1"/>
  <c r="H156" i="43"/>
  <c r="E156" i="43"/>
  <c r="U155" i="43"/>
  <c r="M155" i="43"/>
  <c r="N155" i="43" s="1"/>
  <c r="H155" i="43"/>
  <c r="E155" i="43"/>
  <c r="U154" i="43"/>
  <c r="M154" i="43"/>
  <c r="N154" i="43" s="1"/>
  <c r="H154" i="43"/>
  <c r="U153" i="43"/>
  <c r="M153" i="43"/>
  <c r="N153" i="43" s="1"/>
  <c r="H153" i="43"/>
  <c r="U152" i="43"/>
  <c r="M152" i="43"/>
  <c r="N152" i="43" s="1"/>
  <c r="H152" i="43"/>
  <c r="U151" i="43"/>
  <c r="M151" i="43"/>
  <c r="N151" i="43" s="1"/>
  <c r="H151" i="43"/>
  <c r="U150" i="43"/>
  <c r="M150" i="43"/>
  <c r="N150" i="43" s="1"/>
  <c r="H150" i="43"/>
  <c r="U149" i="43"/>
  <c r="M149" i="43"/>
  <c r="N149" i="43" s="1"/>
  <c r="H149" i="43"/>
  <c r="U148" i="43"/>
  <c r="M148" i="43"/>
  <c r="N148" i="43" s="1"/>
  <c r="H148" i="43"/>
  <c r="U147" i="43"/>
  <c r="M147" i="43"/>
  <c r="N147" i="43" s="1"/>
  <c r="H147" i="43"/>
  <c r="U146" i="43"/>
  <c r="M146" i="43"/>
  <c r="N146" i="43" s="1"/>
  <c r="H146" i="43"/>
  <c r="U145" i="43"/>
  <c r="M145" i="43"/>
  <c r="N145" i="43" s="1"/>
  <c r="H145" i="43"/>
  <c r="U144" i="43"/>
  <c r="M144" i="43"/>
  <c r="N144" i="43" s="1"/>
  <c r="H144" i="43"/>
  <c r="U143" i="43"/>
  <c r="M143" i="43"/>
  <c r="N143" i="43" s="1"/>
  <c r="H143" i="43"/>
  <c r="U142" i="43"/>
  <c r="M142" i="43"/>
  <c r="N142" i="43" s="1"/>
  <c r="H142" i="43"/>
  <c r="U141" i="43"/>
  <c r="M141" i="43"/>
  <c r="N141" i="43" s="1"/>
  <c r="H141" i="43"/>
  <c r="U140" i="43"/>
  <c r="M140" i="43"/>
  <c r="N140" i="43" s="1"/>
  <c r="H140" i="43"/>
  <c r="U139" i="43"/>
  <c r="M139" i="43"/>
  <c r="N139" i="43" s="1"/>
  <c r="H139" i="43"/>
  <c r="U138" i="43"/>
  <c r="M138" i="43"/>
  <c r="N138" i="43" s="1"/>
  <c r="H138" i="43"/>
  <c r="U137" i="43"/>
  <c r="M137" i="43"/>
  <c r="N137" i="43" s="1"/>
  <c r="I137" i="43"/>
  <c r="H137" i="43"/>
  <c r="U136" i="43"/>
  <c r="M136" i="43"/>
  <c r="N136" i="43" s="1"/>
  <c r="H136" i="43"/>
  <c r="U135" i="43"/>
  <c r="M135" i="43"/>
  <c r="N135" i="43" s="1"/>
  <c r="H135" i="43"/>
  <c r="U134" i="43"/>
  <c r="M134" i="43"/>
  <c r="N134" i="43" s="1"/>
  <c r="H134" i="43"/>
  <c r="U133" i="43"/>
  <c r="M133" i="43"/>
  <c r="N133" i="43" s="1"/>
  <c r="H133" i="43"/>
  <c r="U132" i="43"/>
  <c r="M132" i="43"/>
  <c r="N132" i="43" s="1"/>
  <c r="H132" i="43"/>
  <c r="U131" i="43"/>
  <c r="M131" i="43"/>
  <c r="N131" i="43" s="1"/>
  <c r="H131" i="43"/>
  <c r="U130" i="43"/>
  <c r="M130" i="43"/>
  <c r="N130" i="43" s="1"/>
  <c r="H130" i="43"/>
  <c r="U129" i="43"/>
  <c r="M129" i="43"/>
  <c r="N129" i="43" s="1"/>
  <c r="H129" i="43"/>
  <c r="U128" i="43"/>
  <c r="M128" i="43"/>
  <c r="N128" i="43" s="1"/>
  <c r="H128" i="43"/>
  <c r="U127" i="43"/>
  <c r="M127" i="43"/>
  <c r="N127" i="43" s="1"/>
  <c r="H127" i="43"/>
  <c r="U126" i="43"/>
  <c r="M126" i="43"/>
  <c r="N126" i="43" s="1"/>
  <c r="H126" i="43"/>
  <c r="U125" i="43"/>
  <c r="M125" i="43"/>
  <c r="N125" i="43" s="1"/>
  <c r="H125" i="43"/>
  <c r="U124" i="43"/>
  <c r="M124" i="43"/>
  <c r="N124" i="43" s="1"/>
  <c r="H124" i="43"/>
  <c r="U123" i="43"/>
  <c r="M123" i="43"/>
  <c r="N123" i="43" s="1"/>
  <c r="H123" i="43"/>
  <c r="U122" i="43"/>
  <c r="M122" i="43"/>
  <c r="N122" i="43" s="1"/>
  <c r="H122" i="43"/>
  <c r="U121" i="43"/>
  <c r="M121" i="43"/>
  <c r="N121" i="43" s="1"/>
  <c r="H121" i="43"/>
  <c r="U120" i="43"/>
  <c r="M120" i="43"/>
  <c r="N120" i="43" s="1"/>
  <c r="H120" i="43"/>
  <c r="U119" i="43"/>
  <c r="M119" i="43"/>
  <c r="N119" i="43" s="1"/>
  <c r="H119" i="43"/>
  <c r="E119" i="43"/>
  <c r="U118" i="43"/>
  <c r="M118" i="43"/>
  <c r="N118" i="43" s="1"/>
  <c r="H118" i="43"/>
  <c r="E118" i="43"/>
  <c r="U117" i="43"/>
  <c r="M117" i="43"/>
  <c r="N117" i="43" s="1"/>
  <c r="H117" i="43"/>
  <c r="E117" i="43"/>
  <c r="U116" i="43"/>
  <c r="M116" i="43"/>
  <c r="N116" i="43" s="1"/>
  <c r="H116" i="43"/>
  <c r="E116" i="43"/>
  <c r="U115" i="43"/>
  <c r="M115" i="43"/>
  <c r="N115" i="43" s="1"/>
  <c r="H115" i="43"/>
  <c r="E115" i="43"/>
  <c r="U114" i="43"/>
  <c r="M114" i="43"/>
  <c r="N114" i="43" s="1"/>
  <c r="H114" i="43"/>
  <c r="E114" i="43"/>
  <c r="U113" i="43"/>
  <c r="M113" i="43"/>
  <c r="N113" i="43" s="1"/>
  <c r="H113" i="43"/>
  <c r="E113" i="43"/>
  <c r="U112" i="43"/>
  <c r="M112" i="43"/>
  <c r="N112" i="43" s="1"/>
  <c r="H112" i="43"/>
  <c r="E112" i="43"/>
  <c r="U111" i="43"/>
  <c r="M111" i="43"/>
  <c r="N111" i="43" s="1"/>
  <c r="H111" i="43"/>
  <c r="E111" i="43"/>
  <c r="U110" i="43"/>
  <c r="M110" i="43"/>
  <c r="N110" i="43" s="1"/>
  <c r="H110" i="43"/>
  <c r="U109" i="43"/>
  <c r="M109" i="43"/>
  <c r="N109" i="43" s="1"/>
  <c r="H109" i="43"/>
  <c r="E109" i="43"/>
  <c r="U108" i="43"/>
  <c r="M108" i="43"/>
  <c r="N108" i="43" s="1"/>
  <c r="H108" i="43"/>
  <c r="U107" i="43"/>
  <c r="M107" i="43"/>
  <c r="N107" i="43" s="1"/>
  <c r="H107" i="43"/>
  <c r="U106" i="43"/>
  <c r="M106" i="43"/>
  <c r="N106" i="43" s="1"/>
  <c r="H106" i="43"/>
  <c r="E106" i="43"/>
  <c r="U105" i="43"/>
  <c r="M105" i="43"/>
  <c r="N105" i="43" s="1"/>
  <c r="H105" i="43"/>
  <c r="E105" i="43"/>
  <c r="U104" i="43"/>
  <c r="M104" i="43"/>
  <c r="N104" i="43" s="1"/>
  <c r="H104" i="43"/>
  <c r="E104" i="43"/>
  <c r="U103" i="43"/>
  <c r="M103" i="43"/>
  <c r="N103" i="43" s="1"/>
  <c r="H103" i="43"/>
  <c r="E103" i="43"/>
  <c r="U102" i="43"/>
  <c r="M102" i="43"/>
  <c r="N102" i="43" s="1"/>
  <c r="H102" i="43"/>
  <c r="E102" i="43"/>
  <c r="U101" i="43"/>
  <c r="M101" i="43"/>
  <c r="N101" i="43" s="1"/>
  <c r="H101" i="43"/>
  <c r="E101" i="43"/>
  <c r="U100" i="43"/>
  <c r="M100" i="43"/>
  <c r="N100" i="43" s="1"/>
  <c r="H100" i="43"/>
  <c r="E100" i="43"/>
  <c r="U99" i="43"/>
  <c r="M99" i="43"/>
  <c r="N99" i="43" s="1"/>
  <c r="H99" i="43"/>
  <c r="E99" i="43"/>
  <c r="U98" i="43"/>
  <c r="M98" i="43"/>
  <c r="N98" i="43" s="1"/>
  <c r="H98" i="43"/>
  <c r="E98" i="43"/>
  <c r="U97" i="43"/>
  <c r="M97" i="43"/>
  <c r="N97" i="43" s="1"/>
  <c r="H97" i="43"/>
  <c r="E97" i="43"/>
  <c r="U96" i="43"/>
  <c r="M96" i="43"/>
  <c r="N96" i="43" s="1"/>
  <c r="H96" i="43"/>
  <c r="E96" i="43"/>
  <c r="U95" i="43"/>
  <c r="M95" i="43"/>
  <c r="N95" i="43" s="1"/>
  <c r="H95" i="43"/>
  <c r="E95" i="43"/>
  <c r="U94" i="43"/>
  <c r="M94" i="43"/>
  <c r="N94" i="43" s="1"/>
  <c r="H94" i="43"/>
  <c r="U93" i="43"/>
  <c r="M93" i="43"/>
  <c r="N93" i="43" s="1"/>
  <c r="H93" i="43"/>
  <c r="U92" i="43"/>
  <c r="M92" i="43"/>
  <c r="N92" i="43" s="1"/>
  <c r="H92" i="43"/>
  <c r="U91" i="43"/>
  <c r="M91" i="43"/>
  <c r="N91" i="43" s="1"/>
  <c r="H91" i="43"/>
  <c r="U90" i="43"/>
  <c r="M90" i="43"/>
  <c r="N90" i="43" s="1"/>
  <c r="H90" i="43"/>
  <c r="U89" i="43"/>
  <c r="M89" i="43"/>
  <c r="N89" i="43" s="1"/>
  <c r="H89" i="43"/>
  <c r="U88" i="43"/>
  <c r="M88" i="43"/>
  <c r="N88" i="43" s="1"/>
  <c r="H88" i="43"/>
  <c r="U87" i="43"/>
  <c r="M87" i="43"/>
  <c r="N87" i="43" s="1"/>
  <c r="H87" i="43"/>
  <c r="U86" i="43"/>
  <c r="M86" i="43"/>
  <c r="N86" i="43" s="1"/>
  <c r="H86" i="43"/>
  <c r="U85" i="43"/>
  <c r="M85" i="43"/>
  <c r="N85" i="43" s="1"/>
  <c r="H85" i="43"/>
  <c r="U84" i="43"/>
  <c r="M84" i="43"/>
  <c r="N84" i="43" s="1"/>
  <c r="H84" i="43"/>
  <c r="U83" i="43"/>
  <c r="M83" i="43"/>
  <c r="N83" i="43" s="1"/>
  <c r="H83" i="43"/>
  <c r="U82" i="43"/>
  <c r="M82" i="43"/>
  <c r="N82" i="43" s="1"/>
  <c r="H82" i="43"/>
  <c r="U81" i="43"/>
  <c r="M81" i="43"/>
  <c r="N81" i="43" s="1"/>
  <c r="H81" i="43"/>
  <c r="U80" i="43"/>
  <c r="M80" i="43"/>
  <c r="N80" i="43" s="1"/>
  <c r="H80" i="43"/>
  <c r="U79" i="43"/>
  <c r="M79" i="43"/>
  <c r="N79" i="43" s="1"/>
  <c r="H79" i="43"/>
  <c r="U78" i="43"/>
  <c r="M78" i="43"/>
  <c r="N78" i="43" s="1"/>
  <c r="H78" i="43"/>
  <c r="U77" i="43"/>
  <c r="M77" i="43"/>
  <c r="N77" i="43" s="1"/>
  <c r="H77" i="43"/>
  <c r="U76" i="43"/>
  <c r="M76" i="43"/>
  <c r="N76" i="43" s="1"/>
  <c r="H76" i="43"/>
  <c r="U75" i="43"/>
  <c r="M75" i="43"/>
  <c r="N75" i="43" s="1"/>
  <c r="H75" i="43"/>
  <c r="U74" i="43"/>
  <c r="M74" i="43"/>
  <c r="N74" i="43" s="1"/>
  <c r="H74" i="43"/>
  <c r="U73" i="43"/>
  <c r="M73" i="43"/>
  <c r="N73" i="43" s="1"/>
  <c r="H73" i="43"/>
  <c r="U72" i="43"/>
  <c r="M72" i="43"/>
  <c r="N72" i="43" s="1"/>
  <c r="H72" i="43"/>
  <c r="U71" i="43"/>
  <c r="M71" i="43"/>
  <c r="N71" i="43" s="1"/>
  <c r="H71" i="43"/>
  <c r="U70" i="43"/>
  <c r="M70" i="43"/>
  <c r="N70" i="43" s="1"/>
  <c r="H70" i="43"/>
  <c r="U69" i="43"/>
  <c r="M69" i="43"/>
  <c r="N69" i="43" s="1"/>
  <c r="H69" i="43"/>
  <c r="U68" i="43"/>
  <c r="M68" i="43"/>
  <c r="N68" i="43" s="1"/>
  <c r="H68" i="43"/>
  <c r="U67" i="43"/>
  <c r="M67" i="43"/>
  <c r="N67" i="43" s="1"/>
  <c r="H67" i="43"/>
  <c r="U66" i="43"/>
  <c r="M66" i="43"/>
  <c r="N66" i="43" s="1"/>
  <c r="H66" i="43"/>
  <c r="U65" i="43"/>
  <c r="M65" i="43"/>
  <c r="N65" i="43" s="1"/>
  <c r="H65" i="43"/>
  <c r="U64" i="43"/>
  <c r="M64" i="43"/>
  <c r="N64" i="43" s="1"/>
  <c r="H64" i="43"/>
  <c r="U63" i="43"/>
  <c r="M63" i="43"/>
  <c r="N63" i="43" s="1"/>
  <c r="H63" i="43"/>
  <c r="U62" i="43"/>
  <c r="M62" i="43"/>
  <c r="N62" i="43" s="1"/>
  <c r="H62" i="43"/>
  <c r="U61" i="43"/>
  <c r="M61" i="43"/>
  <c r="N61" i="43" s="1"/>
  <c r="H61" i="43"/>
  <c r="U60" i="43"/>
  <c r="M60" i="43"/>
  <c r="N60" i="43" s="1"/>
  <c r="H60" i="43"/>
  <c r="U59" i="43"/>
  <c r="M59" i="43"/>
  <c r="N59" i="43" s="1"/>
  <c r="H59" i="43"/>
  <c r="U58" i="43"/>
  <c r="M58" i="43"/>
  <c r="N58" i="43" s="1"/>
  <c r="H58" i="43"/>
  <c r="U57" i="43"/>
  <c r="M57" i="43"/>
  <c r="N57" i="43" s="1"/>
  <c r="H57" i="43"/>
  <c r="U56" i="43"/>
  <c r="M56" i="43"/>
  <c r="N56" i="43" s="1"/>
  <c r="H56" i="43"/>
  <c r="U55" i="43"/>
  <c r="M55" i="43"/>
  <c r="N55" i="43" s="1"/>
  <c r="H55" i="43"/>
  <c r="U54" i="43"/>
  <c r="M54" i="43"/>
  <c r="N54" i="43" s="1"/>
  <c r="H54" i="43"/>
  <c r="U53" i="43"/>
  <c r="M53" i="43"/>
  <c r="N53" i="43" s="1"/>
  <c r="H53" i="43"/>
  <c r="U52" i="43"/>
  <c r="M52" i="43"/>
  <c r="N52" i="43" s="1"/>
  <c r="H52" i="43"/>
  <c r="U51" i="43"/>
  <c r="M51" i="43"/>
  <c r="N51" i="43" s="1"/>
  <c r="H51" i="43"/>
  <c r="U50" i="43"/>
  <c r="M50" i="43"/>
  <c r="N50" i="43" s="1"/>
  <c r="H50" i="43"/>
  <c r="E50" i="43"/>
  <c r="U49" i="43"/>
  <c r="M49" i="43"/>
  <c r="N49" i="43" s="1"/>
  <c r="H49" i="43"/>
  <c r="U48" i="43"/>
  <c r="M48" i="43"/>
  <c r="N48" i="43" s="1"/>
  <c r="H48" i="43"/>
  <c r="U47" i="43"/>
  <c r="M47" i="43"/>
  <c r="N47" i="43" s="1"/>
  <c r="H47" i="43"/>
  <c r="U46" i="43"/>
  <c r="M46" i="43"/>
  <c r="N46" i="43" s="1"/>
  <c r="H46" i="43"/>
  <c r="E46" i="43"/>
  <c r="U45" i="43"/>
  <c r="M45" i="43"/>
  <c r="N45" i="43" s="1"/>
  <c r="H45" i="43"/>
  <c r="E45" i="43"/>
  <c r="U44" i="43"/>
  <c r="M44" i="43"/>
  <c r="N44" i="43" s="1"/>
  <c r="H44" i="43"/>
  <c r="U43" i="43"/>
  <c r="M43" i="43"/>
  <c r="N43" i="43" s="1"/>
  <c r="H43" i="43"/>
  <c r="U42" i="43"/>
  <c r="M42" i="43"/>
  <c r="N42" i="43" s="1"/>
  <c r="H42" i="43"/>
  <c r="U41" i="43"/>
  <c r="M41" i="43"/>
  <c r="N41" i="43" s="1"/>
  <c r="H41" i="43"/>
  <c r="U40" i="43"/>
  <c r="M40" i="43"/>
  <c r="N40" i="43" s="1"/>
  <c r="H40" i="43"/>
  <c r="U39" i="43"/>
  <c r="M39" i="43"/>
  <c r="N39" i="43" s="1"/>
  <c r="H39" i="43"/>
  <c r="U38" i="43"/>
  <c r="M38" i="43"/>
  <c r="N38" i="43" s="1"/>
  <c r="H38" i="43"/>
  <c r="U37" i="43"/>
  <c r="M37" i="43"/>
  <c r="N37" i="43" s="1"/>
  <c r="H37" i="43"/>
  <c r="U36" i="43"/>
  <c r="M36" i="43"/>
  <c r="N36" i="43" s="1"/>
  <c r="H36" i="43"/>
  <c r="U35" i="43"/>
  <c r="M35" i="43"/>
  <c r="N35" i="43" s="1"/>
  <c r="H35" i="43"/>
  <c r="U34" i="43"/>
  <c r="M34" i="43"/>
  <c r="N34" i="43" s="1"/>
  <c r="H34" i="43"/>
  <c r="U33" i="43"/>
  <c r="M33" i="43"/>
  <c r="N33" i="43" s="1"/>
  <c r="H33" i="43"/>
  <c r="U32" i="43"/>
  <c r="M32" i="43"/>
  <c r="N32" i="43" s="1"/>
  <c r="H32" i="43"/>
  <c r="U31" i="43"/>
  <c r="M31" i="43"/>
  <c r="N31" i="43" s="1"/>
  <c r="H31" i="43"/>
  <c r="U30" i="43"/>
  <c r="M30" i="43"/>
  <c r="N30" i="43" s="1"/>
  <c r="H30" i="43"/>
  <c r="U29" i="43"/>
  <c r="M29" i="43"/>
  <c r="N29" i="43" s="1"/>
  <c r="H29" i="43"/>
  <c r="U28" i="43"/>
  <c r="M28" i="43"/>
  <c r="N28" i="43" s="1"/>
  <c r="H28" i="43"/>
  <c r="U27" i="43"/>
  <c r="M27" i="43"/>
  <c r="N27" i="43" s="1"/>
  <c r="H27" i="43"/>
  <c r="E27" i="43"/>
  <c r="U26" i="43"/>
  <c r="M26" i="43"/>
  <c r="N26" i="43" s="1"/>
  <c r="H26" i="43"/>
  <c r="E26" i="43"/>
  <c r="U25" i="43"/>
  <c r="M25" i="43"/>
  <c r="N25" i="43" s="1"/>
  <c r="H25" i="43"/>
  <c r="E25" i="43"/>
  <c r="A25" i="43"/>
  <c r="A15" i="22"/>
  <c r="A16" i="22"/>
  <c r="A19" i="22" s="1"/>
  <c r="A17" i="22"/>
  <c r="A20" i="22" s="1"/>
  <c r="A18" i="22"/>
  <c r="J152" i="43"/>
  <c r="K152" i="43" s="1"/>
  <c r="J65" i="43"/>
  <c r="K65" i="43" s="1"/>
  <c r="J54" i="43"/>
  <c r="K54" i="43" s="1"/>
  <c r="J68" i="43"/>
  <c r="K68" i="43" s="1"/>
  <c r="J91" i="43"/>
  <c r="K91" i="43" s="1"/>
  <c r="J151" i="43"/>
  <c r="K151" i="43" s="1"/>
  <c r="J130" i="43"/>
  <c r="K130" i="43" s="1"/>
  <c r="J52" i="43"/>
  <c r="K52" i="43" s="1"/>
  <c r="I344" i="43" l="1"/>
  <c r="P68" i="43"/>
  <c r="Q68" i="43" s="1"/>
  <c r="S68" i="43" s="1"/>
  <c r="P152" i="43"/>
  <c r="Q152" i="43" s="1"/>
  <c r="S152" i="43" s="1"/>
  <c r="H344" i="43"/>
  <c r="A26" i="43"/>
  <c r="A27" i="43" s="1"/>
  <c r="P91" i="43"/>
  <c r="Q91" i="43" s="1"/>
  <c r="S91" i="43" s="1"/>
  <c r="P130" i="43"/>
  <c r="Q130" i="43" s="1"/>
  <c r="S130" i="43" s="1"/>
  <c r="P54" i="43"/>
  <c r="Q54" i="43" s="1"/>
  <c r="S54" i="43" s="1"/>
  <c r="N344" i="43"/>
  <c r="T25" i="43"/>
  <c r="P52" i="43"/>
  <c r="Q52" i="43" s="1"/>
  <c r="S52" i="43" s="1"/>
  <c r="M344" i="43"/>
  <c r="P65" i="43"/>
  <c r="Q65" i="43" s="1"/>
  <c r="S65" i="43" s="1"/>
  <c r="P151" i="43"/>
  <c r="Q151" i="43" s="1"/>
  <c r="S151" i="43" s="1"/>
  <c r="A21" i="22"/>
  <c r="A22" i="22" s="1"/>
  <c r="J132" i="43"/>
  <c r="K132" i="43" s="1"/>
  <c r="P132" i="43" s="1"/>
  <c r="Q132" i="43" s="1"/>
  <c r="S132" i="43" s="1"/>
  <c r="J157" i="43"/>
  <c r="K157" i="43" s="1"/>
  <c r="P157" i="43" s="1"/>
  <c r="Q157" i="43" s="1"/>
  <c r="S157" i="43" s="1"/>
  <c r="J126" i="43"/>
  <c r="K126" i="43" s="1"/>
  <c r="P126" i="43" s="1"/>
  <c r="Q126" i="43" s="1"/>
  <c r="S126" i="43" s="1"/>
  <c r="J134" i="43"/>
  <c r="K134" i="43" s="1"/>
  <c r="P134" i="43" s="1"/>
  <c r="Q134" i="43" s="1"/>
  <c r="S134" i="43" s="1"/>
  <c r="J178" i="43"/>
  <c r="K178" i="43" s="1"/>
  <c r="P178" i="43" s="1"/>
  <c r="Q178" i="43" s="1"/>
  <c r="S178" i="43" s="1"/>
  <c r="J82" i="43"/>
  <c r="K82" i="43" s="1"/>
  <c r="P82" i="43" s="1"/>
  <c r="Q82" i="43" s="1"/>
  <c r="S82" i="43" s="1"/>
  <c r="J142" i="43"/>
  <c r="K142" i="43" s="1"/>
  <c r="P142" i="43" s="1"/>
  <c r="Q142" i="43" s="1"/>
  <c r="S142" i="43" s="1"/>
  <c r="J177" i="43"/>
  <c r="K177" i="43" s="1"/>
  <c r="P177" i="43" s="1"/>
  <c r="Q177" i="43" s="1"/>
  <c r="S177" i="43" s="1"/>
  <c r="J143" i="43"/>
  <c r="K143" i="43" s="1"/>
  <c r="P143" i="43" s="1"/>
  <c r="Q143" i="43" s="1"/>
  <c r="S143" i="43" s="1"/>
  <c r="J150" i="43"/>
  <c r="K150" i="43" s="1"/>
  <c r="P150" i="43" s="1"/>
  <c r="Q150" i="43" s="1"/>
  <c r="S150" i="43" s="1"/>
  <c r="J163" i="43"/>
  <c r="K163" i="43" s="1"/>
  <c r="P163" i="43" s="1"/>
  <c r="Q163" i="43" s="1"/>
  <c r="S163" i="43" s="1"/>
  <c r="J242" i="43"/>
  <c r="K242" i="43" s="1"/>
  <c r="P242" i="43" s="1"/>
  <c r="Q242" i="43" s="1"/>
  <c r="S242" i="43" s="1"/>
  <c r="J45" i="43"/>
  <c r="K45" i="43" s="1"/>
  <c r="J42" i="43"/>
  <c r="K42" i="43" s="1"/>
  <c r="J122" i="43"/>
  <c r="K122" i="43" s="1"/>
  <c r="P122" i="43" s="1"/>
  <c r="Q122" i="43" s="1"/>
  <c r="S122" i="43" s="1"/>
  <c r="J138" i="43"/>
  <c r="K138" i="43" s="1"/>
  <c r="P138" i="43" s="1"/>
  <c r="Q138" i="43" s="1"/>
  <c r="S138" i="43" s="1"/>
  <c r="J199" i="43"/>
  <c r="K199" i="43" s="1"/>
  <c r="P199" i="43" s="1"/>
  <c r="Q199" i="43" s="1"/>
  <c r="S199" i="43" s="1"/>
  <c r="J55" i="43"/>
  <c r="K55" i="43" s="1"/>
  <c r="P55" i="43" s="1"/>
  <c r="Q55" i="43" s="1"/>
  <c r="S55" i="43" s="1"/>
  <c r="J162" i="43"/>
  <c r="K162" i="43" s="1"/>
  <c r="P162" i="43" s="1"/>
  <c r="Q162" i="43" s="1"/>
  <c r="S162" i="43" s="1"/>
  <c r="J159" i="43"/>
  <c r="K159" i="43" s="1"/>
  <c r="P159" i="43" s="1"/>
  <c r="Q159" i="43" s="1"/>
  <c r="S159" i="43" s="1"/>
  <c r="J30" i="43"/>
  <c r="K30" i="43" s="1"/>
  <c r="P30" i="43" s="1"/>
  <c r="Q30" i="43" s="1"/>
  <c r="S30" i="43" s="1"/>
  <c r="J167" i="43"/>
  <c r="K167" i="43" s="1"/>
  <c r="P167" i="43" s="1"/>
  <c r="Q167" i="43" s="1"/>
  <c r="S167" i="43" s="1"/>
  <c r="J73" i="43"/>
  <c r="K73" i="43" s="1"/>
  <c r="P73" i="43" s="1"/>
  <c r="Q73" i="43" s="1"/>
  <c r="S73" i="43" s="1"/>
  <c r="J58" i="43"/>
  <c r="K58" i="43" s="1"/>
  <c r="P58" i="43" s="1"/>
  <c r="Q58" i="43" s="1"/>
  <c r="S58" i="43" s="1"/>
  <c r="J129" i="43"/>
  <c r="K129" i="43" s="1"/>
  <c r="P129" i="43" s="1"/>
  <c r="Q129" i="43" s="1"/>
  <c r="S129" i="43" s="1"/>
  <c r="J204" i="43"/>
  <c r="K204" i="43" s="1"/>
  <c r="P204" i="43" s="1"/>
  <c r="Q204" i="43" s="1"/>
  <c r="S204" i="43" s="1"/>
  <c r="J136" i="43"/>
  <c r="K136" i="43" s="1"/>
  <c r="P136" i="43" s="1"/>
  <c r="Q136" i="43" s="1"/>
  <c r="S136" i="43" s="1"/>
  <c r="J147" i="43"/>
  <c r="K147" i="43" s="1"/>
  <c r="P147" i="43" s="1"/>
  <c r="Q147" i="43" s="1"/>
  <c r="S147" i="43" s="1"/>
  <c r="J43" i="43"/>
  <c r="K43" i="43" s="1"/>
  <c r="J66" i="43"/>
  <c r="K66" i="43" s="1"/>
  <c r="J169" i="43"/>
  <c r="K169" i="43" s="1"/>
  <c r="P169" i="43" s="1"/>
  <c r="Q169" i="43" s="1"/>
  <c r="S169" i="43" s="1"/>
  <c r="J92" i="43"/>
  <c r="K92" i="43" s="1"/>
  <c r="P92" i="43" s="1"/>
  <c r="Q92" i="43" s="1"/>
  <c r="S92" i="43" s="1"/>
  <c r="J109" i="43"/>
  <c r="K109" i="43" s="1"/>
  <c r="P109" i="43" s="1"/>
  <c r="Q109" i="43" s="1"/>
  <c r="S109" i="43" s="1"/>
  <c r="J166" i="43"/>
  <c r="K166" i="43" s="1"/>
  <c r="P166" i="43" s="1"/>
  <c r="Q166" i="43" s="1"/>
  <c r="S166" i="43" s="1"/>
  <c r="J93" i="43"/>
  <c r="K93" i="43" s="1"/>
  <c r="P93" i="43" s="1"/>
  <c r="Q93" i="43" s="1"/>
  <c r="S93" i="43" s="1"/>
  <c r="J89" i="43"/>
  <c r="K89" i="43" s="1"/>
  <c r="P89" i="43" s="1"/>
  <c r="Q89" i="43" s="1"/>
  <c r="S89" i="43" s="1"/>
  <c r="J90" i="43"/>
  <c r="K90" i="43" s="1"/>
  <c r="J94" i="43"/>
  <c r="K94" i="43" s="1"/>
  <c r="J103" i="43"/>
  <c r="K103" i="43" s="1"/>
  <c r="P103" i="43" s="1"/>
  <c r="Q103" i="43" s="1"/>
  <c r="S103" i="43" s="1"/>
  <c r="J98" i="43"/>
  <c r="K98" i="43" s="1"/>
  <c r="P98" i="43" s="1"/>
  <c r="Q98" i="43" s="1"/>
  <c r="S98" i="43" s="1"/>
  <c r="J105" i="43"/>
  <c r="K105" i="43" s="1"/>
  <c r="P105" i="43" s="1"/>
  <c r="Q105" i="43" s="1"/>
  <c r="S105" i="43" s="1"/>
  <c r="J99" i="43"/>
  <c r="K99" i="43" s="1"/>
  <c r="P99" i="43" s="1"/>
  <c r="Q99" i="43" s="1"/>
  <c r="S99" i="43" s="1"/>
  <c r="J95" i="43"/>
  <c r="K95" i="43" s="1"/>
  <c r="P95" i="43" s="1"/>
  <c r="Q95" i="43" s="1"/>
  <c r="S95" i="43" s="1"/>
  <c r="J282" i="43"/>
  <c r="K282" i="43" s="1"/>
  <c r="P282" i="43" s="1"/>
  <c r="Q282" i="43" s="1"/>
  <c r="S282" i="43" s="1"/>
  <c r="J279" i="43"/>
  <c r="K279" i="43" s="1"/>
  <c r="P279" i="43" s="1"/>
  <c r="Q279" i="43" s="1"/>
  <c r="S279" i="43" s="1"/>
  <c r="J278" i="43"/>
  <c r="K278" i="43" s="1"/>
  <c r="P278" i="43" s="1"/>
  <c r="Q278" i="43" s="1"/>
  <c r="S278" i="43" s="1"/>
  <c r="J281" i="43"/>
  <c r="K281" i="43" s="1"/>
  <c r="P281" i="43" s="1"/>
  <c r="Q281" i="43" s="1"/>
  <c r="S281" i="43" s="1"/>
  <c r="J115" i="43"/>
  <c r="K115" i="43" s="1"/>
  <c r="P115" i="43" s="1"/>
  <c r="Q115" i="43" s="1"/>
  <c r="S115" i="43" s="1"/>
  <c r="J118" i="43"/>
  <c r="K118" i="43" s="1"/>
  <c r="P118" i="43" s="1"/>
  <c r="Q118" i="43" s="1"/>
  <c r="S118" i="43" s="1"/>
  <c r="J111" i="43"/>
  <c r="K111" i="43" s="1"/>
  <c r="P111" i="43" s="1"/>
  <c r="Q111" i="43" s="1"/>
  <c r="S111" i="43" s="1"/>
  <c r="J243" i="43"/>
  <c r="K243" i="43" s="1"/>
  <c r="P243" i="43" s="1"/>
  <c r="Q243" i="43" s="1"/>
  <c r="S243" i="43" s="1"/>
  <c r="J229" i="43"/>
  <c r="K229" i="43" s="1"/>
  <c r="P229" i="43" s="1"/>
  <c r="Q229" i="43" s="1"/>
  <c r="S229" i="43" s="1"/>
  <c r="J231" i="43"/>
  <c r="K231" i="43" s="1"/>
  <c r="P231" i="43" s="1"/>
  <c r="Q231" i="43" s="1"/>
  <c r="S231" i="43" s="1"/>
  <c r="J230" i="43"/>
  <c r="K230" i="43" s="1"/>
  <c r="P230" i="43" s="1"/>
  <c r="Q230" i="43" s="1"/>
  <c r="S230" i="43" s="1"/>
  <c r="J237" i="43"/>
  <c r="K237" i="43" s="1"/>
  <c r="P237" i="43" s="1"/>
  <c r="Q237" i="43" s="1"/>
  <c r="S237" i="43" s="1"/>
  <c r="J248" i="43"/>
  <c r="K248" i="43" s="1"/>
  <c r="P248" i="43" s="1"/>
  <c r="Q248" i="43" s="1"/>
  <c r="S248" i="43" s="1"/>
  <c r="J250" i="43"/>
  <c r="K250" i="43" s="1"/>
  <c r="P250" i="43" s="1"/>
  <c r="Q250" i="43" s="1"/>
  <c r="S250" i="43" s="1"/>
  <c r="J172" i="43"/>
  <c r="K172" i="43" s="1"/>
  <c r="P172" i="43" s="1"/>
  <c r="Q172" i="43" s="1"/>
  <c r="S172" i="43" s="1"/>
  <c r="J179" i="43"/>
  <c r="K179" i="43" s="1"/>
  <c r="P179" i="43" s="1"/>
  <c r="Q179" i="43" s="1"/>
  <c r="S179" i="43" s="1"/>
  <c r="J181" i="43"/>
  <c r="K181" i="43" s="1"/>
  <c r="P181" i="43" s="1"/>
  <c r="Q181" i="43" s="1"/>
  <c r="S181" i="43" s="1"/>
  <c r="J171" i="43"/>
  <c r="K171" i="43" s="1"/>
  <c r="P171" i="43" s="1"/>
  <c r="Q171" i="43" s="1"/>
  <c r="S171" i="43" s="1"/>
  <c r="J174" i="43"/>
  <c r="K174" i="43" s="1"/>
  <c r="P174" i="43" s="1"/>
  <c r="Q174" i="43" s="1"/>
  <c r="S174" i="43" s="1"/>
  <c r="J184" i="43"/>
  <c r="K184" i="43" s="1"/>
  <c r="P184" i="43" s="1"/>
  <c r="Q184" i="43" s="1"/>
  <c r="S184" i="43" s="1"/>
  <c r="J175" i="43"/>
  <c r="K175" i="43" s="1"/>
  <c r="P175" i="43" s="1"/>
  <c r="Q175" i="43" s="1"/>
  <c r="S175" i="43" s="1"/>
  <c r="J187" i="43"/>
  <c r="K187" i="43" s="1"/>
  <c r="P187" i="43" s="1"/>
  <c r="Q187" i="43" s="1"/>
  <c r="S187" i="43" s="1"/>
  <c r="J185" i="43"/>
  <c r="K185" i="43" s="1"/>
  <c r="P185" i="43" s="1"/>
  <c r="Q185" i="43" s="1"/>
  <c r="S185" i="43" s="1"/>
  <c r="J188" i="43"/>
  <c r="K188" i="43" s="1"/>
  <c r="P188" i="43" s="1"/>
  <c r="Q188" i="43" s="1"/>
  <c r="S188" i="43" s="1"/>
  <c r="J189" i="43"/>
  <c r="K189" i="43" s="1"/>
  <c r="P189" i="43" s="1"/>
  <c r="Q189" i="43" s="1"/>
  <c r="S189" i="43" s="1"/>
  <c r="J176" i="43"/>
  <c r="K176" i="43" s="1"/>
  <c r="P176" i="43" s="1"/>
  <c r="Q176" i="43" s="1"/>
  <c r="S176" i="43" s="1"/>
  <c r="J196" i="43"/>
  <c r="K196" i="43" s="1"/>
  <c r="P196" i="43" s="1"/>
  <c r="Q196" i="43" s="1"/>
  <c r="S196" i="43" s="1"/>
  <c r="J197" i="43"/>
  <c r="K197" i="43" s="1"/>
  <c r="P197" i="43" s="1"/>
  <c r="Q197" i="43" s="1"/>
  <c r="S197" i="43" s="1"/>
  <c r="J207" i="43"/>
  <c r="K207" i="43" s="1"/>
  <c r="P207" i="43" s="1"/>
  <c r="Q207" i="43" s="1"/>
  <c r="S207" i="43" s="1"/>
  <c r="J211" i="43"/>
  <c r="K211" i="43" s="1"/>
  <c r="P211" i="43" s="1"/>
  <c r="Q211" i="43" s="1"/>
  <c r="S211" i="43" s="1"/>
  <c r="J161" i="43"/>
  <c r="K161" i="43" s="1"/>
  <c r="P161" i="43" s="1"/>
  <c r="Q161" i="43" s="1"/>
  <c r="S161" i="43" s="1"/>
  <c r="J168" i="43"/>
  <c r="K168" i="43" s="1"/>
  <c r="P168" i="43" s="1"/>
  <c r="Q168" i="43" s="1"/>
  <c r="S168" i="43" s="1"/>
  <c r="J154" i="43"/>
  <c r="K154" i="43" s="1"/>
  <c r="P154" i="43" s="1"/>
  <c r="Q154" i="43" s="1"/>
  <c r="S154" i="43" s="1"/>
  <c r="J121" i="43"/>
  <c r="K121" i="43" s="1"/>
  <c r="P121" i="43" s="1"/>
  <c r="Q121" i="43" s="1"/>
  <c r="S121" i="43" s="1"/>
  <c r="J144" i="43"/>
  <c r="K144" i="43" s="1"/>
  <c r="P144" i="43" s="1"/>
  <c r="Q144" i="43" s="1"/>
  <c r="S144" i="43" s="1"/>
  <c r="J135" i="43"/>
  <c r="K135" i="43" s="1"/>
  <c r="P135" i="43" s="1"/>
  <c r="Q135" i="43" s="1"/>
  <c r="S135" i="43" s="1"/>
  <c r="J84" i="43"/>
  <c r="K84" i="43" s="1"/>
  <c r="P84" i="43" s="1"/>
  <c r="Q84" i="43" s="1"/>
  <c r="S84" i="43" s="1"/>
  <c r="J79" i="43"/>
  <c r="K79" i="43" s="1"/>
  <c r="P79" i="43" s="1"/>
  <c r="Q79" i="43" s="1"/>
  <c r="S79" i="43" s="1"/>
  <c r="J34" i="43"/>
  <c r="K34" i="43" s="1"/>
  <c r="J70" i="43"/>
  <c r="K70" i="43" s="1"/>
  <c r="P70" i="43" s="1"/>
  <c r="Q70" i="43" s="1"/>
  <c r="S70" i="43" s="1"/>
  <c r="J50" i="43"/>
  <c r="K50" i="43" s="1"/>
  <c r="P50" i="43" s="1"/>
  <c r="Q50" i="43" s="1"/>
  <c r="S50" i="43" s="1"/>
  <c r="J51" i="43"/>
  <c r="K51" i="43" s="1"/>
  <c r="P51" i="43" s="1"/>
  <c r="Q51" i="43" s="1"/>
  <c r="S51" i="43" s="1"/>
  <c r="J26" i="43"/>
  <c r="K26" i="43" s="1"/>
  <c r="P26" i="43" s="1"/>
  <c r="Q26" i="43" s="1"/>
  <c r="S26" i="43" s="1"/>
  <c r="J27" i="43"/>
  <c r="K27" i="43" s="1"/>
  <c r="P27" i="43" s="1"/>
  <c r="Q27" i="43" s="1"/>
  <c r="S27" i="43" s="1"/>
  <c r="J25" i="43"/>
  <c r="K25" i="43" s="1"/>
  <c r="P43" i="43" l="1"/>
  <c r="Q43" i="43" s="1"/>
  <c r="S43" i="43" s="1"/>
  <c r="P34" i="43"/>
  <c r="Q34" i="43" s="1"/>
  <c r="S34" i="43" s="1"/>
  <c r="P45" i="43"/>
  <c r="Q45" i="43" s="1"/>
  <c r="S45" i="43" s="1"/>
  <c r="P66" i="43"/>
  <c r="Q66" i="43" s="1"/>
  <c r="S66" i="43" s="1"/>
  <c r="P25" i="43"/>
  <c r="P42" i="43"/>
  <c r="Q42" i="43" s="1"/>
  <c r="S42" i="43" s="1"/>
  <c r="P94" i="43"/>
  <c r="Q94" i="43" s="1"/>
  <c r="S94" i="43" s="1"/>
  <c r="P90" i="43"/>
  <c r="Q90" i="43" s="1"/>
  <c r="S90" i="43" s="1"/>
  <c r="Q25" i="43"/>
  <c r="T26" i="43"/>
  <c r="T27" i="43"/>
  <c r="A28" i="43"/>
  <c r="T28" i="43" s="1"/>
  <c r="A23" i="22"/>
  <c r="A24" i="22"/>
  <c r="J173" i="43"/>
  <c r="K173" i="43" s="1"/>
  <c r="P173" i="43" s="1"/>
  <c r="Q173" i="43" s="1"/>
  <c r="S173" i="43" s="1"/>
  <c r="J49" i="43"/>
  <c r="K49" i="43" s="1"/>
  <c r="P49" i="43" s="1"/>
  <c r="Q49" i="43" s="1"/>
  <c r="S49" i="43" s="1"/>
  <c r="J62" i="43"/>
  <c r="K62" i="43" s="1"/>
  <c r="P62" i="43" s="1"/>
  <c r="Q62" i="43" s="1"/>
  <c r="S62" i="43" s="1"/>
  <c r="J131" i="43"/>
  <c r="K131" i="43" s="1"/>
  <c r="P131" i="43" s="1"/>
  <c r="Q131" i="43" s="1"/>
  <c r="S131" i="43" s="1"/>
  <c r="J170" i="43"/>
  <c r="K170" i="43" s="1"/>
  <c r="P170" i="43" s="1"/>
  <c r="Q170" i="43" s="1"/>
  <c r="S170" i="43" s="1"/>
  <c r="J63" i="43"/>
  <c r="K63" i="43" s="1"/>
  <c r="P63" i="43" s="1"/>
  <c r="Q63" i="43" s="1"/>
  <c r="S63" i="43" s="1"/>
  <c r="J267" i="43"/>
  <c r="K267" i="43" s="1"/>
  <c r="P267" i="43" s="1"/>
  <c r="Q267" i="43" s="1"/>
  <c r="S267" i="43" s="1"/>
  <c r="J81" i="43"/>
  <c r="K81" i="43" s="1"/>
  <c r="P81" i="43" s="1"/>
  <c r="Q81" i="43" s="1"/>
  <c r="S81" i="43" s="1"/>
  <c r="J258" i="43"/>
  <c r="K258" i="43" s="1"/>
  <c r="P258" i="43" s="1"/>
  <c r="Q258" i="43" s="1"/>
  <c r="S258" i="43" s="1"/>
  <c r="J78" i="43"/>
  <c r="K78" i="43" s="1"/>
  <c r="P78" i="43" s="1"/>
  <c r="Q78" i="43" s="1"/>
  <c r="S78" i="43" s="1"/>
  <c r="J40" i="43"/>
  <c r="K40" i="43" s="1"/>
  <c r="J228" i="43"/>
  <c r="K228" i="43" s="1"/>
  <c r="P228" i="43" s="1"/>
  <c r="Q228" i="43" s="1"/>
  <c r="S228" i="43" s="1"/>
  <c r="J156" i="43"/>
  <c r="K156" i="43" s="1"/>
  <c r="P156" i="43" s="1"/>
  <c r="Q156" i="43" s="1"/>
  <c r="S156" i="43" s="1"/>
  <c r="J87" i="43"/>
  <c r="K87" i="43" s="1"/>
  <c r="J56" i="43"/>
  <c r="K56" i="43" s="1"/>
  <c r="P56" i="43" s="1"/>
  <c r="Q56" i="43" s="1"/>
  <c r="S56" i="43" s="1"/>
  <c r="J107" i="43"/>
  <c r="K107" i="43" s="1"/>
  <c r="P107" i="43" s="1"/>
  <c r="Q107" i="43" s="1"/>
  <c r="S107" i="43" s="1"/>
  <c r="J193" i="43"/>
  <c r="K193" i="43" s="1"/>
  <c r="P193" i="43" s="1"/>
  <c r="Q193" i="43" s="1"/>
  <c r="S193" i="43" s="1"/>
  <c r="J182" i="43"/>
  <c r="K182" i="43" s="1"/>
  <c r="P182" i="43" s="1"/>
  <c r="Q182" i="43" s="1"/>
  <c r="S182" i="43" s="1"/>
  <c r="J220" i="43"/>
  <c r="K220" i="43" s="1"/>
  <c r="P220" i="43" s="1"/>
  <c r="Q220" i="43" s="1"/>
  <c r="S220" i="43" s="1"/>
  <c r="J35" i="43"/>
  <c r="K35" i="43" s="1"/>
  <c r="J262" i="43"/>
  <c r="K262" i="43" s="1"/>
  <c r="P262" i="43" s="1"/>
  <c r="Q262" i="43" s="1"/>
  <c r="S262" i="43" s="1"/>
  <c r="J88" i="43"/>
  <c r="K88" i="43" s="1"/>
  <c r="J232" i="43"/>
  <c r="K232" i="43" s="1"/>
  <c r="P232" i="43" s="1"/>
  <c r="Q232" i="43" s="1"/>
  <c r="S232" i="43" s="1"/>
  <c r="J37" i="43"/>
  <c r="K37" i="43" s="1"/>
  <c r="J203" i="43"/>
  <c r="K203" i="43" s="1"/>
  <c r="P203" i="43" s="1"/>
  <c r="Q203" i="43" s="1"/>
  <c r="S203" i="43" s="1"/>
  <c r="J57" i="43"/>
  <c r="K57" i="43" s="1"/>
  <c r="P57" i="43" s="1"/>
  <c r="Q57" i="43" s="1"/>
  <c r="S57" i="43" s="1"/>
  <c r="J102" i="43"/>
  <c r="K102" i="43" s="1"/>
  <c r="P102" i="43" s="1"/>
  <c r="Q102" i="43" s="1"/>
  <c r="S102" i="43" s="1"/>
  <c r="J246" i="43"/>
  <c r="K246" i="43" s="1"/>
  <c r="P246" i="43" s="1"/>
  <c r="Q246" i="43" s="1"/>
  <c r="S246" i="43" s="1"/>
  <c r="J106" i="43"/>
  <c r="K106" i="43" s="1"/>
  <c r="P106" i="43" s="1"/>
  <c r="Q106" i="43" s="1"/>
  <c r="S106" i="43" s="1"/>
  <c r="J194" i="43"/>
  <c r="K194" i="43" s="1"/>
  <c r="P194" i="43" s="1"/>
  <c r="Q194" i="43" s="1"/>
  <c r="S194" i="43" s="1"/>
  <c r="J239" i="43"/>
  <c r="K239" i="43" s="1"/>
  <c r="P239" i="43" s="1"/>
  <c r="Q239" i="43" s="1"/>
  <c r="S239" i="43" s="1"/>
  <c r="J180" i="43"/>
  <c r="K180" i="43" s="1"/>
  <c r="P180" i="43" s="1"/>
  <c r="Q180" i="43" s="1"/>
  <c r="S180" i="43" s="1"/>
  <c r="J145" i="43"/>
  <c r="K145" i="43" s="1"/>
  <c r="P145" i="43" s="1"/>
  <c r="Q145" i="43" s="1"/>
  <c r="S145" i="43" s="1"/>
  <c r="J202" i="43"/>
  <c r="K202" i="43" s="1"/>
  <c r="P202" i="43" s="1"/>
  <c r="Q202" i="43" s="1"/>
  <c r="S202" i="43" s="1"/>
  <c r="J191" i="43"/>
  <c r="K191" i="43" s="1"/>
  <c r="P191" i="43" s="1"/>
  <c r="Q191" i="43" s="1"/>
  <c r="S191" i="43" s="1"/>
  <c r="J38" i="43"/>
  <c r="K38" i="43" s="1"/>
  <c r="J200" i="43"/>
  <c r="K200" i="43" s="1"/>
  <c r="P200" i="43" s="1"/>
  <c r="Q200" i="43" s="1"/>
  <c r="S200" i="43" s="1"/>
  <c r="J31" i="43"/>
  <c r="K31" i="43" s="1"/>
  <c r="J183" i="43"/>
  <c r="K183" i="43" s="1"/>
  <c r="P183" i="43" s="1"/>
  <c r="Q183" i="43" s="1"/>
  <c r="S183" i="43" s="1"/>
  <c r="J149" i="43"/>
  <c r="K149" i="43" s="1"/>
  <c r="P149" i="43" s="1"/>
  <c r="Q149" i="43" s="1"/>
  <c r="S149" i="43" s="1"/>
  <c r="J119" i="43"/>
  <c r="K119" i="43" s="1"/>
  <c r="P119" i="43" s="1"/>
  <c r="Q119" i="43" s="1"/>
  <c r="S119" i="43" s="1"/>
  <c r="J210" i="43"/>
  <c r="K210" i="43" s="1"/>
  <c r="P210" i="43" s="1"/>
  <c r="Q210" i="43" s="1"/>
  <c r="S210" i="43" s="1"/>
  <c r="J32" i="43"/>
  <c r="K32" i="43" s="1"/>
  <c r="J83" i="43"/>
  <c r="K83" i="43" s="1"/>
  <c r="P83" i="43" s="1"/>
  <c r="Q83" i="43" s="1"/>
  <c r="S83" i="43" s="1"/>
  <c r="J69" i="43"/>
  <c r="K69" i="43" s="1"/>
  <c r="P69" i="43" s="1"/>
  <c r="Q69" i="43" s="1"/>
  <c r="S69" i="43" s="1"/>
  <c r="J201" i="43"/>
  <c r="K201" i="43" s="1"/>
  <c r="P201" i="43" s="1"/>
  <c r="Q201" i="43" s="1"/>
  <c r="S201" i="43" s="1"/>
  <c r="J64" i="43"/>
  <c r="K64" i="43" s="1"/>
  <c r="P64" i="43" s="1"/>
  <c r="Q64" i="43" s="1"/>
  <c r="S64" i="43" s="1"/>
  <c r="J67" i="43"/>
  <c r="K67" i="43" s="1"/>
  <c r="P67" i="43" s="1"/>
  <c r="Q67" i="43" s="1"/>
  <c r="S67" i="43" s="1"/>
  <c r="J133" i="43"/>
  <c r="K133" i="43" s="1"/>
  <c r="P133" i="43" s="1"/>
  <c r="Q133" i="43" s="1"/>
  <c r="S133" i="43" s="1"/>
  <c r="J46" i="43"/>
  <c r="K46" i="43" s="1"/>
  <c r="P46" i="43" s="1"/>
  <c r="Q46" i="43" s="1"/>
  <c r="S46" i="43" s="1"/>
  <c r="J75" i="43"/>
  <c r="K75" i="43" s="1"/>
  <c r="P75" i="43" s="1"/>
  <c r="Q75" i="43" s="1"/>
  <c r="S75" i="43" s="1"/>
  <c r="J41" i="43"/>
  <c r="K41" i="43" s="1"/>
  <c r="J77" i="43"/>
  <c r="K77" i="43" s="1"/>
  <c r="P77" i="43" s="1"/>
  <c r="Q77" i="43" s="1"/>
  <c r="S77" i="43" s="1"/>
  <c r="J61" i="43"/>
  <c r="K61" i="43" s="1"/>
  <c r="P61" i="43" s="1"/>
  <c r="Q61" i="43" s="1"/>
  <c r="S61" i="43" s="1"/>
  <c r="J44" i="43"/>
  <c r="K44" i="43" s="1"/>
  <c r="J158" i="43"/>
  <c r="K158" i="43" s="1"/>
  <c r="P158" i="43" s="1"/>
  <c r="Q158" i="43" s="1"/>
  <c r="S158" i="43" s="1"/>
  <c r="J76" i="43"/>
  <c r="K76" i="43" s="1"/>
  <c r="P76" i="43" s="1"/>
  <c r="Q76" i="43" s="1"/>
  <c r="S76" i="43" s="1"/>
  <c r="J120" i="43"/>
  <c r="K120" i="43" s="1"/>
  <c r="P120" i="43" s="1"/>
  <c r="Q120" i="43" s="1"/>
  <c r="S120" i="43" s="1"/>
  <c r="J71" i="43"/>
  <c r="K71" i="43" s="1"/>
  <c r="P71" i="43" s="1"/>
  <c r="Q71" i="43" s="1"/>
  <c r="S71" i="43" s="1"/>
  <c r="J72" i="43"/>
  <c r="K72" i="43" s="1"/>
  <c r="P72" i="43" s="1"/>
  <c r="Q72" i="43" s="1"/>
  <c r="S72" i="43" s="1"/>
  <c r="J29" i="43"/>
  <c r="K29" i="43" s="1"/>
  <c r="J155" i="43"/>
  <c r="K155" i="43" s="1"/>
  <c r="P155" i="43" s="1"/>
  <c r="Q155" i="43" s="1"/>
  <c r="S155" i="43" s="1"/>
  <c r="J208" i="43"/>
  <c r="K208" i="43" s="1"/>
  <c r="P208" i="43" s="1"/>
  <c r="Q208" i="43" s="1"/>
  <c r="S208" i="43" s="1"/>
  <c r="J227" i="43"/>
  <c r="K227" i="43" s="1"/>
  <c r="P227" i="43" s="1"/>
  <c r="Q227" i="43" s="1"/>
  <c r="S227" i="43" s="1"/>
  <c r="J222" i="43"/>
  <c r="K222" i="43" s="1"/>
  <c r="P222" i="43" s="1"/>
  <c r="Q222" i="43" s="1"/>
  <c r="S222" i="43" s="1"/>
  <c r="J234" i="43"/>
  <c r="K234" i="43" s="1"/>
  <c r="P234" i="43" s="1"/>
  <c r="Q234" i="43" s="1"/>
  <c r="S234" i="43" s="1"/>
  <c r="J48" i="43"/>
  <c r="K48" i="43" s="1"/>
  <c r="P48" i="43" s="1"/>
  <c r="Q48" i="43" s="1"/>
  <c r="S48" i="43" s="1"/>
  <c r="J209" i="43"/>
  <c r="K209" i="43" s="1"/>
  <c r="P209" i="43" s="1"/>
  <c r="Q209" i="43" s="1"/>
  <c r="S209" i="43" s="1"/>
  <c r="J253" i="43"/>
  <c r="K253" i="43" s="1"/>
  <c r="P253" i="43" s="1"/>
  <c r="Q253" i="43" s="1"/>
  <c r="S253" i="43" s="1"/>
  <c r="J257" i="43"/>
  <c r="K257" i="43" s="1"/>
  <c r="P257" i="43" s="1"/>
  <c r="Q257" i="43" s="1"/>
  <c r="S257" i="43" s="1"/>
  <c r="J260" i="43"/>
  <c r="K260" i="43" s="1"/>
  <c r="P260" i="43" s="1"/>
  <c r="Q260" i="43" s="1"/>
  <c r="S260" i="43" s="1"/>
  <c r="J264" i="43"/>
  <c r="K264" i="43" s="1"/>
  <c r="P264" i="43" s="1"/>
  <c r="Q264" i="43" s="1"/>
  <c r="S264" i="43" s="1"/>
  <c r="J268" i="43"/>
  <c r="K268" i="43" s="1"/>
  <c r="P268" i="43" s="1"/>
  <c r="Q268" i="43" s="1"/>
  <c r="S268" i="43" s="1"/>
  <c r="J272" i="43"/>
  <c r="K272" i="43" s="1"/>
  <c r="P272" i="43" s="1"/>
  <c r="Q272" i="43" s="1"/>
  <c r="S272" i="43" s="1"/>
  <c r="J247" i="43"/>
  <c r="K247" i="43" s="1"/>
  <c r="P247" i="43" s="1"/>
  <c r="Q247" i="43" s="1"/>
  <c r="S247" i="43" s="1"/>
  <c r="J224" i="43"/>
  <c r="K224" i="43" s="1"/>
  <c r="P224" i="43" s="1"/>
  <c r="Q224" i="43" s="1"/>
  <c r="S224" i="43" s="1"/>
  <c r="J236" i="43"/>
  <c r="K236" i="43" s="1"/>
  <c r="P236" i="43" s="1"/>
  <c r="Q236" i="43" s="1"/>
  <c r="S236" i="43" s="1"/>
  <c r="J238" i="43"/>
  <c r="K238" i="43" s="1"/>
  <c r="P238" i="43" s="1"/>
  <c r="Q238" i="43" s="1"/>
  <c r="S238" i="43" s="1"/>
  <c r="J123" i="43"/>
  <c r="K123" i="43" s="1"/>
  <c r="P123" i="43" s="1"/>
  <c r="Q123" i="43" s="1"/>
  <c r="S123" i="43" s="1"/>
  <c r="J205" i="43"/>
  <c r="K205" i="43" s="1"/>
  <c r="P205" i="43" s="1"/>
  <c r="Q205" i="43" s="1"/>
  <c r="S205" i="43" s="1"/>
  <c r="J192" i="43"/>
  <c r="K192" i="43" s="1"/>
  <c r="P192" i="43" s="1"/>
  <c r="Q192" i="43" s="1"/>
  <c r="S192" i="43" s="1"/>
  <c r="J198" i="43"/>
  <c r="K198" i="43" s="1"/>
  <c r="P198" i="43" s="1"/>
  <c r="Q198" i="43" s="1"/>
  <c r="S198" i="43" s="1"/>
  <c r="J241" i="43"/>
  <c r="K241" i="43" s="1"/>
  <c r="P241" i="43" s="1"/>
  <c r="Q241" i="43" s="1"/>
  <c r="S241" i="43" s="1"/>
  <c r="J280" i="43"/>
  <c r="K280" i="43" s="1"/>
  <c r="P280" i="43" s="1"/>
  <c r="Q280" i="43" s="1"/>
  <c r="S280" i="43" s="1"/>
  <c r="J153" i="43"/>
  <c r="K153" i="43" s="1"/>
  <c r="P153" i="43" s="1"/>
  <c r="Q153" i="43" s="1"/>
  <c r="S153" i="43" s="1"/>
  <c r="J206" i="43"/>
  <c r="K206" i="43" s="1"/>
  <c r="P206" i="43" s="1"/>
  <c r="Q206" i="43" s="1"/>
  <c r="S206" i="43" s="1"/>
  <c r="J219" i="43"/>
  <c r="K219" i="43" s="1"/>
  <c r="P219" i="43" s="1"/>
  <c r="Q219" i="43" s="1"/>
  <c r="S219" i="43" s="1"/>
  <c r="J221" i="43"/>
  <c r="K221" i="43" s="1"/>
  <c r="P221" i="43" s="1"/>
  <c r="Q221" i="43" s="1"/>
  <c r="S221" i="43" s="1"/>
  <c r="J245" i="43"/>
  <c r="K245" i="43" s="1"/>
  <c r="P245" i="43" s="1"/>
  <c r="Q245" i="43" s="1"/>
  <c r="S245" i="43" s="1"/>
  <c r="J254" i="43"/>
  <c r="K254" i="43" s="1"/>
  <c r="P254" i="43" s="1"/>
  <c r="Q254" i="43" s="1"/>
  <c r="S254" i="43" s="1"/>
  <c r="J261" i="43"/>
  <c r="K261" i="43" s="1"/>
  <c r="P261" i="43" s="1"/>
  <c r="Q261" i="43" s="1"/>
  <c r="S261" i="43" s="1"/>
  <c r="J265" i="43"/>
  <c r="K265" i="43" s="1"/>
  <c r="P265" i="43" s="1"/>
  <c r="Q265" i="43" s="1"/>
  <c r="S265" i="43" s="1"/>
  <c r="J269" i="43"/>
  <c r="K269" i="43" s="1"/>
  <c r="P269" i="43" s="1"/>
  <c r="Q269" i="43" s="1"/>
  <c r="S269" i="43" s="1"/>
  <c r="J233" i="43"/>
  <c r="K233" i="43" s="1"/>
  <c r="P233" i="43" s="1"/>
  <c r="Q233" i="43" s="1"/>
  <c r="S233" i="43" s="1"/>
  <c r="J240" i="43"/>
  <c r="K240" i="43" s="1"/>
  <c r="P240" i="43" s="1"/>
  <c r="Q240" i="43" s="1"/>
  <c r="S240" i="43" s="1"/>
  <c r="J226" i="43"/>
  <c r="K226" i="43" s="1"/>
  <c r="P226" i="43" s="1"/>
  <c r="Q226" i="43" s="1"/>
  <c r="S226" i="43" s="1"/>
  <c r="J223" i="43"/>
  <c r="K223" i="43" s="1"/>
  <c r="P223" i="43" s="1"/>
  <c r="Q223" i="43" s="1"/>
  <c r="S223" i="43" s="1"/>
  <c r="J244" i="43"/>
  <c r="K244" i="43" s="1"/>
  <c r="P244" i="43" s="1"/>
  <c r="Q244" i="43" s="1"/>
  <c r="S244" i="43" s="1"/>
  <c r="J235" i="43"/>
  <c r="K235" i="43" s="1"/>
  <c r="P235" i="43" s="1"/>
  <c r="Q235" i="43" s="1"/>
  <c r="S235" i="43" s="1"/>
  <c r="J96" i="43"/>
  <c r="K96" i="43" s="1"/>
  <c r="P96" i="43" s="1"/>
  <c r="Q96" i="43" s="1"/>
  <c r="S96" i="43" s="1"/>
  <c r="J255" i="43"/>
  <c r="K255" i="43" s="1"/>
  <c r="P255" i="43" s="1"/>
  <c r="Q255" i="43" s="1"/>
  <c r="S255" i="43" s="1"/>
  <c r="J252" i="43"/>
  <c r="K252" i="43" s="1"/>
  <c r="P252" i="43" s="1"/>
  <c r="Q252" i="43" s="1"/>
  <c r="S252" i="43" s="1"/>
  <c r="J266" i="43"/>
  <c r="K266" i="43" s="1"/>
  <c r="P266" i="43" s="1"/>
  <c r="Q266" i="43" s="1"/>
  <c r="S266" i="43" s="1"/>
  <c r="J270" i="43"/>
  <c r="K270" i="43" s="1"/>
  <c r="P270" i="43" s="1"/>
  <c r="Q270" i="43" s="1"/>
  <c r="S270" i="43" s="1"/>
  <c r="J112" i="43"/>
  <c r="K112" i="43" s="1"/>
  <c r="P112" i="43" s="1"/>
  <c r="Q112" i="43" s="1"/>
  <c r="S112" i="43" s="1"/>
  <c r="J277" i="43"/>
  <c r="K277" i="43" s="1"/>
  <c r="P277" i="43" s="1"/>
  <c r="Q277" i="43" s="1"/>
  <c r="S277" i="43" s="1"/>
  <c r="J256" i="43"/>
  <c r="K256" i="43" s="1"/>
  <c r="P256" i="43" s="1"/>
  <c r="Q256" i="43" s="1"/>
  <c r="S256" i="43" s="1"/>
  <c r="J259" i="43"/>
  <c r="K259" i="43" s="1"/>
  <c r="P259" i="43" s="1"/>
  <c r="Q259" i="43" s="1"/>
  <c r="S259" i="43" s="1"/>
  <c r="J263" i="43"/>
  <c r="K263" i="43" s="1"/>
  <c r="P263" i="43" s="1"/>
  <c r="Q263" i="43" s="1"/>
  <c r="S263" i="43" s="1"/>
  <c r="J271" i="43"/>
  <c r="K271" i="43" s="1"/>
  <c r="P271" i="43" s="1"/>
  <c r="Q271" i="43" s="1"/>
  <c r="S271" i="43" s="1"/>
  <c r="J114" i="43"/>
  <c r="K114" i="43" s="1"/>
  <c r="P114" i="43" s="1"/>
  <c r="Q114" i="43" s="1"/>
  <c r="S114" i="43" s="1"/>
  <c r="J274" i="43"/>
  <c r="K274" i="43" s="1"/>
  <c r="P274" i="43" s="1"/>
  <c r="Q274" i="43" s="1"/>
  <c r="S274" i="43" s="1"/>
  <c r="J100" i="43"/>
  <c r="K100" i="43" s="1"/>
  <c r="P100" i="43" s="1"/>
  <c r="Q100" i="43" s="1"/>
  <c r="S100" i="43" s="1"/>
  <c r="J110" i="43"/>
  <c r="K110" i="43" s="1"/>
  <c r="P110" i="43" s="1"/>
  <c r="Q110" i="43" s="1"/>
  <c r="S110" i="43" s="1"/>
  <c r="J108" i="43"/>
  <c r="K108" i="43" s="1"/>
  <c r="P108" i="43" s="1"/>
  <c r="Q108" i="43" s="1"/>
  <c r="S108" i="43" s="1"/>
  <c r="J97" i="43"/>
  <c r="K97" i="43" s="1"/>
  <c r="P97" i="43" s="1"/>
  <c r="Q97" i="43" s="1"/>
  <c r="S97" i="43" s="1"/>
  <c r="P29" i="43" l="1"/>
  <c r="Q29" i="43" s="1"/>
  <c r="S29" i="43" s="1"/>
  <c r="P32" i="43"/>
  <c r="Q32" i="43" s="1"/>
  <c r="S32" i="43" s="1"/>
  <c r="P87" i="43"/>
  <c r="Q87" i="43" s="1"/>
  <c r="S87" i="43" s="1"/>
  <c r="P38" i="43"/>
  <c r="Q38" i="43" s="1"/>
  <c r="S38" i="43" s="1"/>
  <c r="P40" i="43"/>
  <c r="Q40" i="43" s="1"/>
  <c r="S40" i="43" s="1"/>
  <c r="P44" i="43"/>
  <c r="Q44" i="43" s="1"/>
  <c r="S44" i="43" s="1"/>
  <c r="P41" i="43"/>
  <c r="Q41" i="43" s="1"/>
  <c r="S41" i="43" s="1"/>
  <c r="P31" i="43"/>
  <c r="Q31" i="43" s="1"/>
  <c r="S31" i="43" s="1"/>
  <c r="P37" i="43"/>
  <c r="Q37" i="43" s="1"/>
  <c r="S37" i="43" s="1"/>
  <c r="P88" i="43"/>
  <c r="Q88" i="43" s="1"/>
  <c r="S88" i="43" s="1"/>
  <c r="P35" i="43"/>
  <c r="Q35" i="43" s="1"/>
  <c r="S35" i="43" s="1"/>
  <c r="S25" i="43"/>
  <c r="A29" i="43"/>
  <c r="T29" i="43" s="1"/>
  <c r="A25" i="22"/>
  <c r="J125" i="43"/>
  <c r="K125" i="43" s="1"/>
  <c r="P125" i="43" s="1"/>
  <c r="Q125" i="43" s="1"/>
  <c r="S125" i="43" s="1"/>
  <c r="J139" i="43"/>
  <c r="K139" i="43" s="1"/>
  <c r="P139" i="43" s="1"/>
  <c r="Q139" i="43" s="1"/>
  <c r="S139" i="43" s="1"/>
  <c r="J137" i="43"/>
  <c r="K137" i="43" s="1"/>
  <c r="P137" i="43" s="1"/>
  <c r="Q137" i="43" s="1"/>
  <c r="S137" i="43" s="1"/>
  <c r="J128" i="43"/>
  <c r="K128" i="43" s="1"/>
  <c r="P128" i="43" s="1"/>
  <c r="Q128" i="43" s="1"/>
  <c r="S128" i="43" s="1"/>
  <c r="J127" i="43"/>
  <c r="K127" i="43" s="1"/>
  <c r="P127" i="43" s="1"/>
  <c r="Q127" i="43" s="1"/>
  <c r="S127" i="43" s="1"/>
  <c r="J60" i="43"/>
  <c r="K60" i="43" s="1"/>
  <c r="P60" i="43" s="1"/>
  <c r="Q60" i="43" s="1"/>
  <c r="S60" i="43" s="1"/>
  <c r="J276" i="43"/>
  <c r="K276" i="43" s="1"/>
  <c r="P276" i="43" s="1"/>
  <c r="Q276" i="43" s="1"/>
  <c r="S276" i="43" s="1"/>
  <c r="J36" i="43"/>
  <c r="K36" i="43" s="1"/>
  <c r="J33" i="43"/>
  <c r="K33" i="43" s="1"/>
  <c r="J86" i="43"/>
  <c r="K86" i="43" s="1"/>
  <c r="P86" i="43" s="1"/>
  <c r="Q86" i="43" s="1"/>
  <c r="S86" i="43" s="1"/>
  <c r="J104" i="43"/>
  <c r="K104" i="43" s="1"/>
  <c r="P104" i="43" s="1"/>
  <c r="Q104" i="43" s="1"/>
  <c r="S104" i="43" s="1"/>
  <c r="J275" i="43"/>
  <c r="K275" i="43" s="1"/>
  <c r="P275" i="43" s="1"/>
  <c r="Q275" i="43" s="1"/>
  <c r="S275" i="43" s="1"/>
  <c r="J116" i="43"/>
  <c r="K116" i="43" s="1"/>
  <c r="P116" i="43" s="1"/>
  <c r="Q116" i="43" s="1"/>
  <c r="S116" i="43" s="1"/>
  <c r="J214" i="43"/>
  <c r="K214" i="43" s="1"/>
  <c r="P214" i="43" s="1"/>
  <c r="Q214" i="43" s="1"/>
  <c r="S214" i="43" s="1"/>
  <c r="J251" i="43"/>
  <c r="K251" i="43" s="1"/>
  <c r="P251" i="43" s="1"/>
  <c r="Q251" i="43" s="1"/>
  <c r="S251" i="43" s="1"/>
  <c r="J146" i="43"/>
  <c r="K146" i="43" s="1"/>
  <c r="P146" i="43" s="1"/>
  <c r="Q146" i="43" s="1"/>
  <c r="S146" i="43" s="1"/>
  <c r="J141" i="43"/>
  <c r="K141" i="43" s="1"/>
  <c r="P141" i="43" s="1"/>
  <c r="Q141" i="43" s="1"/>
  <c r="S141" i="43" s="1"/>
  <c r="J186" i="43"/>
  <c r="K186" i="43" s="1"/>
  <c r="P186" i="43" s="1"/>
  <c r="Q186" i="43" s="1"/>
  <c r="S186" i="43" s="1"/>
  <c r="J218" i="43"/>
  <c r="K218" i="43" s="1"/>
  <c r="P218" i="43" s="1"/>
  <c r="Q218" i="43" s="1"/>
  <c r="S218" i="43" s="1"/>
  <c r="J195" i="43"/>
  <c r="K195" i="43" s="1"/>
  <c r="P195" i="43" s="1"/>
  <c r="Q195" i="43" s="1"/>
  <c r="S195" i="43" s="1"/>
  <c r="J160" i="43"/>
  <c r="K160" i="43" s="1"/>
  <c r="P160" i="43" s="1"/>
  <c r="Q160" i="43" s="1"/>
  <c r="S160" i="43" s="1"/>
  <c r="J217" i="43"/>
  <c r="K217" i="43" s="1"/>
  <c r="P217" i="43" s="1"/>
  <c r="Q217" i="43" s="1"/>
  <c r="S217" i="43" s="1"/>
  <c r="J212" i="43"/>
  <c r="K212" i="43" s="1"/>
  <c r="P212" i="43" s="1"/>
  <c r="Q212" i="43" s="1"/>
  <c r="S212" i="43" s="1"/>
  <c r="J148" i="43"/>
  <c r="K148" i="43" s="1"/>
  <c r="P148" i="43" s="1"/>
  <c r="Q148" i="43" s="1"/>
  <c r="S148" i="43" s="1"/>
  <c r="J59" i="43"/>
  <c r="K59" i="43" s="1"/>
  <c r="P59" i="43" s="1"/>
  <c r="Q59" i="43" s="1"/>
  <c r="S59" i="43" s="1"/>
  <c r="J47" i="43"/>
  <c r="K47" i="43" s="1"/>
  <c r="P47" i="43" s="1"/>
  <c r="Q47" i="43" s="1"/>
  <c r="S47" i="43" s="1"/>
  <c r="J225" i="43"/>
  <c r="K225" i="43" s="1"/>
  <c r="P225" i="43" s="1"/>
  <c r="Q225" i="43" s="1"/>
  <c r="S225" i="43" s="1"/>
  <c r="J190" i="43"/>
  <c r="K190" i="43" s="1"/>
  <c r="P190" i="43" s="1"/>
  <c r="Q190" i="43" s="1"/>
  <c r="S190" i="43" s="1"/>
  <c r="J85" i="43"/>
  <c r="K85" i="43" s="1"/>
  <c r="P85" i="43" s="1"/>
  <c r="Q85" i="43" s="1"/>
  <c r="S85" i="43" s="1"/>
  <c r="J28" i="43"/>
  <c r="J80" i="43"/>
  <c r="K80" i="43" s="1"/>
  <c r="P80" i="43" s="1"/>
  <c r="Q80" i="43" s="1"/>
  <c r="S80" i="43" s="1"/>
  <c r="J273" i="43"/>
  <c r="K273" i="43" s="1"/>
  <c r="P273" i="43" s="1"/>
  <c r="Q273" i="43" s="1"/>
  <c r="S273" i="43" s="1"/>
  <c r="J165" i="43"/>
  <c r="K165" i="43" s="1"/>
  <c r="P165" i="43" s="1"/>
  <c r="Q165" i="43" s="1"/>
  <c r="S165" i="43" s="1"/>
  <c r="J140" i="43"/>
  <c r="K140" i="43" s="1"/>
  <c r="P140" i="43" s="1"/>
  <c r="Q140" i="43" s="1"/>
  <c r="S140" i="43" s="1"/>
  <c r="J39" i="43"/>
  <c r="K39" i="43" s="1"/>
  <c r="J215" i="43"/>
  <c r="K215" i="43" s="1"/>
  <c r="P215" i="43" s="1"/>
  <c r="Q215" i="43" s="1"/>
  <c r="S215" i="43" s="1"/>
  <c r="J101" i="43"/>
  <c r="K101" i="43" s="1"/>
  <c r="P101" i="43" s="1"/>
  <c r="Q101" i="43" s="1"/>
  <c r="S101" i="43" s="1"/>
  <c r="J117" i="43"/>
  <c r="K117" i="43" s="1"/>
  <c r="P117" i="43" s="1"/>
  <c r="Q117" i="43" s="1"/>
  <c r="S117" i="43" s="1"/>
  <c r="J213" i="43"/>
  <c r="K213" i="43" s="1"/>
  <c r="P213" i="43" s="1"/>
  <c r="Q213" i="43" s="1"/>
  <c r="S213" i="43" s="1"/>
  <c r="J113" i="43"/>
  <c r="K113" i="43" s="1"/>
  <c r="P113" i="43" s="1"/>
  <c r="Q113" i="43" s="1"/>
  <c r="S113" i="43" s="1"/>
  <c r="J216" i="43"/>
  <c r="K216" i="43" s="1"/>
  <c r="P216" i="43" s="1"/>
  <c r="Q216" i="43" s="1"/>
  <c r="S216" i="43" s="1"/>
  <c r="J124" i="43"/>
  <c r="K124" i="43" s="1"/>
  <c r="P124" i="43" s="1"/>
  <c r="Q124" i="43" s="1"/>
  <c r="S124" i="43" s="1"/>
  <c r="J53" i="43"/>
  <c r="K53" i="43" s="1"/>
  <c r="P53" i="43" s="1"/>
  <c r="Q53" i="43" s="1"/>
  <c r="S53" i="43" s="1"/>
  <c r="J74" i="43"/>
  <c r="K74" i="43" s="1"/>
  <c r="P74" i="43" s="1"/>
  <c r="Q74" i="43" s="1"/>
  <c r="S74" i="43" s="1"/>
  <c r="P39" i="43" l="1"/>
  <c r="Q39" i="43" s="1"/>
  <c r="S39" i="43" s="1"/>
  <c r="P33" i="43"/>
  <c r="Q33" i="43" s="1"/>
  <c r="S33" i="43" s="1"/>
  <c r="K28" i="43"/>
  <c r="P36" i="43"/>
  <c r="Q36" i="43" s="1"/>
  <c r="S36" i="43" s="1"/>
  <c r="A30" i="43"/>
  <c r="A26" i="22"/>
  <c r="A27" i="22"/>
  <c r="J164" i="43"/>
  <c r="K164" i="43" s="1"/>
  <c r="P164" i="43" s="1"/>
  <c r="Q164" i="43" s="1"/>
  <c r="S164" i="43" s="1"/>
  <c r="J249" i="43"/>
  <c r="K249" i="43" s="1"/>
  <c r="P249" i="43" s="1"/>
  <c r="Q249" i="43" s="1"/>
  <c r="S249" i="43" s="1"/>
  <c r="J347" i="43" l="1"/>
  <c r="J353" i="43"/>
  <c r="J352" i="43"/>
  <c r="J351" i="43"/>
  <c r="J350" i="43"/>
  <c r="P28" i="43"/>
  <c r="K344" i="43"/>
  <c r="T30" i="43"/>
  <c r="A31" i="43"/>
  <c r="A32" i="43" s="1"/>
  <c r="T32" i="43" s="1"/>
  <c r="A28" i="22"/>
  <c r="Q28" i="43" l="1"/>
  <c r="P344" i="43"/>
  <c r="T31" i="43"/>
  <c r="A33" i="43"/>
  <c r="T33" i="43" s="1"/>
  <c r="A29" i="22"/>
  <c r="S28" i="43" l="1"/>
  <c r="S344" i="43" s="1"/>
  <c r="Q344" i="43"/>
  <c r="A34" i="43"/>
  <c r="T34" i="43" s="1"/>
  <c r="A35" i="43"/>
  <c r="A36" i="43" s="1"/>
  <c r="A30" i="22"/>
  <c r="T35" i="43" l="1"/>
  <c r="T36" i="43"/>
  <c r="A37" i="43"/>
  <c r="A31" i="22"/>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56" i="22" s="1"/>
  <c r="A57" i="22" s="1"/>
  <c r="A58" i="22" s="1"/>
  <c r="A59" i="22" s="1"/>
  <c r="A60" i="22" s="1"/>
  <c r="A61" i="22" s="1"/>
  <c r="A62" i="22" s="1"/>
  <c r="A63" i="22" s="1"/>
  <c r="A64" i="22" s="1"/>
  <c r="A65" i="22" s="1"/>
  <c r="A66" i="22" s="1"/>
  <c r="A67" i="22" s="1"/>
  <c r="A68" i="22" s="1"/>
  <c r="A69" i="22" s="1"/>
  <c r="A70" i="22" s="1"/>
  <c r="A71" i="22" s="1"/>
  <c r="A72" i="22" s="1"/>
  <c r="A73" i="22" s="1"/>
  <c r="T37" i="43" l="1"/>
  <c r="A38" i="43"/>
  <c r="T38" i="43" l="1"/>
  <c r="A39" i="43"/>
  <c r="T39" i="43" l="1"/>
  <c r="A40" i="43"/>
  <c r="T40" i="43" l="1"/>
  <c r="A41" i="43"/>
  <c r="T41" i="43" l="1"/>
  <c r="A42" i="43"/>
  <c r="T42" i="43" l="1"/>
  <c r="A43" i="43"/>
  <c r="T43" i="43" l="1"/>
  <c r="A44" i="43"/>
  <c r="T44" i="43" l="1"/>
  <c r="A45" i="43"/>
  <c r="T45" i="43" l="1"/>
  <c r="A46" i="43"/>
  <c r="T46" i="43" l="1"/>
  <c r="A47" i="43"/>
  <c r="T47" i="43" l="1"/>
  <c r="A48" i="43"/>
  <c r="T48" i="43" l="1"/>
  <c r="A49" i="43"/>
  <c r="T49" i="43" l="1"/>
  <c r="A50" i="43"/>
  <c r="T50" i="43" l="1"/>
  <c r="A51" i="43"/>
  <c r="T51" i="43" l="1"/>
  <c r="A52" i="43"/>
  <c r="T52" i="43" l="1"/>
  <c r="A53" i="43"/>
  <c r="T53" i="43" l="1"/>
  <c r="A54" i="43"/>
  <c r="T54" i="43" l="1"/>
  <c r="A55" i="43"/>
  <c r="T55" i="43" l="1"/>
  <c r="A56" i="43"/>
  <c r="T56" i="43" l="1"/>
  <c r="A57" i="43"/>
  <c r="T57" i="43" l="1"/>
  <c r="A58" i="43"/>
  <c r="T58" i="43" l="1"/>
  <c r="A59" i="43"/>
  <c r="T59" i="43" l="1"/>
  <c r="A60" i="43"/>
  <c r="T60" i="43" l="1"/>
  <c r="A61" i="43"/>
  <c r="T61" i="43" l="1"/>
  <c r="A62" i="43"/>
  <c r="T62" i="43" l="1"/>
  <c r="A63" i="43"/>
  <c r="T63" i="43" l="1"/>
  <c r="A64" i="43"/>
  <c r="T64" i="43" l="1"/>
  <c r="A65" i="43"/>
  <c r="T65" i="43" l="1"/>
  <c r="A66" i="43"/>
  <c r="T66" i="43" l="1"/>
  <c r="A67" i="43"/>
  <c r="T67" i="43" l="1"/>
  <c r="A68" i="43"/>
  <c r="X69" i="22"/>
  <c r="S69" i="22"/>
  <c r="X65" i="22"/>
  <c r="S65" i="22"/>
  <c r="X54" i="22"/>
  <c r="S54" i="22"/>
  <c r="T54" i="22" s="1"/>
  <c r="T55" i="22"/>
  <c r="S55" i="22"/>
  <c r="X14" i="22"/>
  <c r="X15" i="22"/>
  <c r="X16" i="22"/>
  <c r="X17" i="22"/>
  <c r="X18" i="22"/>
  <c r="X19" i="22"/>
  <c r="X20" i="22"/>
  <c r="X21" i="22"/>
  <c r="X22" i="22"/>
  <c r="X23" i="22"/>
  <c r="X24" i="22"/>
  <c r="X25" i="22"/>
  <c r="X26" i="22"/>
  <c r="X27" i="22"/>
  <c r="X28" i="22"/>
  <c r="X29" i="22"/>
  <c r="X30" i="22"/>
  <c r="X31" i="22"/>
  <c r="X32" i="22"/>
  <c r="X33" i="22"/>
  <c r="X34" i="22"/>
  <c r="X35" i="22"/>
  <c r="X36" i="22"/>
  <c r="X37" i="22"/>
  <c r="X38" i="22"/>
  <c r="X39" i="22"/>
  <c r="X40" i="22"/>
  <c r="X41" i="22"/>
  <c r="X42" i="22"/>
  <c r="X43" i="22"/>
  <c r="X44" i="22"/>
  <c r="X45" i="22"/>
  <c r="X46" i="22"/>
  <c r="X47" i="22"/>
  <c r="X48" i="22"/>
  <c r="X49" i="22"/>
  <c r="X50" i="22"/>
  <c r="X51" i="22"/>
  <c r="X52" i="22"/>
  <c r="X53" i="22"/>
  <c r="X55" i="22"/>
  <c r="X56" i="22"/>
  <c r="X57" i="22"/>
  <c r="X58" i="22"/>
  <c r="X59" i="22"/>
  <c r="X60" i="22"/>
  <c r="X61" i="22"/>
  <c r="X62" i="22"/>
  <c r="X63" i="22"/>
  <c r="X64" i="22"/>
  <c r="X66" i="22"/>
  <c r="X67" i="22"/>
  <c r="X68" i="22"/>
  <c r="X70" i="22"/>
  <c r="X71" i="22"/>
  <c r="X73" i="22"/>
  <c r="X13" i="22"/>
  <c r="S14" i="22"/>
  <c r="S15" i="22"/>
  <c r="S16" i="22"/>
  <c r="S17" i="22"/>
  <c r="S18" i="22"/>
  <c r="S19" i="22"/>
  <c r="S20" i="22"/>
  <c r="S21" i="22"/>
  <c r="S22" i="22"/>
  <c r="S23" i="22"/>
  <c r="S24" i="22"/>
  <c r="S25" i="22"/>
  <c r="S26" i="22"/>
  <c r="S27" i="22"/>
  <c r="S28" i="22"/>
  <c r="S29" i="22"/>
  <c r="S30" i="22"/>
  <c r="S31" i="22"/>
  <c r="S32" i="22"/>
  <c r="S33" i="22"/>
  <c r="S34" i="22"/>
  <c r="S35" i="22"/>
  <c r="S36" i="22"/>
  <c r="S37" i="22"/>
  <c r="S38" i="22"/>
  <c r="S39" i="22"/>
  <c r="S40" i="22"/>
  <c r="S41" i="22"/>
  <c r="S42" i="22"/>
  <c r="S43" i="22"/>
  <c r="S44" i="22"/>
  <c r="S45" i="22"/>
  <c r="S46" i="22"/>
  <c r="S47" i="22"/>
  <c r="S48" i="22"/>
  <c r="S49" i="22"/>
  <c r="S50" i="22"/>
  <c r="S51" i="22"/>
  <c r="S52" i="22"/>
  <c r="S53" i="22"/>
  <c r="S56" i="22"/>
  <c r="S57" i="22"/>
  <c r="S58" i="22"/>
  <c r="S59" i="22"/>
  <c r="S60" i="22"/>
  <c r="S61" i="22"/>
  <c r="S62" i="22"/>
  <c r="S63" i="22"/>
  <c r="S64" i="22"/>
  <c r="S66" i="22"/>
  <c r="S67" i="22"/>
  <c r="S68" i="22"/>
  <c r="S70" i="22"/>
  <c r="S71" i="22"/>
  <c r="S73" i="22"/>
  <c r="S13" i="22"/>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13" i="6"/>
  <c r="S18" i="6"/>
  <c r="S19" i="6"/>
  <c r="S20" i="6"/>
  <c r="S21" i="6"/>
  <c r="S22" i="6"/>
  <c r="S23" i="6"/>
  <c r="S24" i="6"/>
  <c r="S25" i="6"/>
  <c r="S26" i="6"/>
  <c r="S27" i="6"/>
  <c r="S28" i="6"/>
  <c r="S29" i="6"/>
  <c r="S30" i="6"/>
  <c r="S31" i="6"/>
  <c r="S32" i="6"/>
  <c r="S33" i="6"/>
  <c r="S34" i="6"/>
  <c r="S35" i="6"/>
  <c r="S36" i="6"/>
  <c r="S37" i="6"/>
  <c r="S38" i="6"/>
  <c r="S39" i="6"/>
  <c r="S40" i="6"/>
  <c r="S41" i="6"/>
  <c r="S42" i="6"/>
  <c r="S43" i="6"/>
  <c r="S44" i="6"/>
  <c r="S45" i="6"/>
  <c r="S46" i="6"/>
  <c r="S47" i="6"/>
  <c r="S48" i="6"/>
  <c r="S49" i="6"/>
  <c r="S50" i="6"/>
  <c r="S51" i="6"/>
  <c r="S52" i="6"/>
  <c r="S53" i="6"/>
  <c r="S54" i="6"/>
  <c r="S55" i="6"/>
  <c r="S56" i="6"/>
  <c r="S57" i="6"/>
  <c r="S58" i="6"/>
  <c r="S59" i="6"/>
  <c r="S60" i="6"/>
  <c r="S61" i="6"/>
  <c r="S62" i="6"/>
  <c r="S63" i="6"/>
  <c r="S64" i="6"/>
  <c r="S65" i="6"/>
  <c r="S66" i="6"/>
  <c r="S67" i="6"/>
  <c r="S68" i="6"/>
  <c r="S69" i="6"/>
  <c r="S70" i="6"/>
  <c r="S71" i="6"/>
  <c r="S72" i="6"/>
  <c r="S73" i="6"/>
  <c r="S74" i="6"/>
  <c r="S75" i="6"/>
  <c r="S76" i="6"/>
  <c r="S77" i="6"/>
  <c r="S78" i="6"/>
  <c r="S79" i="6"/>
  <c r="S80" i="6"/>
  <c r="S81" i="6"/>
  <c r="S82" i="6"/>
  <c r="S83" i="6"/>
  <c r="S84" i="6"/>
  <c r="S85" i="6"/>
  <c r="S86" i="6"/>
  <c r="S87" i="6"/>
  <c r="S88" i="6"/>
  <c r="S89" i="6"/>
  <c r="S90" i="6"/>
  <c r="S91" i="6"/>
  <c r="S92" i="6"/>
  <c r="S93" i="6"/>
  <c r="S94" i="6"/>
  <c r="S95" i="6"/>
  <c r="S96" i="6"/>
  <c r="S97" i="6"/>
  <c r="S98" i="6"/>
  <c r="S99" i="6"/>
  <c r="S100" i="6"/>
  <c r="S101" i="6"/>
  <c r="S102" i="6"/>
  <c r="S103" i="6"/>
  <c r="S104" i="6"/>
  <c r="S105" i="6"/>
  <c r="S106" i="6"/>
  <c r="S107" i="6"/>
  <c r="S108" i="6"/>
  <c r="S109" i="6"/>
  <c r="S110" i="6"/>
  <c r="S111" i="6"/>
  <c r="S112" i="6"/>
  <c r="S113" i="6"/>
  <c r="S114" i="6"/>
  <c r="S115" i="6"/>
  <c r="S116" i="6"/>
  <c r="S117" i="6"/>
  <c r="S118" i="6"/>
  <c r="S119" i="6"/>
  <c r="S120" i="6"/>
  <c r="S121" i="6"/>
  <c r="S122" i="6"/>
  <c r="S123" i="6"/>
  <c r="S124" i="6"/>
  <c r="S125" i="6"/>
  <c r="S126" i="6"/>
  <c r="S127" i="6"/>
  <c r="S128" i="6"/>
  <c r="S129" i="6"/>
  <c r="S130" i="6"/>
  <c r="S131" i="6"/>
  <c r="S132" i="6"/>
  <c r="S133" i="6"/>
  <c r="S134" i="6"/>
  <c r="S135" i="6"/>
  <c r="S136" i="6"/>
  <c r="S137" i="6"/>
  <c r="S138" i="6"/>
  <c r="S139" i="6"/>
  <c r="S140" i="6"/>
  <c r="S141" i="6"/>
  <c r="S142" i="6"/>
  <c r="S143" i="6"/>
  <c r="S144" i="6"/>
  <c r="S145" i="6"/>
  <c r="S146" i="6"/>
  <c r="S147" i="6"/>
  <c r="S148" i="6"/>
  <c r="S149" i="6"/>
  <c r="S150" i="6"/>
  <c r="S151" i="6"/>
  <c r="S152" i="6"/>
  <c r="S153" i="6"/>
  <c r="S154" i="6"/>
  <c r="S155" i="6"/>
  <c r="S157" i="6"/>
  <c r="S158" i="6"/>
  <c r="S159" i="6"/>
  <c r="S160" i="6"/>
  <c r="S161" i="6"/>
  <c r="S162" i="6"/>
  <c r="S163" i="6"/>
  <c r="S164" i="6"/>
  <c r="S165" i="6"/>
  <c r="S166" i="6"/>
  <c r="S167" i="6"/>
  <c r="S168" i="6"/>
  <c r="S169" i="6"/>
  <c r="S170" i="6"/>
  <c r="S171" i="6"/>
  <c r="S172" i="6"/>
  <c r="S173" i="6"/>
  <c r="S174" i="6"/>
  <c r="S175" i="6"/>
  <c r="S176" i="6"/>
  <c r="S177" i="6"/>
  <c r="S178" i="6"/>
  <c r="S179" i="6"/>
  <c r="S180" i="6"/>
  <c r="S181" i="6"/>
  <c r="S182" i="6"/>
  <c r="S183" i="6"/>
  <c r="S184" i="6"/>
  <c r="S185" i="6"/>
  <c r="S186" i="6"/>
  <c r="S187" i="6"/>
  <c r="S188" i="6"/>
  <c r="S189" i="6"/>
  <c r="S190" i="6"/>
  <c r="S191" i="6"/>
  <c r="S192" i="6"/>
  <c r="S193" i="6"/>
  <c r="S194" i="6"/>
  <c r="S195" i="6"/>
  <c r="S196" i="6"/>
  <c r="S197" i="6"/>
  <c r="S198" i="6"/>
  <c r="S199" i="6"/>
  <c r="S200" i="6"/>
  <c r="S201" i="6"/>
  <c r="S202" i="6"/>
  <c r="S203" i="6"/>
  <c r="S204" i="6"/>
  <c r="S205" i="6"/>
  <c r="S206" i="6"/>
  <c r="S207" i="6"/>
  <c r="S208" i="6"/>
  <c r="S209" i="6"/>
  <c r="S210" i="6"/>
  <c r="S211" i="6"/>
  <c r="S212" i="6"/>
  <c r="S213" i="6"/>
  <c r="S214" i="6"/>
  <c r="S215" i="6"/>
  <c r="S216" i="6"/>
  <c r="S217" i="6"/>
  <c r="S218" i="6"/>
  <c r="S219" i="6"/>
  <c r="S220" i="6"/>
  <c r="S222" i="6"/>
  <c r="S223" i="6"/>
  <c r="S224" i="6"/>
  <c r="S225" i="6"/>
  <c r="S226" i="6"/>
  <c r="S227" i="6"/>
  <c r="S228" i="6"/>
  <c r="S229" i="6"/>
  <c r="S230" i="6"/>
  <c r="S231" i="6"/>
  <c r="S232" i="6"/>
  <c r="S233" i="6"/>
  <c r="S234" i="6"/>
  <c r="S235" i="6"/>
  <c r="S237" i="6"/>
  <c r="S238" i="6"/>
  <c r="S239" i="6"/>
  <c r="S240" i="6"/>
  <c r="S241" i="6"/>
  <c r="S242" i="6"/>
  <c r="S243" i="6"/>
  <c r="S244" i="6"/>
  <c r="S245" i="6"/>
  <c r="S246" i="6"/>
  <c r="S247" i="6"/>
  <c r="S248" i="6"/>
  <c r="S249" i="6"/>
  <c r="S250" i="6"/>
  <c r="S251" i="6"/>
  <c r="S252" i="6"/>
  <c r="S253" i="6"/>
  <c r="S254" i="6"/>
  <c r="S255" i="6"/>
  <c r="S256" i="6"/>
  <c r="S257" i="6"/>
  <c r="S258" i="6"/>
  <c r="S259" i="6"/>
  <c r="S260" i="6"/>
  <c r="S261" i="6"/>
  <c r="S262" i="6"/>
  <c r="S263" i="6"/>
  <c r="S264" i="6"/>
  <c r="S265" i="6"/>
  <c r="S266" i="6"/>
  <c r="S267" i="6"/>
  <c r="S268" i="6"/>
  <c r="S269" i="6"/>
  <c r="S270" i="6"/>
  <c r="S14" i="6"/>
  <c r="S15" i="6"/>
  <c r="S16" i="6"/>
  <c r="S17" i="6"/>
  <c r="S13" i="6"/>
  <c r="T68" i="43" l="1"/>
  <c r="A69" i="43"/>
  <c r="M54" i="22"/>
  <c r="J140" i="6"/>
  <c r="J53" i="6"/>
  <c r="J42" i="6"/>
  <c r="J56" i="6"/>
  <c r="M65" i="22"/>
  <c r="J79" i="6"/>
  <c r="J139" i="6"/>
  <c r="J118" i="6"/>
  <c r="M72" i="22"/>
  <c r="M70" i="22"/>
  <c r="M27" i="22"/>
  <c r="M55" i="22"/>
  <c r="J40" i="6"/>
  <c r="T69" i="43" l="1"/>
  <c r="A70" i="43"/>
  <c r="M71" i="22"/>
  <c r="J120" i="6"/>
  <c r="J145" i="6"/>
  <c r="J114" i="6"/>
  <c r="J122" i="6"/>
  <c r="J166" i="6"/>
  <c r="M23" i="22"/>
  <c r="J70" i="6"/>
  <c r="J130" i="6"/>
  <c r="J165" i="6"/>
  <c r="J131" i="6"/>
  <c r="M66" i="22"/>
  <c r="J138" i="6"/>
  <c r="J151" i="6"/>
  <c r="J230" i="6"/>
  <c r="M24" i="22"/>
  <c r="J33" i="6"/>
  <c r="J30" i="6"/>
  <c r="J110" i="6"/>
  <c r="J126" i="6"/>
  <c r="J187" i="6"/>
  <c r="J43" i="6"/>
  <c r="J150" i="6"/>
  <c r="J147" i="6"/>
  <c r="J18" i="6"/>
  <c r="J155" i="6"/>
  <c r="J61" i="6"/>
  <c r="M33" i="22"/>
  <c r="J46" i="6"/>
  <c r="J117" i="6"/>
  <c r="J192" i="6"/>
  <c r="J124" i="6"/>
  <c r="J135" i="6"/>
  <c r="M25" i="22"/>
  <c r="M20" i="22"/>
  <c r="J31" i="6"/>
  <c r="M36" i="22"/>
  <c r="M19" i="22"/>
  <c r="M37" i="22"/>
  <c r="M22" i="22"/>
  <c r="J54" i="6"/>
  <c r="J157" i="6"/>
  <c r="J80" i="6"/>
  <c r="J97" i="6"/>
  <c r="M21" i="22"/>
  <c r="M43" i="22"/>
  <c r="M40" i="22"/>
  <c r="J154" i="6"/>
  <c r="M50" i="22"/>
  <c r="M69" i="22"/>
  <c r="J81" i="6"/>
  <c r="J77" i="6"/>
  <c r="J78" i="6"/>
  <c r="J82" i="6"/>
  <c r="J91" i="6"/>
  <c r="J86" i="6"/>
  <c r="J93" i="6"/>
  <c r="J87" i="6"/>
  <c r="J83" i="6"/>
  <c r="J270" i="6"/>
  <c r="J267" i="6"/>
  <c r="J266" i="6"/>
  <c r="J269" i="6"/>
  <c r="J103" i="6"/>
  <c r="J106" i="6"/>
  <c r="J99" i="6"/>
  <c r="J231" i="6"/>
  <c r="J217" i="6"/>
  <c r="J219" i="6"/>
  <c r="J218" i="6"/>
  <c r="J225" i="6"/>
  <c r="J236" i="6"/>
  <c r="J238" i="6"/>
  <c r="J160" i="6"/>
  <c r="J167" i="6"/>
  <c r="J169" i="6"/>
  <c r="J159" i="6"/>
  <c r="J162" i="6"/>
  <c r="J172" i="6"/>
  <c r="J163" i="6"/>
  <c r="J175" i="6"/>
  <c r="J173" i="6"/>
  <c r="J176" i="6"/>
  <c r="J177" i="6"/>
  <c r="J164" i="6"/>
  <c r="J184" i="6"/>
  <c r="J185" i="6"/>
  <c r="J195" i="6"/>
  <c r="J199" i="6"/>
  <c r="J149" i="6"/>
  <c r="J156" i="6"/>
  <c r="J142" i="6"/>
  <c r="J109" i="6"/>
  <c r="J132" i="6"/>
  <c r="J123" i="6"/>
  <c r="M28" i="22"/>
  <c r="M35" i="22"/>
  <c r="M31" i="22"/>
  <c r="M53" i="22"/>
  <c r="M39" i="22"/>
  <c r="M56" i="22"/>
  <c r="J72" i="6"/>
  <c r="J67" i="6"/>
  <c r="M57" i="22"/>
  <c r="M46" i="22"/>
  <c r="M58" i="22"/>
  <c r="M48" i="22"/>
  <c r="M16" i="22"/>
  <c r="M15" i="22"/>
  <c r="M17" i="22"/>
  <c r="M13" i="22"/>
  <c r="M14" i="22"/>
  <c r="J22" i="6"/>
  <c r="M64" i="22"/>
  <c r="J58" i="6"/>
  <c r="M51" i="22"/>
  <c r="M52" i="22"/>
  <c r="J38" i="6"/>
  <c r="J39" i="6"/>
  <c r="J14" i="6"/>
  <c r="J15" i="6"/>
  <c r="J13" i="6"/>
  <c r="T70" i="43" l="1"/>
  <c r="A71" i="43"/>
  <c r="M29" i="22"/>
  <c r="J161" i="6"/>
  <c r="J37" i="6"/>
  <c r="J50" i="6"/>
  <c r="J119" i="6"/>
  <c r="J158" i="6"/>
  <c r="M47" i="22"/>
  <c r="M32" i="22"/>
  <c r="J51" i="6"/>
  <c r="M41" i="22"/>
  <c r="J255" i="6"/>
  <c r="J69" i="6"/>
  <c r="J246" i="6"/>
  <c r="J66" i="6"/>
  <c r="J28" i="6"/>
  <c r="J216" i="6"/>
  <c r="M45" i="22"/>
  <c r="J144" i="6"/>
  <c r="J75" i="6"/>
  <c r="J44" i="6"/>
  <c r="J95" i="6"/>
  <c r="J181" i="6"/>
  <c r="J170" i="6"/>
  <c r="J208" i="6"/>
  <c r="J23" i="6"/>
  <c r="J250" i="6"/>
  <c r="J76" i="6"/>
  <c r="J220" i="6"/>
  <c r="J25" i="6"/>
  <c r="J191" i="6"/>
  <c r="J45" i="6"/>
  <c r="J90" i="6"/>
  <c r="J234" i="6"/>
  <c r="M26" i="22"/>
  <c r="J94" i="6"/>
  <c r="J182" i="6"/>
  <c r="J227" i="6"/>
  <c r="M18" i="22"/>
  <c r="J168" i="6"/>
  <c r="J133" i="6"/>
  <c r="J190" i="6"/>
  <c r="J179" i="6"/>
  <c r="J26" i="6"/>
  <c r="J188" i="6"/>
  <c r="J19" i="6"/>
  <c r="J171" i="6"/>
  <c r="J137" i="6"/>
  <c r="J107" i="6"/>
  <c r="J198" i="6"/>
  <c r="J20" i="6"/>
  <c r="J71" i="6"/>
  <c r="J57" i="6"/>
  <c r="J189" i="6"/>
  <c r="J52" i="6"/>
  <c r="J55" i="6"/>
  <c r="J121" i="6"/>
  <c r="M73" i="22"/>
  <c r="J34" i="6"/>
  <c r="J63" i="6"/>
  <c r="M61" i="22"/>
  <c r="J29" i="6"/>
  <c r="J65" i="6"/>
  <c r="M59" i="22"/>
  <c r="J49" i="6"/>
  <c r="J32" i="6"/>
  <c r="M34" i="22"/>
  <c r="J146" i="6"/>
  <c r="J64" i="6"/>
  <c r="M63" i="22"/>
  <c r="M60" i="22"/>
  <c r="J108" i="6"/>
  <c r="J59" i="6"/>
  <c r="J60" i="6"/>
  <c r="M62" i="22"/>
  <c r="J17" i="6"/>
  <c r="J143" i="6"/>
  <c r="J196" i="6"/>
  <c r="J215" i="6"/>
  <c r="J210" i="6"/>
  <c r="J222" i="6"/>
  <c r="J36" i="6"/>
  <c r="J197" i="6"/>
  <c r="J241" i="6"/>
  <c r="J245" i="6"/>
  <c r="J248" i="6"/>
  <c r="J252" i="6"/>
  <c r="J256" i="6"/>
  <c r="J260" i="6"/>
  <c r="J235" i="6"/>
  <c r="J212" i="6"/>
  <c r="J224" i="6"/>
  <c r="J226" i="6"/>
  <c r="J111" i="6"/>
  <c r="J193" i="6"/>
  <c r="J180" i="6"/>
  <c r="J186" i="6"/>
  <c r="J229" i="6"/>
  <c r="J268" i="6"/>
  <c r="J141" i="6"/>
  <c r="J194" i="6"/>
  <c r="J207" i="6"/>
  <c r="J209" i="6"/>
  <c r="J233" i="6"/>
  <c r="J242" i="6"/>
  <c r="J249" i="6"/>
  <c r="J253" i="6"/>
  <c r="J257" i="6"/>
  <c r="M67" i="22"/>
  <c r="J221" i="6"/>
  <c r="J228" i="6"/>
  <c r="J214" i="6"/>
  <c r="J211" i="6"/>
  <c r="J232" i="6"/>
  <c r="J223" i="6"/>
  <c r="J84" i="6"/>
  <c r="J243" i="6"/>
  <c r="J240" i="6"/>
  <c r="J254" i="6"/>
  <c r="J258" i="6"/>
  <c r="J100" i="6"/>
  <c r="J265" i="6"/>
  <c r="J244" i="6"/>
  <c r="J247" i="6"/>
  <c r="J251" i="6"/>
  <c r="J259" i="6"/>
  <c r="J102" i="6"/>
  <c r="J262" i="6"/>
  <c r="J88" i="6"/>
  <c r="M49" i="22"/>
  <c r="J98" i="6"/>
  <c r="J96" i="6"/>
  <c r="M30" i="22"/>
  <c r="J85" i="6"/>
  <c r="T71" i="43" l="1"/>
  <c r="A72" i="43"/>
  <c r="J113" i="6"/>
  <c r="J127" i="6"/>
  <c r="J125" i="6"/>
  <c r="J116" i="6"/>
  <c r="J115" i="6"/>
  <c r="J48" i="6"/>
  <c r="J264" i="6"/>
  <c r="J24" i="6"/>
  <c r="J21" i="6"/>
  <c r="J74" i="6"/>
  <c r="J92" i="6"/>
  <c r="J263" i="6"/>
  <c r="M68" i="22"/>
  <c r="J104" i="6"/>
  <c r="J202" i="6"/>
  <c r="J239" i="6"/>
  <c r="J134" i="6"/>
  <c r="J129" i="6"/>
  <c r="J174" i="6"/>
  <c r="J206" i="6"/>
  <c r="J183" i="6"/>
  <c r="J148" i="6"/>
  <c r="J205" i="6"/>
  <c r="J200" i="6"/>
  <c r="J136" i="6"/>
  <c r="M44" i="22"/>
  <c r="J47" i="6"/>
  <c r="J35" i="6"/>
  <c r="J213" i="6"/>
  <c r="J178" i="6"/>
  <c r="J73" i="6"/>
  <c r="J16" i="6"/>
  <c r="J68" i="6"/>
  <c r="J261" i="6"/>
  <c r="J153" i="6"/>
  <c r="J128" i="6"/>
  <c r="M38" i="22"/>
  <c r="J27" i="6"/>
  <c r="J203" i="6"/>
  <c r="J89" i="6"/>
  <c r="J105" i="6"/>
  <c r="J201" i="6"/>
  <c r="J101" i="6"/>
  <c r="J204" i="6"/>
  <c r="J112" i="6"/>
  <c r="M42" i="22"/>
  <c r="J41" i="6"/>
  <c r="J62" i="6"/>
  <c r="T72" i="43" l="1"/>
  <c r="A73" i="43"/>
  <c r="J152" i="6"/>
  <c r="J237" i="6"/>
  <c r="T73" i="43" l="1"/>
  <c r="A74" i="43"/>
  <c r="T55" i="6"/>
  <c r="N55" i="6"/>
  <c r="K55" i="6"/>
  <c r="H55" i="6"/>
  <c r="T74" i="43" l="1"/>
  <c r="A75" i="43"/>
  <c r="P55" i="6"/>
  <c r="T75" i="43" l="1"/>
  <c r="A76" i="43"/>
  <c r="T76" i="43" l="1"/>
  <c r="A77" i="43"/>
  <c r="T77" i="43" l="1"/>
  <c r="A78" i="43"/>
  <c r="T78" i="43" l="1"/>
  <c r="A79" i="43"/>
  <c r="T79" i="43" l="1"/>
  <c r="A80" i="43"/>
  <c r="T80" i="43" l="1"/>
  <c r="A81" i="43"/>
  <c r="T81" i="43" l="1"/>
  <c r="A82" i="43"/>
  <c r="T82" i="43" l="1"/>
  <c r="A83" i="43"/>
  <c r="T83" i="43" l="1"/>
  <c r="A84" i="43"/>
  <c r="T84" i="43" l="1"/>
  <c r="A85" i="43"/>
  <c r="T85" i="43" l="1"/>
  <c r="A86" i="43"/>
  <c r="T86" i="43" l="1"/>
  <c r="A87" i="43"/>
  <c r="T87" i="43" l="1"/>
  <c r="A88" i="43"/>
  <c r="T88" i="43" l="1"/>
  <c r="A89" i="43"/>
  <c r="T89" i="43" l="1"/>
  <c r="A90" i="43"/>
  <c r="T90" i="43" l="1"/>
  <c r="A91" i="43"/>
  <c r="T91" i="43" l="1"/>
  <c r="A92" i="43"/>
  <c r="T92" i="43" l="1"/>
  <c r="A93" i="43"/>
  <c r="T93" i="43" l="1"/>
  <c r="A94" i="43"/>
  <c r="T94" i="43" l="1"/>
  <c r="A95" i="43"/>
  <c r="T95" i="43" l="1"/>
  <c r="A96" i="43"/>
  <c r="T96" i="43" l="1"/>
  <c r="A97" i="43"/>
  <c r="T97" i="43" l="1"/>
  <c r="A98" i="43"/>
  <c r="T98" i="43" l="1"/>
  <c r="A99" i="43"/>
  <c r="T99" i="43" l="1"/>
  <c r="A100" i="43"/>
  <c r="T100" i="43" l="1"/>
  <c r="A101" i="43"/>
  <c r="T101" i="43" l="1"/>
  <c r="A102" i="43"/>
  <c r="T102" i="43" l="1"/>
  <c r="A103" i="43"/>
  <c r="T103" i="43" l="1"/>
  <c r="A104" i="43"/>
  <c r="T104" i="43" l="1"/>
  <c r="A105" i="43"/>
  <c r="T105" i="43" l="1"/>
  <c r="A106" i="43"/>
  <c r="T106" i="43" l="1"/>
  <c r="A107" i="43"/>
  <c r="T107" i="43" l="1"/>
  <c r="A108" i="43"/>
  <c r="T108" i="43" l="1"/>
  <c r="A109" i="43"/>
  <c r="T109" i="43" l="1"/>
  <c r="A110" i="43"/>
  <c r="T110" i="43" l="1"/>
  <c r="A111" i="43"/>
  <c r="T111" i="43" l="1"/>
  <c r="A112" i="43"/>
  <c r="T112" i="43" l="1"/>
  <c r="A113" i="43"/>
  <c r="T113" i="43" l="1"/>
  <c r="A114" i="43"/>
  <c r="T114" i="43" l="1"/>
  <c r="A115" i="43"/>
  <c r="T115" i="43" l="1"/>
  <c r="A116" i="43"/>
  <c r="T116" i="43" l="1"/>
  <c r="A117" i="43"/>
  <c r="T117" i="43" l="1"/>
  <c r="A118" i="43"/>
  <c r="T118" i="43" l="1"/>
  <c r="A119" i="43"/>
  <c r="T119" i="43" l="1"/>
  <c r="A120" i="43"/>
  <c r="T120" i="43" l="1"/>
  <c r="A121" i="43"/>
  <c r="T121" i="43" l="1"/>
  <c r="A122" i="43"/>
  <c r="T122" i="43" l="1"/>
  <c r="A123" i="43"/>
  <c r="T123" i="43" l="1"/>
  <c r="A124" i="43"/>
  <c r="T124" i="43" l="1"/>
  <c r="A125" i="43"/>
  <c r="T125" i="43" l="1"/>
  <c r="A126" i="43"/>
  <c r="T126" i="43" l="1"/>
  <c r="A127" i="43"/>
  <c r="T127" i="43" l="1"/>
  <c r="A128" i="43"/>
  <c r="T128" i="43" l="1"/>
  <c r="A129" i="43"/>
  <c r="T129" i="43" l="1"/>
  <c r="A130" i="43"/>
  <c r="T130" i="43" l="1"/>
  <c r="A131" i="43"/>
  <c r="T131" i="43" l="1"/>
  <c r="A132" i="43"/>
  <c r="T132" i="43" l="1"/>
  <c r="A133" i="43"/>
  <c r="T133" i="43" l="1"/>
  <c r="A134" i="43"/>
  <c r="T134" i="43" l="1"/>
  <c r="A135" i="43"/>
  <c r="T135" i="43" l="1"/>
  <c r="A136" i="43"/>
  <c r="T136" i="43" l="1"/>
  <c r="A137" i="43"/>
  <c r="T137" i="43" l="1"/>
  <c r="A138" i="43"/>
  <c r="T138" i="43" l="1"/>
  <c r="A139" i="43"/>
  <c r="T139" i="43" l="1"/>
  <c r="A140" i="43"/>
  <c r="T140" i="43" l="1"/>
  <c r="A141" i="43"/>
  <c r="T141" i="43" l="1"/>
  <c r="A142" i="43"/>
  <c r="T142" i="43" l="1"/>
  <c r="A143" i="43"/>
  <c r="T143" i="43" l="1"/>
  <c r="A144" i="43"/>
  <c r="T144" i="43" l="1"/>
  <c r="A145" i="43"/>
  <c r="T145" i="43" l="1"/>
  <c r="A146" i="43"/>
  <c r="T146" i="43" l="1"/>
  <c r="A147" i="43"/>
  <c r="T147" i="43" l="1"/>
  <c r="A148" i="43"/>
  <c r="T148" i="43" l="1"/>
  <c r="A149" i="43"/>
  <c r="T149" i="43" l="1"/>
  <c r="A150" i="43"/>
  <c r="T150" i="43" l="1"/>
  <c r="A151" i="43"/>
  <c r="T151" i="43" l="1"/>
  <c r="A152" i="43"/>
  <c r="T152" i="43" l="1"/>
  <c r="A153" i="43"/>
  <c r="T153" i="43" l="1"/>
  <c r="A154" i="43"/>
  <c r="T154" i="43" l="1"/>
  <c r="A155" i="43"/>
  <c r="T155" i="43" l="1"/>
  <c r="A156" i="43"/>
  <c r="T156" i="43" l="1"/>
  <c r="A157" i="43"/>
  <c r="T157" i="43" l="1"/>
  <c r="A158" i="43"/>
  <c r="T158" i="43" l="1"/>
  <c r="A159" i="43"/>
  <c r="T159" i="43" l="1"/>
  <c r="A160" i="43"/>
  <c r="T160" i="43" l="1"/>
  <c r="A161" i="43"/>
  <c r="T161" i="43" l="1"/>
  <c r="A162" i="43"/>
  <c r="T162" i="43" l="1"/>
  <c r="A163" i="43"/>
  <c r="T163" i="43" l="1"/>
  <c r="A164" i="43"/>
  <c r="T164" i="43" l="1"/>
  <c r="A165" i="43"/>
  <c r="T165" i="43" l="1"/>
  <c r="A166" i="43"/>
  <c r="T166" i="43" l="1"/>
  <c r="A167" i="43"/>
  <c r="T167" i="43" l="1"/>
  <c r="A168" i="43"/>
  <c r="T168" i="43" l="1"/>
  <c r="A169" i="43"/>
  <c r="T169" i="43" l="1"/>
  <c r="A170" i="43"/>
  <c r="T170" i="43" l="1"/>
  <c r="A171" i="43"/>
  <c r="T171" i="43" l="1"/>
  <c r="A172" i="43"/>
  <c r="T172" i="43" l="1"/>
  <c r="A173" i="43"/>
  <c r="T173" i="43" l="1"/>
  <c r="A174" i="43"/>
  <c r="T174" i="43" l="1"/>
  <c r="A175" i="43"/>
  <c r="T175" i="43" l="1"/>
  <c r="A176" i="43"/>
  <c r="T176" i="43" l="1"/>
  <c r="A177" i="43"/>
  <c r="T177" i="43" l="1"/>
  <c r="A178" i="43"/>
  <c r="T178" i="43" l="1"/>
  <c r="A179" i="43"/>
  <c r="T179" i="43" l="1"/>
  <c r="A180" i="43"/>
  <c r="T180" i="43" l="1"/>
  <c r="A181" i="43"/>
  <c r="T181" i="43" l="1"/>
  <c r="A182" i="43"/>
  <c r="T182" i="43" l="1"/>
  <c r="A183" i="43"/>
  <c r="T183" i="43" l="1"/>
  <c r="A184" i="43"/>
  <c r="T184" i="43" l="1"/>
  <c r="A185" i="43"/>
  <c r="T185" i="43" l="1"/>
  <c r="A186" i="43"/>
  <c r="T186" i="43" l="1"/>
  <c r="A187" i="43"/>
  <c r="T187" i="43" l="1"/>
  <c r="A188" i="43"/>
  <c r="T188" i="43" l="1"/>
  <c r="A189" i="43"/>
  <c r="T189" i="43" l="1"/>
  <c r="A190" i="43"/>
  <c r="T190" i="43" l="1"/>
  <c r="A191" i="43"/>
  <c r="T191" i="43" l="1"/>
  <c r="A192" i="43"/>
  <c r="T192" i="43" l="1"/>
  <c r="A193" i="43"/>
  <c r="T193" i="43" l="1"/>
  <c r="A194" i="43"/>
  <c r="T194" i="43" l="1"/>
  <c r="A195" i="43"/>
  <c r="T195" i="43" l="1"/>
  <c r="A196" i="43"/>
  <c r="T196" i="43" l="1"/>
  <c r="A197" i="43"/>
  <c r="T197" i="43" l="1"/>
  <c r="A198" i="43"/>
  <c r="T198" i="43" l="1"/>
  <c r="A199" i="43"/>
  <c r="T199" i="43" l="1"/>
  <c r="A200" i="43"/>
  <c r="T200" i="43" l="1"/>
  <c r="A201" i="43"/>
  <c r="T201" i="43" l="1"/>
  <c r="A202" i="43"/>
  <c r="T202" i="43" l="1"/>
  <c r="A203" i="43"/>
  <c r="T203" i="43" l="1"/>
  <c r="A204" i="43"/>
  <c r="T204" i="43" l="1"/>
  <c r="A205" i="43"/>
  <c r="T205" i="43" l="1"/>
  <c r="A206" i="43"/>
  <c r="T206" i="43" l="1"/>
  <c r="A207" i="43"/>
  <c r="T207" i="43" l="1"/>
  <c r="A208" i="43"/>
  <c r="T208" i="43" l="1"/>
  <c r="A209" i="43"/>
  <c r="T209" i="43" l="1"/>
  <c r="A210" i="43"/>
  <c r="T210" i="43" l="1"/>
  <c r="A211" i="43"/>
  <c r="T211" i="43" l="1"/>
  <c r="A212" i="43"/>
  <c r="T212" i="43" l="1"/>
  <c r="A213" i="43"/>
  <c r="T213" i="43" l="1"/>
  <c r="A214" i="43"/>
  <c r="T214" i="43" l="1"/>
  <c r="A215" i="43"/>
  <c r="T215" i="43" l="1"/>
  <c r="A216" i="43"/>
  <c r="T216" i="43" l="1"/>
  <c r="A217" i="43"/>
  <c r="T217" i="43" l="1"/>
  <c r="A218" i="43"/>
  <c r="T218" i="43" l="1"/>
  <c r="A219" i="43"/>
  <c r="T219" i="43" l="1"/>
  <c r="A220" i="43"/>
  <c r="T220" i="43" l="1"/>
  <c r="A221" i="43"/>
  <c r="T221" i="43" l="1"/>
  <c r="A222" i="43"/>
  <c r="T222" i="43" l="1"/>
  <c r="A223" i="43"/>
  <c r="T223" i="43" l="1"/>
  <c r="A224" i="43"/>
  <c r="T224" i="43" l="1"/>
  <c r="A225" i="43"/>
  <c r="T225" i="43" l="1"/>
  <c r="A226" i="43"/>
  <c r="T226" i="43" l="1"/>
  <c r="A227" i="43"/>
  <c r="T227" i="43" l="1"/>
  <c r="A228" i="43"/>
  <c r="T228" i="43" l="1"/>
  <c r="A229" i="43"/>
  <c r="T229" i="43" l="1"/>
  <c r="A230" i="43"/>
  <c r="T230" i="43" l="1"/>
  <c r="A231" i="43"/>
  <c r="T231" i="43" l="1"/>
  <c r="A232" i="43"/>
  <c r="T232" i="43" l="1"/>
  <c r="A233" i="43"/>
  <c r="T233" i="43" l="1"/>
  <c r="A234" i="43"/>
  <c r="T234" i="43" l="1"/>
  <c r="A235" i="43"/>
  <c r="T235" i="43" l="1"/>
  <c r="A236" i="43"/>
  <c r="T236" i="43" l="1"/>
  <c r="A237" i="43"/>
  <c r="T237" i="43" l="1"/>
  <c r="A238" i="43"/>
  <c r="T238" i="43" l="1"/>
  <c r="A239" i="43"/>
  <c r="T239" i="43" l="1"/>
  <c r="A240" i="43"/>
  <c r="T240" i="43" l="1"/>
  <c r="A241" i="43"/>
  <c r="T241" i="43" l="1"/>
  <c r="A242" i="43"/>
  <c r="T242" i="43" l="1"/>
  <c r="A243" i="43"/>
  <c r="T243" i="43" l="1"/>
  <c r="A244" i="43"/>
  <c r="T244" i="43" l="1"/>
  <c r="A245" i="43"/>
  <c r="T245" i="43" l="1"/>
  <c r="A246" i="43"/>
  <c r="T246" i="43" l="1"/>
  <c r="A247" i="43"/>
  <c r="T247" i="43" l="1"/>
  <c r="A248" i="43"/>
  <c r="T248" i="43" l="1"/>
  <c r="A249" i="43"/>
  <c r="T249" i="43" l="1"/>
  <c r="A250" i="43"/>
  <c r="T250" i="43" l="1"/>
  <c r="A251" i="43"/>
  <c r="T251" i="43" l="1"/>
  <c r="A252" i="43"/>
  <c r="T252" i="43" l="1"/>
  <c r="A253" i="43"/>
  <c r="T253" i="43" l="1"/>
  <c r="A254" i="43"/>
  <c r="T254" i="43" l="1"/>
  <c r="A255" i="43"/>
  <c r="T255" i="43" l="1"/>
  <c r="A256" i="43"/>
  <c r="T256" i="43" l="1"/>
  <c r="A257" i="43"/>
  <c r="T257" i="43" l="1"/>
  <c r="A258" i="43"/>
  <c r="T258" i="43" l="1"/>
  <c r="A259" i="43"/>
  <c r="T259" i="43" l="1"/>
  <c r="A260" i="43"/>
  <c r="T260" i="43" l="1"/>
  <c r="A261" i="43"/>
  <c r="T261" i="43" l="1"/>
  <c r="A262" i="43"/>
  <c r="T262" i="43" l="1"/>
  <c r="A263" i="43"/>
  <c r="T263" i="43" l="1"/>
  <c r="A264" i="43"/>
  <c r="T264" i="43" l="1"/>
  <c r="A265" i="43"/>
  <c r="T265" i="43" l="1"/>
  <c r="A266" i="43"/>
  <c r="T266" i="43" l="1"/>
  <c r="A267" i="43"/>
  <c r="T267" i="43" l="1"/>
  <c r="A268" i="43"/>
  <c r="T268" i="43" l="1"/>
  <c r="A269" i="43"/>
  <c r="T269" i="43" l="1"/>
  <c r="A270" i="43"/>
  <c r="T270" i="43" l="1"/>
  <c r="A271" i="43"/>
  <c r="T271" i="43" l="1"/>
  <c r="A272" i="43"/>
  <c r="T272" i="43" l="1"/>
  <c r="A273" i="43"/>
  <c r="T273" i="43" l="1"/>
  <c r="A274" i="43"/>
  <c r="T274" i="43" l="1"/>
  <c r="A275" i="43"/>
  <c r="T275" i="43" l="1"/>
  <c r="A276" i="43"/>
  <c r="T276" i="43" l="1"/>
  <c r="A277" i="43"/>
  <c r="T277" i="43" l="1"/>
  <c r="A278" i="43"/>
  <c r="T278" i="43" l="1"/>
  <c r="A279" i="43"/>
  <c r="T279" i="43" l="1"/>
  <c r="A280" i="43"/>
  <c r="T280" i="43" l="1"/>
  <c r="A281" i="43"/>
  <c r="T281" i="43" l="1"/>
  <c r="A282" i="43"/>
  <c r="T282" i="43" l="1"/>
  <c r="A283" i="43"/>
  <c r="A284" i="43" l="1"/>
  <c r="T283" i="43"/>
  <c r="T284" i="43" l="1"/>
  <c r="A285" i="43"/>
  <c r="T285" i="43" l="1"/>
  <c r="A286" i="43"/>
  <c r="T286" i="43" l="1"/>
  <c r="A287" i="43"/>
  <c r="T287" i="43" l="1"/>
  <c r="A288" i="43"/>
  <c r="T288" i="43" l="1"/>
  <c r="A289" i="43"/>
  <c r="T289" i="43" l="1"/>
  <c r="A290" i="43"/>
  <c r="T290" i="43" l="1"/>
  <c r="A291" i="43"/>
  <c r="T291" i="43" l="1"/>
  <c r="A292" i="43"/>
  <c r="T292" i="43" l="1"/>
  <c r="A293" i="43"/>
  <c r="T293" i="43" l="1"/>
  <c r="A294" i="43"/>
  <c r="T294" i="43" l="1"/>
  <c r="A295" i="43"/>
  <c r="T295" i="43" l="1"/>
  <c r="A296" i="43"/>
  <c r="T296" i="43" l="1"/>
  <c r="A297" i="43"/>
  <c r="T297" i="43" l="1"/>
  <c r="A298" i="43"/>
  <c r="T298" i="43" l="1"/>
  <c r="A299" i="43"/>
  <c r="T299" i="43" l="1"/>
  <c r="A300" i="43"/>
  <c r="T300" i="43" l="1"/>
  <c r="A301" i="43"/>
  <c r="T301" i="43" l="1"/>
  <c r="A302" i="43"/>
  <c r="T302" i="43" l="1"/>
  <c r="A303" i="43"/>
  <c r="T303" i="43" l="1"/>
  <c r="A304" i="43"/>
  <c r="T304" i="43" l="1"/>
  <c r="A305" i="43"/>
  <c r="T305" i="43" l="1"/>
  <c r="A306" i="43"/>
  <c r="T306" i="43" l="1"/>
  <c r="A307" i="43"/>
  <c r="T307" i="43" l="1"/>
  <c r="A308" i="43"/>
  <c r="T308" i="43" l="1"/>
  <c r="A309" i="43"/>
  <c r="T309" i="43" l="1"/>
  <c r="A310" i="43"/>
  <c r="T310" i="43" l="1"/>
  <c r="A311" i="43"/>
  <c r="T311" i="43" l="1"/>
  <c r="A312" i="43"/>
  <c r="T312" i="43" l="1"/>
  <c r="A313" i="43"/>
  <c r="T313" i="43" l="1"/>
  <c r="A314" i="43"/>
  <c r="T314" i="43" l="1"/>
  <c r="A315" i="43"/>
  <c r="T315" i="43" l="1"/>
  <c r="A316" i="43"/>
  <c r="T316" i="43" l="1"/>
  <c r="A317" i="43"/>
  <c r="T317" i="43" l="1"/>
  <c r="A318" i="43"/>
  <c r="T318" i="43" l="1"/>
  <c r="A319" i="43"/>
  <c r="T319" i="43" l="1"/>
  <c r="A320" i="43"/>
  <c r="T320" i="43" l="1"/>
  <c r="A321" i="43"/>
  <c r="T321" i="43" l="1"/>
  <c r="A322" i="43"/>
  <c r="T322" i="43" l="1"/>
  <c r="A323" i="43"/>
  <c r="T323" i="43" l="1"/>
  <c r="A324" i="43"/>
  <c r="T324" i="43" l="1"/>
  <c r="A325" i="43"/>
  <c r="T325" i="43" l="1"/>
  <c r="A326" i="43"/>
  <c r="T326" i="43" l="1"/>
  <c r="A327" i="43"/>
  <c r="T327" i="43" l="1"/>
  <c r="A328" i="43"/>
  <c r="T328" i="43" l="1"/>
  <c r="A329" i="43"/>
  <c r="T329" i="43" l="1"/>
  <c r="A330" i="43"/>
  <c r="T330" i="43" l="1"/>
  <c r="A331" i="43"/>
  <c r="T331" i="43" l="1"/>
  <c r="A332" i="43"/>
  <c r="T332" i="43" l="1"/>
  <c r="A333" i="43"/>
  <c r="T333" i="43" l="1"/>
  <c r="A334" i="43"/>
  <c r="T334" i="43" l="1"/>
  <c r="A335" i="43"/>
  <c r="T335" i="43" l="1"/>
  <c r="A336" i="43"/>
  <c r="T336" i="43" l="1"/>
  <c r="A337" i="43"/>
  <c r="T337" i="43" l="1"/>
  <c r="A338" i="43"/>
  <c r="T338" i="43" l="1"/>
  <c r="A339" i="43"/>
  <c r="T339" i="43" l="1"/>
  <c r="A340" i="43"/>
  <c r="T340" i="43" l="1"/>
  <c r="A341" i="43"/>
  <c r="T341" i="43" l="1"/>
  <c r="A342" i="43"/>
  <c r="T342" i="43" l="1"/>
  <c r="A343" i="43"/>
  <c r="T343" i="43" s="1"/>
  <c r="T21" i="22" l="1"/>
  <c r="K21" i="22"/>
  <c r="L21" i="22" s="1"/>
  <c r="N21" i="22" s="1"/>
  <c r="V21" i="22" l="1"/>
  <c r="N40" i="6" l="1"/>
  <c r="N21" i="6"/>
  <c r="Q289" i="35" l="1"/>
  <c r="S289" i="35" s="1"/>
  <c r="Q290" i="35"/>
  <c r="S290" i="35" s="1"/>
  <c r="Q291" i="35"/>
  <c r="S291" i="35" s="1"/>
  <c r="Q292" i="35"/>
  <c r="S292" i="35" s="1"/>
  <c r="Q293" i="35"/>
  <c r="S293" i="35" s="1"/>
  <c r="Q294" i="35"/>
  <c r="S294" i="35" s="1"/>
  <c r="Q295" i="35"/>
  <c r="S295" i="35" s="1"/>
  <c r="Q296" i="35"/>
  <c r="S296" i="35" s="1"/>
  <c r="Q297" i="35"/>
  <c r="S297" i="35" s="1"/>
  <c r="Q298" i="35"/>
  <c r="S298" i="35" s="1"/>
  <c r="Q299" i="35"/>
  <c r="S299" i="35" s="1"/>
  <c r="Q300" i="35"/>
  <c r="S300" i="35" s="1"/>
  <c r="Q301" i="35"/>
  <c r="S301" i="35" s="1"/>
  <c r="Q302" i="35"/>
  <c r="S302" i="35" s="1"/>
  <c r="Q303" i="35"/>
  <c r="S303" i="35" s="1"/>
  <c r="Q304" i="35"/>
  <c r="S304" i="35" s="1"/>
  <c r="Q305" i="35"/>
  <c r="S305" i="35" s="1"/>
  <c r="Q306" i="35"/>
  <c r="S306" i="35" s="1"/>
  <c r="Q307" i="35"/>
  <c r="S307" i="35" s="1"/>
  <c r="Q308" i="35"/>
  <c r="S308" i="35" s="1"/>
  <c r="Q309" i="35"/>
  <c r="S309" i="35" s="1"/>
  <c r="Q310" i="35"/>
  <c r="S310" i="35" s="1"/>
  <c r="Q311" i="35"/>
  <c r="S311" i="35" s="1"/>
  <c r="Q312" i="35"/>
  <c r="S312" i="35" s="1"/>
  <c r="Q313" i="35"/>
  <c r="S313" i="35" s="1"/>
  <c r="Q314" i="35"/>
  <c r="S314" i="35" s="1"/>
  <c r="Q315" i="35"/>
  <c r="S315" i="35" s="1"/>
  <c r="Q316" i="35"/>
  <c r="S316" i="35" s="1"/>
  <c r="Q317" i="35"/>
  <c r="S317" i="35" s="1"/>
  <c r="Q318" i="35"/>
  <c r="S318" i="35" s="1"/>
  <c r="Q319" i="35"/>
  <c r="S319" i="35" s="1"/>
  <c r="Q320" i="35"/>
  <c r="S320" i="35" s="1"/>
  <c r="Q321" i="35"/>
  <c r="S321" i="35" s="1"/>
  <c r="Q322" i="35"/>
  <c r="S322" i="35" s="1"/>
  <c r="Q323" i="35"/>
  <c r="S323" i="35" s="1"/>
  <c r="Q324" i="35"/>
  <c r="S324" i="35" s="1"/>
  <c r="Q325" i="35"/>
  <c r="S325" i="35" s="1"/>
  <c r="Q326" i="35"/>
  <c r="S326" i="35" s="1"/>
  <c r="Q327" i="35"/>
  <c r="S327" i="35" s="1"/>
  <c r="Q328" i="35"/>
  <c r="S328" i="35" s="1"/>
  <c r="Q329" i="35"/>
  <c r="S329" i="35" s="1"/>
  <c r="Q330" i="35"/>
  <c r="S330" i="35" s="1"/>
  <c r="Q331" i="35"/>
  <c r="S331" i="35" s="1"/>
  <c r="Q332" i="35"/>
  <c r="S332" i="35" s="1"/>
  <c r="Q333" i="35"/>
  <c r="S333" i="35" s="1"/>
  <c r="Q334" i="35"/>
  <c r="S334" i="35" s="1"/>
  <c r="Q335" i="35"/>
  <c r="S335" i="35" s="1"/>
  <c r="Q336" i="35"/>
  <c r="S336" i="35" s="1"/>
  <c r="Q337" i="35"/>
  <c r="S337" i="35" s="1"/>
  <c r="Q338" i="35"/>
  <c r="S338" i="35" s="1"/>
  <c r="Q339" i="35"/>
  <c r="S339" i="35" s="1"/>
  <c r="Q340" i="35"/>
  <c r="S340" i="35" s="1"/>
  <c r="Q341" i="35"/>
  <c r="S341" i="35" s="1"/>
  <c r="Q342" i="35"/>
  <c r="S342" i="35" s="1"/>
  <c r="Q343" i="35"/>
  <c r="S343" i="35" s="1"/>
  <c r="Q344" i="35"/>
  <c r="S344" i="35" s="1"/>
  <c r="Q345" i="35"/>
  <c r="S345" i="35" s="1"/>
  <c r="Q346" i="35"/>
  <c r="S346" i="35" s="1"/>
  <c r="Q347" i="35"/>
  <c r="S347" i="35" s="1"/>
  <c r="Q348" i="35"/>
  <c r="S348" i="35" s="1"/>
  <c r="Q349" i="35"/>
  <c r="S349" i="35" s="1"/>
  <c r="Q350" i="35"/>
  <c r="S350" i="35" s="1"/>
  <c r="Q351" i="35"/>
  <c r="S351" i="35" s="1"/>
  <c r="Q352" i="35"/>
  <c r="S352" i="35" s="1"/>
  <c r="U298" i="35"/>
  <c r="U299" i="35"/>
  <c r="U300" i="35"/>
  <c r="U301" i="35"/>
  <c r="U302" i="35"/>
  <c r="U303" i="35"/>
  <c r="U304" i="35"/>
  <c r="U305" i="35"/>
  <c r="U306" i="35"/>
  <c r="U307" i="35"/>
  <c r="U308" i="35"/>
  <c r="U309" i="35"/>
  <c r="U310" i="35"/>
  <c r="U311" i="35"/>
  <c r="U312" i="35"/>
  <c r="U313" i="35"/>
  <c r="U314" i="35"/>
  <c r="U315" i="35"/>
  <c r="U316" i="35"/>
  <c r="U317" i="35"/>
  <c r="U318" i="35"/>
  <c r="U319" i="35"/>
  <c r="U320" i="35"/>
  <c r="U321" i="35"/>
  <c r="U322" i="35"/>
  <c r="U323" i="35"/>
  <c r="U324" i="35"/>
  <c r="U325" i="35"/>
  <c r="U326" i="35"/>
  <c r="U327" i="35"/>
  <c r="U328" i="35"/>
  <c r="U329" i="35"/>
  <c r="U330" i="35"/>
  <c r="U331" i="35"/>
  <c r="U332" i="35"/>
  <c r="U333" i="35"/>
  <c r="U334" i="35"/>
  <c r="U335" i="35"/>
  <c r="U336" i="35"/>
  <c r="U337" i="35"/>
  <c r="U338" i="35"/>
  <c r="U339" i="35"/>
  <c r="U340" i="35"/>
  <c r="U341" i="35"/>
  <c r="U342" i="35"/>
  <c r="U343" i="35"/>
  <c r="U344" i="35"/>
  <c r="U345" i="35"/>
  <c r="U346" i="35"/>
  <c r="U347" i="35"/>
  <c r="U348" i="35"/>
  <c r="U349" i="35"/>
  <c r="U350" i="35"/>
  <c r="U351" i="35"/>
  <c r="U352" i="35"/>
  <c r="U290" i="35"/>
  <c r="U291" i="35"/>
  <c r="U292" i="35"/>
  <c r="U293" i="35"/>
  <c r="U294" i="35"/>
  <c r="U295" i="35"/>
  <c r="U296" i="35"/>
  <c r="U297" i="35"/>
  <c r="U289" i="35"/>
  <c r="E342" i="35"/>
  <c r="E348" i="35"/>
  <c r="E349" i="35"/>
  <c r="G353" i="35"/>
  <c r="L353" i="35"/>
  <c r="V288" i="35"/>
  <c r="U288" i="35"/>
  <c r="M288" i="35"/>
  <c r="N288" i="35" s="1"/>
  <c r="J288" i="35"/>
  <c r="K288" i="35" s="1"/>
  <c r="H288" i="35"/>
  <c r="V287" i="35"/>
  <c r="U287" i="35"/>
  <c r="M287" i="35"/>
  <c r="N287" i="35" s="1"/>
  <c r="J287" i="35"/>
  <c r="K287" i="35" s="1"/>
  <c r="H287" i="35"/>
  <c r="V286" i="35"/>
  <c r="U286" i="35"/>
  <c r="M286" i="35"/>
  <c r="N286" i="35" s="1"/>
  <c r="J286" i="35"/>
  <c r="K286" i="35" s="1"/>
  <c r="H286" i="35"/>
  <c r="V285" i="35"/>
  <c r="U285" i="35"/>
  <c r="M285" i="35"/>
  <c r="N285" i="35" s="1"/>
  <c r="J285" i="35"/>
  <c r="K285" i="35" s="1"/>
  <c r="H285" i="35"/>
  <c r="V284" i="35"/>
  <c r="U284" i="35"/>
  <c r="M284" i="35"/>
  <c r="N284" i="35" s="1"/>
  <c r="J284" i="35"/>
  <c r="K284" i="35" s="1"/>
  <c r="H284" i="35"/>
  <c r="V283" i="35"/>
  <c r="U283" i="35"/>
  <c r="M283" i="35"/>
  <c r="N283" i="35" s="1"/>
  <c r="J283" i="35"/>
  <c r="K283" i="35" s="1"/>
  <c r="H283" i="35"/>
  <c r="V282" i="35"/>
  <c r="U282" i="35"/>
  <c r="M282" i="35"/>
  <c r="N282" i="35" s="1"/>
  <c r="J282" i="35"/>
  <c r="K282" i="35" s="1"/>
  <c r="H282" i="35"/>
  <c r="V281" i="35"/>
  <c r="U281" i="35"/>
  <c r="M281" i="35"/>
  <c r="N281" i="35" s="1"/>
  <c r="J281" i="35"/>
  <c r="K281" i="35" s="1"/>
  <c r="H281" i="35"/>
  <c r="V280" i="35"/>
  <c r="U280" i="35"/>
  <c r="M280" i="35"/>
  <c r="N280" i="35" s="1"/>
  <c r="J280" i="35"/>
  <c r="K280" i="35" s="1"/>
  <c r="H280" i="35"/>
  <c r="V279" i="35"/>
  <c r="U279" i="35"/>
  <c r="M279" i="35"/>
  <c r="N279" i="35" s="1"/>
  <c r="J279" i="35"/>
  <c r="K279" i="35" s="1"/>
  <c r="H279" i="35"/>
  <c r="V278" i="35"/>
  <c r="U278" i="35"/>
  <c r="M278" i="35"/>
  <c r="N278" i="35" s="1"/>
  <c r="J278" i="35"/>
  <c r="K278" i="35" s="1"/>
  <c r="H278" i="35"/>
  <c r="V277" i="35"/>
  <c r="U277" i="35"/>
  <c r="M277" i="35"/>
  <c r="N277" i="35" s="1"/>
  <c r="J277" i="35"/>
  <c r="K277" i="35" s="1"/>
  <c r="H277" i="35"/>
  <c r="V276" i="35"/>
  <c r="U276" i="35"/>
  <c r="M276" i="35"/>
  <c r="N276" i="35" s="1"/>
  <c r="J276" i="35"/>
  <c r="K276" i="35" s="1"/>
  <c r="H276" i="35"/>
  <c r="V275" i="35"/>
  <c r="U275" i="35"/>
  <c r="M275" i="35"/>
  <c r="N275" i="35" s="1"/>
  <c r="J275" i="35"/>
  <c r="K275" i="35" s="1"/>
  <c r="H275" i="35"/>
  <c r="V274" i="35"/>
  <c r="U274" i="35"/>
  <c r="M274" i="35"/>
  <c r="N274" i="35" s="1"/>
  <c r="J274" i="35"/>
  <c r="K274" i="35" s="1"/>
  <c r="H274" i="35"/>
  <c r="V273" i="35"/>
  <c r="U273" i="35"/>
  <c r="M273" i="35"/>
  <c r="N273" i="35" s="1"/>
  <c r="J273" i="35"/>
  <c r="K273" i="35" s="1"/>
  <c r="H273" i="35"/>
  <c r="V272" i="35"/>
  <c r="U272" i="35"/>
  <c r="M272" i="35"/>
  <c r="N272" i="35" s="1"/>
  <c r="J272" i="35"/>
  <c r="K272" i="35" s="1"/>
  <c r="H272" i="35"/>
  <c r="V271" i="35"/>
  <c r="U271" i="35"/>
  <c r="M271" i="35"/>
  <c r="N271" i="35" s="1"/>
  <c r="J271" i="35"/>
  <c r="K271" i="35" s="1"/>
  <c r="H271" i="35"/>
  <c r="V270" i="35"/>
  <c r="U270" i="35"/>
  <c r="M270" i="35"/>
  <c r="N270" i="35" s="1"/>
  <c r="J270" i="35"/>
  <c r="K270" i="35" s="1"/>
  <c r="H270" i="35"/>
  <c r="V269" i="35"/>
  <c r="U269" i="35"/>
  <c r="M269" i="35"/>
  <c r="N269" i="35" s="1"/>
  <c r="J269" i="35"/>
  <c r="K269" i="35" s="1"/>
  <c r="H269" i="35"/>
  <c r="V268" i="35"/>
  <c r="U268" i="35"/>
  <c r="M268" i="35"/>
  <c r="N268" i="35" s="1"/>
  <c r="J268" i="35"/>
  <c r="K268" i="35" s="1"/>
  <c r="H268" i="35"/>
  <c r="V267" i="35"/>
  <c r="U267" i="35"/>
  <c r="M267" i="35"/>
  <c r="N267" i="35" s="1"/>
  <c r="J267" i="35"/>
  <c r="K267" i="35" s="1"/>
  <c r="H267" i="35"/>
  <c r="V266" i="35"/>
  <c r="U266" i="35"/>
  <c r="M266" i="35"/>
  <c r="N266" i="35" s="1"/>
  <c r="J266" i="35"/>
  <c r="K266" i="35" s="1"/>
  <c r="H266" i="35"/>
  <c r="V265" i="35"/>
  <c r="U265" i="35"/>
  <c r="M265" i="35"/>
  <c r="N265" i="35" s="1"/>
  <c r="J265" i="35"/>
  <c r="K265" i="35" s="1"/>
  <c r="H265" i="35"/>
  <c r="V264" i="35"/>
  <c r="U264" i="35"/>
  <c r="M264" i="35"/>
  <c r="N264" i="35" s="1"/>
  <c r="J264" i="35"/>
  <c r="K264" i="35" s="1"/>
  <c r="H264" i="35"/>
  <c r="V263" i="35"/>
  <c r="U263" i="35"/>
  <c r="M263" i="35"/>
  <c r="N263" i="35" s="1"/>
  <c r="J263" i="35"/>
  <c r="K263" i="35" s="1"/>
  <c r="H263" i="35"/>
  <c r="V262" i="35"/>
  <c r="U262" i="35"/>
  <c r="M262" i="35"/>
  <c r="N262" i="35" s="1"/>
  <c r="J262" i="35"/>
  <c r="K262" i="35" s="1"/>
  <c r="H262" i="35"/>
  <c r="V261" i="35"/>
  <c r="U261" i="35"/>
  <c r="M261" i="35"/>
  <c r="N261" i="35" s="1"/>
  <c r="J261" i="35"/>
  <c r="K261" i="35" s="1"/>
  <c r="H261" i="35"/>
  <c r="V260" i="35"/>
  <c r="U260" i="35"/>
  <c r="M260" i="35"/>
  <c r="N260" i="35" s="1"/>
  <c r="J260" i="35"/>
  <c r="K260" i="35" s="1"/>
  <c r="H260" i="35"/>
  <c r="V259" i="35"/>
  <c r="U259" i="35"/>
  <c r="M259" i="35"/>
  <c r="N259" i="35" s="1"/>
  <c r="J259" i="35"/>
  <c r="K259" i="35" s="1"/>
  <c r="H259" i="35"/>
  <c r="V258" i="35"/>
  <c r="U258" i="35"/>
  <c r="M258" i="35"/>
  <c r="N258" i="35" s="1"/>
  <c r="J258" i="35"/>
  <c r="K258" i="35" s="1"/>
  <c r="H258" i="35"/>
  <c r="V257" i="35"/>
  <c r="U257" i="35"/>
  <c r="M257" i="35"/>
  <c r="N257" i="35" s="1"/>
  <c r="J257" i="35"/>
  <c r="K257" i="35" s="1"/>
  <c r="H257" i="35"/>
  <c r="V256" i="35"/>
  <c r="U256" i="35"/>
  <c r="M256" i="35"/>
  <c r="N256" i="35" s="1"/>
  <c r="J256" i="35"/>
  <c r="K256" i="35" s="1"/>
  <c r="H256" i="35"/>
  <c r="V255" i="35"/>
  <c r="U255" i="35"/>
  <c r="M255" i="35"/>
  <c r="N255" i="35" s="1"/>
  <c r="J255" i="35"/>
  <c r="K255" i="35" s="1"/>
  <c r="H255" i="35"/>
  <c r="V254" i="35"/>
  <c r="U254" i="35"/>
  <c r="M254" i="35"/>
  <c r="N254" i="35" s="1"/>
  <c r="J254" i="35"/>
  <c r="K254" i="35" s="1"/>
  <c r="H254" i="35"/>
  <c r="V253" i="35"/>
  <c r="U253" i="35"/>
  <c r="M253" i="35"/>
  <c r="N253" i="35" s="1"/>
  <c r="J253" i="35"/>
  <c r="K253" i="35" s="1"/>
  <c r="H253" i="35"/>
  <c r="V252" i="35"/>
  <c r="U252" i="35"/>
  <c r="M252" i="35"/>
  <c r="N252" i="35" s="1"/>
  <c r="J252" i="35"/>
  <c r="K252" i="35" s="1"/>
  <c r="H252" i="35"/>
  <c r="V251" i="35"/>
  <c r="U251" i="35"/>
  <c r="M251" i="35"/>
  <c r="N251" i="35" s="1"/>
  <c r="J251" i="35"/>
  <c r="K251" i="35" s="1"/>
  <c r="H251" i="35"/>
  <c r="V250" i="35"/>
  <c r="U250" i="35"/>
  <c r="M250" i="35"/>
  <c r="N250" i="35" s="1"/>
  <c r="J250" i="35"/>
  <c r="K250" i="35" s="1"/>
  <c r="H250" i="35"/>
  <c r="V249" i="35"/>
  <c r="U249" i="35"/>
  <c r="M249" i="35"/>
  <c r="N249" i="35" s="1"/>
  <c r="J249" i="35"/>
  <c r="K249" i="35" s="1"/>
  <c r="H249" i="35"/>
  <c r="V248" i="35"/>
  <c r="U248" i="35"/>
  <c r="M248" i="35"/>
  <c r="N248" i="35" s="1"/>
  <c r="J248" i="35"/>
  <c r="K248" i="35" s="1"/>
  <c r="H248" i="35"/>
  <c r="V247" i="35"/>
  <c r="U247" i="35"/>
  <c r="M247" i="35"/>
  <c r="N247" i="35" s="1"/>
  <c r="J247" i="35"/>
  <c r="K247" i="35" s="1"/>
  <c r="H247" i="35"/>
  <c r="V246" i="35"/>
  <c r="U246" i="35"/>
  <c r="M246" i="35"/>
  <c r="N246" i="35" s="1"/>
  <c r="J246" i="35"/>
  <c r="K246" i="35" s="1"/>
  <c r="H246" i="35"/>
  <c r="V245" i="35"/>
  <c r="U245" i="35"/>
  <c r="M245" i="35"/>
  <c r="N245" i="35" s="1"/>
  <c r="J245" i="35"/>
  <c r="K245" i="35" s="1"/>
  <c r="H245" i="35"/>
  <c r="V244" i="35"/>
  <c r="U244" i="35"/>
  <c r="M244" i="35"/>
  <c r="N244" i="35" s="1"/>
  <c r="J244" i="35"/>
  <c r="K244" i="35" s="1"/>
  <c r="H244" i="35"/>
  <c r="V243" i="35"/>
  <c r="U243" i="35"/>
  <c r="M243" i="35"/>
  <c r="N243" i="35" s="1"/>
  <c r="J243" i="35"/>
  <c r="K243" i="35" s="1"/>
  <c r="H243" i="35"/>
  <c r="V242" i="35"/>
  <c r="U242" i="35"/>
  <c r="M242" i="35"/>
  <c r="N242" i="35" s="1"/>
  <c r="J242" i="35"/>
  <c r="K242" i="35" s="1"/>
  <c r="H242" i="35"/>
  <c r="V241" i="35"/>
  <c r="U241" i="35"/>
  <c r="M241" i="35"/>
  <c r="N241" i="35" s="1"/>
  <c r="J241" i="35"/>
  <c r="K241" i="35" s="1"/>
  <c r="H241" i="35"/>
  <c r="V240" i="35"/>
  <c r="U240" i="35"/>
  <c r="M240" i="35"/>
  <c r="N240" i="35" s="1"/>
  <c r="J240" i="35"/>
  <c r="K240" i="35" s="1"/>
  <c r="H240" i="35"/>
  <c r="V239" i="35"/>
  <c r="U239" i="35"/>
  <c r="M239" i="35"/>
  <c r="N239" i="35" s="1"/>
  <c r="J239" i="35"/>
  <c r="K239" i="35" s="1"/>
  <c r="H239" i="35"/>
  <c r="V238" i="35"/>
  <c r="U238" i="35"/>
  <c r="M238" i="35"/>
  <c r="N238" i="35" s="1"/>
  <c r="J238" i="35"/>
  <c r="K238" i="35" s="1"/>
  <c r="H238" i="35"/>
  <c r="V237" i="35"/>
  <c r="U237" i="35"/>
  <c r="M237" i="35"/>
  <c r="N237" i="35" s="1"/>
  <c r="J237" i="35"/>
  <c r="K237" i="35" s="1"/>
  <c r="H237" i="35"/>
  <c r="V236" i="35"/>
  <c r="U236" i="35"/>
  <c r="M236" i="35"/>
  <c r="N236" i="35" s="1"/>
  <c r="J236" i="35"/>
  <c r="K236" i="35" s="1"/>
  <c r="H236" i="35"/>
  <c r="V235" i="35"/>
  <c r="U235" i="35"/>
  <c r="M235" i="35"/>
  <c r="N235" i="35" s="1"/>
  <c r="J235" i="35"/>
  <c r="K235" i="35" s="1"/>
  <c r="H235" i="35"/>
  <c r="V234" i="35"/>
  <c r="U234" i="35"/>
  <c r="M234" i="35"/>
  <c r="N234" i="35" s="1"/>
  <c r="J234" i="35"/>
  <c r="K234" i="35" s="1"/>
  <c r="H234" i="35"/>
  <c r="V233" i="35"/>
  <c r="U233" i="35"/>
  <c r="M233" i="35"/>
  <c r="N233" i="35" s="1"/>
  <c r="J233" i="35"/>
  <c r="K233" i="35" s="1"/>
  <c r="H233" i="35"/>
  <c r="V232" i="35"/>
  <c r="U232" i="35"/>
  <c r="M232" i="35"/>
  <c r="N232" i="35" s="1"/>
  <c r="J232" i="35"/>
  <c r="K232" i="35" s="1"/>
  <c r="H232" i="35"/>
  <c r="V231" i="35"/>
  <c r="U231" i="35"/>
  <c r="M231" i="35"/>
  <c r="N231" i="35" s="1"/>
  <c r="J231" i="35"/>
  <c r="K231" i="35" s="1"/>
  <c r="H231" i="35"/>
  <c r="V230" i="35"/>
  <c r="U230" i="35"/>
  <c r="M230" i="35"/>
  <c r="N230" i="35" s="1"/>
  <c r="J230" i="35"/>
  <c r="K230" i="35" s="1"/>
  <c r="H230" i="35"/>
  <c r="V229" i="35"/>
  <c r="U229" i="35"/>
  <c r="M229" i="35"/>
  <c r="N229" i="35" s="1"/>
  <c r="J229" i="35"/>
  <c r="K229" i="35" s="1"/>
  <c r="H229" i="35"/>
  <c r="V228" i="35"/>
  <c r="U228" i="35"/>
  <c r="M228" i="35"/>
  <c r="N228" i="35" s="1"/>
  <c r="J228" i="35"/>
  <c r="K228" i="35" s="1"/>
  <c r="H228" i="35"/>
  <c r="V227" i="35"/>
  <c r="U227" i="35"/>
  <c r="M227" i="35"/>
  <c r="N227" i="35" s="1"/>
  <c r="J227" i="35"/>
  <c r="K227" i="35" s="1"/>
  <c r="I227" i="35"/>
  <c r="H227" i="35"/>
  <c r="V226" i="35"/>
  <c r="U226" i="35"/>
  <c r="M226" i="35"/>
  <c r="N226" i="35" s="1"/>
  <c r="J226" i="35"/>
  <c r="K226" i="35" s="1"/>
  <c r="H226" i="35"/>
  <c r="V225" i="35"/>
  <c r="U225" i="35"/>
  <c r="M225" i="35"/>
  <c r="N225" i="35" s="1"/>
  <c r="J225" i="35"/>
  <c r="K225" i="35" s="1"/>
  <c r="H225" i="35"/>
  <c r="V224" i="35"/>
  <c r="U224" i="35"/>
  <c r="M224" i="35"/>
  <c r="N224" i="35" s="1"/>
  <c r="J224" i="35"/>
  <c r="K224" i="35" s="1"/>
  <c r="H224" i="35"/>
  <c r="V223" i="35"/>
  <c r="U223" i="35"/>
  <c r="M223" i="35"/>
  <c r="N223" i="35" s="1"/>
  <c r="J223" i="35"/>
  <c r="K223" i="35" s="1"/>
  <c r="H223" i="35"/>
  <c r="V222" i="35"/>
  <c r="U222" i="35"/>
  <c r="M222" i="35"/>
  <c r="N222" i="35" s="1"/>
  <c r="J222" i="35"/>
  <c r="K222" i="35" s="1"/>
  <c r="H222" i="35"/>
  <c r="V221" i="35"/>
  <c r="U221" i="35"/>
  <c r="M221" i="35"/>
  <c r="N221" i="35" s="1"/>
  <c r="J221" i="35"/>
  <c r="K221" i="35" s="1"/>
  <c r="H221" i="35"/>
  <c r="V220" i="35"/>
  <c r="U220" i="35"/>
  <c r="M220" i="35"/>
  <c r="N220" i="35" s="1"/>
  <c r="J220" i="35"/>
  <c r="K220" i="35" s="1"/>
  <c r="H220" i="35"/>
  <c r="V219" i="35"/>
  <c r="U219" i="35"/>
  <c r="M219" i="35"/>
  <c r="N219" i="35" s="1"/>
  <c r="J219" i="35"/>
  <c r="K219" i="35" s="1"/>
  <c r="H219" i="35"/>
  <c r="V218" i="35"/>
  <c r="U218" i="35"/>
  <c r="M218" i="35"/>
  <c r="N218" i="35" s="1"/>
  <c r="J218" i="35"/>
  <c r="K218" i="35" s="1"/>
  <c r="H218" i="35"/>
  <c r="V217" i="35"/>
  <c r="U217" i="35"/>
  <c r="M217" i="35"/>
  <c r="N217" i="35" s="1"/>
  <c r="J217" i="35"/>
  <c r="K217" i="35" s="1"/>
  <c r="H217" i="35"/>
  <c r="V216" i="35"/>
  <c r="U216" i="35"/>
  <c r="M216" i="35"/>
  <c r="N216" i="35" s="1"/>
  <c r="J216" i="35"/>
  <c r="K216" i="35" s="1"/>
  <c r="H216" i="35"/>
  <c r="V215" i="35"/>
  <c r="U215" i="35"/>
  <c r="M215" i="35"/>
  <c r="N215" i="35" s="1"/>
  <c r="J215" i="35"/>
  <c r="K215" i="35" s="1"/>
  <c r="H215" i="35"/>
  <c r="V214" i="35"/>
  <c r="M214" i="35"/>
  <c r="N214" i="35" s="1"/>
  <c r="J214" i="35"/>
  <c r="K214" i="35" s="1"/>
  <c r="H214" i="35"/>
  <c r="V213" i="35"/>
  <c r="U213" i="35"/>
  <c r="M213" i="35"/>
  <c r="N213" i="35" s="1"/>
  <c r="J213" i="35"/>
  <c r="K213" i="35" s="1"/>
  <c r="H213" i="35"/>
  <c r="V212" i="35"/>
  <c r="U212" i="35"/>
  <c r="M212" i="35"/>
  <c r="N212" i="35" s="1"/>
  <c r="J212" i="35"/>
  <c r="K212" i="35" s="1"/>
  <c r="H212" i="35"/>
  <c r="V211" i="35"/>
  <c r="U211" i="35"/>
  <c r="M211" i="35"/>
  <c r="N211" i="35" s="1"/>
  <c r="J211" i="35"/>
  <c r="K211" i="35" s="1"/>
  <c r="H211" i="35"/>
  <c r="V210" i="35"/>
  <c r="U210" i="35"/>
  <c r="M210" i="35"/>
  <c r="N210" i="35" s="1"/>
  <c r="J210" i="35"/>
  <c r="K210" i="35" s="1"/>
  <c r="H210" i="35"/>
  <c r="V209" i="35"/>
  <c r="U209" i="35"/>
  <c r="M209" i="35"/>
  <c r="N209" i="35" s="1"/>
  <c r="J209" i="35"/>
  <c r="K209" i="35" s="1"/>
  <c r="H209" i="35"/>
  <c r="V208" i="35"/>
  <c r="U208" i="35"/>
  <c r="M208" i="35"/>
  <c r="N208" i="35" s="1"/>
  <c r="J208" i="35"/>
  <c r="K208" i="35" s="1"/>
  <c r="H208" i="35"/>
  <c r="V207" i="35"/>
  <c r="U207" i="35"/>
  <c r="M207" i="35"/>
  <c r="N207" i="35" s="1"/>
  <c r="J207" i="35"/>
  <c r="K207" i="35" s="1"/>
  <c r="H207" i="35"/>
  <c r="V206" i="35"/>
  <c r="U206" i="35"/>
  <c r="M206" i="35"/>
  <c r="N206" i="35" s="1"/>
  <c r="J206" i="35"/>
  <c r="K206" i="35" s="1"/>
  <c r="H206" i="35"/>
  <c r="V205" i="35"/>
  <c r="U205" i="35"/>
  <c r="M205" i="35"/>
  <c r="N205" i="35" s="1"/>
  <c r="J205" i="35"/>
  <c r="K205" i="35" s="1"/>
  <c r="H205" i="35"/>
  <c r="V204" i="35"/>
  <c r="U204" i="35"/>
  <c r="M204" i="35"/>
  <c r="N204" i="35" s="1"/>
  <c r="J204" i="35"/>
  <c r="K204" i="35" s="1"/>
  <c r="H204" i="35"/>
  <c r="V203" i="35"/>
  <c r="U203" i="35"/>
  <c r="M203" i="35"/>
  <c r="N203" i="35" s="1"/>
  <c r="J203" i="35"/>
  <c r="K203" i="35" s="1"/>
  <c r="I203" i="35"/>
  <c r="H203" i="35"/>
  <c r="V202" i="35"/>
  <c r="U202" i="35"/>
  <c r="M202" i="35"/>
  <c r="N202" i="35" s="1"/>
  <c r="J202" i="35"/>
  <c r="K202" i="35" s="1"/>
  <c r="H202" i="35"/>
  <c r="V201" i="35"/>
  <c r="U201" i="35"/>
  <c r="M201" i="35"/>
  <c r="N201" i="35" s="1"/>
  <c r="J201" i="35"/>
  <c r="K201" i="35" s="1"/>
  <c r="H201" i="35"/>
  <c r="V200" i="35"/>
  <c r="U200" i="35"/>
  <c r="M200" i="35"/>
  <c r="N200" i="35" s="1"/>
  <c r="J200" i="35"/>
  <c r="K200" i="35" s="1"/>
  <c r="H200" i="35"/>
  <c r="V199" i="35"/>
  <c r="U199" i="35"/>
  <c r="M199" i="35"/>
  <c r="N199" i="35" s="1"/>
  <c r="J199" i="35"/>
  <c r="K199" i="35" s="1"/>
  <c r="H199" i="35"/>
  <c r="V198" i="35"/>
  <c r="U198" i="35"/>
  <c r="M198" i="35"/>
  <c r="N198" i="35" s="1"/>
  <c r="J198" i="35"/>
  <c r="K198" i="35" s="1"/>
  <c r="H198" i="35"/>
  <c r="V197" i="35"/>
  <c r="O197" i="35"/>
  <c r="O353" i="35" s="1"/>
  <c r="M197" i="35"/>
  <c r="N197" i="35" s="1"/>
  <c r="J197" i="35"/>
  <c r="K197" i="35" s="1"/>
  <c r="H197" i="35"/>
  <c r="V196" i="35"/>
  <c r="U196" i="35"/>
  <c r="M196" i="35"/>
  <c r="N196" i="35" s="1"/>
  <c r="J196" i="35"/>
  <c r="K196" i="35" s="1"/>
  <c r="H196" i="35"/>
  <c r="Y195" i="35"/>
  <c r="V195" i="35"/>
  <c r="U195" i="35"/>
  <c r="M195" i="35"/>
  <c r="N195" i="35" s="1"/>
  <c r="J195" i="35"/>
  <c r="K195" i="35" s="1"/>
  <c r="H195" i="35"/>
  <c r="V194" i="35"/>
  <c r="U194" i="35"/>
  <c r="M194" i="35"/>
  <c r="N194" i="35" s="1"/>
  <c r="J194" i="35"/>
  <c r="K194" i="35" s="1"/>
  <c r="H194" i="35"/>
  <c r="V193" i="35"/>
  <c r="U193" i="35"/>
  <c r="M193" i="35"/>
  <c r="N193" i="35" s="1"/>
  <c r="J193" i="35"/>
  <c r="K193" i="35" s="1"/>
  <c r="H193" i="35"/>
  <c r="V192" i="35"/>
  <c r="U192" i="35"/>
  <c r="M192" i="35"/>
  <c r="N192" i="35" s="1"/>
  <c r="J192" i="35"/>
  <c r="K192" i="35" s="1"/>
  <c r="H192" i="35"/>
  <c r="V191" i="35"/>
  <c r="U191" i="35"/>
  <c r="M191" i="35"/>
  <c r="N191" i="35" s="1"/>
  <c r="J191" i="35"/>
  <c r="K191" i="35" s="1"/>
  <c r="H191" i="35"/>
  <c r="V190" i="35"/>
  <c r="U190" i="35"/>
  <c r="M190" i="35"/>
  <c r="N190" i="35" s="1"/>
  <c r="J190" i="35"/>
  <c r="K190" i="35" s="1"/>
  <c r="H190" i="35"/>
  <c r="V189" i="35"/>
  <c r="U189" i="35"/>
  <c r="M189" i="35"/>
  <c r="N189" i="35" s="1"/>
  <c r="J189" i="35"/>
  <c r="K189" i="35" s="1"/>
  <c r="H189" i="35"/>
  <c r="V188" i="35"/>
  <c r="U188" i="35"/>
  <c r="M188" i="35"/>
  <c r="N188" i="35" s="1"/>
  <c r="J188" i="35"/>
  <c r="K188" i="35" s="1"/>
  <c r="H188" i="35"/>
  <c r="V187" i="35"/>
  <c r="U187" i="35"/>
  <c r="M187" i="35"/>
  <c r="N187" i="35" s="1"/>
  <c r="J187" i="35"/>
  <c r="K187" i="35" s="1"/>
  <c r="H187" i="35"/>
  <c r="V186" i="35"/>
  <c r="U186" i="35"/>
  <c r="M186" i="35"/>
  <c r="N186" i="35" s="1"/>
  <c r="J186" i="35"/>
  <c r="K186" i="35" s="1"/>
  <c r="H186" i="35"/>
  <c r="V185" i="35"/>
  <c r="U185" i="35"/>
  <c r="M185" i="35"/>
  <c r="N185" i="35" s="1"/>
  <c r="J185" i="35"/>
  <c r="K185" i="35" s="1"/>
  <c r="H185" i="35"/>
  <c r="V184" i="35"/>
  <c r="U184" i="35"/>
  <c r="M184" i="35"/>
  <c r="N184" i="35" s="1"/>
  <c r="J184" i="35"/>
  <c r="K184" i="35" s="1"/>
  <c r="H184" i="35"/>
  <c r="V183" i="35"/>
  <c r="U183" i="35"/>
  <c r="M183" i="35"/>
  <c r="N183" i="35" s="1"/>
  <c r="J183" i="35"/>
  <c r="K183" i="35" s="1"/>
  <c r="H183" i="35"/>
  <c r="V182" i="35"/>
  <c r="U182" i="35"/>
  <c r="M182" i="35"/>
  <c r="N182" i="35" s="1"/>
  <c r="J182" i="35"/>
  <c r="K182" i="35" s="1"/>
  <c r="H182" i="35"/>
  <c r="V181" i="35"/>
  <c r="U181" i="35"/>
  <c r="M181" i="35"/>
  <c r="N181" i="35" s="1"/>
  <c r="J181" i="35"/>
  <c r="K181" i="35" s="1"/>
  <c r="H181" i="35"/>
  <c r="V180" i="35"/>
  <c r="U180" i="35"/>
  <c r="M180" i="35"/>
  <c r="N180" i="35" s="1"/>
  <c r="J180" i="35"/>
  <c r="K180" i="35" s="1"/>
  <c r="H180" i="35"/>
  <c r="V179" i="35"/>
  <c r="U179" i="35"/>
  <c r="M179" i="35"/>
  <c r="N179" i="35" s="1"/>
  <c r="J179" i="35"/>
  <c r="K179" i="35" s="1"/>
  <c r="H179" i="35"/>
  <c r="V178" i="35"/>
  <c r="U178" i="35"/>
  <c r="M178" i="35"/>
  <c r="N178" i="35" s="1"/>
  <c r="J178" i="35"/>
  <c r="K178" i="35" s="1"/>
  <c r="H178" i="35"/>
  <c r="V177" i="35"/>
  <c r="U177" i="35"/>
  <c r="M177" i="35"/>
  <c r="N177" i="35" s="1"/>
  <c r="J177" i="35"/>
  <c r="K177" i="35" s="1"/>
  <c r="H177" i="35"/>
  <c r="V176" i="35"/>
  <c r="U176" i="35"/>
  <c r="M176" i="35"/>
  <c r="N176" i="35" s="1"/>
  <c r="J176" i="35"/>
  <c r="K176" i="35" s="1"/>
  <c r="H176" i="35"/>
  <c r="V175" i="35"/>
  <c r="U175" i="35"/>
  <c r="M175" i="35"/>
  <c r="N175" i="35" s="1"/>
  <c r="J175" i="35"/>
  <c r="K175" i="35" s="1"/>
  <c r="H175" i="35"/>
  <c r="V174" i="35"/>
  <c r="U174" i="35"/>
  <c r="M174" i="35"/>
  <c r="N174" i="35" s="1"/>
  <c r="J174" i="35"/>
  <c r="K174" i="35" s="1"/>
  <c r="H174" i="35"/>
  <c r="V173" i="35"/>
  <c r="U173" i="35"/>
  <c r="M173" i="35"/>
  <c r="N173" i="35" s="1"/>
  <c r="J173" i="35"/>
  <c r="K173" i="35" s="1"/>
  <c r="H173" i="35"/>
  <c r="V172" i="35"/>
  <c r="U172" i="35"/>
  <c r="M172" i="35"/>
  <c r="N172" i="35" s="1"/>
  <c r="J172" i="35"/>
  <c r="K172" i="35" s="1"/>
  <c r="H172" i="35"/>
  <c r="E172" i="35"/>
  <c r="V171" i="35"/>
  <c r="U171" i="35"/>
  <c r="M171" i="35"/>
  <c r="N171" i="35" s="1"/>
  <c r="J171" i="35"/>
  <c r="K171" i="35" s="1"/>
  <c r="H171" i="35"/>
  <c r="V170" i="35"/>
  <c r="U170" i="35"/>
  <c r="M170" i="35"/>
  <c r="N170" i="35" s="1"/>
  <c r="J170" i="35"/>
  <c r="K170" i="35" s="1"/>
  <c r="H170" i="35"/>
  <c r="V169" i="35"/>
  <c r="U169" i="35"/>
  <c r="M169" i="35"/>
  <c r="N169" i="35" s="1"/>
  <c r="J169" i="35"/>
  <c r="K169" i="35" s="1"/>
  <c r="H169" i="35"/>
  <c r="V168" i="35"/>
  <c r="U168" i="35"/>
  <c r="M168" i="35"/>
  <c r="N168" i="35" s="1"/>
  <c r="J168" i="35"/>
  <c r="K168" i="35" s="1"/>
  <c r="H168" i="35"/>
  <c r="V167" i="35"/>
  <c r="U167" i="35"/>
  <c r="M167" i="35"/>
  <c r="N167" i="35" s="1"/>
  <c r="J167" i="35"/>
  <c r="K167" i="35" s="1"/>
  <c r="H167" i="35"/>
  <c r="V166" i="35"/>
  <c r="U166" i="35"/>
  <c r="M166" i="35"/>
  <c r="N166" i="35" s="1"/>
  <c r="J166" i="35"/>
  <c r="K166" i="35" s="1"/>
  <c r="H166" i="35"/>
  <c r="V165" i="35"/>
  <c r="U165" i="35"/>
  <c r="M165" i="35"/>
  <c r="N165" i="35" s="1"/>
  <c r="J165" i="35"/>
  <c r="K165" i="35" s="1"/>
  <c r="H165" i="35"/>
  <c r="V164" i="35"/>
  <c r="U164" i="35"/>
  <c r="M164" i="35"/>
  <c r="N164" i="35" s="1"/>
  <c r="J164" i="35"/>
  <c r="K164" i="35" s="1"/>
  <c r="H164" i="35"/>
  <c r="U163" i="35"/>
  <c r="M163" i="35"/>
  <c r="N163" i="35" s="1"/>
  <c r="J163" i="35"/>
  <c r="K163" i="35" s="1"/>
  <c r="H163" i="35"/>
  <c r="U162" i="35"/>
  <c r="M162" i="35"/>
  <c r="N162" i="35" s="1"/>
  <c r="J162" i="35"/>
  <c r="K162" i="35" s="1"/>
  <c r="H162" i="35"/>
  <c r="E162" i="35"/>
  <c r="V161" i="35"/>
  <c r="U161" i="35"/>
  <c r="M161" i="35"/>
  <c r="N161" i="35" s="1"/>
  <c r="J161" i="35"/>
  <c r="K161" i="35" s="1"/>
  <c r="H161" i="35"/>
  <c r="V160" i="35"/>
  <c r="U160" i="35"/>
  <c r="M160" i="35"/>
  <c r="N160" i="35" s="1"/>
  <c r="J160" i="35"/>
  <c r="K160" i="35" s="1"/>
  <c r="H160" i="35"/>
  <c r="V159" i="35"/>
  <c r="U159" i="35"/>
  <c r="M159" i="35"/>
  <c r="N159" i="35" s="1"/>
  <c r="J159" i="35"/>
  <c r="K159" i="35" s="1"/>
  <c r="H159" i="35"/>
  <c r="V158" i="35"/>
  <c r="U158" i="35"/>
  <c r="M158" i="35"/>
  <c r="N158" i="35" s="1"/>
  <c r="J158" i="35"/>
  <c r="K158" i="35" s="1"/>
  <c r="H158" i="35"/>
  <c r="V157" i="35"/>
  <c r="U157" i="35"/>
  <c r="M157" i="35"/>
  <c r="N157" i="35" s="1"/>
  <c r="J157" i="35"/>
  <c r="K157" i="35" s="1"/>
  <c r="H157" i="35"/>
  <c r="V156" i="35"/>
  <c r="U156" i="35"/>
  <c r="M156" i="35"/>
  <c r="N156" i="35" s="1"/>
  <c r="J156" i="35"/>
  <c r="K156" i="35" s="1"/>
  <c r="H156" i="35"/>
  <c r="V155" i="35"/>
  <c r="U155" i="35"/>
  <c r="M155" i="35"/>
  <c r="N155" i="35" s="1"/>
  <c r="J155" i="35"/>
  <c r="K155" i="35" s="1"/>
  <c r="H155" i="35"/>
  <c r="V154" i="35"/>
  <c r="U154" i="35"/>
  <c r="M154" i="35"/>
  <c r="N154" i="35" s="1"/>
  <c r="J154" i="35"/>
  <c r="K154" i="35" s="1"/>
  <c r="H154" i="35"/>
  <c r="V153" i="35"/>
  <c r="U153" i="35"/>
  <c r="M153" i="35"/>
  <c r="N153" i="35" s="1"/>
  <c r="J153" i="35"/>
  <c r="K153" i="35" s="1"/>
  <c r="H153" i="35"/>
  <c r="V152" i="35"/>
  <c r="U152" i="35"/>
  <c r="M152" i="35"/>
  <c r="N152" i="35" s="1"/>
  <c r="J152" i="35"/>
  <c r="K152" i="35" s="1"/>
  <c r="H152" i="35"/>
  <c r="V151" i="35"/>
  <c r="U151" i="35"/>
  <c r="M151" i="35"/>
  <c r="N151" i="35" s="1"/>
  <c r="J151" i="35"/>
  <c r="K151" i="35" s="1"/>
  <c r="H151" i="35"/>
  <c r="V150" i="35"/>
  <c r="U150" i="35"/>
  <c r="M150" i="35"/>
  <c r="N150" i="35" s="1"/>
  <c r="J150" i="35"/>
  <c r="K150" i="35" s="1"/>
  <c r="H150" i="35"/>
  <c r="V149" i="35"/>
  <c r="U149" i="35"/>
  <c r="M149" i="35"/>
  <c r="N149" i="35" s="1"/>
  <c r="J149" i="35"/>
  <c r="K149" i="35" s="1"/>
  <c r="H149" i="35"/>
  <c r="V148" i="35"/>
  <c r="U148" i="35"/>
  <c r="M148" i="35"/>
  <c r="N148" i="35" s="1"/>
  <c r="J148" i="35"/>
  <c r="K148" i="35" s="1"/>
  <c r="H148" i="35"/>
  <c r="V147" i="35"/>
  <c r="U147" i="35"/>
  <c r="M147" i="35"/>
  <c r="N147" i="35" s="1"/>
  <c r="J147" i="35"/>
  <c r="K147" i="35" s="1"/>
  <c r="H147" i="35"/>
  <c r="V146" i="35"/>
  <c r="U146" i="35"/>
  <c r="M146" i="35"/>
  <c r="N146" i="35" s="1"/>
  <c r="J146" i="35"/>
  <c r="K146" i="35" s="1"/>
  <c r="H146" i="35"/>
  <c r="V145" i="35"/>
  <c r="U145" i="35"/>
  <c r="M145" i="35"/>
  <c r="N145" i="35" s="1"/>
  <c r="J145" i="35"/>
  <c r="K145" i="35" s="1"/>
  <c r="H145" i="35"/>
  <c r="V144" i="35"/>
  <c r="U144" i="35"/>
  <c r="M144" i="35"/>
  <c r="N144" i="35" s="1"/>
  <c r="J144" i="35"/>
  <c r="K144" i="35" s="1"/>
  <c r="H144" i="35"/>
  <c r="V143" i="35"/>
  <c r="U143" i="35"/>
  <c r="M143" i="35"/>
  <c r="N143" i="35" s="1"/>
  <c r="J143" i="35"/>
  <c r="K143" i="35" s="1"/>
  <c r="I143" i="35"/>
  <c r="I353" i="35" s="1"/>
  <c r="H143" i="35"/>
  <c r="V142" i="35"/>
  <c r="U142" i="35"/>
  <c r="M142" i="35"/>
  <c r="N142" i="35" s="1"/>
  <c r="J142" i="35"/>
  <c r="K142" i="35" s="1"/>
  <c r="H142" i="35"/>
  <c r="V141" i="35"/>
  <c r="U141" i="35"/>
  <c r="M141" i="35"/>
  <c r="N141" i="35" s="1"/>
  <c r="J141" i="35"/>
  <c r="K141" i="35" s="1"/>
  <c r="H141" i="35"/>
  <c r="V140" i="35"/>
  <c r="U140" i="35"/>
  <c r="M140" i="35"/>
  <c r="N140" i="35" s="1"/>
  <c r="J140" i="35"/>
  <c r="K140" i="35" s="1"/>
  <c r="H140" i="35"/>
  <c r="V139" i="35"/>
  <c r="U139" i="35"/>
  <c r="M139" i="35"/>
  <c r="N139" i="35" s="1"/>
  <c r="J139" i="35"/>
  <c r="K139" i="35" s="1"/>
  <c r="H139" i="35"/>
  <c r="V138" i="35"/>
  <c r="U138" i="35"/>
  <c r="M138" i="35"/>
  <c r="N138" i="35" s="1"/>
  <c r="J138" i="35"/>
  <c r="K138" i="35" s="1"/>
  <c r="H138" i="35"/>
  <c r="V137" i="35"/>
  <c r="U137" i="35"/>
  <c r="M137" i="35"/>
  <c r="N137" i="35" s="1"/>
  <c r="J137" i="35"/>
  <c r="K137" i="35" s="1"/>
  <c r="H137" i="35"/>
  <c r="V136" i="35"/>
  <c r="U136" i="35"/>
  <c r="M136" i="35"/>
  <c r="N136" i="35" s="1"/>
  <c r="J136" i="35"/>
  <c r="K136" i="35" s="1"/>
  <c r="H136" i="35"/>
  <c r="V135" i="35"/>
  <c r="U135" i="35"/>
  <c r="M135" i="35"/>
  <c r="N135" i="35" s="1"/>
  <c r="J135" i="35"/>
  <c r="K135" i="35" s="1"/>
  <c r="H135" i="35"/>
  <c r="V134" i="35"/>
  <c r="U134" i="35"/>
  <c r="M134" i="35"/>
  <c r="N134" i="35" s="1"/>
  <c r="J134" i="35"/>
  <c r="K134" i="35" s="1"/>
  <c r="H134" i="35"/>
  <c r="V133" i="35"/>
  <c r="U133" i="35"/>
  <c r="M133" i="35"/>
  <c r="N133" i="35" s="1"/>
  <c r="J133" i="35"/>
  <c r="K133" i="35" s="1"/>
  <c r="H133" i="35"/>
  <c r="V132" i="35"/>
  <c r="U132" i="35"/>
  <c r="M132" i="35"/>
  <c r="N132" i="35" s="1"/>
  <c r="J132" i="35"/>
  <c r="K132" i="35" s="1"/>
  <c r="H132" i="35"/>
  <c r="V131" i="35"/>
  <c r="U131" i="35"/>
  <c r="M131" i="35"/>
  <c r="N131" i="35" s="1"/>
  <c r="J131" i="35"/>
  <c r="K131" i="35" s="1"/>
  <c r="H131" i="35"/>
  <c r="V130" i="35"/>
  <c r="U130" i="35"/>
  <c r="M130" i="35"/>
  <c r="N130" i="35" s="1"/>
  <c r="J130" i="35"/>
  <c r="K130" i="35" s="1"/>
  <c r="H130" i="35"/>
  <c r="V129" i="35"/>
  <c r="U129" i="35"/>
  <c r="M129" i="35"/>
  <c r="N129" i="35" s="1"/>
  <c r="J129" i="35"/>
  <c r="K129" i="35" s="1"/>
  <c r="H129" i="35"/>
  <c r="V128" i="35"/>
  <c r="U128" i="35"/>
  <c r="M128" i="35"/>
  <c r="N128" i="35" s="1"/>
  <c r="J128" i="35"/>
  <c r="K128" i="35" s="1"/>
  <c r="H128" i="35"/>
  <c r="V127" i="35"/>
  <c r="U127" i="35"/>
  <c r="M127" i="35"/>
  <c r="N127" i="35" s="1"/>
  <c r="J127" i="35"/>
  <c r="K127" i="35" s="1"/>
  <c r="H127" i="35"/>
  <c r="V126" i="35"/>
  <c r="U126" i="35"/>
  <c r="M126" i="35"/>
  <c r="N126" i="35" s="1"/>
  <c r="J126" i="35"/>
  <c r="K126" i="35" s="1"/>
  <c r="H126" i="35"/>
  <c r="V125" i="35"/>
  <c r="U125" i="35"/>
  <c r="M125" i="35"/>
  <c r="N125" i="35" s="1"/>
  <c r="J125" i="35"/>
  <c r="K125" i="35" s="1"/>
  <c r="H125" i="35"/>
  <c r="V124" i="35"/>
  <c r="U124" i="35"/>
  <c r="M124" i="35"/>
  <c r="N124" i="35" s="1"/>
  <c r="J124" i="35"/>
  <c r="K124" i="35" s="1"/>
  <c r="H124" i="35"/>
  <c r="V123" i="35"/>
  <c r="U123" i="35"/>
  <c r="M123" i="35"/>
  <c r="N123" i="35" s="1"/>
  <c r="J123" i="35"/>
  <c r="K123" i="35" s="1"/>
  <c r="H123" i="35"/>
  <c r="V122" i="35"/>
  <c r="U122" i="35"/>
  <c r="M122" i="35"/>
  <c r="N122" i="35" s="1"/>
  <c r="J122" i="35"/>
  <c r="K122" i="35" s="1"/>
  <c r="H122" i="35"/>
  <c r="V121" i="35"/>
  <c r="U121" i="35"/>
  <c r="M121" i="35"/>
  <c r="N121" i="35" s="1"/>
  <c r="J121" i="35"/>
  <c r="K121" i="35" s="1"/>
  <c r="H121" i="35"/>
  <c r="V120" i="35"/>
  <c r="U120" i="35"/>
  <c r="M120" i="35"/>
  <c r="N120" i="35" s="1"/>
  <c r="J120" i="35"/>
  <c r="K120" i="35" s="1"/>
  <c r="H120" i="35"/>
  <c r="V119" i="35"/>
  <c r="U119" i="35"/>
  <c r="M119" i="35"/>
  <c r="N119" i="35" s="1"/>
  <c r="J119" i="35"/>
  <c r="K119" i="35" s="1"/>
  <c r="H119" i="35"/>
  <c r="V118" i="35"/>
  <c r="U118" i="35"/>
  <c r="M118" i="35"/>
  <c r="N118" i="35" s="1"/>
  <c r="J118" i="35"/>
  <c r="K118" i="35" s="1"/>
  <c r="H118" i="35"/>
  <c r="V117" i="35"/>
  <c r="M117" i="35"/>
  <c r="N117" i="35" s="1"/>
  <c r="J117" i="35"/>
  <c r="K117" i="35" s="1"/>
  <c r="H117" i="35"/>
  <c r="U116" i="35"/>
  <c r="M116" i="35"/>
  <c r="N116" i="35" s="1"/>
  <c r="J116" i="35"/>
  <c r="K116" i="35" s="1"/>
  <c r="F116" i="35"/>
  <c r="H116" i="35" s="1"/>
  <c r="V115" i="35"/>
  <c r="U115" i="35"/>
  <c r="M115" i="35"/>
  <c r="N115" i="35" s="1"/>
  <c r="J115" i="35"/>
  <c r="K115" i="35" s="1"/>
  <c r="H115" i="35"/>
  <c r="V114" i="35"/>
  <c r="U114" i="35"/>
  <c r="M114" i="35"/>
  <c r="N114" i="35" s="1"/>
  <c r="J114" i="35"/>
  <c r="K114" i="35" s="1"/>
  <c r="H114" i="35"/>
  <c r="V113" i="35"/>
  <c r="U113" i="35"/>
  <c r="M113" i="35"/>
  <c r="N113" i="35" s="1"/>
  <c r="J113" i="35"/>
  <c r="K113" i="35" s="1"/>
  <c r="H113" i="35"/>
  <c r="V112" i="35"/>
  <c r="U112" i="35"/>
  <c r="M112" i="35"/>
  <c r="N112" i="35" s="1"/>
  <c r="J112" i="35"/>
  <c r="K112" i="35" s="1"/>
  <c r="H112" i="35"/>
  <c r="V111" i="35"/>
  <c r="U111" i="35"/>
  <c r="M111" i="35"/>
  <c r="N111" i="35" s="1"/>
  <c r="J111" i="35"/>
  <c r="K111" i="35" s="1"/>
  <c r="H111" i="35"/>
  <c r="V110" i="35"/>
  <c r="U110" i="35"/>
  <c r="M110" i="35"/>
  <c r="N110" i="35" s="1"/>
  <c r="J110" i="35"/>
  <c r="K110" i="35" s="1"/>
  <c r="H110" i="35"/>
  <c r="V109" i="35"/>
  <c r="U109" i="35"/>
  <c r="M109" i="35"/>
  <c r="N109" i="35" s="1"/>
  <c r="J109" i="35"/>
  <c r="K109" i="35" s="1"/>
  <c r="H109" i="35"/>
  <c r="V108" i="35"/>
  <c r="U108" i="35"/>
  <c r="M108" i="35"/>
  <c r="N108" i="35" s="1"/>
  <c r="J108" i="35"/>
  <c r="K108" i="35" s="1"/>
  <c r="H108" i="35"/>
  <c r="U107" i="35"/>
  <c r="M107" i="35"/>
  <c r="N107" i="35" s="1"/>
  <c r="J107" i="35"/>
  <c r="K107" i="35" s="1"/>
  <c r="H107" i="35"/>
  <c r="V106" i="35"/>
  <c r="U106" i="35"/>
  <c r="M106" i="35"/>
  <c r="N106" i="35" s="1"/>
  <c r="J106" i="35"/>
  <c r="K106" i="35" s="1"/>
  <c r="H106" i="35"/>
  <c r="V105" i="35"/>
  <c r="U105" i="35"/>
  <c r="M105" i="35"/>
  <c r="N105" i="35" s="1"/>
  <c r="J105" i="35"/>
  <c r="K105" i="35" s="1"/>
  <c r="H105" i="35"/>
  <c r="V104" i="35"/>
  <c r="U104" i="35"/>
  <c r="M104" i="35"/>
  <c r="N104" i="35" s="1"/>
  <c r="J104" i="35"/>
  <c r="K104" i="35" s="1"/>
  <c r="H104" i="35"/>
  <c r="V103" i="35"/>
  <c r="U103" i="35"/>
  <c r="M103" i="35"/>
  <c r="N103" i="35" s="1"/>
  <c r="J103" i="35"/>
  <c r="K103" i="35" s="1"/>
  <c r="H103" i="35"/>
  <c r="V102" i="35"/>
  <c r="U102" i="35"/>
  <c r="M102" i="35"/>
  <c r="N102" i="35" s="1"/>
  <c r="J102" i="35"/>
  <c r="K102" i="35" s="1"/>
  <c r="H102" i="35"/>
  <c r="V101" i="35"/>
  <c r="U101" i="35"/>
  <c r="M101" i="35"/>
  <c r="N101" i="35" s="1"/>
  <c r="J101" i="35"/>
  <c r="K101" i="35" s="1"/>
  <c r="H101" i="35"/>
  <c r="V100" i="35"/>
  <c r="U100" i="35"/>
  <c r="M100" i="35"/>
  <c r="N100" i="35" s="1"/>
  <c r="J100" i="35"/>
  <c r="K100" i="35" s="1"/>
  <c r="H100" i="35"/>
  <c r="V99" i="35"/>
  <c r="U99" i="35"/>
  <c r="M99" i="35"/>
  <c r="N99" i="35" s="1"/>
  <c r="J99" i="35"/>
  <c r="K99" i="35" s="1"/>
  <c r="H99" i="35"/>
  <c r="V98" i="35"/>
  <c r="U98" i="35"/>
  <c r="M98" i="35"/>
  <c r="N98" i="35" s="1"/>
  <c r="J98" i="35"/>
  <c r="K98" i="35" s="1"/>
  <c r="H98" i="35"/>
  <c r="V97" i="35"/>
  <c r="U97" i="35"/>
  <c r="M97" i="35"/>
  <c r="N97" i="35" s="1"/>
  <c r="J97" i="35"/>
  <c r="K97" i="35" s="1"/>
  <c r="H97" i="35"/>
  <c r="V96" i="35"/>
  <c r="U96" i="35"/>
  <c r="M96" i="35"/>
  <c r="N96" i="35" s="1"/>
  <c r="J96" i="35"/>
  <c r="K96" i="35" s="1"/>
  <c r="H96" i="35"/>
  <c r="V95" i="35"/>
  <c r="U95" i="35"/>
  <c r="M95" i="35"/>
  <c r="N95" i="35" s="1"/>
  <c r="J95" i="35"/>
  <c r="K95" i="35" s="1"/>
  <c r="H95" i="35"/>
  <c r="E95" i="35"/>
  <c r="V94" i="35"/>
  <c r="U94" i="35"/>
  <c r="M94" i="35"/>
  <c r="N94" i="35" s="1"/>
  <c r="J94" i="35"/>
  <c r="K94" i="35" s="1"/>
  <c r="H94" i="35"/>
  <c r="E94" i="35"/>
  <c r="V93" i="35"/>
  <c r="U93" i="35"/>
  <c r="M93" i="35"/>
  <c r="N93" i="35" s="1"/>
  <c r="J93" i="35"/>
  <c r="K93" i="35" s="1"/>
  <c r="H93" i="35"/>
  <c r="V92" i="35"/>
  <c r="U92" i="35"/>
  <c r="M92" i="35"/>
  <c r="N92" i="35" s="1"/>
  <c r="J92" i="35"/>
  <c r="K92" i="35" s="1"/>
  <c r="H92" i="35"/>
  <c r="V91" i="35"/>
  <c r="U91" i="35"/>
  <c r="M91" i="35"/>
  <c r="N91" i="35" s="1"/>
  <c r="J91" i="35"/>
  <c r="K91" i="35" s="1"/>
  <c r="H91" i="35"/>
  <c r="V90" i="35"/>
  <c r="U90" i="35"/>
  <c r="M90" i="35"/>
  <c r="N90" i="35" s="1"/>
  <c r="J90" i="35"/>
  <c r="K90" i="35" s="1"/>
  <c r="H90" i="35"/>
  <c r="V89" i="35"/>
  <c r="U89" i="35"/>
  <c r="M89" i="35"/>
  <c r="N89" i="35" s="1"/>
  <c r="J89" i="35"/>
  <c r="K89" i="35" s="1"/>
  <c r="H89" i="35"/>
  <c r="V88" i="35"/>
  <c r="U88" i="35"/>
  <c r="M88" i="35"/>
  <c r="N88" i="35" s="1"/>
  <c r="J88" i="35"/>
  <c r="K88" i="35" s="1"/>
  <c r="H88" i="35"/>
  <c r="V87" i="35"/>
  <c r="U87" i="35"/>
  <c r="M87" i="35"/>
  <c r="N87" i="35" s="1"/>
  <c r="J87" i="35"/>
  <c r="K87" i="35" s="1"/>
  <c r="H87" i="35"/>
  <c r="V86" i="35"/>
  <c r="U86" i="35"/>
  <c r="M86" i="35"/>
  <c r="N86" i="35" s="1"/>
  <c r="J86" i="35"/>
  <c r="K86" i="35" s="1"/>
  <c r="H86" i="35"/>
  <c r="V85" i="35"/>
  <c r="U85" i="35"/>
  <c r="M85" i="35"/>
  <c r="N85" i="35" s="1"/>
  <c r="J85" i="35"/>
  <c r="K85" i="35" s="1"/>
  <c r="H85" i="35"/>
  <c r="V84" i="35"/>
  <c r="U84" i="35"/>
  <c r="M84" i="35"/>
  <c r="N84" i="35" s="1"/>
  <c r="J84" i="35"/>
  <c r="K84" i="35" s="1"/>
  <c r="H84" i="35"/>
  <c r="V83" i="35"/>
  <c r="U83" i="35"/>
  <c r="M83" i="35"/>
  <c r="N83" i="35" s="1"/>
  <c r="J83" i="35"/>
  <c r="K83" i="35" s="1"/>
  <c r="H83" i="35"/>
  <c r="V82" i="35"/>
  <c r="U82" i="35"/>
  <c r="M82" i="35"/>
  <c r="N82" i="35" s="1"/>
  <c r="J82" i="35"/>
  <c r="K82" i="35" s="1"/>
  <c r="H82" i="35"/>
  <c r="V81" i="35"/>
  <c r="U81" i="35"/>
  <c r="M81" i="35"/>
  <c r="N81" i="35" s="1"/>
  <c r="J81" i="35"/>
  <c r="K81" i="35" s="1"/>
  <c r="H81" i="35"/>
  <c r="V80" i="35"/>
  <c r="U80" i="35"/>
  <c r="M80" i="35"/>
  <c r="N80" i="35" s="1"/>
  <c r="J80" i="35"/>
  <c r="K80" i="35" s="1"/>
  <c r="H80" i="35"/>
  <c r="V79" i="35"/>
  <c r="U79" i="35"/>
  <c r="M79" i="35"/>
  <c r="N79" i="35" s="1"/>
  <c r="J79" i="35"/>
  <c r="K79" i="35" s="1"/>
  <c r="H79" i="35"/>
  <c r="V78" i="35"/>
  <c r="U78" i="35"/>
  <c r="M78" i="35"/>
  <c r="N78" i="35" s="1"/>
  <c r="J78" i="35"/>
  <c r="K78" i="35" s="1"/>
  <c r="H78" i="35"/>
  <c r="V77" i="35"/>
  <c r="U77" i="35"/>
  <c r="M77" i="35"/>
  <c r="N77" i="35" s="1"/>
  <c r="J77" i="35"/>
  <c r="K77" i="35" s="1"/>
  <c r="H77" i="35"/>
  <c r="V76" i="35"/>
  <c r="U76" i="35"/>
  <c r="M76" i="35"/>
  <c r="N76" i="35" s="1"/>
  <c r="J76" i="35"/>
  <c r="K76" i="35" s="1"/>
  <c r="H76" i="35"/>
  <c r="V75" i="35"/>
  <c r="U75" i="35"/>
  <c r="M75" i="35"/>
  <c r="N75" i="35" s="1"/>
  <c r="J75" i="35"/>
  <c r="K75" i="35" s="1"/>
  <c r="H75" i="35"/>
  <c r="V74" i="35"/>
  <c r="U74" i="35"/>
  <c r="M74" i="35"/>
  <c r="N74" i="35" s="1"/>
  <c r="J74" i="35"/>
  <c r="K74" i="35" s="1"/>
  <c r="H74" i="35"/>
  <c r="V73" i="35"/>
  <c r="U73" i="35"/>
  <c r="M73" i="35"/>
  <c r="N73" i="35" s="1"/>
  <c r="J73" i="35"/>
  <c r="K73" i="35" s="1"/>
  <c r="H73" i="35"/>
  <c r="V72" i="35"/>
  <c r="U72" i="35"/>
  <c r="M72" i="35"/>
  <c r="N72" i="35" s="1"/>
  <c r="J72" i="35"/>
  <c r="K72" i="35" s="1"/>
  <c r="H72" i="35"/>
  <c r="V71" i="35"/>
  <c r="U71" i="35"/>
  <c r="M71" i="35"/>
  <c r="N71" i="35" s="1"/>
  <c r="J71" i="35"/>
  <c r="K71" i="35" s="1"/>
  <c r="H71" i="35"/>
  <c r="V70" i="35"/>
  <c r="U70" i="35"/>
  <c r="M70" i="35"/>
  <c r="N70" i="35" s="1"/>
  <c r="J70" i="35"/>
  <c r="K70" i="35" s="1"/>
  <c r="H70" i="35"/>
  <c r="V69" i="35"/>
  <c r="U69" i="35"/>
  <c r="M69" i="35"/>
  <c r="N69" i="35" s="1"/>
  <c r="J69" i="35"/>
  <c r="K69" i="35" s="1"/>
  <c r="H69" i="35"/>
  <c r="V68" i="35"/>
  <c r="U68" i="35"/>
  <c r="M68" i="35"/>
  <c r="N68" i="35" s="1"/>
  <c r="J68" i="35"/>
  <c r="K68" i="35" s="1"/>
  <c r="H68" i="35"/>
  <c r="V67" i="35"/>
  <c r="U67" i="35"/>
  <c r="M67" i="35"/>
  <c r="N67" i="35" s="1"/>
  <c r="J67" i="35"/>
  <c r="K67" i="35" s="1"/>
  <c r="H67" i="35"/>
  <c r="V66" i="35"/>
  <c r="U66" i="35"/>
  <c r="M66" i="35"/>
  <c r="N66" i="35" s="1"/>
  <c r="J66" i="35"/>
  <c r="K66" i="35" s="1"/>
  <c r="H66" i="35"/>
  <c r="V65" i="35"/>
  <c r="U65" i="35"/>
  <c r="M65" i="35"/>
  <c r="N65" i="35" s="1"/>
  <c r="J65" i="35"/>
  <c r="K65" i="35" s="1"/>
  <c r="H65" i="35"/>
  <c r="V64" i="35"/>
  <c r="U64" i="35"/>
  <c r="M64" i="35"/>
  <c r="N64" i="35" s="1"/>
  <c r="J64" i="35"/>
  <c r="K64" i="35" s="1"/>
  <c r="H64" i="35"/>
  <c r="V63" i="35"/>
  <c r="U63" i="35"/>
  <c r="M63" i="35"/>
  <c r="N63" i="35" s="1"/>
  <c r="J63" i="35"/>
  <c r="K63" i="35" s="1"/>
  <c r="H63" i="35"/>
  <c r="V62" i="35"/>
  <c r="U62" i="35"/>
  <c r="M62" i="35"/>
  <c r="N62" i="35" s="1"/>
  <c r="J62" i="35"/>
  <c r="K62" i="35" s="1"/>
  <c r="H62" i="35"/>
  <c r="V61" i="35"/>
  <c r="U61" i="35"/>
  <c r="M61" i="35"/>
  <c r="N61" i="35" s="1"/>
  <c r="J61" i="35"/>
  <c r="K61" i="35" s="1"/>
  <c r="H61" i="35"/>
  <c r="V60" i="35"/>
  <c r="U60" i="35"/>
  <c r="M60" i="35"/>
  <c r="N60" i="35" s="1"/>
  <c r="J60" i="35"/>
  <c r="K60" i="35" s="1"/>
  <c r="H60" i="35"/>
  <c r="V59" i="35"/>
  <c r="U59" i="35"/>
  <c r="M59" i="35"/>
  <c r="N59" i="35" s="1"/>
  <c r="J59" i="35"/>
  <c r="K59" i="35" s="1"/>
  <c r="H59" i="35"/>
  <c r="V58" i="35"/>
  <c r="U58" i="35"/>
  <c r="M58" i="35"/>
  <c r="N58" i="35" s="1"/>
  <c r="J58" i="35"/>
  <c r="K58" i="35" s="1"/>
  <c r="H58" i="35"/>
  <c r="V57" i="35"/>
  <c r="U57" i="35"/>
  <c r="M57" i="35"/>
  <c r="N57" i="35" s="1"/>
  <c r="J57" i="35"/>
  <c r="K57" i="35" s="1"/>
  <c r="H57" i="35"/>
  <c r="V56" i="35"/>
  <c r="U56" i="35"/>
  <c r="M56" i="35"/>
  <c r="N56" i="35" s="1"/>
  <c r="J56" i="35"/>
  <c r="K56" i="35" s="1"/>
  <c r="H56" i="35"/>
  <c r="V55" i="35"/>
  <c r="U55" i="35"/>
  <c r="M55" i="35"/>
  <c r="N55" i="35" s="1"/>
  <c r="J55" i="35"/>
  <c r="K55" i="35" s="1"/>
  <c r="H55" i="35"/>
  <c r="V54" i="35"/>
  <c r="U54" i="35"/>
  <c r="M54" i="35"/>
  <c r="N54" i="35" s="1"/>
  <c r="J54" i="35"/>
  <c r="K54" i="35" s="1"/>
  <c r="H54" i="35"/>
  <c r="V53" i="35"/>
  <c r="U53" i="35"/>
  <c r="M53" i="35"/>
  <c r="N53" i="35" s="1"/>
  <c r="J53" i="35"/>
  <c r="K53" i="35" s="1"/>
  <c r="Z53" i="35" s="1"/>
  <c r="H53" i="35"/>
  <c r="V52" i="35"/>
  <c r="U52" i="35"/>
  <c r="M52" i="35"/>
  <c r="N52" i="35" s="1"/>
  <c r="J52" i="35"/>
  <c r="K52" i="35" s="1"/>
  <c r="Z52" i="35" s="1"/>
  <c r="H52" i="35"/>
  <c r="V51" i="35"/>
  <c r="U51" i="35"/>
  <c r="M51" i="35"/>
  <c r="N51" i="35" s="1"/>
  <c r="J51" i="35"/>
  <c r="K51" i="35" s="1"/>
  <c r="Z51" i="35" s="1"/>
  <c r="H51" i="35"/>
  <c r="V50" i="35"/>
  <c r="U50" i="35"/>
  <c r="M50" i="35"/>
  <c r="N50" i="35" s="1"/>
  <c r="J50" i="35"/>
  <c r="K50" i="35" s="1"/>
  <c r="Z50" i="35" s="1"/>
  <c r="H50" i="35"/>
  <c r="V49" i="35"/>
  <c r="U49" i="35"/>
  <c r="M49" i="35"/>
  <c r="N49" i="35" s="1"/>
  <c r="J49" i="35"/>
  <c r="K49" i="35" s="1"/>
  <c r="Z49" i="35" s="1"/>
  <c r="H49" i="35"/>
  <c r="E49" i="35"/>
  <c r="V48" i="35"/>
  <c r="U48" i="35"/>
  <c r="M48" i="35"/>
  <c r="N48" i="35" s="1"/>
  <c r="J48" i="35"/>
  <c r="K48" i="35" s="1"/>
  <c r="H48" i="35"/>
  <c r="E48" i="35"/>
  <c r="V47" i="35"/>
  <c r="U47" i="35"/>
  <c r="M47" i="35"/>
  <c r="N47" i="35" s="1"/>
  <c r="J47" i="35"/>
  <c r="K47" i="35" s="1"/>
  <c r="Z47" i="35" s="1"/>
  <c r="H47" i="35"/>
  <c r="E47" i="35"/>
  <c r="V46" i="35"/>
  <c r="U46" i="35"/>
  <c r="M46" i="35"/>
  <c r="N46" i="35" s="1"/>
  <c r="J46" i="35"/>
  <c r="K46" i="35" s="1"/>
  <c r="Z46" i="35" s="1"/>
  <c r="H46" i="35"/>
  <c r="E46" i="35"/>
  <c r="V45" i="35"/>
  <c r="U45" i="35"/>
  <c r="M45" i="35"/>
  <c r="N45" i="35" s="1"/>
  <c r="J45" i="35"/>
  <c r="K45" i="35" s="1"/>
  <c r="Z45" i="35" s="1"/>
  <c r="H45" i="35"/>
  <c r="V44" i="35"/>
  <c r="U44" i="35"/>
  <c r="M44" i="35"/>
  <c r="N44" i="35" s="1"/>
  <c r="J44" i="35"/>
  <c r="K44" i="35" s="1"/>
  <c r="H44" i="35"/>
  <c r="V43" i="35"/>
  <c r="U43" i="35"/>
  <c r="M43" i="35"/>
  <c r="N43" i="35" s="1"/>
  <c r="J43" i="35"/>
  <c r="K43" i="35" s="1"/>
  <c r="Z43" i="35" s="1"/>
  <c r="H43" i="35"/>
  <c r="V42" i="35"/>
  <c r="U42" i="35"/>
  <c r="M42" i="35"/>
  <c r="N42" i="35" s="1"/>
  <c r="J42" i="35"/>
  <c r="K42" i="35" s="1"/>
  <c r="Z42" i="35" s="1"/>
  <c r="H42" i="35"/>
  <c r="V41" i="35"/>
  <c r="U41" i="35"/>
  <c r="M41" i="35"/>
  <c r="N41" i="35" s="1"/>
  <c r="J41" i="35"/>
  <c r="K41" i="35" s="1"/>
  <c r="Z41" i="35" s="1"/>
  <c r="H41" i="35"/>
  <c r="V40" i="35"/>
  <c r="U40" i="35"/>
  <c r="M40" i="35"/>
  <c r="N40" i="35" s="1"/>
  <c r="J40" i="35"/>
  <c r="K40" i="35" s="1"/>
  <c r="H40" i="35"/>
  <c r="V39" i="35"/>
  <c r="U39" i="35"/>
  <c r="M39" i="35"/>
  <c r="N39" i="35" s="1"/>
  <c r="J39" i="35"/>
  <c r="K39" i="35" s="1"/>
  <c r="Z39" i="35" s="1"/>
  <c r="H39" i="35"/>
  <c r="V38" i="35"/>
  <c r="U38" i="35"/>
  <c r="M38" i="35"/>
  <c r="N38" i="35" s="1"/>
  <c r="J38" i="35"/>
  <c r="K38" i="35" s="1"/>
  <c r="Z38" i="35" s="1"/>
  <c r="F38" i="35"/>
  <c r="F353" i="35" s="1"/>
  <c r="V37" i="35"/>
  <c r="U37" i="35"/>
  <c r="M37" i="35"/>
  <c r="N37" i="35" s="1"/>
  <c r="J37" i="35"/>
  <c r="K37" i="35" s="1"/>
  <c r="H37" i="35"/>
  <c r="V36" i="35"/>
  <c r="U36" i="35"/>
  <c r="M36" i="35"/>
  <c r="N36" i="35" s="1"/>
  <c r="J36" i="35"/>
  <c r="K36" i="35" s="1"/>
  <c r="Z36" i="35" s="1"/>
  <c r="H36" i="35"/>
  <c r="V35" i="35"/>
  <c r="U35" i="35"/>
  <c r="M35" i="35"/>
  <c r="N35" i="35" s="1"/>
  <c r="J35" i="35"/>
  <c r="K35" i="35" s="1"/>
  <c r="Z35" i="35" s="1"/>
  <c r="H35" i="35"/>
  <c r="V34" i="35"/>
  <c r="U34" i="35"/>
  <c r="M34" i="35"/>
  <c r="N34" i="35" s="1"/>
  <c r="J34" i="35"/>
  <c r="K34" i="35" s="1"/>
  <c r="Z34" i="35" s="1"/>
  <c r="H34" i="35"/>
  <c r="V33" i="35"/>
  <c r="U33" i="35"/>
  <c r="M33" i="35"/>
  <c r="N33" i="35" s="1"/>
  <c r="J33" i="35"/>
  <c r="K33" i="35" s="1"/>
  <c r="H33" i="35"/>
  <c r="V32" i="35"/>
  <c r="U32" i="35"/>
  <c r="M32" i="35"/>
  <c r="N32" i="35" s="1"/>
  <c r="J32" i="35"/>
  <c r="K32" i="35" s="1"/>
  <c r="Z32" i="35" s="1"/>
  <c r="H32" i="35"/>
  <c r="V31" i="35"/>
  <c r="U31" i="35"/>
  <c r="M31" i="35"/>
  <c r="N31" i="35" s="1"/>
  <c r="J31" i="35"/>
  <c r="K31" i="35" s="1"/>
  <c r="Z31" i="35" s="1"/>
  <c r="H31" i="35"/>
  <c r="V30" i="35"/>
  <c r="U30" i="35"/>
  <c r="M30" i="35"/>
  <c r="N30" i="35" s="1"/>
  <c r="J30" i="35"/>
  <c r="K30" i="35" s="1"/>
  <c r="Z30" i="35" s="1"/>
  <c r="H30" i="35"/>
  <c r="W29" i="35"/>
  <c r="V29" i="35"/>
  <c r="U29" i="35"/>
  <c r="M29" i="35"/>
  <c r="N29" i="35" s="1"/>
  <c r="J29" i="35"/>
  <c r="K29" i="35" s="1"/>
  <c r="H29" i="35"/>
  <c r="V28" i="35"/>
  <c r="U28" i="35"/>
  <c r="M28" i="35"/>
  <c r="N28" i="35" s="1"/>
  <c r="J28" i="35"/>
  <c r="K28" i="35" s="1"/>
  <c r="H28" i="35"/>
  <c r="V27" i="35"/>
  <c r="U27" i="35"/>
  <c r="M27" i="35"/>
  <c r="N27" i="35" s="1"/>
  <c r="J27" i="35"/>
  <c r="K27" i="35" s="1"/>
  <c r="H27" i="35"/>
  <c r="V26" i="35"/>
  <c r="U26" i="35"/>
  <c r="M26" i="35"/>
  <c r="N26" i="35" s="1"/>
  <c r="J26" i="35"/>
  <c r="K26" i="35" s="1"/>
  <c r="H26" i="35"/>
  <c r="V25" i="35"/>
  <c r="U25" i="35"/>
  <c r="M25" i="35"/>
  <c r="N25" i="35" s="1"/>
  <c r="J25" i="35"/>
  <c r="K25" i="35" s="1"/>
  <c r="H25" i="35"/>
  <c r="A25" i="35"/>
  <c r="A26" i="35" s="1"/>
  <c r="N353" i="35" l="1"/>
  <c r="K353" i="35"/>
  <c r="J357" i="35"/>
  <c r="J362" i="35"/>
  <c r="J356" i="35"/>
  <c r="M353" i="35"/>
  <c r="J361" i="35"/>
  <c r="J360" i="35"/>
  <c r="P85" i="35"/>
  <c r="Q85" i="35" s="1"/>
  <c r="S85" i="35" s="1"/>
  <c r="P110" i="35"/>
  <c r="Q110" i="35" s="1"/>
  <c r="S110" i="35" s="1"/>
  <c r="P243" i="35"/>
  <c r="Q243" i="35" s="1"/>
  <c r="S243" i="35" s="1"/>
  <c r="P58" i="35"/>
  <c r="Q58" i="35" s="1"/>
  <c r="S58" i="35" s="1"/>
  <c r="P66" i="35"/>
  <c r="Q66" i="35" s="1"/>
  <c r="S66" i="35" s="1"/>
  <c r="P74" i="35"/>
  <c r="Q74" i="35" s="1"/>
  <c r="S74" i="35" s="1"/>
  <c r="P82" i="35"/>
  <c r="Q82" i="35" s="1"/>
  <c r="S82" i="35" s="1"/>
  <c r="P91" i="35"/>
  <c r="Q91" i="35" s="1"/>
  <c r="S91" i="35" s="1"/>
  <c r="P124" i="35"/>
  <c r="Q124" i="35" s="1"/>
  <c r="S124" i="35" s="1"/>
  <c r="P125" i="35"/>
  <c r="Q125" i="35" s="1"/>
  <c r="S125" i="35" s="1"/>
  <c r="P128" i="35"/>
  <c r="Q128" i="35" s="1"/>
  <c r="S128" i="35" s="1"/>
  <c r="P129" i="35"/>
  <c r="Q129" i="35" s="1"/>
  <c r="S129" i="35" s="1"/>
  <c r="P132" i="35"/>
  <c r="Q132" i="35" s="1"/>
  <c r="S132" i="35" s="1"/>
  <c r="P133" i="35"/>
  <c r="Q133" i="35" s="1"/>
  <c r="S133" i="35" s="1"/>
  <c r="P136" i="35"/>
  <c r="Q136" i="35" s="1"/>
  <c r="S136" i="35" s="1"/>
  <c r="P137" i="35"/>
  <c r="Q137" i="35" s="1"/>
  <c r="S137" i="35" s="1"/>
  <c r="P140" i="35"/>
  <c r="Q140" i="35" s="1"/>
  <c r="S140" i="35" s="1"/>
  <c r="P141" i="35"/>
  <c r="Q141" i="35" s="1"/>
  <c r="S141" i="35" s="1"/>
  <c r="P151" i="35"/>
  <c r="Q151" i="35" s="1"/>
  <c r="S151" i="35" s="1"/>
  <c r="P152" i="35"/>
  <c r="Q152" i="35" s="1"/>
  <c r="S152" i="35" s="1"/>
  <c r="P269" i="35"/>
  <c r="Q269" i="35" s="1"/>
  <c r="S269" i="35" s="1"/>
  <c r="P285" i="35"/>
  <c r="Q285" i="35" s="1"/>
  <c r="S285" i="35" s="1"/>
  <c r="P98" i="35"/>
  <c r="Q98" i="35" s="1"/>
  <c r="S98" i="35" s="1"/>
  <c r="P101" i="35"/>
  <c r="Q101" i="35" s="1"/>
  <c r="S101" i="35" s="1"/>
  <c r="P102" i="35"/>
  <c r="Q102" i="35" s="1"/>
  <c r="S102" i="35" s="1"/>
  <c r="P105" i="35"/>
  <c r="Q105" i="35" s="1"/>
  <c r="S105" i="35" s="1"/>
  <c r="P106" i="35"/>
  <c r="Q106" i="35" s="1"/>
  <c r="S106" i="35" s="1"/>
  <c r="P114" i="35"/>
  <c r="Q114" i="35" s="1"/>
  <c r="S114" i="35" s="1"/>
  <c r="P178" i="35"/>
  <c r="Q178" i="35" s="1"/>
  <c r="S178" i="35" s="1"/>
  <c r="P218" i="35"/>
  <c r="Q218" i="35" s="1"/>
  <c r="S218" i="35" s="1"/>
  <c r="P230" i="35"/>
  <c r="Q230" i="35" s="1"/>
  <c r="S230" i="35" s="1"/>
  <c r="P238" i="35"/>
  <c r="Q238" i="35" s="1"/>
  <c r="S238" i="35" s="1"/>
  <c r="P245" i="35"/>
  <c r="Q245" i="35" s="1"/>
  <c r="S245" i="35" s="1"/>
  <c r="P246" i="35"/>
  <c r="Q246" i="35" s="1"/>
  <c r="S246" i="35" s="1"/>
  <c r="P51" i="35"/>
  <c r="Q51" i="35" s="1"/>
  <c r="S51" i="35" s="1"/>
  <c r="P54" i="35"/>
  <c r="Q54" i="35" s="1"/>
  <c r="S54" i="35" s="1"/>
  <c r="P62" i="35"/>
  <c r="Q62" i="35" s="1"/>
  <c r="S62" i="35" s="1"/>
  <c r="P70" i="35"/>
  <c r="Q70" i="35" s="1"/>
  <c r="S70" i="35" s="1"/>
  <c r="P78" i="35"/>
  <c r="Q78" i="35" s="1"/>
  <c r="S78" i="35" s="1"/>
  <c r="P95" i="35"/>
  <c r="Q95" i="35" s="1"/>
  <c r="S95" i="35" s="1"/>
  <c r="P147" i="35"/>
  <c r="Q147" i="35" s="1"/>
  <c r="S147" i="35" s="1"/>
  <c r="P164" i="35"/>
  <c r="Q164" i="35" s="1"/>
  <c r="S164" i="35" s="1"/>
  <c r="P165" i="35"/>
  <c r="Q165" i="35" s="1"/>
  <c r="S165" i="35" s="1"/>
  <c r="P168" i="35"/>
  <c r="Q168" i="35" s="1"/>
  <c r="S168" i="35" s="1"/>
  <c r="P225" i="35"/>
  <c r="Q225" i="35" s="1"/>
  <c r="S225" i="35" s="1"/>
  <c r="P277" i="35"/>
  <c r="Q277" i="35" s="1"/>
  <c r="S277" i="35" s="1"/>
  <c r="P163" i="35"/>
  <c r="Q163" i="35" s="1"/>
  <c r="S163" i="35" s="1"/>
  <c r="P28" i="35"/>
  <c r="Q28" i="35" s="1"/>
  <c r="S28" i="35" s="1"/>
  <c r="P41" i="35"/>
  <c r="Q41" i="35" s="1"/>
  <c r="S41" i="35" s="1"/>
  <c r="P65" i="35"/>
  <c r="Q65" i="35" s="1"/>
  <c r="S65" i="35" s="1"/>
  <c r="P81" i="35"/>
  <c r="Q81" i="35" s="1"/>
  <c r="S81" i="35" s="1"/>
  <c r="P159" i="35"/>
  <c r="Q159" i="35" s="1"/>
  <c r="S159" i="35" s="1"/>
  <c r="P175" i="35"/>
  <c r="Q175" i="35" s="1"/>
  <c r="S175" i="35" s="1"/>
  <c r="P183" i="35"/>
  <c r="Q183" i="35" s="1"/>
  <c r="S183" i="35" s="1"/>
  <c r="P185" i="35"/>
  <c r="Q185" i="35" s="1"/>
  <c r="S185" i="35" s="1"/>
  <c r="P200" i="35"/>
  <c r="Q200" i="35" s="1"/>
  <c r="S200" i="35" s="1"/>
  <c r="P203" i="35"/>
  <c r="Q203" i="35" s="1"/>
  <c r="S203" i="35" s="1"/>
  <c r="P45" i="35"/>
  <c r="Q45" i="35" s="1"/>
  <c r="S45" i="35" s="1"/>
  <c r="P61" i="35"/>
  <c r="Q61" i="35" s="1"/>
  <c r="S61" i="35" s="1"/>
  <c r="P69" i="35"/>
  <c r="Q69" i="35" s="1"/>
  <c r="S69" i="35" s="1"/>
  <c r="P73" i="35"/>
  <c r="Q73" i="35" s="1"/>
  <c r="S73" i="35" s="1"/>
  <c r="P77" i="35"/>
  <c r="Q77" i="35" s="1"/>
  <c r="S77" i="35" s="1"/>
  <c r="P109" i="35"/>
  <c r="Q109" i="35" s="1"/>
  <c r="S109" i="35" s="1"/>
  <c r="P26" i="35"/>
  <c r="Q26" i="35" s="1"/>
  <c r="S26" i="35" s="1"/>
  <c r="P39" i="35"/>
  <c r="Q39" i="35" s="1"/>
  <c r="S39" i="35" s="1"/>
  <c r="P43" i="35"/>
  <c r="Q43" i="35" s="1"/>
  <c r="S43" i="35" s="1"/>
  <c r="P53" i="35"/>
  <c r="Q53" i="35" s="1"/>
  <c r="S53" i="35" s="1"/>
  <c r="P92" i="35"/>
  <c r="Q92" i="35" s="1"/>
  <c r="S92" i="35" s="1"/>
  <c r="P96" i="35"/>
  <c r="Q96" i="35" s="1"/>
  <c r="S96" i="35" s="1"/>
  <c r="P111" i="35"/>
  <c r="Q111" i="35" s="1"/>
  <c r="S111" i="35" s="1"/>
  <c r="P115" i="35"/>
  <c r="Q115" i="35" s="1"/>
  <c r="S115" i="35" s="1"/>
  <c r="P116" i="35"/>
  <c r="Q116" i="35" s="1"/>
  <c r="S116" i="35" s="1"/>
  <c r="P119" i="35"/>
  <c r="Q119" i="35" s="1"/>
  <c r="S119" i="35" s="1"/>
  <c r="P122" i="35"/>
  <c r="Q122" i="35" s="1"/>
  <c r="S122" i="35" s="1"/>
  <c r="P143" i="35"/>
  <c r="Q143" i="35" s="1"/>
  <c r="S143" i="35" s="1"/>
  <c r="P161" i="35"/>
  <c r="Q161" i="35" s="1"/>
  <c r="S161" i="35" s="1"/>
  <c r="P170" i="35"/>
  <c r="Q170" i="35" s="1"/>
  <c r="S170" i="35" s="1"/>
  <c r="P171" i="35"/>
  <c r="Q171" i="35" s="1"/>
  <c r="S171" i="35" s="1"/>
  <c r="P207" i="35"/>
  <c r="Q207" i="35" s="1"/>
  <c r="S207" i="35" s="1"/>
  <c r="P211" i="35"/>
  <c r="Q211" i="35" s="1"/>
  <c r="S211" i="35" s="1"/>
  <c r="P232" i="35"/>
  <c r="Q232" i="35" s="1"/>
  <c r="S232" i="35" s="1"/>
  <c r="P233" i="35"/>
  <c r="Q233" i="35" s="1"/>
  <c r="S233" i="35" s="1"/>
  <c r="P255" i="35"/>
  <c r="Q255" i="35" s="1"/>
  <c r="S255" i="35" s="1"/>
  <c r="P90" i="35"/>
  <c r="Q90" i="35" s="1"/>
  <c r="S90" i="35" s="1"/>
  <c r="P94" i="35"/>
  <c r="Q94" i="35" s="1"/>
  <c r="S94" i="35" s="1"/>
  <c r="P113" i="35"/>
  <c r="Q113" i="35" s="1"/>
  <c r="S113" i="35" s="1"/>
  <c r="P120" i="35"/>
  <c r="Q120" i="35" s="1"/>
  <c r="S120" i="35" s="1"/>
  <c r="P100" i="35"/>
  <c r="Q100" i="35" s="1"/>
  <c r="S100" i="35" s="1"/>
  <c r="P104" i="35"/>
  <c r="Q104" i="35" s="1"/>
  <c r="S104" i="35" s="1"/>
  <c r="P127" i="35"/>
  <c r="Q127" i="35" s="1"/>
  <c r="S127" i="35" s="1"/>
  <c r="P131" i="35"/>
  <c r="Q131" i="35" s="1"/>
  <c r="S131" i="35" s="1"/>
  <c r="P135" i="35"/>
  <c r="Q135" i="35" s="1"/>
  <c r="S135" i="35" s="1"/>
  <c r="P139" i="35"/>
  <c r="Q139" i="35" s="1"/>
  <c r="S139" i="35" s="1"/>
  <c r="P148" i="35"/>
  <c r="Q148" i="35" s="1"/>
  <c r="S148" i="35" s="1"/>
  <c r="P167" i="35"/>
  <c r="Q167" i="35" s="1"/>
  <c r="S167" i="35" s="1"/>
  <c r="P192" i="35"/>
  <c r="Q192" i="35" s="1"/>
  <c r="S192" i="35" s="1"/>
  <c r="P216" i="35"/>
  <c r="Q216" i="35" s="1"/>
  <c r="S216" i="35" s="1"/>
  <c r="P220" i="35"/>
  <c r="Q220" i="35" s="1"/>
  <c r="S220" i="35" s="1"/>
  <c r="P223" i="35"/>
  <c r="Q223" i="35" s="1"/>
  <c r="S223" i="35" s="1"/>
  <c r="P224" i="35"/>
  <c r="Q224" i="35" s="1"/>
  <c r="S224" i="35" s="1"/>
  <c r="P235" i="35"/>
  <c r="Q235" i="35" s="1"/>
  <c r="S235" i="35" s="1"/>
  <c r="P32" i="35"/>
  <c r="Q32" i="35" s="1"/>
  <c r="S32" i="35" s="1"/>
  <c r="P36" i="35"/>
  <c r="Q36" i="35" s="1"/>
  <c r="S36" i="35" s="1"/>
  <c r="P47" i="35"/>
  <c r="Q47" i="35" s="1"/>
  <c r="S47" i="35" s="1"/>
  <c r="P57" i="35"/>
  <c r="Q57" i="35" s="1"/>
  <c r="S57" i="35" s="1"/>
  <c r="P97" i="35"/>
  <c r="Q97" i="35" s="1"/>
  <c r="S97" i="35" s="1"/>
  <c r="P42" i="35"/>
  <c r="Q42" i="35" s="1"/>
  <c r="S42" i="35" s="1"/>
  <c r="P56" i="35"/>
  <c r="Q56" i="35" s="1"/>
  <c r="S56" i="35" s="1"/>
  <c r="P60" i="35"/>
  <c r="Q60" i="35" s="1"/>
  <c r="S60" i="35" s="1"/>
  <c r="P64" i="35"/>
  <c r="Q64" i="35" s="1"/>
  <c r="S64" i="35" s="1"/>
  <c r="P68" i="35"/>
  <c r="Q68" i="35" s="1"/>
  <c r="S68" i="35" s="1"/>
  <c r="P72" i="35"/>
  <c r="Q72" i="35" s="1"/>
  <c r="S72" i="35" s="1"/>
  <c r="P76" i="35"/>
  <c r="Q76" i="35" s="1"/>
  <c r="S76" i="35" s="1"/>
  <c r="P80" i="35"/>
  <c r="Q80" i="35" s="1"/>
  <c r="S80" i="35" s="1"/>
  <c r="P156" i="35"/>
  <c r="Q156" i="35" s="1"/>
  <c r="S156" i="35" s="1"/>
  <c r="P172" i="35"/>
  <c r="Q172" i="35" s="1"/>
  <c r="S172" i="35" s="1"/>
  <c r="P173" i="35"/>
  <c r="Q173" i="35" s="1"/>
  <c r="S173" i="35" s="1"/>
  <c r="P180" i="35"/>
  <c r="Q180" i="35" s="1"/>
  <c r="S180" i="35" s="1"/>
  <c r="P181" i="35"/>
  <c r="Q181" i="35" s="1"/>
  <c r="S181" i="35" s="1"/>
  <c r="P187" i="35"/>
  <c r="Q187" i="35" s="1"/>
  <c r="S187" i="35" s="1"/>
  <c r="P189" i="35"/>
  <c r="Q189" i="35" s="1"/>
  <c r="S189" i="35" s="1"/>
  <c r="P190" i="35"/>
  <c r="Q190" i="35" s="1"/>
  <c r="S190" i="35" s="1"/>
  <c r="P193" i="35"/>
  <c r="Q193" i="35" s="1"/>
  <c r="S193" i="35" s="1"/>
  <c r="P194" i="35"/>
  <c r="Q194" i="35" s="1"/>
  <c r="S194" i="35" s="1"/>
  <c r="P205" i="35"/>
  <c r="Q205" i="35" s="1"/>
  <c r="S205" i="35" s="1"/>
  <c r="P209" i="35"/>
  <c r="Q209" i="35" s="1"/>
  <c r="S209" i="35" s="1"/>
  <c r="P213" i="35"/>
  <c r="Q213" i="35" s="1"/>
  <c r="S213" i="35" s="1"/>
  <c r="P253" i="35"/>
  <c r="Q253" i="35" s="1"/>
  <c r="S253" i="35" s="1"/>
  <c r="P257" i="35"/>
  <c r="Q257" i="35" s="1"/>
  <c r="S257" i="35" s="1"/>
  <c r="P258" i="35"/>
  <c r="Q258" i="35" s="1"/>
  <c r="S258" i="35" s="1"/>
  <c r="P260" i="35"/>
  <c r="Q260" i="35" s="1"/>
  <c r="S260" i="35" s="1"/>
  <c r="P248" i="35"/>
  <c r="Q248" i="35" s="1"/>
  <c r="S248" i="35" s="1"/>
  <c r="P252" i="35"/>
  <c r="Q252" i="35" s="1"/>
  <c r="S252" i="35" s="1"/>
  <c r="P267" i="35"/>
  <c r="Q267" i="35" s="1"/>
  <c r="S267" i="35" s="1"/>
  <c r="P268" i="35"/>
  <c r="Q268" i="35" s="1"/>
  <c r="S268" i="35" s="1"/>
  <c r="P273" i="35"/>
  <c r="Q273" i="35" s="1"/>
  <c r="S273" i="35" s="1"/>
  <c r="P274" i="35"/>
  <c r="Q274" i="35" s="1"/>
  <c r="S274" i="35" s="1"/>
  <c r="P281" i="35"/>
  <c r="Q281" i="35" s="1"/>
  <c r="S281" i="35" s="1"/>
  <c r="P282" i="35"/>
  <c r="Q282" i="35" s="1"/>
  <c r="S282" i="35" s="1"/>
  <c r="P240" i="35"/>
  <c r="Q240" i="35" s="1"/>
  <c r="S240" i="35" s="1"/>
  <c r="P241" i="35"/>
  <c r="Q241" i="35" s="1"/>
  <c r="S241" i="35" s="1"/>
  <c r="P249" i="35"/>
  <c r="Q249" i="35" s="1"/>
  <c r="S249" i="35" s="1"/>
  <c r="P264" i="35"/>
  <c r="Q264" i="35" s="1"/>
  <c r="S264" i="35" s="1"/>
  <c r="P270" i="35"/>
  <c r="Q270" i="35" s="1"/>
  <c r="S270" i="35" s="1"/>
  <c r="P278" i="35"/>
  <c r="Q278" i="35" s="1"/>
  <c r="S278" i="35" s="1"/>
  <c r="P286" i="35"/>
  <c r="Q286" i="35" s="1"/>
  <c r="S286" i="35" s="1"/>
  <c r="P29" i="35"/>
  <c r="Q29" i="35" s="1"/>
  <c r="S29" i="35" s="1"/>
  <c r="Z29" i="35"/>
  <c r="Z37" i="35"/>
  <c r="P37" i="35"/>
  <c r="Q37" i="35" s="1"/>
  <c r="S37" i="35" s="1"/>
  <c r="P48" i="35"/>
  <c r="Q48" i="35" s="1"/>
  <c r="S48" i="35" s="1"/>
  <c r="Z48" i="35"/>
  <c r="P31" i="35"/>
  <c r="Q31" i="35" s="1"/>
  <c r="S31" i="35" s="1"/>
  <c r="P35" i="35"/>
  <c r="Q35" i="35" s="1"/>
  <c r="S35" i="35" s="1"/>
  <c r="P40" i="35"/>
  <c r="Q40" i="35" s="1"/>
  <c r="S40" i="35" s="1"/>
  <c r="Z40" i="35"/>
  <c r="Z44" i="35"/>
  <c r="P44" i="35"/>
  <c r="Q44" i="35" s="1"/>
  <c r="S44" i="35" s="1"/>
  <c r="P50" i="35"/>
  <c r="Q50" i="35" s="1"/>
  <c r="S50" i="35" s="1"/>
  <c r="P86" i="35"/>
  <c r="Q86" i="35" s="1"/>
  <c r="S86" i="35" s="1"/>
  <c r="P25" i="35"/>
  <c r="Q25" i="35" s="1"/>
  <c r="S25" i="35" s="1"/>
  <c r="P30" i="35"/>
  <c r="Q30" i="35" s="1"/>
  <c r="S30" i="35" s="1"/>
  <c r="P34" i="35"/>
  <c r="Q34" i="35" s="1"/>
  <c r="S34" i="35" s="1"/>
  <c r="P46" i="35"/>
  <c r="Q46" i="35" s="1"/>
  <c r="S46" i="35" s="1"/>
  <c r="P49" i="35"/>
  <c r="Q49" i="35" s="1"/>
  <c r="S49" i="35" s="1"/>
  <c r="P55" i="35"/>
  <c r="Q55" i="35" s="1"/>
  <c r="S55" i="35" s="1"/>
  <c r="P59" i="35"/>
  <c r="Q59" i="35" s="1"/>
  <c r="S59" i="35" s="1"/>
  <c r="P63" i="35"/>
  <c r="Q63" i="35" s="1"/>
  <c r="S63" i="35" s="1"/>
  <c r="P67" i="35"/>
  <c r="Q67" i="35" s="1"/>
  <c r="S67" i="35" s="1"/>
  <c r="P71" i="35"/>
  <c r="Q71" i="35" s="1"/>
  <c r="S71" i="35" s="1"/>
  <c r="P75" i="35"/>
  <c r="Q75" i="35" s="1"/>
  <c r="S75" i="35" s="1"/>
  <c r="P79" i="35"/>
  <c r="Q79" i="35" s="1"/>
  <c r="S79" i="35" s="1"/>
  <c r="P83" i="35"/>
  <c r="Q83" i="35" s="1"/>
  <c r="S83" i="35" s="1"/>
  <c r="P87" i="35"/>
  <c r="Q87" i="35" s="1"/>
  <c r="S87" i="35" s="1"/>
  <c r="P27" i="35"/>
  <c r="Q27" i="35" s="1"/>
  <c r="S27" i="35" s="1"/>
  <c r="P33" i="35"/>
  <c r="Q33" i="35" s="1"/>
  <c r="S33" i="35" s="1"/>
  <c r="Z33" i="35"/>
  <c r="P52" i="35"/>
  <c r="Q52" i="35" s="1"/>
  <c r="S52" i="35" s="1"/>
  <c r="P84" i="35"/>
  <c r="Q84" i="35" s="1"/>
  <c r="S84" i="35" s="1"/>
  <c r="T25" i="35"/>
  <c r="W30" i="35"/>
  <c r="W31" i="35" s="1"/>
  <c r="P93" i="35"/>
  <c r="Q93" i="35" s="1"/>
  <c r="S93" i="35" s="1"/>
  <c r="P99" i="35"/>
  <c r="Q99" i="35" s="1"/>
  <c r="S99" i="35" s="1"/>
  <c r="P103" i="35"/>
  <c r="Q103" i="35" s="1"/>
  <c r="S103" i="35" s="1"/>
  <c r="P107" i="35"/>
  <c r="Q107" i="35" s="1"/>
  <c r="S107" i="35" s="1"/>
  <c r="P118" i="35"/>
  <c r="Q118" i="35" s="1"/>
  <c r="S118" i="35" s="1"/>
  <c r="P126" i="35"/>
  <c r="Q126" i="35" s="1"/>
  <c r="S126" i="35" s="1"/>
  <c r="P130" i="35"/>
  <c r="Q130" i="35" s="1"/>
  <c r="S130" i="35" s="1"/>
  <c r="P134" i="35"/>
  <c r="Q134" i="35" s="1"/>
  <c r="S134" i="35" s="1"/>
  <c r="P138" i="35"/>
  <c r="Q138" i="35" s="1"/>
  <c r="S138" i="35" s="1"/>
  <c r="P153" i="35"/>
  <c r="Q153" i="35" s="1"/>
  <c r="S153" i="35" s="1"/>
  <c r="P154" i="35"/>
  <c r="Q154" i="35" s="1"/>
  <c r="S154" i="35" s="1"/>
  <c r="J363" i="35"/>
  <c r="T26" i="35"/>
  <c r="H38" i="35"/>
  <c r="P38" i="35" s="1"/>
  <c r="Q38" i="35" s="1"/>
  <c r="S38" i="35" s="1"/>
  <c r="P88" i="35"/>
  <c r="Q88" i="35" s="1"/>
  <c r="S88" i="35" s="1"/>
  <c r="P89" i="35"/>
  <c r="Q89" i="35" s="1"/>
  <c r="S89" i="35" s="1"/>
  <c r="P117" i="35"/>
  <c r="Q117" i="35" s="1"/>
  <c r="S117" i="35" s="1"/>
  <c r="P121" i="35"/>
  <c r="Q121" i="35" s="1"/>
  <c r="S121" i="35" s="1"/>
  <c r="P123" i="35"/>
  <c r="Q123" i="35" s="1"/>
  <c r="S123" i="35" s="1"/>
  <c r="P149" i="35"/>
  <c r="Q149" i="35" s="1"/>
  <c r="S149" i="35" s="1"/>
  <c r="P150" i="35"/>
  <c r="Q150" i="35" s="1"/>
  <c r="S150" i="35" s="1"/>
  <c r="P155" i="35"/>
  <c r="Q155" i="35" s="1"/>
  <c r="S155" i="35" s="1"/>
  <c r="A27" i="35"/>
  <c r="T27" i="35" s="1"/>
  <c r="P144" i="35"/>
  <c r="Q144" i="35" s="1"/>
  <c r="S144" i="35" s="1"/>
  <c r="P108" i="35"/>
  <c r="Q108" i="35" s="1"/>
  <c r="S108" i="35" s="1"/>
  <c r="P112" i="35"/>
  <c r="Q112" i="35" s="1"/>
  <c r="S112" i="35" s="1"/>
  <c r="P142" i="35"/>
  <c r="Q142" i="35" s="1"/>
  <c r="S142" i="35" s="1"/>
  <c r="P145" i="35"/>
  <c r="Q145" i="35" s="1"/>
  <c r="S145" i="35" s="1"/>
  <c r="P146" i="35"/>
  <c r="Q146" i="35" s="1"/>
  <c r="S146" i="35" s="1"/>
  <c r="P157" i="35"/>
  <c r="Q157" i="35" s="1"/>
  <c r="S157" i="35" s="1"/>
  <c r="P158" i="35"/>
  <c r="Q158" i="35" s="1"/>
  <c r="S158" i="35" s="1"/>
  <c r="P160" i="35"/>
  <c r="Q160" i="35" s="1"/>
  <c r="S160" i="35" s="1"/>
  <c r="P174" i="35"/>
  <c r="Q174" i="35" s="1"/>
  <c r="S174" i="35" s="1"/>
  <c r="P179" i="35"/>
  <c r="Q179" i="35" s="1"/>
  <c r="S179" i="35" s="1"/>
  <c r="P182" i="35"/>
  <c r="Q182" i="35" s="1"/>
  <c r="S182" i="35" s="1"/>
  <c r="P191" i="35"/>
  <c r="Q191" i="35" s="1"/>
  <c r="S191" i="35" s="1"/>
  <c r="P195" i="35"/>
  <c r="Q195" i="35" s="1"/>
  <c r="S195" i="35" s="1"/>
  <c r="P196" i="35"/>
  <c r="Q196" i="35" s="1"/>
  <c r="S196" i="35" s="1"/>
  <c r="P199" i="35"/>
  <c r="Q199" i="35" s="1"/>
  <c r="S199" i="35" s="1"/>
  <c r="P215" i="35"/>
  <c r="Q215" i="35" s="1"/>
  <c r="S215" i="35" s="1"/>
  <c r="P219" i="35"/>
  <c r="Q219" i="35" s="1"/>
  <c r="S219" i="35" s="1"/>
  <c r="P166" i="35"/>
  <c r="Q166" i="35" s="1"/>
  <c r="S166" i="35" s="1"/>
  <c r="P169" i="35"/>
  <c r="Q169" i="35" s="1"/>
  <c r="S169" i="35" s="1"/>
  <c r="P197" i="35"/>
  <c r="Q197" i="35" s="1"/>
  <c r="S197" i="35" s="1"/>
  <c r="P198" i="35"/>
  <c r="Q198" i="35" s="1"/>
  <c r="S198" i="35" s="1"/>
  <c r="P204" i="35"/>
  <c r="Q204" i="35" s="1"/>
  <c r="S204" i="35" s="1"/>
  <c r="P208" i="35"/>
  <c r="Q208" i="35" s="1"/>
  <c r="S208" i="35" s="1"/>
  <c r="P212" i="35"/>
  <c r="Q212" i="35" s="1"/>
  <c r="S212" i="35" s="1"/>
  <c r="P186" i="35"/>
  <c r="Q186" i="35" s="1"/>
  <c r="S186" i="35" s="1"/>
  <c r="P188" i="35"/>
  <c r="Q188" i="35" s="1"/>
  <c r="S188" i="35" s="1"/>
  <c r="P217" i="35"/>
  <c r="Q217" i="35" s="1"/>
  <c r="S217" i="35" s="1"/>
  <c r="P221" i="35"/>
  <c r="Q221" i="35" s="1"/>
  <c r="S221" i="35" s="1"/>
  <c r="P162" i="35"/>
  <c r="Q162" i="35" s="1"/>
  <c r="S162" i="35" s="1"/>
  <c r="P176" i="35"/>
  <c r="Q176" i="35" s="1"/>
  <c r="S176" i="35" s="1"/>
  <c r="P177" i="35"/>
  <c r="Q177" i="35" s="1"/>
  <c r="S177" i="35" s="1"/>
  <c r="P184" i="35"/>
  <c r="Q184" i="35" s="1"/>
  <c r="S184" i="35" s="1"/>
  <c r="P201" i="35"/>
  <c r="Q201" i="35" s="1"/>
  <c r="S201" i="35" s="1"/>
  <c r="P202" i="35"/>
  <c r="Q202" i="35" s="1"/>
  <c r="S202" i="35" s="1"/>
  <c r="P206" i="35"/>
  <c r="Q206" i="35" s="1"/>
  <c r="S206" i="35" s="1"/>
  <c r="P210" i="35"/>
  <c r="Q210" i="35" s="1"/>
  <c r="S210" i="35" s="1"/>
  <c r="P214" i="35"/>
  <c r="Q214" i="35" s="1"/>
  <c r="S214" i="35" s="1"/>
  <c r="P222" i="35"/>
  <c r="Q222" i="35" s="1"/>
  <c r="S222" i="35" s="1"/>
  <c r="P226" i="35"/>
  <c r="Q226" i="35" s="1"/>
  <c r="S226" i="35" s="1"/>
  <c r="P227" i="35"/>
  <c r="Q227" i="35" s="1"/>
  <c r="S227" i="35" s="1"/>
  <c r="P228" i="35"/>
  <c r="Q228" i="35" s="1"/>
  <c r="S228" i="35" s="1"/>
  <c r="P229" i="35"/>
  <c r="Q229" i="35" s="1"/>
  <c r="S229" i="35" s="1"/>
  <c r="P236" i="35"/>
  <c r="Q236" i="35" s="1"/>
  <c r="S236" i="35" s="1"/>
  <c r="P237" i="35"/>
  <c r="Q237" i="35" s="1"/>
  <c r="S237" i="35" s="1"/>
  <c r="P254" i="35"/>
  <c r="Q254" i="35" s="1"/>
  <c r="S254" i="35" s="1"/>
  <c r="P256" i="35"/>
  <c r="Q256" i="35" s="1"/>
  <c r="S256" i="35" s="1"/>
  <c r="P259" i="35"/>
  <c r="Q259" i="35" s="1"/>
  <c r="S259" i="35" s="1"/>
  <c r="P265" i="35"/>
  <c r="Q265" i="35" s="1"/>
  <c r="S265" i="35" s="1"/>
  <c r="P266" i="35"/>
  <c r="Q266" i="35" s="1"/>
  <c r="S266" i="35" s="1"/>
  <c r="P272" i="35"/>
  <c r="Q272" i="35" s="1"/>
  <c r="S272" i="35" s="1"/>
  <c r="P275" i="35"/>
  <c r="Q275" i="35" s="1"/>
  <c r="S275" i="35" s="1"/>
  <c r="P280" i="35"/>
  <c r="Q280" i="35" s="1"/>
  <c r="S280" i="35" s="1"/>
  <c r="P283" i="35"/>
  <c r="Q283" i="35" s="1"/>
  <c r="S283" i="35" s="1"/>
  <c r="P288" i="35"/>
  <c r="Q288" i="35" s="1"/>
  <c r="S288" i="35" s="1"/>
  <c r="P231" i="35"/>
  <c r="Q231" i="35" s="1"/>
  <c r="S231" i="35" s="1"/>
  <c r="P234" i="35"/>
  <c r="Q234" i="35" s="1"/>
  <c r="S234" i="35" s="1"/>
  <c r="P239" i="35"/>
  <c r="Q239" i="35" s="1"/>
  <c r="S239" i="35" s="1"/>
  <c r="P242" i="35"/>
  <c r="Q242" i="35" s="1"/>
  <c r="S242" i="35" s="1"/>
  <c r="P251" i="35"/>
  <c r="Q251" i="35" s="1"/>
  <c r="S251" i="35" s="1"/>
  <c r="P263" i="35"/>
  <c r="Q263" i="35" s="1"/>
  <c r="S263" i="35" s="1"/>
  <c r="P244" i="35"/>
  <c r="Q244" i="35" s="1"/>
  <c r="S244" i="35" s="1"/>
  <c r="P247" i="35"/>
  <c r="Q247" i="35" s="1"/>
  <c r="S247" i="35" s="1"/>
  <c r="P250" i="35"/>
  <c r="Q250" i="35" s="1"/>
  <c r="S250" i="35" s="1"/>
  <c r="P261" i="35"/>
  <c r="Q261" i="35" s="1"/>
  <c r="S261" i="35" s="1"/>
  <c r="P262" i="35"/>
  <c r="Q262" i="35" s="1"/>
  <c r="S262" i="35" s="1"/>
  <c r="P271" i="35"/>
  <c r="Q271" i="35" s="1"/>
  <c r="S271" i="35" s="1"/>
  <c r="P276" i="35"/>
  <c r="Q276" i="35" s="1"/>
  <c r="S276" i="35" s="1"/>
  <c r="P279" i="35"/>
  <c r="Q279" i="35" s="1"/>
  <c r="S279" i="35" s="1"/>
  <c r="P284" i="35"/>
  <c r="Q284" i="35" s="1"/>
  <c r="S284" i="35" s="1"/>
  <c r="P287" i="35"/>
  <c r="Q287" i="35" s="1"/>
  <c r="S287" i="35" s="1"/>
  <c r="S353" i="35" l="1"/>
  <c r="H353" i="35"/>
  <c r="P353" i="35"/>
  <c r="W32" i="35"/>
  <c r="W33" i="35" s="1"/>
  <c r="A28" i="35"/>
  <c r="T28" i="35" s="1"/>
  <c r="A29" i="35" l="1"/>
  <c r="W34" i="35"/>
  <c r="A30" i="35"/>
  <c r="T29" i="35" l="1"/>
  <c r="W35" i="35"/>
  <c r="W36" i="35" s="1"/>
  <c r="T30" i="35"/>
  <c r="A31" i="35"/>
  <c r="A32" i="35" l="1"/>
  <c r="T31" i="35"/>
  <c r="A33" i="35"/>
  <c r="A34" i="35" s="1"/>
  <c r="T34" i="35" s="1"/>
  <c r="W37" i="35"/>
  <c r="W38" i="35" s="1"/>
  <c r="W39" i="35" s="1"/>
  <c r="T32" i="35" l="1"/>
  <c r="A35" i="35"/>
  <c r="T33" i="35"/>
  <c r="W40" i="35"/>
  <c r="T35" i="35" l="1"/>
  <c r="A36" i="35"/>
  <c r="W41" i="35"/>
  <c r="W42" i="35" s="1"/>
  <c r="W43" i="35" s="1"/>
  <c r="W44" i="35" s="1"/>
  <c r="W45" i="35" s="1"/>
  <c r="W46" i="35" s="1"/>
  <c r="W47" i="35" s="1"/>
  <c r="W48" i="35" s="1"/>
  <c r="W49" i="35" s="1"/>
  <c r="W50" i="35" s="1"/>
  <c r="W51" i="35" s="1"/>
  <c r="W52" i="35" s="1"/>
  <c r="W53" i="35" s="1"/>
  <c r="T36" i="35" l="1"/>
  <c r="A37" i="35"/>
  <c r="A38" i="35" s="1"/>
  <c r="T38" i="35" s="1"/>
  <c r="A39" i="35"/>
  <c r="T37" i="35" l="1"/>
  <c r="T39" i="35"/>
  <c r="A40" i="35"/>
  <c r="T40" i="35" l="1"/>
  <c r="A41" i="35"/>
  <c r="T41" i="35" l="1"/>
  <c r="A42" i="35"/>
  <c r="T42" i="35" l="1"/>
  <c r="A43" i="35"/>
  <c r="T43" i="35" l="1"/>
  <c r="A44" i="35"/>
  <c r="T44" i="35" l="1"/>
  <c r="A45" i="35"/>
  <c r="T45" i="35" l="1"/>
  <c r="A46" i="35"/>
  <c r="T46" i="35" l="1"/>
  <c r="A47" i="35"/>
  <c r="T47" i="35" l="1"/>
  <c r="A48" i="35"/>
  <c r="T48" i="35" l="1"/>
  <c r="A49" i="35"/>
  <c r="T49" i="35" l="1"/>
  <c r="A50" i="35"/>
  <c r="T50" i="35" l="1"/>
  <c r="A51" i="35"/>
  <c r="T51" i="35" l="1"/>
  <c r="A52" i="35"/>
  <c r="T52" i="35" l="1"/>
  <c r="A53" i="35"/>
  <c r="T53" i="35" l="1"/>
  <c r="A54" i="35"/>
  <c r="T54" i="35" l="1"/>
  <c r="A55" i="35"/>
  <c r="T55" i="35" l="1"/>
  <c r="A56" i="35"/>
  <c r="T56" i="35" l="1"/>
  <c r="A57" i="35"/>
  <c r="T57" i="35" l="1"/>
  <c r="A58" i="35"/>
  <c r="T58" i="35" l="1"/>
  <c r="A59" i="35"/>
  <c r="T59" i="35" l="1"/>
  <c r="A60" i="35"/>
  <c r="T60" i="35" l="1"/>
  <c r="A61" i="35"/>
  <c r="T61" i="35" l="1"/>
  <c r="A62" i="35"/>
  <c r="T62" i="35" l="1"/>
  <c r="A63" i="35"/>
  <c r="T63" i="35" l="1"/>
  <c r="A64" i="35"/>
  <c r="T64" i="35" l="1"/>
  <c r="A65" i="35"/>
  <c r="T65" i="35" l="1"/>
  <c r="A66" i="35"/>
  <c r="T66" i="35" l="1"/>
  <c r="A67" i="35"/>
  <c r="T67" i="35" l="1"/>
  <c r="A68" i="35"/>
  <c r="T68" i="35" l="1"/>
  <c r="A69" i="35"/>
  <c r="T69" i="35" l="1"/>
  <c r="A70" i="35"/>
  <c r="T70" i="35" l="1"/>
  <c r="A71" i="35"/>
  <c r="T71" i="35" l="1"/>
  <c r="A72" i="35"/>
  <c r="T72" i="35" l="1"/>
  <c r="A73" i="35"/>
  <c r="T73" i="35" l="1"/>
  <c r="A74" i="35"/>
  <c r="T74" i="35" l="1"/>
  <c r="A75" i="35"/>
  <c r="T75" i="35" l="1"/>
  <c r="A76" i="35"/>
  <c r="T76" i="35" l="1"/>
  <c r="A77" i="35"/>
  <c r="T77" i="35" l="1"/>
  <c r="A78" i="35"/>
  <c r="T78" i="35" l="1"/>
  <c r="A79" i="35"/>
  <c r="T79" i="35" l="1"/>
  <c r="A80" i="35"/>
  <c r="T80" i="35" l="1"/>
  <c r="A81" i="35"/>
  <c r="T81" i="35" l="1"/>
  <c r="A82" i="35"/>
  <c r="T82" i="35" l="1"/>
  <c r="A83" i="35"/>
  <c r="T83" i="35" l="1"/>
  <c r="A84" i="35"/>
  <c r="T84" i="35" l="1"/>
  <c r="A85" i="35"/>
  <c r="T85" i="35" l="1"/>
  <c r="A86" i="35"/>
  <c r="T86" i="35" l="1"/>
  <c r="A87" i="35"/>
  <c r="T87" i="35" l="1"/>
  <c r="A88" i="35"/>
  <c r="T88" i="35" l="1"/>
  <c r="A89" i="35"/>
  <c r="T89" i="35" l="1"/>
  <c r="A90" i="35"/>
  <c r="T90" i="35" l="1"/>
  <c r="A91" i="35"/>
  <c r="T91" i="35" l="1"/>
  <c r="A92" i="35"/>
  <c r="T92" i="35" l="1"/>
  <c r="A93" i="35"/>
  <c r="T93" i="35" l="1"/>
  <c r="A94" i="35"/>
  <c r="T94" i="35" l="1"/>
  <c r="A95" i="35"/>
  <c r="T95" i="35" l="1"/>
  <c r="A96" i="35"/>
  <c r="T96" i="35" l="1"/>
  <c r="A97" i="35"/>
  <c r="T97" i="35" l="1"/>
  <c r="A98" i="35"/>
  <c r="T98" i="35" l="1"/>
  <c r="A99" i="35"/>
  <c r="T99" i="35" l="1"/>
  <c r="A100" i="35"/>
  <c r="T100" i="35" l="1"/>
  <c r="A101" i="35"/>
  <c r="T101" i="35" l="1"/>
  <c r="A102" i="35"/>
  <c r="T102" i="35" l="1"/>
  <c r="A103" i="35"/>
  <c r="T103" i="35" l="1"/>
  <c r="A104" i="35"/>
  <c r="T104" i="35" l="1"/>
  <c r="A105" i="35"/>
  <c r="T14" i="22"/>
  <c r="T33" i="22"/>
  <c r="T15" i="22"/>
  <c r="T16" i="22"/>
  <c r="T17" i="22"/>
  <c r="T18" i="22"/>
  <c r="T19" i="22"/>
  <c r="T20" i="22"/>
  <c r="T24" i="22"/>
  <c r="T25" i="22"/>
  <c r="T45" i="22"/>
  <c r="T22" i="22"/>
  <c r="T23" i="22"/>
  <c r="T26" i="22"/>
  <c r="T28" i="22"/>
  <c r="T29" i="22"/>
  <c r="T30" i="22"/>
  <c r="T31" i="22"/>
  <c r="T32" i="22"/>
  <c r="T34" i="22"/>
  <c r="T35" i="22"/>
  <c r="T36" i="22"/>
  <c r="T37" i="22"/>
  <c r="T38" i="22"/>
  <c r="T39" i="22"/>
  <c r="T40" i="22"/>
  <c r="T41" i="22"/>
  <c r="T48" i="22"/>
  <c r="T44" i="22"/>
  <c r="T49" i="22"/>
  <c r="T50" i="22"/>
  <c r="T51" i="22"/>
  <c r="T52" i="22"/>
  <c r="T43" i="22"/>
  <c r="T53" i="22"/>
  <c r="T27" i="22"/>
  <c r="T47" i="22"/>
  <c r="T42" i="22"/>
  <c r="T46" i="22"/>
  <c r="T56" i="22"/>
  <c r="T57" i="22"/>
  <c r="T58" i="22"/>
  <c r="T59" i="22"/>
  <c r="T60" i="22"/>
  <c r="T61" i="22"/>
  <c r="T62" i="22"/>
  <c r="T63" i="22"/>
  <c r="T64" i="22"/>
  <c r="T70" i="22"/>
  <c r="T65" i="22"/>
  <c r="T66" i="22"/>
  <c r="T67" i="22"/>
  <c r="T68" i="22"/>
  <c r="T69" i="22"/>
  <c r="T71" i="22"/>
  <c r="T72" i="22"/>
  <c r="T73" i="22"/>
  <c r="T13" i="22"/>
  <c r="T105" i="35" l="1"/>
  <c r="A106" i="35"/>
  <c r="T106" i="35" l="1"/>
  <c r="A107" i="35"/>
  <c r="O271" i="6"/>
  <c r="G271" i="6"/>
  <c r="U297" i="34"/>
  <c r="U298" i="34"/>
  <c r="U299" i="34"/>
  <c r="U300" i="34"/>
  <c r="U301" i="34"/>
  <c r="U302" i="34"/>
  <c r="U303" i="34"/>
  <c r="U304" i="34"/>
  <c r="U305" i="34"/>
  <c r="U306" i="34"/>
  <c r="U307" i="34"/>
  <c r="U308" i="34"/>
  <c r="U309" i="34"/>
  <c r="U310" i="34"/>
  <c r="U311" i="34"/>
  <c r="U312" i="34"/>
  <c r="U313" i="34"/>
  <c r="U314" i="34"/>
  <c r="U315" i="34"/>
  <c r="U316" i="34"/>
  <c r="U317" i="34"/>
  <c r="U318" i="34"/>
  <c r="U319" i="34"/>
  <c r="U320" i="34"/>
  <c r="U321" i="34"/>
  <c r="U322" i="34"/>
  <c r="U323" i="34"/>
  <c r="U324" i="34"/>
  <c r="U325" i="34"/>
  <c r="U326" i="34"/>
  <c r="U327" i="34"/>
  <c r="U328" i="34"/>
  <c r="U329" i="34"/>
  <c r="U330" i="34"/>
  <c r="U331" i="34"/>
  <c r="U332" i="34"/>
  <c r="U334" i="34"/>
  <c r="U335" i="34"/>
  <c r="U336" i="34"/>
  <c r="U337" i="34"/>
  <c r="U338" i="34"/>
  <c r="U339" i="34"/>
  <c r="U340" i="34"/>
  <c r="U341" i="34"/>
  <c r="U342" i="34"/>
  <c r="U286" i="34"/>
  <c r="U287" i="34"/>
  <c r="U288" i="34"/>
  <c r="U289" i="34"/>
  <c r="U290" i="34"/>
  <c r="U292" i="34"/>
  <c r="U293" i="34"/>
  <c r="U294" i="34"/>
  <c r="U295" i="34"/>
  <c r="U296" i="34"/>
  <c r="U280" i="34"/>
  <c r="U281" i="34"/>
  <c r="U282" i="34"/>
  <c r="U283" i="34"/>
  <c r="U284" i="34"/>
  <c r="U285" i="34"/>
  <c r="U279" i="34"/>
  <c r="E332" i="34"/>
  <c r="E338" i="34"/>
  <c r="E339" i="34"/>
  <c r="L342" i="34"/>
  <c r="V278" i="34"/>
  <c r="U278" i="34"/>
  <c r="M278" i="34"/>
  <c r="N278" i="34" s="1"/>
  <c r="J278" i="34"/>
  <c r="K278" i="34" s="1"/>
  <c r="H278" i="34"/>
  <c r="V277" i="34"/>
  <c r="U277" i="34"/>
  <c r="M277" i="34"/>
  <c r="N277" i="34" s="1"/>
  <c r="J277" i="34"/>
  <c r="K277" i="34" s="1"/>
  <c r="H277" i="34"/>
  <c r="V276" i="34"/>
  <c r="U276" i="34"/>
  <c r="M276" i="34"/>
  <c r="N276" i="34" s="1"/>
  <c r="J276" i="34"/>
  <c r="K276" i="34" s="1"/>
  <c r="H276" i="34"/>
  <c r="V275" i="34"/>
  <c r="U275" i="34"/>
  <c r="M275" i="34"/>
  <c r="N275" i="34" s="1"/>
  <c r="J275" i="34"/>
  <c r="K275" i="34" s="1"/>
  <c r="H275" i="34"/>
  <c r="V274" i="34"/>
  <c r="U274" i="34"/>
  <c r="M274" i="34"/>
  <c r="N274" i="34" s="1"/>
  <c r="J274" i="34"/>
  <c r="K274" i="34" s="1"/>
  <c r="H274" i="34"/>
  <c r="V273" i="34"/>
  <c r="U273" i="34"/>
  <c r="M273" i="34"/>
  <c r="N273" i="34" s="1"/>
  <c r="J273" i="34"/>
  <c r="K273" i="34" s="1"/>
  <c r="H273" i="34"/>
  <c r="V272" i="34"/>
  <c r="U272" i="34"/>
  <c r="M272" i="34"/>
  <c r="N272" i="34" s="1"/>
  <c r="J272" i="34"/>
  <c r="K272" i="34" s="1"/>
  <c r="H272" i="34"/>
  <c r="V271" i="34"/>
  <c r="U271" i="34"/>
  <c r="M271" i="34"/>
  <c r="N271" i="34" s="1"/>
  <c r="J271" i="34"/>
  <c r="K271" i="34" s="1"/>
  <c r="H271" i="34"/>
  <c r="V270" i="34"/>
  <c r="U270" i="34"/>
  <c r="M270" i="34"/>
  <c r="N270" i="34" s="1"/>
  <c r="J270" i="34"/>
  <c r="K270" i="34" s="1"/>
  <c r="H270" i="34"/>
  <c r="V269" i="34"/>
  <c r="U269" i="34"/>
  <c r="M269" i="34"/>
  <c r="N269" i="34" s="1"/>
  <c r="J269" i="34"/>
  <c r="K269" i="34" s="1"/>
  <c r="H269" i="34"/>
  <c r="V268" i="34"/>
  <c r="U268" i="34"/>
  <c r="M268" i="34"/>
  <c r="N268" i="34" s="1"/>
  <c r="J268" i="34"/>
  <c r="K268" i="34" s="1"/>
  <c r="H268" i="34"/>
  <c r="V267" i="34"/>
  <c r="U267" i="34"/>
  <c r="M267" i="34"/>
  <c r="N267" i="34" s="1"/>
  <c r="J267" i="34"/>
  <c r="K267" i="34" s="1"/>
  <c r="H267" i="34"/>
  <c r="V266" i="34"/>
  <c r="U266" i="34"/>
  <c r="M266" i="34"/>
  <c r="N266" i="34" s="1"/>
  <c r="J266" i="34"/>
  <c r="K266" i="34" s="1"/>
  <c r="H266" i="34"/>
  <c r="V265" i="34"/>
  <c r="U265" i="34"/>
  <c r="M265" i="34"/>
  <c r="N265" i="34" s="1"/>
  <c r="J265" i="34"/>
  <c r="K265" i="34" s="1"/>
  <c r="H265" i="34"/>
  <c r="V264" i="34"/>
  <c r="U264" i="34"/>
  <c r="M264" i="34"/>
  <c r="N264" i="34" s="1"/>
  <c r="J264" i="34"/>
  <c r="K264" i="34" s="1"/>
  <c r="H264" i="34"/>
  <c r="V263" i="34"/>
  <c r="U263" i="34"/>
  <c r="M263" i="34"/>
  <c r="N263" i="34" s="1"/>
  <c r="J263" i="34"/>
  <c r="K263" i="34" s="1"/>
  <c r="H263" i="34"/>
  <c r="V262" i="34"/>
  <c r="U262" i="34"/>
  <c r="M262" i="34"/>
  <c r="N262" i="34" s="1"/>
  <c r="J262" i="34"/>
  <c r="K262" i="34" s="1"/>
  <c r="H262" i="34"/>
  <c r="V261" i="34"/>
  <c r="U261" i="34"/>
  <c r="M261" i="34"/>
  <c r="N261" i="34" s="1"/>
  <c r="J261" i="34"/>
  <c r="K261" i="34" s="1"/>
  <c r="H261" i="34"/>
  <c r="V260" i="34"/>
  <c r="U260" i="34"/>
  <c r="M260" i="34"/>
  <c r="N260" i="34" s="1"/>
  <c r="J260" i="34"/>
  <c r="K260" i="34" s="1"/>
  <c r="H260" i="34"/>
  <c r="V259" i="34"/>
  <c r="U259" i="34"/>
  <c r="M259" i="34"/>
  <c r="N259" i="34" s="1"/>
  <c r="J259" i="34"/>
  <c r="K259" i="34" s="1"/>
  <c r="H259" i="34"/>
  <c r="V258" i="34"/>
  <c r="U258" i="34"/>
  <c r="M258" i="34"/>
  <c r="N258" i="34" s="1"/>
  <c r="J258" i="34"/>
  <c r="K258" i="34" s="1"/>
  <c r="H258" i="34"/>
  <c r="V257" i="34"/>
  <c r="U257" i="34"/>
  <c r="M257" i="34"/>
  <c r="N257" i="34" s="1"/>
  <c r="J257" i="34"/>
  <c r="K257" i="34" s="1"/>
  <c r="H257" i="34"/>
  <c r="V256" i="34"/>
  <c r="U256" i="34"/>
  <c r="M256" i="34"/>
  <c r="N256" i="34" s="1"/>
  <c r="J256" i="34"/>
  <c r="K256" i="34" s="1"/>
  <c r="H256" i="34"/>
  <c r="V255" i="34"/>
  <c r="U255" i="34"/>
  <c r="M255" i="34"/>
  <c r="N255" i="34" s="1"/>
  <c r="J255" i="34"/>
  <c r="K255" i="34" s="1"/>
  <c r="H255" i="34"/>
  <c r="V254" i="34"/>
  <c r="U254" i="34"/>
  <c r="M254" i="34"/>
  <c r="N254" i="34" s="1"/>
  <c r="J254" i="34"/>
  <c r="K254" i="34" s="1"/>
  <c r="H254" i="34"/>
  <c r="V253" i="34"/>
  <c r="U253" i="34"/>
  <c r="M253" i="34"/>
  <c r="N253" i="34" s="1"/>
  <c r="J253" i="34"/>
  <c r="K253" i="34" s="1"/>
  <c r="H253" i="34"/>
  <c r="V252" i="34"/>
  <c r="U252" i="34"/>
  <c r="M252" i="34"/>
  <c r="N252" i="34" s="1"/>
  <c r="J252" i="34"/>
  <c r="K252" i="34" s="1"/>
  <c r="H252" i="34"/>
  <c r="V251" i="34"/>
  <c r="U251" i="34"/>
  <c r="M251" i="34"/>
  <c r="N251" i="34" s="1"/>
  <c r="J251" i="34"/>
  <c r="K251" i="34" s="1"/>
  <c r="H251" i="34"/>
  <c r="V250" i="34"/>
  <c r="U250" i="34"/>
  <c r="M250" i="34"/>
  <c r="N250" i="34" s="1"/>
  <c r="J250" i="34"/>
  <c r="K250" i="34" s="1"/>
  <c r="H250" i="34"/>
  <c r="V249" i="34"/>
  <c r="U249" i="34"/>
  <c r="M249" i="34"/>
  <c r="N249" i="34" s="1"/>
  <c r="J249" i="34"/>
  <c r="K249" i="34" s="1"/>
  <c r="H249" i="34"/>
  <c r="V248" i="34"/>
  <c r="U248" i="34"/>
  <c r="M248" i="34"/>
  <c r="N248" i="34" s="1"/>
  <c r="J248" i="34"/>
  <c r="K248" i="34" s="1"/>
  <c r="H248" i="34"/>
  <c r="V247" i="34"/>
  <c r="U247" i="34"/>
  <c r="M247" i="34"/>
  <c r="N247" i="34" s="1"/>
  <c r="J247" i="34"/>
  <c r="K247" i="34" s="1"/>
  <c r="H247" i="34"/>
  <c r="V246" i="34"/>
  <c r="U246" i="34"/>
  <c r="M246" i="34"/>
  <c r="N246" i="34" s="1"/>
  <c r="J246" i="34"/>
  <c r="K246" i="34" s="1"/>
  <c r="H246" i="34"/>
  <c r="V245" i="34"/>
  <c r="U245" i="34"/>
  <c r="M245" i="34"/>
  <c r="N245" i="34" s="1"/>
  <c r="J245" i="34"/>
  <c r="K245" i="34" s="1"/>
  <c r="H245" i="34"/>
  <c r="V244" i="34"/>
  <c r="U244" i="34"/>
  <c r="M244" i="34"/>
  <c r="N244" i="34" s="1"/>
  <c r="J244" i="34"/>
  <c r="K244" i="34" s="1"/>
  <c r="H244" i="34"/>
  <c r="V243" i="34"/>
  <c r="U243" i="34"/>
  <c r="M243" i="34"/>
  <c r="N243" i="34" s="1"/>
  <c r="J243" i="34"/>
  <c r="K243" i="34" s="1"/>
  <c r="H243" i="34"/>
  <c r="V242" i="34"/>
  <c r="U242" i="34"/>
  <c r="M242" i="34"/>
  <c r="N242" i="34" s="1"/>
  <c r="J242" i="34"/>
  <c r="K242" i="34" s="1"/>
  <c r="H242" i="34"/>
  <c r="V241" i="34"/>
  <c r="U241" i="34"/>
  <c r="M241" i="34"/>
  <c r="N241" i="34" s="1"/>
  <c r="J241" i="34"/>
  <c r="K241" i="34" s="1"/>
  <c r="H241" i="34"/>
  <c r="V240" i="34"/>
  <c r="U240" i="34"/>
  <c r="M240" i="34"/>
  <c r="N240" i="34" s="1"/>
  <c r="J240" i="34"/>
  <c r="K240" i="34" s="1"/>
  <c r="H240" i="34"/>
  <c r="V239" i="34"/>
  <c r="U239" i="34"/>
  <c r="M239" i="34"/>
  <c r="N239" i="34" s="1"/>
  <c r="J239" i="34"/>
  <c r="K239" i="34" s="1"/>
  <c r="H239" i="34"/>
  <c r="V238" i="34"/>
  <c r="U238" i="34"/>
  <c r="M238" i="34"/>
  <c r="N238" i="34" s="1"/>
  <c r="J238" i="34"/>
  <c r="K238" i="34" s="1"/>
  <c r="H238" i="34"/>
  <c r="V237" i="34"/>
  <c r="U237" i="34"/>
  <c r="M237" i="34"/>
  <c r="N237" i="34" s="1"/>
  <c r="J237" i="34"/>
  <c r="K237" i="34" s="1"/>
  <c r="H237" i="34"/>
  <c r="V236" i="34"/>
  <c r="U236" i="34"/>
  <c r="M236" i="34"/>
  <c r="N236" i="34" s="1"/>
  <c r="J236" i="34"/>
  <c r="K236" i="34" s="1"/>
  <c r="H236" i="34"/>
  <c r="V235" i="34"/>
  <c r="U235" i="34"/>
  <c r="M235" i="34"/>
  <c r="N235" i="34" s="1"/>
  <c r="J235" i="34"/>
  <c r="K235" i="34" s="1"/>
  <c r="H235" i="34"/>
  <c r="V234" i="34"/>
  <c r="U234" i="34"/>
  <c r="M234" i="34"/>
  <c r="N234" i="34" s="1"/>
  <c r="J234" i="34"/>
  <c r="K234" i="34" s="1"/>
  <c r="H234" i="34"/>
  <c r="V233" i="34"/>
  <c r="U233" i="34"/>
  <c r="M233" i="34"/>
  <c r="N233" i="34" s="1"/>
  <c r="J233" i="34"/>
  <c r="K233" i="34" s="1"/>
  <c r="H233" i="34"/>
  <c r="V232" i="34"/>
  <c r="U232" i="34"/>
  <c r="M232" i="34"/>
  <c r="N232" i="34" s="1"/>
  <c r="J232" i="34"/>
  <c r="K232" i="34" s="1"/>
  <c r="H232" i="34"/>
  <c r="V231" i="34"/>
  <c r="U231" i="34"/>
  <c r="M231" i="34"/>
  <c r="N231" i="34" s="1"/>
  <c r="J231" i="34"/>
  <c r="K231" i="34" s="1"/>
  <c r="H231" i="34"/>
  <c r="V230" i="34"/>
  <c r="U230" i="34"/>
  <c r="M230" i="34"/>
  <c r="N230" i="34" s="1"/>
  <c r="J230" i="34"/>
  <c r="K230" i="34" s="1"/>
  <c r="H230" i="34"/>
  <c r="V229" i="34"/>
  <c r="U229" i="34"/>
  <c r="M229" i="34"/>
  <c r="N229" i="34" s="1"/>
  <c r="J229" i="34"/>
  <c r="K229" i="34" s="1"/>
  <c r="H229" i="34"/>
  <c r="V228" i="34"/>
  <c r="U228" i="34"/>
  <c r="M228" i="34"/>
  <c r="N228" i="34" s="1"/>
  <c r="J228" i="34"/>
  <c r="K228" i="34" s="1"/>
  <c r="H228" i="34"/>
  <c r="V227" i="34"/>
  <c r="U227" i="34"/>
  <c r="M227" i="34"/>
  <c r="N227" i="34" s="1"/>
  <c r="J227" i="34"/>
  <c r="K227" i="34" s="1"/>
  <c r="H227" i="34"/>
  <c r="V226" i="34"/>
  <c r="U226" i="34"/>
  <c r="M226" i="34"/>
  <c r="N226" i="34" s="1"/>
  <c r="J226" i="34"/>
  <c r="K226" i="34" s="1"/>
  <c r="H226" i="34"/>
  <c r="V225" i="34"/>
  <c r="U225" i="34"/>
  <c r="M225" i="34"/>
  <c r="N225" i="34" s="1"/>
  <c r="J225" i="34"/>
  <c r="K225" i="34" s="1"/>
  <c r="H225" i="34"/>
  <c r="V224" i="34"/>
  <c r="U224" i="34"/>
  <c r="M224" i="34"/>
  <c r="N224" i="34" s="1"/>
  <c r="J224" i="34"/>
  <c r="K224" i="34" s="1"/>
  <c r="H224" i="34"/>
  <c r="V223" i="34"/>
  <c r="U223" i="34"/>
  <c r="M223" i="34"/>
  <c r="N223" i="34" s="1"/>
  <c r="J223" i="34"/>
  <c r="K223" i="34" s="1"/>
  <c r="H223" i="34"/>
  <c r="V222" i="34"/>
  <c r="U222" i="34"/>
  <c r="M222" i="34"/>
  <c r="N222" i="34" s="1"/>
  <c r="J222" i="34"/>
  <c r="K222" i="34" s="1"/>
  <c r="H222" i="34"/>
  <c r="V221" i="34"/>
  <c r="U221" i="34"/>
  <c r="M221" i="34"/>
  <c r="N221" i="34" s="1"/>
  <c r="J221" i="34"/>
  <c r="K221" i="34" s="1"/>
  <c r="H221" i="34"/>
  <c r="V220" i="34"/>
  <c r="U220" i="34"/>
  <c r="M220" i="34"/>
  <c r="N220" i="34" s="1"/>
  <c r="J220" i="34"/>
  <c r="K220" i="34" s="1"/>
  <c r="H220" i="34"/>
  <c r="V219" i="34"/>
  <c r="U219" i="34"/>
  <c r="M219" i="34"/>
  <c r="N219" i="34" s="1"/>
  <c r="J219" i="34"/>
  <c r="K219" i="34" s="1"/>
  <c r="H219" i="34"/>
  <c r="V218" i="34"/>
  <c r="U218" i="34"/>
  <c r="M218" i="34"/>
  <c r="N218" i="34" s="1"/>
  <c r="J218" i="34"/>
  <c r="K218" i="34" s="1"/>
  <c r="H218" i="34"/>
  <c r="V217" i="34"/>
  <c r="U217" i="34"/>
  <c r="M217" i="34"/>
  <c r="N217" i="34" s="1"/>
  <c r="J217" i="34"/>
  <c r="K217" i="34" s="1"/>
  <c r="I217" i="34"/>
  <c r="H217" i="34"/>
  <c r="V216" i="34"/>
  <c r="U216" i="34"/>
  <c r="M216" i="34"/>
  <c r="N216" i="34" s="1"/>
  <c r="J216" i="34"/>
  <c r="K216" i="34" s="1"/>
  <c r="H216" i="34"/>
  <c r="V215" i="34"/>
  <c r="U215" i="34"/>
  <c r="M215" i="34"/>
  <c r="N215" i="34" s="1"/>
  <c r="J215" i="34"/>
  <c r="K215" i="34" s="1"/>
  <c r="H215" i="34"/>
  <c r="V214" i="34"/>
  <c r="U214" i="34"/>
  <c r="M214" i="34"/>
  <c r="N214" i="34" s="1"/>
  <c r="J214" i="34"/>
  <c r="K214" i="34" s="1"/>
  <c r="H214" i="34"/>
  <c r="V213" i="34"/>
  <c r="U213" i="34"/>
  <c r="M213" i="34"/>
  <c r="N213" i="34" s="1"/>
  <c r="J213" i="34"/>
  <c r="K213" i="34" s="1"/>
  <c r="H213" i="34"/>
  <c r="V212" i="34"/>
  <c r="U212" i="34"/>
  <c r="M212" i="34"/>
  <c r="N212" i="34" s="1"/>
  <c r="J212" i="34"/>
  <c r="K212" i="34" s="1"/>
  <c r="H212" i="34"/>
  <c r="V211" i="34"/>
  <c r="U211" i="34"/>
  <c r="M211" i="34"/>
  <c r="N211" i="34" s="1"/>
  <c r="J211" i="34"/>
  <c r="K211" i="34" s="1"/>
  <c r="H211" i="34"/>
  <c r="V210" i="34"/>
  <c r="U210" i="34"/>
  <c r="M210" i="34"/>
  <c r="N210" i="34" s="1"/>
  <c r="J210" i="34"/>
  <c r="K210" i="34" s="1"/>
  <c r="H210" i="34"/>
  <c r="V209" i="34"/>
  <c r="U209" i="34"/>
  <c r="M209" i="34"/>
  <c r="N209" i="34" s="1"/>
  <c r="J209" i="34"/>
  <c r="K209" i="34" s="1"/>
  <c r="H209" i="34"/>
  <c r="V208" i="34"/>
  <c r="U208" i="34"/>
  <c r="M208" i="34"/>
  <c r="N208" i="34" s="1"/>
  <c r="J208" i="34"/>
  <c r="K208" i="34" s="1"/>
  <c r="H208" i="34"/>
  <c r="V207" i="34"/>
  <c r="U207" i="34"/>
  <c r="M207" i="34"/>
  <c r="N207" i="34" s="1"/>
  <c r="J207" i="34"/>
  <c r="K207" i="34" s="1"/>
  <c r="H207" i="34"/>
  <c r="V206" i="34"/>
  <c r="U206" i="34"/>
  <c r="M206" i="34"/>
  <c r="N206" i="34" s="1"/>
  <c r="J206" i="34"/>
  <c r="K206" i="34" s="1"/>
  <c r="H206" i="34"/>
  <c r="V205" i="34"/>
  <c r="U205" i="34"/>
  <c r="M205" i="34"/>
  <c r="N205" i="34" s="1"/>
  <c r="J205" i="34"/>
  <c r="K205" i="34" s="1"/>
  <c r="H205" i="34"/>
  <c r="V204" i="34"/>
  <c r="U204" i="34"/>
  <c r="M204" i="34"/>
  <c r="N204" i="34" s="1"/>
  <c r="J204" i="34"/>
  <c r="K204" i="34" s="1"/>
  <c r="H204" i="34"/>
  <c r="V203" i="34"/>
  <c r="U203" i="34"/>
  <c r="M203" i="34"/>
  <c r="N203" i="34" s="1"/>
  <c r="J203" i="34"/>
  <c r="K203" i="34" s="1"/>
  <c r="H203" i="34"/>
  <c r="V202" i="34"/>
  <c r="U202" i="34"/>
  <c r="M202" i="34"/>
  <c r="N202" i="34" s="1"/>
  <c r="J202" i="34"/>
  <c r="K202" i="34" s="1"/>
  <c r="H202" i="34"/>
  <c r="V201" i="34"/>
  <c r="U201" i="34"/>
  <c r="M201" i="34"/>
  <c r="N201" i="34" s="1"/>
  <c r="J201" i="34"/>
  <c r="K201" i="34" s="1"/>
  <c r="H201" i="34"/>
  <c r="V200" i="34"/>
  <c r="U200" i="34"/>
  <c r="M200" i="34"/>
  <c r="N200" i="34" s="1"/>
  <c r="J200" i="34"/>
  <c r="K200" i="34" s="1"/>
  <c r="H200" i="34"/>
  <c r="V199" i="34"/>
  <c r="U199" i="34"/>
  <c r="M199" i="34"/>
  <c r="N199" i="34" s="1"/>
  <c r="J199" i="34"/>
  <c r="K199" i="34" s="1"/>
  <c r="H199" i="34"/>
  <c r="V198" i="34"/>
  <c r="U198" i="34"/>
  <c r="M198" i="34"/>
  <c r="N198" i="34" s="1"/>
  <c r="J198" i="34"/>
  <c r="K198" i="34" s="1"/>
  <c r="H198" i="34"/>
  <c r="V197" i="34"/>
  <c r="U197" i="34"/>
  <c r="M197" i="34"/>
  <c r="N197" i="34" s="1"/>
  <c r="J197" i="34"/>
  <c r="K197" i="34" s="1"/>
  <c r="H197" i="34"/>
  <c r="V196" i="34"/>
  <c r="U196" i="34"/>
  <c r="M196" i="34"/>
  <c r="N196" i="34" s="1"/>
  <c r="J196" i="34"/>
  <c r="K196" i="34" s="1"/>
  <c r="H196" i="34"/>
  <c r="V195" i="34"/>
  <c r="U195" i="34"/>
  <c r="M195" i="34"/>
  <c r="N195" i="34" s="1"/>
  <c r="J195" i="34"/>
  <c r="K195" i="34" s="1"/>
  <c r="H195" i="34"/>
  <c r="V194" i="34"/>
  <c r="U194" i="34"/>
  <c r="M194" i="34"/>
  <c r="N194" i="34" s="1"/>
  <c r="J194" i="34"/>
  <c r="K194" i="34" s="1"/>
  <c r="H194" i="34"/>
  <c r="V193" i="34"/>
  <c r="U193" i="34"/>
  <c r="M193" i="34"/>
  <c r="N193" i="34" s="1"/>
  <c r="J193" i="34"/>
  <c r="K193" i="34" s="1"/>
  <c r="I193" i="34"/>
  <c r="H193" i="34"/>
  <c r="V192" i="34"/>
  <c r="U192" i="34"/>
  <c r="M192" i="34"/>
  <c r="N192" i="34" s="1"/>
  <c r="J192" i="34"/>
  <c r="K192" i="34" s="1"/>
  <c r="H192" i="34"/>
  <c r="V191" i="34"/>
  <c r="U191" i="34"/>
  <c r="M191" i="34"/>
  <c r="N191" i="34" s="1"/>
  <c r="J191" i="34"/>
  <c r="K191" i="34" s="1"/>
  <c r="H191" i="34"/>
  <c r="V190" i="34"/>
  <c r="U190" i="34"/>
  <c r="M190" i="34"/>
  <c r="N190" i="34" s="1"/>
  <c r="J190" i="34"/>
  <c r="K190" i="34" s="1"/>
  <c r="H190" i="34"/>
  <c r="V189" i="34"/>
  <c r="U189" i="34"/>
  <c r="M189" i="34"/>
  <c r="N189" i="34" s="1"/>
  <c r="J189" i="34"/>
  <c r="K189" i="34" s="1"/>
  <c r="H189" i="34"/>
  <c r="V188" i="34"/>
  <c r="U188" i="34"/>
  <c r="M188" i="34"/>
  <c r="N188" i="34" s="1"/>
  <c r="J188" i="34"/>
  <c r="K188" i="34" s="1"/>
  <c r="H188" i="34"/>
  <c r="V187" i="34"/>
  <c r="U187" i="34"/>
  <c r="M187" i="34"/>
  <c r="N187" i="34" s="1"/>
  <c r="J187" i="34"/>
  <c r="K187" i="34" s="1"/>
  <c r="H187" i="34"/>
  <c r="V186" i="34"/>
  <c r="U186" i="34"/>
  <c r="M186" i="34"/>
  <c r="N186" i="34" s="1"/>
  <c r="J186" i="34"/>
  <c r="K186" i="34" s="1"/>
  <c r="H186" i="34"/>
  <c r="Y185" i="34"/>
  <c r="V185" i="34"/>
  <c r="U185" i="34"/>
  <c r="M185" i="34"/>
  <c r="N185" i="34" s="1"/>
  <c r="J185" i="34"/>
  <c r="K185" i="34" s="1"/>
  <c r="H185" i="34"/>
  <c r="V184" i="34"/>
  <c r="U184" i="34"/>
  <c r="M184" i="34"/>
  <c r="N184" i="34" s="1"/>
  <c r="J184" i="34"/>
  <c r="K184" i="34" s="1"/>
  <c r="H184" i="34"/>
  <c r="V183" i="34"/>
  <c r="U183" i="34"/>
  <c r="M183" i="34"/>
  <c r="N183" i="34" s="1"/>
  <c r="J183" i="34"/>
  <c r="K183" i="34" s="1"/>
  <c r="H183" i="34"/>
  <c r="V182" i="34"/>
  <c r="U182" i="34"/>
  <c r="M182" i="34"/>
  <c r="N182" i="34" s="1"/>
  <c r="J182" i="34"/>
  <c r="K182" i="34" s="1"/>
  <c r="H182" i="34"/>
  <c r="V181" i="34"/>
  <c r="U181" i="34"/>
  <c r="M181" i="34"/>
  <c r="N181" i="34" s="1"/>
  <c r="J181" i="34"/>
  <c r="K181" i="34" s="1"/>
  <c r="H181" i="34"/>
  <c r="V180" i="34"/>
  <c r="U180" i="34"/>
  <c r="M180" i="34"/>
  <c r="N180" i="34" s="1"/>
  <c r="J180" i="34"/>
  <c r="K180" i="34" s="1"/>
  <c r="H180" i="34"/>
  <c r="V179" i="34"/>
  <c r="U179" i="34"/>
  <c r="M179" i="34"/>
  <c r="N179" i="34" s="1"/>
  <c r="J179" i="34"/>
  <c r="K179" i="34" s="1"/>
  <c r="H179" i="34"/>
  <c r="V178" i="34"/>
  <c r="U178" i="34"/>
  <c r="M178" i="34"/>
  <c r="N178" i="34" s="1"/>
  <c r="J178" i="34"/>
  <c r="K178" i="34" s="1"/>
  <c r="H178" i="34"/>
  <c r="V177" i="34"/>
  <c r="U177" i="34"/>
  <c r="M177" i="34"/>
  <c r="N177" i="34" s="1"/>
  <c r="J177" i="34"/>
  <c r="K177" i="34" s="1"/>
  <c r="H177" i="34"/>
  <c r="V176" i="34"/>
  <c r="U176" i="34"/>
  <c r="M176" i="34"/>
  <c r="N176" i="34" s="1"/>
  <c r="J176" i="34"/>
  <c r="K176" i="34" s="1"/>
  <c r="H176" i="34"/>
  <c r="V175" i="34"/>
  <c r="U175" i="34"/>
  <c r="M175" i="34"/>
  <c r="N175" i="34" s="1"/>
  <c r="J175" i="34"/>
  <c r="K175" i="34" s="1"/>
  <c r="H175" i="34"/>
  <c r="V174" i="34"/>
  <c r="U174" i="34"/>
  <c r="M174" i="34"/>
  <c r="N174" i="34" s="1"/>
  <c r="J174" i="34"/>
  <c r="K174" i="34" s="1"/>
  <c r="H174" i="34"/>
  <c r="V173" i="34"/>
  <c r="U173" i="34"/>
  <c r="M173" i="34"/>
  <c r="N173" i="34" s="1"/>
  <c r="J173" i="34"/>
  <c r="K173" i="34" s="1"/>
  <c r="H173" i="34"/>
  <c r="V172" i="34"/>
  <c r="U172" i="34"/>
  <c r="M172" i="34"/>
  <c r="N172" i="34" s="1"/>
  <c r="J172" i="34"/>
  <c r="K172" i="34" s="1"/>
  <c r="H172" i="34"/>
  <c r="V171" i="34"/>
  <c r="U171" i="34"/>
  <c r="M171" i="34"/>
  <c r="N171" i="34" s="1"/>
  <c r="J171" i="34"/>
  <c r="K171" i="34" s="1"/>
  <c r="H171" i="34"/>
  <c r="V170" i="34"/>
  <c r="U170" i="34"/>
  <c r="M170" i="34"/>
  <c r="N170" i="34" s="1"/>
  <c r="J170" i="34"/>
  <c r="K170" i="34" s="1"/>
  <c r="H170" i="34"/>
  <c r="V169" i="34"/>
  <c r="U169" i="34"/>
  <c r="M169" i="34"/>
  <c r="N169" i="34" s="1"/>
  <c r="J169" i="34"/>
  <c r="K169" i="34" s="1"/>
  <c r="H169" i="34"/>
  <c r="V168" i="34"/>
  <c r="U168" i="34"/>
  <c r="M168" i="34"/>
  <c r="N168" i="34" s="1"/>
  <c r="J168" i="34"/>
  <c r="K168" i="34" s="1"/>
  <c r="H168" i="34"/>
  <c r="V167" i="34"/>
  <c r="U167" i="34"/>
  <c r="M167" i="34"/>
  <c r="N167" i="34" s="1"/>
  <c r="J167" i="34"/>
  <c r="K167" i="34" s="1"/>
  <c r="H167" i="34"/>
  <c r="V166" i="34"/>
  <c r="U166" i="34"/>
  <c r="M166" i="34"/>
  <c r="N166" i="34" s="1"/>
  <c r="J166" i="34"/>
  <c r="K166" i="34" s="1"/>
  <c r="H166" i="34"/>
  <c r="V165" i="34"/>
  <c r="U165" i="34"/>
  <c r="M165" i="34"/>
  <c r="N165" i="34" s="1"/>
  <c r="J165" i="34"/>
  <c r="K165" i="34" s="1"/>
  <c r="H165" i="34"/>
  <c r="V164" i="34"/>
  <c r="U164" i="34"/>
  <c r="M164" i="34"/>
  <c r="N164" i="34" s="1"/>
  <c r="J164" i="34"/>
  <c r="K164" i="34" s="1"/>
  <c r="H164" i="34"/>
  <c r="V163" i="34"/>
  <c r="U163" i="34"/>
  <c r="M163" i="34"/>
  <c r="N163" i="34" s="1"/>
  <c r="J163" i="34"/>
  <c r="K163" i="34" s="1"/>
  <c r="H163" i="34"/>
  <c r="V162" i="34"/>
  <c r="U162" i="34"/>
  <c r="M162" i="34"/>
  <c r="N162" i="34" s="1"/>
  <c r="J162" i="34"/>
  <c r="K162" i="34" s="1"/>
  <c r="H162" i="34"/>
  <c r="E162" i="34"/>
  <c r="V161" i="34"/>
  <c r="U161" i="34"/>
  <c r="M161" i="34"/>
  <c r="N161" i="34" s="1"/>
  <c r="J161" i="34"/>
  <c r="K161" i="34" s="1"/>
  <c r="H161" i="34"/>
  <c r="V160" i="34"/>
  <c r="U160" i="34"/>
  <c r="M160" i="34"/>
  <c r="N160" i="34" s="1"/>
  <c r="J160" i="34"/>
  <c r="K160" i="34" s="1"/>
  <c r="H160" i="34"/>
  <c r="V159" i="34"/>
  <c r="U159" i="34"/>
  <c r="M159" i="34"/>
  <c r="N159" i="34" s="1"/>
  <c r="J159" i="34"/>
  <c r="K159" i="34" s="1"/>
  <c r="H159" i="34"/>
  <c r="V158" i="34"/>
  <c r="U158" i="34"/>
  <c r="M158" i="34"/>
  <c r="N158" i="34" s="1"/>
  <c r="J158" i="34"/>
  <c r="K158" i="34" s="1"/>
  <c r="H158" i="34"/>
  <c r="V157" i="34"/>
  <c r="U157" i="34"/>
  <c r="M157" i="34"/>
  <c r="N157" i="34" s="1"/>
  <c r="J157" i="34"/>
  <c r="K157" i="34" s="1"/>
  <c r="H157" i="34"/>
  <c r="V156" i="34"/>
  <c r="U156" i="34"/>
  <c r="M156" i="34"/>
  <c r="N156" i="34" s="1"/>
  <c r="J156" i="34"/>
  <c r="K156" i="34" s="1"/>
  <c r="H156" i="34"/>
  <c r="V155" i="34"/>
  <c r="U155" i="34"/>
  <c r="M155" i="34"/>
  <c r="N155" i="34" s="1"/>
  <c r="J155" i="34"/>
  <c r="K155" i="34" s="1"/>
  <c r="H155" i="34"/>
  <c r="V154" i="34"/>
  <c r="U154" i="34"/>
  <c r="M154" i="34"/>
  <c r="N154" i="34" s="1"/>
  <c r="J154" i="34"/>
  <c r="K154" i="34" s="1"/>
  <c r="H154" i="34"/>
  <c r="M153" i="34"/>
  <c r="N153" i="34" s="1"/>
  <c r="J153" i="34"/>
  <c r="K153" i="34" s="1"/>
  <c r="H153" i="34"/>
  <c r="U152" i="34"/>
  <c r="M152" i="34"/>
  <c r="N152" i="34" s="1"/>
  <c r="J152" i="34"/>
  <c r="K152" i="34" s="1"/>
  <c r="H152" i="34"/>
  <c r="E152" i="34"/>
  <c r="V151" i="34"/>
  <c r="U151" i="34"/>
  <c r="M151" i="34"/>
  <c r="N151" i="34" s="1"/>
  <c r="J151" i="34"/>
  <c r="K151" i="34" s="1"/>
  <c r="H151" i="34"/>
  <c r="V150" i="34"/>
  <c r="U150" i="34"/>
  <c r="M150" i="34"/>
  <c r="N150" i="34" s="1"/>
  <c r="J150" i="34"/>
  <c r="K150" i="34" s="1"/>
  <c r="H150" i="34"/>
  <c r="V149" i="34"/>
  <c r="U149" i="34"/>
  <c r="M149" i="34"/>
  <c r="N149" i="34" s="1"/>
  <c r="J149" i="34"/>
  <c r="K149" i="34" s="1"/>
  <c r="H149" i="34"/>
  <c r="V148" i="34"/>
  <c r="U148" i="34"/>
  <c r="M148" i="34"/>
  <c r="N148" i="34" s="1"/>
  <c r="J148" i="34"/>
  <c r="K148" i="34" s="1"/>
  <c r="H148" i="34"/>
  <c r="V147" i="34"/>
  <c r="U147" i="34"/>
  <c r="M147" i="34"/>
  <c r="N147" i="34" s="1"/>
  <c r="J147" i="34"/>
  <c r="K147" i="34" s="1"/>
  <c r="H147" i="34"/>
  <c r="V146" i="34"/>
  <c r="U146" i="34"/>
  <c r="M146" i="34"/>
  <c r="N146" i="34" s="1"/>
  <c r="J146" i="34"/>
  <c r="K146" i="34" s="1"/>
  <c r="H146" i="34"/>
  <c r="V145" i="34"/>
  <c r="U145" i="34"/>
  <c r="M145" i="34"/>
  <c r="N145" i="34" s="1"/>
  <c r="J145" i="34"/>
  <c r="K145" i="34" s="1"/>
  <c r="H145" i="34"/>
  <c r="V144" i="34"/>
  <c r="U144" i="34"/>
  <c r="M144" i="34"/>
  <c r="N144" i="34" s="1"/>
  <c r="J144" i="34"/>
  <c r="K144" i="34" s="1"/>
  <c r="H144" i="34"/>
  <c r="V143" i="34"/>
  <c r="U143" i="34"/>
  <c r="M143" i="34"/>
  <c r="N143" i="34" s="1"/>
  <c r="J143" i="34"/>
  <c r="K143" i="34" s="1"/>
  <c r="H143" i="34"/>
  <c r="V142" i="34"/>
  <c r="U142" i="34"/>
  <c r="M142" i="34"/>
  <c r="N142" i="34" s="1"/>
  <c r="J142" i="34"/>
  <c r="K142" i="34" s="1"/>
  <c r="H142" i="34"/>
  <c r="V141" i="34"/>
  <c r="U141" i="34"/>
  <c r="M141" i="34"/>
  <c r="N141" i="34" s="1"/>
  <c r="J141" i="34"/>
  <c r="K141" i="34" s="1"/>
  <c r="H141" i="34"/>
  <c r="V140" i="34"/>
  <c r="U140" i="34"/>
  <c r="M140" i="34"/>
  <c r="N140" i="34" s="1"/>
  <c r="J140" i="34"/>
  <c r="K140" i="34" s="1"/>
  <c r="H140" i="34"/>
  <c r="V139" i="34"/>
  <c r="U139" i="34"/>
  <c r="M139" i="34"/>
  <c r="N139" i="34" s="1"/>
  <c r="J139" i="34"/>
  <c r="K139" i="34" s="1"/>
  <c r="H139" i="34"/>
  <c r="V138" i="34"/>
  <c r="U138" i="34"/>
  <c r="M138" i="34"/>
  <c r="N138" i="34" s="1"/>
  <c r="J138" i="34"/>
  <c r="K138" i="34" s="1"/>
  <c r="H138" i="34"/>
  <c r="V137" i="34"/>
  <c r="U137" i="34"/>
  <c r="M137" i="34"/>
  <c r="N137" i="34" s="1"/>
  <c r="J137" i="34"/>
  <c r="K137" i="34" s="1"/>
  <c r="H137" i="34"/>
  <c r="V136" i="34"/>
  <c r="U136" i="34"/>
  <c r="M136" i="34"/>
  <c r="N136" i="34" s="1"/>
  <c r="J136" i="34"/>
  <c r="K136" i="34" s="1"/>
  <c r="H136" i="34"/>
  <c r="V135" i="34"/>
  <c r="U135" i="34"/>
  <c r="M135" i="34"/>
  <c r="N135" i="34" s="1"/>
  <c r="J135" i="34"/>
  <c r="K135" i="34" s="1"/>
  <c r="H135" i="34"/>
  <c r="V134" i="34"/>
  <c r="U134" i="34"/>
  <c r="M134" i="34"/>
  <c r="N134" i="34" s="1"/>
  <c r="J134" i="34"/>
  <c r="K134" i="34" s="1"/>
  <c r="H134" i="34"/>
  <c r="V133" i="34"/>
  <c r="U133" i="34"/>
  <c r="M133" i="34"/>
  <c r="N133" i="34" s="1"/>
  <c r="J133" i="34"/>
  <c r="K133" i="34" s="1"/>
  <c r="I133" i="34"/>
  <c r="H133" i="34"/>
  <c r="V132" i="34"/>
  <c r="U132" i="34"/>
  <c r="M132" i="34"/>
  <c r="N132" i="34" s="1"/>
  <c r="J132" i="34"/>
  <c r="K132" i="34" s="1"/>
  <c r="H132" i="34"/>
  <c r="V131" i="34"/>
  <c r="U131" i="34"/>
  <c r="M131" i="34"/>
  <c r="N131" i="34" s="1"/>
  <c r="J131" i="34"/>
  <c r="K131" i="34" s="1"/>
  <c r="H131" i="34"/>
  <c r="V130" i="34"/>
  <c r="U130" i="34"/>
  <c r="M130" i="34"/>
  <c r="N130" i="34" s="1"/>
  <c r="J130" i="34"/>
  <c r="K130" i="34" s="1"/>
  <c r="H130" i="34"/>
  <c r="V129" i="34"/>
  <c r="U129" i="34"/>
  <c r="M129" i="34"/>
  <c r="N129" i="34" s="1"/>
  <c r="J129" i="34"/>
  <c r="K129" i="34" s="1"/>
  <c r="H129" i="34"/>
  <c r="V128" i="34"/>
  <c r="U128" i="34"/>
  <c r="M128" i="34"/>
  <c r="N128" i="34" s="1"/>
  <c r="J128" i="34"/>
  <c r="K128" i="34" s="1"/>
  <c r="H128" i="34"/>
  <c r="V127" i="34"/>
  <c r="U127" i="34"/>
  <c r="M127" i="34"/>
  <c r="N127" i="34" s="1"/>
  <c r="J127" i="34"/>
  <c r="K127" i="34" s="1"/>
  <c r="H127" i="34"/>
  <c r="V126" i="34"/>
  <c r="U126" i="34"/>
  <c r="M126" i="34"/>
  <c r="N126" i="34" s="1"/>
  <c r="J126" i="34"/>
  <c r="K126" i="34" s="1"/>
  <c r="H126" i="34"/>
  <c r="V125" i="34"/>
  <c r="U125" i="34"/>
  <c r="M125" i="34"/>
  <c r="N125" i="34" s="1"/>
  <c r="J125" i="34"/>
  <c r="K125" i="34" s="1"/>
  <c r="H125" i="34"/>
  <c r="V124" i="34"/>
  <c r="U124" i="34"/>
  <c r="M124" i="34"/>
  <c r="N124" i="34" s="1"/>
  <c r="J124" i="34"/>
  <c r="K124" i="34" s="1"/>
  <c r="H124" i="34"/>
  <c r="V123" i="34"/>
  <c r="U123" i="34"/>
  <c r="M123" i="34"/>
  <c r="N123" i="34" s="1"/>
  <c r="J123" i="34"/>
  <c r="K123" i="34" s="1"/>
  <c r="H123" i="34"/>
  <c r="V122" i="34"/>
  <c r="U122" i="34"/>
  <c r="M122" i="34"/>
  <c r="N122" i="34" s="1"/>
  <c r="J122" i="34"/>
  <c r="K122" i="34" s="1"/>
  <c r="H122" i="34"/>
  <c r="V121" i="34"/>
  <c r="U121" i="34"/>
  <c r="M121" i="34"/>
  <c r="N121" i="34" s="1"/>
  <c r="J121" i="34"/>
  <c r="K121" i="34" s="1"/>
  <c r="H121" i="34"/>
  <c r="V120" i="34"/>
  <c r="U120" i="34"/>
  <c r="M120" i="34"/>
  <c r="N120" i="34" s="1"/>
  <c r="J120" i="34"/>
  <c r="K120" i="34" s="1"/>
  <c r="H120" i="34"/>
  <c r="V119" i="34"/>
  <c r="U119" i="34"/>
  <c r="M119" i="34"/>
  <c r="N119" i="34" s="1"/>
  <c r="J119" i="34"/>
  <c r="K119" i="34" s="1"/>
  <c r="H119" i="34"/>
  <c r="V118" i="34"/>
  <c r="U118" i="34"/>
  <c r="M118" i="34"/>
  <c r="N118" i="34" s="1"/>
  <c r="J118" i="34"/>
  <c r="K118" i="34" s="1"/>
  <c r="H118" i="34"/>
  <c r="V117" i="34"/>
  <c r="U117" i="34"/>
  <c r="M117" i="34"/>
  <c r="N117" i="34" s="1"/>
  <c r="J117" i="34"/>
  <c r="K117" i="34" s="1"/>
  <c r="H117" i="34"/>
  <c r="V116" i="34"/>
  <c r="U116" i="34"/>
  <c r="M116" i="34"/>
  <c r="N116" i="34" s="1"/>
  <c r="J116" i="34"/>
  <c r="K116" i="34" s="1"/>
  <c r="H116" i="34"/>
  <c r="V115" i="34"/>
  <c r="U115" i="34"/>
  <c r="M115" i="34"/>
  <c r="N115" i="34" s="1"/>
  <c r="J115" i="34"/>
  <c r="K115" i="34" s="1"/>
  <c r="H115" i="34"/>
  <c r="V114" i="34"/>
  <c r="U114" i="34"/>
  <c r="M114" i="34"/>
  <c r="N114" i="34" s="1"/>
  <c r="J114" i="34"/>
  <c r="K114" i="34" s="1"/>
  <c r="H114" i="34"/>
  <c r="V113" i="34"/>
  <c r="U113" i="34"/>
  <c r="M113" i="34"/>
  <c r="N113" i="34" s="1"/>
  <c r="J113" i="34"/>
  <c r="K113" i="34" s="1"/>
  <c r="H113" i="34"/>
  <c r="V112" i="34"/>
  <c r="U112" i="34"/>
  <c r="M112" i="34"/>
  <c r="N112" i="34" s="1"/>
  <c r="J112" i="34"/>
  <c r="K112" i="34" s="1"/>
  <c r="H112" i="34"/>
  <c r="V111" i="34"/>
  <c r="U111" i="34"/>
  <c r="M111" i="34"/>
  <c r="N111" i="34" s="1"/>
  <c r="J111" i="34"/>
  <c r="K111" i="34" s="1"/>
  <c r="H111" i="34"/>
  <c r="V110" i="34"/>
  <c r="U110" i="34"/>
  <c r="M110" i="34"/>
  <c r="N110" i="34" s="1"/>
  <c r="J110" i="34"/>
  <c r="K110" i="34" s="1"/>
  <c r="H110" i="34"/>
  <c r="V109" i="34"/>
  <c r="U109" i="34"/>
  <c r="M109" i="34"/>
  <c r="N109" i="34" s="1"/>
  <c r="J109" i="34"/>
  <c r="K109" i="34" s="1"/>
  <c r="H109" i="34"/>
  <c r="V108" i="34"/>
  <c r="U108" i="34"/>
  <c r="M108" i="34"/>
  <c r="N108" i="34" s="1"/>
  <c r="J108" i="34"/>
  <c r="K108" i="34" s="1"/>
  <c r="H108" i="34"/>
  <c r="V107" i="34"/>
  <c r="M107" i="34"/>
  <c r="N107" i="34" s="1"/>
  <c r="J107" i="34"/>
  <c r="K107" i="34" s="1"/>
  <c r="H107" i="34"/>
  <c r="U106" i="34"/>
  <c r="M106" i="34"/>
  <c r="N106" i="34" s="1"/>
  <c r="J106" i="34"/>
  <c r="K106" i="34" s="1"/>
  <c r="F106" i="34"/>
  <c r="H106" i="34" s="1"/>
  <c r="V105" i="34"/>
  <c r="U105" i="34"/>
  <c r="M105" i="34"/>
  <c r="N105" i="34" s="1"/>
  <c r="J105" i="34"/>
  <c r="K105" i="34" s="1"/>
  <c r="H105" i="34"/>
  <c r="V104" i="34"/>
  <c r="U104" i="34"/>
  <c r="M104" i="34"/>
  <c r="N104" i="34" s="1"/>
  <c r="J104" i="34"/>
  <c r="K104" i="34" s="1"/>
  <c r="H104" i="34"/>
  <c r="V103" i="34"/>
  <c r="U103" i="34"/>
  <c r="M103" i="34"/>
  <c r="N103" i="34" s="1"/>
  <c r="J103" i="34"/>
  <c r="K103" i="34" s="1"/>
  <c r="H103" i="34"/>
  <c r="V102" i="34"/>
  <c r="U102" i="34"/>
  <c r="M102" i="34"/>
  <c r="N102" i="34" s="1"/>
  <c r="J102" i="34"/>
  <c r="K102" i="34" s="1"/>
  <c r="H102" i="34"/>
  <c r="V101" i="34"/>
  <c r="U101" i="34"/>
  <c r="M101" i="34"/>
  <c r="N101" i="34" s="1"/>
  <c r="J101" i="34"/>
  <c r="K101" i="34" s="1"/>
  <c r="H101" i="34"/>
  <c r="V100" i="34"/>
  <c r="U100" i="34"/>
  <c r="M100" i="34"/>
  <c r="N100" i="34" s="1"/>
  <c r="J100" i="34"/>
  <c r="K100" i="34" s="1"/>
  <c r="H100" i="34"/>
  <c r="V99" i="34"/>
  <c r="U99" i="34"/>
  <c r="M99" i="34"/>
  <c r="N99" i="34" s="1"/>
  <c r="J99" i="34"/>
  <c r="K99" i="34" s="1"/>
  <c r="H99" i="34"/>
  <c r="V98" i="34"/>
  <c r="U98" i="34"/>
  <c r="M98" i="34"/>
  <c r="N98" i="34" s="1"/>
  <c r="J98" i="34"/>
  <c r="K98" i="34" s="1"/>
  <c r="H98" i="34"/>
  <c r="U97" i="34"/>
  <c r="M97" i="34"/>
  <c r="N97" i="34" s="1"/>
  <c r="J97" i="34"/>
  <c r="K97" i="34" s="1"/>
  <c r="H97" i="34"/>
  <c r="V96" i="34"/>
  <c r="U96" i="34"/>
  <c r="M96" i="34"/>
  <c r="N96" i="34" s="1"/>
  <c r="J96" i="34"/>
  <c r="K96" i="34" s="1"/>
  <c r="H96" i="34"/>
  <c r="V95" i="34"/>
  <c r="U95" i="34"/>
  <c r="M95" i="34"/>
  <c r="N95" i="34" s="1"/>
  <c r="J95" i="34"/>
  <c r="K95" i="34" s="1"/>
  <c r="H95" i="34"/>
  <c r="V94" i="34"/>
  <c r="U94" i="34"/>
  <c r="M94" i="34"/>
  <c r="N94" i="34" s="1"/>
  <c r="J94" i="34"/>
  <c r="K94" i="34" s="1"/>
  <c r="H94" i="34"/>
  <c r="V93" i="34"/>
  <c r="U93" i="34"/>
  <c r="M93" i="34"/>
  <c r="N93" i="34" s="1"/>
  <c r="J93" i="34"/>
  <c r="K93" i="34" s="1"/>
  <c r="H93" i="34"/>
  <c r="V92" i="34"/>
  <c r="U92" i="34"/>
  <c r="M92" i="34"/>
  <c r="N92" i="34" s="1"/>
  <c r="J92" i="34"/>
  <c r="K92" i="34" s="1"/>
  <c r="H92" i="34"/>
  <c r="V91" i="34"/>
  <c r="U91" i="34"/>
  <c r="M91" i="34"/>
  <c r="N91" i="34" s="1"/>
  <c r="J91" i="34"/>
  <c r="K91" i="34" s="1"/>
  <c r="H91" i="34"/>
  <c r="V90" i="34"/>
  <c r="U90" i="34"/>
  <c r="M90" i="34"/>
  <c r="N90" i="34" s="1"/>
  <c r="J90" i="34"/>
  <c r="K90" i="34" s="1"/>
  <c r="H90" i="34"/>
  <c r="V89" i="34"/>
  <c r="U89" i="34"/>
  <c r="M89" i="34"/>
  <c r="N89" i="34" s="1"/>
  <c r="J89" i="34"/>
  <c r="K89" i="34" s="1"/>
  <c r="H89" i="34"/>
  <c r="V88" i="34"/>
  <c r="U88" i="34"/>
  <c r="M88" i="34"/>
  <c r="N88" i="34" s="1"/>
  <c r="J88" i="34"/>
  <c r="K88" i="34" s="1"/>
  <c r="H88" i="34"/>
  <c r="V87" i="34"/>
  <c r="U87" i="34"/>
  <c r="M87" i="34"/>
  <c r="N87" i="34" s="1"/>
  <c r="J87" i="34"/>
  <c r="K87" i="34" s="1"/>
  <c r="H87" i="34"/>
  <c r="V86" i="34"/>
  <c r="U86" i="34"/>
  <c r="M86" i="34"/>
  <c r="N86" i="34" s="1"/>
  <c r="J86" i="34"/>
  <c r="K86" i="34" s="1"/>
  <c r="H86" i="34"/>
  <c r="V85" i="34"/>
  <c r="U85" i="34"/>
  <c r="M85" i="34"/>
  <c r="N85" i="34" s="1"/>
  <c r="J85" i="34"/>
  <c r="K85" i="34" s="1"/>
  <c r="H85" i="34"/>
  <c r="E85" i="34"/>
  <c r="V84" i="34"/>
  <c r="U84" i="34"/>
  <c r="M84" i="34"/>
  <c r="N84" i="34" s="1"/>
  <c r="J84" i="34"/>
  <c r="K84" i="34" s="1"/>
  <c r="H84" i="34"/>
  <c r="E84" i="34"/>
  <c r="V83" i="34"/>
  <c r="U83" i="34"/>
  <c r="M83" i="34"/>
  <c r="N83" i="34" s="1"/>
  <c r="J83" i="34"/>
  <c r="K83" i="34" s="1"/>
  <c r="H83" i="34"/>
  <c r="V82" i="34"/>
  <c r="U82" i="34"/>
  <c r="M82" i="34"/>
  <c r="N82" i="34" s="1"/>
  <c r="J82" i="34"/>
  <c r="K82" i="34" s="1"/>
  <c r="H82" i="34"/>
  <c r="V81" i="34"/>
  <c r="U81" i="34"/>
  <c r="M81" i="34"/>
  <c r="N81" i="34" s="1"/>
  <c r="J81" i="34"/>
  <c r="K81" i="34" s="1"/>
  <c r="H81" i="34"/>
  <c r="V80" i="34"/>
  <c r="U80" i="34"/>
  <c r="M80" i="34"/>
  <c r="N80" i="34" s="1"/>
  <c r="J80" i="34"/>
  <c r="K80" i="34" s="1"/>
  <c r="H80" i="34"/>
  <c r="V79" i="34"/>
  <c r="U79" i="34"/>
  <c r="M79" i="34"/>
  <c r="N79" i="34" s="1"/>
  <c r="J79" i="34"/>
  <c r="K79" i="34" s="1"/>
  <c r="H79" i="34"/>
  <c r="V78" i="34"/>
  <c r="U78" i="34"/>
  <c r="M78" i="34"/>
  <c r="N78" i="34" s="1"/>
  <c r="J78" i="34"/>
  <c r="K78" i="34" s="1"/>
  <c r="H78" i="34"/>
  <c r="V77" i="34"/>
  <c r="U77" i="34"/>
  <c r="M77" i="34"/>
  <c r="N77" i="34" s="1"/>
  <c r="J77" i="34"/>
  <c r="K77" i="34" s="1"/>
  <c r="H77" i="34"/>
  <c r="V76" i="34"/>
  <c r="U76" i="34"/>
  <c r="M76" i="34"/>
  <c r="N76" i="34" s="1"/>
  <c r="J76" i="34"/>
  <c r="K76" i="34" s="1"/>
  <c r="H76" i="34"/>
  <c r="V75" i="34"/>
  <c r="U75" i="34"/>
  <c r="M75" i="34"/>
  <c r="N75" i="34" s="1"/>
  <c r="J75" i="34"/>
  <c r="K75" i="34" s="1"/>
  <c r="H75" i="34"/>
  <c r="V74" i="34"/>
  <c r="U74" i="34"/>
  <c r="M74" i="34"/>
  <c r="N74" i="34" s="1"/>
  <c r="J74" i="34"/>
  <c r="K74" i="34" s="1"/>
  <c r="H74" i="34"/>
  <c r="V73" i="34"/>
  <c r="U73" i="34"/>
  <c r="M73" i="34"/>
  <c r="N73" i="34" s="1"/>
  <c r="J73" i="34"/>
  <c r="K73" i="34" s="1"/>
  <c r="H73" i="34"/>
  <c r="V72" i="34"/>
  <c r="U72" i="34"/>
  <c r="M72" i="34"/>
  <c r="N72" i="34" s="1"/>
  <c r="J72" i="34"/>
  <c r="K72" i="34" s="1"/>
  <c r="H72" i="34"/>
  <c r="V71" i="34"/>
  <c r="U71" i="34"/>
  <c r="M71" i="34"/>
  <c r="N71" i="34" s="1"/>
  <c r="J71" i="34"/>
  <c r="K71" i="34" s="1"/>
  <c r="H71" i="34"/>
  <c r="V70" i="34"/>
  <c r="U70" i="34"/>
  <c r="M70" i="34"/>
  <c r="N70" i="34" s="1"/>
  <c r="J70" i="34"/>
  <c r="K70" i="34" s="1"/>
  <c r="H70" i="34"/>
  <c r="V69" i="34"/>
  <c r="U69" i="34"/>
  <c r="M69" i="34"/>
  <c r="N69" i="34" s="1"/>
  <c r="J69" i="34"/>
  <c r="K69" i="34" s="1"/>
  <c r="H69" i="34"/>
  <c r="V68" i="34"/>
  <c r="U68" i="34"/>
  <c r="M68" i="34"/>
  <c r="N68" i="34" s="1"/>
  <c r="J68" i="34"/>
  <c r="K68" i="34" s="1"/>
  <c r="H68" i="34"/>
  <c r="V67" i="34"/>
  <c r="U67" i="34"/>
  <c r="M67" i="34"/>
  <c r="N67" i="34" s="1"/>
  <c r="J67" i="34"/>
  <c r="K67" i="34" s="1"/>
  <c r="H67" i="34"/>
  <c r="V66" i="34"/>
  <c r="U66" i="34"/>
  <c r="M66" i="34"/>
  <c r="N66" i="34" s="1"/>
  <c r="J66" i="34"/>
  <c r="K66" i="34" s="1"/>
  <c r="H66" i="34"/>
  <c r="V65" i="34"/>
  <c r="U65" i="34"/>
  <c r="M65" i="34"/>
  <c r="N65" i="34" s="1"/>
  <c r="J65" i="34"/>
  <c r="K65" i="34" s="1"/>
  <c r="H65" i="34"/>
  <c r="V64" i="34"/>
  <c r="U64" i="34"/>
  <c r="M64" i="34"/>
  <c r="N64" i="34" s="1"/>
  <c r="J64" i="34"/>
  <c r="K64" i="34" s="1"/>
  <c r="H64" i="34"/>
  <c r="V63" i="34"/>
  <c r="U63" i="34"/>
  <c r="M63" i="34"/>
  <c r="N63" i="34" s="1"/>
  <c r="J63" i="34"/>
  <c r="K63" i="34" s="1"/>
  <c r="H63" i="34"/>
  <c r="V62" i="34"/>
  <c r="U62" i="34"/>
  <c r="M62" i="34"/>
  <c r="N62" i="34" s="1"/>
  <c r="J62" i="34"/>
  <c r="K62" i="34" s="1"/>
  <c r="H62" i="34"/>
  <c r="V61" i="34"/>
  <c r="U61" i="34"/>
  <c r="M61" i="34"/>
  <c r="N61" i="34" s="1"/>
  <c r="J61" i="34"/>
  <c r="K61" i="34" s="1"/>
  <c r="H61" i="34"/>
  <c r="V60" i="34"/>
  <c r="U60" i="34"/>
  <c r="M60" i="34"/>
  <c r="N60" i="34" s="1"/>
  <c r="J60" i="34"/>
  <c r="K60" i="34" s="1"/>
  <c r="H60" i="34"/>
  <c r="V59" i="34"/>
  <c r="U59" i="34"/>
  <c r="M59" i="34"/>
  <c r="N59" i="34" s="1"/>
  <c r="J59" i="34"/>
  <c r="K59" i="34" s="1"/>
  <c r="H59" i="34"/>
  <c r="V58" i="34"/>
  <c r="U58" i="34"/>
  <c r="M58" i="34"/>
  <c r="N58" i="34" s="1"/>
  <c r="J58" i="34"/>
  <c r="K58" i="34" s="1"/>
  <c r="H58" i="34"/>
  <c r="V57" i="34"/>
  <c r="U57" i="34"/>
  <c r="M57" i="34"/>
  <c r="N57" i="34" s="1"/>
  <c r="J57" i="34"/>
  <c r="K57" i="34" s="1"/>
  <c r="H57" i="34"/>
  <c r="V56" i="34"/>
  <c r="U56" i="34"/>
  <c r="M56" i="34"/>
  <c r="N56" i="34" s="1"/>
  <c r="J56" i="34"/>
  <c r="K56" i="34" s="1"/>
  <c r="H56" i="34"/>
  <c r="V55" i="34"/>
  <c r="U55" i="34"/>
  <c r="M55" i="34"/>
  <c r="N55" i="34" s="1"/>
  <c r="J55" i="34"/>
  <c r="K55" i="34" s="1"/>
  <c r="H55" i="34"/>
  <c r="V54" i="34"/>
  <c r="U54" i="34"/>
  <c r="M54" i="34"/>
  <c r="N54" i="34" s="1"/>
  <c r="J54" i="34"/>
  <c r="K54" i="34" s="1"/>
  <c r="H54" i="34"/>
  <c r="V53" i="34"/>
  <c r="U53" i="34"/>
  <c r="M53" i="34"/>
  <c r="N53" i="34" s="1"/>
  <c r="J53" i="34"/>
  <c r="K53" i="34" s="1"/>
  <c r="H53" i="34"/>
  <c r="V52" i="34"/>
  <c r="U52" i="34"/>
  <c r="M52" i="34"/>
  <c r="N52" i="34" s="1"/>
  <c r="J52" i="34"/>
  <c r="K52" i="34" s="1"/>
  <c r="H52" i="34"/>
  <c r="V51" i="34"/>
  <c r="U51" i="34"/>
  <c r="M51" i="34"/>
  <c r="N51" i="34" s="1"/>
  <c r="J51" i="34"/>
  <c r="K51" i="34" s="1"/>
  <c r="H51" i="34"/>
  <c r="V50" i="34"/>
  <c r="U50" i="34"/>
  <c r="M50" i="34"/>
  <c r="N50" i="34" s="1"/>
  <c r="J50" i="34"/>
  <c r="K50" i="34" s="1"/>
  <c r="H50" i="34"/>
  <c r="V49" i="34"/>
  <c r="U49" i="34"/>
  <c r="M49" i="34"/>
  <c r="N49" i="34" s="1"/>
  <c r="J49" i="34"/>
  <c r="K49" i="34" s="1"/>
  <c r="H49" i="34"/>
  <c r="V48" i="34"/>
  <c r="U48" i="34"/>
  <c r="M48" i="34"/>
  <c r="N48" i="34" s="1"/>
  <c r="J48" i="34"/>
  <c r="K48" i="34" s="1"/>
  <c r="H48" i="34"/>
  <c r="V47" i="34"/>
  <c r="U47" i="34"/>
  <c r="M47" i="34"/>
  <c r="N47" i="34" s="1"/>
  <c r="J47" i="34"/>
  <c r="K47" i="34" s="1"/>
  <c r="H47" i="34"/>
  <c r="V46" i="34"/>
  <c r="U46" i="34"/>
  <c r="M46" i="34"/>
  <c r="N46" i="34" s="1"/>
  <c r="J46" i="34"/>
  <c r="K46" i="34" s="1"/>
  <c r="H46" i="34"/>
  <c r="V45" i="34"/>
  <c r="U45" i="34"/>
  <c r="M45" i="34"/>
  <c r="N45" i="34" s="1"/>
  <c r="J45" i="34"/>
  <c r="K45" i="34" s="1"/>
  <c r="H45" i="34"/>
  <c r="V44" i="34"/>
  <c r="U44" i="34"/>
  <c r="M44" i="34"/>
  <c r="N44" i="34" s="1"/>
  <c r="J44" i="34"/>
  <c r="K44" i="34" s="1"/>
  <c r="H44" i="34"/>
  <c r="V43" i="34"/>
  <c r="U43" i="34"/>
  <c r="M43" i="34"/>
  <c r="N43" i="34" s="1"/>
  <c r="J43" i="34"/>
  <c r="K43" i="34" s="1"/>
  <c r="H43" i="34"/>
  <c r="V42" i="34"/>
  <c r="U42" i="34"/>
  <c r="M42" i="34"/>
  <c r="N42" i="34" s="1"/>
  <c r="J42" i="34"/>
  <c r="K42" i="34" s="1"/>
  <c r="Z42" i="34" s="1"/>
  <c r="H42" i="34"/>
  <c r="V41" i="34"/>
  <c r="U41" i="34"/>
  <c r="M41" i="34"/>
  <c r="N41" i="34" s="1"/>
  <c r="J41" i="34"/>
  <c r="K41" i="34" s="1"/>
  <c r="Z41" i="34" s="1"/>
  <c r="H41" i="34"/>
  <c r="V40" i="34"/>
  <c r="U40" i="34"/>
  <c r="M40" i="34"/>
  <c r="N40" i="34" s="1"/>
  <c r="J40" i="34"/>
  <c r="K40" i="34" s="1"/>
  <c r="Z40" i="34" s="1"/>
  <c r="H40" i="34"/>
  <c r="V39" i="34"/>
  <c r="U39" i="34"/>
  <c r="M39" i="34"/>
  <c r="N39" i="34" s="1"/>
  <c r="J39" i="34"/>
  <c r="K39" i="34" s="1"/>
  <c r="Z39" i="34" s="1"/>
  <c r="H39" i="34"/>
  <c r="V38" i="34"/>
  <c r="U38" i="34"/>
  <c r="M38" i="34"/>
  <c r="N38" i="34" s="1"/>
  <c r="J38" i="34"/>
  <c r="K38" i="34" s="1"/>
  <c r="Z38" i="34" s="1"/>
  <c r="H38" i="34"/>
  <c r="E38" i="34"/>
  <c r="V37" i="34"/>
  <c r="U37" i="34"/>
  <c r="M37" i="34"/>
  <c r="N37" i="34" s="1"/>
  <c r="J37" i="34"/>
  <c r="K37" i="34" s="1"/>
  <c r="Z37" i="34" s="1"/>
  <c r="H37" i="34"/>
  <c r="E37" i="34"/>
  <c r="V36" i="34"/>
  <c r="U36" i="34"/>
  <c r="M36" i="34"/>
  <c r="N36" i="34" s="1"/>
  <c r="J36" i="34"/>
  <c r="K36" i="34" s="1"/>
  <c r="Z36" i="34" s="1"/>
  <c r="H36" i="34"/>
  <c r="E36" i="34"/>
  <c r="V35" i="34"/>
  <c r="U35" i="34"/>
  <c r="M35" i="34"/>
  <c r="N35" i="34" s="1"/>
  <c r="J35" i="34"/>
  <c r="K35" i="34" s="1"/>
  <c r="Z35" i="34" s="1"/>
  <c r="H35" i="34"/>
  <c r="E35" i="34"/>
  <c r="V34" i="34"/>
  <c r="U34" i="34"/>
  <c r="M34" i="34"/>
  <c r="N34" i="34" s="1"/>
  <c r="J34" i="34"/>
  <c r="K34" i="34" s="1"/>
  <c r="Z34" i="34" s="1"/>
  <c r="H34" i="34"/>
  <c r="V33" i="34"/>
  <c r="U33" i="34"/>
  <c r="M33" i="34"/>
  <c r="N33" i="34" s="1"/>
  <c r="J33" i="34"/>
  <c r="K33" i="34" s="1"/>
  <c r="Z33" i="34" s="1"/>
  <c r="H33" i="34"/>
  <c r="V32" i="34"/>
  <c r="U32" i="34"/>
  <c r="M32" i="34"/>
  <c r="N32" i="34" s="1"/>
  <c r="J32" i="34"/>
  <c r="K32" i="34" s="1"/>
  <c r="Z32" i="34" s="1"/>
  <c r="H32" i="34"/>
  <c r="V31" i="34"/>
  <c r="U31" i="34"/>
  <c r="M31" i="34"/>
  <c r="N31" i="34" s="1"/>
  <c r="J31" i="34"/>
  <c r="K31" i="34" s="1"/>
  <c r="Z31" i="34" s="1"/>
  <c r="H31" i="34"/>
  <c r="V30" i="34"/>
  <c r="U30" i="34"/>
  <c r="M30" i="34"/>
  <c r="N30" i="34" s="1"/>
  <c r="J30" i="34"/>
  <c r="K30" i="34" s="1"/>
  <c r="Z30" i="34" s="1"/>
  <c r="H30" i="34"/>
  <c r="V29" i="34"/>
  <c r="U29" i="34"/>
  <c r="M29" i="34"/>
  <c r="N29" i="34" s="1"/>
  <c r="J29" i="34"/>
  <c r="K29" i="34" s="1"/>
  <c r="Z29" i="34" s="1"/>
  <c r="H29" i="34"/>
  <c r="V28" i="34"/>
  <c r="U28" i="34"/>
  <c r="M28" i="34"/>
  <c r="N28" i="34" s="1"/>
  <c r="J28" i="34"/>
  <c r="K28" i="34" s="1"/>
  <c r="Z28" i="34" s="1"/>
  <c r="H28" i="34"/>
  <c r="V27" i="34"/>
  <c r="U27" i="34"/>
  <c r="M27" i="34"/>
  <c r="N27" i="34" s="1"/>
  <c r="J27" i="34"/>
  <c r="K27" i="34" s="1"/>
  <c r="Z27" i="34" s="1"/>
  <c r="F27" i="34"/>
  <c r="H27" i="34" s="1"/>
  <c r="V26" i="34"/>
  <c r="U26" i="34"/>
  <c r="M26" i="34"/>
  <c r="N26" i="34" s="1"/>
  <c r="J26" i="34"/>
  <c r="K26" i="34" s="1"/>
  <c r="Z26" i="34" s="1"/>
  <c r="H26" i="34"/>
  <c r="V25" i="34"/>
  <c r="U25" i="34"/>
  <c r="M25" i="34"/>
  <c r="N25" i="34" s="1"/>
  <c r="J25" i="34"/>
  <c r="K25" i="34" s="1"/>
  <c r="Z25" i="34" s="1"/>
  <c r="H25" i="34"/>
  <c r="V24" i="34"/>
  <c r="U24" i="34"/>
  <c r="M24" i="34"/>
  <c r="N24" i="34" s="1"/>
  <c r="J24" i="34"/>
  <c r="K24" i="34" s="1"/>
  <c r="Z24" i="34" s="1"/>
  <c r="H24" i="34"/>
  <c r="V23" i="34"/>
  <c r="U23" i="34"/>
  <c r="M23" i="34"/>
  <c r="N23" i="34" s="1"/>
  <c r="J23" i="34"/>
  <c r="K23" i="34" s="1"/>
  <c r="Z23" i="34" s="1"/>
  <c r="H23" i="34"/>
  <c r="V22" i="34"/>
  <c r="U22" i="34"/>
  <c r="M22" i="34"/>
  <c r="N22" i="34" s="1"/>
  <c r="J22" i="34"/>
  <c r="K22" i="34" s="1"/>
  <c r="Z22" i="34" s="1"/>
  <c r="H22" i="34"/>
  <c r="V21" i="34"/>
  <c r="U21" i="34"/>
  <c r="M21" i="34"/>
  <c r="N21" i="34" s="1"/>
  <c r="J21" i="34"/>
  <c r="K21" i="34" s="1"/>
  <c r="Z21" i="34" s="1"/>
  <c r="H21" i="34"/>
  <c r="V20" i="34"/>
  <c r="U20" i="34"/>
  <c r="M20" i="34"/>
  <c r="N20" i="34" s="1"/>
  <c r="J20" i="34"/>
  <c r="K20" i="34" s="1"/>
  <c r="Z20" i="34" s="1"/>
  <c r="H20" i="34"/>
  <c r="V19" i="34"/>
  <c r="U19" i="34"/>
  <c r="M19" i="34"/>
  <c r="N19" i="34" s="1"/>
  <c r="J19" i="34"/>
  <c r="K19" i="34" s="1"/>
  <c r="Z19" i="34" s="1"/>
  <c r="H19" i="34"/>
  <c r="W18" i="34"/>
  <c r="V18" i="34"/>
  <c r="U18" i="34"/>
  <c r="M18" i="34"/>
  <c r="N18" i="34" s="1"/>
  <c r="J18" i="34"/>
  <c r="K18" i="34" s="1"/>
  <c r="Z18" i="34" s="1"/>
  <c r="H18" i="34"/>
  <c r="V17" i="34"/>
  <c r="U17" i="34"/>
  <c r="M17" i="34"/>
  <c r="N17" i="34" s="1"/>
  <c r="J17" i="34"/>
  <c r="K17" i="34" s="1"/>
  <c r="H17" i="34"/>
  <c r="V16" i="34"/>
  <c r="U16" i="34"/>
  <c r="M16" i="34"/>
  <c r="N16" i="34" s="1"/>
  <c r="J16" i="34"/>
  <c r="K16" i="34" s="1"/>
  <c r="H16" i="34"/>
  <c r="V15" i="34"/>
  <c r="U15" i="34"/>
  <c r="M15" i="34"/>
  <c r="N15" i="34" s="1"/>
  <c r="J15" i="34"/>
  <c r="K15" i="34" s="1"/>
  <c r="H15" i="34"/>
  <c r="V14" i="34"/>
  <c r="U14" i="34"/>
  <c r="M14" i="34"/>
  <c r="N14" i="34" s="1"/>
  <c r="J14" i="34"/>
  <c r="K14" i="34" s="1"/>
  <c r="H14" i="34"/>
  <c r="V13" i="34"/>
  <c r="U13" i="34"/>
  <c r="M13" i="34"/>
  <c r="N13" i="34" s="1"/>
  <c r="J13" i="34"/>
  <c r="H13" i="34"/>
  <c r="A13" i="34"/>
  <c r="H156" i="6"/>
  <c r="H157" i="6"/>
  <c r="T107" i="35" l="1"/>
  <c r="A108" i="35"/>
  <c r="P148" i="34"/>
  <c r="Q148" i="34" s="1"/>
  <c r="S148" i="34" s="1"/>
  <c r="P278" i="34"/>
  <c r="Q278" i="34" s="1"/>
  <c r="S278" i="34" s="1"/>
  <c r="P169" i="34"/>
  <c r="Q169" i="34" s="1"/>
  <c r="S169" i="34" s="1"/>
  <c r="P270" i="34"/>
  <c r="Q270" i="34" s="1"/>
  <c r="S270" i="34" s="1"/>
  <c r="P274" i="34"/>
  <c r="Q274" i="34" s="1"/>
  <c r="S274" i="34" s="1"/>
  <c r="P230" i="34"/>
  <c r="Q230" i="34" s="1"/>
  <c r="S230" i="34" s="1"/>
  <c r="P159" i="34"/>
  <c r="Q159" i="34" s="1"/>
  <c r="S159" i="34" s="1"/>
  <c r="P119" i="34"/>
  <c r="Q119" i="34" s="1"/>
  <c r="S119" i="34" s="1"/>
  <c r="P94" i="34"/>
  <c r="Q94" i="34" s="1"/>
  <c r="S94" i="34" s="1"/>
  <c r="P147" i="34"/>
  <c r="Q147" i="34" s="1"/>
  <c r="S147" i="34" s="1"/>
  <c r="P226" i="34"/>
  <c r="Q226" i="34" s="1"/>
  <c r="S226" i="34" s="1"/>
  <c r="P185" i="34"/>
  <c r="Q185" i="34" s="1"/>
  <c r="S185" i="34" s="1"/>
  <c r="P232" i="34"/>
  <c r="Q232" i="34" s="1"/>
  <c r="S232" i="34" s="1"/>
  <c r="P140" i="34"/>
  <c r="Q140" i="34" s="1"/>
  <c r="S140" i="34" s="1"/>
  <c r="P224" i="34"/>
  <c r="Q224" i="34" s="1"/>
  <c r="S224" i="34" s="1"/>
  <c r="P231" i="34"/>
  <c r="Q231" i="34" s="1"/>
  <c r="S231" i="34" s="1"/>
  <c r="P93" i="34"/>
  <c r="Q93" i="34" s="1"/>
  <c r="S93" i="34" s="1"/>
  <c r="P90" i="34"/>
  <c r="Q90" i="34" s="1"/>
  <c r="S90" i="34" s="1"/>
  <c r="P118" i="34"/>
  <c r="Q118" i="34" s="1"/>
  <c r="S118" i="34" s="1"/>
  <c r="P139" i="34"/>
  <c r="Q139" i="34" s="1"/>
  <c r="S139" i="34" s="1"/>
  <c r="P165" i="34"/>
  <c r="Q165" i="34" s="1"/>
  <c r="S165" i="34" s="1"/>
  <c r="P173" i="34"/>
  <c r="Q173" i="34" s="1"/>
  <c r="S173" i="34" s="1"/>
  <c r="P205" i="34"/>
  <c r="Q205" i="34" s="1"/>
  <c r="S205" i="34" s="1"/>
  <c r="P215" i="34"/>
  <c r="Q215" i="34" s="1"/>
  <c r="S215" i="34" s="1"/>
  <c r="P145" i="34"/>
  <c r="Q145" i="34" s="1"/>
  <c r="S145" i="34" s="1"/>
  <c r="P146" i="34"/>
  <c r="Q146" i="34" s="1"/>
  <c r="S146" i="34" s="1"/>
  <c r="P177" i="34"/>
  <c r="Q177" i="34" s="1"/>
  <c r="S177" i="34" s="1"/>
  <c r="P266" i="34"/>
  <c r="Q266" i="34" s="1"/>
  <c r="S266" i="34" s="1"/>
  <c r="P22" i="34"/>
  <c r="Q22" i="34" s="1"/>
  <c r="S22" i="34" s="1"/>
  <c r="P16" i="34"/>
  <c r="Q16" i="34" s="1"/>
  <c r="S16" i="34" s="1"/>
  <c r="X13" i="34"/>
  <c r="P27" i="34"/>
  <c r="Q27" i="34" s="1"/>
  <c r="S27" i="34" s="1"/>
  <c r="P98" i="34"/>
  <c r="Q98" i="34" s="1"/>
  <c r="S98" i="34" s="1"/>
  <c r="P106" i="34"/>
  <c r="Q106" i="34" s="1"/>
  <c r="S106" i="34" s="1"/>
  <c r="P123" i="34"/>
  <c r="Q123" i="34" s="1"/>
  <c r="S123" i="34" s="1"/>
  <c r="P136" i="34"/>
  <c r="Q136" i="34" s="1"/>
  <c r="S136" i="34" s="1"/>
  <c r="P32" i="34"/>
  <c r="Q32" i="34" s="1"/>
  <c r="S32" i="34" s="1"/>
  <c r="P36" i="34"/>
  <c r="Q36" i="34" s="1"/>
  <c r="S36" i="34" s="1"/>
  <c r="P40" i="34"/>
  <c r="Q40" i="34" s="1"/>
  <c r="S40" i="34" s="1"/>
  <c r="P72" i="34"/>
  <c r="Q72" i="34" s="1"/>
  <c r="S72" i="34" s="1"/>
  <c r="P91" i="34"/>
  <c r="Q91" i="34" s="1"/>
  <c r="S91" i="34" s="1"/>
  <c r="P92" i="34"/>
  <c r="Q92" i="34" s="1"/>
  <c r="S92" i="34" s="1"/>
  <c r="P111" i="34"/>
  <c r="Q111" i="34" s="1"/>
  <c r="S111" i="34" s="1"/>
  <c r="P115" i="34"/>
  <c r="Q115" i="34" s="1"/>
  <c r="S115" i="34" s="1"/>
  <c r="P131" i="34"/>
  <c r="Q131" i="34" s="1"/>
  <c r="S131" i="34" s="1"/>
  <c r="P23" i="34"/>
  <c r="Q23" i="34" s="1"/>
  <c r="S23" i="34" s="1"/>
  <c r="P48" i="34"/>
  <c r="Q48" i="34" s="1"/>
  <c r="S48" i="34" s="1"/>
  <c r="P56" i="34"/>
  <c r="Q56" i="34" s="1"/>
  <c r="S56" i="34" s="1"/>
  <c r="P64" i="34"/>
  <c r="Q64" i="34" s="1"/>
  <c r="S64" i="34" s="1"/>
  <c r="P85" i="34"/>
  <c r="Q85" i="34" s="1"/>
  <c r="S85" i="34" s="1"/>
  <c r="P87" i="34"/>
  <c r="Q87" i="34" s="1"/>
  <c r="S87" i="34" s="1"/>
  <c r="P19" i="34"/>
  <c r="Q19" i="34" s="1"/>
  <c r="S19" i="34" s="1"/>
  <c r="P24" i="34"/>
  <c r="Q24" i="34" s="1"/>
  <c r="S24" i="34" s="1"/>
  <c r="P25" i="34"/>
  <c r="Q25" i="34" s="1"/>
  <c r="S25" i="34" s="1"/>
  <c r="P20" i="34"/>
  <c r="Q20" i="34" s="1"/>
  <c r="S20" i="34" s="1"/>
  <c r="P29" i="34"/>
  <c r="Q29" i="34" s="1"/>
  <c r="S29" i="34" s="1"/>
  <c r="P30" i="34"/>
  <c r="Q30" i="34" s="1"/>
  <c r="S30" i="34" s="1"/>
  <c r="P33" i="34"/>
  <c r="Q33" i="34" s="1"/>
  <c r="S33" i="34" s="1"/>
  <c r="P34" i="34"/>
  <c r="Q34" i="34" s="1"/>
  <c r="S34" i="34" s="1"/>
  <c r="P37" i="34"/>
  <c r="Q37" i="34" s="1"/>
  <c r="S37" i="34" s="1"/>
  <c r="P38" i="34"/>
  <c r="Q38" i="34" s="1"/>
  <c r="S38" i="34" s="1"/>
  <c r="P44" i="34"/>
  <c r="Q44" i="34" s="1"/>
  <c r="S44" i="34" s="1"/>
  <c r="P52" i="34"/>
  <c r="Q52" i="34" s="1"/>
  <c r="S52" i="34" s="1"/>
  <c r="P60" i="34"/>
  <c r="Q60" i="34" s="1"/>
  <c r="S60" i="34" s="1"/>
  <c r="P68" i="34"/>
  <c r="Q68" i="34" s="1"/>
  <c r="S68" i="34" s="1"/>
  <c r="P74" i="34"/>
  <c r="Q74" i="34" s="1"/>
  <c r="S74" i="34" s="1"/>
  <c r="P76" i="34"/>
  <c r="Q76" i="34" s="1"/>
  <c r="S76" i="34" s="1"/>
  <c r="P89" i="34"/>
  <c r="Q89" i="34" s="1"/>
  <c r="S89" i="34" s="1"/>
  <c r="P104" i="34"/>
  <c r="Q104" i="34" s="1"/>
  <c r="S104" i="34" s="1"/>
  <c r="P127" i="34"/>
  <c r="Q127" i="34" s="1"/>
  <c r="S127" i="34" s="1"/>
  <c r="P170" i="34"/>
  <c r="Q170" i="34" s="1"/>
  <c r="S170" i="34" s="1"/>
  <c r="P17" i="34"/>
  <c r="Q17" i="34" s="1"/>
  <c r="S17" i="34" s="1"/>
  <c r="P126" i="34"/>
  <c r="Q126" i="34" s="1"/>
  <c r="S126" i="34" s="1"/>
  <c r="P41" i="34"/>
  <c r="Q41" i="34" s="1"/>
  <c r="S41" i="34" s="1"/>
  <c r="P42" i="34"/>
  <c r="Q42" i="34" s="1"/>
  <c r="S42" i="34" s="1"/>
  <c r="P45" i="34"/>
  <c r="Q45" i="34" s="1"/>
  <c r="S45" i="34" s="1"/>
  <c r="P46" i="34"/>
  <c r="Q46" i="34" s="1"/>
  <c r="S46" i="34" s="1"/>
  <c r="P49" i="34"/>
  <c r="Q49" i="34" s="1"/>
  <c r="S49" i="34" s="1"/>
  <c r="P50" i="34"/>
  <c r="Q50" i="34" s="1"/>
  <c r="S50" i="34" s="1"/>
  <c r="P53" i="34"/>
  <c r="Q53" i="34" s="1"/>
  <c r="S53" i="34" s="1"/>
  <c r="P54" i="34"/>
  <c r="Q54" i="34" s="1"/>
  <c r="S54" i="34" s="1"/>
  <c r="P57" i="34"/>
  <c r="Q57" i="34" s="1"/>
  <c r="S57" i="34" s="1"/>
  <c r="P58" i="34"/>
  <c r="Q58" i="34" s="1"/>
  <c r="S58" i="34" s="1"/>
  <c r="P61" i="34"/>
  <c r="Q61" i="34" s="1"/>
  <c r="S61" i="34" s="1"/>
  <c r="P62" i="34"/>
  <c r="Q62" i="34" s="1"/>
  <c r="S62" i="34" s="1"/>
  <c r="P65" i="34"/>
  <c r="Q65" i="34" s="1"/>
  <c r="S65" i="34" s="1"/>
  <c r="P66" i="34"/>
  <c r="Q66" i="34" s="1"/>
  <c r="S66" i="34" s="1"/>
  <c r="P69" i="34"/>
  <c r="Q69" i="34" s="1"/>
  <c r="S69" i="34" s="1"/>
  <c r="P70" i="34"/>
  <c r="Q70" i="34" s="1"/>
  <c r="S70" i="34" s="1"/>
  <c r="P73" i="34"/>
  <c r="Q73" i="34" s="1"/>
  <c r="S73" i="34" s="1"/>
  <c r="P77" i="34"/>
  <c r="Q77" i="34" s="1"/>
  <c r="S77" i="34" s="1"/>
  <c r="P81" i="34"/>
  <c r="Q81" i="34" s="1"/>
  <c r="S81" i="34" s="1"/>
  <c r="P86" i="34"/>
  <c r="Q86" i="34" s="1"/>
  <c r="S86" i="34" s="1"/>
  <c r="P100" i="34"/>
  <c r="Q100" i="34" s="1"/>
  <c r="S100" i="34" s="1"/>
  <c r="P101" i="34"/>
  <c r="Q101" i="34" s="1"/>
  <c r="S101" i="34" s="1"/>
  <c r="P120" i="34"/>
  <c r="Q120" i="34" s="1"/>
  <c r="S120" i="34" s="1"/>
  <c r="P121" i="34"/>
  <c r="Q121" i="34" s="1"/>
  <c r="S121" i="34" s="1"/>
  <c r="P128" i="34"/>
  <c r="Q128" i="34" s="1"/>
  <c r="S128" i="34" s="1"/>
  <c r="P129" i="34"/>
  <c r="Q129" i="34" s="1"/>
  <c r="S129" i="34" s="1"/>
  <c r="P152" i="34"/>
  <c r="Q152" i="34" s="1"/>
  <c r="S152" i="34" s="1"/>
  <c r="P155" i="34"/>
  <c r="Q155" i="34" s="1"/>
  <c r="S155" i="34" s="1"/>
  <c r="P156" i="34"/>
  <c r="Q156" i="34" s="1"/>
  <c r="S156" i="34" s="1"/>
  <c r="P157" i="34"/>
  <c r="Q157" i="34" s="1"/>
  <c r="S157" i="34" s="1"/>
  <c r="P164" i="34"/>
  <c r="Q164" i="34" s="1"/>
  <c r="S164" i="34" s="1"/>
  <c r="P167" i="34"/>
  <c r="Q167" i="34" s="1"/>
  <c r="S167" i="34" s="1"/>
  <c r="P168" i="34"/>
  <c r="Q168" i="34" s="1"/>
  <c r="S168" i="34" s="1"/>
  <c r="P189" i="34"/>
  <c r="Q189" i="34" s="1"/>
  <c r="S189" i="34" s="1"/>
  <c r="P208" i="34"/>
  <c r="Q208" i="34" s="1"/>
  <c r="S208" i="34" s="1"/>
  <c r="P217" i="34"/>
  <c r="Q217" i="34" s="1"/>
  <c r="S217" i="34" s="1"/>
  <c r="P82" i="34"/>
  <c r="Q82" i="34" s="1"/>
  <c r="S82" i="34" s="1"/>
  <c r="P95" i="34"/>
  <c r="Q95" i="34" s="1"/>
  <c r="S95" i="34" s="1"/>
  <c r="P96" i="34"/>
  <c r="Q96" i="34" s="1"/>
  <c r="S96" i="34" s="1"/>
  <c r="P97" i="34"/>
  <c r="Q97" i="34" s="1"/>
  <c r="S97" i="34" s="1"/>
  <c r="P107" i="34"/>
  <c r="Q107" i="34" s="1"/>
  <c r="S107" i="34" s="1"/>
  <c r="P109" i="34"/>
  <c r="Q109" i="34" s="1"/>
  <c r="S109" i="34" s="1"/>
  <c r="P110" i="34"/>
  <c r="Q110" i="34" s="1"/>
  <c r="S110" i="34" s="1"/>
  <c r="P113" i="34"/>
  <c r="Q113" i="34" s="1"/>
  <c r="S113" i="34" s="1"/>
  <c r="P114" i="34"/>
  <c r="Q114" i="34" s="1"/>
  <c r="S114" i="34" s="1"/>
  <c r="P122" i="34"/>
  <c r="Q122" i="34" s="1"/>
  <c r="S122" i="34" s="1"/>
  <c r="P130" i="34"/>
  <c r="Q130" i="34" s="1"/>
  <c r="S130" i="34" s="1"/>
  <c r="P153" i="34"/>
  <c r="Q153" i="34" s="1"/>
  <c r="S153" i="34" s="1"/>
  <c r="P174" i="34"/>
  <c r="Q174" i="34" s="1"/>
  <c r="S174" i="34" s="1"/>
  <c r="P181" i="34"/>
  <c r="Q181" i="34" s="1"/>
  <c r="S181" i="34" s="1"/>
  <c r="P182" i="34"/>
  <c r="Q182" i="34" s="1"/>
  <c r="S182" i="34" s="1"/>
  <c r="P199" i="34"/>
  <c r="Q199" i="34" s="1"/>
  <c r="S199" i="34" s="1"/>
  <c r="P200" i="34"/>
  <c r="Q200" i="34" s="1"/>
  <c r="S200" i="34" s="1"/>
  <c r="P116" i="34"/>
  <c r="Q116" i="34" s="1"/>
  <c r="S116" i="34" s="1"/>
  <c r="P117" i="34"/>
  <c r="Q117" i="34" s="1"/>
  <c r="S117" i="34" s="1"/>
  <c r="P124" i="34"/>
  <c r="Q124" i="34" s="1"/>
  <c r="S124" i="34" s="1"/>
  <c r="P125" i="34"/>
  <c r="Q125" i="34" s="1"/>
  <c r="S125" i="34" s="1"/>
  <c r="P132" i="34"/>
  <c r="Q132" i="34" s="1"/>
  <c r="S132" i="34" s="1"/>
  <c r="P133" i="34"/>
  <c r="Q133" i="34" s="1"/>
  <c r="S133" i="34" s="1"/>
  <c r="P135" i="34"/>
  <c r="Q135" i="34" s="1"/>
  <c r="S135" i="34" s="1"/>
  <c r="P137" i="34"/>
  <c r="Q137" i="34" s="1"/>
  <c r="S137" i="34" s="1"/>
  <c r="P138" i="34"/>
  <c r="Q138" i="34" s="1"/>
  <c r="S138" i="34" s="1"/>
  <c r="P143" i="34"/>
  <c r="Q143" i="34" s="1"/>
  <c r="S143" i="34" s="1"/>
  <c r="P144" i="34"/>
  <c r="Q144" i="34" s="1"/>
  <c r="S144" i="34" s="1"/>
  <c r="P160" i="34"/>
  <c r="Q160" i="34" s="1"/>
  <c r="S160" i="34" s="1"/>
  <c r="P166" i="34"/>
  <c r="Q166" i="34" s="1"/>
  <c r="S166" i="34" s="1"/>
  <c r="P187" i="34"/>
  <c r="Q187" i="34" s="1"/>
  <c r="S187" i="34" s="1"/>
  <c r="P191" i="34"/>
  <c r="Q191" i="34" s="1"/>
  <c r="S191" i="34" s="1"/>
  <c r="P225" i="34"/>
  <c r="Q225" i="34" s="1"/>
  <c r="S225" i="34" s="1"/>
  <c r="P228" i="34"/>
  <c r="Q228" i="34" s="1"/>
  <c r="S228" i="34" s="1"/>
  <c r="P178" i="34"/>
  <c r="Q178" i="34" s="1"/>
  <c r="S178" i="34" s="1"/>
  <c r="P194" i="34"/>
  <c r="Q194" i="34" s="1"/>
  <c r="S194" i="34" s="1"/>
  <c r="P206" i="34"/>
  <c r="Q206" i="34" s="1"/>
  <c r="S206" i="34" s="1"/>
  <c r="P209" i="34"/>
  <c r="Q209" i="34" s="1"/>
  <c r="S209" i="34" s="1"/>
  <c r="P211" i="34"/>
  <c r="Q211" i="34" s="1"/>
  <c r="S211" i="34" s="1"/>
  <c r="P212" i="34"/>
  <c r="Q212" i="34" s="1"/>
  <c r="S212" i="34" s="1"/>
  <c r="P220" i="34"/>
  <c r="Q220" i="34" s="1"/>
  <c r="S220" i="34" s="1"/>
  <c r="P234" i="34"/>
  <c r="Q234" i="34" s="1"/>
  <c r="S234" i="34" s="1"/>
  <c r="P235" i="34"/>
  <c r="Q235" i="34" s="1"/>
  <c r="S235" i="34" s="1"/>
  <c r="P238" i="34"/>
  <c r="Q238" i="34" s="1"/>
  <c r="S238" i="34" s="1"/>
  <c r="P239" i="34"/>
  <c r="Q239" i="34" s="1"/>
  <c r="S239" i="34" s="1"/>
  <c r="P242" i="34"/>
  <c r="Q242" i="34" s="1"/>
  <c r="S242" i="34" s="1"/>
  <c r="P243" i="34"/>
  <c r="Q243" i="34" s="1"/>
  <c r="S243" i="34" s="1"/>
  <c r="P246" i="34"/>
  <c r="Q246" i="34" s="1"/>
  <c r="S246" i="34" s="1"/>
  <c r="P247" i="34"/>
  <c r="Q247" i="34" s="1"/>
  <c r="S247" i="34" s="1"/>
  <c r="P250" i="34"/>
  <c r="Q250" i="34" s="1"/>
  <c r="S250" i="34" s="1"/>
  <c r="P251" i="34"/>
  <c r="Q251" i="34" s="1"/>
  <c r="S251" i="34" s="1"/>
  <c r="P254" i="34"/>
  <c r="Q254" i="34" s="1"/>
  <c r="S254" i="34" s="1"/>
  <c r="P255" i="34"/>
  <c r="Q255" i="34" s="1"/>
  <c r="S255" i="34" s="1"/>
  <c r="P258" i="34"/>
  <c r="Q258" i="34" s="1"/>
  <c r="S258" i="34" s="1"/>
  <c r="P259" i="34"/>
  <c r="Q259" i="34" s="1"/>
  <c r="S259" i="34" s="1"/>
  <c r="P262" i="34"/>
  <c r="Q262" i="34" s="1"/>
  <c r="S262" i="34" s="1"/>
  <c r="P263" i="34"/>
  <c r="Q263" i="34" s="1"/>
  <c r="S263" i="34" s="1"/>
  <c r="P267" i="34"/>
  <c r="Q267" i="34" s="1"/>
  <c r="S267" i="34" s="1"/>
  <c r="P271" i="34"/>
  <c r="Q271" i="34" s="1"/>
  <c r="S271" i="34" s="1"/>
  <c r="P275" i="34"/>
  <c r="Q275" i="34" s="1"/>
  <c r="S275" i="34" s="1"/>
  <c r="P141" i="34"/>
  <c r="Q141" i="34" s="1"/>
  <c r="S141" i="34" s="1"/>
  <c r="P142" i="34"/>
  <c r="Q142" i="34" s="1"/>
  <c r="S142" i="34" s="1"/>
  <c r="P150" i="34"/>
  <c r="Q150" i="34" s="1"/>
  <c r="S150" i="34" s="1"/>
  <c r="P151" i="34"/>
  <c r="Q151" i="34" s="1"/>
  <c r="S151" i="34" s="1"/>
  <c r="P158" i="34"/>
  <c r="Q158" i="34" s="1"/>
  <c r="S158" i="34" s="1"/>
  <c r="P161" i="34"/>
  <c r="Q161" i="34" s="1"/>
  <c r="S161" i="34" s="1"/>
  <c r="P171" i="34"/>
  <c r="Q171" i="34" s="1"/>
  <c r="S171" i="34" s="1"/>
  <c r="P172" i="34"/>
  <c r="Q172" i="34" s="1"/>
  <c r="S172" i="34" s="1"/>
  <c r="P175" i="34"/>
  <c r="Q175" i="34" s="1"/>
  <c r="S175" i="34" s="1"/>
  <c r="P176" i="34"/>
  <c r="Q176" i="34" s="1"/>
  <c r="S176" i="34" s="1"/>
  <c r="P179" i="34"/>
  <c r="Q179" i="34" s="1"/>
  <c r="S179" i="34" s="1"/>
  <c r="P180" i="34"/>
  <c r="Q180" i="34" s="1"/>
  <c r="S180" i="34" s="1"/>
  <c r="P183" i="34"/>
  <c r="Q183" i="34" s="1"/>
  <c r="S183" i="34" s="1"/>
  <c r="P184" i="34"/>
  <c r="Q184" i="34" s="1"/>
  <c r="S184" i="34" s="1"/>
  <c r="P195" i="34"/>
  <c r="Q195" i="34" s="1"/>
  <c r="S195" i="34" s="1"/>
  <c r="P196" i="34"/>
  <c r="Q196" i="34" s="1"/>
  <c r="S196" i="34" s="1"/>
  <c r="P203" i="34"/>
  <c r="Q203" i="34" s="1"/>
  <c r="S203" i="34" s="1"/>
  <c r="P204" i="34"/>
  <c r="Q204" i="34" s="1"/>
  <c r="S204" i="34" s="1"/>
  <c r="P218" i="34"/>
  <c r="Q218" i="34" s="1"/>
  <c r="S218" i="34" s="1"/>
  <c r="P222" i="34"/>
  <c r="Q222" i="34" s="1"/>
  <c r="S222" i="34" s="1"/>
  <c r="P223" i="34"/>
  <c r="Q223" i="34" s="1"/>
  <c r="S223" i="34" s="1"/>
  <c r="P233" i="34"/>
  <c r="Q233" i="34" s="1"/>
  <c r="S233" i="34" s="1"/>
  <c r="P237" i="34"/>
  <c r="Q237" i="34" s="1"/>
  <c r="S237" i="34" s="1"/>
  <c r="P241" i="34"/>
  <c r="Q241" i="34" s="1"/>
  <c r="S241" i="34" s="1"/>
  <c r="P245" i="34"/>
  <c r="Q245" i="34" s="1"/>
  <c r="S245" i="34" s="1"/>
  <c r="P249" i="34"/>
  <c r="Q249" i="34" s="1"/>
  <c r="S249" i="34" s="1"/>
  <c r="P253" i="34"/>
  <c r="Q253" i="34" s="1"/>
  <c r="S253" i="34" s="1"/>
  <c r="P257" i="34"/>
  <c r="Q257" i="34" s="1"/>
  <c r="S257" i="34" s="1"/>
  <c r="P261" i="34"/>
  <c r="Q261" i="34" s="1"/>
  <c r="S261" i="34" s="1"/>
  <c r="P265" i="34"/>
  <c r="Q265" i="34" s="1"/>
  <c r="S265" i="34" s="1"/>
  <c r="P269" i="34"/>
  <c r="Q269" i="34" s="1"/>
  <c r="S269" i="34" s="1"/>
  <c r="P273" i="34"/>
  <c r="Q273" i="34" s="1"/>
  <c r="S273" i="34" s="1"/>
  <c r="P277" i="34"/>
  <c r="Q277" i="34" s="1"/>
  <c r="S277" i="34" s="1"/>
  <c r="P14" i="34"/>
  <c r="Q14" i="34" s="1"/>
  <c r="S14" i="34" s="1"/>
  <c r="P31" i="34"/>
  <c r="Q31" i="34" s="1"/>
  <c r="S31" i="34" s="1"/>
  <c r="P35" i="34"/>
  <c r="Q35" i="34" s="1"/>
  <c r="S35" i="34" s="1"/>
  <c r="P39" i="34"/>
  <c r="Q39" i="34" s="1"/>
  <c r="S39" i="34" s="1"/>
  <c r="P43" i="34"/>
  <c r="Q43" i="34" s="1"/>
  <c r="S43" i="34" s="1"/>
  <c r="P47" i="34"/>
  <c r="Q47" i="34" s="1"/>
  <c r="S47" i="34" s="1"/>
  <c r="P51" i="34"/>
  <c r="Q51" i="34" s="1"/>
  <c r="S51" i="34" s="1"/>
  <c r="P55" i="34"/>
  <c r="Q55" i="34" s="1"/>
  <c r="S55" i="34" s="1"/>
  <c r="P59" i="34"/>
  <c r="Q59" i="34" s="1"/>
  <c r="S59" i="34" s="1"/>
  <c r="P63" i="34"/>
  <c r="Q63" i="34" s="1"/>
  <c r="S63" i="34" s="1"/>
  <c r="P67" i="34"/>
  <c r="Q67" i="34" s="1"/>
  <c r="S67" i="34" s="1"/>
  <c r="P71" i="34"/>
  <c r="Q71" i="34" s="1"/>
  <c r="S71" i="34" s="1"/>
  <c r="P78" i="34"/>
  <c r="Q78" i="34" s="1"/>
  <c r="S78" i="34" s="1"/>
  <c r="P26" i="34"/>
  <c r="Q26" i="34" s="1"/>
  <c r="S26" i="34" s="1"/>
  <c r="P28" i="34"/>
  <c r="Q28" i="34" s="1"/>
  <c r="S28" i="34" s="1"/>
  <c r="P15" i="34"/>
  <c r="Q15" i="34" s="1"/>
  <c r="S15" i="34" s="1"/>
  <c r="P18" i="34"/>
  <c r="Q18" i="34" s="1"/>
  <c r="S18" i="34" s="1"/>
  <c r="P21" i="34"/>
  <c r="Q21" i="34" s="1"/>
  <c r="S21" i="34" s="1"/>
  <c r="P79" i="34"/>
  <c r="Q79" i="34" s="1"/>
  <c r="S79" i="34" s="1"/>
  <c r="P80" i="34"/>
  <c r="Q80" i="34" s="1"/>
  <c r="S80" i="34" s="1"/>
  <c r="P88" i="34"/>
  <c r="Q88" i="34" s="1"/>
  <c r="S88" i="34" s="1"/>
  <c r="P99" i="34"/>
  <c r="Q99" i="34" s="1"/>
  <c r="S99" i="34" s="1"/>
  <c r="P112" i="34"/>
  <c r="Q112" i="34" s="1"/>
  <c r="S112" i="34" s="1"/>
  <c r="P134" i="34"/>
  <c r="Q134" i="34" s="1"/>
  <c r="S134" i="34" s="1"/>
  <c r="P75" i="34"/>
  <c r="Q75" i="34" s="1"/>
  <c r="S75" i="34" s="1"/>
  <c r="P105" i="34"/>
  <c r="Q105" i="34" s="1"/>
  <c r="S105" i="34" s="1"/>
  <c r="P108" i="34"/>
  <c r="Q108" i="34" s="1"/>
  <c r="S108" i="34" s="1"/>
  <c r="J353" i="34"/>
  <c r="J347" i="34"/>
  <c r="J352" i="34"/>
  <c r="J346" i="34"/>
  <c r="J351" i="34"/>
  <c r="J350" i="34"/>
  <c r="K13" i="34"/>
  <c r="P13" i="34" s="1"/>
  <c r="Q13" i="34" s="1"/>
  <c r="S13" i="34" s="1"/>
  <c r="T13" i="34"/>
  <c r="A14" i="34"/>
  <c r="W19" i="34"/>
  <c r="P83" i="34"/>
  <c r="Q83" i="34" s="1"/>
  <c r="S83" i="34" s="1"/>
  <c r="P84" i="34"/>
  <c r="Q84" i="34" s="1"/>
  <c r="S84" i="34" s="1"/>
  <c r="P102" i="34"/>
  <c r="Q102" i="34" s="1"/>
  <c r="S102" i="34" s="1"/>
  <c r="P103" i="34"/>
  <c r="Q103" i="34" s="1"/>
  <c r="S103" i="34" s="1"/>
  <c r="P149" i="34"/>
  <c r="Q149" i="34" s="1"/>
  <c r="S149" i="34" s="1"/>
  <c r="P163" i="34"/>
  <c r="Q163" i="34" s="1"/>
  <c r="S163" i="34" s="1"/>
  <c r="P188" i="34"/>
  <c r="Q188" i="34" s="1"/>
  <c r="S188" i="34" s="1"/>
  <c r="P192" i="34"/>
  <c r="Q192" i="34" s="1"/>
  <c r="S192" i="34" s="1"/>
  <c r="P193" i="34"/>
  <c r="Q193" i="34" s="1"/>
  <c r="S193" i="34" s="1"/>
  <c r="P197" i="34"/>
  <c r="Q197" i="34" s="1"/>
  <c r="S197" i="34" s="1"/>
  <c r="P202" i="34"/>
  <c r="Q202" i="34" s="1"/>
  <c r="S202" i="34" s="1"/>
  <c r="P207" i="34"/>
  <c r="Q207" i="34" s="1"/>
  <c r="S207" i="34" s="1"/>
  <c r="P213" i="34"/>
  <c r="Q213" i="34" s="1"/>
  <c r="S213" i="34" s="1"/>
  <c r="P154" i="34"/>
  <c r="Q154" i="34" s="1"/>
  <c r="S154" i="34" s="1"/>
  <c r="P162" i="34"/>
  <c r="Q162" i="34" s="1"/>
  <c r="S162" i="34" s="1"/>
  <c r="P186" i="34"/>
  <c r="Q186" i="34" s="1"/>
  <c r="S186" i="34" s="1"/>
  <c r="P190" i="34"/>
  <c r="Q190" i="34" s="1"/>
  <c r="S190" i="34" s="1"/>
  <c r="P198" i="34"/>
  <c r="Q198" i="34" s="1"/>
  <c r="S198" i="34" s="1"/>
  <c r="P201" i="34"/>
  <c r="Q201" i="34" s="1"/>
  <c r="S201" i="34" s="1"/>
  <c r="P210" i="34"/>
  <c r="Q210" i="34" s="1"/>
  <c r="S210" i="34" s="1"/>
  <c r="P214" i="34"/>
  <c r="Q214" i="34" s="1"/>
  <c r="S214" i="34" s="1"/>
  <c r="P219" i="34"/>
  <c r="Q219" i="34" s="1"/>
  <c r="S219" i="34" s="1"/>
  <c r="P227" i="34"/>
  <c r="Q227" i="34" s="1"/>
  <c r="S227" i="34" s="1"/>
  <c r="P236" i="34"/>
  <c r="Q236" i="34" s="1"/>
  <c r="S236" i="34" s="1"/>
  <c r="P240" i="34"/>
  <c r="Q240" i="34" s="1"/>
  <c r="S240" i="34" s="1"/>
  <c r="P244" i="34"/>
  <c r="Q244" i="34" s="1"/>
  <c r="S244" i="34" s="1"/>
  <c r="P248" i="34"/>
  <c r="Q248" i="34" s="1"/>
  <c r="S248" i="34" s="1"/>
  <c r="P252" i="34"/>
  <c r="Q252" i="34" s="1"/>
  <c r="S252" i="34" s="1"/>
  <c r="P256" i="34"/>
  <c r="Q256" i="34" s="1"/>
  <c r="S256" i="34" s="1"/>
  <c r="P260" i="34"/>
  <c r="Q260" i="34" s="1"/>
  <c r="S260" i="34" s="1"/>
  <c r="P264" i="34"/>
  <c r="Q264" i="34" s="1"/>
  <c r="S264" i="34" s="1"/>
  <c r="P268" i="34"/>
  <c r="Q268" i="34" s="1"/>
  <c r="S268" i="34" s="1"/>
  <c r="P272" i="34"/>
  <c r="Q272" i="34" s="1"/>
  <c r="S272" i="34" s="1"/>
  <c r="P276" i="34"/>
  <c r="Q276" i="34" s="1"/>
  <c r="S276" i="34" s="1"/>
  <c r="P216" i="34"/>
  <c r="Q216" i="34" s="1"/>
  <c r="S216" i="34" s="1"/>
  <c r="P221" i="34"/>
  <c r="Q221" i="34" s="1"/>
  <c r="S221" i="34" s="1"/>
  <c r="P229" i="34"/>
  <c r="Q229" i="34" s="1"/>
  <c r="S229" i="34" s="1"/>
  <c r="T108" i="35" l="1"/>
  <c r="A109" i="35"/>
  <c r="T14" i="34"/>
  <c r="A15" i="34"/>
  <c r="W20" i="34"/>
  <c r="W21" i="34"/>
  <c r="A16" i="34" l="1"/>
  <c r="T16" i="34" s="1"/>
  <c r="T109" i="35"/>
  <c r="A110" i="35"/>
  <c r="A17" i="34"/>
  <c r="A18" i="34" s="1"/>
  <c r="T18" i="34" s="1"/>
  <c r="T15" i="34"/>
  <c r="W22" i="34"/>
  <c r="T110" i="35" l="1"/>
  <c r="A111" i="35"/>
  <c r="W23" i="34"/>
  <c r="W24" i="34" s="1"/>
  <c r="T17" i="34"/>
  <c r="A19" i="34"/>
  <c r="T111" i="35" l="1"/>
  <c r="A112" i="35"/>
  <c r="W25" i="34"/>
  <c r="W26" i="34" s="1"/>
  <c r="W27" i="34" s="1"/>
  <c r="W28" i="34" s="1"/>
  <c r="T19" i="34"/>
  <c r="A20" i="34"/>
  <c r="A21" i="34" l="1"/>
  <c r="T21" i="34" s="1"/>
  <c r="T112" i="35"/>
  <c r="A113" i="35"/>
  <c r="T20" i="34"/>
  <c r="W29" i="34"/>
  <c r="W30" i="34" s="1"/>
  <c r="W31" i="34" s="1"/>
  <c r="W32" i="34" s="1"/>
  <c r="W33" i="34" s="1"/>
  <c r="A22" i="34"/>
  <c r="T113" i="35" l="1"/>
  <c r="A114" i="35"/>
  <c r="W34" i="34"/>
  <c r="W35" i="34" s="1"/>
  <c r="W36" i="34" s="1"/>
  <c r="W37" i="34" s="1"/>
  <c r="W38" i="34" s="1"/>
  <c r="W39" i="34" s="1"/>
  <c r="W40" i="34" s="1"/>
  <c r="W41" i="34" s="1"/>
  <c r="W42" i="34" s="1"/>
  <c r="T22" i="34"/>
  <c r="A23" i="34"/>
  <c r="A24" i="34" s="1"/>
  <c r="T114" i="35" l="1"/>
  <c r="A115" i="35"/>
  <c r="T24" i="34"/>
  <c r="A25" i="34"/>
  <c r="T23" i="34"/>
  <c r="T115" i="35" l="1"/>
  <c r="A116" i="35"/>
  <c r="A117" i="35" s="1"/>
  <c r="T25" i="34"/>
  <c r="A26" i="34"/>
  <c r="T117" i="35" l="1"/>
  <c r="A118" i="35"/>
  <c r="T26" i="34"/>
  <c r="A27" i="34"/>
  <c r="T118" i="35" l="1"/>
  <c r="A119" i="35"/>
  <c r="T27" i="34"/>
  <c r="A28" i="34"/>
  <c r="T119" i="35" l="1"/>
  <c r="A120" i="35"/>
  <c r="T28" i="34"/>
  <c r="A29" i="34"/>
  <c r="T120" i="35" l="1"/>
  <c r="A121" i="35"/>
  <c r="T29" i="34"/>
  <c r="A30" i="34"/>
  <c r="T121" i="35" l="1"/>
  <c r="A122" i="35"/>
  <c r="T30" i="34"/>
  <c r="A31" i="34"/>
  <c r="T122" i="35" l="1"/>
  <c r="A123" i="35"/>
  <c r="T31" i="34"/>
  <c r="A32" i="34"/>
  <c r="T123" i="35" l="1"/>
  <c r="A124" i="35"/>
  <c r="T32" i="34"/>
  <c r="A33" i="34"/>
  <c r="T124" i="35" l="1"/>
  <c r="A125" i="35"/>
  <c r="T33" i="34"/>
  <c r="A34" i="34"/>
  <c r="T125" i="35" l="1"/>
  <c r="A126" i="35"/>
  <c r="T34" i="34"/>
  <c r="A35" i="34"/>
  <c r="T126" i="35" l="1"/>
  <c r="A127" i="35"/>
  <c r="T35" i="34"/>
  <c r="A36" i="34"/>
  <c r="T127" i="35" l="1"/>
  <c r="A128" i="35"/>
  <c r="T36" i="34"/>
  <c r="A37" i="34"/>
  <c r="T128" i="35" l="1"/>
  <c r="A129" i="35"/>
  <c r="T37" i="34"/>
  <c r="A38" i="34"/>
  <c r="T129" i="35" l="1"/>
  <c r="A130" i="35"/>
  <c r="T38" i="34"/>
  <c r="A39" i="34"/>
  <c r="T130" i="35" l="1"/>
  <c r="A131" i="35"/>
  <c r="T39" i="34"/>
  <c r="A40" i="34"/>
  <c r="T131" i="35" l="1"/>
  <c r="A132" i="35"/>
  <c r="T40" i="34"/>
  <c r="A41" i="34"/>
  <c r="T132" i="35" l="1"/>
  <c r="A133" i="35"/>
  <c r="T41" i="34"/>
  <c r="A42" i="34"/>
  <c r="T133" i="35" l="1"/>
  <c r="A134" i="35"/>
  <c r="T42" i="34"/>
  <c r="A43" i="34"/>
  <c r="T134" i="35" l="1"/>
  <c r="A135" i="35"/>
  <c r="T43" i="34"/>
  <c r="A44" i="34"/>
  <c r="T135" i="35" l="1"/>
  <c r="A136" i="35"/>
  <c r="T44" i="34"/>
  <c r="A45" i="34"/>
  <c r="T136" i="35" l="1"/>
  <c r="A137" i="35"/>
  <c r="T45" i="34"/>
  <c r="A46" i="34"/>
  <c r="T137" i="35" l="1"/>
  <c r="A138" i="35"/>
  <c r="T46" i="34"/>
  <c r="A47" i="34"/>
  <c r="T138" i="35" l="1"/>
  <c r="A139" i="35"/>
  <c r="T47" i="34"/>
  <c r="A48" i="34"/>
  <c r="T139" i="35" l="1"/>
  <c r="A140" i="35"/>
  <c r="T48" i="34"/>
  <c r="A49" i="34"/>
  <c r="T140" i="35" l="1"/>
  <c r="A141" i="35"/>
  <c r="T49" i="34"/>
  <c r="A50" i="34"/>
  <c r="T141" i="35" l="1"/>
  <c r="A142" i="35"/>
  <c r="T50" i="34"/>
  <c r="A51" i="34"/>
  <c r="N18" i="6"/>
  <c r="N17" i="6"/>
  <c r="N54" i="6"/>
  <c r="N22" i="6"/>
  <c r="N23" i="6"/>
  <c r="N20" i="6"/>
  <c r="N82" i="6"/>
  <c r="N19" i="6"/>
  <c r="N24" i="6"/>
  <c r="N25" i="6"/>
  <c r="N27" i="6"/>
  <c r="N29" i="6"/>
  <c r="N30" i="6"/>
  <c r="N31" i="6"/>
  <c r="N32" i="6"/>
  <c r="N76" i="6"/>
  <c r="N77" i="6"/>
  <c r="N75" i="6"/>
  <c r="N78" i="6"/>
  <c r="N28" i="6"/>
  <c r="N33" i="6"/>
  <c r="N26" i="6"/>
  <c r="N42" i="6"/>
  <c r="N45" i="6"/>
  <c r="N34" i="6"/>
  <c r="N35" i="6"/>
  <c r="N36" i="6"/>
  <c r="N37" i="6"/>
  <c r="N38" i="6"/>
  <c r="N41" i="6"/>
  <c r="N46" i="6"/>
  <c r="N65" i="6"/>
  <c r="N73" i="6"/>
  <c r="N47" i="6"/>
  <c r="N48" i="6"/>
  <c r="N49" i="6"/>
  <c r="N50" i="6"/>
  <c r="N51" i="6"/>
  <c r="N58" i="6"/>
  <c r="N16" i="6"/>
  <c r="N57" i="6"/>
  <c r="N59" i="6"/>
  <c r="N60" i="6"/>
  <c r="N61" i="6"/>
  <c r="N62" i="6"/>
  <c r="N63" i="6"/>
  <c r="N64" i="6"/>
  <c r="N72" i="6"/>
  <c r="N67" i="6"/>
  <c r="N68" i="6"/>
  <c r="N69" i="6"/>
  <c r="N70" i="6"/>
  <c r="N71" i="6"/>
  <c r="N110" i="6"/>
  <c r="N158" i="6"/>
  <c r="N79" i="6"/>
  <c r="N80" i="6"/>
  <c r="N44" i="6"/>
  <c r="N52" i="6"/>
  <c r="N53" i="6"/>
  <c r="N56" i="6"/>
  <c r="N66" i="6"/>
  <c r="N74" i="6"/>
  <c r="N81" i="6"/>
  <c r="N261" i="6"/>
  <c r="N262" i="6"/>
  <c r="N263" i="6"/>
  <c r="N83" i="6"/>
  <c r="N84" i="6"/>
  <c r="N85" i="6"/>
  <c r="N86" i="6"/>
  <c r="N87" i="6"/>
  <c r="N88" i="6"/>
  <c r="N89" i="6"/>
  <c r="N90" i="6"/>
  <c r="N91" i="6"/>
  <c r="N39" i="6"/>
  <c r="N92" i="6"/>
  <c r="N93" i="6"/>
  <c r="N94" i="6"/>
  <c r="N95" i="6"/>
  <c r="N97" i="6"/>
  <c r="N98" i="6"/>
  <c r="N99" i="6"/>
  <c r="N100" i="6"/>
  <c r="N101" i="6"/>
  <c r="N102" i="6"/>
  <c r="N103" i="6"/>
  <c r="N104" i="6"/>
  <c r="N105" i="6"/>
  <c r="N106" i="6"/>
  <c r="N107" i="6"/>
  <c r="N43" i="6"/>
  <c r="N111" i="6"/>
  <c r="N112" i="6"/>
  <c r="N113" i="6"/>
  <c r="N114" i="6"/>
  <c r="N115" i="6"/>
  <c r="N116" i="6"/>
  <c r="N117" i="6"/>
  <c r="N118" i="6"/>
  <c r="N119" i="6"/>
  <c r="N109" i="6"/>
  <c r="N120" i="6"/>
  <c r="N121" i="6"/>
  <c r="N122" i="6"/>
  <c r="N123" i="6"/>
  <c r="N124" i="6"/>
  <c r="N125" i="6"/>
  <c r="N126" i="6"/>
  <c r="N127" i="6"/>
  <c r="N128" i="6"/>
  <c r="N129" i="6"/>
  <c r="N143" i="6"/>
  <c r="N144" i="6"/>
  <c r="N145" i="6"/>
  <c r="N146" i="6"/>
  <c r="N147" i="6"/>
  <c r="N148" i="6"/>
  <c r="N142" i="6"/>
  <c r="N149" i="6"/>
  <c r="N150" i="6"/>
  <c r="N151" i="6"/>
  <c r="N152" i="6"/>
  <c r="N153" i="6"/>
  <c r="N154" i="6"/>
  <c r="N155" i="6"/>
  <c r="N156" i="6"/>
  <c r="N157" i="6"/>
  <c r="N130" i="6"/>
  <c r="N108" i="6"/>
  <c r="N131" i="6"/>
  <c r="N96" i="6"/>
  <c r="N132" i="6"/>
  <c r="N133" i="6"/>
  <c r="N134" i="6"/>
  <c r="N135" i="6"/>
  <c r="N136" i="6"/>
  <c r="N137" i="6"/>
  <c r="N138" i="6"/>
  <c r="N139" i="6"/>
  <c r="N140" i="6"/>
  <c r="N141" i="6"/>
  <c r="N159" i="6"/>
  <c r="N160" i="6"/>
  <c r="N161" i="6"/>
  <c r="N162" i="6"/>
  <c r="N163" i="6"/>
  <c r="N164" i="6"/>
  <c r="N165" i="6"/>
  <c r="N166" i="6"/>
  <c r="N167" i="6"/>
  <c r="N168" i="6"/>
  <c r="N169" i="6"/>
  <c r="N170" i="6"/>
  <c r="N171" i="6"/>
  <c r="N172" i="6"/>
  <c r="N173" i="6"/>
  <c r="N174" i="6"/>
  <c r="N175" i="6"/>
  <c r="N176" i="6"/>
  <c r="N177" i="6"/>
  <c r="N178" i="6"/>
  <c r="N179" i="6"/>
  <c r="N180" i="6"/>
  <c r="N181" i="6"/>
  <c r="N182" i="6"/>
  <c r="N183" i="6"/>
  <c r="N184" i="6"/>
  <c r="N185" i="6"/>
  <c r="N186" i="6"/>
  <c r="N187" i="6"/>
  <c r="N188" i="6"/>
  <c r="N189" i="6"/>
  <c r="N190" i="6"/>
  <c r="N191" i="6"/>
  <c r="N192" i="6"/>
  <c r="N193" i="6"/>
  <c r="N194" i="6"/>
  <c r="N195" i="6"/>
  <c r="N196" i="6"/>
  <c r="N197" i="6"/>
  <c r="N198" i="6"/>
  <c r="N199" i="6"/>
  <c r="N200" i="6"/>
  <c r="N201" i="6"/>
  <c r="N202" i="6"/>
  <c r="N203" i="6"/>
  <c r="N204" i="6"/>
  <c r="N205" i="6"/>
  <c r="N206" i="6"/>
  <c r="N207" i="6"/>
  <c r="N208" i="6"/>
  <c r="N209" i="6"/>
  <c r="N210" i="6"/>
  <c r="N211" i="6"/>
  <c r="N212" i="6"/>
  <c r="N213" i="6"/>
  <c r="N214" i="6"/>
  <c r="N215" i="6"/>
  <c r="N216" i="6"/>
  <c r="N217" i="6"/>
  <c r="N218" i="6"/>
  <c r="N219" i="6"/>
  <c r="N220" i="6"/>
  <c r="N221" i="6"/>
  <c r="N222" i="6"/>
  <c r="N223" i="6"/>
  <c r="N224" i="6"/>
  <c r="N225" i="6"/>
  <c r="N226" i="6"/>
  <c r="N227" i="6"/>
  <c r="N228" i="6"/>
  <c r="N229" i="6"/>
  <c r="N230" i="6"/>
  <c r="N231" i="6"/>
  <c r="N232" i="6"/>
  <c r="N233" i="6"/>
  <c r="N234" i="6"/>
  <c r="N235" i="6"/>
  <c r="N237" i="6"/>
  <c r="N238" i="6"/>
  <c r="N239" i="6"/>
  <c r="N240" i="6"/>
  <c r="N241" i="6"/>
  <c r="N242" i="6"/>
  <c r="N243" i="6"/>
  <c r="N244" i="6"/>
  <c r="N245" i="6"/>
  <c r="N246" i="6"/>
  <c r="N247" i="6"/>
  <c r="N248" i="6"/>
  <c r="N249" i="6"/>
  <c r="N250" i="6"/>
  <c r="N251" i="6"/>
  <c r="N252" i="6"/>
  <c r="N253" i="6"/>
  <c r="N254" i="6"/>
  <c r="N255" i="6"/>
  <c r="N256" i="6"/>
  <c r="N257" i="6"/>
  <c r="N258" i="6"/>
  <c r="N259" i="6"/>
  <c r="N260" i="6"/>
  <c r="N264" i="6"/>
  <c r="N265" i="6"/>
  <c r="N266" i="6"/>
  <c r="N267" i="6"/>
  <c r="N268" i="6"/>
  <c r="N269" i="6"/>
  <c r="N270" i="6"/>
  <c r="N13" i="6"/>
  <c r="N14" i="6"/>
  <c r="N15" i="6"/>
  <c r="N236" i="6"/>
  <c r="K157" i="6"/>
  <c r="K130" i="6"/>
  <c r="T142" i="35" l="1"/>
  <c r="A143" i="35"/>
  <c r="N271" i="6"/>
  <c r="M271" i="6"/>
  <c r="T51" i="34"/>
  <c r="A52" i="34"/>
  <c r="T143" i="35" l="1"/>
  <c r="A144" i="35"/>
  <c r="T52" i="34"/>
  <c r="A53" i="34"/>
  <c r="T144" i="35" l="1"/>
  <c r="A145" i="35"/>
  <c r="T53" i="34"/>
  <c r="A54" i="34"/>
  <c r="T145" i="35" l="1"/>
  <c r="A146" i="35"/>
  <c r="T54" i="34"/>
  <c r="A55" i="34"/>
  <c r="T146" i="35" l="1"/>
  <c r="A147" i="35"/>
  <c r="T55" i="34"/>
  <c r="A56" i="34"/>
  <c r="T147" i="35" l="1"/>
  <c r="A148" i="35"/>
  <c r="T56" i="34"/>
  <c r="A57" i="34"/>
  <c r="T148" i="35" l="1"/>
  <c r="A149" i="35"/>
  <c r="T57" i="34"/>
  <c r="A58" i="34"/>
  <c r="T149" i="35" l="1"/>
  <c r="A150" i="35"/>
  <c r="T58" i="34"/>
  <c r="A59" i="34"/>
  <c r="T150" i="35" l="1"/>
  <c r="A151" i="35"/>
  <c r="T59" i="34"/>
  <c r="A60" i="34"/>
  <c r="T151" i="35" l="1"/>
  <c r="A152" i="35"/>
  <c r="T60" i="34"/>
  <c r="A61" i="34"/>
  <c r="T152" i="35" l="1"/>
  <c r="A153" i="35"/>
  <c r="T61" i="34"/>
  <c r="A62" i="34"/>
  <c r="T153" i="35" l="1"/>
  <c r="A154" i="35"/>
  <c r="T62" i="34"/>
  <c r="A63" i="34"/>
  <c r="T154" i="35" l="1"/>
  <c r="A155" i="35"/>
  <c r="T63" i="34"/>
  <c r="A64" i="34"/>
  <c r="T155" i="35" l="1"/>
  <c r="A156" i="35"/>
  <c r="T64" i="34"/>
  <c r="A65" i="34"/>
  <c r="T156" i="35" l="1"/>
  <c r="A157" i="35"/>
  <c r="T65" i="34"/>
  <c r="A66" i="34"/>
  <c r="T157" i="35" l="1"/>
  <c r="A158" i="35"/>
  <c r="T66" i="34"/>
  <c r="A67" i="34"/>
  <c r="T158" i="35" l="1"/>
  <c r="A159" i="35"/>
  <c r="T67" i="34"/>
  <c r="A68" i="34"/>
  <c r="T159" i="35" l="1"/>
  <c r="A160" i="35"/>
  <c r="T68" i="34"/>
  <c r="A69" i="34"/>
  <c r="T160" i="35" l="1"/>
  <c r="A161" i="35"/>
  <c r="T69" i="34"/>
  <c r="A70" i="34"/>
  <c r="T161" i="35" l="1"/>
  <c r="A162" i="35"/>
  <c r="A163" i="35" s="1"/>
  <c r="A164" i="35" s="1"/>
  <c r="T70" i="34"/>
  <c r="A71" i="34"/>
  <c r="T164" i="35" l="1"/>
  <c r="A165" i="35"/>
  <c r="T71" i="34"/>
  <c r="A72" i="34"/>
  <c r="T165" i="35" l="1"/>
  <c r="A166" i="35"/>
  <c r="T72" i="34"/>
  <c r="A73" i="34"/>
  <c r="T166" i="35" l="1"/>
  <c r="A167" i="35"/>
  <c r="T73" i="34"/>
  <c r="A74" i="34"/>
  <c r="T167" i="35" l="1"/>
  <c r="A168" i="35"/>
  <c r="T74" i="34"/>
  <c r="A75" i="34"/>
  <c r="T168" i="35" l="1"/>
  <c r="A169" i="35"/>
  <c r="T75" i="34"/>
  <c r="A76" i="34"/>
  <c r="T169" i="35" l="1"/>
  <c r="A170" i="35"/>
  <c r="T76" i="34"/>
  <c r="A77" i="34"/>
  <c r="T170" i="35" l="1"/>
  <c r="A171" i="35"/>
  <c r="T77" i="34"/>
  <c r="A78" i="34"/>
  <c r="T171" i="35" l="1"/>
  <c r="A172" i="35"/>
  <c r="T78" i="34"/>
  <c r="A79" i="34"/>
  <c r="T172" i="35" l="1"/>
  <c r="A173" i="35"/>
  <c r="T79" i="34"/>
  <c r="A80" i="34"/>
  <c r="T173" i="35" l="1"/>
  <c r="A174" i="35"/>
  <c r="T80" i="34"/>
  <c r="A81" i="34"/>
  <c r="T174" i="35" l="1"/>
  <c r="A175" i="35"/>
  <c r="T81" i="34"/>
  <c r="A82" i="34"/>
  <c r="T175" i="35" l="1"/>
  <c r="A176" i="35"/>
  <c r="T82" i="34"/>
  <c r="A83" i="34"/>
  <c r="T176" i="35" l="1"/>
  <c r="A177" i="35"/>
  <c r="T83" i="34"/>
  <c r="A84" i="34"/>
  <c r="T177" i="35" l="1"/>
  <c r="A178" i="35"/>
  <c r="T84" i="34"/>
  <c r="A85" i="34"/>
  <c r="T178" i="35" l="1"/>
  <c r="A179" i="35"/>
  <c r="T85" i="34"/>
  <c r="A86" i="34"/>
  <c r="T179" i="35" l="1"/>
  <c r="A180" i="35"/>
  <c r="T86" i="34"/>
  <c r="A87" i="34"/>
  <c r="T180" i="35" l="1"/>
  <c r="A181" i="35"/>
  <c r="T87" i="34"/>
  <c r="A88" i="34"/>
  <c r="T181" i="35" l="1"/>
  <c r="A182" i="35"/>
  <c r="T88" i="34"/>
  <c r="A89" i="34"/>
  <c r="T182" i="35" l="1"/>
  <c r="A183" i="35"/>
  <c r="T89" i="34"/>
  <c r="A90" i="34"/>
  <c r="T183" i="35" l="1"/>
  <c r="A184" i="35"/>
  <c r="T90" i="34"/>
  <c r="A91" i="34"/>
  <c r="T184" i="35" l="1"/>
  <c r="A185" i="35"/>
  <c r="T91" i="34"/>
  <c r="A92" i="34"/>
  <c r="T185" i="35" l="1"/>
  <c r="A186" i="35"/>
  <c r="T92" i="34"/>
  <c r="A93" i="34"/>
  <c r="T186" i="35" l="1"/>
  <c r="A187" i="35"/>
  <c r="T93" i="34"/>
  <c r="A94" i="34"/>
  <c r="T187" i="35" l="1"/>
  <c r="A188" i="35"/>
  <c r="T94" i="34"/>
  <c r="A95" i="34"/>
  <c r="T188" i="35" l="1"/>
  <c r="A189" i="35"/>
  <c r="T95" i="34"/>
  <c r="A96" i="34"/>
  <c r="T189" i="35" l="1"/>
  <c r="A190" i="35"/>
  <c r="T96" i="34"/>
  <c r="A97" i="34"/>
  <c r="T190" i="35" l="1"/>
  <c r="A191" i="35"/>
  <c r="T97" i="34"/>
  <c r="A98" i="34"/>
  <c r="T191" i="35" l="1"/>
  <c r="A192" i="35"/>
  <c r="T98" i="34"/>
  <c r="A99" i="34"/>
  <c r="T192" i="35" l="1"/>
  <c r="A193" i="35"/>
  <c r="T99" i="34"/>
  <c r="A100" i="34"/>
  <c r="T193" i="35" l="1"/>
  <c r="A194" i="35"/>
  <c r="T100" i="34"/>
  <c r="A101" i="34"/>
  <c r="T194" i="35" l="1"/>
  <c r="A195" i="35"/>
  <c r="T101" i="34"/>
  <c r="A102" i="34"/>
  <c r="T195" i="35" l="1"/>
  <c r="A196" i="35"/>
  <c r="T102" i="34"/>
  <c r="A103" i="34"/>
  <c r="T196" i="35" l="1"/>
  <c r="A197" i="35"/>
  <c r="T103" i="34"/>
  <c r="A104" i="34"/>
  <c r="T197" i="35" l="1"/>
  <c r="A198" i="35"/>
  <c r="T104" i="34"/>
  <c r="A105" i="34"/>
  <c r="T198" i="35" l="1"/>
  <c r="A199" i="35"/>
  <c r="T105" i="34"/>
  <c r="A106" i="34"/>
  <c r="A107" i="34" s="1"/>
  <c r="T199" i="35" l="1"/>
  <c r="A200" i="35"/>
  <c r="T107" i="34"/>
  <c r="A108" i="34"/>
  <c r="T200" i="35" l="1"/>
  <c r="A201" i="35"/>
  <c r="T108" i="34"/>
  <c r="A109" i="34"/>
  <c r="T201" i="35" l="1"/>
  <c r="A202" i="35"/>
  <c r="T109" i="34"/>
  <c r="A110" i="34"/>
  <c r="T202" i="35" l="1"/>
  <c r="A203" i="35"/>
  <c r="T110" i="34"/>
  <c r="A111" i="34"/>
  <c r="T203" i="35" l="1"/>
  <c r="A204" i="35"/>
  <c r="T111" i="34"/>
  <c r="A112" i="34"/>
  <c r="T204" i="35" l="1"/>
  <c r="A205" i="35"/>
  <c r="T112" i="34"/>
  <c r="A113" i="34"/>
  <c r="T205" i="35" l="1"/>
  <c r="A206" i="35"/>
  <c r="T113" i="34"/>
  <c r="A114" i="34"/>
  <c r="T206" i="35" l="1"/>
  <c r="A207" i="35"/>
  <c r="T114" i="34"/>
  <c r="A115" i="34"/>
  <c r="T207" i="35" l="1"/>
  <c r="A208" i="35"/>
  <c r="T115" i="34"/>
  <c r="A116" i="34"/>
  <c r="T208" i="35" l="1"/>
  <c r="A209" i="35"/>
  <c r="T116" i="34"/>
  <c r="A117" i="34"/>
  <c r="T209" i="35" l="1"/>
  <c r="A210" i="35"/>
  <c r="T117" i="34"/>
  <c r="A118" i="34"/>
  <c r="T210" i="35" l="1"/>
  <c r="A211" i="35"/>
  <c r="T118" i="34"/>
  <c r="A119" i="34"/>
  <c r="T211" i="35" l="1"/>
  <c r="A212" i="35"/>
  <c r="T119" i="34"/>
  <c r="A120" i="34"/>
  <c r="T212" i="35" l="1"/>
  <c r="A213" i="35"/>
  <c r="T120" i="34"/>
  <c r="A121" i="34"/>
  <c r="T213" i="35" l="1"/>
  <c r="A214" i="35"/>
  <c r="T121" i="34"/>
  <c r="A122" i="34"/>
  <c r="T214" i="35" l="1"/>
  <c r="A215" i="35"/>
  <c r="T122" i="34"/>
  <c r="A123" i="34"/>
  <c r="T215" i="35" l="1"/>
  <c r="A216" i="35"/>
  <c r="T123" i="34"/>
  <c r="A124" i="34"/>
  <c r="T216" i="35" l="1"/>
  <c r="A217" i="35"/>
  <c r="T124" i="34"/>
  <c r="A125" i="34"/>
  <c r="T217" i="35" l="1"/>
  <c r="A218" i="35"/>
  <c r="T125" i="34"/>
  <c r="A126" i="34"/>
  <c r="T218" i="35" l="1"/>
  <c r="A219" i="35"/>
  <c r="T126" i="34"/>
  <c r="A127" i="34"/>
  <c r="T219" i="35" l="1"/>
  <c r="A220" i="35"/>
  <c r="T127" i="34"/>
  <c r="A128" i="34"/>
  <c r="T220" i="35" l="1"/>
  <c r="A221" i="35"/>
  <c r="T128" i="34"/>
  <c r="A129" i="34"/>
  <c r="T221" i="35" l="1"/>
  <c r="A222" i="35"/>
  <c r="T129" i="34"/>
  <c r="A130" i="34"/>
  <c r="T222" i="35" l="1"/>
  <c r="A223" i="35"/>
  <c r="T130" i="34"/>
  <c r="A131" i="34"/>
  <c r="T223" i="35" l="1"/>
  <c r="A224" i="35"/>
  <c r="T131" i="34"/>
  <c r="A132" i="34"/>
  <c r="T224" i="35" l="1"/>
  <c r="A225" i="35"/>
  <c r="T132" i="34"/>
  <c r="A133" i="34"/>
  <c r="T225" i="35" l="1"/>
  <c r="A226" i="35"/>
  <c r="T133" i="34"/>
  <c r="A134" i="34"/>
  <c r="T226" i="35" l="1"/>
  <c r="A227" i="35"/>
  <c r="T134" i="34"/>
  <c r="A135" i="34"/>
  <c r="T227" i="35" l="1"/>
  <c r="A228" i="35"/>
  <c r="T135" i="34"/>
  <c r="A136" i="34"/>
  <c r="T228" i="35" l="1"/>
  <c r="A229" i="35"/>
  <c r="T136" i="34"/>
  <c r="A137" i="34"/>
  <c r="T229" i="35" l="1"/>
  <c r="A230" i="35"/>
  <c r="T137" i="34"/>
  <c r="A138" i="34"/>
  <c r="T230" i="35" l="1"/>
  <c r="A231" i="35"/>
  <c r="T138" i="34"/>
  <c r="A139" i="34"/>
  <c r="T231" i="35" l="1"/>
  <c r="A232" i="35"/>
  <c r="T139" i="34"/>
  <c r="A140" i="34"/>
  <c r="T232" i="35" l="1"/>
  <c r="A233" i="35"/>
  <c r="T140" i="34"/>
  <c r="A141" i="34"/>
  <c r="T233" i="35" l="1"/>
  <c r="A234" i="35"/>
  <c r="T141" i="34"/>
  <c r="A142" i="34"/>
  <c r="T234" i="35" l="1"/>
  <c r="A235" i="35"/>
  <c r="T142" i="34"/>
  <c r="A143" i="34"/>
  <c r="T235" i="35" l="1"/>
  <c r="A236" i="35"/>
  <c r="T143" i="34"/>
  <c r="A144" i="34"/>
  <c r="T236" i="35" l="1"/>
  <c r="A237" i="35"/>
  <c r="T144" i="34"/>
  <c r="A145" i="34"/>
  <c r="T237" i="35" l="1"/>
  <c r="A238" i="35"/>
  <c r="T145" i="34"/>
  <c r="A146" i="34"/>
  <c r="T238" i="35" l="1"/>
  <c r="A239" i="35"/>
  <c r="T146" i="34"/>
  <c r="A147" i="34"/>
  <c r="T239" i="35" l="1"/>
  <c r="A240" i="35"/>
  <c r="T147" i="34"/>
  <c r="A148" i="34"/>
  <c r="T240" i="35" l="1"/>
  <c r="A241" i="35"/>
  <c r="T148" i="34"/>
  <c r="A149" i="34"/>
  <c r="T241" i="35" l="1"/>
  <c r="A242" i="35"/>
  <c r="T149" i="34"/>
  <c r="A150" i="34"/>
  <c r="T242" i="35" l="1"/>
  <c r="A243" i="35"/>
  <c r="T150" i="34"/>
  <c r="A151" i="34"/>
  <c r="T243" i="35" l="1"/>
  <c r="A244" i="35"/>
  <c r="T151" i="34"/>
  <c r="A152" i="34"/>
  <c r="A153" i="34" s="1"/>
  <c r="A154" i="34" s="1"/>
  <c r="T244" i="35" l="1"/>
  <c r="A245" i="35"/>
  <c r="T154" i="34"/>
  <c r="A155" i="34"/>
  <c r="T245" i="35" l="1"/>
  <c r="A246" i="35"/>
  <c r="T155" i="34"/>
  <c r="A156" i="34"/>
  <c r="T246" i="35" l="1"/>
  <c r="A247" i="35"/>
  <c r="T156" i="34"/>
  <c r="A157" i="34"/>
  <c r="T247" i="35" l="1"/>
  <c r="A248" i="35"/>
  <c r="T157" i="34"/>
  <c r="A158" i="34"/>
  <c r="T248" i="35" l="1"/>
  <c r="A249" i="35"/>
  <c r="T158" i="34"/>
  <c r="A159" i="34"/>
  <c r="T249" i="35" l="1"/>
  <c r="A250" i="35"/>
  <c r="T159" i="34"/>
  <c r="A160" i="34"/>
  <c r="T250" i="35" l="1"/>
  <c r="A251" i="35"/>
  <c r="T160" i="34"/>
  <c r="A161" i="34"/>
  <c r="T251" i="35" l="1"/>
  <c r="A252" i="35"/>
  <c r="T161" i="34"/>
  <c r="A162" i="34"/>
  <c r="T252" i="35" l="1"/>
  <c r="A253" i="35"/>
  <c r="T162" i="34"/>
  <c r="A163" i="34"/>
  <c r="T253" i="35" l="1"/>
  <c r="A254" i="35"/>
  <c r="T163" i="34"/>
  <c r="A164" i="34"/>
  <c r="T254" i="35" l="1"/>
  <c r="A255" i="35"/>
  <c r="T164" i="34"/>
  <c r="A165" i="34"/>
  <c r="T255" i="35" l="1"/>
  <c r="A256" i="35"/>
  <c r="T165" i="34"/>
  <c r="A166" i="34"/>
  <c r="T256" i="35" l="1"/>
  <c r="A257" i="35"/>
  <c r="T166" i="34"/>
  <c r="A167" i="34"/>
  <c r="T257" i="35" l="1"/>
  <c r="A258" i="35"/>
  <c r="T167" i="34"/>
  <c r="A168" i="34"/>
  <c r="T258" i="35" l="1"/>
  <c r="A259" i="35"/>
  <c r="T168" i="34"/>
  <c r="A169" i="34"/>
  <c r="T259" i="35" l="1"/>
  <c r="A260" i="35"/>
  <c r="T169" i="34"/>
  <c r="A170" i="34"/>
  <c r="T260" i="35" l="1"/>
  <c r="A261" i="35"/>
  <c r="T170" i="34"/>
  <c r="A171" i="34"/>
  <c r="T261" i="35" l="1"/>
  <c r="A262" i="35"/>
  <c r="T171" i="34"/>
  <c r="A172" i="34"/>
  <c r="T262" i="35" l="1"/>
  <c r="A263" i="35"/>
  <c r="T172" i="34"/>
  <c r="A173" i="34"/>
  <c r="T263" i="35" l="1"/>
  <c r="A264" i="35"/>
  <c r="T173" i="34"/>
  <c r="A174" i="34"/>
  <c r="T264" i="35" l="1"/>
  <c r="A265" i="35"/>
  <c r="T174" i="34"/>
  <c r="A175" i="34"/>
  <c r="T265" i="35" l="1"/>
  <c r="A266" i="35"/>
  <c r="T175" i="34"/>
  <c r="A176" i="34"/>
  <c r="T266" i="35" l="1"/>
  <c r="A267" i="35"/>
  <c r="T176" i="34"/>
  <c r="A177" i="34"/>
  <c r="T267" i="35" l="1"/>
  <c r="A268" i="35"/>
  <c r="T177" i="34"/>
  <c r="A178" i="34"/>
  <c r="T268" i="35" l="1"/>
  <c r="A269" i="35"/>
  <c r="T178" i="34"/>
  <c r="A179" i="34"/>
  <c r="T269" i="35" l="1"/>
  <c r="A270" i="35"/>
  <c r="T179" i="34"/>
  <c r="A180" i="34"/>
  <c r="T270" i="35" l="1"/>
  <c r="A271" i="35"/>
  <c r="T180" i="34"/>
  <c r="A181" i="34"/>
  <c r="T271" i="35" l="1"/>
  <c r="A272" i="35"/>
  <c r="T181" i="34"/>
  <c r="A182" i="34"/>
  <c r="T272" i="35" l="1"/>
  <c r="A273" i="35"/>
  <c r="T182" i="34"/>
  <c r="A183" i="34"/>
  <c r="T273" i="35" l="1"/>
  <c r="A274" i="35"/>
  <c r="T183" i="34"/>
  <c r="A184" i="34"/>
  <c r="T274" i="35" l="1"/>
  <c r="A275" i="35"/>
  <c r="T184" i="34"/>
  <c r="A185" i="34"/>
  <c r="T275" i="35" l="1"/>
  <c r="A276" i="35"/>
  <c r="T185" i="34"/>
  <c r="A186" i="34"/>
  <c r="T276" i="35" l="1"/>
  <c r="A277" i="35"/>
  <c r="T186" i="34"/>
  <c r="A187" i="34"/>
  <c r="T277" i="35" l="1"/>
  <c r="A278" i="35"/>
  <c r="T187" i="34"/>
  <c r="A188" i="34"/>
  <c r="T278" i="35" l="1"/>
  <c r="A279" i="35"/>
  <c r="T188" i="34"/>
  <c r="A189" i="34"/>
  <c r="T279" i="35" l="1"/>
  <c r="A280" i="35"/>
  <c r="T189" i="34"/>
  <c r="A190" i="34"/>
  <c r="T280" i="35" l="1"/>
  <c r="A281" i="35"/>
  <c r="T190" i="34"/>
  <c r="A191" i="34"/>
  <c r="T281" i="35" l="1"/>
  <c r="A282" i="35"/>
  <c r="T191" i="34"/>
  <c r="A192" i="34"/>
  <c r="T282" i="35" l="1"/>
  <c r="A283" i="35"/>
  <c r="T192" i="34"/>
  <c r="A193" i="34"/>
  <c r="T283" i="35" l="1"/>
  <c r="A284" i="35"/>
  <c r="T193" i="34"/>
  <c r="A194" i="34"/>
  <c r="T284" i="35" l="1"/>
  <c r="A285" i="35"/>
  <c r="T194" i="34"/>
  <c r="A195" i="34"/>
  <c r="T285" i="35" l="1"/>
  <c r="A286" i="35"/>
  <c r="T195" i="34"/>
  <c r="A196" i="34"/>
  <c r="T286" i="35" l="1"/>
  <c r="A287" i="35"/>
  <c r="T196" i="34"/>
  <c r="A197" i="34"/>
  <c r="T287" i="35" l="1"/>
  <c r="A288" i="35"/>
  <c r="T197" i="34"/>
  <c r="A198" i="34"/>
  <c r="T288" i="35" l="1"/>
  <c r="A289" i="35"/>
  <c r="T198" i="34"/>
  <c r="A199" i="34"/>
  <c r="A290" i="35" l="1"/>
  <c r="T289" i="35"/>
  <c r="T199" i="34"/>
  <c r="A200" i="34"/>
  <c r="T290" i="35" l="1"/>
  <c r="A291" i="35"/>
  <c r="T200" i="34"/>
  <c r="A201" i="34"/>
  <c r="T291" i="35" l="1"/>
  <c r="A292" i="35"/>
  <c r="T292" i="35" s="1"/>
  <c r="T201" i="34"/>
  <c r="A202" i="34"/>
  <c r="A293" i="35" l="1"/>
  <c r="T202" i="34"/>
  <c r="A203" i="34"/>
  <c r="T293" i="35" l="1"/>
  <c r="A294" i="35"/>
  <c r="T203" i="34"/>
  <c r="A204" i="34"/>
  <c r="T294" i="35" l="1"/>
  <c r="A295" i="35"/>
  <c r="T204" i="34"/>
  <c r="A205" i="34"/>
  <c r="T295" i="35" l="1"/>
  <c r="A296" i="35"/>
  <c r="T205" i="34"/>
  <c r="A206" i="34"/>
  <c r="T296" i="35" l="1"/>
  <c r="A297" i="35"/>
  <c r="T206" i="34"/>
  <c r="A207" i="34"/>
  <c r="T297" i="35" l="1"/>
  <c r="A298" i="35"/>
  <c r="T207" i="34"/>
  <c r="A208" i="34"/>
  <c r="T298" i="35" l="1"/>
  <c r="A299" i="35"/>
  <c r="T208" i="34"/>
  <c r="A209" i="34"/>
  <c r="T299" i="35" l="1"/>
  <c r="A300" i="35"/>
  <c r="T209" i="34"/>
  <c r="A210" i="34"/>
  <c r="A301" i="35" l="1"/>
  <c r="T300" i="35"/>
  <c r="T210" i="34"/>
  <c r="A211" i="34"/>
  <c r="A302" i="35" l="1"/>
  <c r="T301" i="35"/>
  <c r="T211" i="34"/>
  <c r="A212" i="34"/>
  <c r="A303" i="35" l="1"/>
  <c r="T302" i="35"/>
  <c r="T212" i="34"/>
  <c r="A213" i="34"/>
  <c r="A304" i="35" l="1"/>
  <c r="T303" i="35"/>
  <c r="T213" i="34"/>
  <c r="A214" i="34"/>
  <c r="A305" i="35" l="1"/>
  <c r="T304" i="35"/>
  <c r="T214" i="34"/>
  <c r="A215" i="34"/>
  <c r="A306" i="35" l="1"/>
  <c r="T305" i="35"/>
  <c r="T215" i="34"/>
  <c r="A216" i="34"/>
  <c r="A307" i="35" l="1"/>
  <c r="T306" i="35"/>
  <c r="T216" i="34"/>
  <c r="A217" i="34"/>
  <c r="A308" i="35" l="1"/>
  <c r="T307" i="35"/>
  <c r="T217" i="34"/>
  <c r="A218" i="34"/>
  <c r="A309" i="35" l="1"/>
  <c r="T308" i="35"/>
  <c r="T218" i="34"/>
  <c r="A219" i="34"/>
  <c r="A310" i="35" l="1"/>
  <c r="T309" i="35"/>
  <c r="T219" i="34"/>
  <c r="A220" i="34"/>
  <c r="A311" i="35" l="1"/>
  <c r="T310" i="35"/>
  <c r="T220" i="34"/>
  <c r="A221" i="34"/>
  <c r="A312" i="35" l="1"/>
  <c r="T311" i="35"/>
  <c r="T221" i="34"/>
  <c r="A222" i="34"/>
  <c r="A313" i="35" l="1"/>
  <c r="T312" i="35"/>
  <c r="T222" i="34"/>
  <c r="A223" i="34"/>
  <c r="A314" i="35" l="1"/>
  <c r="T313" i="35"/>
  <c r="T223" i="34"/>
  <c r="A224" i="34"/>
  <c r="A315" i="35" l="1"/>
  <c r="T314" i="35"/>
  <c r="T224" i="34"/>
  <c r="A225" i="34"/>
  <c r="A316" i="35" l="1"/>
  <c r="T315" i="35"/>
  <c r="T225" i="34"/>
  <c r="A226" i="34"/>
  <c r="A317" i="35" l="1"/>
  <c r="T316" i="35"/>
  <c r="T226" i="34"/>
  <c r="A227" i="34"/>
  <c r="A318" i="35" l="1"/>
  <c r="T317" i="35"/>
  <c r="T227" i="34"/>
  <c r="A228" i="34"/>
  <c r="A319" i="35" l="1"/>
  <c r="T318" i="35"/>
  <c r="T228" i="34"/>
  <c r="A229" i="34"/>
  <c r="A320" i="35" l="1"/>
  <c r="T319" i="35"/>
  <c r="T229" i="34"/>
  <c r="A230" i="34"/>
  <c r="A321" i="35" l="1"/>
  <c r="T320" i="35"/>
  <c r="T230" i="34"/>
  <c r="A231" i="34"/>
  <c r="A322" i="35" l="1"/>
  <c r="T321" i="35"/>
  <c r="T231" i="34"/>
  <c r="A232" i="34"/>
  <c r="A323" i="35" l="1"/>
  <c r="T322" i="35"/>
  <c r="T232" i="34"/>
  <c r="A233" i="34"/>
  <c r="A324" i="35" l="1"/>
  <c r="T323" i="35"/>
  <c r="T233" i="34"/>
  <c r="A234" i="34"/>
  <c r="A325" i="35" l="1"/>
  <c r="T324" i="35"/>
  <c r="T234" i="34"/>
  <c r="A235" i="34"/>
  <c r="A326" i="35" l="1"/>
  <c r="T325" i="35"/>
  <c r="T235" i="34"/>
  <c r="A236" i="34"/>
  <c r="A327" i="35" l="1"/>
  <c r="T326" i="35"/>
  <c r="T236" i="34"/>
  <c r="A237" i="34"/>
  <c r="A328" i="35" l="1"/>
  <c r="T327" i="35"/>
  <c r="T237" i="34"/>
  <c r="A238" i="34"/>
  <c r="A329" i="35" l="1"/>
  <c r="T328" i="35"/>
  <c r="T238" i="34"/>
  <c r="A239" i="34"/>
  <c r="A330" i="35" l="1"/>
  <c r="T329" i="35"/>
  <c r="T239" i="34"/>
  <c r="A240" i="34"/>
  <c r="A331" i="35" l="1"/>
  <c r="T330" i="35"/>
  <c r="T240" i="34"/>
  <c r="A241" i="34"/>
  <c r="A332" i="35" l="1"/>
  <c r="T331" i="35"/>
  <c r="T241" i="34"/>
  <c r="A242" i="34"/>
  <c r="A333" i="35" l="1"/>
  <c r="T332" i="35"/>
  <c r="T242" i="34"/>
  <c r="A243" i="34"/>
  <c r="A334" i="35" l="1"/>
  <c r="T333" i="35"/>
  <c r="T243" i="34"/>
  <c r="A244" i="34"/>
  <c r="A335" i="35" l="1"/>
  <c r="T334" i="35"/>
  <c r="T244" i="34"/>
  <c r="A245" i="34"/>
  <c r="A336" i="35" l="1"/>
  <c r="T335" i="35"/>
  <c r="T245" i="34"/>
  <c r="A246" i="34"/>
  <c r="A337" i="35" l="1"/>
  <c r="T336" i="35"/>
  <c r="T246" i="34"/>
  <c r="A247" i="34"/>
  <c r="A338" i="35" l="1"/>
  <c r="T337" i="35"/>
  <c r="T247" i="34"/>
  <c r="A248" i="34"/>
  <c r="A339" i="35" l="1"/>
  <c r="T338" i="35"/>
  <c r="T248" i="34"/>
  <c r="A249" i="34"/>
  <c r="A340" i="35" l="1"/>
  <c r="T339" i="35"/>
  <c r="T249" i="34"/>
  <c r="A250" i="34"/>
  <c r="A341" i="35" l="1"/>
  <c r="T340" i="35"/>
  <c r="T250" i="34"/>
  <c r="A251" i="34"/>
  <c r="A342" i="35" l="1"/>
  <c r="T341" i="35"/>
  <c r="T251" i="34"/>
  <c r="A252" i="34"/>
  <c r="A343" i="35" l="1"/>
  <c r="T342" i="35"/>
  <c r="T252" i="34"/>
  <c r="A253" i="34"/>
  <c r="A344" i="35" l="1"/>
  <c r="T343" i="35"/>
  <c r="T253" i="34"/>
  <c r="A254" i="34"/>
  <c r="A345" i="35" l="1"/>
  <c r="T344" i="35"/>
  <c r="T254" i="34"/>
  <c r="A255" i="34"/>
  <c r="A346" i="35" l="1"/>
  <c r="T345" i="35"/>
  <c r="T255" i="34"/>
  <c r="A256" i="34"/>
  <c r="A347" i="35" l="1"/>
  <c r="T346" i="35"/>
  <c r="T256" i="34"/>
  <c r="A257" i="34"/>
  <c r="A348" i="35" l="1"/>
  <c r="T347" i="35"/>
  <c r="T257" i="34"/>
  <c r="A258" i="34"/>
  <c r="A349" i="35" l="1"/>
  <c r="T348" i="35"/>
  <c r="T258" i="34"/>
  <c r="A259" i="34"/>
  <c r="A350" i="35" l="1"/>
  <c r="T349" i="35"/>
  <c r="T259" i="34"/>
  <c r="A260" i="34"/>
  <c r="A351" i="35" l="1"/>
  <c r="T350" i="35"/>
  <c r="T260" i="34"/>
  <c r="A261" i="34"/>
  <c r="A352" i="35" l="1"/>
  <c r="T352" i="35" s="1"/>
  <c r="T351" i="35"/>
  <c r="T261" i="34"/>
  <c r="A262" i="34"/>
  <c r="T262" i="34" l="1"/>
  <c r="A263" i="34"/>
  <c r="T263" i="34" l="1"/>
  <c r="A264" i="34"/>
  <c r="T264" i="34" l="1"/>
  <c r="A265" i="34"/>
  <c r="T265" i="34" l="1"/>
  <c r="A266" i="34"/>
  <c r="T266" i="34" l="1"/>
  <c r="A267" i="34"/>
  <c r="T267" i="34" l="1"/>
  <c r="A268" i="34"/>
  <c r="T268" i="34" l="1"/>
  <c r="A269" i="34"/>
  <c r="T269" i="34" l="1"/>
  <c r="A270" i="34"/>
  <c r="T270" i="34" l="1"/>
  <c r="A271" i="34"/>
  <c r="T271" i="34" l="1"/>
  <c r="A272" i="34"/>
  <c r="T272" i="34" l="1"/>
  <c r="A273" i="34"/>
  <c r="T273" i="34" l="1"/>
  <c r="A274" i="34"/>
  <c r="T274" i="34" l="1"/>
  <c r="A275" i="34"/>
  <c r="T275" i="34" l="1"/>
  <c r="A276" i="34"/>
  <c r="T276" i="34" l="1"/>
  <c r="A277" i="34"/>
  <c r="T277" i="34" l="1"/>
  <c r="A278" i="34"/>
  <c r="T278" i="34" l="1"/>
  <c r="A279" i="34"/>
  <c r="K197" i="6"/>
  <c r="A280" i="34" l="1"/>
  <c r="T279" i="34"/>
  <c r="J278" i="6"/>
  <c r="J277" i="6"/>
  <c r="J280" i="6"/>
  <c r="J279" i="6"/>
  <c r="E156" i="6"/>
  <c r="T280" i="34" l="1"/>
  <c r="A281" i="34"/>
  <c r="AF285" i="33"/>
  <c r="AH285" i="33" s="1"/>
  <c r="AF286" i="33"/>
  <c r="AH286" i="33" s="1"/>
  <c r="AF287" i="33"/>
  <c r="AH287" i="33" s="1"/>
  <c r="AF288" i="33"/>
  <c r="AH288" i="33" s="1"/>
  <c r="AF289" i="33"/>
  <c r="AH289" i="33" s="1"/>
  <c r="AF290" i="33"/>
  <c r="AH290" i="33" s="1"/>
  <c r="AF291" i="33"/>
  <c r="AH291" i="33" s="1"/>
  <c r="AF292" i="33"/>
  <c r="AH292" i="33" s="1"/>
  <c r="AF293" i="33"/>
  <c r="AH293" i="33" s="1"/>
  <c r="AF294" i="33"/>
  <c r="AH294" i="33" s="1"/>
  <c r="AF295" i="33"/>
  <c r="AH295" i="33" s="1"/>
  <c r="AF296" i="33"/>
  <c r="AH296" i="33" s="1"/>
  <c r="AF297" i="33"/>
  <c r="AH297" i="33" s="1"/>
  <c r="AF298" i="33"/>
  <c r="AH298" i="33" s="1"/>
  <c r="AF299" i="33"/>
  <c r="AH299" i="33" s="1"/>
  <c r="AF300" i="33"/>
  <c r="AH300" i="33" s="1"/>
  <c r="AF301" i="33"/>
  <c r="AH301" i="33" s="1"/>
  <c r="AF302" i="33"/>
  <c r="AH302" i="33" s="1"/>
  <c r="AF303" i="33"/>
  <c r="AH303" i="33" s="1"/>
  <c r="AF304" i="33"/>
  <c r="AH304" i="33" s="1"/>
  <c r="AF305" i="33"/>
  <c r="AH305" i="33" s="1"/>
  <c r="AF306" i="33"/>
  <c r="AH306" i="33" s="1"/>
  <c r="AF307" i="33"/>
  <c r="AH307" i="33" s="1"/>
  <c r="AF308" i="33"/>
  <c r="AH308" i="33" s="1"/>
  <c r="AF309" i="33"/>
  <c r="AH309" i="33" s="1"/>
  <c r="AF310" i="33"/>
  <c r="AH310" i="33" s="1"/>
  <c r="AF311" i="33"/>
  <c r="AH311" i="33" s="1"/>
  <c r="AF312" i="33"/>
  <c r="AH312" i="33" s="1"/>
  <c r="AF313" i="33"/>
  <c r="AH313" i="33" s="1"/>
  <c r="AF314" i="33"/>
  <c r="AH314" i="33" s="1"/>
  <c r="AF315" i="33"/>
  <c r="AH315" i="33" s="1"/>
  <c r="AF316" i="33"/>
  <c r="AH316" i="33" s="1"/>
  <c r="AF317" i="33"/>
  <c r="AH317" i="33" s="1"/>
  <c r="AF318" i="33"/>
  <c r="AH318" i="33" s="1"/>
  <c r="AF319" i="33"/>
  <c r="AH319" i="33" s="1"/>
  <c r="AF320" i="33"/>
  <c r="AH320" i="33" s="1"/>
  <c r="AF321" i="33"/>
  <c r="AH321" i="33" s="1"/>
  <c r="AF322" i="33"/>
  <c r="AH322" i="33" s="1"/>
  <c r="AF323" i="33"/>
  <c r="AH323" i="33" s="1"/>
  <c r="AF324" i="33"/>
  <c r="AH324" i="33" s="1"/>
  <c r="AF325" i="33"/>
  <c r="AH325" i="33" s="1"/>
  <c r="AF326" i="33"/>
  <c r="AH326" i="33" s="1"/>
  <c r="AF327" i="33"/>
  <c r="AH327" i="33" s="1"/>
  <c r="AF328" i="33"/>
  <c r="AH328" i="33" s="1"/>
  <c r="AF329" i="33"/>
  <c r="AH329" i="33" s="1"/>
  <c r="AF330" i="33"/>
  <c r="AH330" i="33" s="1"/>
  <c r="AF331" i="33"/>
  <c r="AH331" i="33" s="1"/>
  <c r="AF332" i="33"/>
  <c r="AH332" i="33" s="1"/>
  <c r="AF333" i="33"/>
  <c r="AH333" i="33" s="1"/>
  <c r="AF334" i="33"/>
  <c r="AH334" i="33" s="1"/>
  <c r="AF335" i="33"/>
  <c r="AH335" i="33" s="1"/>
  <c r="AF336" i="33"/>
  <c r="AH336" i="33" s="1"/>
  <c r="AF337" i="33"/>
  <c r="AH337" i="33" s="1"/>
  <c r="AF338" i="33"/>
  <c r="AH338" i="33" s="1"/>
  <c r="AF339" i="33"/>
  <c r="AH339" i="33" s="1"/>
  <c r="AF340" i="33"/>
  <c r="AH340" i="33" s="1"/>
  <c r="AF341" i="33"/>
  <c r="AH341" i="33" s="1"/>
  <c r="AF342" i="33"/>
  <c r="AH342" i="33" s="1"/>
  <c r="AF343" i="33"/>
  <c r="AH343" i="33" s="1"/>
  <c r="AF344" i="33"/>
  <c r="AH344" i="33" s="1"/>
  <c r="AF345" i="33"/>
  <c r="AH345" i="33" s="1"/>
  <c r="AF346" i="33"/>
  <c r="AH346" i="33" s="1"/>
  <c r="AF347" i="33"/>
  <c r="AH347" i="33" s="1"/>
  <c r="AF348" i="33"/>
  <c r="AH348" i="33" s="1"/>
  <c r="AF349" i="33"/>
  <c r="AH349" i="33" s="1"/>
  <c r="E314" i="33"/>
  <c r="G350" i="33"/>
  <c r="AK284" i="33"/>
  <c r="AJ284" i="33"/>
  <c r="Z284" i="33"/>
  <c r="AC284" i="33" s="1"/>
  <c r="Y284" i="33"/>
  <c r="AB284" i="33" s="1"/>
  <c r="X284" i="33"/>
  <c r="AA284" i="33" s="1"/>
  <c r="V284" i="33"/>
  <c r="W284" i="33" s="1"/>
  <c r="T284" i="33"/>
  <c r="U284" i="33" s="1"/>
  <c r="R284" i="33"/>
  <c r="S284" i="33" s="1"/>
  <c r="P284" i="33"/>
  <c r="L284" i="33"/>
  <c r="H284" i="33"/>
  <c r="AK283" i="33"/>
  <c r="AJ283" i="33"/>
  <c r="Z283" i="33"/>
  <c r="AC283" i="33" s="1"/>
  <c r="Y283" i="33"/>
  <c r="AB283" i="33" s="1"/>
  <c r="X283" i="33"/>
  <c r="AA283" i="33" s="1"/>
  <c r="V283" i="33"/>
  <c r="W283" i="33" s="1"/>
  <c r="T283" i="33"/>
  <c r="U283" i="33" s="1"/>
  <c r="R283" i="33"/>
  <c r="S283" i="33" s="1"/>
  <c r="P283" i="33"/>
  <c r="L283" i="33"/>
  <c r="H283" i="33"/>
  <c r="AK282" i="33"/>
  <c r="AJ282" i="33"/>
  <c r="Z282" i="33"/>
  <c r="AC282" i="33" s="1"/>
  <c r="Y282" i="33"/>
  <c r="AB282" i="33" s="1"/>
  <c r="X282" i="33"/>
  <c r="AA282" i="33" s="1"/>
  <c r="V282" i="33"/>
  <c r="W282" i="33" s="1"/>
  <c r="T282" i="33"/>
  <c r="U282" i="33" s="1"/>
  <c r="R282" i="33"/>
  <c r="S282" i="33" s="1"/>
  <c r="P282" i="33"/>
  <c r="L282" i="33"/>
  <c r="H282" i="33"/>
  <c r="AK281" i="33"/>
  <c r="AJ281" i="33"/>
  <c r="Z281" i="33"/>
  <c r="AC281" i="33" s="1"/>
  <c r="Y281" i="33"/>
  <c r="AB281" i="33" s="1"/>
  <c r="X281" i="33"/>
  <c r="AA281" i="33" s="1"/>
  <c r="V281" i="33"/>
  <c r="W281" i="33" s="1"/>
  <c r="T281" i="33"/>
  <c r="U281" i="33" s="1"/>
  <c r="R281" i="33"/>
  <c r="S281" i="33" s="1"/>
  <c r="P281" i="33"/>
  <c r="L281" i="33"/>
  <c r="H281" i="33"/>
  <c r="AK280" i="33"/>
  <c r="AJ280" i="33"/>
  <c r="Z280" i="33"/>
  <c r="AC280" i="33" s="1"/>
  <c r="Y280" i="33"/>
  <c r="AB280" i="33" s="1"/>
  <c r="X280" i="33"/>
  <c r="AA280" i="33" s="1"/>
  <c r="V280" i="33"/>
  <c r="W280" i="33" s="1"/>
  <c r="T280" i="33"/>
  <c r="U280" i="33" s="1"/>
  <c r="R280" i="33"/>
  <c r="S280" i="33" s="1"/>
  <c r="P280" i="33"/>
  <c r="L280" i="33"/>
  <c r="H280" i="33"/>
  <c r="AK279" i="33"/>
  <c r="AJ279" i="33"/>
  <c r="Z279" i="33"/>
  <c r="AC279" i="33" s="1"/>
  <c r="Y279" i="33"/>
  <c r="AB279" i="33" s="1"/>
  <c r="X279" i="33"/>
  <c r="AA279" i="33" s="1"/>
  <c r="V279" i="33"/>
  <c r="W279" i="33" s="1"/>
  <c r="T279" i="33"/>
  <c r="U279" i="33" s="1"/>
  <c r="R279" i="33"/>
  <c r="S279" i="33" s="1"/>
  <c r="P279" i="33"/>
  <c r="L279" i="33"/>
  <c r="H279" i="33"/>
  <c r="AK278" i="33"/>
  <c r="AJ278" i="33"/>
  <c r="Z278" i="33"/>
  <c r="AC278" i="33" s="1"/>
  <c r="Y278" i="33"/>
  <c r="AB278" i="33" s="1"/>
  <c r="X278" i="33"/>
  <c r="AA278" i="33" s="1"/>
  <c r="V278" i="33"/>
  <c r="W278" i="33" s="1"/>
  <c r="T278" i="33"/>
  <c r="U278" i="33" s="1"/>
  <c r="R278" i="33"/>
  <c r="S278" i="33" s="1"/>
  <c r="P278" i="33"/>
  <c r="L278" i="33"/>
  <c r="H278" i="33"/>
  <c r="AK277" i="33"/>
  <c r="AJ277" i="33"/>
  <c r="Z277" i="33"/>
  <c r="AC277" i="33" s="1"/>
  <c r="Y277" i="33"/>
  <c r="AB277" i="33" s="1"/>
  <c r="X277" i="33"/>
  <c r="AA277" i="33" s="1"/>
  <c r="V277" i="33"/>
  <c r="W277" i="33" s="1"/>
  <c r="T277" i="33"/>
  <c r="U277" i="33" s="1"/>
  <c r="R277" i="33"/>
  <c r="S277" i="33" s="1"/>
  <c r="P277" i="33"/>
  <c r="L277" i="33"/>
  <c r="H277" i="33"/>
  <c r="AK276" i="33"/>
  <c r="AJ276" i="33"/>
  <c r="Z276" i="33"/>
  <c r="AC276" i="33" s="1"/>
  <c r="Y276" i="33"/>
  <c r="AB276" i="33" s="1"/>
  <c r="X276" i="33"/>
  <c r="AA276" i="33" s="1"/>
  <c r="V276" i="33"/>
  <c r="W276" i="33" s="1"/>
  <c r="T276" i="33"/>
  <c r="U276" i="33" s="1"/>
  <c r="R276" i="33"/>
  <c r="S276" i="33" s="1"/>
  <c r="P276" i="33"/>
  <c r="L276" i="33"/>
  <c r="H276" i="33"/>
  <c r="AK275" i="33"/>
  <c r="AJ275" i="33"/>
  <c r="Z275" i="33"/>
  <c r="AC275" i="33" s="1"/>
  <c r="Y275" i="33"/>
  <c r="AB275" i="33" s="1"/>
  <c r="X275" i="33"/>
  <c r="AA275" i="33" s="1"/>
  <c r="V275" i="33"/>
  <c r="W275" i="33" s="1"/>
  <c r="T275" i="33"/>
  <c r="U275" i="33" s="1"/>
  <c r="R275" i="33"/>
  <c r="S275" i="33" s="1"/>
  <c r="P275" i="33"/>
  <c r="L275" i="33"/>
  <c r="H275" i="33"/>
  <c r="AK274" i="33"/>
  <c r="AJ274" i="33"/>
  <c r="Z274" i="33"/>
  <c r="AC274" i="33" s="1"/>
  <c r="Y274" i="33"/>
  <c r="AB274" i="33" s="1"/>
  <c r="X274" i="33"/>
  <c r="AA274" i="33" s="1"/>
  <c r="V274" i="33"/>
  <c r="W274" i="33" s="1"/>
  <c r="T274" i="33"/>
  <c r="U274" i="33" s="1"/>
  <c r="R274" i="33"/>
  <c r="S274" i="33" s="1"/>
  <c r="P274" i="33"/>
  <c r="L274" i="33"/>
  <c r="H274" i="33"/>
  <c r="AK273" i="33"/>
  <c r="AJ273" i="33"/>
  <c r="Z273" i="33"/>
  <c r="AC273" i="33" s="1"/>
  <c r="Y273" i="33"/>
  <c r="AB273" i="33" s="1"/>
  <c r="X273" i="33"/>
  <c r="AA273" i="33" s="1"/>
  <c r="V273" i="33"/>
  <c r="W273" i="33" s="1"/>
  <c r="T273" i="33"/>
  <c r="U273" i="33" s="1"/>
  <c r="R273" i="33"/>
  <c r="S273" i="33" s="1"/>
  <c r="P273" i="33"/>
  <c r="L273" i="33"/>
  <c r="H273" i="33"/>
  <c r="AK272" i="33"/>
  <c r="AC272" i="33"/>
  <c r="AB272" i="33"/>
  <c r="X272" i="33"/>
  <c r="AA272" i="33" s="1"/>
  <c r="U272" i="33"/>
  <c r="R272" i="33"/>
  <c r="S272" i="33" s="1"/>
  <c r="P272" i="33"/>
  <c r="L272" i="33"/>
  <c r="H272" i="33"/>
  <c r="AK271" i="33"/>
  <c r="AJ271" i="33"/>
  <c r="Z271" i="33"/>
  <c r="AC271" i="33" s="1"/>
  <c r="Y271" i="33"/>
  <c r="AB271" i="33" s="1"/>
  <c r="X271" i="33"/>
  <c r="AA271" i="33" s="1"/>
  <c r="V271" i="33"/>
  <c r="W271" i="33" s="1"/>
  <c r="T271" i="33"/>
  <c r="U271" i="33" s="1"/>
  <c r="R271" i="33"/>
  <c r="S271" i="33" s="1"/>
  <c r="P271" i="33"/>
  <c r="L271" i="33"/>
  <c r="H271" i="33"/>
  <c r="AK270" i="33"/>
  <c r="AJ270" i="33"/>
  <c r="Z270" i="33"/>
  <c r="AC270" i="33" s="1"/>
  <c r="Y270" i="33"/>
  <c r="AB270" i="33" s="1"/>
  <c r="X270" i="33"/>
  <c r="AA270" i="33" s="1"/>
  <c r="V270" i="33"/>
  <c r="W270" i="33" s="1"/>
  <c r="T270" i="33"/>
  <c r="U270" i="33" s="1"/>
  <c r="R270" i="33"/>
  <c r="S270" i="33" s="1"/>
  <c r="P270" i="33"/>
  <c r="L270" i="33"/>
  <c r="H270" i="33"/>
  <c r="AK269" i="33"/>
  <c r="AJ269" i="33"/>
  <c r="Z269" i="33"/>
  <c r="AC269" i="33" s="1"/>
  <c r="Y269" i="33"/>
  <c r="AB269" i="33" s="1"/>
  <c r="X269" i="33"/>
  <c r="AA269" i="33" s="1"/>
  <c r="V269" i="33"/>
  <c r="W269" i="33" s="1"/>
  <c r="T269" i="33"/>
  <c r="U269" i="33" s="1"/>
  <c r="R269" i="33"/>
  <c r="S269" i="33" s="1"/>
  <c r="P269" i="33"/>
  <c r="L269" i="33"/>
  <c r="H269" i="33"/>
  <c r="AK268" i="33"/>
  <c r="AJ268" i="33"/>
  <c r="Z268" i="33"/>
  <c r="AC268" i="33" s="1"/>
  <c r="Y268" i="33"/>
  <c r="AB268" i="33" s="1"/>
  <c r="X268" i="33"/>
  <c r="AA268" i="33" s="1"/>
  <c r="V268" i="33"/>
  <c r="W268" i="33" s="1"/>
  <c r="T268" i="33"/>
  <c r="U268" i="33" s="1"/>
  <c r="R268" i="33"/>
  <c r="S268" i="33" s="1"/>
  <c r="P268" i="33"/>
  <c r="L268" i="33"/>
  <c r="H268" i="33"/>
  <c r="AK267" i="33"/>
  <c r="AJ267" i="33"/>
  <c r="Z267" i="33"/>
  <c r="AC267" i="33" s="1"/>
  <c r="Y267" i="33"/>
  <c r="AB267" i="33" s="1"/>
  <c r="X267" i="33"/>
  <c r="AA267" i="33" s="1"/>
  <c r="V267" i="33"/>
  <c r="W267" i="33" s="1"/>
  <c r="T267" i="33"/>
  <c r="U267" i="33" s="1"/>
  <c r="R267" i="33"/>
  <c r="S267" i="33" s="1"/>
  <c r="P267" i="33"/>
  <c r="L267" i="33"/>
  <c r="H267" i="33"/>
  <c r="AK266" i="33"/>
  <c r="AJ266" i="33"/>
  <c r="Z266" i="33"/>
  <c r="AC266" i="33" s="1"/>
  <c r="Y266" i="33"/>
  <c r="AB266" i="33" s="1"/>
  <c r="X266" i="33"/>
  <c r="AA266" i="33" s="1"/>
  <c r="V266" i="33"/>
  <c r="W266" i="33" s="1"/>
  <c r="T266" i="33"/>
  <c r="U266" i="33" s="1"/>
  <c r="R266" i="33"/>
  <c r="S266" i="33" s="1"/>
  <c r="P266" i="33"/>
  <c r="L266" i="33"/>
  <c r="H266" i="33"/>
  <c r="AK265" i="33"/>
  <c r="Z265" i="33"/>
  <c r="AC265" i="33" s="1"/>
  <c r="Y265" i="33"/>
  <c r="AB265" i="33" s="1"/>
  <c r="X265" i="33"/>
  <c r="AA265" i="33" s="1"/>
  <c r="V265" i="33"/>
  <c r="W265" i="33" s="1"/>
  <c r="T265" i="33"/>
  <c r="U265" i="33" s="1"/>
  <c r="R265" i="33"/>
  <c r="S265" i="33" s="1"/>
  <c r="P265" i="33"/>
  <c r="L265" i="33"/>
  <c r="H265" i="33"/>
  <c r="AK264" i="33"/>
  <c r="Z264" i="33"/>
  <c r="AC264" i="33" s="1"/>
  <c r="Y264" i="33"/>
  <c r="AB264" i="33" s="1"/>
  <c r="X264" i="33"/>
  <c r="AA264" i="33" s="1"/>
  <c r="V264" i="33"/>
  <c r="W264" i="33" s="1"/>
  <c r="T264" i="33"/>
  <c r="U264" i="33" s="1"/>
  <c r="R264" i="33"/>
  <c r="S264" i="33" s="1"/>
  <c r="P264" i="33"/>
  <c r="L264" i="33"/>
  <c r="H264" i="33"/>
  <c r="AK263" i="33"/>
  <c r="AJ263" i="33"/>
  <c r="Z263" i="33"/>
  <c r="AC263" i="33" s="1"/>
  <c r="Y263" i="33"/>
  <c r="AB263" i="33" s="1"/>
  <c r="X263" i="33"/>
  <c r="AA263" i="33" s="1"/>
  <c r="V263" i="33"/>
  <c r="W263" i="33" s="1"/>
  <c r="T263" i="33"/>
  <c r="U263" i="33" s="1"/>
  <c r="R263" i="33"/>
  <c r="S263" i="33" s="1"/>
  <c r="P263" i="33"/>
  <c r="L263" i="33"/>
  <c r="H263" i="33"/>
  <c r="AK262" i="33"/>
  <c r="AJ262" i="33"/>
  <c r="Z262" i="33"/>
  <c r="AC262" i="33" s="1"/>
  <c r="Y262" i="33"/>
  <c r="AB262" i="33" s="1"/>
  <c r="X262" i="33"/>
  <c r="AA262" i="33" s="1"/>
  <c r="V262" i="33"/>
  <c r="W262" i="33" s="1"/>
  <c r="T262" i="33"/>
  <c r="U262" i="33" s="1"/>
  <c r="R262" i="33"/>
  <c r="S262" i="33" s="1"/>
  <c r="P262" i="33"/>
  <c r="L262" i="33"/>
  <c r="H262" i="33"/>
  <c r="AK261" i="33"/>
  <c r="AJ261" i="33"/>
  <c r="Z261" i="33"/>
  <c r="AC261" i="33" s="1"/>
  <c r="Y261" i="33"/>
  <c r="AB261" i="33" s="1"/>
  <c r="X261" i="33"/>
  <c r="AA261" i="33" s="1"/>
  <c r="V261" i="33"/>
  <c r="W261" i="33" s="1"/>
  <c r="T261" i="33"/>
  <c r="U261" i="33" s="1"/>
  <c r="R261" i="33"/>
  <c r="S261" i="33" s="1"/>
  <c r="P261" i="33"/>
  <c r="L261" i="33"/>
  <c r="H261" i="33"/>
  <c r="AK260" i="33"/>
  <c r="AJ260" i="33"/>
  <c r="Z260" i="33"/>
  <c r="AC260" i="33" s="1"/>
  <c r="Y260" i="33"/>
  <c r="AB260" i="33" s="1"/>
  <c r="X260" i="33"/>
  <c r="AA260" i="33" s="1"/>
  <c r="V260" i="33"/>
  <c r="W260" i="33" s="1"/>
  <c r="T260" i="33"/>
  <c r="U260" i="33" s="1"/>
  <c r="R260" i="33"/>
  <c r="S260" i="33" s="1"/>
  <c r="P260" i="33"/>
  <c r="L260" i="33"/>
  <c r="H260" i="33"/>
  <c r="AK259" i="33"/>
  <c r="Z259" i="33"/>
  <c r="AC259" i="33" s="1"/>
  <c r="Y259" i="33"/>
  <c r="AB259" i="33" s="1"/>
  <c r="X259" i="33"/>
  <c r="AA259" i="33" s="1"/>
  <c r="V259" i="33"/>
  <c r="W259" i="33" s="1"/>
  <c r="T259" i="33"/>
  <c r="U259" i="33" s="1"/>
  <c r="R259" i="33"/>
  <c r="S259" i="33" s="1"/>
  <c r="P259" i="33"/>
  <c r="L259" i="33"/>
  <c r="H259" i="33"/>
  <c r="AK258" i="33"/>
  <c r="AJ258" i="33"/>
  <c r="Z258" i="33"/>
  <c r="AC258" i="33" s="1"/>
  <c r="Y258" i="33"/>
  <c r="AB258" i="33" s="1"/>
  <c r="X258" i="33"/>
  <c r="AA258" i="33" s="1"/>
  <c r="V258" i="33"/>
  <c r="W258" i="33" s="1"/>
  <c r="T258" i="33"/>
  <c r="U258" i="33" s="1"/>
  <c r="R258" i="33"/>
  <c r="S258" i="33" s="1"/>
  <c r="P258" i="33"/>
  <c r="L258" i="33"/>
  <c r="H258" i="33"/>
  <c r="AK257" i="33"/>
  <c r="Z257" i="33"/>
  <c r="AC257" i="33" s="1"/>
  <c r="Y257" i="33"/>
  <c r="AB257" i="33" s="1"/>
  <c r="X257" i="33"/>
  <c r="AA257" i="33" s="1"/>
  <c r="V257" i="33"/>
  <c r="W257" i="33" s="1"/>
  <c r="T257" i="33"/>
  <c r="U257" i="33" s="1"/>
  <c r="R257" i="33"/>
  <c r="S257" i="33" s="1"/>
  <c r="P257" i="33"/>
  <c r="L257" i="33"/>
  <c r="H257" i="33"/>
  <c r="AK256" i="33"/>
  <c r="Z256" i="33"/>
  <c r="AC256" i="33" s="1"/>
  <c r="Y256" i="33"/>
  <c r="AB256" i="33" s="1"/>
  <c r="X256" i="33"/>
  <c r="AA256" i="33" s="1"/>
  <c r="V256" i="33"/>
  <c r="W256" i="33" s="1"/>
  <c r="T256" i="33"/>
  <c r="U256" i="33" s="1"/>
  <c r="R256" i="33"/>
  <c r="S256" i="33" s="1"/>
  <c r="P256" i="33"/>
  <c r="L256" i="33"/>
  <c r="H256" i="33"/>
  <c r="AK255" i="33"/>
  <c r="AJ255" i="33"/>
  <c r="Z255" i="33"/>
  <c r="AC255" i="33" s="1"/>
  <c r="Y255" i="33"/>
  <c r="AB255" i="33" s="1"/>
  <c r="X255" i="33"/>
  <c r="AA255" i="33" s="1"/>
  <c r="V255" i="33"/>
  <c r="W255" i="33" s="1"/>
  <c r="T255" i="33"/>
  <c r="U255" i="33" s="1"/>
  <c r="R255" i="33"/>
  <c r="S255" i="33" s="1"/>
  <c r="P255" i="33"/>
  <c r="L255" i="33"/>
  <c r="H255" i="33"/>
  <c r="AK254" i="33"/>
  <c r="Z254" i="33"/>
  <c r="AC254" i="33" s="1"/>
  <c r="Y254" i="33"/>
  <c r="AB254" i="33" s="1"/>
  <c r="X254" i="33"/>
  <c r="AA254" i="33" s="1"/>
  <c r="V254" i="33"/>
  <c r="W254" i="33" s="1"/>
  <c r="T254" i="33"/>
  <c r="U254" i="33" s="1"/>
  <c r="R254" i="33"/>
  <c r="S254" i="33" s="1"/>
  <c r="P254" i="33"/>
  <c r="L254" i="33"/>
  <c r="H254" i="33"/>
  <c r="AK253" i="33"/>
  <c r="AJ253" i="33"/>
  <c r="Z253" i="33"/>
  <c r="AC253" i="33" s="1"/>
  <c r="Y253" i="33"/>
  <c r="AB253" i="33" s="1"/>
  <c r="X253" i="33"/>
  <c r="AA253" i="33" s="1"/>
  <c r="V253" i="33"/>
  <c r="W253" i="33" s="1"/>
  <c r="T253" i="33"/>
  <c r="U253" i="33" s="1"/>
  <c r="R253" i="33"/>
  <c r="S253" i="33" s="1"/>
  <c r="P253" i="33"/>
  <c r="L253" i="33"/>
  <c r="H253" i="33"/>
  <c r="AK252" i="33"/>
  <c r="AJ252" i="33"/>
  <c r="Z252" i="33"/>
  <c r="AC252" i="33" s="1"/>
  <c r="Y252" i="33"/>
  <c r="AB252" i="33" s="1"/>
  <c r="X252" i="33"/>
  <c r="AA252" i="33" s="1"/>
  <c r="V252" i="33"/>
  <c r="W252" i="33" s="1"/>
  <c r="T252" i="33"/>
  <c r="U252" i="33" s="1"/>
  <c r="R252" i="33"/>
  <c r="S252" i="33" s="1"/>
  <c r="P252" i="33"/>
  <c r="L252" i="33"/>
  <c r="H252" i="33"/>
  <c r="AK251" i="33"/>
  <c r="AJ251" i="33"/>
  <c r="Z251" i="33"/>
  <c r="AC251" i="33" s="1"/>
  <c r="Y251" i="33"/>
  <c r="AB251" i="33" s="1"/>
  <c r="X251" i="33"/>
  <c r="AA251" i="33" s="1"/>
  <c r="V251" i="33"/>
  <c r="W251" i="33" s="1"/>
  <c r="T251" i="33"/>
  <c r="U251" i="33" s="1"/>
  <c r="R251" i="33"/>
  <c r="S251" i="33" s="1"/>
  <c r="P251" i="33"/>
  <c r="L251" i="33"/>
  <c r="H251" i="33"/>
  <c r="AK250" i="33"/>
  <c r="AJ250" i="33"/>
  <c r="Z250" i="33"/>
  <c r="AC250" i="33" s="1"/>
  <c r="Y250" i="33"/>
  <c r="AB250" i="33" s="1"/>
  <c r="X250" i="33"/>
  <c r="AA250" i="33" s="1"/>
  <c r="V250" i="33"/>
  <c r="W250" i="33" s="1"/>
  <c r="T250" i="33"/>
  <c r="U250" i="33" s="1"/>
  <c r="R250" i="33"/>
  <c r="S250" i="33" s="1"/>
  <c r="P250" i="33"/>
  <c r="L250" i="33"/>
  <c r="H250" i="33"/>
  <c r="AK249" i="33"/>
  <c r="AJ249" i="33"/>
  <c r="Z249" i="33"/>
  <c r="AC249" i="33" s="1"/>
  <c r="Y249" i="33"/>
  <c r="AB249" i="33" s="1"/>
  <c r="X249" i="33"/>
  <c r="AA249" i="33" s="1"/>
  <c r="V249" i="33"/>
  <c r="W249" i="33" s="1"/>
  <c r="T249" i="33"/>
  <c r="U249" i="33" s="1"/>
  <c r="R249" i="33"/>
  <c r="S249" i="33" s="1"/>
  <c r="P249" i="33"/>
  <c r="L249" i="33"/>
  <c r="H249" i="33"/>
  <c r="AK248" i="33"/>
  <c r="AJ248" i="33"/>
  <c r="Z248" i="33"/>
  <c r="AC248" i="33" s="1"/>
  <c r="Y248" i="33"/>
  <c r="AB248" i="33" s="1"/>
  <c r="X248" i="33"/>
  <c r="AA248" i="33" s="1"/>
  <c r="V248" i="33"/>
  <c r="W248" i="33" s="1"/>
  <c r="T248" i="33"/>
  <c r="U248" i="33" s="1"/>
  <c r="R248" i="33"/>
  <c r="S248" i="33" s="1"/>
  <c r="P248" i="33"/>
  <c r="L248" i="33"/>
  <c r="H248" i="33"/>
  <c r="AK247" i="33"/>
  <c r="AJ247" i="33"/>
  <c r="Z247" i="33"/>
  <c r="AC247" i="33" s="1"/>
  <c r="Y247" i="33"/>
  <c r="AB247" i="33" s="1"/>
  <c r="X247" i="33"/>
  <c r="AA247" i="33" s="1"/>
  <c r="V247" i="33"/>
  <c r="W247" i="33" s="1"/>
  <c r="T247" i="33"/>
  <c r="U247" i="33" s="1"/>
  <c r="R247" i="33"/>
  <c r="S247" i="33" s="1"/>
  <c r="P247" i="33"/>
  <c r="L247" i="33"/>
  <c r="H247" i="33"/>
  <c r="AK246" i="33"/>
  <c r="AJ246" i="33"/>
  <c r="Z246" i="33"/>
  <c r="AC246" i="33" s="1"/>
  <c r="Y246" i="33"/>
  <c r="AB246" i="33" s="1"/>
  <c r="X246" i="33"/>
  <c r="AA246" i="33" s="1"/>
  <c r="V246" i="33"/>
  <c r="W246" i="33" s="1"/>
  <c r="T246" i="33"/>
  <c r="U246" i="33" s="1"/>
  <c r="R246" i="33"/>
  <c r="S246" i="33" s="1"/>
  <c r="P246" i="33"/>
  <c r="L246" i="33"/>
  <c r="H246" i="33"/>
  <c r="AK245" i="33"/>
  <c r="AJ245" i="33"/>
  <c r="Z245" i="33"/>
  <c r="AC245" i="33" s="1"/>
  <c r="Y245" i="33"/>
  <c r="AB245" i="33" s="1"/>
  <c r="X245" i="33"/>
  <c r="AA245" i="33" s="1"/>
  <c r="V245" i="33"/>
  <c r="W245" i="33" s="1"/>
  <c r="T245" i="33"/>
  <c r="U245" i="33" s="1"/>
  <c r="R245" i="33"/>
  <c r="S245" i="33" s="1"/>
  <c r="P245" i="33"/>
  <c r="L245" i="33"/>
  <c r="H245" i="33"/>
  <c r="AK244" i="33"/>
  <c r="AJ244" i="33"/>
  <c r="Z244" i="33"/>
  <c r="AC244" i="33" s="1"/>
  <c r="Y244" i="33"/>
  <c r="AB244" i="33" s="1"/>
  <c r="X244" i="33"/>
  <c r="AA244" i="33" s="1"/>
  <c r="V244" i="33"/>
  <c r="W244" i="33" s="1"/>
  <c r="T244" i="33"/>
  <c r="U244" i="33" s="1"/>
  <c r="R244" i="33"/>
  <c r="S244" i="33" s="1"/>
  <c r="P244" i="33"/>
  <c r="L244" i="33"/>
  <c r="H244" i="33"/>
  <c r="AK243" i="33"/>
  <c r="AJ243" i="33"/>
  <c r="Z243" i="33"/>
  <c r="AC243" i="33" s="1"/>
  <c r="Y243" i="33"/>
  <c r="AB243" i="33" s="1"/>
  <c r="X243" i="33"/>
  <c r="AA243" i="33" s="1"/>
  <c r="V243" i="33"/>
  <c r="W243" i="33" s="1"/>
  <c r="T243" i="33"/>
  <c r="U243" i="33" s="1"/>
  <c r="R243" i="33"/>
  <c r="S243" i="33" s="1"/>
  <c r="P243" i="33"/>
  <c r="L243" i="33"/>
  <c r="H243" i="33"/>
  <c r="AK242" i="33"/>
  <c r="AJ242" i="33"/>
  <c r="Z242" i="33"/>
  <c r="AC242" i="33" s="1"/>
  <c r="Y242" i="33"/>
  <c r="AB242" i="33" s="1"/>
  <c r="X242" i="33"/>
  <c r="AA242" i="33" s="1"/>
  <c r="V242" i="33"/>
  <c r="W242" i="33" s="1"/>
  <c r="T242" i="33"/>
  <c r="U242" i="33" s="1"/>
  <c r="R242" i="33"/>
  <c r="S242" i="33" s="1"/>
  <c r="P242" i="33"/>
  <c r="L242" i="33"/>
  <c r="H242" i="33"/>
  <c r="AK241" i="33"/>
  <c r="AJ241" i="33"/>
  <c r="Z241" i="33"/>
  <c r="AC241" i="33" s="1"/>
  <c r="Y241" i="33"/>
  <c r="AB241" i="33" s="1"/>
  <c r="X241" i="33"/>
  <c r="AA241" i="33" s="1"/>
  <c r="V241" i="33"/>
  <c r="W241" i="33" s="1"/>
  <c r="T241" i="33"/>
  <c r="U241" i="33" s="1"/>
  <c r="R241" i="33"/>
  <c r="S241" i="33" s="1"/>
  <c r="P241" i="33"/>
  <c r="L241" i="33"/>
  <c r="H241" i="33"/>
  <c r="AK240" i="33"/>
  <c r="AJ240" i="33"/>
  <c r="Z240" i="33"/>
  <c r="AC240" i="33" s="1"/>
  <c r="Y240" i="33"/>
  <c r="AB240" i="33" s="1"/>
  <c r="X240" i="33"/>
  <c r="AA240" i="33" s="1"/>
  <c r="V240" i="33"/>
  <c r="W240" i="33" s="1"/>
  <c r="T240" i="33"/>
  <c r="U240" i="33" s="1"/>
  <c r="R240" i="33"/>
  <c r="S240" i="33" s="1"/>
  <c r="P240" i="33"/>
  <c r="L240" i="33"/>
  <c r="H240" i="33"/>
  <c r="AK239" i="33"/>
  <c r="Z239" i="33"/>
  <c r="AC239" i="33" s="1"/>
  <c r="Y239" i="33"/>
  <c r="AB239" i="33" s="1"/>
  <c r="X239" i="33"/>
  <c r="AA239" i="33" s="1"/>
  <c r="V239" i="33"/>
  <c r="W239" i="33" s="1"/>
  <c r="T239" i="33"/>
  <c r="U239" i="33" s="1"/>
  <c r="R239" i="33"/>
  <c r="S239" i="33" s="1"/>
  <c r="P239" i="33"/>
  <c r="L239" i="33"/>
  <c r="H239" i="33"/>
  <c r="AK238" i="33"/>
  <c r="Z238" i="33"/>
  <c r="AC238" i="33" s="1"/>
  <c r="Y238" i="33"/>
  <c r="AB238" i="33" s="1"/>
  <c r="X238" i="33"/>
  <c r="AA238" i="33" s="1"/>
  <c r="V238" i="33"/>
  <c r="W238" i="33" s="1"/>
  <c r="T238" i="33"/>
  <c r="U238" i="33" s="1"/>
  <c r="R238" i="33"/>
  <c r="S238" i="33" s="1"/>
  <c r="P238" i="33"/>
  <c r="L238" i="33"/>
  <c r="H238" i="33"/>
  <c r="AK237" i="33"/>
  <c r="AJ237" i="33"/>
  <c r="Z237" i="33"/>
  <c r="AC237" i="33" s="1"/>
  <c r="Y237" i="33"/>
  <c r="AB237" i="33" s="1"/>
  <c r="X237" i="33"/>
  <c r="AA237" i="33" s="1"/>
  <c r="V237" i="33"/>
  <c r="W237" i="33" s="1"/>
  <c r="T237" i="33"/>
  <c r="U237" i="33" s="1"/>
  <c r="R237" i="33"/>
  <c r="S237" i="33" s="1"/>
  <c r="P237" i="33"/>
  <c r="L237" i="33"/>
  <c r="H237" i="33"/>
  <c r="AK236" i="33"/>
  <c r="AJ236" i="33"/>
  <c r="Z236" i="33"/>
  <c r="AC236" i="33" s="1"/>
  <c r="Y236" i="33"/>
  <c r="AB236" i="33" s="1"/>
  <c r="X236" i="33"/>
  <c r="AA236" i="33" s="1"/>
  <c r="V236" i="33"/>
  <c r="W236" i="33" s="1"/>
  <c r="T236" i="33"/>
  <c r="U236" i="33" s="1"/>
  <c r="R236" i="33"/>
  <c r="S236" i="33" s="1"/>
  <c r="P236" i="33"/>
  <c r="L236" i="33"/>
  <c r="H236" i="33"/>
  <c r="AK235" i="33"/>
  <c r="AJ235" i="33"/>
  <c r="Z235" i="33"/>
  <c r="AC235" i="33" s="1"/>
  <c r="Y235" i="33"/>
  <c r="AB235" i="33" s="1"/>
  <c r="X235" i="33"/>
  <c r="AA235" i="33" s="1"/>
  <c r="V235" i="33"/>
  <c r="W235" i="33" s="1"/>
  <c r="T235" i="33"/>
  <c r="U235" i="33" s="1"/>
  <c r="R235" i="33"/>
  <c r="S235" i="33" s="1"/>
  <c r="P235" i="33"/>
  <c r="L235" i="33"/>
  <c r="H235" i="33"/>
  <c r="AK234" i="33"/>
  <c r="AJ234" i="33"/>
  <c r="Z234" i="33"/>
  <c r="AC234" i="33" s="1"/>
  <c r="Y234" i="33"/>
  <c r="AB234" i="33" s="1"/>
  <c r="X234" i="33"/>
  <c r="AA234" i="33" s="1"/>
  <c r="V234" i="33"/>
  <c r="W234" i="33" s="1"/>
  <c r="T234" i="33"/>
  <c r="U234" i="33" s="1"/>
  <c r="R234" i="33"/>
  <c r="S234" i="33" s="1"/>
  <c r="P234" i="33"/>
  <c r="L234" i="33"/>
  <c r="H234" i="33"/>
  <c r="AK233" i="33"/>
  <c r="AJ233" i="33"/>
  <c r="Z233" i="33"/>
  <c r="AC233" i="33" s="1"/>
  <c r="Y233" i="33"/>
  <c r="AB233" i="33" s="1"/>
  <c r="X233" i="33"/>
  <c r="AA233" i="33" s="1"/>
  <c r="V233" i="33"/>
  <c r="W233" i="33" s="1"/>
  <c r="T233" i="33"/>
  <c r="U233" i="33" s="1"/>
  <c r="R233" i="33"/>
  <c r="S233" i="33" s="1"/>
  <c r="P233" i="33"/>
  <c r="L233" i="33"/>
  <c r="H233" i="33"/>
  <c r="AK232" i="33"/>
  <c r="Z232" i="33"/>
  <c r="AC232" i="33" s="1"/>
  <c r="Y232" i="33"/>
  <c r="AB232" i="33" s="1"/>
  <c r="X232" i="33"/>
  <c r="AA232" i="33" s="1"/>
  <c r="V232" i="33"/>
  <c r="W232" i="33" s="1"/>
  <c r="T232" i="33"/>
  <c r="U232" i="33" s="1"/>
  <c r="R232" i="33"/>
  <c r="S232" i="33" s="1"/>
  <c r="P232" i="33"/>
  <c r="L232" i="33"/>
  <c r="H232" i="33"/>
  <c r="AK231" i="33"/>
  <c r="AJ231" i="33"/>
  <c r="Z231" i="33"/>
  <c r="AC231" i="33" s="1"/>
  <c r="Y231" i="33"/>
  <c r="AB231" i="33" s="1"/>
  <c r="X231" i="33"/>
  <c r="AA231" i="33" s="1"/>
  <c r="V231" i="33"/>
  <c r="W231" i="33" s="1"/>
  <c r="T231" i="33"/>
  <c r="U231" i="33" s="1"/>
  <c r="R231" i="33"/>
  <c r="S231" i="33" s="1"/>
  <c r="P231" i="33"/>
  <c r="L231" i="33"/>
  <c r="H231" i="33"/>
  <c r="AK230" i="33"/>
  <c r="AJ230" i="33"/>
  <c r="Z230" i="33"/>
  <c r="AC230" i="33" s="1"/>
  <c r="Y230" i="33"/>
  <c r="AB230" i="33" s="1"/>
  <c r="X230" i="33"/>
  <c r="AA230" i="33" s="1"/>
  <c r="V230" i="33"/>
  <c r="W230" i="33" s="1"/>
  <c r="T230" i="33"/>
  <c r="U230" i="33" s="1"/>
  <c r="R230" i="33"/>
  <c r="S230" i="33" s="1"/>
  <c r="P230" i="33"/>
  <c r="L230" i="33"/>
  <c r="H230" i="33"/>
  <c r="AK229" i="33"/>
  <c r="AJ229" i="33"/>
  <c r="Z229" i="33"/>
  <c r="AC229" i="33" s="1"/>
  <c r="Y229" i="33"/>
  <c r="AB229" i="33" s="1"/>
  <c r="X229" i="33"/>
  <c r="AA229" i="33" s="1"/>
  <c r="V229" i="33"/>
  <c r="W229" i="33" s="1"/>
  <c r="T229" i="33"/>
  <c r="U229" i="33" s="1"/>
  <c r="R229" i="33"/>
  <c r="S229" i="33" s="1"/>
  <c r="P229" i="33"/>
  <c r="L229" i="33"/>
  <c r="H229" i="33"/>
  <c r="AK228" i="33"/>
  <c r="Z228" i="33"/>
  <c r="AC228" i="33" s="1"/>
  <c r="Y228" i="33"/>
  <c r="AB228" i="33" s="1"/>
  <c r="X228" i="33"/>
  <c r="AA228" i="33" s="1"/>
  <c r="V228" i="33"/>
  <c r="W228" i="33" s="1"/>
  <c r="T228" i="33"/>
  <c r="U228" i="33" s="1"/>
  <c r="R228" i="33"/>
  <c r="S228" i="33" s="1"/>
  <c r="P228" i="33"/>
  <c r="L228" i="33"/>
  <c r="H228" i="33"/>
  <c r="AK227" i="33"/>
  <c r="Z227" i="33"/>
  <c r="AC227" i="33" s="1"/>
  <c r="Y227" i="33"/>
  <c r="AB227" i="33" s="1"/>
  <c r="X227" i="33"/>
  <c r="AA227" i="33" s="1"/>
  <c r="V227" i="33"/>
  <c r="W227" i="33" s="1"/>
  <c r="T227" i="33"/>
  <c r="U227" i="33" s="1"/>
  <c r="R227" i="33"/>
  <c r="S227" i="33" s="1"/>
  <c r="P227" i="33"/>
  <c r="L227" i="33"/>
  <c r="H227" i="33"/>
  <c r="AK226" i="33"/>
  <c r="AJ226" i="33"/>
  <c r="Z226" i="33"/>
  <c r="AC226" i="33" s="1"/>
  <c r="Y226" i="33"/>
  <c r="AB226" i="33" s="1"/>
  <c r="X226" i="33"/>
  <c r="AA226" i="33" s="1"/>
  <c r="V226" i="33"/>
  <c r="W226" i="33" s="1"/>
  <c r="T226" i="33"/>
  <c r="U226" i="33" s="1"/>
  <c r="R226" i="33"/>
  <c r="S226" i="33" s="1"/>
  <c r="P226" i="33"/>
  <c r="L226" i="33"/>
  <c r="H226" i="33"/>
  <c r="AK225" i="33"/>
  <c r="Z225" i="33"/>
  <c r="AC225" i="33" s="1"/>
  <c r="Y225" i="33"/>
  <c r="AB225" i="33" s="1"/>
  <c r="X225" i="33"/>
  <c r="AA225" i="33" s="1"/>
  <c r="V225" i="33"/>
  <c r="W225" i="33" s="1"/>
  <c r="T225" i="33"/>
  <c r="U225" i="33" s="1"/>
  <c r="R225" i="33"/>
  <c r="S225" i="33" s="1"/>
  <c r="P225" i="33"/>
  <c r="L225" i="33"/>
  <c r="H225" i="33"/>
  <c r="AK224" i="33"/>
  <c r="AJ224" i="33"/>
  <c r="Z224" i="33"/>
  <c r="AC224" i="33" s="1"/>
  <c r="Y224" i="33"/>
  <c r="AB224" i="33" s="1"/>
  <c r="X224" i="33"/>
  <c r="AA224" i="33" s="1"/>
  <c r="V224" i="33"/>
  <c r="W224" i="33" s="1"/>
  <c r="T224" i="33"/>
  <c r="U224" i="33" s="1"/>
  <c r="R224" i="33"/>
  <c r="S224" i="33" s="1"/>
  <c r="P224" i="33"/>
  <c r="L224" i="33"/>
  <c r="H224" i="33"/>
  <c r="AK223" i="33"/>
  <c r="Z223" i="33"/>
  <c r="AC223" i="33" s="1"/>
  <c r="Y223" i="33"/>
  <c r="AB223" i="33" s="1"/>
  <c r="X223" i="33"/>
  <c r="AA223" i="33" s="1"/>
  <c r="V223" i="33"/>
  <c r="W223" i="33" s="1"/>
  <c r="T223" i="33"/>
  <c r="U223" i="33" s="1"/>
  <c r="R223" i="33"/>
  <c r="S223" i="33" s="1"/>
  <c r="P223" i="33"/>
  <c r="L223" i="33"/>
  <c r="H223" i="33"/>
  <c r="AK222" i="33"/>
  <c r="AJ222" i="33"/>
  <c r="Z222" i="33"/>
  <c r="AC222" i="33" s="1"/>
  <c r="Y222" i="33"/>
  <c r="AB222" i="33" s="1"/>
  <c r="X222" i="33"/>
  <c r="AA222" i="33" s="1"/>
  <c r="V222" i="33"/>
  <c r="W222" i="33" s="1"/>
  <c r="T222" i="33"/>
  <c r="U222" i="33" s="1"/>
  <c r="R222" i="33"/>
  <c r="S222" i="33" s="1"/>
  <c r="Q222" i="33"/>
  <c r="P222" i="33"/>
  <c r="M222" i="33"/>
  <c r="L222" i="33"/>
  <c r="I222" i="33"/>
  <c r="H222" i="33"/>
  <c r="AK221" i="33"/>
  <c r="AJ221" i="33"/>
  <c r="Z221" i="33"/>
  <c r="AC221" i="33" s="1"/>
  <c r="Y221" i="33"/>
  <c r="AB221" i="33" s="1"/>
  <c r="X221" i="33"/>
  <c r="AA221" i="33" s="1"/>
  <c r="V221" i="33"/>
  <c r="W221" i="33" s="1"/>
  <c r="T221" i="33"/>
  <c r="U221" i="33" s="1"/>
  <c r="R221" i="33"/>
  <c r="S221" i="33" s="1"/>
  <c r="P221" i="33"/>
  <c r="L221" i="33"/>
  <c r="H221" i="33"/>
  <c r="AK220" i="33"/>
  <c r="AJ220" i="33"/>
  <c r="Z220" i="33"/>
  <c r="AC220" i="33" s="1"/>
  <c r="Y220" i="33"/>
  <c r="AB220" i="33" s="1"/>
  <c r="X220" i="33"/>
  <c r="AA220" i="33" s="1"/>
  <c r="V220" i="33"/>
  <c r="W220" i="33" s="1"/>
  <c r="T220" i="33"/>
  <c r="U220" i="33" s="1"/>
  <c r="R220" i="33"/>
  <c r="S220" i="33" s="1"/>
  <c r="P220" i="33"/>
  <c r="L220" i="33"/>
  <c r="H220" i="33"/>
  <c r="AK219" i="33"/>
  <c r="AJ219" i="33"/>
  <c r="Z219" i="33"/>
  <c r="AC219" i="33" s="1"/>
  <c r="Y219" i="33"/>
  <c r="AB219" i="33" s="1"/>
  <c r="X219" i="33"/>
  <c r="AA219" i="33" s="1"/>
  <c r="V219" i="33"/>
  <c r="W219" i="33" s="1"/>
  <c r="T219" i="33"/>
  <c r="U219" i="33" s="1"/>
  <c r="R219" i="33"/>
  <c r="S219" i="33" s="1"/>
  <c r="P219" i="33"/>
  <c r="L219" i="33"/>
  <c r="H219" i="33"/>
  <c r="AK218" i="33"/>
  <c r="AJ218" i="33"/>
  <c r="Z218" i="33"/>
  <c r="AC218" i="33" s="1"/>
  <c r="Y218" i="33"/>
  <c r="AB218" i="33" s="1"/>
  <c r="X218" i="33"/>
  <c r="AA218" i="33" s="1"/>
  <c r="V218" i="33"/>
  <c r="W218" i="33" s="1"/>
  <c r="T218" i="33"/>
  <c r="U218" i="33" s="1"/>
  <c r="R218" i="33"/>
  <c r="S218" i="33" s="1"/>
  <c r="P218" i="33"/>
  <c r="L218" i="33"/>
  <c r="H218" i="33"/>
  <c r="AK217" i="33"/>
  <c r="AJ217" i="33"/>
  <c r="Z217" i="33"/>
  <c r="AC217" i="33" s="1"/>
  <c r="Y217" i="33"/>
  <c r="AB217" i="33" s="1"/>
  <c r="X217" i="33"/>
  <c r="AA217" i="33" s="1"/>
  <c r="V217" i="33"/>
  <c r="W217" i="33" s="1"/>
  <c r="T217" i="33"/>
  <c r="U217" i="33" s="1"/>
  <c r="R217" i="33"/>
  <c r="S217" i="33" s="1"/>
  <c r="P217" i="33"/>
  <c r="L217" i="33"/>
  <c r="H217" i="33"/>
  <c r="AK216" i="33"/>
  <c r="AJ216" i="33"/>
  <c r="Z216" i="33"/>
  <c r="AC216" i="33" s="1"/>
  <c r="Y216" i="33"/>
  <c r="AB216" i="33" s="1"/>
  <c r="X216" i="33"/>
  <c r="AA216" i="33" s="1"/>
  <c r="V216" i="33"/>
  <c r="W216" i="33" s="1"/>
  <c r="T216" i="33"/>
  <c r="U216" i="33" s="1"/>
  <c r="R216" i="33"/>
  <c r="S216" i="33" s="1"/>
  <c r="P216" i="33"/>
  <c r="L216" i="33"/>
  <c r="H216" i="33"/>
  <c r="AK215" i="33"/>
  <c r="AJ215" i="33"/>
  <c r="Z215" i="33"/>
  <c r="AC215" i="33" s="1"/>
  <c r="Y215" i="33"/>
  <c r="AB215" i="33" s="1"/>
  <c r="X215" i="33"/>
  <c r="AA215" i="33" s="1"/>
  <c r="V215" i="33"/>
  <c r="W215" i="33" s="1"/>
  <c r="T215" i="33"/>
  <c r="U215" i="33" s="1"/>
  <c r="R215" i="33"/>
  <c r="S215" i="33" s="1"/>
  <c r="P215" i="33"/>
  <c r="L215" i="33"/>
  <c r="H215" i="33"/>
  <c r="AK214" i="33"/>
  <c r="AJ214" i="33"/>
  <c r="Z214" i="33"/>
  <c r="AC214" i="33" s="1"/>
  <c r="Y214" i="33"/>
  <c r="AB214" i="33" s="1"/>
  <c r="X214" i="33"/>
  <c r="AA214" i="33" s="1"/>
  <c r="V214" i="33"/>
  <c r="W214" i="33" s="1"/>
  <c r="T214" i="33"/>
  <c r="U214" i="33" s="1"/>
  <c r="R214" i="33"/>
  <c r="S214" i="33" s="1"/>
  <c r="P214" i="33"/>
  <c r="L214" i="33"/>
  <c r="H214" i="33"/>
  <c r="AK213" i="33"/>
  <c r="AJ213" i="33"/>
  <c r="Z213" i="33"/>
  <c r="AC213" i="33" s="1"/>
  <c r="Y213" i="33"/>
  <c r="AB213" i="33" s="1"/>
  <c r="X213" i="33"/>
  <c r="AA213" i="33" s="1"/>
  <c r="V213" i="33"/>
  <c r="W213" i="33" s="1"/>
  <c r="T213" i="33"/>
  <c r="U213" i="33" s="1"/>
  <c r="R213" i="33"/>
  <c r="S213" i="33" s="1"/>
  <c r="P213" i="33"/>
  <c r="L213" i="33"/>
  <c r="H213" i="33"/>
  <c r="AK212" i="33"/>
  <c r="AJ212" i="33"/>
  <c r="Z212" i="33"/>
  <c r="AC212" i="33" s="1"/>
  <c r="Y212" i="33"/>
  <c r="AB212" i="33" s="1"/>
  <c r="X212" i="33"/>
  <c r="AA212" i="33" s="1"/>
  <c r="V212" i="33"/>
  <c r="W212" i="33" s="1"/>
  <c r="T212" i="33"/>
  <c r="U212" i="33" s="1"/>
  <c r="R212" i="33"/>
  <c r="S212" i="33" s="1"/>
  <c r="P212" i="33"/>
  <c r="L212" i="33"/>
  <c r="H212" i="33"/>
  <c r="AK211" i="33"/>
  <c r="AC211" i="33"/>
  <c r="Y211" i="33"/>
  <c r="AB211" i="33" s="1"/>
  <c r="X211" i="33"/>
  <c r="AA211" i="33" s="1"/>
  <c r="T211" i="33"/>
  <c r="U211" i="33" s="1"/>
  <c r="R211" i="33"/>
  <c r="S211" i="33" s="1"/>
  <c r="P211" i="33"/>
  <c r="L211" i="33"/>
  <c r="H211" i="33"/>
  <c r="AK210" i="33"/>
  <c r="Z210" i="33"/>
  <c r="AC210" i="33" s="1"/>
  <c r="Y210" i="33"/>
  <c r="AB210" i="33" s="1"/>
  <c r="X210" i="33"/>
  <c r="AA210" i="33" s="1"/>
  <c r="V210" i="33"/>
  <c r="W210" i="33" s="1"/>
  <c r="T210" i="33"/>
  <c r="U210" i="33" s="1"/>
  <c r="R210" i="33"/>
  <c r="S210" i="33" s="1"/>
  <c r="P210" i="33"/>
  <c r="L210" i="33"/>
  <c r="H210" i="33"/>
  <c r="AK209" i="33"/>
  <c r="AJ209" i="33"/>
  <c r="Z209" i="33"/>
  <c r="AC209" i="33" s="1"/>
  <c r="Y209" i="33"/>
  <c r="AB209" i="33" s="1"/>
  <c r="X209" i="33"/>
  <c r="AA209" i="33" s="1"/>
  <c r="V209" i="33"/>
  <c r="W209" i="33" s="1"/>
  <c r="T209" i="33"/>
  <c r="U209" i="33" s="1"/>
  <c r="R209" i="33"/>
  <c r="S209" i="33" s="1"/>
  <c r="P209" i="33"/>
  <c r="L209" i="33"/>
  <c r="H209" i="33"/>
  <c r="AK208" i="33"/>
  <c r="AJ208" i="33"/>
  <c r="Z208" i="33"/>
  <c r="AC208" i="33" s="1"/>
  <c r="Y208" i="33"/>
  <c r="AB208" i="33" s="1"/>
  <c r="X208" i="33"/>
  <c r="AA208" i="33" s="1"/>
  <c r="V208" i="33"/>
  <c r="W208" i="33" s="1"/>
  <c r="T208" i="33"/>
  <c r="U208" i="33" s="1"/>
  <c r="R208" i="33"/>
  <c r="S208" i="33" s="1"/>
  <c r="P208" i="33"/>
  <c r="L208" i="33"/>
  <c r="H208" i="33"/>
  <c r="AK207" i="33"/>
  <c r="Z207" i="33"/>
  <c r="AC207" i="33" s="1"/>
  <c r="Y207" i="33"/>
  <c r="AB207" i="33" s="1"/>
  <c r="X207" i="33"/>
  <c r="AA207" i="33" s="1"/>
  <c r="V207" i="33"/>
  <c r="W207" i="33" s="1"/>
  <c r="T207" i="33"/>
  <c r="U207" i="33" s="1"/>
  <c r="R207" i="33"/>
  <c r="S207" i="33" s="1"/>
  <c r="P207" i="33"/>
  <c r="L207" i="33"/>
  <c r="H207" i="33"/>
  <c r="AK206" i="33"/>
  <c r="AJ206" i="33"/>
  <c r="Z206" i="33"/>
  <c r="AC206" i="33" s="1"/>
  <c r="Y206" i="33"/>
  <c r="AB206" i="33" s="1"/>
  <c r="X206" i="33"/>
  <c r="AA206" i="33" s="1"/>
  <c r="V206" i="33"/>
  <c r="W206" i="33" s="1"/>
  <c r="T206" i="33"/>
  <c r="U206" i="33" s="1"/>
  <c r="R206" i="33"/>
  <c r="S206" i="33" s="1"/>
  <c r="P206" i="33"/>
  <c r="L206" i="33"/>
  <c r="H206" i="33"/>
  <c r="AK205" i="33"/>
  <c r="AJ205" i="33"/>
  <c r="Z205" i="33"/>
  <c r="AC205" i="33" s="1"/>
  <c r="Y205" i="33"/>
  <c r="AB205" i="33" s="1"/>
  <c r="X205" i="33"/>
  <c r="AA205" i="33" s="1"/>
  <c r="V205" i="33"/>
  <c r="W205" i="33" s="1"/>
  <c r="T205" i="33"/>
  <c r="U205" i="33" s="1"/>
  <c r="R205" i="33"/>
  <c r="S205" i="33" s="1"/>
  <c r="P205" i="33"/>
  <c r="L205" i="33"/>
  <c r="H205" i="33"/>
  <c r="AK204" i="33"/>
  <c r="AJ204" i="33"/>
  <c r="Z204" i="33"/>
  <c r="AC204" i="33" s="1"/>
  <c r="Y204" i="33"/>
  <c r="AB204" i="33" s="1"/>
  <c r="X204" i="33"/>
  <c r="AA204" i="33" s="1"/>
  <c r="V204" i="33"/>
  <c r="W204" i="33" s="1"/>
  <c r="T204" i="33"/>
  <c r="U204" i="33" s="1"/>
  <c r="R204" i="33"/>
  <c r="S204" i="33" s="1"/>
  <c r="P204" i="33"/>
  <c r="L204" i="33"/>
  <c r="H204" i="33"/>
  <c r="AK203" i="33"/>
  <c r="AJ203" i="33"/>
  <c r="Z203" i="33"/>
  <c r="AC203" i="33" s="1"/>
  <c r="Y203" i="33"/>
  <c r="AB203" i="33" s="1"/>
  <c r="X203" i="33"/>
  <c r="AA203" i="33" s="1"/>
  <c r="V203" i="33"/>
  <c r="W203" i="33" s="1"/>
  <c r="T203" i="33"/>
  <c r="U203" i="33" s="1"/>
  <c r="R203" i="33"/>
  <c r="S203" i="33" s="1"/>
  <c r="P203" i="33"/>
  <c r="L203" i="33"/>
  <c r="H203" i="33"/>
  <c r="AK202" i="33"/>
  <c r="Z202" i="33"/>
  <c r="AC202" i="33" s="1"/>
  <c r="Y202" i="33"/>
  <c r="AB202" i="33" s="1"/>
  <c r="X202" i="33"/>
  <c r="AA202" i="33" s="1"/>
  <c r="V202" i="33"/>
  <c r="W202" i="33" s="1"/>
  <c r="T202" i="33"/>
  <c r="U202" i="33" s="1"/>
  <c r="R202" i="33"/>
  <c r="S202" i="33" s="1"/>
  <c r="P202" i="33"/>
  <c r="L202" i="33"/>
  <c r="H202" i="33"/>
  <c r="AK201" i="33"/>
  <c r="Z201" i="33"/>
  <c r="AC201" i="33" s="1"/>
  <c r="Y201" i="33"/>
  <c r="AB201" i="33" s="1"/>
  <c r="X201" i="33"/>
  <c r="AA201" i="33" s="1"/>
  <c r="V201" i="33"/>
  <c r="W201" i="33" s="1"/>
  <c r="T201" i="33"/>
  <c r="U201" i="33" s="1"/>
  <c r="R201" i="33"/>
  <c r="S201" i="33" s="1"/>
  <c r="P201" i="33"/>
  <c r="L201" i="33"/>
  <c r="H201" i="33"/>
  <c r="AK200" i="33"/>
  <c r="Z200" i="33"/>
  <c r="AC200" i="33" s="1"/>
  <c r="Y200" i="33"/>
  <c r="AB200" i="33" s="1"/>
  <c r="X200" i="33"/>
  <c r="AA200" i="33" s="1"/>
  <c r="V200" i="33"/>
  <c r="W200" i="33" s="1"/>
  <c r="T200" i="33"/>
  <c r="U200" i="33" s="1"/>
  <c r="R200" i="33"/>
  <c r="S200" i="33" s="1"/>
  <c r="P200" i="33"/>
  <c r="L200" i="33"/>
  <c r="H200" i="33"/>
  <c r="AK199" i="33"/>
  <c r="AJ199" i="33"/>
  <c r="Z199" i="33"/>
  <c r="AC199" i="33" s="1"/>
  <c r="Y199" i="33"/>
  <c r="AB199" i="33" s="1"/>
  <c r="X199" i="33"/>
  <c r="AA199" i="33" s="1"/>
  <c r="V199" i="33"/>
  <c r="W199" i="33" s="1"/>
  <c r="T199" i="33"/>
  <c r="U199" i="33" s="1"/>
  <c r="R199" i="33"/>
  <c r="S199" i="33" s="1"/>
  <c r="P199" i="33"/>
  <c r="L199" i="33"/>
  <c r="H199" i="33"/>
  <c r="AK198" i="33"/>
  <c r="Z198" i="33"/>
  <c r="AC198" i="33" s="1"/>
  <c r="Y198" i="33"/>
  <c r="AB198" i="33" s="1"/>
  <c r="X198" i="33"/>
  <c r="AA198" i="33" s="1"/>
  <c r="V198" i="33"/>
  <c r="W198" i="33" s="1"/>
  <c r="T198" i="33"/>
  <c r="U198" i="33" s="1"/>
  <c r="R198" i="33"/>
  <c r="S198" i="33" s="1"/>
  <c r="P198" i="33"/>
  <c r="L198" i="33"/>
  <c r="H198" i="33"/>
  <c r="AK197" i="33"/>
  <c r="AJ197" i="33"/>
  <c r="Z197" i="33"/>
  <c r="AC197" i="33" s="1"/>
  <c r="Y197" i="33"/>
  <c r="AB197" i="33" s="1"/>
  <c r="X197" i="33"/>
  <c r="AA197" i="33" s="1"/>
  <c r="V197" i="33"/>
  <c r="W197" i="33" s="1"/>
  <c r="T197" i="33"/>
  <c r="U197" i="33" s="1"/>
  <c r="R197" i="33"/>
  <c r="S197" i="33" s="1"/>
  <c r="Q197" i="33"/>
  <c r="P197" i="33"/>
  <c r="M197" i="33"/>
  <c r="L197" i="33"/>
  <c r="I197" i="33"/>
  <c r="H197" i="33"/>
  <c r="AK196" i="33"/>
  <c r="AJ196" i="33"/>
  <c r="Z196" i="33"/>
  <c r="AC196" i="33" s="1"/>
  <c r="Y196" i="33"/>
  <c r="AB196" i="33" s="1"/>
  <c r="X196" i="33"/>
  <c r="AA196" i="33" s="1"/>
  <c r="V196" i="33"/>
  <c r="W196" i="33" s="1"/>
  <c r="T196" i="33"/>
  <c r="U196" i="33" s="1"/>
  <c r="R196" i="33"/>
  <c r="S196" i="33" s="1"/>
  <c r="P196" i="33"/>
  <c r="L196" i="33"/>
  <c r="H196" i="33"/>
  <c r="AK195" i="33"/>
  <c r="AJ195" i="33"/>
  <c r="Z195" i="33"/>
  <c r="AC195" i="33" s="1"/>
  <c r="Y195" i="33"/>
  <c r="AB195" i="33" s="1"/>
  <c r="X195" i="33"/>
  <c r="AA195" i="33" s="1"/>
  <c r="V195" i="33"/>
  <c r="W195" i="33" s="1"/>
  <c r="T195" i="33"/>
  <c r="U195" i="33" s="1"/>
  <c r="R195" i="33"/>
  <c r="S195" i="33" s="1"/>
  <c r="P195" i="33"/>
  <c r="L195" i="33"/>
  <c r="H195" i="33"/>
  <c r="AK194" i="33"/>
  <c r="Z194" i="33"/>
  <c r="AC194" i="33" s="1"/>
  <c r="Y194" i="33"/>
  <c r="AB194" i="33" s="1"/>
  <c r="X194" i="33"/>
  <c r="AA194" i="33" s="1"/>
  <c r="V194" i="33"/>
  <c r="W194" i="33" s="1"/>
  <c r="T194" i="33"/>
  <c r="U194" i="33" s="1"/>
  <c r="R194" i="33"/>
  <c r="S194" i="33" s="1"/>
  <c r="P194" i="33"/>
  <c r="L194" i="33"/>
  <c r="H194" i="33"/>
  <c r="AK193" i="33"/>
  <c r="AJ193" i="33"/>
  <c r="Z193" i="33"/>
  <c r="AC193" i="33" s="1"/>
  <c r="Y193" i="33"/>
  <c r="AB193" i="33" s="1"/>
  <c r="X193" i="33"/>
  <c r="AA193" i="33" s="1"/>
  <c r="V193" i="33"/>
  <c r="W193" i="33" s="1"/>
  <c r="T193" i="33"/>
  <c r="U193" i="33" s="1"/>
  <c r="R193" i="33"/>
  <c r="S193" i="33" s="1"/>
  <c r="P193" i="33"/>
  <c r="L193" i="33"/>
  <c r="H193" i="33"/>
  <c r="AK192" i="33"/>
  <c r="AJ192" i="33"/>
  <c r="Z192" i="33"/>
  <c r="AC192" i="33" s="1"/>
  <c r="Y192" i="33"/>
  <c r="AB192" i="33" s="1"/>
  <c r="X192" i="33"/>
  <c r="AA192" i="33" s="1"/>
  <c r="V192" i="33"/>
  <c r="W192" i="33" s="1"/>
  <c r="T192" i="33"/>
  <c r="U192" i="33" s="1"/>
  <c r="R192" i="33"/>
  <c r="S192" i="33" s="1"/>
  <c r="P192" i="33"/>
  <c r="L192" i="33"/>
  <c r="H192" i="33"/>
  <c r="AK191" i="33"/>
  <c r="AJ191" i="33"/>
  <c r="Z191" i="33"/>
  <c r="AC191" i="33" s="1"/>
  <c r="Y191" i="33"/>
  <c r="AB191" i="33" s="1"/>
  <c r="X191" i="33"/>
  <c r="AA191" i="33" s="1"/>
  <c r="V191" i="33"/>
  <c r="W191" i="33" s="1"/>
  <c r="T191" i="33"/>
  <c r="U191" i="33" s="1"/>
  <c r="R191" i="33"/>
  <c r="S191" i="33" s="1"/>
  <c r="P191" i="33"/>
  <c r="L191" i="33"/>
  <c r="H191" i="33"/>
  <c r="AK190" i="33"/>
  <c r="AJ190" i="33"/>
  <c r="Z190" i="33"/>
  <c r="AC190" i="33" s="1"/>
  <c r="Y190" i="33"/>
  <c r="AB190" i="33" s="1"/>
  <c r="X190" i="33"/>
  <c r="AA190" i="33" s="1"/>
  <c r="V190" i="33"/>
  <c r="W190" i="33" s="1"/>
  <c r="T190" i="33"/>
  <c r="U190" i="33" s="1"/>
  <c r="R190" i="33"/>
  <c r="S190" i="33" s="1"/>
  <c r="P190" i="33"/>
  <c r="L190" i="33"/>
  <c r="H190" i="33"/>
  <c r="AN189" i="33"/>
  <c r="AK189" i="33"/>
  <c r="AJ189" i="33"/>
  <c r="Z189" i="33"/>
  <c r="AC189" i="33" s="1"/>
  <c r="Y189" i="33"/>
  <c r="AB189" i="33" s="1"/>
  <c r="X189" i="33"/>
  <c r="AA189" i="33" s="1"/>
  <c r="V189" i="33"/>
  <c r="W189" i="33" s="1"/>
  <c r="T189" i="33"/>
  <c r="U189" i="33" s="1"/>
  <c r="R189" i="33"/>
  <c r="S189" i="33" s="1"/>
  <c r="P189" i="33"/>
  <c r="L189" i="33"/>
  <c r="H189" i="33"/>
  <c r="AK188" i="33"/>
  <c r="AJ188" i="33"/>
  <c r="Z188" i="33"/>
  <c r="AC188" i="33" s="1"/>
  <c r="Y188" i="33"/>
  <c r="AB188" i="33" s="1"/>
  <c r="X188" i="33"/>
  <c r="AA188" i="33" s="1"/>
  <c r="V188" i="33"/>
  <c r="W188" i="33" s="1"/>
  <c r="T188" i="33"/>
  <c r="U188" i="33" s="1"/>
  <c r="R188" i="33"/>
  <c r="S188" i="33" s="1"/>
  <c r="P188" i="33"/>
  <c r="L188" i="33"/>
  <c r="H188" i="33"/>
  <c r="AK187" i="33"/>
  <c r="Z187" i="33"/>
  <c r="AC187" i="33" s="1"/>
  <c r="Y187" i="33"/>
  <c r="AB187" i="33" s="1"/>
  <c r="X187" i="33"/>
  <c r="AA187" i="33" s="1"/>
  <c r="V187" i="33"/>
  <c r="W187" i="33" s="1"/>
  <c r="T187" i="33"/>
  <c r="U187" i="33" s="1"/>
  <c r="R187" i="33"/>
  <c r="S187" i="33" s="1"/>
  <c r="P187" i="33"/>
  <c r="L187" i="33"/>
  <c r="H187" i="33"/>
  <c r="AK186" i="33"/>
  <c r="Z186" i="33"/>
  <c r="AC186" i="33" s="1"/>
  <c r="Y186" i="33"/>
  <c r="AB186" i="33" s="1"/>
  <c r="X186" i="33"/>
  <c r="AA186" i="33" s="1"/>
  <c r="V186" i="33"/>
  <c r="W186" i="33" s="1"/>
  <c r="T186" i="33"/>
  <c r="U186" i="33" s="1"/>
  <c r="R186" i="33"/>
  <c r="S186" i="33" s="1"/>
  <c r="P186" i="33"/>
  <c r="L186" i="33"/>
  <c r="H186" i="33"/>
  <c r="AK185" i="33"/>
  <c r="Z185" i="33"/>
  <c r="AC185" i="33" s="1"/>
  <c r="Y185" i="33"/>
  <c r="AB185" i="33" s="1"/>
  <c r="X185" i="33"/>
  <c r="AA185" i="33" s="1"/>
  <c r="V185" i="33"/>
  <c r="W185" i="33" s="1"/>
  <c r="T185" i="33"/>
  <c r="U185" i="33" s="1"/>
  <c r="R185" i="33"/>
  <c r="S185" i="33" s="1"/>
  <c r="P185" i="33"/>
  <c r="L185" i="33"/>
  <c r="H185" i="33"/>
  <c r="AK184" i="33"/>
  <c r="AJ184" i="33"/>
  <c r="Z184" i="33"/>
  <c r="AC184" i="33" s="1"/>
  <c r="Y184" i="33"/>
  <c r="AB184" i="33" s="1"/>
  <c r="X184" i="33"/>
  <c r="AA184" i="33" s="1"/>
  <c r="V184" i="33"/>
  <c r="W184" i="33" s="1"/>
  <c r="T184" i="33"/>
  <c r="U184" i="33" s="1"/>
  <c r="R184" i="33"/>
  <c r="S184" i="33" s="1"/>
  <c r="P184" i="33"/>
  <c r="L184" i="33"/>
  <c r="H184" i="33"/>
  <c r="AK183" i="33"/>
  <c r="AJ183" i="33"/>
  <c r="Z183" i="33"/>
  <c r="AC183" i="33" s="1"/>
  <c r="Y183" i="33"/>
  <c r="AB183" i="33" s="1"/>
  <c r="X183" i="33"/>
  <c r="AA183" i="33" s="1"/>
  <c r="V183" i="33"/>
  <c r="W183" i="33" s="1"/>
  <c r="T183" i="33"/>
  <c r="U183" i="33" s="1"/>
  <c r="R183" i="33"/>
  <c r="S183" i="33" s="1"/>
  <c r="P183" i="33"/>
  <c r="L183" i="33"/>
  <c r="H183" i="33"/>
  <c r="AK182" i="33"/>
  <c r="AJ182" i="33"/>
  <c r="Z182" i="33"/>
  <c r="AC182" i="33" s="1"/>
  <c r="Y182" i="33"/>
  <c r="AB182" i="33" s="1"/>
  <c r="X182" i="33"/>
  <c r="AA182" i="33" s="1"/>
  <c r="V182" i="33"/>
  <c r="W182" i="33" s="1"/>
  <c r="T182" i="33"/>
  <c r="U182" i="33" s="1"/>
  <c r="R182" i="33"/>
  <c r="S182" i="33" s="1"/>
  <c r="P182" i="33"/>
  <c r="L182" i="33"/>
  <c r="H182" i="33"/>
  <c r="AK181" i="33"/>
  <c r="AJ181" i="33"/>
  <c r="Z181" i="33"/>
  <c r="AC181" i="33" s="1"/>
  <c r="Y181" i="33"/>
  <c r="AB181" i="33" s="1"/>
  <c r="X181" i="33"/>
  <c r="AA181" i="33" s="1"/>
  <c r="V181" i="33"/>
  <c r="W181" i="33" s="1"/>
  <c r="T181" i="33"/>
  <c r="U181" i="33" s="1"/>
  <c r="R181" i="33"/>
  <c r="S181" i="33" s="1"/>
  <c r="P181" i="33"/>
  <c r="L181" i="33"/>
  <c r="H181" i="33"/>
  <c r="AK180" i="33"/>
  <c r="AJ180" i="33"/>
  <c r="Z180" i="33"/>
  <c r="AC180" i="33" s="1"/>
  <c r="Y180" i="33"/>
  <c r="AB180" i="33" s="1"/>
  <c r="X180" i="33"/>
  <c r="AA180" i="33" s="1"/>
  <c r="V180" i="33"/>
  <c r="W180" i="33" s="1"/>
  <c r="T180" i="33"/>
  <c r="U180" i="33" s="1"/>
  <c r="R180" i="33"/>
  <c r="S180" i="33" s="1"/>
  <c r="P180" i="33"/>
  <c r="L180" i="33"/>
  <c r="H180" i="33"/>
  <c r="AK179" i="33"/>
  <c r="Z179" i="33"/>
  <c r="AC179" i="33" s="1"/>
  <c r="Y179" i="33"/>
  <c r="AB179" i="33" s="1"/>
  <c r="X179" i="33"/>
  <c r="AA179" i="33" s="1"/>
  <c r="V179" i="33"/>
  <c r="W179" i="33" s="1"/>
  <c r="T179" i="33"/>
  <c r="U179" i="33" s="1"/>
  <c r="R179" i="33"/>
  <c r="S179" i="33" s="1"/>
  <c r="P179" i="33"/>
  <c r="L179" i="33"/>
  <c r="H179" i="33"/>
  <c r="AK178" i="33"/>
  <c r="AJ178" i="33"/>
  <c r="Z178" i="33"/>
  <c r="AC178" i="33" s="1"/>
  <c r="Y178" i="33"/>
  <c r="AB178" i="33" s="1"/>
  <c r="X178" i="33"/>
  <c r="AA178" i="33" s="1"/>
  <c r="V178" i="33"/>
  <c r="W178" i="33" s="1"/>
  <c r="T178" i="33"/>
  <c r="U178" i="33" s="1"/>
  <c r="R178" i="33"/>
  <c r="S178" i="33" s="1"/>
  <c r="P178" i="33"/>
  <c r="L178" i="33"/>
  <c r="H178" i="33"/>
  <c r="AK177" i="33"/>
  <c r="Z177" i="33"/>
  <c r="AC177" i="33" s="1"/>
  <c r="Y177" i="33"/>
  <c r="AB177" i="33" s="1"/>
  <c r="X177" i="33"/>
  <c r="AA177" i="33" s="1"/>
  <c r="V177" i="33"/>
  <c r="W177" i="33" s="1"/>
  <c r="T177" i="33"/>
  <c r="U177" i="33" s="1"/>
  <c r="R177" i="33"/>
  <c r="S177" i="33" s="1"/>
  <c r="P177" i="33"/>
  <c r="L177" i="33"/>
  <c r="H177" i="33"/>
  <c r="AK176" i="33"/>
  <c r="AJ176" i="33"/>
  <c r="Z176" i="33"/>
  <c r="AC176" i="33" s="1"/>
  <c r="Y176" i="33"/>
  <c r="AB176" i="33" s="1"/>
  <c r="X176" i="33"/>
  <c r="AA176" i="33" s="1"/>
  <c r="V176" i="33"/>
  <c r="W176" i="33" s="1"/>
  <c r="T176" i="33"/>
  <c r="U176" i="33" s="1"/>
  <c r="R176" i="33"/>
  <c r="S176" i="33" s="1"/>
  <c r="P176" i="33"/>
  <c r="L176" i="33"/>
  <c r="H176" i="33"/>
  <c r="AK175" i="33"/>
  <c r="Z175" i="33"/>
  <c r="AC175" i="33" s="1"/>
  <c r="Y175" i="33"/>
  <c r="AB175" i="33" s="1"/>
  <c r="X175" i="33"/>
  <c r="AA175" i="33" s="1"/>
  <c r="V175" i="33"/>
  <c r="W175" i="33" s="1"/>
  <c r="T175" i="33"/>
  <c r="U175" i="33" s="1"/>
  <c r="R175" i="33"/>
  <c r="S175" i="33" s="1"/>
  <c r="P175" i="33"/>
  <c r="L175" i="33"/>
  <c r="H175" i="33"/>
  <c r="AK174" i="33"/>
  <c r="AJ174" i="33"/>
  <c r="Z174" i="33"/>
  <c r="AC174" i="33" s="1"/>
  <c r="Y174" i="33"/>
  <c r="AB174" i="33" s="1"/>
  <c r="X174" i="33"/>
  <c r="AA174" i="33" s="1"/>
  <c r="V174" i="33"/>
  <c r="W174" i="33" s="1"/>
  <c r="T174" i="33"/>
  <c r="U174" i="33" s="1"/>
  <c r="R174" i="33"/>
  <c r="S174" i="33" s="1"/>
  <c r="P174" i="33"/>
  <c r="L174" i="33"/>
  <c r="H174" i="33"/>
  <c r="AK173" i="33"/>
  <c r="AJ173" i="33"/>
  <c r="Z173" i="33"/>
  <c r="AC173" i="33" s="1"/>
  <c r="Y173" i="33"/>
  <c r="AB173" i="33" s="1"/>
  <c r="X173" i="33"/>
  <c r="AA173" i="33" s="1"/>
  <c r="V173" i="33"/>
  <c r="W173" i="33" s="1"/>
  <c r="T173" i="33"/>
  <c r="U173" i="33" s="1"/>
  <c r="R173" i="33"/>
  <c r="S173" i="33" s="1"/>
  <c r="P173" i="33"/>
  <c r="L173" i="33"/>
  <c r="H173" i="33"/>
  <c r="AK172" i="33"/>
  <c r="AJ172" i="33"/>
  <c r="Z172" i="33"/>
  <c r="AC172" i="33" s="1"/>
  <c r="Y172" i="33"/>
  <c r="AB172" i="33" s="1"/>
  <c r="X172" i="33"/>
  <c r="AA172" i="33" s="1"/>
  <c r="V172" i="33"/>
  <c r="W172" i="33" s="1"/>
  <c r="T172" i="33"/>
  <c r="U172" i="33" s="1"/>
  <c r="R172" i="33"/>
  <c r="S172" i="33" s="1"/>
  <c r="P172" i="33"/>
  <c r="L172" i="33"/>
  <c r="H172" i="33"/>
  <c r="AK171" i="33"/>
  <c r="AJ171" i="33"/>
  <c r="Z171" i="33"/>
  <c r="AC171" i="33" s="1"/>
  <c r="Y171" i="33"/>
  <c r="AB171" i="33" s="1"/>
  <c r="X171" i="33"/>
  <c r="AA171" i="33" s="1"/>
  <c r="V171" i="33"/>
  <c r="W171" i="33" s="1"/>
  <c r="T171" i="33"/>
  <c r="U171" i="33" s="1"/>
  <c r="R171" i="33"/>
  <c r="S171" i="33" s="1"/>
  <c r="P171" i="33"/>
  <c r="L171" i="33"/>
  <c r="H171" i="33"/>
  <c r="AK170" i="33"/>
  <c r="AJ170" i="33"/>
  <c r="Z170" i="33"/>
  <c r="AC170" i="33" s="1"/>
  <c r="Y170" i="33"/>
  <c r="AB170" i="33" s="1"/>
  <c r="X170" i="33"/>
  <c r="AA170" i="33" s="1"/>
  <c r="V170" i="33"/>
  <c r="W170" i="33" s="1"/>
  <c r="T170" i="33"/>
  <c r="U170" i="33" s="1"/>
  <c r="R170" i="33"/>
  <c r="S170" i="33" s="1"/>
  <c r="P170" i="33"/>
  <c r="L170" i="33"/>
  <c r="H170" i="33"/>
  <c r="AK169" i="33"/>
  <c r="Z169" i="33"/>
  <c r="AC169" i="33" s="1"/>
  <c r="Y169" i="33"/>
  <c r="AB169" i="33" s="1"/>
  <c r="X169" i="33"/>
  <c r="AA169" i="33" s="1"/>
  <c r="V169" i="33"/>
  <c r="W169" i="33" s="1"/>
  <c r="T169" i="33"/>
  <c r="U169" i="33" s="1"/>
  <c r="R169" i="33"/>
  <c r="S169" i="33" s="1"/>
  <c r="P169" i="33"/>
  <c r="L169" i="33"/>
  <c r="H169" i="33"/>
  <c r="AK168" i="33"/>
  <c r="AJ168" i="33"/>
  <c r="Z168" i="33"/>
  <c r="AC168" i="33" s="1"/>
  <c r="Y168" i="33"/>
  <c r="AB168" i="33" s="1"/>
  <c r="X168" i="33"/>
  <c r="AA168" i="33" s="1"/>
  <c r="V168" i="33"/>
  <c r="W168" i="33" s="1"/>
  <c r="T168" i="33"/>
  <c r="U168" i="33" s="1"/>
  <c r="R168" i="33"/>
  <c r="S168" i="33" s="1"/>
  <c r="P168" i="33"/>
  <c r="L168" i="33"/>
  <c r="H168" i="33"/>
  <c r="AK167" i="33"/>
  <c r="Z167" i="33"/>
  <c r="AC167" i="33" s="1"/>
  <c r="Y167" i="33"/>
  <c r="AB167" i="33" s="1"/>
  <c r="X167" i="33"/>
  <c r="AA167" i="33" s="1"/>
  <c r="V167" i="33"/>
  <c r="W167" i="33" s="1"/>
  <c r="T167" i="33"/>
  <c r="U167" i="33" s="1"/>
  <c r="R167" i="33"/>
  <c r="S167" i="33" s="1"/>
  <c r="P167" i="33"/>
  <c r="L167" i="33"/>
  <c r="H167" i="33"/>
  <c r="AK166" i="33"/>
  <c r="Z166" i="33"/>
  <c r="AC166" i="33" s="1"/>
  <c r="Y166" i="33"/>
  <c r="AB166" i="33" s="1"/>
  <c r="X166" i="33"/>
  <c r="AA166" i="33" s="1"/>
  <c r="V166" i="33"/>
  <c r="W166" i="33" s="1"/>
  <c r="T166" i="33"/>
  <c r="U166" i="33" s="1"/>
  <c r="R166" i="33"/>
  <c r="S166" i="33" s="1"/>
  <c r="P166" i="33"/>
  <c r="L166" i="33"/>
  <c r="H166" i="33"/>
  <c r="AK165" i="33"/>
  <c r="Z165" i="33"/>
  <c r="AC165" i="33" s="1"/>
  <c r="Y165" i="33"/>
  <c r="AB165" i="33" s="1"/>
  <c r="X165" i="33"/>
  <c r="AA165" i="33" s="1"/>
  <c r="V165" i="33"/>
  <c r="W165" i="33" s="1"/>
  <c r="T165" i="33"/>
  <c r="U165" i="33" s="1"/>
  <c r="R165" i="33"/>
  <c r="S165" i="33" s="1"/>
  <c r="P165" i="33"/>
  <c r="L165" i="33"/>
  <c r="H165" i="33"/>
  <c r="AK164" i="33"/>
  <c r="AJ164" i="33"/>
  <c r="Z164" i="33"/>
  <c r="AC164" i="33" s="1"/>
  <c r="Y164" i="33"/>
  <c r="AB164" i="33" s="1"/>
  <c r="X164" i="33"/>
  <c r="AA164" i="33" s="1"/>
  <c r="V164" i="33"/>
  <c r="W164" i="33" s="1"/>
  <c r="T164" i="33"/>
  <c r="U164" i="33" s="1"/>
  <c r="R164" i="33"/>
  <c r="S164" i="33" s="1"/>
  <c r="P164" i="33"/>
  <c r="L164" i="33"/>
  <c r="H164" i="33"/>
  <c r="AK163" i="33"/>
  <c r="Z163" i="33"/>
  <c r="AC163" i="33" s="1"/>
  <c r="Y163" i="33"/>
  <c r="AB163" i="33" s="1"/>
  <c r="X163" i="33"/>
  <c r="AA163" i="33" s="1"/>
  <c r="V163" i="33"/>
  <c r="W163" i="33" s="1"/>
  <c r="T163" i="33"/>
  <c r="U163" i="33" s="1"/>
  <c r="R163" i="33"/>
  <c r="S163" i="33" s="1"/>
  <c r="P163" i="33"/>
  <c r="L163" i="33"/>
  <c r="H163" i="33"/>
  <c r="AK162" i="33"/>
  <c r="Z162" i="33"/>
  <c r="AC162" i="33" s="1"/>
  <c r="Y162" i="33"/>
  <c r="AB162" i="33" s="1"/>
  <c r="X162" i="33"/>
  <c r="AA162" i="33" s="1"/>
  <c r="V162" i="33"/>
  <c r="W162" i="33" s="1"/>
  <c r="T162" i="33"/>
  <c r="U162" i="33" s="1"/>
  <c r="R162" i="33"/>
  <c r="S162" i="33" s="1"/>
  <c r="P162" i="33"/>
  <c r="L162" i="33"/>
  <c r="H162" i="33"/>
  <c r="AK161" i="33"/>
  <c r="AJ161" i="33"/>
  <c r="Z161" i="33"/>
  <c r="AC161" i="33" s="1"/>
  <c r="Y161" i="33"/>
  <c r="AB161" i="33" s="1"/>
  <c r="X161" i="33"/>
  <c r="AA161" i="33" s="1"/>
  <c r="V161" i="33"/>
  <c r="W161" i="33" s="1"/>
  <c r="T161" i="33"/>
  <c r="U161" i="33" s="1"/>
  <c r="R161" i="33"/>
  <c r="S161" i="33" s="1"/>
  <c r="P161" i="33"/>
  <c r="L161" i="33"/>
  <c r="H161" i="33"/>
  <c r="AK160" i="33"/>
  <c r="AJ160" i="33"/>
  <c r="Z160" i="33"/>
  <c r="AC160" i="33" s="1"/>
  <c r="Y160" i="33"/>
  <c r="AB160" i="33" s="1"/>
  <c r="X160" i="33"/>
  <c r="AA160" i="33" s="1"/>
  <c r="V160" i="33"/>
  <c r="W160" i="33" s="1"/>
  <c r="T160" i="33"/>
  <c r="U160" i="33" s="1"/>
  <c r="R160" i="33"/>
  <c r="S160" i="33" s="1"/>
  <c r="P160" i="33"/>
  <c r="L160" i="33"/>
  <c r="H160" i="33"/>
  <c r="AK159" i="33"/>
  <c r="Z159" i="33"/>
  <c r="AC159" i="33" s="1"/>
  <c r="Y159" i="33"/>
  <c r="AB159" i="33" s="1"/>
  <c r="X159" i="33"/>
  <c r="AA159" i="33" s="1"/>
  <c r="V159" i="33"/>
  <c r="W159" i="33" s="1"/>
  <c r="T159" i="33"/>
  <c r="U159" i="33" s="1"/>
  <c r="R159" i="33"/>
  <c r="S159" i="33" s="1"/>
  <c r="P159" i="33"/>
  <c r="L159" i="33"/>
  <c r="H159" i="33"/>
  <c r="AK158" i="33"/>
  <c r="Z158" i="33"/>
  <c r="AC158" i="33" s="1"/>
  <c r="Y158" i="33"/>
  <c r="AB158" i="33" s="1"/>
  <c r="X158" i="33"/>
  <c r="AA158" i="33" s="1"/>
  <c r="V158" i="33"/>
  <c r="W158" i="33" s="1"/>
  <c r="T158" i="33"/>
  <c r="U158" i="33" s="1"/>
  <c r="R158" i="33"/>
  <c r="S158" i="33" s="1"/>
  <c r="P158" i="33"/>
  <c r="L158" i="33"/>
  <c r="H158" i="33"/>
  <c r="AK157" i="33"/>
  <c r="AJ157" i="33"/>
  <c r="Z157" i="33"/>
  <c r="AC157" i="33" s="1"/>
  <c r="Y157" i="33"/>
  <c r="AB157" i="33" s="1"/>
  <c r="X157" i="33"/>
  <c r="AA157" i="33" s="1"/>
  <c r="V157" i="33"/>
  <c r="W157" i="33" s="1"/>
  <c r="T157" i="33"/>
  <c r="U157" i="33" s="1"/>
  <c r="R157" i="33"/>
  <c r="S157" i="33" s="1"/>
  <c r="P157" i="33"/>
  <c r="L157" i="33"/>
  <c r="H157" i="33"/>
  <c r="AB156" i="33"/>
  <c r="AA156" i="33"/>
  <c r="Z156" i="33"/>
  <c r="AC156" i="33" s="1"/>
  <c r="V156" i="33"/>
  <c r="W156" i="33" s="1"/>
  <c r="T156" i="33"/>
  <c r="U156" i="33" s="1"/>
  <c r="S156" i="33"/>
  <c r="P156" i="33"/>
  <c r="L156" i="33"/>
  <c r="AK155" i="33"/>
  <c r="AJ155" i="33"/>
  <c r="Z155" i="33"/>
  <c r="AC155" i="33" s="1"/>
  <c r="Y155" i="33"/>
  <c r="AB155" i="33" s="1"/>
  <c r="X155" i="33"/>
  <c r="AA155" i="33" s="1"/>
  <c r="V155" i="33"/>
  <c r="W155" i="33" s="1"/>
  <c r="T155" i="33"/>
  <c r="U155" i="33" s="1"/>
  <c r="R155" i="33"/>
  <c r="S155" i="33" s="1"/>
  <c r="P155" i="33"/>
  <c r="L155" i="33"/>
  <c r="H155" i="33"/>
  <c r="AK154" i="33"/>
  <c r="AJ154" i="33"/>
  <c r="Z154" i="33"/>
  <c r="AC154" i="33" s="1"/>
  <c r="Y154" i="33"/>
  <c r="AB154" i="33" s="1"/>
  <c r="X154" i="33"/>
  <c r="AA154" i="33" s="1"/>
  <c r="V154" i="33"/>
  <c r="W154" i="33" s="1"/>
  <c r="T154" i="33"/>
  <c r="U154" i="33" s="1"/>
  <c r="R154" i="33"/>
  <c r="S154" i="33" s="1"/>
  <c r="P154" i="33"/>
  <c r="L154" i="33"/>
  <c r="H154" i="33"/>
  <c r="AK153" i="33"/>
  <c r="Z153" i="33"/>
  <c r="AC153" i="33" s="1"/>
  <c r="Y153" i="33"/>
  <c r="AB153" i="33" s="1"/>
  <c r="X153" i="33"/>
  <c r="AA153" i="33" s="1"/>
  <c r="V153" i="33"/>
  <c r="W153" i="33" s="1"/>
  <c r="T153" i="33"/>
  <c r="U153" i="33" s="1"/>
  <c r="R153" i="33"/>
  <c r="S153" i="33" s="1"/>
  <c r="P153" i="33"/>
  <c r="L153" i="33"/>
  <c r="H153" i="33"/>
  <c r="AK152" i="33"/>
  <c r="AJ152" i="33"/>
  <c r="Z152" i="33"/>
  <c r="AC152" i="33" s="1"/>
  <c r="Y152" i="33"/>
  <c r="AB152" i="33" s="1"/>
  <c r="X152" i="33"/>
  <c r="AA152" i="33" s="1"/>
  <c r="V152" i="33"/>
  <c r="W152" i="33" s="1"/>
  <c r="T152" i="33"/>
  <c r="U152" i="33" s="1"/>
  <c r="R152" i="33"/>
  <c r="S152" i="33" s="1"/>
  <c r="P152" i="33"/>
  <c r="L152" i="33"/>
  <c r="H152" i="33"/>
  <c r="AK151" i="33"/>
  <c r="AJ151" i="33"/>
  <c r="Z151" i="33"/>
  <c r="AC151" i="33" s="1"/>
  <c r="Y151" i="33"/>
  <c r="AB151" i="33" s="1"/>
  <c r="X151" i="33"/>
  <c r="AA151" i="33" s="1"/>
  <c r="V151" i="33"/>
  <c r="W151" i="33" s="1"/>
  <c r="T151" i="33"/>
  <c r="U151" i="33" s="1"/>
  <c r="R151" i="33"/>
  <c r="S151" i="33" s="1"/>
  <c r="P151" i="33"/>
  <c r="L151" i="33"/>
  <c r="H151" i="33"/>
  <c r="AK150" i="33"/>
  <c r="AJ150" i="33"/>
  <c r="Z150" i="33"/>
  <c r="AC150" i="33" s="1"/>
  <c r="Y150" i="33"/>
  <c r="AB150" i="33" s="1"/>
  <c r="X150" i="33"/>
  <c r="AA150" i="33" s="1"/>
  <c r="V150" i="33"/>
  <c r="W150" i="33" s="1"/>
  <c r="T150" i="33"/>
  <c r="U150" i="33" s="1"/>
  <c r="R150" i="33"/>
  <c r="S150" i="33" s="1"/>
  <c r="P150" i="33"/>
  <c r="L150" i="33"/>
  <c r="H150" i="33"/>
  <c r="AK149" i="33"/>
  <c r="AJ149" i="33"/>
  <c r="Z149" i="33"/>
  <c r="AC149" i="33" s="1"/>
  <c r="Y149" i="33"/>
  <c r="AB149" i="33" s="1"/>
  <c r="X149" i="33"/>
  <c r="AA149" i="33" s="1"/>
  <c r="V149" i="33"/>
  <c r="W149" i="33" s="1"/>
  <c r="T149" i="33"/>
  <c r="U149" i="33" s="1"/>
  <c r="R149" i="33"/>
  <c r="S149" i="33" s="1"/>
  <c r="P149" i="33"/>
  <c r="L149" i="33"/>
  <c r="H149" i="33"/>
  <c r="AK148" i="33"/>
  <c r="AJ148" i="33"/>
  <c r="Z148" i="33"/>
  <c r="AC148" i="33" s="1"/>
  <c r="Y148" i="33"/>
  <c r="AB148" i="33" s="1"/>
  <c r="X148" i="33"/>
  <c r="AA148" i="33" s="1"/>
  <c r="V148" i="33"/>
  <c r="W148" i="33" s="1"/>
  <c r="T148" i="33"/>
  <c r="U148" i="33" s="1"/>
  <c r="R148" i="33"/>
  <c r="S148" i="33" s="1"/>
  <c r="P148" i="33"/>
  <c r="L148" i="33"/>
  <c r="H148" i="33"/>
  <c r="AK147" i="33"/>
  <c r="AJ147" i="33"/>
  <c r="Z147" i="33"/>
  <c r="AC147" i="33" s="1"/>
  <c r="Y147" i="33"/>
  <c r="AB147" i="33" s="1"/>
  <c r="X147" i="33"/>
  <c r="AA147" i="33" s="1"/>
  <c r="V147" i="33"/>
  <c r="W147" i="33" s="1"/>
  <c r="T147" i="33"/>
  <c r="U147" i="33" s="1"/>
  <c r="R147" i="33"/>
  <c r="S147" i="33" s="1"/>
  <c r="P147" i="33"/>
  <c r="L147" i="33"/>
  <c r="H147" i="33"/>
  <c r="AK146" i="33"/>
  <c r="AJ146" i="33"/>
  <c r="Z146" i="33"/>
  <c r="AC146" i="33" s="1"/>
  <c r="Y146" i="33"/>
  <c r="AB146" i="33" s="1"/>
  <c r="X146" i="33"/>
  <c r="AA146" i="33" s="1"/>
  <c r="V146" i="33"/>
  <c r="W146" i="33" s="1"/>
  <c r="T146" i="33"/>
  <c r="U146" i="33" s="1"/>
  <c r="R146" i="33"/>
  <c r="S146" i="33" s="1"/>
  <c r="P146" i="33"/>
  <c r="L146" i="33"/>
  <c r="H146" i="33"/>
  <c r="AK145" i="33"/>
  <c r="AJ145" i="33"/>
  <c r="Z145" i="33"/>
  <c r="AC145" i="33" s="1"/>
  <c r="Y145" i="33"/>
  <c r="AB145" i="33" s="1"/>
  <c r="X145" i="33"/>
  <c r="AA145" i="33" s="1"/>
  <c r="V145" i="33"/>
  <c r="W145" i="33" s="1"/>
  <c r="T145" i="33"/>
  <c r="U145" i="33" s="1"/>
  <c r="R145" i="33"/>
  <c r="S145" i="33" s="1"/>
  <c r="P145" i="33"/>
  <c r="L145" i="33"/>
  <c r="H145" i="33"/>
  <c r="AK144" i="33"/>
  <c r="AJ144" i="33"/>
  <c r="Z144" i="33"/>
  <c r="AC144" i="33" s="1"/>
  <c r="Y144" i="33"/>
  <c r="AB144" i="33" s="1"/>
  <c r="X144" i="33"/>
  <c r="AA144" i="33" s="1"/>
  <c r="V144" i="33"/>
  <c r="W144" i="33" s="1"/>
  <c r="T144" i="33"/>
  <c r="U144" i="33" s="1"/>
  <c r="R144" i="33"/>
  <c r="S144" i="33" s="1"/>
  <c r="P144" i="33"/>
  <c r="L144" i="33"/>
  <c r="H144" i="33"/>
  <c r="AK143" i="33"/>
  <c r="AJ143" i="33"/>
  <c r="Z143" i="33"/>
  <c r="AC143" i="33" s="1"/>
  <c r="Y143" i="33"/>
  <c r="AB143" i="33" s="1"/>
  <c r="X143" i="33"/>
  <c r="AA143" i="33" s="1"/>
  <c r="V143" i="33"/>
  <c r="W143" i="33" s="1"/>
  <c r="T143" i="33"/>
  <c r="U143" i="33" s="1"/>
  <c r="R143" i="33"/>
  <c r="S143" i="33" s="1"/>
  <c r="P143" i="33"/>
  <c r="L143" i="33"/>
  <c r="H143" i="33"/>
  <c r="AK142" i="33"/>
  <c r="AJ142" i="33"/>
  <c r="Z142" i="33"/>
  <c r="AC142" i="33" s="1"/>
  <c r="Y142" i="33"/>
  <c r="AB142" i="33" s="1"/>
  <c r="X142" i="33"/>
  <c r="AA142" i="33" s="1"/>
  <c r="V142" i="33"/>
  <c r="W142" i="33" s="1"/>
  <c r="T142" i="33"/>
  <c r="U142" i="33" s="1"/>
  <c r="R142" i="33"/>
  <c r="S142" i="33" s="1"/>
  <c r="P142" i="33"/>
  <c r="L142" i="33"/>
  <c r="H142" i="33"/>
  <c r="AK141" i="33"/>
  <c r="AJ141" i="33"/>
  <c r="Z141" i="33"/>
  <c r="AC141" i="33" s="1"/>
  <c r="Y141" i="33"/>
  <c r="AB141" i="33" s="1"/>
  <c r="X141" i="33"/>
  <c r="AA141" i="33" s="1"/>
  <c r="V141" i="33"/>
  <c r="W141" i="33" s="1"/>
  <c r="T141" i="33"/>
  <c r="U141" i="33" s="1"/>
  <c r="R141" i="33"/>
  <c r="S141" i="33" s="1"/>
  <c r="P141" i="33"/>
  <c r="L141" i="33"/>
  <c r="H141" i="33"/>
  <c r="AK140" i="33"/>
  <c r="AJ140" i="33"/>
  <c r="Z140" i="33"/>
  <c r="AC140" i="33" s="1"/>
  <c r="Y140" i="33"/>
  <c r="AB140" i="33" s="1"/>
  <c r="X140" i="33"/>
  <c r="AA140" i="33" s="1"/>
  <c r="V140" i="33"/>
  <c r="W140" i="33" s="1"/>
  <c r="T140" i="33"/>
  <c r="U140" i="33" s="1"/>
  <c r="R140" i="33"/>
  <c r="S140" i="33" s="1"/>
  <c r="P140" i="33"/>
  <c r="L140" i="33"/>
  <c r="H140" i="33"/>
  <c r="AK139" i="33"/>
  <c r="AJ139" i="33"/>
  <c r="Z139" i="33"/>
  <c r="AC139" i="33" s="1"/>
  <c r="Y139" i="33"/>
  <c r="AB139" i="33" s="1"/>
  <c r="X139" i="33"/>
  <c r="AA139" i="33" s="1"/>
  <c r="V139" i="33"/>
  <c r="W139" i="33" s="1"/>
  <c r="T139" i="33"/>
  <c r="U139" i="33" s="1"/>
  <c r="R139" i="33"/>
  <c r="S139" i="33" s="1"/>
  <c r="P139" i="33"/>
  <c r="L139" i="33"/>
  <c r="H139" i="33"/>
  <c r="AK138" i="33"/>
  <c r="AJ138" i="33"/>
  <c r="Z138" i="33"/>
  <c r="AC138" i="33" s="1"/>
  <c r="Y138" i="33"/>
  <c r="AB138" i="33" s="1"/>
  <c r="X138" i="33"/>
  <c r="AA138" i="33" s="1"/>
  <c r="V138" i="33"/>
  <c r="W138" i="33" s="1"/>
  <c r="T138" i="33"/>
  <c r="U138" i="33" s="1"/>
  <c r="R138" i="33"/>
  <c r="S138" i="33" s="1"/>
  <c r="P138" i="33"/>
  <c r="L138" i="33"/>
  <c r="H138" i="33"/>
  <c r="AK137" i="33"/>
  <c r="Z137" i="33"/>
  <c r="AC137" i="33" s="1"/>
  <c r="Y137" i="33"/>
  <c r="AB137" i="33" s="1"/>
  <c r="X137" i="33"/>
  <c r="AA137" i="33" s="1"/>
  <c r="V137" i="33"/>
  <c r="W137" i="33" s="1"/>
  <c r="T137" i="33"/>
  <c r="U137" i="33" s="1"/>
  <c r="R137" i="33"/>
  <c r="S137" i="33" s="1"/>
  <c r="Q137" i="33"/>
  <c r="P137" i="33"/>
  <c r="M137" i="33"/>
  <c r="L137" i="33"/>
  <c r="I137" i="33"/>
  <c r="H137" i="33"/>
  <c r="AK136" i="33"/>
  <c r="AJ136" i="33"/>
  <c r="Z136" i="33"/>
  <c r="AC136" i="33" s="1"/>
  <c r="Y136" i="33"/>
  <c r="AB136" i="33" s="1"/>
  <c r="X136" i="33"/>
  <c r="AA136" i="33" s="1"/>
  <c r="V136" i="33"/>
  <c r="W136" i="33" s="1"/>
  <c r="T136" i="33"/>
  <c r="U136" i="33" s="1"/>
  <c r="R136" i="33"/>
  <c r="S136" i="33" s="1"/>
  <c r="P136" i="33"/>
  <c r="L136" i="33"/>
  <c r="H136" i="33"/>
  <c r="AK135" i="33"/>
  <c r="AJ135" i="33"/>
  <c r="Z135" i="33"/>
  <c r="AC135" i="33" s="1"/>
  <c r="Y135" i="33"/>
  <c r="AB135" i="33" s="1"/>
  <c r="X135" i="33"/>
  <c r="AA135" i="33" s="1"/>
  <c r="V135" i="33"/>
  <c r="W135" i="33" s="1"/>
  <c r="T135" i="33"/>
  <c r="U135" i="33" s="1"/>
  <c r="R135" i="33"/>
  <c r="S135" i="33" s="1"/>
  <c r="P135" i="33"/>
  <c r="L135" i="33"/>
  <c r="H135" i="33"/>
  <c r="AK134" i="33"/>
  <c r="AJ134" i="33"/>
  <c r="Z134" i="33"/>
  <c r="AC134" i="33" s="1"/>
  <c r="Y134" i="33"/>
  <c r="AB134" i="33" s="1"/>
  <c r="X134" i="33"/>
  <c r="AA134" i="33" s="1"/>
  <c r="V134" i="33"/>
  <c r="W134" i="33" s="1"/>
  <c r="T134" i="33"/>
  <c r="U134" i="33" s="1"/>
  <c r="R134" i="33"/>
  <c r="S134" i="33" s="1"/>
  <c r="P134" i="33"/>
  <c r="L134" i="33"/>
  <c r="H134" i="33"/>
  <c r="AK133" i="33"/>
  <c r="AJ133" i="33"/>
  <c r="Z133" i="33"/>
  <c r="AC133" i="33" s="1"/>
  <c r="Y133" i="33"/>
  <c r="AB133" i="33" s="1"/>
  <c r="X133" i="33"/>
  <c r="AA133" i="33" s="1"/>
  <c r="V133" i="33"/>
  <c r="W133" i="33" s="1"/>
  <c r="T133" i="33"/>
  <c r="U133" i="33" s="1"/>
  <c r="R133" i="33"/>
  <c r="S133" i="33" s="1"/>
  <c r="P133" i="33"/>
  <c r="L133" i="33"/>
  <c r="H133" i="33"/>
  <c r="AK132" i="33"/>
  <c r="Z132" i="33"/>
  <c r="AC132" i="33" s="1"/>
  <c r="Y132" i="33"/>
  <c r="AB132" i="33" s="1"/>
  <c r="X132" i="33"/>
  <c r="AA132" i="33" s="1"/>
  <c r="V132" i="33"/>
  <c r="W132" i="33" s="1"/>
  <c r="T132" i="33"/>
  <c r="U132" i="33" s="1"/>
  <c r="R132" i="33"/>
  <c r="S132" i="33" s="1"/>
  <c r="P132" i="33"/>
  <c r="L132" i="33"/>
  <c r="H132" i="33"/>
  <c r="AK131" i="33"/>
  <c r="AJ131" i="33"/>
  <c r="Z131" i="33"/>
  <c r="AC131" i="33" s="1"/>
  <c r="Y131" i="33"/>
  <c r="AB131" i="33" s="1"/>
  <c r="X131" i="33"/>
  <c r="AA131" i="33" s="1"/>
  <c r="V131" i="33"/>
  <c r="W131" i="33" s="1"/>
  <c r="T131" i="33"/>
  <c r="U131" i="33" s="1"/>
  <c r="R131" i="33"/>
  <c r="S131" i="33" s="1"/>
  <c r="P131" i="33"/>
  <c r="L131" i="33"/>
  <c r="H131" i="33"/>
  <c r="AK130" i="33"/>
  <c r="AJ130" i="33"/>
  <c r="Z130" i="33"/>
  <c r="AC130" i="33" s="1"/>
  <c r="Y130" i="33"/>
  <c r="AB130" i="33" s="1"/>
  <c r="X130" i="33"/>
  <c r="AA130" i="33" s="1"/>
  <c r="V130" i="33"/>
  <c r="W130" i="33" s="1"/>
  <c r="T130" i="33"/>
  <c r="U130" i="33" s="1"/>
  <c r="R130" i="33"/>
  <c r="S130" i="33" s="1"/>
  <c r="P130" i="33"/>
  <c r="L130" i="33"/>
  <c r="H130" i="33"/>
  <c r="AK129" i="33"/>
  <c r="AJ129" i="33"/>
  <c r="Z129" i="33"/>
  <c r="AC129" i="33" s="1"/>
  <c r="Y129" i="33"/>
  <c r="AB129" i="33" s="1"/>
  <c r="X129" i="33"/>
  <c r="AA129" i="33" s="1"/>
  <c r="V129" i="33"/>
  <c r="W129" i="33" s="1"/>
  <c r="T129" i="33"/>
  <c r="U129" i="33" s="1"/>
  <c r="R129" i="33"/>
  <c r="S129" i="33" s="1"/>
  <c r="P129" i="33"/>
  <c r="L129" i="33"/>
  <c r="H129" i="33"/>
  <c r="AK128" i="33"/>
  <c r="Z128" i="33"/>
  <c r="AC128" i="33" s="1"/>
  <c r="Y128" i="33"/>
  <c r="AB128" i="33" s="1"/>
  <c r="X128" i="33"/>
  <c r="AA128" i="33" s="1"/>
  <c r="V128" i="33"/>
  <c r="W128" i="33" s="1"/>
  <c r="T128" i="33"/>
  <c r="U128" i="33" s="1"/>
  <c r="R128" i="33"/>
  <c r="S128" i="33" s="1"/>
  <c r="P128" i="33"/>
  <c r="L128" i="33"/>
  <c r="H128" i="33"/>
  <c r="AK127" i="33"/>
  <c r="AJ127" i="33"/>
  <c r="Z127" i="33"/>
  <c r="AC127" i="33" s="1"/>
  <c r="Y127" i="33"/>
  <c r="AB127" i="33" s="1"/>
  <c r="X127" i="33"/>
  <c r="AA127" i="33" s="1"/>
  <c r="V127" i="33"/>
  <c r="W127" i="33" s="1"/>
  <c r="T127" i="33"/>
  <c r="U127" i="33" s="1"/>
  <c r="R127" i="33"/>
  <c r="S127" i="33" s="1"/>
  <c r="P127" i="33"/>
  <c r="L127" i="33"/>
  <c r="H127" i="33"/>
  <c r="AK126" i="33"/>
  <c r="AJ126" i="33"/>
  <c r="Z126" i="33"/>
  <c r="AC126" i="33" s="1"/>
  <c r="Y126" i="33"/>
  <c r="AB126" i="33" s="1"/>
  <c r="X126" i="33"/>
  <c r="AA126" i="33" s="1"/>
  <c r="V126" i="33"/>
  <c r="W126" i="33" s="1"/>
  <c r="T126" i="33"/>
  <c r="U126" i="33" s="1"/>
  <c r="R126" i="33"/>
  <c r="S126" i="33" s="1"/>
  <c r="P126" i="33"/>
  <c r="L126" i="33"/>
  <c r="H126" i="33"/>
  <c r="AK125" i="33"/>
  <c r="AJ125" i="33"/>
  <c r="Z125" i="33"/>
  <c r="AC125" i="33" s="1"/>
  <c r="Y125" i="33"/>
  <c r="AB125" i="33" s="1"/>
  <c r="X125" i="33"/>
  <c r="AA125" i="33" s="1"/>
  <c r="V125" i="33"/>
  <c r="W125" i="33" s="1"/>
  <c r="T125" i="33"/>
  <c r="U125" i="33" s="1"/>
  <c r="R125" i="33"/>
  <c r="S125" i="33" s="1"/>
  <c r="P125" i="33"/>
  <c r="L125" i="33"/>
  <c r="H125" i="33"/>
  <c r="AK124" i="33"/>
  <c r="Z124" i="33"/>
  <c r="AC124" i="33" s="1"/>
  <c r="Y124" i="33"/>
  <c r="AB124" i="33" s="1"/>
  <c r="X124" i="33"/>
  <c r="AA124" i="33" s="1"/>
  <c r="V124" i="33"/>
  <c r="W124" i="33" s="1"/>
  <c r="T124" i="33"/>
  <c r="U124" i="33" s="1"/>
  <c r="R124" i="33"/>
  <c r="S124" i="33" s="1"/>
  <c r="P124" i="33"/>
  <c r="L124" i="33"/>
  <c r="H124" i="33"/>
  <c r="AK123" i="33"/>
  <c r="AJ123" i="33"/>
  <c r="Z123" i="33"/>
  <c r="AC123" i="33" s="1"/>
  <c r="Y123" i="33"/>
  <c r="AB123" i="33" s="1"/>
  <c r="X123" i="33"/>
  <c r="AA123" i="33" s="1"/>
  <c r="V123" i="33"/>
  <c r="W123" i="33" s="1"/>
  <c r="T123" i="33"/>
  <c r="U123" i="33" s="1"/>
  <c r="R123" i="33"/>
  <c r="S123" i="33" s="1"/>
  <c r="P123" i="33"/>
  <c r="L123" i="33"/>
  <c r="H123" i="33"/>
  <c r="AK122" i="33"/>
  <c r="AJ122" i="33"/>
  <c r="Z122" i="33"/>
  <c r="AC122" i="33" s="1"/>
  <c r="Y122" i="33"/>
  <c r="AB122" i="33" s="1"/>
  <c r="X122" i="33"/>
  <c r="AA122" i="33" s="1"/>
  <c r="V122" i="33"/>
  <c r="W122" i="33" s="1"/>
  <c r="T122" i="33"/>
  <c r="U122" i="33" s="1"/>
  <c r="R122" i="33"/>
  <c r="S122" i="33" s="1"/>
  <c r="P122" i="33"/>
  <c r="L122" i="33"/>
  <c r="H122" i="33"/>
  <c r="AK121" i="33"/>
  <c r="AJ121" i="33"/>
  <c r="Z121" i="33"/>
  <c r="AC121" i="33" s="1"/>
  <c r="Y121" i="33"/>
  <c r="AB121" i="33" s="1"/>
  <c r="X121" i="33"/>
  <c r="AA121" i="33" s="1"/>
  <c r="V121" i="33"/>
  <c r="W121" i="33" s="1"/>
  <c r="T121" i="33"/>
  <c r="U121" i="33" s="1"/>
  <c r="R121" i="33"/>
  <c r="S121" i="33" s="1"/>
  <c r="P121" i="33"/>
  <c r="L121" i="33"/>
  <c r="H121" i="33"/>
  <c r="AK120" i="33"/>
  <c r="AJ120" i="33"/>
  <c r="Z120" i="33"/>
  <c r="AC120" i="33" s="1"/>
  <c r="Y120" i="33"/>
  <c r="AB120" i="33" s="1"/>
  <c r="X120" i="33"/>
  <c r="AA120" i="33" s="1"/>
  <c r="V120" i="33"/>
  <c r="W120" i="33" s="1"/>
  <c r="T120" i="33"/>
  <c r="U120" i="33" s="1"/>
  <c r="R120" i="33"/>
  <c r="S120" i="33" s="1"/>
  <c r="P120" i="33"/>
  <c r="L120" i="33"/>
  <c r="H120" i="33"/>
  <c r="AK119" i="33"/>
  <c r="AJ119" i="33"/>
  <c r="Z119" i="33"/>
  <c r="AC119" i="33" s="1"/>
  <c r="Y119" i="33"/>
  <c r="AB119" i="33" s="1"/>
  <c r="X119" i="33"/>
  <c r="AA119" i="33" s="1"/>
  <c r="V119" i="33"/>
  <c r="W119" i="33" s="1"/>
  <c r="T119" i="33"/>
  <c r="U119" i="33" s="1"/>
  <c r="R119" i="33"/>
  <c r="S119" i="33" s="1"/>
  <c r="P119" i="33"/>
  <c r="L119" i="33"/>
  <c r="H119" i="33"/>
  <c r="AK118" i="33"/>
  <c r="AJ118" i="33"/>
  <c r="Z118" i="33"/>
  <c r="AC118" i="33" s="1"/>
  <c r="Y118" i="33"/>
  <c r="AB118" i="33" s="1"/>
  <c r="X118" i="33"/>
  <c r="AA118" i="33" s="1"/>
  <c r="V118" i="33"/>
  <c r="W118" i="33" s="1"/>
  <c r="T118" i="33"/>
  <c r="U118" i="33" s="1"/>
  <c r="R118" i="33"/>
  <c r="S118" i="33" s="1"/>
  <c r="P118" i="33"/>
  <c r="L118" i="33"/>
  <c r="H118" i="33"/>
  <c r="AK117" i="33"/>
  <c r="AJ117" i="33"/>
  <c r="Z117" i="33"/>
  <c r="AC117" i="33" s="1"/>
  <c r="Y117" i="33"/>
  <c r="AB117" i="33" s="1"/>
  <c r="X117" i="33"/>
  <c r="AA117" i="33" s="1"/>
  <c r="V117" i="33"/>
  <c r="W117" i="33" s="1"/>
  <c r="T117" i="33"/>
  <c r="U117" i="33" s="1"/>
  <c r="R117" i="33"/>
  <c r="S117" i="33" s="1"/>
  <c r="P117" i="33"/>
  <c r="L117" i="33"/>
  <c r="H117" i="33"/>
  <c r="AK116" i="33"/>
  <c r="AJ116" i="33"/>
  <c r="Z116" i="33"/>
  <c r="AC116" i="33" s="1"/>
  <c r="Y116" i="33"/>
  <c r="AB116" i="33" s="1"/>
  <c r="X116" i="33"/>
  <c r="AA116" i="33" s="1"/>
  <c r="V116" i="33"/>
  <c r="W116" i="33" s="1"/>
  <c r="T116" i="33"/>
  <c r="U116" i="33" s="1"/>
  <c r="R116" i="33"/>
  <c r="S116" i="33" s="1"/>
  <c r="P116" i="33"/>
  <c r="L116" i="33"/>
  <c r="H116" i="33"/>
  <c r="AK115" i="33"/>
  <c r="AJ115" i="33"/>
  <c r="Z115" i="33"/>
  <c r="AC115" i="33" s="1"/>
  <c r="Y115" i="33"/>
  <c r="AB115" i="33" s="1"/>
  <c r="X115" i="33"/>
  <c r="AA115" i="33" s="1"/>
  <c r="V115" i="33"/>
  <c r="W115" i="33" s="1"/>
  <c r="T115" i="33"/>
  <c r="U115" i="33" s="1"/>
  <c r="R115" i="33"/>
  <c r="S115" i="33" s="1"/>
  <c r="P115" i="33"/>
  <c r="L115" i="33"/>
  <c r="H115" i="33"/>
  <c r="AK114" i="33"/>
  <c r="AJ114" i="33"/>
  <c r="Z114" i="33"/>
  <c r="AC114" i="33" s="1"/>
  <c r="Y114" i="33"/>
  <c r="AB114" i="33" s="1"/>
  <c r="X114" i="33"/>
  <c r="AA114" i="33" s="1"/>
  <c r="V114" i="33"/>
  <c r="W114" i="33" s="1"/>
  <c r="T114" i="33"/>
  <c r="U114" i="33" s="1"/>
  <c r="R114" i="33"/>
  <c r="S114" i="33" s="1"/>
  <c r="P114" i="33"/>
  <c r="L114" i="33"/>
  <c r="H114" i="33"/>
  <c r="AK113" i="33"/>
  <c r="AJ113" i="33"/>
  <c r="Z113" i="33"/>
  <c r="AC113" i="33" s="1"/>
  <c r="Y113" i="33"/>
  <c r="AB113" i="33" s="1"/>
  <c r="X113" i="33"/>
  <c r="AA113" i="33" s="1"/>
  <c r="V113" i="33"/>
  <c r="W113" i="33" s="1"/>
  <c r="T113" i="33"/>
  <c r="U113" i="33" s="1"/>
  <c r="R113" i="33"/>
  <c r="S113" i="33" s="1"/>
  <c r="P113" i="33"/>
  <c r="L113" i="33"/>
  <c r="H113" i="33"/>
  <c r="AK112" i="33"/>
  <c r="AJ112" i="33"/>
  <c r="Z112" i="33"/>
  <c r="AC112" i="33" s="1"/>
  <c r="Y112" i="33"/>
  <c r="AB112" i="33" s="1"/>
  <c r="X112" i="33"/>
  <c r="AA112" i="33" s="1"/>
  <c r="V112" i="33"/>
  <c r="W112" i="33" s="1"/>
  <c r="T112" i="33"/>
  <c r="U112" i="33" s="1"/>
  <c r="R112" i="33"/>
  <c r="S112" i="33" s="1"/>
  <c r="P112" i="33"/>
  <c r="L112" i="33"/>
  <c r="H112" i="33"/>
  <c r="AK111" i="33"/>
  <c r="Z111" i="33"/>
  <c r="AC111" i="33" s="1"/>
  <c r="Y111" i="33"/>
  <c r="AB111" i="33" s="1"/>
  <c r="X111" i="33"/>
  <c r="AA111" i="33" s="1"/>
  <c r="V111" i="33"/>
  <c r="W111" i="33" s="1"/>
  <c r="T111" i="33"/>
  <c r="U111" i="33" s="1"/>
  <c r="R111" i="33"/>
  <c r="S111" i="33" s="1"/>
  <c r="P111" i="33"/>
  <c r="L111" i="33"/>
  <c r="H111" i="33"/>
  <c r="AK110" i="33"/>
  <c r="AJ110" i="33"/>
  <c r="Z110" i="33"/>
  <c r="AC110" i="33" s="1"/>
  <c r="Y110" i="33"/>
  <c r="AB110" i="33" s="1"/>
  <c r="X110" i="33"/>
  <c r="AA110" i="33" s="1"/>
  <c r="V110" i="33"/>
  <c r="W110" i="33" s="1"/>
  <c r="T110" i="33"/>
  <c r="U110" i="33" s="1"/>
  <c r="R110" i="33"/>
  <c r="S110" i="33" s="1"/>
  <c r="P110" i="33"/>
  <c r="L110" i="33"/>
  <c r="H110" i="33"/>
  <c r="AK109" i="33"/>
  <c r="AJ109" i="33"/>
  <c r="Z109" i="33"/>
  <c r="AC109" i="33" s="1"/>
  <c r="Y109" i="33"/>
  <c r="AB109" i="33" s="1"/>
  <c r="X109" i="33"/>
  <c r="AA109" i="33" s="1"/>
  <c r="V109" i="33"/>
  <c r="W109" i="33" s="1"/>
  <c r="T109" i="33"/>
  <c r="U109" i="33" s="1"/>
  <c r="R109" i="33"/>
  <c r="S109" i="33" s="1"/>
  <c r="P109" i="33"/>
  <c r="L109" i="33"/>
  <c r="H109" i="33"/>
  <c r="AK108" i="33"/>
  <c r="AJ108" i="33"/>
  <c r="Z108" i="33"/>
  <c r="AC108" i="33" s="1"/>
  <c r="Y108" i="33"/>
  <c r="AB108" i="33" s="1"/>
  <c r="X108" i="33"/>
  <c r="AA108" i="33" s="1"/>
  <c r="V108" i="33"/>
  <c r="W108" i="33" s="1"/>
  <c r="T108" i="33"/>
  <c r="U108" i="33" s="1"/>
  <c r="R108" i="33"/>
  <c r="S108" i="33" s="1"/>
  <c r="P108" i="33"/>
  <c r="L108" i="33"/>
  <c r="H108" i="33"/>
  <c r="AK107" i="33"/>
  <c r="AJ107" i="33"/>
  <c r="Z107" i="33"/>
  <c r="AC107" i="33" s="1"/>
  <c r="Y107" i="33"/>
  <c r="AB107" i="33" s="1"/>
  <c r="X107" i="33"/>
  <c r="AA107" i="33" s="1"/>
  <c r="V107" i="33"/>
  <c r="W107" i="33" s="1"/>
  <c r="T107" i="33"/>
  <c r="U107" i="33" s="1"/>
  <c r="R107" i="33"/>
  <c r="S107" i="33" s="1"/>
  <c r="P107" i="33"/>
  <c r="L107" i="33"/>
  <c r="H107" i="33"/>
  <c r="AK106" i="33"/>
  <c r="AJ106" i="33"/>
  <c r="Z106" i="33"/>
  <c r="AC106" i="33" s="1"/>
  <c r="Y106" i="33"/>
  <c r="AB106" i="33" s="1"/>
  <c r="X106" i="33"/>
  <c r="AA106" i="33" s="1"/>
  <c r="V106" i="33"/>
  <c r="W106" i="33" s="1"/>
  <c r="T106" i="33"/>
  <c r="U106" i="33" s="1"/>
  <c r="R106" i="33"/>
  <c r="S106" i="33" s="1"/>
  <c r="P106" i="33"/>
  <c r="L106" i="33"/>
  <c r="H106" i="33"/>
  <c r="AK105" i="33"/>
  <c r="AJ105" i="33"/>
  <c r="Z105" i="33"/>
  <c r="AC105" i="33" s="1"/>
  <c r="Y105" i="33"/>
  <c r="AB105" i="33" s="1"/>
  <c r="X105" i="33"/>
  <c r="AA105" i="33" s="1"/>
  <c r="V105" i="33"/>
  <c r="W105" i="33" s="1"/>
  <c r="T105" i="33"/>
  <c r="U105" i="33" s="1"/>
  <c r="R105" i="33"/>
  <c r="S105" i="33" s="1"/>
  <c r="P105" i="33"/>
  <c r="L105" i="33"/>
  <c r="H105" i="33"/>
  <c r="AK104" i="33"/>
  <c r="AJ104" i="33"/>
  <c r="Z104" i="33"/>
  <c r="AC104" i="33" s="1"/>
  <c r="Y104" i="33"/>
  <c r="AB104" i="33" s="1"/>
  <c r="X104" i="33"/>
  <c r="AA104" i="33" s="1"/>
  <c r="V104" i="33"/>
  <c r="W104" i="33" s="1"/>
  <c r="T104" i="33"/>
  <c r="U104" i="33" s="1"/>
  <c r="R104" i="33"/>
  <c r="S104" i="33" s="1"/>
  <c r="P104" i="33"/>
  <c r="L104" i="33"/>
  <c r="H104" i="33"/>
  <c r="AK103" i="33"/>
  <c r="AJ103" i="33"/>
  <c r="Z103" i="33"/>
  <c r="AC103" i="33" s="1"/>
  <c r="Y103" i="33"/>
  <c r="AB103" i="33" s="1"/>
  <c r="X103" i="33"/>
  <c r="AA103" i="33" s="1"/>
  <c r="V103" i="33"/>
  <c r="W103" i="33" s="1"/>
  <c r="T103" i="33"/>
  <c r="U103" i="33" s="1"/>
  <c r="R103" i="33"/>
  <c r="S103" i="33" s="1"/>
  <c r="P103" i="33"/>
  <c r="L103" i="33"/>
  <c r="H103" i="33"/>
  <c r="AJ102" i="33"/>
  <c r="Z102" i="33"/>
  <c r="AC102" i="33" s="1"/>
  <c r="Y102" i="33"/>
  <c r="AB102" i="33" s="1"/>
  <c r="X102" i="33"/>
  <c r="AA102" i="33" s="1"/>
  <c r="V102" i="33"/>
  <c r="W102" i="33" s="1"/>
  <c r="T102" i="33"/>
  <c r="U102" i="33" s="1"/>
  <c r="R102" i="33"/>
  <c r="S102" i="33" s="1"/>
  <c r="P102" i="33"/>
  <c r="L102" i="33"/>
  <c r="H102" i="33"/>
  <c r="AK101" i="33"/>
  <c r="AJ101" i="33"/>
  <c r="Z101" i="33"/>
  <c r="AC101" i="33" s="1"/>
  <c r="Y101" i="33"/>
  <c r="AB101" i="33" s="1"/>
  <c r="X101" i="33"/>
  <c r="AA101" i="33" s="1"/>
  <c r="V101" i="33"/>
  <c r="W101" i="33" s="1"/>
  <c r="T101" i="33"/>
  <c r="U101" i="33" s="1"/>
  <c r="R101" i="33"/>
  <c r="S101" i="33" s="1"/>
  <c r="P101" i="33"/>
  <c r="L101" i="33"/>
  <c r="H101" i="33"/>
  <c r="AK100" i="33"/>
  <c r="AJ100" i="33"/>
  <c r="Z100" i="33"/>
  <c r="AC100" i="33" s="1"/>
  <c r="Y100" i="33"/>
  <c r="AB100" i="33" s="1"/>
  <c r="X100" i="33"/>
  <c r="AA100" i="33" s="1"/>
  <c r="V100" i="33"/>
  <c r="W100" i="33" s="1"/>
  <c r="T100" i="33"/>
  <c r="U100" i="33" s="1"/>
  <c r="R100" i="33"/>
  <c r="S100" i="33" s="1"/>
  <c r="P100" i="33"/>
  <c r="L100" i="33"/>
  <c r="H100" i="33"/>
  <c r="AK99" i="33"/>
  <c r="AJ99" i="33"/>
  <c r="Z99" i="33"/>
  <c r="AC99" i="33" s="1"/>
  <c r="Y99" i="33"/>
  <c r="AB99" i="33" s="1"/>
  <c r="X99" i="33"/>
  <c r="AA99" i="33" s="1"/>
  <c r="V99" i="33"/>
  <c r="W99" i="33" s="1"/>
  <c r="T99" i="33"/>
  <c r="U99" i="33" s="1"/>
  <c r="R99" i="33"/>
  <c r="S99" i="33" s="1"/>
  <c r="P99" i="33"/>
  <c r="L99" i="33"/>
  <c r="H99" i="33"/>
  <c r="AK98" i="33"/>
  <c r="AJ98" i="33"/>
  <c r="Z98" i="33"/>
  <c r="AC98" i="33" s="1"/>
  <c r="Y98" i="33"/>
  <c r="AB98" i="33" s="1"/>
  <c r="X98" i="33"/>
  <c r="AA98" i="33" s="1"/>
  <c r="V98" i="33"/>
  <c r="W98" i="33" s="1"/>
  <c r="T98" i="33"/>
  <c r="U98" i="33" s="1"/>
  <c r="R98" i="33"/>
  <c r="S98" i="33" s="1"/>
  <c r="P98" i="33"/>
  <c r="L98" i="33"/>
  <c r="H98" i="33"/>
  <c r="AK97" i="33"/>
  <c r="AJ97" i="33"/>
  <c r="Z97" i="33"/>
  <c r="AC97" i="33" s="1"/>
  <c r="Y97" i="33"/>
  <c r="AB97" i="33" s="1"/>
  <c r="X97" i="33"/>
  <c r="AA97" i="33" s="1"/>
  <c r="V97" i="33"/>
  <c r="W97" i="33" s="1"/>
  <c r="T97" i="33"/>
  <c r="U97" i="33" s="1"/>
  <c r="R97" i="33"/>
  <c r="S97" i="33" s="1"/>
  <c r="P97" i="33"/>
  <c r="L97" i="33"/>
  <c r="H97" i="33"/>
  <c r="AK96" i="33"/>
  <c r="AJ96" i="33"/>
  <c r="Z96" i="33"/>
  <c r="AC96" i="33" s="1"/>
  <c r="Y96" i="33"/>
  <c r="AB96" i="33" s="1"/>
  <c r="X96" i="33"/>
  <c r="AA96" i="33" s="1"/>
  <c r="V96" i="33"/>
  <c r="W96" i="33" s="1"/>
  <c r="T96" i="33"/>
  <c r="U96" i="33" s="1"/>
  <c r="R96" i="33"/>
  <c r="S96" i="33" s="1"/>
  <c r="P96" i="33"/>
  <c r="L96" i="33"/>
  <c r="H96" i="33"/>
  <c r="AK95" i="33"/>
  <c r="AJ95" i="33"/>
  <c r="Z95" i="33"/>
  <c r="AC95" i="33" s="1"/>
  <c r="Y95" i="33"/>
  <c r="AB95" i="33" s="1"/>
  <c r="X95" i="33"/>
  <c r="AA95" i="33" s="1"/>
  <c r="V95" i="33"/>
  <c r="W95" i="33" s="1"/>
  <c r="T95" i="33"/>
  <c r="U95" i="33" s="1"/>
  <c r="R95" i="33"/>
  <c r="S95" i="33" s="1"/>
  <c r="P95" i="33"/>
  <c r="L95" i="33"/>
  <c r="H95" i="33"/>
  <c r="AK94" i="33"/>
  <c r="AJ94" i="33"/>
  <c r="Z94" i="33"/>
  <c r="AC94" i="33" s="1"/>
  <c r="Y94" i="33"/>
  <c r="AB94" i="33" s="1"/>
  <c r="X94" i="33"/>
  <c r="AA94" i="33" s="1"/>
  <c r="V94" i="33"/>
  <c r="W94" i="33" s="1"/>
  <c r="T94" i="33"/>
  <c r="U94" i="33" s="1"/>
  <c r="R94" i="33"/>
  <c r="S94" i="33" s="1"/>
  <c r="P94" i="33"/>
  <c r="L94" i="33"/>
  <c r="H94" i="33"/>
  <c r="AK93" i="33"/>
  <c r="AJ93" i="33"/>
  <c r="Z93" i="33"/>
  <c r="AC93" i="33" s="1"/>
  <c r="Y93" i="33"/>
  <c r="AB93" i="33" s="1"/>
  <c r="X93" i="33"/>
  <c r="AA93" i="33" s="1"/>
  <c r="V93" i="33"/>
  <c r="W93" i="33" s="1"/>
  <c r="T93" i="33"/>
  <c r="U93" i="33" s="1"/>
  <c r="R93" i="33"/>
  <c r="S93" i="33" s="1"/>
  <c r="P93" i="33"/>
  <c r="L93" i="33"/>
  <c r="H93" i="33"/>
  <c r="AK92" i="33"/>
  <c r="AJ92" i="33"/>
  <c r="Z92" i="33"/>
  <c r="AC92" i="33" s="1"/>
  <c r="Y92" i="33"/>
  <c r="AB92" i="33" s="1"/>
  <c r="X92" i="33"/>
  <c r="AA92" i="33" s="1"/>
  <c r="V92" i="33"/>
  <c r="W92" i="33" s="1"/>
  <c r="T92" i="33"/>
  <c r="U92" i="33" s="1"/>
  <c r="R92" i="33"/>
  <c r="S92" i="33" s="1"/>
  <c r="P92" i="33"/>
  <c r="L92" i="33"/>
  <c r="H92" i="33"/>
  <c r="AK91" i="33"/>
  <c r="AJ91" i="33"/>
  <c r="Z91" i="33"/>
  <c r="AC91" i="33" s="1"/>
  <c r="Y91" i="33"/>
  <c r="AB91" i="33" s="1"/>
  <c r="X91" i="33"/>
  <c r="AA91" i="33" s="1"/>
  <c r="V91" i="33"/>
  <c r="W91" i="33" s="1"/>
  <c r="T91" i="33"/>
  <c r="U91" i="33" s="1"/>
  <c r="R91" i="33"/>
  <c r="S91" i="33" s="1"/>
  <c r="P91" i="33"/>
  <c r="L91" i="33"/>
  <c r="H91" i="33"/>
  <c r="AK90" i="33"/>
  <c r="AJ90" i="33"/>
  <c r="Z90" i="33"/>
  <c r="AC90" i="33" s="1"/>
  <c r="Y90" i="33"/>
  <c r="AB90" i="33" s="1"/>
  <c r="X90" i="33"/>
  <c r="AA90" i="33" s="1"/>
  <c r="V90" i="33"/>
  <c r="W90" i="33" s="1"/>
  <c r="T90" i="33"/>
  <c r="U90" i="33" s="1"/>
  <c r="R90" i="33"/>
  <c r="S90" i="33" s="1"/>
  <c r="P90" i="33"/>
  <c r="L90" i="33"/>
  <c r="H90" i="33"/>
  <c r="AK89" i="33"/>
  <c r="AJ89" i="33"/>
  <c r="Z89" i="33"/>
  <c r="AC89" i="33" s="1"/>
  <c r="Y89" i="33"/>
  <c r="AB89" i="33" s="1"/>
  <c r="X89" i="33"/>
  <c r="AA89" i="33" s="1"/>
  <c r="V89" i="33"/>
  <c r="W89" i="33" s="1"/>
  <c r="T89" i="33"/>
  <c r="U89" i="33" s="1"/>
  <c r="R89" i="33"/>
  <c r="S89" i="33" s="1"/>
  <c r="P89" i="33"/>
  <c r="L89" i="33"/>
  <c r="H89" i="33"/>
  <c r="AK88" i="33"/>
  <c r="AJ88" i="33"/>
  <c r="Z88" i="33"/>
  <c r="AC88" i="33" s="1"/>
  <c r="Y88" i="33"/>
  <c r="AB88" i="33" s="1"/>
  <c r="X88" i="33"/>
  <c r="AA88" i="33" s="1"/>
  <c r="V88" i="33"/>
  <c r="W88" i="33" s="1"/>
  <c r="T88" i="33"/>
  <c r="U88" i="33" s="1"/>
  <c r="R88" i="33"/>
  <c r="S88" i="33" s="1"/>
  <c r="P88" i="33"/>
  <c r="L88" i="33"/>
  <c r="H88" i="33"/>
  <c r="AK87" i="33"/>
  <c r="AJ87" i="33"/>
  <c r="Z87" i="33"/>
  <c r="AC87" i="33" s="1"/>
  <c r="Y87" i="33"/>
  <c r="AB87" i="33" s="1"/>
  <c r="X87" i="33"/>
  <c r="AA87" i="33" s="1"/>
  <c r="V87" i="33"/>
  <c r="W87" i="33" s="1"/>
  <c r="T87" i="33"/>
  <c r="U87" i="33" s="1"/>
  <c r="R87" i="33"/>
  <c r="S87" i="33" s="1"/>
  <c r="P87" i="33"/>
  <c r="L87" i="33"/>
  <c r="H87" i="33"/>
  <c r="AK86" i="33"/>
  <c r="Z86" i="33"/>
  <c r="AC86" i="33" s="1"/>
  <c r="Y86" i="33"/>
  <c r="AB86" i="33" s="1"/>
  <c r="X86" i="33"/>
  <c r="AA86" i="33" s="1"/>
  <c r="V86" i="33"/>
  <c r="W86" i="33" s="1"/>
  <c r="T86" i="33"/>
  <c r="U86" i="33" s="1"/>
  <c r="R86" i="33"/>
  <c r="S86" i="33" s="1"/>
  <c r="P86" i="33"/>
  <c r="L86" i="33"/>
  <c r="H86" i="33"/>
  <c r="AK85" i="33"/>
  <c r="Z85" i="33"/>
  <c r="AC85" i="33" s="1"/>
  <c r="Y85" i="33"/>
  <c r="AB85" i="33" s="1"/>
  <c r="X85" i="33"/>
  <c r="AA85" i="33" s="1"/>
  <c r="V85" i="33"/>
  <c r="W85" i="33" s="1"/>
  <c r="T85" i="33"/>
  <c r="U85" i="33" s="1"/>
  <c r="R85" i="33"/>
  <c r="S85" i="33" s="1"/>
  <c r="P85" i="33"/>
  <c r="L85" i="33"/>
  <c r="H85" i="33"/>
  <c r="AK84" i="33"/>
  <c r="Z84" i="33"/>
  <c r="AC84" i="33" s="1"/>
  <c r="Y84" i="33"/>
  <c r="AB84" i="33" s="1"/>
  <c r="X84" i="33"/>
  <c r="AA84" i="33" s="1"/>
  <c r="V84" i="33"/>
  <c r="W84" i="33" s="1"/>
  <c r="T84" i="33"/>
  <c r="U84" i="33" s="1"/>
  <c r="R84" i="33"/>
  <c r="S84" i="33" s="1"/>
  <c r="P84" i="33"/>
  <c r="L84" i="33"/>
  <c r="H84" i="33"/>
  <c r="AK83" i="33"/>
  <c r="Z83" i="33"/>
  <c r="AC83" i="33" s="1"/>
  <c r="Y83" i="33"/>
  <c r="AB83" i="33" s="1"/>
  <c r="X83" i="33"/>
  <c r="AA83" i="33" s="1"/>
  <c r="V83" i="33"/>
  <c r="W83" i="33" s="1"/>
  <c r="T83" i="33"/>
  <c r="U83" i="33" s="1"/>
  <c r="R83" i="33"/>
  <c r="S83" i="33" s="1"/>
  <c r="P83" i="33"/>
  <c r="L83" i="33"/>
  <c r="H83" i="33"/>
  <c r="AK82" i="33"/>
  <c r="Z82" i="33"/>
  <c r="AC82" i="33" s="1"/>
  <c r="Y82" i="33"/>
  <c r="AB82" i="33" s="1"/>
  <c r="X82" i="33"/>
  <c r="AA82" i="33" s="1"/>
  <c r="V82" i="33"/>
  <c r="W82" i="33" s="1"/>
  <c r="T82" i="33"/>
  <c r="U82" i="33" s="1"/>
  <c r="R82" i="33"/>
  <c r="S82" i="33" s="1"/>
  <c r="P82" i="33"/>
  <c r="L82" i="33"/>
  <c r="H82" i="33"/>
  <c r="AK81" i="33"/>
  <c r="Z81" i="33"/>
  <c r="AC81" i="33" s="1"/>
  <c r="Y81" i="33"/>
  <c r="AB81" i="33" s="1"/>
  <c r="X81" i="33"/>
  <c r="AA81" i="33" s="1"/>
  <c r="V81" i="33"/>
  <c r="W81" i="33" s="1"/>
  <c r="T81" i="33"/>
  <c r="U81" i="33" s="1"/>
  <c r="R81" i="33"/>
  <c r="S81" i="33" s="1"/>
  <c r="P81" i="33"/>
  <c r="L81" i="33"/>
  <c r="H81" i="33"/>
  <c r="AK80" i="33"/>
  <c r="Z80" i="33"/>
  <c r="AC80" i="33" s="1"/>
  <c r="Y80" i="33"/>
  <c r="AB80" i="33" s="1"/>
  <c r="X80" i="33"/>
  <c r="AA80" i="33" s="1"/>
  <c r="V80" i="33"/>
  <c r="W80" i="33" s="1"/>
  <c r="T80" i="33"/>
  <c r="U80" i="33" s="1"/>
  <c r="R80" i="33"/>
  <c r="S80" i="33" s="1"/>
  <c r="P80" i="33"/>
  <c r="L80" i="33"/>
  <c r="H80" i="33"/>
  <c r="AK79" i="33"/>
  <c r="Z79" i="33"/>
  <c r="AC79" i="33" s="1"/>
  <c r="Y79" i="33"/>
  <c r="AB79" i="33" s="1"/>
  <c r="X79" i="33"/>
  <c r="AA79" i="33" s="1"/>
  <c r="V79" i="33"/>
  <c r="W79" i="33" s="1"/>
  <c r="T79" i="33"/>
  <c r="U79" i="33" s="1"/>
  <c r="R79" i="33"/>
  <c r="S79" i="33" s="1"/>
  <c r="P79" i="33"/>
  <c r="L79" i="33"/>
  <c r="H79" i="33"/>
  <c r="AK78" i="33"/>
  <c r="AJ78" i="33"/>
  <c r="Z78" i="33"/>
  <c r="AC78" i="33" s="1"/>
  <c r="Y78" i="33"/>
  <c r="AB78" i="33" s="1"/>
  <c r="X78" i="33"/>
  <c r="AA78" i="33" s="1"/>
  <c r="V78" i="33"/>
  <c r="W78" i="33" s="1"/>
  <c r="T78" i="33"/>
  <c r="U78" i="33" s="1"/>
  <c r="R78" i="33"/>
  <c r="S78" i="33" s="1"/>
  <c r="P78" i="33"/>
  <c r="L78" i="33"/>
  <c r="H78" i="33"/>
  <c r="AK77" i="33"/>
  <c r="AJ77" i="33"/>
  <c r="Z77" i="33"/>
  <c r="AC77" i="33" s="1"/>
  <c r="Y77" i="33"/>
  <c r="AB77" i="33" s="1"/>
  <c r="X77" i="33"/>
  <c r="AA77" i="33" s="1"/>
  <c r="V77" i="33"/>
  <c r="W77" i="33" s="1"/>
  <c r="T77" i="33"/>
  <c r="U77" i="33" s="1"/>
  <c r="R77" i="33"/>
  <c r="S77" i="33" s="1"/>
  <c r="P77" i="33"/>
  <c r="L77" i="33"/>
  <c r="H77" i="33"/>
  <c r="AK76" i="33"/>
  <c r="AJ76" i="33"/>
  <c r="Z76" i="33"/>
  <c r="AC76" i="33" s="1"/>
  <c r="Y76" i="33"/>
  <c r="AB76" i="33" s="1"/>
  <c r="X76" i="33"/>
  <c r="AA76" i="33" s="1"/>
  <c r="V76" i="33"/>
  <c r="W76" i="33" s="1"/>
  <c r="T76" i="33"/>
  <c r="U76" i="33" s="1"/>
  <c r="R76" i="33"/>
  <c r="S76" i="33" s="1"/>
  <c r="P76" i="33"/>
  <c r="L76" i="33"/>
  <c r="H76" i="33"/>
  <c r="AK75" i="33"/>
  <c r="AJ75" i="33"/>
  <c r="Z75" i="33"/>
  <c r="AC75" i="33" s="1"/>
  <c r="Y75" i="33"/>
  <c r="AB75" i="33" s="1"/>
  <c r="X75" i="33"/>
  <c r="AA75" i="33" s="1"/>
  <c r="V75" i="33"/>
  <c r="W75" i="33" s="1"/>
  <c r="T75" i="33"/>
  <c r="U75" i="33" s="1"/>
  <c r="R75" i="33"/>
  <c r="S75" i="33" s="1"/>
  <c r="P75" i="33"/>
  <c r="L75" i="33"/>
  <c r="H75" i="33"/>
  <c r="AK74" i="33"/>
  <c r="AJ74" i="33"/>
  <c r="Z74" i="33"/>
  <c r="AC74" i="33" s="1"/>
  <c r="Y74" i="33"/>
  <c r="AB74" i="33" s="1"/>
  <c r="X74" i="33"/>
  <c r="AA74" i="33" s="1"/>
  <c r="V74" i="33"/>
  <c r="W74" i="33" s="1"/>
  <c r="T74" i="33"/>
  <c r="U74" i="33" s="1"/>
  <c r="R74" i="33"/>
  <c r="S74" i="33" s="1"/>
  <c r="P74" i="33"/>
  <c r="L74" i="33"/>
  <c r="H74" i="33"/>
  <c r="AK73" i="33"/>
  <c r="AJ73" i="33"/>
  <c r="Z73" i="33"/>
  <c r="AC73" i="33" s="1"/>
  <c r="Y73" i="33"/>
  <c r="AB73" i="33" s="1"/>
  <c r="X73" i="33"/>
  <c r="AA73" i="33" s="1"/>
  <c r="V73" i="33"/>
  <c r="W73" i="33" s="1"/>
  <c r="T73" i="33"/>
  <c r="U73" i="33" s="1"/>
  <c r="R73" i="33"/>
  <c r="S73" i="33" s="1"/>
  <c r="P73" i="33"/>
  <c r="L73" i="33"/>
  <c r="H73" i="33"/>
  <c r="AK72" i="33"/>
  <c r="AJ72" i="33"/>
  <c r="Z72" i="33"/>
  <c r="AC72" i="33" s="1"/>
  <c r="Y72" i="33"/>
  <c r="AB72" i="33" s="1"/>
  <c r="X72" i="33"/>
  <c r="AA72" i="33" s="1"/>
  <c r="V72" i="33"/>
  <c r="W72" i="33" s="1"/>
  <c r="T72" i="33"/>
  <c r="U72" i="33" s="1"/>
  <c r="R72" i="33"/>
  <c r="S72" i="33" s="1"/>
  <c r="P72" i="33"/>
  <c r="L72" i="33"/>
  <c r="H72" i="33"/>
  <c r="AK71" i="33"/>
  <c r="Z71" i="33"/>
  <c r="AC71" i="33" s="1"/>
  <c r="Y71" i="33"/>
  <c r="AB71" i="33" s="1"/>
  <c r="X71" i="33"/>
  <c r="AA71" i="33" s="1"/>
  <c r="V71" i="33"/>
  <c r="W71" i="33" s="1"/>
  <c r="T71" i="33"/>
  <c r="U71" i="33" s="1"/>
  <c r="R71" i="33"/>
  <c r="S71" i="33" s="1"/>
  <c r="P71" i="33"/>
  <c r="L71" i="33"/>
  <c r="H71" i="33"/>
  <c r="AK70" i="33"/>
  <c r="AJ70" i="33"/>
  <c r="Z70" i="33"/>
  <c r="AC70" i="33" s="1"/>
  <c r="Y70" i="33"/>
  <c r="AB70" i="33" s="1"/>
  <c r="X70" i="33"/>
  <c r="AA70" i="33" s="1"/>
  <c r="V70" i="33"/>
  <c r="W70" i="33" s="1"/>
  <c r="T70" i="33"/>
  <c r="U70" i="33" s="1"/>
  <c r="R70" i="33"/>
  <c r="S70" i="33" s="1"/>
  <c r="P70" i="33"/>
  <c r="L70" i="33"/>
  <c r="H70" i="33"/>
  <c r="AK69" i="33"/>
  <c r="AJ69" i="33"/>
  <c r="Z69" i="33"/>
  <c r="AC69" i="33" s="1"/>
  <c r="Y69" i="33"/>
  <c r="AB69" i="33" s="1"/>
  <c r="X69" i="33"/>
  <c r="AA69" i="33" s="1"/>
  <c r="V69" i="33"/>
  <c r="W69" i="33" s="1"/>
  <c r="T69" i="33"/>
  <c r="U69" i="33" s="1"/>
  <c r="R69" i="33"/>
  <c r="S69" i="33" s="1"/>
  <c r="P69" i="33"/>
  <c r="L69" i="33"/>
  <c r="H69" i="33"/>
  <c r="AK68" i="33"/>
  <c r="AJ68" i="33"/>
  <c r="Z68" i="33"/>
  <c r="AC68" i="33" s="1"/>
  <c r="Y68" i="33"/>
  <c r="AB68" i="33" s="1"/>
  <c r="X68" i="33"/>
  <c r="AA68" i="33" s="1"/>
  <c r="V68" i="33"/>
  <c r="W68" i="33" s="1"/>
  <c r="T68" i="33"/>
  <c r="U68" i="33" s="1"/>
  <c r="R68" i="33"/>
  <c r="S68" i="33" s="1"/>
  <c r="P68" i="33"/>
  <c r="L68" i="33"/>
  <c r="H68" i="33"/>
  <c r="AK67" i="33"/>
  <c r="AJ67" i="33"/>
  <c r="Z67" i="33"/>
  <c r="AC67" i="33" s="1"/>
  <c r="Y67" i="33"/>
  <c r="AB67" i="33" s="1"/>
  <c r="X67" i="33"/>
  <c r="AA67" i="33" s="1"/>
  <c r="V67" i="33"/>
  <c r="W67" i="33" s="1"/>
  <c r="T67" i="33"/>
  <c r="U67" i="33" s="1"/>
  <c r="R67" i="33"/>
  <c r="S67" i="33" s="1"/>
  <c r="P67" i="33"/>
  <c r="L67" i="33"/>
  <c r="H67" i="33"/>
  <c r="AK66" i="33"/>
  <c r="AJ66" i="33"/>
  <c r="Z66" i="33"/>
  <c r="AC66" i="33" s="1"/>
  <c r="Y66" i="33"/>
  <c r="AB66" i="33" s="1"/>
  <c r="X66" i="33"/>
  <c r="AA66" i="33" s="1"/>
  <c r="V66" i="33"/>
  <c r="W66" i="33" s="1"/>
  <c r="T66" i="33"/>
  <c r="U66" i="33" s="1"/>
  <c r="R66" i="33"/>
  <c r="S66" i="33" s="1"/>
  <c r="P66" i="33"/>
  <c r="L66" i="33"/>
  <c r="H66" i="33"/>
  <c r="AK65" i="33"/>
  <c r="AJ65" i="33"/>
  <c r="Z65" i="33"/>
  <c r="AC65" i="33" s="1"/>
  <c r="Y65" i="33"/>
  <c r="AB65" i="33" s="1"/>
  <c r="X65" i="33"/>
  <c r="AA65" i="33" s="1"/>
  <c r="V65" i="33"/>
  <c r="W65" i="33" s="1"/>
  <c r="T65" i="33"/>
  <c r="U65" i="33" s="1"/>
  <c r="R65" i="33"/>
  <c r="S65" i="33" s="1"/>
  <c r="P65" i="33"/>
  <c r="L65" i="33"/>
  <c r="H65" i="33"/>
  <c r="AK64" i="33"/>
  <c r="AJ64" i="33"/>
  <c r="Z64" i="33"/>
  <c r="AC64" i="33" s="1"/>
  <c r="Y64" i="33"/>
  <c r="AB64" i="33" s="1"/>
  <c r="X64" i="33"/>
  <c r="AA64" i="33" s="1"/>
  <c r="V64" i="33"/>
  <c r="W64" i="33" s="1"/>
  <c r="T64" i="33"/>
  <c r="U64" i="33" s="1"/>
  <c r="R64" i="33"/>
  <c r="S64" i="33" s="1"/>
  <c r="P64" i="33"/>
  <c r="L64" i="33"/>
  <c r="H64" i="33"/>
  <c r="AK63" i="33"/>
  <c r="Z63" i="33"/>
  <c r="AC63" i="33" s="1"/>
  <c r="Y63" i="33"/>
  <c r="AB63" i="33" s="1"/>
  <c r="X63" i="33"/>
  <c r="AA63" i="33" s="1"/>
  <c r="V63" i="33"/>
  <c r="W63" i="33" s="1"/>
  <c r="T63" i="33"/>
  <c r="U63" i="33" s="1"/>
  <c r="R63" i="33"/>
  <c r="S63" i="33" s="1"/>
  <c r="P63" i="33"/>
  <c r="L63" i="33"/>
  <c r="H63" i="33"/>
  <c r="AK62" i="33"/>
  <c r="Z62" i="33"/>
  <c r="AC62" i="33" s="1"/>
  <c r="Y62" i="33"/>
  <c r="AB62" i="33" s="1"/>
  <c r="X62" i="33"/>
  <c r="AA62" i="33" s="1"/>
  <c r="V62" i="33"/>
  <c r="W62" i="33" s="1"/>
  <c r="T62" i="33"/>
  <c r="U62" i="33" s="1"/>
  <c r="R62" i="33"/>
  <c r="S62" i="33" s="1"/>
  <c r="P62" i="33"/>
  <c r="L62" i="33"/>
  <c r="H62" i="33"/>
  <c r="AK61" i="33"/>
  <c r="Z61" i="33"/>
  <c r="AC61" i="33" s="1"/>
  <c r="Y61" i="33"/>
  <c r="AB61" i="33" s="1"/>
  <c r="X61" i="33"/>
  <c r="AA61" i="33" s="1"/>
  <c r="V61" i="33"/>
  <c r="W61" i="33" s="1"/>
  <c r="T61" i="33"/>
  <c r="U61" i="33" s="1"/>
  <c r="R61" i="33"/>
  <c r="S61" i="33" s="1"/>
  <c r="P61" i="33"/>
  <c r="L61" i="33"/>
  <c r="H61" i="33"/>
  <c r="AK60" i="33"/>
  <c r="Z60" i="33"/>
  <c r="AC60" i="33" s="1"/>
  <c r="Y60" i="33"/>
  <c r="AB60" i="33" s="1"/>
  <c r="X60" i="33"/>
  <c r="AA60" i="33" s="1"/>
  <c r="V60" i="33"/>
  <c r="W60" i="33" s="1"/>
  <c r="T60" i="33"/>
  <c r="U60" i="33" s="1"/>
  <c r="R60" i="33"/>
  <c r="S60" i="33" s="1"/>
  <c r="P60" i="33"/>
  <c r="L60" i="33"/>
  <c r="H60" i="33"/>
  <c r="AK59" i="33"/>
  <c r="Z59" i="33"/>
  <c r="AC59" i="33" s="1"/>
  <c r="Y59" i="33"/>
  <c r="AB59" i="33" s="1"/>
  <c r="X59" i="33"/>
  <c r="AA59" i="33" s="1"/>
  <c r="V59" i="33"/>
  <c r="W59" i="33" s="1"/>
  <c r="T59" i="33"/>
  <c r="U59" i="33" s="1"/>
  <c r="R59" i="33"/>
  <c r="S59" i="33" s="1"/>
  <c r="P59" i="33"/>
  <c r="L59" i="33"/>
  <c r="H59" i="33"/>
  <c r="AK58" i="33"/>
  <c r="Z58" i="33"/>
  <c r="AC58" i="33" s="1"/>
  <c r="Y58" i="33"/>
  <c r="AB58" i="33" s="1"/>
  <c r="X58" i="33"/>
  <c r="AA58" i="33" s="1"/>
  <c r="V58" i="33"/>
  <c r="W58" i="33" s="1"/>
  <c r="T58" i="33"/>
  <c r="U58" i="33" s="1"/>
  <c r="R58" i="33"/>
  <c r="S58" i="33" s="1"/>
  <c r="P58" i="33"/>
  <c r="L58" i="33"/>
  <c r="H58" i="33"/>
  <c r="AK57" i="33"/>
  <c r="Z57" i="33"/>
  <c r="AC57" i="33" s="1"/>
  <c r="Y57" i="33"/>
  <c r="AB57" i="33" s="1"/>
  <c r="X57" i="33"/>
  <c r="AA57" i="33" s="1"/>
  <c r="V57" i="33"/>
  <c r="W57" i="33" s="1"/>
  <c r="T57" i="33"/>
  <c r="U57" i="33" s="1"/>
  <c r="R57" i="33"/>
  <c r="S57" i="33" s="1"/>
  <c r="P57" i="33"/>
  <c r="L57" i="33"/>
  <c r="H57" i="33"/>
  <c r="AK56" i="33"/>
  <c r="Z56" i="33"/>
  <c r="AC56" i="33" s="1"/>
  <c r="Y56" i="33"/>
  <c r="AB56" i="33" s="1"/>
  <c r="X56" i="33"/>
  <c r="AA56" i="33" s="1"/>
  <c r="V56" i="33"/>
  <c r="W56" i="33" s="1"/>
  <c r="T56" i="33"/>
  <c r="U56" i="33" s="1"/>
  <c r="R56" i="33"/>
  <c r="S56" i="33" s="1"/>
  <c r="P56" i="33"/>
  <c r="L56" i="33"/>
  <c r="H56" i="33"/>
  <c r="AK55" i="33"/>
  <c r="Z55" i="33"/>
  <c r="AC55" i="33" s="1"/>
  <c r="Y55" i="33"/>
  <c r="AB55" i="33" s="1"/>
  <c r="X55" i="33"/>
  <c r="AA55" i="33" s="1"/>
  <c r="V55" i="33"/>
  <c r="W55" i="33" s="1"/>
  <c r="T55" i="33"/>
  <c r="U55" i="33" s="1"/>
  <c r="R55" i="33"/>
  <c r="S55" i="33" s="1"/>
  <c r="P55" i="33"/>
  <c r="L55" i="33"/>
  <c r="H55" i="33"/>
  <c r="AK54" i="33"/>
  <c r="Z54" i="33"/>
  <c r="AC54" i="33" s="1"/>
  <c r="Y54" i="33"/>
  <c r="AB54" i="33" s="1"/>
  <c r="X54" i="33"/>
  <c r="AA54" i="33" s="1"/>
  <c r="V54" i="33"/>
  <c r="W54" i="33" s="1"/>
  <c r="T54" i="33"/>
  <c r="U54" i="33" s="1"/>
  <c r="R54" i="33"/>
  <c r="S54" i="33" s="1"/>
  <c r="P54" i="33"/>
  <c r="L54" i="33"/>
  <c r="H54" i="33"/>
  <c r="AK53" i="33"/>
  <c r="Z53" i="33"/>
  <c r="AC53" i="33" s="1"/>
  <c r="Y53" i="33"/>
  <c r="AB53" i="33" s="1"/>
  <c r="X53" i="33"/>
  <c r="AA53" i="33" s="1"/>
  <c r="V53" i="33"/>
  <c r="W53" i="33" s="1"/>
  <c r="T53" i="33"/>
  <c r="U53" i="33" s="1"/>
  <c r="R53" i="33"/>
  <c r="S53" i="33" s="1"/>
  <c r="P53" i="33"/>
  <c r="L53" i="33"/>
  <c r="H53" i="33"/>
  <c r="AK52" i="33"/>
  <c r="Z52" i="33"/>
  <c r="AC52" i="33" s="1"/>
  <c r="Y52" i="33"/>
  <c r="AB52" i="33" s="1"/>
  <c r="X52" i="33"/>
  <c r="AA52" i="33" s="1"/>
  <c r="V52" i="33"/>
  <c r="W52" i="33" s="1"/>
  <c r="T52" i="33"/>
  <c r="U52" i="33" s="1"/>
  <c r="R52" i="33"/>
  <c r="S52" i="33" s="1"/>
  <c r="P52" i="33"/>
  <c r="L52" i="33"/>
  <c r="H52" i="33"/>
  <c r="AK51" i="33"/>
  <c r="Z51" i="33"/>
  <c r="AC51" i="33" s="1"/>
  <c r="Y51" i="33"/>
  <c r="AB51" i="33" s="1"/>
  <c r="X51" i="33"/>
  <c r="AA51" i="33" s="1"/>
  <c r="V51" i="33"/>
  <c r="W51" i="33" s="1"/>
  <c r="T51" i="33"/>
  <c r="U51" i="33" s="1"/>
  <c r="R51" i="33"/>
  <c r="S51" i="33" s="1"/>
  <c r="P51" i="33"/>
  <c r="L51" i="33"/>
  <c r="H51" i="33"/>
  <c r="AK50" i="33"/>
  <c r="AJ50" i="33"/>
  <c r="Z50" i="33"/>
  <c r="AC50" i="33" s="1"/>
  <c r="Y50" i="33"/>
  <c r="AB50" i="33" s="1"/>
  <c r="X50" i="33"/>
  <c r="AA50" i="33" s="1"/>
  <c r="V50" i="33"/>
  <c r="W50" i="33" s="1"/>
  <c r="T50" i="33"/>
  <c r="U50" i="33" s="1"/>
  <c r="R50" i="33"/>
  <c r="S50" i="33" s="1"/>
  <c r="P50" i="33"/>
  <c r="L50" i="33"/>
  <c r="H50" i="33"/>
  <c r="AK49" i="33"/>
  <c r="AJ49" i="33"/>
  <c r="Z49" i="33"/>
  <c r="AC49" i="33" s="1"/>
  <c r="Y49" i="33"/>
  <c r="AB49" i="33" s="1"/>
  <c r="X49" i="33"/>
  <c r="AA49" i="33" s="1"/>
  <c r="V49" i="33"/>
  <c r="W49" i="33" s="1"/>
  <c r="T49" i="33"/>
  <c r="U49" i="33" s="1"/>
  <c r="R49" i="33"/>
  <c r="S49" i="33" s="1"/>
  <c r="P49" i="33"/>
  <c r="L49" i="33"/>
  <c r="H49" i="33"/>
  <c r="AK48" i="33"/>
  <c r="Z48" i="33"/>
  <c r="AC48" i="33" s="1"/>
  <c r="Y48" i="33"/>
  <c r="AB48" i="33" s="1"/>
  <c r="X48" i="33"/>
  <c r="AA48" i="33" s="1"/>
  <c r="V48" i="33"/>
  <c r="W48" i="33" s="1"/>
  <c r="T48" i="33"/>
  <c r="U48" i="33" s="1"/>
  <c r="R48" i="33"/>
  <c r="S48" i="33" s="1"/>
  <c r="P48" i="33"/>
  <c r="L48" i="33"/>
  <c r="H48" i="33"/>
  <c r="AK47" i="33"/>
  <c r="Z47" i="33"/>
  <c r="AC47" i="33" s="1"/>
  <c r="Y47" i="33"/>
  <c r="AB47" i="33" s="1"/>
  <c r="X47" i="33"/>
  <c r="AA47" i="33" s="1"/>
  <c r="V47" i="33"/>
  <c r="W47" i="33" s="1"/>
  <c r="T47" i="33"/>
  <c r="U47" i="33" s="1"/>
  <c r="R47" i="33"/>
  <c r="S47" i="33" s="1"/>
  <c r="P47" i="33"/>
  <c r="L47" i="33"/>
  <c r="H47" i="33"/>
  <c r="AK46" i="33"/>
  <c r="Z46" i="33"/>
  <c r="AC46" i="33" s="1"/>
  <c r="Y46" i="33"/>
  <c r="AB46" i="33" s="1"/>
  <c r="X46" i="33"/>
  <c r="AA46" i="33" s="1"/>
  <c r="V46" i="33"/>
  <c r="W46" i="33" s="1"/>
  <c r="T46" i="33"/>
  <c r="U46" i="33" s="1"/>
  <c r="R46" i="33"/>
  <c r="S46" i="33" s="1"/>
  <c r="P46" i="33"/>
  <c r="L46" i="33"/>
  <c r="H46" i="33"/>
  <c r="AK45" i="33"/>
  <c r="AJ45" i="33"/>
  <c r="Z45" i="33"/>
  <c r="AC45" i="33" s="1"/>
  <c r="Y45" i="33"/>
  <c r="AB45" i="33" s="1"/>
  <c r="X45" i="33"/>
  <c r="AA45" i="33" s="1"/>
  <c r="V45" i="33"/>
  <c r="W45" i="33" s="1"/>
  <c r="T45" i="33"/>
  <c r="U45" i="33" s="1"/>
  <c r="R45" i="33"/>
  <c r="S45" i="33" s="1"/>
  <c r="P45" i="33"/>
  <c r="L45" i="33"/>
  <c r="H45" i="33"/>
  <c r="AK44" i="33"/>
  <c r="Z44" i="33"/>
  <c r="AC44" i="33" s="1"/>
  <c r="Y44" i="33"/>
  <c r="AB44" i="33" s="1"/>
  <c r="X44" i="33"/>
  <c r="AA44" i="33" s="1"/>
  <c r="V44" i="33"/>
  <c r="W44" i="33" s="1"/>
  <c r="T44" i="33"/>
  <c r="U44" i="33" s="1"/>
  <c r="R44" i="33"/>
  <c r="S44" i="33" s="1"/>
  <c r="P44" i="33"/>
  <c r="L44" i="33"/>
  <c r="H44" i="33"/>
  <c r="AK43" i="33"/>
  <c r="AJ43" i="33"/>
  <c r="Z43" i="33"/>
  <c r="AC43" i="33" s="1"/>
  <c r="Y43" i="33"/>
  <c r="AB43" i="33" s="1"/>
  <c r="X43" i="33"/>
  <c r="AA43" i="33" s="1"/>
  <c r="V43" i="33"/>
  <c r="W43" i="33" s="1"/>
  <c r="T43" i="33"/>
  <c r="U43" i="33" s="1"/>
  <c r="R43" i="33"/>
  <c r="S43" i="33" s="1"/>
  <c r="P43" i="33"/>
  <c r="L43" i="33"/>
  <c r="H43" i="33"/>
  <c r="AK42" i="33"/>
  <c r="AJ42" i="33"/>
  <c r="Z42" i="33"/>
  <c r="AC42" i="33" s="1"/>
  <c r="Y42" i="33"/>
  <c r="AB42" i="33" s="1"/>
  <c r="X42" i="33"/>
  <c r="AA42" i="33" s="1"/>
  <c r="V42" i="33"/>
  <c r="W42" i="33" s="1"/>
  <c r="T42" i="33"/>
  <c r="U42" i="33" s="1"/>
  <c r="R42" i="33"/>
  <c r="S42" i="33" s="1"/>
  <c r="P42" i="33"/>
  <c r="L42" i="33"/>
  <c r="H42" i="33"/>
  <c r="AK41" i="33"/>
  <c r="AJ41" i="33"/>
  <c r="Z41" i="33"/>
  <c r="AC41" i="33" s="1"/>
  <c r="Y41" i="33"/>
  <c r="AB41" i="33" s="1"/>
  <c r="X41" i="33"/>
  <c r="AA41" i="33" s="1"/>
  <c r="V41" i="33"/>
  <c r="W41" i="33" s="1"/>
  <c r="T41" i="33"/>
  <c r="U41" i="33" s="1"/>
  <c r="R41" i="33"/>
  <c r="S41" i="33" s="1"/>
  <c r="P41" i="33"/>
  <c r="L41" i="33"/>
  <c r="H41" i="33"/>
  <c r="AK40" i="33"/>
  <c r="AJ40" i="33"/>
  <c r="Z40" i="33"/>
  <c r="AC40" i="33" s="1"/>
  <c r="Y40" i="33"/>
  <c r="AB40" i="33" s="1"/>
  <c r="X40" i="33"/>
  <c r="AA40" i="33" s="1"/>
  <c r="V40" i="33"/>
  <c r="W40" i="33" s="1"/>
  <c r="T40" i="33"/>
  <c r="U40" i="33" s="1"/>
  <c r="R40" i="33"/>
  <c r="S40" i="33" s="1"/>
  <c r="P40" i="33"/>
  <c r="L40" i="33"/>
  <c r="H40" i="33"/>
  <c r="AK39" i="33"/>
  <c r="AJ39" i="33"/>
  <c r="Z39" i="33"/>
  <c r="AC39" i="33" s="1"/>
  <c r="Y39" i="33"/>
  <c r="AB39" i="33" s="1"/>
  <c r="X39" i="33"/>
  <c r="AA39" i="33" s="1"/>
  <c r="V39" i="33"/>
  <c r="W39" i="33" s="1"/>
  <c r="T39" i="33"/>
  <c r="U39" i="33" s="1"/>
  <c r="R39" i="33"/>
  <c r="S39" i="33" s="1"/>
  <c r="P39" i="33"/>
  <c r="L39" i="33"/>
  <c r="H39" i="33"/>
  <c r="AK38" i="33"/>
  <c r="AJ38" i="33"/>
  <c r="Z38" i="33"/>
  <c r="AC38" i="33" s="1"/>
  <c r="Y38" i="33"/>
  <c r="AB38" i="33" s="1"/>
  <c r="X38" i="33"/>
  <c r="AA38" i="33" s="1"/>
  <c r="V38" i="33"/>
  <c r="W38" i="33" s="1"/>
  <c r="T38" i="33"/>
  <c r="U38" i="33" s="1"/>
  <c r="R38" i="33"/>
  <c r="S38" i="33" s="1"/>
  <c r="P38" i="33"/>
  <c r="L38" i="33"/>
  <c r="H38" i="33"/>
  <c r="AK37" i="33"/>
  <c r="Z37" i="33"/>
  <c r="AC37" i="33" s="1"/>
  <c r="Y37" i="33"/>
  <c r="AB37" i="33" s="1"/>
  <c r="X37" i="33"/>
  <c r="AA37" i="33" s="1"/>
  <c r="V37" i="33"/>
  <c r="W37" i="33" s="1"/>
  <c r="T37" i="33"/>
  <c r="U37" i="33" s="1"/>
  <c r="R37" i="33"/>
  <c r="S37" i="33" s="1"/>
  <c r="P37" i="33"/>
  <c r="L37" i="33"/>
  <c r="H37" i="33"/>
  <c r="AK36" i="33"/>
  <c r="AJ36" i="33"/>
  <c r="Z36" i="33"/>
  <c r="AC36" i="33" s="1"/>
  <c r="Y36" i="33"/>
  <c r="AB36" i="33" s="1"/>
  <c r="X36" i="33"/>
  <c r="AA36" i="33" s="1"/>
  <c r="V36" i="33"/>
  <c r="W36" i="33" s="1"/>
  <c r="T36" i="33"/>
  <c r="U36" i="33" s="1"/>
  <c r="R36" i="33"/>
  <c r="S36" i="33" s="1"/>
  <c r="P36" i="33"/>
  <c r="L36" i="33"/>
  <c r="H36" i="33"/>
  <c r="AK35" i="33"/>
  <c r="AJ35" i="33"/>
  <c r="Z35" i="33"/>
  <c r="AC35" i="33" s="1"/>
  <c r="Y35" i="33"/>
  <c r="AB35" i="33" s="1"/>
  <c r="X35" i="33"/>
  <c r="AA35" i="33" s="1"/>
  <c r="V35" i="33"/>
  <c r="W35" i="33" s="1"/>
  <c r="T35" i="33"/>
  <c r="U35" i="33" s="1"/>
  <c r="R35" i="33"/>
  <c r="S35" i="33" s="1"/>
  <c r="P35" i="33"/>
  <c r="L35" i="33"/>
  <c r="H35" i="33"/>
  <c r="AK34" i="33"/>
  <c r="AJ34" i="33"/>
  <c r="Z34" i="33"/>
  <c r="AC34" i="33" s="1"/>
  <c r="Y34" i="33"/>
  <c r="AB34" i="33" s="1"/>
  <c r="X34" i="33"/>
  <c r="AA34" i="33" s="1"/>
  <c r="V34" i="33"/>
  <c r="W34" i="33" s="1"/>
  <c r="T34" i="33"/>
  <c r="U34" i="33" s="1"/>
  <c r="R34" i="33"/>
  <c r="S34" i="33" s="1"/>
  <c r="P34" i="33"/>
  <c r="L34" i="33"/>
  <c r="H34" i="33"/>
  <c r="AK33" i="33"/>
  <c r="Z33" i="33"/>
  <c r="AC33" i="33" s="1"/>
  <c r="Y33" i="33"/>
  <c r="AB33" i="33" s="1"/>
  <c r="X33" i="33"/>
  <c r="AA33" i="33" s="1"/>
  <c r="V33" i="33"/>
  <c r="W33" i="33" s="1"/>
  <c r="T33" i="33"/>
  <c r="U33" i="33" s="1"/>
  <c r="R33" i="33"/>
  <c r="S33" i="33" s="1"/>
  <c r="P33" i="33"/>
  <c r="L33" i="33"/>
  <c r="H33" i="33"/>
  <c r="AK32" i="33"/>
  <c r="AJ32" i="33"/>
  <c r="Z32" i="33"/>
  <c r="AC32" i="33" s="1"/>
  <c r="Y32" i="33"/>
  <c r="AB32" i="33" s="1"/>
  <c r="X32" i="33"/>
  <c r="AA32" i="33" s="1"/>
  <c r="V32" i="33"/>
  <c r="W32" i="33" s="1"/>
  <c r="T32" i="33"/>
  <c r="U32" i="33" s="1"/>
  <c r="R32" i="33"/>
  <c r="S32" i="33" s="1"/>
  <c r="N32" i="33"/>
  <c r="P32" i="33" s="1"/>
  <c r="J32" i="33"/>
  <c r="L32" i="33" s="1"/>
  <c r="F32" i="33"/>
  <c r="F350" i="33" s="1"/>
  <c r="AK31" i="33"/>
  <c r="AJ31" i="33"/>
  <c r="Z31" i="33"/>
  <c r="AC31" i="33" s="1"/>
  <c r="Y31" i="33"/>
  <c r="AB31" i="33" s="1"/>
  <c r="X31" i="33"/>
  <c r="AA31" i="33" s="1"/>
  <c r="V31" i="33"/>
  <c r="W31" i="33" s="1"/>
  <c r="T31" i="33"/>
  <c r="U31" i="33" s="1"/>
  <c r="R31" i="33"/>
  <c r="S31" i="33" s="1"/>
  <c r="P31" i="33"/>
  <c r="L31" i="33"/>
  <c r="H31" i="33"/>
  <c r="AK30" i="33"/>
  <c r="AM18" i="33" s="1"/>
  <c r="Z30" i="33"/>
  <c r="AC30" i="33" s="1"/>
  <c r="Y30" i="33"/>
  <c r="AB30" i="33" s="1"/>
  <c r="X30" i="33"/>
  <c r="AA30" i="33" s="1"/>
  <c r="V30" i="33"/>
  <c r="W30" i="33" s="1"/>
  <c r="T30" i="33"/>
  <c r="U30" i="33" s="1"/>
  <c r="R30" i="33"/>
  <c r="S30" i="33" s="1"/>
  <c r="P30" i="33"/>
  <c r="L30" i="33"/>
  <c r="H30" i="33"/>
  <c r="AK29" i="33"/>
  <c r="AJ29" i="33"/>
  <c r="Z29" i="33"/>
  <c r="AC29" i="33" s="1"/>
  <c r="Y29" i="33"/>
  <c r="AB29" i="33" s="1"/>
  <c r="X29" i="33"/>
  <c r="AA29" i="33" s="1"/>
  <c r="V29" i="33"/>
  <c r="W29" i="33" s="1"/>
  <c r="T29" i="33"/>
  <c r="U29" i="33" s="1"/>
  <c r="R29" i="33"/>
  <c r="S29" i="33" s="1"/>
  <c r="P29" i="33"/>
  <c r="L29" i="33"/>
  <c r="H29" i="33"/>
  <c r="AK28" i="33"/>
  <c r="AJ28" i="33"/>
  <c r="Z28" i="33"/>
  <c r="AC28" i="33" s="1"/>
  <c r="Y28" i="33"/>
  <c r="AB28" i="33" s="1"/>
  <c r="X28" i="33"/>
  <c r="AA28" i="33" s="1"/>
  <c r="V28" i="33"/>
  <c r="W28" i="33" s="1"/>
  <c r="T28" i="33"/>
  <c r="U28" i="33" s="1"/>
  <c r="R28" i="33"/>
  <c r="S28" i="33" s="1"/>
  <c r="P28" i="33"/>
  <c r="L28" i="33"/>
  <c r="H28" i="33"/>
  <c r="AK27" i="33"/>
  <c r="AJ27" i="33"/>
  <c r="Z27" i="33"/>
  <c r="AC27" i="33" s="1"/>
  <c r="Y27" i="33"/>
  <c r="AB27" i="33" s="1"/>
  <c r="X27" i="33"/>
  <c r="AA27" i="33" s="1"/>
  <c r="V27" i="33"/>
  <c r="W27" i="33" s="1"/>
  <c r="T27" i="33"/>
  <c r="U27" i="33" s="1"/>
  <c r="R27" i="33"/>
  <c r="S27" i="33" s="1"/>
  <c r="P27" i="33"/>
  <c r="L27" i="33"/>
  <c r="H27" i="33"/>
  <c r="AK26" i="33"/>
  <c r="AJ26" i="33"/>
  <c r="Z26" i="33"/>
  <c r="AC26" i="33" s="1"/>
  <c r="Y26" i="33"/>
  <c r="AB26" i="33" s="1"/>
  <c r="X26" i="33"/>
  <c r="AA26" i="33" s="1"/>
  <c r="V26" i="33"/>
  <c r="W26" i="33" s="1"/>
  <c r="T26" i="33"/>
  <c r="U26" i="33" s="1"/>
  <c r="R26" i="33"/>
  <c r="S26" i="33" s="1"/>
  <c r="P26" i="33"/>
  <c r="L26" i="33"/>
  <c r="H26" i="33"/>
  <c r="AK25" i="33"/>
  <c r="AJ25" i="33"/>
  <c r="Z25" i="33"/>
  <c r="AC25" i="33" s="1"/>
  <c r="Y25" i="33"/>
  <c r="AB25" i="33" s="1"/>
  <c r="X25" i="33"/>
  <c r="AA25" i="33" s="1"/>
  <c r="V25" i="33"/>
  <c r="W25" i="33" s="1"/>
  <c r="T25" i="33"/>
  <c r="U25" i="33" s="1"/>
  <c r="R25" i="33"/>
  <c r="S25" i="33" s="1"/>
  <c r="P25" i="33"/>
  <c r="L25" i="33"/>
  <c r="H25" i="33"/>
  <c r="AK24" i="33"/>
  <c r="AJ24" i="33"/>
  <c r="Z24" i="33"/>
  <c r="AC24" i="33" s="1"/>
  <c r="Y24" i="33"/>
  <c r="AB24" i="33" s="1"/>
  <c r="X24" i="33"/>
  <c r="AA24" i="33" s="1"/>
  <c r="V24" i="33"/>
  <c r="W24" i="33" s="1"/>
  <c r="T24" i="33"/>
  <c r="U24" i="33" s="1"/>
  <c r="R24" i="33"/>
  <c r="S24" i="33" s="1"/>
  <c r="P24" i="33"/>
  <c r="L24" i="33"/>
  <c r="H24" i="33"/>
  <c r="AL23" i="33"/>
  <c r="AL24" i="33" s="1"/>
  <c r="AL25" i="33" s="1"/>
  <c r="AK23" i="33"/>
  <c r="AJ23" i="33"/>
  <c r="Z23" i="33"/>
  <c r="AC23" i="33" s="1"/>
  <c r="Y23" i="33"/>
  <c r="AB23" i="33" s="1"/>
  <c r="X23" i="33"/>
  <c r="AA23" i="33" s="1"/>
  <c r="V23" i="33"/>
  <c r="W23" i="33" s="1"/>
  <c r="T23" i="33"/>
  <c r="U23" i="33" s="1"/>
  <c r="R23" i="33"/>
  <c r="S23" i="33" s="1"/>
  <c r="P23" i="33"/>
  <c r="L23" i="33"/>
  <c r="H23" i="33"/>
  <c r="AK22" i="33"/>
  <c r="Z22" i="33"/>
  <c r="AC22" i="33" s="1"/>
  <c r="Y22" i="33"/>
  <c r="AB22" i="33" s="1"/>
  <c r="X22" i="33"/>
  <c r="AA22" i="33" s="1"/>
  <c r="V22" i="33"/>
  <c r="W22" i="33" s="1"/>
  <c r="T22" i="33"/>
  <c r="U22" i="33" s="1"/>
  <c r="R22" i="33"/>
  <c r="S22" i="33" s="1"/>
  <c r="P22" i="33"/>
  <c r="L22" i="33"/>
  <c r="H22" i="33"/>
  <c r="AK21" i="33"/>
  <c r="AJ21" i="33"/>
  <c r="Z21" i="33"/>
  <c r="AC21" i="33" s="1"/>
  <c r="Y21" i="33"/>
  <c r="AB21" i="33" s="1"/>
  <c r="X21" i="33"/>
  <c r="AA21" i="33" s="1"/>
  <c r="V21" i="33"/>
  <c r="W21" i="33" s="1"/>
  <c r="T21" i="33"/>
  <c r="U21" i="33" s="1"/>
  <c r="R21" i="33"/>
  <c r="S21" i="33" s="1"/>
  <c r="P21" i="33"/>
  <c r="L21" i="33"/>
  <c r="H21" i="33"/>
  <c r="AK20" i="33"/>
  <c r="AJ20" i="33"/>
  <c r="Z20" i="33"/>
  <c r="AC20" i="33" s="1"/>
  <c r="Y20" i="33"/>
  <c r="AB20" i="33" s="1"/>
  <c r="X20" i="33"/>
  <c r="AA20" i="33" s="1"/>
  <c r="V20" i="33"/>
  <c r="W20" i="33" s="1"/>
  <c r="T20" i="33"/>
  <c r="U20" i="33" s="1"/>
  <c r="R20" i="33"/>
  <c r="S20" i="33" s="1"/>
  <c r="P20" i="33"/>
  <c r="L20" i="33"/>
  <c r="H20" i="33"/>
  <c r="AK19" i="33"/>
  <c r="AJ19" i="33"/>
  <c r="Z19" i="33"/>
  <c r="AC19" i="33" s="1"/>
  <c r="Y19" i="33"/>
  <c r="AB19" i="33" s="1"/>
  <c r="X19" i="33"/>
  <c r="AA19" i="33" s="1"/>
  <c r="V19" i="33"/>
  <c r="W19" i="33" s="1"/>
  <c r="T19" i="33"/>
  <c r="R19" i="33"/>
  <c r="S19" i="33" s="1"/>
  <c r="P19" i="33"/>
  <c r="L19" i="33"/>
  <c r="H19" i="33"/>
  <c r="AK18" i="33"/>
  <c r="AJ18" i="33"/>
  <c r="Z18" i="33"/>
  <c r="AC18" i="33" s="1"/>
  <c r="Y18" i="33"/>
  <c r="AB18" i="33" s="1"/>
  <c r="X18" i="33"/>
  <c r="AA18" i="33" s="1"/>
  <c r="V18" i="33"/>
  <c r="W18" i="33" s="1"/>
  <c r="T18" i="33"/>
  <c r="R18" i="33"/>
  <c r="S18" i="33" s="1"/>
  <c r="P18" i="33"/>
  <c r="L18" i="33"/>
  <c r="H18" i="33"/>
  <c r="A18" i="33"/>
  <c r="AI18" i="33" s="1"/>
  <c r="H74" i="22"/>
  <c r="I74" i="22"/>
  <c r="U74" i="22"/>
  <c r="T281" i="34" l="1"/>
  <c r="A282" i="34"/>
  <c r="T282" i="34" s="1"/>
  <c r="E308" i="34"/>
  <c r="E318" i="35"/>
  <c r="I350" i="33"/>
  <c r="A19" i="33"/>
  <c r="A20" i="33" s="1"/>
  <c r="AI20" i="33" s="1"/>
  <c r="AO24" i="33"/>
  <c r="AO45" i="33"/>
  <c r="AO31" i="33"/>
  <c r="AE191" i="33"/>
  <c r="AF191" i="33" s="1"/>
  <c r="AH191" i="33" s="1"/>
  <c r="AO33" i="33"/>
  <c r="AE46" i="33"/>
  <c r="AF46" i="33" s="1"/>
  <c r="AH46" i="33" s="1"/>
  <c r="AO26" i="33"/>
  <c r="AO35" i="33"/>
  <c r="AE78" i="33"/>
  <c r="AF78" i="33" s="1"/>
  <c r="AH78" i="33" s="1"/>
  <c r="AE178" i="33"/>
  <c r="AF178" i="33" s="1"/>
  <c r="AH178" i="33" s="1"/>
  <c r="AE179" i="33"/>
  <c r="AF179" i="33" s="1"/>
  <c r="AH179" i="33" s="1"/>
  <c r="AE180" i="33"/>
  <c r="AF180" i="33" s="1"/>
  <c r="AH180" i="33" s="1"/>
  <c r="AE181" i="33"/>
  <c r="AF181" i="33" s="1"/>
  <c r="AH181" i="33" s="1"/>
  <c r="AE182" i="33"/>
  <c r="AF182" i="33" s="1"/>
  <c r="AH182" i="33" s="1"/>
  <c r="AE183" i="33"/>
  <c r="AF183" i="33" s="1"/>
  <c r="AH183" i="33" s="1"/>
  <c r="AO23" i="33"/>
  <c r="AE24" i="33"/>
  <c r="AF24" i="33" s="1"/>
  <c r="AH24" i="33" s="1"/>
  <c r="AE30" i="33"/>
  <c r="AF30" i="33" s="1"/>
  <c r="AH30" i="33" s="1"/>
  <c r="AE31" i="33"/>
  <c r="AF31" i="33" s="1"/>
  <c r="AH31" i="33" s="1"/>
  <c r="AE42" i="33"/>
  <c r="AF42" i="33" s="1"/>
  <c r="AH42" i="33" s="1"/>
  <c r="AE45" i="33"/>
  <c r="AF45" i="33" s="1"/>
  <c r="AH45" i="33" s="1"/>
  <c r="AE49" i="33"/>
  <c r="AF49" i="33" s="1"/>
  <c r="AH49" i="33" s="1"/>
  <c r="AE51" i="33"/>
  <c r="AF51" i="33" s="1"/>
  <c r="AH51" i="33" s="1"/>
  <c r="AE59" i="33"/>
  <c r="AF59" i="33" s="1"/>
  <c r="AH59" i="33" s="1"/>
  <c r="AE63" i="33"/>
  <c r="AF63" i="33" s="1"/>
  <c r="AH63" i="33" s="1"/>
  <c r="AE65" i="33"/>
  <c r="AF65" i="33" s="1"/>
  <c r="AH65" i="33" s="1"/>
  <c r="AE77" i="33"/>
  <c r="AF77" i="33" s="1"/>
  <c r="AH77" i="33" s="1"/>
  <c r="AE86" i="33"/>
  <c r="AF86" i="33" s="1"/>
  <c r="AH86" i="33" s="1"/>
  <c r="AE27" i="33"/>
  <c r="AF27" i="33" s="1"/>
  <c r="AH27" i="33" s="1"/>
  <c r="AE33" i="33"/>
  <c r="AF33" i="33" s="1"/>
  <c r="AH33" i="33" s="1"/>
  <c r="AO34" i="33"/>
  <c r="AO42" i="33"/>
  <c r="AE76" i="33"/>
  <c r="AF76" i="33" s="1"/>
  <c r="AH76" i="33" s="1"/>
  <c r="AO28" i="33"/>
  <c r="AO36" i="33"/>
  <c r="AO38" i="33"/>
  <c r="AO40" i="33"/>
  <c r="AE53" i="33"/>
  <c r="AF53" i="33" s="1"/>
  <c r="AH53" i="33" s="1"/>
  <c r="AE29" i="33"/>
  <c r="AF29" i="33" s="1"/>
  <c r="AH29" i="33" s="1"/>
  <c r="AO30" i="33"/>
  <c r="AO32" i="33"/>
  <c r="AE50" i="33"/>
  <c r="AF50" i="33" s="1"/>
  <c r="AH50" i="33" s="1"/>
  <c r="AE79" i="33"/>
  <c r="AF79" i="33" s="1"/>
  <c r="AH79" i="33" s="1"/>
  <c r="AE137" i="33"/>
  <c r="AF137" i="33" s="1"/>
  <c r="AH137" i="33" s="1"/>
  <c r="AE128" i="33"/>
  <c r="AF128" i="33" s="1"/>
  <c r="AH128" i="33" s="1"/>
  <c r="AE136" i="33"/>
  <c r="AF136" i="33" s="1"/>
  <c r="AH136" i="33" s="1"/>
  <c r="AE138" i="33"/>
  <c r="AF138" i="33" s="1"/>
  <c r="AH138" i="33" s="1"/>
  <c r="AE139" i="33"/>
  <c r="AF139" i="33" s="1"/>
  <c r="AH139" i="33" s="1"/>
  <c r="AE140" i="33"/>
  <c r="AF140" i="33" s="1"/>
  <c r="AH140" i="33" s="1"/>
  <c r="AE141" i="33"/>
  <c r="AF141" i="33" s="1"/>
  <c r="AH141" i="33" s="1"/>
  <c r="AE142" i="33"/>
  <c r="AF142" i="33" s="1"/>
  <c r="AH142" i="33" s="1"/>
  <c r="AE143" i="33"/>
  <c r="AF143" i="33" s="1"/>
  <c r="AH143" i="33" s="1"/>
  <c r="AE144" i="33"/>
  <c r="AF144" i="33" s="1"/>
  <c r="AH144" i="33" s="1"/>
  <c r="AE145" i="33"/>
  <c r="AF145" i="33" s="1"/>
  <c r="AH145" i="33" s="1"/>
  <c r="AE146" i="33"/>
  <c r="AF146" i="33" s="1"/>
  <c r="AH146" i="33" s="1"/>
  <c r="AE147" i="33"/>
  <c r="AF147" i="33" s="1"/>
  <c r="AH147" i="33" s="1"/>
  <c r="AE148" i="33"/>
  <c r="AF148" i="33" s="1"/>
  <c r="AH148" i="33" s="1"/>
  <c r="AE149" i="33"/>
  <c r="AF149" i="33" s="1"/>
  <c r="AH149" i="33" s="1"/>
  <c r="AE150" i="33"/>
  <c r="AF150" i="33" s="1"/>
  <c r="AH150" i="33" s="1"/>
  <c r="AE151" i="33"/>
  <c r="AF151" i="33" s="1"/>
  <c r="AH151" i="33" s="1"/>
  <c r="AE152" i="33"/>
  <c r="AF152" i="33" s="1"/>
  <c r="AH152" i="33" s="1"/>
  <c r="AE153" i="33"/>
  <c r="AF153" i="33" s="1"/>
  <c r="AH153" i="33" s="1"/>
  <c r="AE159" i="33"/>
  <c r="AF159" i="33" s="1"/>
  <c r="AH159" i="33" s="1"/>
  <c r="AE160" i="33"/>
  <c r="AF160" i="33" s="1"/>
  <c r="AH160" i="33" s="1"/>
  <c r="AE161" i="33"/>
  <c r="AF161" i="33" s="1"/>
  <c r="AH161" i="33" s="1"/>
  <c r="AE162" i="33"/>
  <c r="AF162" i="33" s="1"/>
  <c r="AH162" i="33" s="1"/>
  <c r="AE66" i="33"/>
  <c r="AF66" i="33" s="1"/>
  <c r="AH66" i="33" s="1"/>
  <c r="AE67" i="33"/>
  <c r="AF67" i="33" s="1"/>
  <c r="AH67" i="33" s="1"/>
  <c r="AE68" i="33"/>
  <c r="AF68" i="33" s="1"/>
  <c r="AH68" i="33" s="1"/>
  <c r="AE69" i="33"/>
  <c r="AF69" i="33" s="1"/>
  <c r="AH69" i="33" s="1"/>
  <c r="AE70" i="33"/>
  <c r="AF70" i="33" s="1"/>
  <c r="AH70" i="33" s="1"/>
  <c r="AE71" i="33"/>
  <c r="AF71" i="33" s="1"/>
  <c r="AH71" i="33" s="1"/>
  <c r="AE87" i="33"/>
  <c r="AF87" i="33" s="1"/>
  <c r="AH87" i="33" s="1"/>
  <c r="AE88" i="33"/>
  <c r="AF88" i="33" s="1"/>
  <c r="AH88" i="33" s="1"/>
  <c r="AE89" i="33"/>
  <c r="AF89" i="33" s="1"/>
  <c r="AH89" i="33" s="1"/>
  <c r="AE90" i="33"/>
  <c r="AF90" i="33" s="1"/>
  <c r="AH90" i="33" s="1"/>
  <c r="AE91" i="33"/>
  <c r="AF91" i="33" s="1"/>
  <c r="AH91" i="33" s="1"/>
  <c r="AE92" i="33"/>
  <c r="AF92" i="33" s="1"/>
  <c r="AH92" i="33" s="1"/>
  <c r="AE93" i="33"/>
  <c r="AF93" i="33" s="1"/>
  <c r="AH93" i="33" s="1"/>
  <c r="AE94" i="33"/>
  <c r="AF94" i="33" s="1"/>
  <c r="AH94" i="33" s="1"/>
  <c r="AE95" i="33"/>
  <c r="AF95" i="33" s="1"/>
  <c r="AH95" i="33" s="1"/>
  <c r="AE96" i="33"/>
  <c r="AF96" i="33" s="1"/>
  <c r="AH96" i="33" s="1"/>
  <c r="AE97" i="33"/>
  <c r="AF97" i="33" s="1"/>
  <c r="AH97" i="33" s="1"/>
  <c r="AE98" i="33"/>
  <c r="AF98" i="33" s="1"/>
  <c r="AH98" i="33" s="1"/>
  <c r="AE99" i="33"/>
  <c r="AF99" i="33" s="1"/>
  <c r="AH99" i="33" s="1"/>
  <c r="AE100" i="33"/>
  <c r="AF100" i="33" s="1"/>
  <c r="AH100" i="33" s="1"/>
  <c r="AE101" i="33"/>
  <c r="AF101" i="33" s="1"/>
  <c r="AH101" i="33" s="1"/>
  <c r="AE111" i="33"/>
  <c r="AF111" i="33" s="1"/>
  <c r="AH111" i="33" s="1"/>
  <c r="AE127" i="33"/>
  <c r="AF127" i="33" s="1"/>
  <c r="AH127" i="33" s="1"/>
  <c r="AE132" i="33"/>
  <c r="AF132" i="33" s="1"/>
  <c r="AH132" i="33" s="1"/>
  <c r="AE167" i="33"/>
  <c r="AF167" i="33" s="1"/>
  <c r="AH167" i="33" s="1"/>
  <c r="AE201" i="33"/>
  <c r="AF201" i="33" s="1"/>
  <c r="AH201" i="33" s="1"/>
  <c r="AE225" i="33"/>
  <c r="AF225" i="33" s="1"/>
  <c r="AH225" i="33" s="1"/>
  <c r="AE263" i="33"/>
  <c r="AF263" i="33" s="1"/>
  <c r="AH263" i="33" s="1"/>
  <c r="AE268" i="33"/>
  <c r="AF268" i="33" s="1"/>
  <c r="AH268" i="33" s="1"/>
  <c r="AE233" i="33"/>
  <c r="AF233" i="33" s="1"/>
  <c r="AH233" i="33" s="1"/>
  <c r="AE234" i="33"/>
  <c r="AF234" i="33" s="1"/>
  <c r="AH234" i="33" s="1"/>
  <c r="AE235" i="33"/>
  <c r="AF235" i="33" s="1"/>
  <c r="AH235" i="33" s="1"/>
  <c r="AE236" i="33"/>
  <c r="AF236" i="33" s="1"/>
  <c r="AH236" i="33" s="1"/>
  <c r="AE237" i="33"/>
  <c r="AF237" i="33" s="1"/>
  <c r="AH237" i="33" s="1"/>
  <c r="AE244" i="33"/>
  <c r="AF244" i="33" s="1"/>
  <c r="AH244" i="33" s="1"/>
  <c r="AE245" i="33"/>
  <c r="AF245" i="33" s="1"/>
  <c r="AH245" i="33" s="1"/>
  <c r="AE248" i="33"/>
  <c r="AF248" i="33" s="1"/>
  <c r="AH248" i="33" s="1"/>
  <c r="AE252" i="33"/>
  <c r="AF252" i="33" s="1"/>
  <c r="AH252" i="33" s="1"/>
  <c r="AE256" i="33"/>
  <c r="AF256" i="33" s="1"/>
  <c r="AH256" i="33" s="1"/>
  <c r="AE274" i="33"/>
  <c r="AF274" i="33" s="1"/>
  <c r="AH274" i="33" s="1"/>
  <c r="AE275" i="33"/>
  <c r="AF275" i="33" s="1"/>
  <c r="AH275" i="33" s="1"/>
  <c r="AE276" i="33"/>
  <c r="AF276" i="33" s="1"/>
  <c r="AH276" i="33" s="1"/>
  <c r="AE277" i="33"/>
  <c r="AF277" i="33" s="1"/>
  <c r="AH277" i="33" s="1"/>
  <c r="AE278" i="33"/>
  <c r="AF278" i="33" s="1"/>
  <c r="AH278" i="33" s="1"/>
  <c r="AE279" i="33"/>
  <c r="AF279" i="33" s="1"/>
  <c r="AH279" i="33" s="1"/>
  <c r="AE280" i="33"/>
  <c r="AF280" i="33" s="1"/>
  <c r="AH280" i="33" s="1"/>
  <c r="AE281" i="33"/>
  <c r="AF281" i="33" s="1"/>
  <c r="AH281" i="33" s="1"/>
  <c r="AE154" i="33"/>
  <c r="AF154" i="33" s="1"/>
  <c r="AH154" i="33" s="1"/>
  <c r="AE155" i="33"/>
  <c r="AF155" i="33" s="1"/>
  <c r="AH155" i="33" s="1"/>
  <c r="AE169" i="33"/>
  <c r="AF169" i="33" s="1"/>
  <c r="AH169" i="33" s="1"/>
  <c r="AE194" i="33"/>
  <c r="AF194" i="33" s="1"/>
  <c r="AH194" i="33" s="1"/>
  <c r="AE224" i="33"/>
  <c r="AF224" i="33" s="1"/>
  <c r="AH224" i="33" s="1"/>
  <c r="AE227" i="33"/>
  <c r="AF227" i="33" s="1"/>
  <c r="AH227" i="33" s="1"/>
  <c r="AE238" i="33"/>
  <c r="AF238" i="33" s="1"/>
  <c r="AH238" i="33" s="1"/>
  <c r="AE157" i="33"/>
  <c r="AF157" i="33" s="1"/>
  <c r="AH157" i="33" s="1"/>
  <c r="AE158" i="33"/>
  <c r="AF158" i="33" s="1"/>
  <c r="AH158" i="33" s="1"/>
  <c r="AE164" i="33"/>
  <c r="AF164" i="33" s="1"/>
  <c r="AH164" i="33" s="1"/>
  <c r="AE196" i="33"/>
  <c r="AF196" i="33" s="1"/>
  <c r="AH196" i="33" s="1"/>
  <c r="AE203" i="33"/>
  <c r="AF203" i="33" s="1"/>
  <c r="AH203" i="33" s="1"/>
  <c r="AE226" i="33"/>
  <c r="AF226" i="33" s="1"/>
  <c r="AH226" i="33" s="1"/>
  <c r="AE246" i="33"/>
  <c r="AF246" i="33" s="1"/>
  <c r="AH246" i="33" s="1"/>
  <c r="AE250" i="33"/>
  <c r="AF250" i="33" s="1"/>
  <c r="AH250" i="33" s="1"/>
  <c r="AE254" i="33"/>
  <c r="AF254" i="33" s="1"/>
  <c r="AH254" i="33" s="1"/>
  <c r="AE258" i="33"/>
  <c r="AF258" i="33" s="1"/>
  <c r="AH258" i="33" s="1"/>
  <c r="AE25" i="33"/>
  <c r="AF25" i="33" s="1"/>
  <c r="AH25" i="33" s="1"/>
  <c r="AE28" i="33"/>
  <c r="AF28" i="33" s="1"/>
  <c r="AH28" i="33" s="1"/>
  <c r="AE34" i="33"/>
  <c r="AF34" i="33" s="1"/>
  <c r="AH34" i="33" s="1"/>
  <c r="AE36" i="33"/>
  <c r="AF36" i="33" s="1"/>
  <c r="AH36" i="33" s="1"/>
  <c r="AE38" i="33"/>
  <c r="AF38" i="33" s="1"/>
  <c r="AH38" i="33" s="1"/>
  <c r="AE39" i="33"/>
  <c r="AF39" i="33" s="1"/>
  <c r="AH39" i="33" s="1"/>
  <c r="AE40" i="33"/>
  <c r="AF40" i="33" s="1"/>
  <c r="AH40" i="33" s="1"/>
  <c r="AE41" i="33"/>
  <c r="AF41" i="33" s="1"/>
  <c r="AH41" i="33" s="1"/>
  <c r="AE23" i="33"/>
  <c r="AF23" i="33" s="1"/>
  <c r="AH23" i="33" s="1"/>
  <c r="AE26" i="33"/>
  <c r="AF26" i="33" s="1"/>
  <c r="AH26" i="33" s="1"/>
  <c r="AE43" i="33"/>
  <c r="AF43" i="33" s="1"/>
  <c r="AH43" i="33" s="1"/>
  <c r="AE22" i="33"/>
  <c r="AF22" i="33" s="1"/>
  <c r="AH22" i="33" s="1"/>
  <c r="AO43" i="33"/>
  <c r="AO44" i="33"/>
  <c r="AO47" i="33"/>
  <c r="AE55" i="33"/>
  <c r="AF55" i="33" s="1"/>
  <c r="AH55" i="33" s="1"/>
  <c r="AE81" i="33"/>
  <c r="AF81" i="33" s="1"/>
  <c r="AH81" i="33" s="1"/>
  <c r="AE85" i="33"/>
  <c r="AF85" i="33" s="1"/>
  <c r="AH85" i="33" s="1"/>
  <c r="AA350" i="33"/>
  <c r="AE20" i="33"/>
  <c r="AF20" i="33" s="1"/>
  <c r="AH20" i="33" s="1"/>
  <c r="T352" i="33"/>
  <c r="AI19" i="33"/>
  <c r="T354" i="33"/>
  <c r="AO25" i="33"/>
  <c r="AL26" i="33"/>
  <c r="H32" i="33"/>
  <c r="AE32" i="33" s="1"/>
  <c r="AF32" i="33" s="1"/>
  <c r="AH32" i="33" s="1"/>
  <c r="AE35" i="33"/>
  <c r="AF35" i="33" s="1"/>
  <c r="AH35" i="33" s="1"/>
  <c r="AE37" i="33"/>
  <c r="AF37" i="33" s="1"/>
  <c r="AH37" i="33" s="1"/>
  <c r="AO37" i="33"/>
  <c r="AE44" i="33"/>
  <c r="AF44" i="33" s="1"/>
  <c r="AH44" i="33" s="1"/>
  <c r="AE47" i="33"/>
  <c r="AF47" i="33" s="1"/>
  <c r="AH47" i="33" s="1"/>
  <c r="AE54" i="33"/>
  <c r="AF54" i="33" s="1"/>
  <c r="AH54" i="33" s="1"/>
  <c r="AE56" i="33"/>
  <c r="AF56" i="33" s="1"/>
  <c r="AH56" i="33" s="1"/>
  <c r="AB350" i="33"/>
  <c r="U18" i="33"/>
  <c r="AE18" i="33" s="1"/>
  <c r="AE21" i="33"/>
  <c r="AF21" i="33" s="1"/>
  <c r="AH21" i="33" s="1"/>
  <c r="AO27" i="33"/>
  <c r="AO39" i="33"/>
  <c r="AO46" i="33"/>
  <c r="AE48" i="33"/>
  <c r="AF48" i="33" s="1"/>
  <c r="AH48" i="33" s="1"/>
  <c r="AE52" i="33"/>
  <c r="AF52" i="33" s="1"/>
  <c r="AH52" i="33" s="1"/>
  <c r="AE60" i="33"/>
  <c r="AF60" i="33" s="1"/>
  <c r="AH60" i="33" s="1"/>
  <c r="AE64" i="33"/>
  <c r="AF64" i="33" s="1"/>
  <c r="AH64" i="33" s="1"/>
  <c r="AE72" i="33"/>
  <c r="AF72" i="33" s="1"/>
  <c r="AH72" i="33" s="1"/>
  <c r="AE73" i="33"/>
  <c r="AF73" i="33" s="1"/>
  <c r="AH73" i="33" s="1"/>
  <c r="AE74" i="33"/>
  <c r="AF74" i="33" s="1"/>
  <c r="AH74" i="33" s="1"/>
  <c r="AE75" i="33"/>
  <c r="AF75" i="33" s="1"/>
  <c r="AH75" i="33" s="1"/>
  <c r="T353" i="33"/>
  <c r="R352" i="33"/>
  <c r="R353" i="33"/>
  <c r="R354" i="33"/>
  <c r="V353" i="33"/>
  <c r="V354" i="33"/>
  <c r="V352" i="33"/>
  <c r="U19" i="33"/>
  <c r="AE19" i="33" s="1"/>
  <c r="AF19" i="33" s="1"/>
  <c r="AH19" i="33" s="1"/>
  <c r="AO29" i="33"/>
  <c r="AO41" i="33"/>
  <c r="AE57" i="33"/>
  <c r="AF57" i="33" s="1"/>
  <c r="AH57" i="33" s="1"/>
  <c r="AE58" i="33"/>
  <c r="AF58" i="33" s="1"/>
  <c r="AH58" i="33" s="1"/>
  <c r="AE61" i="33"/>
  <c r="AF61" i="33" s="1"/>
  <c r="AH61" i="33" s="1"/>
  <c r="AE62" i="33"/>
  <c r="AF62" i="33" s="1"/>
  <c r="AH62" i="33" s="1"/>
  <c r="AE80" i="33"/>
  <c r="AF80" i="33" s="1"/>
  <c r="AH80" i="33" s="1"/>
  <c r="AE83" i="33"/>
  <c r="AF83" i="33" s="1"/>
  <c r="AH83" i="33" s="1"/>
  <c r="AE84" i="33"/>
  <c r="AF84" i="33" s="1"/>
  <c r="AH84" i="33" s="1"/>
  <c r="AE82" i="33"/>
  <c r="AF82" i="33" s="1"/>
  <c r="AH82" i="33" s="1"/>
  <c r="AE102" i="33"/>
  <c r="AF102" i="33" s="1"/>
  <c r="AH102" i="33" s="1"/>
  <c r="AE124" i="33"/>
  <c r="AF124" i="33" s="1"/>
  <c r="AH124" i="33" s="1"/>
  <c r="AE125" i="33"/>
  <c r="AF125" i="33" s="1"/>
  <c r="AH125" i="33" s="1"/>
  <c r="AE103" i="33"/>
  <c r="AF103" i="33" s="1"/>
  <c r="AH103" i="33" s="1"/>
  <c r="AE104" i="33"/>
  <c r="AF104" i="33" s="1"/>
  <c r="AH104" i="33" s="1"/>
  <c r="AE105" i="33"/>
  <c r="AF105" i="33" s="1"/>
  <c r="AH105" i="33" s="1"/>
  <c r="AE106" i="33"/>
  <c r="AF106" i="33" s="1"/>
  <c r="AH106" i="33" s="1"/>
  <c r="AE107" i="33"/>
  <c r="AF107" i="33" s="1"/>
  <c r="AH107" i="33" s="1"/>
  <c r="AE108" i="33"/>
  <c r="AF108" i="33" s="1"/>
  <c r="AH108" i="33" s="1"/>
  <c r="AE109" i="33"/>
  <c r="AF109" i="33" s="1"/>
  <c r="AH109" i="33" s="1"/>
  <c r="AE110" i="33"/>
  <c r="AF110" i="33" s="1"/>
  <c r="AH110" i="33" s="1"/>
  <c r="AE112" i="33"/>
  <c r="AF112" i="33" s="1"/>
  <c r="AH112" i="33" s="1"/>
  <c r="AE113" i="33"/>
  <c r="AF113" i="33" s="1"/>
  <c r="AH113" i="33" s="1"/>
  <c r="AE114" i="33"/>
  <c r="AF114" i="33" s="1"/>
  <c r="AH114" i="33" s="1"/>
  <c r="AE115" i="33"/>
  <c r="AF115" i="33" s="1"/>
  <c r="AH115" i="33" s="1"/>
  <c r="AE116" i="33"/>
  <c r="AF116" i="33" s="1"/>
  <c r="AH116" i="33" s="1"/>
  <c r="AE117" i="33"/>
  <c r="AF117" i="33" s="1"/>
  <c r="AH117" i="33" s="1"/>
  <c r="AE118" i="33"/>
  <c r="AF118" i="33" s="1"/>
  <c r="AH118" i="33" s="1"/>
  <c r="AE119" i="33"/>
  <c r="AF119" i="33" s="1"/>
  <c r="AH119" i="33" s="1"/>
  <c r="AE120" i="33"/>
  <c r="AF120" i="33" s="1"/>
  <c r="AH120" i="33" s="1"/>
  <c r="AE121" i="33"/>
  <c r="AF121" i="33" s="1"/>
  <c r="AH121" i="33" s="1"/>
  <c r="AE122" i="33"/>
  <c r="AF122" i="33" s="1"/>
  <c r="AH122" i="33" s="1"/>
  <c r="AE123" i="33"/>
  <c r="AF123" i="33" s="1"/>
  <c r="AH123" i="33" s="1"/>
  <c r="AE129" i="33"/>
  <c r="AF129" i="33" s="1"/>
  <c r="AH129" i="33" s="1"/>
  <c r="AE130" i="33"/>
  <c r="AF130" i="33" s="1"/>
  <c r="AH130" i="33" s="1"/>
  <c r="AE131" i="33"/>
  <c r="AF131" i="33" s="1"/>
  <c r="AH131" i="33" s="1"/>
  <c r="AE126" i="33"/>
  <c r="AF126" i="33" s="1"/>
  <c r="AH126" i="33" s="1"/>
  <c r="AE133" i="33"/>
  <c r="AF133" i="33" s="1"/>
  <c r="AH133" i="33" s="1"/>
  <c r="AE135" i="33"/>
  <c r="AF135" i="33" s="1"/>
  <c r="AH135" i="33" s="1"/>
  <c r="AE166" i="33"/>
  <c r="AF166" i="33" s="1"/>
  <c r="AH166" i="33" s="1"/>
  <c r="AE168" i="33"/>
  <c r="AF168" i="33" s="1"/>
  <c r="AH168" i="33" s="1"/>
  <c r="AE176" i="33"/>
  <c r="AF176" i="33" s="1"/>
  <c r="AH176" i="33" s="1"/>
  <c r="AE177" i="33"/>
  <c r="AF177" i="33" s="1"/>
  <c r="AH177" i="33" s="1"/>
  <c r="AE186" i="33"/>
  <c r="AF186" i="33" s="1"/>
  <c r="AH186" i="33" s="1"/>
  <c r="AE190" i="33"/>
  <c r="AF190" i="33" s="1"/>
  <c r="AH190" i="33" s="1"/>
  <c r="AE184" i="33"/>
  <c r="AF184" i="33" s="1"/>
  <c r="AH184" i="33" s="1"/>
  <c r="AE134" i="33"/>
  <c r="AF134" i="33" s="1"/>
  <c r="AH134" i="33" s="1"/>
  <c r="AE163" i="33"/>
  <c r="AF163" i="33" s="1"/>
  <c r="AH163" i="33" s="1"/>
  <c r="AE185" i="33"/>
  <c r="AF185" i="33" s="1"/>
  <c r="AH185" i="33" s="1"/>
  <c r="AE192" i="33"/>
  <c r="AF192" i="33" s="1"/>
  <c r="AH192" i="33" s="1"/>
  <c r="AE156" i="33"/>
  <c r="AF156" i="33" s="1"/>
  <c r="AH156" i="33" s="1"/>
  <c r="AE165" i="33"/>
  <c r="AF165" i="33" s="1"/>
  <c r="AH165" i="33" s="1"/>
  <c r="AE170" i="33"/>
  <c r="AF170" i="33" s="1"/>
  <c r="AH170" i="33" s="1"/>
  <c r="AE171" i="33"/>
  <c r="AF171" i="33" s="1"/>
  <c r="AH171" i="33" s="1"/>
  <c r="AE172" i="33"/>
  <c r="AF172" i="33" s="1"/>
  <c r="AH172" i="33" s="1"/>
  <c r="AE173" i="33"/>
  <c r="AF173" i="33" s="1"/>
  <c r="AH173" i="33" s="1"/>
  <c r="AE174" i="33"/>
  <c r="AF174" i="33" s="1"/>
  <c r="AH174" i="33" s="1"/>
  <c r="AE175" i="33"/>
  <c r="AF175" i="33" s="1"/>
  <c r="AH175" i="33" s="1"/>
  <c r="AE187" i="33"/>
  <c r="AF187" i="33" s="1"/>
  <c r="AH187" i="33" s="1"/>
  <c r="AE193" i="33"/>
  <c r="AF193" i="33" s="1"/>
  <c r="AH193" i="33" s="1"/>
  <c r="AE197" i="33"/>
  <c r="AF197" i="33" s="1"/>
  <c r="AH197" i="33" s="1"/>
  <c r="AE208" i="33"/>
  <c r="AF208" i="33" s="1"/>
  <c r="AH208" i="33" s="1"/>
  <c r="AE209" i="33"/>
  <c r="AF209" i="33" s="1"/>
  <c r="AH209" i="33" s="1"/>
  <c r="AE210" i="33"/>
  <c r="AF210" i="33" s="1"/>
  <c r="AH210" i="33" s="1"/>
  <c r="AE220" i="33"/>
  <c r="AF220" i="33" s="1"/>
  <c r="AH220" i="33" s="1"/>
  <c r="AE188" i="33"/>
  <c r="AF188" i="33" s="1"/>
  <c r="AH188" i="33" s="1"/>
  <c r="AE198" i="33"/>
  <c r="AF198" i="33" s="1"/>
  <c r="AH198" i="33" s="1"/>
  <c r="AE200" i="33"/>
  <c r="AF200" i="33" s="1"/>
  <c r="AH200" i="33" s="1"/>
  <c r="AE202" i="33"/>
  <c r="AF202" i="33" s="1"/>
  <c r="AH202" i="33" s="1"/>
  <c r="AE195" i="33"/>
  <c r="AF195" i="33" s="1"/>
  <c r="AH195" i="33" s="1"/>
  <c r="AE199" i="33"/>
  <c r="AF199" i="33" s="1"/>
  <c r="AH199" i="33" s="1"/>
  <c r="AE189" i="33"/>
  <c r="AF189" i="33" s="1"/>
  <c r="AH189" i="33" s="1"/>
  <c r="AE204" i="33"/>
  <c r="AF204" i="33" s="1"/>
  <c r="AH204" i="33" s="1"/>
  <c r="AE205" i="33"/>
  <c r="AF205" i="33" s="1"/>
  <c r="AH205" i="33" s="1"/>
  <c r="AE206" i="33"/>
  <c r="AF206" i="33" s="1"/>
  <c r="AH206" i="33" s="1"/>
  <c r="AE207" i="33"/>
  <c r="AF207" i="33" s="1"/>
  <c r="AH207" i="33" s="1"/>
  <c r="AE211" i="33"/>
  <c r="AF211" i="33" s="1"/>
  <c r="AH211" i="33" s="1"/>
  <c r="AE212" i="33"/>
  <c r="AF212" i="33" s="1"/>
  <c r="AH212" i="33" s="1"/>
  <c r="AE213" i="33"/>
  <c r="AF213" i="33" s="1"/>
  <c r="AH213" i="33" s="1"/>
  <c r="AE214" i="33"/>
  <c r="AF214" i="33" s="1"/>
  <c r="AH214" i="33" s="1"/>
  <c r="AE215" i="33"/>
  <c r="AF215" i="33" s="1"/>
  <c r="AH215" i="33" s="1"/>
  <c r="AE216" i="33"/>
  <c r="AF216" i="33" s="1"/>
  <c r="AH216" i="33" s="1"/>
  <c r="AE217" i="33"/>
  <c r="AF217" i="33" s="1"/>
  <c r="AH217" i="33" s="1"/>
  <c r="AE218" i="33"/>
  <c r="AF218" i="33" s="1"/>
  <c r="AH218" i="33" s="1"/>
  <c r="AE219" i="33"/>
  <c r="AF219" i="33" s="1"/>
  <c r="AH219" i="33" s="1"/>
  <c r="AE249" i="33"/>
  <c r="AF249" i="33" s="1"/>
  <c r="AH249" i="33" s="1"/>
  <c r="AE253" i="33"/>
  <c r="AF253" i="33" s="1"/>
  <c r="AH253" i="33" s="1"/>
  <c r="AE257" i="33"/>
  <c r="AF257" i="33" s="1"/>
  <c r="AH257" i="33" s="1"/>
  <c r="AE221" i="33"/>
  <c r="AF221" i="33" s="1"/>
  <c r="AH221" i="33" s="1"/>
  <c r="AE228" i="33"/>
  <c r="AF228" i="33" s="1"/>
  <c r="AH228" i="33" s="1"/>
  <c r="AE239" i="33"/>
  <c r="AF239" i="33" s="1"/>
  <c r="AH239" i="33" s="1"/>
  <c r="AE241" i="33"/>
  <c r="AF241" i="33" s="1"/>
  <c r="AH241" i="33" s="1"/>
  <c r="AE243" i="33"/>
  <c r="AF243" i="33" s="1"/>
  <c r="AH243" i="33" s="1"/>
  <c r="AE247" i="33"/>
  <c r="AF247" i="33" s="1"/>
  <c r="AH247" i="33" s="1"/>
  <c r="AE251" i="33"/>
  <c r="AF251" i="33" s="1"/>
  <c r="AH251" i="33" s="1"/>
  <c r="AE255" i="33"/>
  <c r="AF255" i="33" s="1"/>
  <c r="AH255" i="33" s="1"/>
  <c r="AE259" i="33"/>
  <c r="AF259" i="33" s="1"/>
  <c r="AH259" i="33" s="1"/>
  <c r="AE222" i="33"/>
  <c r="AF222" i="33" s="1"/>
  <c r="AH222" i="33" s="1"/>
  <c r="AE223" i="33"/>
  <c r="AF223" i="33" s="1"/>
  <c r="AH223" i="33" s="1"/>
  <c r="AE229" i="33"/>
  <c r="AF229" i="33" s="1"/>
  <c r="AH229" i="33" s="1"/>
  <c r="AE230" i="33"/>
  <c r="AF230" i="33" s="1"/>
  <c r="AH230" i="33" s="1"/>
  <c r="AE231" i="33"/>
  <c r="AF231" i="33" s="1"/>
  <c r="AH231" i="33" s="1"/>
  <c r="AE232" i="33"/>
  <c r="AF232" i="33" s="1"/>
  <c r="AH232" i="33" s="1"/>
  <c r="AE240" i="33"/>
  <c r="AF240" i="33" s="1"/>
  <c r="AH240" i="33" s="1"/>
  <c r="AE242" i="33"/>
  <c r="AF242" i="33" s="1"/>
  <c r="AH242" i="33" s="1"/>
  <c r="AE260" i="33"/>
  <c r="AF260" i="33" s="1"/>
  <c r="AH260" i="33" s="1"/>
  <c r="AE264" i="33"/>
  <c r="AF264" i="33" s="1"/>
  <c r="AH264" i="33" s="1"/>
  <c r="AE265" i="33"/>
  <c r="AF265" i="33" s="1"/>
  <c r="AH265" i="33" s="1"/>
  <c r="AE269" i="33"/>
  <c r="AF269" i="33" s="1"/>
  <c r="AH269" i="33" s="1"/>
  <c r="AE273" i="33"/>
  <c r="AF273" i="33" s="1"/>
  <c r="AH273" i="33" s="1"/>
  <c r="AE261" i="33"/>
  <c r="AF261" i="33" s="1"/>
  <c r="AH261" i="33" s="1"/>
  <c r="AE266" i="33"/>
  <c r="AF266" i="33" s="1"/>
  <c r="AH266" i="33" s="1"/>
  <c r="AE270" i="33"/>
  <c r="AF270" i="33" s="1"/>
  <c r="AH270" i="33" s="1"/>
  <c r="AE262" i="33"/>
  <c r="AF262" i="33" s="1"/>
  <c r="AH262" i="33" s="1"/>
  <c r="AE267" i="33"/>
  <c r="AF267" i="33" s="1"/>
  <c r="AH267" i="33" s="1"/>
  <c r="AE271" i="33"/>
  <c r="AF271" i="33" s="1"/>
  <c r="AH271" i="33" s="1"/>
  <c r="AE272" i="33"/>
  <c r="AF272" i="33" s="1"/>
  <c r="AH272" i="33" s="1"/>
  <c r="AE282" i="33"/>
  <c r="AF282" i="33" s="1"/>
  <c r="AH282" i="33" s="1"/>
  <c r="AE283" i="33"/>
  <c r="AF283" i="33" s="1"/>
  <c r="AH283" i="33" s="1"/>
  <c r="AE284" i="33"/>
  <c r="AF284" i="33" s="1"/>
  <c r="AH284" i="33" s="1"/>
  <c r="T356" i="33" l="1"/>
  <c r="A283" i="34"/>
  <c r="T283" i="34"/>
  <c r="A284" i="34"/>
  <c r="AE350" i="33"/>
  <c r="AF18" i="33"/>
  <c r="A21" i="33"/>
  <c r="AI21" i="33" s="1"/>
  <c r="A22" i="33"/>
  <c r="AI22" i="33" s="1"/>
  <c r="AL27" i="33"/>
  <c r="T284" i="34" l="1"/>
  <c r="A285" i="34"/>
  <c r="AH18" i="33"/>
  <c r="AH350" i="33" s="1"/>
  <c r="AF350" i="33"/>
  <c r="A23" i="33"/>
  <c r="AI23" i="33" s="1"/>
  <c r="AL28" i="33"/>
  <c r="T285" i="34" l="1"/>
  <c r="A286" i="34"/>
  <c r="A24" i="33"/>
  <c r="A25" i="33" s="1"/>
  <c r="AL29" i="33"/>
  <c r="AI24" i="33" l="1"/>
  <c r="T286" i="34"/>
  <c r="A287" i="34"/>
  <c r="A26" i="33"/>
  <c r="AI26" i="33" s="1"/>
  <c r="AI25" i="33"/>
  <c r="AL30" i="33"/>
  <c r="T287" i="34" l="1"/>
  <c r="A288" i="34"/>
  <c r="A27" i="33"/>
  <c r="AI27" i="33" s="1"/>
  <c r="AL31" i="33"/>
  <c r="AL32" i="33" s="1"/>
  <c r="A289" i="34" l="1"/>
  <c r="T288" i="34"/>
  <c r="A28" i="33"/>
  <c r="AL33" i="33"/>
  <c r="AL34" i="33" s="1"/>
  <c r="AL35" i="33" s="1"/>
  <c r="AL36" i="33" s="1"/>
  <c r="AL37" i="33" s="1"/>
  <c r="AL38" i="33" s="1"/>
  <c r="AL39" i="33" s="1"/>
  <c r="AL40" i="33" s="1"/>
  <c r="AL41" i="33" s="1"/>
  <c r="AL42" i="33" s="1"/>
  <c r="AL43" i="33" s="1"/>
  <c r="AL44" i="33" s="1"/>
  <c r="AL45" i="33" s="1"/>
  <c r="AL46" i="33" s="1"/>
  <c r="AL47" i="33" s="1"/>
  <c r="A290" i="34" l="1"/>
  <c r="T289" i="34"/>
  <c r="A29" i="33"/>
  <c r="AI28" i="33"/>
  <c r="A291" i="34" l="1"/>
  <c r="T290" i="34"/>
  <c r="AI29" i="33"/>
  <c r="A30" i="33"/>
  <c r="A292" i="34" l="1"/>
  <c r="T291" i="34"/>
  <c r="A31" i="33"/>
  <c r="AI30" i="33"/>
  <c r="A293" i="34" l="1"/>
  <c r="T292" i="34"/>
  <c r="AI31" i="33"/>
  <c r="A32" i="33"/>
  <c r="Q14" i="22"/>
  <c r="Q33" i="22"/>
  <c r="Q15" i="22"/>
  <c r="Q16" i="22"/>
  <c r="Q17" i="22"/>
  <c r="Q18" i="22"/>
  <c r="Q19" i="22"/>
  <c r="Q20" i="22"/>
  <c r="Q24" i="22"/>
  <c r="Q25" i="22"/>
  <c r="Q45" i="22"/>
  <c r="Q22" i="22"/>
  <c r="Q23" i="22"/>
  <c r="Q26" i="22"/>
  <c r="Q28" i="22"/>
  <c r="Q29" i="22"/>
  <c r="Q30" i="22"/>
  <c r="Q31" i="22"/>
  <c r="Q32" i="22"/>
  <c r="Q34" i="22"/>
  <c r="Q35" i="22"/>
  <c r="Q36" i="22"/>
  <c r="Q37" i="22"/>
  <c r="Q38" i="22"/>
  <c r="Q39" i="22"/>
  <c r="Q40" i="22"/>
  <c r="Q41" i="22"/>
  <c r="Q48" i="22"/>
  <c r="Q44" i="22"/>
  <c r="Q49" i="22"/>
  <c r="Q50" i="22"/>
  <c r="Q51" i="22"/>
  <c r="Q52" i="22"/>
  <c r="Q43" i="22"/>
  <c r="Q53" i="22"/>
  <c r="Q27" i="22"/>
  <c r="Q47" i="22"/>
  <c r="Q54" i="22"/>
  <c r="Q42" i="22"/>
  <c r="Q46" i="22"/>
  <c r="Q55" i="22"/>
  <c r="Q56" i="22"/>
  <c r="Q57" i="22"/>
  <c r="Q58" i="22"/>
  <c r="Q59" i="22"/>
  <c r="Q60" i="22"/>
  <c r="Q61" i="22"/>
  <c r="Q62" i="22"/>
  <c r="Q63" i="22"/>
  <c r="Q64" i="22"/>
  <c r="Q70" i="22"/>
  <c r="Q65" i="22"/>
  <c r="Q66" i="22"/>
  <c r="Q67" i="22"/>
  <c r="Q68" i="22"/>
  <c r="Q69" i="22"/>
  <c r="Q71" i="22"/>
  <c r="Q72" i="22"/>
  <c r="Q73" i="22"/>
  <c r="Q13" i="22"/>
  <c r="A294" i="34" l="1"/>
  <c r="T293" i="34"/>
  <c r="H98" i="6"/>
  <c r="AI32" i="33"/>
  <c r="A33" i="33"/>
  <c r="Q74" i="22"/>
  <c r="K98" i="6"/>
  <c r="A295" i="34" l="1"/>
  <c r="T294" i="34"/>
  <c r="P98" i="6"/>
  <c r="AI33" i="33"/>
  <c r="A34" i="33"/>
  <c r="A296" i="34" l="1"/>
  <c r="T295" i="34"/>
  <c r="AI34" i="33"/>
  <c r="A35" i="33"/>
  <c r="A297" i="34" l="1"/>
  <c r="T296" i="34"/>
  <c r="AI35" i="33"/>
  <c r="A36" i="33"/>
  <c r="AI36" i="33" s="1"/>
  <c r="A37" i="33" l="1"/>
  <c r="A38" i="33" s="1"/>
  <c r="A298" i="34"/>
  <c r="T297" i="34"/>
  <c r="AI37" i="33"/>
  <c r="AI38" i="33"/>
  <c r="A39" i="33"/>
  <c r="A299" i="34" l="1"/>
  <c r="T298" i="34"/>
  <c r="AI39" i="33"/>
  <c r="A40" i="33"/>
  <c r="A300" i="34" l="1"/>
  <c r="T299" i="34"/>
  <c r="AI40" i="33"/>
  <c r="A41" i="33"/>
  <c r="A301" i="34" l="1"/>
  <c r="T300" i="34"/>
  <c r="AI41" i="33"/>
  <c r="A42" i="33"/>
  <c r="A302" i="34" l="1"/>
  <c r="T301" i="34"/>
  <c r="AI42" i="33"/>
  <c r="A43" i="33"/>
  <c r="A303" i="34" l="1"/>
  <c r="T302" i="34"/>
  <c r="AI43" i="33"/>
  <c r="A44" i="33"/>
  <c r="A304" i="34" l="1"/>
  <c r="T303" i="34"/>
  <c r="AI44" i="33"/>
  <c r="A45" i="33"/>
  <c r="A305" i="34" l="1"/>
  <c r="T304" i="34"/>
  <c r="AI45" i="33"/>
  <c r="A46" i="33"/>
  <c r="A306" i="34" l="1"/>
  <c r="T305" i="34"/>
  <c r="AI46" i="33"/>
  <c r="A47" i="33"/>
  <c r="A307" i="34" l="1"/>
  <c r="T306" i="34"/>
  <c r="AI47" i="33"/>
  <c r="A48" i="33"/>
  <c r="A308" i="34" l="1"/>
  <c r="T307" i="34"/>
  <c r="AI48" i="33"/>
  <c r="A49" i="33"/>
  <c r="M74" i="22"/>
  <c r="M80" i="22"/>
  <c r="M83" i="22"/>
  <c r="M82" i="22"/>
  <c r="M81" i="22"/>
  <c r="A309" i="34" l="1"/>
  <c r="T308" i="34"/>
  <c r="AI49" i="33"/>
  <c r="A50" i="33"/>
  <c r="J274" i="6"/>
  <c r="A310" i="34" l="1"/>
  <c r="T309" i="34"/>
  <c r="AI50" i="33"/>
  <c r="A51" i="33"/>
  <c r="A311" i="34" l="1"/>
  <c r="T310" i="34"/>
  <c r="AI51" i="33"/>
  <c r="A52" i="33"/>
  <c r="A312" i="34" l="1"/>
  <c r="T311" i="34"/>
  <c r="AI52" i="33"/>
  <c r="A53" i="33"/>
  <c r="T108" i="6"/>
  <c r="A313" i="34" l="1"/>
  <c r="T312" i="34"/>
  <c r="AI53" i="33"/>
  <c r="A54" i="33"/>
  <c r="A314" i="34" l="1"/>
  <c r="T313" i="34"/>
  <c r="AI54" i="33"/>
  <c r="A55" i="33"/>
  <c r="K40" i="6"/>
  <c r="K21" i="6"/>
  <c r="K22" i="6"/>
  <c r="K23" i="6"/>
  <c r="K20" i="6"/>
  <c r="K82" i="6"/>
  <c r="K19" i="6"/>
  <c r="K24" i="6"/>
  <c r="K25" i="6"/>
  <c r="K27" i="6"/>
  <c r="K29" i="6"/>
  <c r="K30" i="6"/>
  <c r="K31" i="6"/>
  <c r="K32" i="6"/>
  <c r="K76" i="6"/>
  <c r="K77" i="6"/>
  <c r="K75" i="6"/>
  <c r="K78" i="6"/>
  <c r="K28" i="6"/>
  <c r="K33" i="6"/>
  <c r="K26" i="6"/>
  <c r="K42" i="6"/>
  <c r="K45" i="6"/>
  <c r="K34" i="6"/>
  <c r="K35" i="6"/>
  <c r="K36" i="6"/>
  <c r="K37" i="6"/>
  <c r="K38" i="6"/>
  <c r="K41" i="6"/>
  <c r="K46" i="6"/>
  <c r="K65" i="6"/>
  <c r="K73" i="6"/>
  <c r="K47" i="6"/>
  <c r="K48" i="6"/>
  <c r="K49" i="6"/>
  <c r="K50" i="6"/>
  <c r="K51" i="6"/>
  <c r="K58" i="6"/>
  <c r="K16" i="6"/>
  <c r="K57" i="6"/>
  <c r="K59" i="6"/>
  <c r="K60" i="6"/>
  <c r="K61" i="6"/>
  <c r="K62" i="6"/>
  <c r="K63" i="6"/>
  <c r="K64" i="6"/>
  <c r="K72" i="6"/>
  <c r="K67" i="6"/>
  <c r="K68" i="6"/>
  <c r="K69" i="6"/>
  <c r="K70" i="6"/>
  <c r="K71" i="6"/>
  <c r="K110" i="6"/>
  <c r="K158" i="6"/>
  <c r="K79" i="6"/>
  <c r="K80" i="6"/>
  <c r="K44" i="6"/>
  <c r="K52" i="6"/>
  <c r="K53" i="6"/>
  <c r="K56" i="6"/>
  <c r="K66" i="6"/>
  <c r="K74" i="6"/>
  <c r="K81" i="6"/>
  <c r="K261" i="6"/>
  <c r="K262" i="6"/>
  <c r="K263" i="6"/>
  <c r="K83" i="6"/>
  <c r="K84" i="6"/>
  <c r="K85" i="6"/>
  <c r="K86" i="6"/>
  <c r="K87" i="6"/>
  <c r="K88" i="6"/>
  <c r="K89" i="6"/>
  <c r="K90" i="6"/>
  <c r="K91" i="6"/>
  <c r="K39" i="6"/>
  <c r="K92" i="6"/>
  <c r="K93" i="6"/>
  <c r="K94" i="6"/>
  <c r="K95" i="6"/>
  <c r="K97" i="6"/>
  <c r="K99" i="6"/>
  <c r="K100" i="6"/>
  <c r="K101" i="6"/>
  <c r="K102" i="6"/>
  <c r="K103" i="6"/>
  <c r="K104" i="6"/>
  <c r="K105" i="6"/>
  <c r="K106" i="6"/>
  <c r="K107" i="6"/>
  <c r="K43" i="6"/>
  <c r="K111" i="6"/>
  <c r="K112" i="6"/>
  <c r="K113" i="6"/>
  <c r="K114" i="6"/>
  <c r="K115" i="6"/>
  <c r="K116" i="6"/>
  <c r="K117" i="6"/>
  <c r="K118" i="6"/>
  <c r="K119" i="6"/>
  <c r="K109" i="6"/>
  <c r="K120" i="6"/>
  <c r="K121" i="6"/>
  <c r="K122" i="6"/>
  <c r="K123" i="6"/>
  <c r="K124" i="6"/>
  <c r="K125" i="6"/>
  <c r="K126" i="6"/>
  <c r="K127" i="6"/>
  <c r="K128" i="6"/>
  <c r="K129" i="6"/>
  <c r="K143" i="6"/>
  <c r="K144" i="6"/>
  <c r="K145" i="6"/>
  <c r="K146" i="6"/>
  <c r="K147" i="6"/>
  <c r="K148" i="6"/>
  <c r="K142" i="6"/>
  <c r="K149" i="6"/>
  <c r="K150" i="6"/>
  <c r="K151" i="6"/>
  <c r="K152" i="6"/>
  <c r="K153" i="6"/>
  <c r="K154" i="6"/>
  <c r="K155" i="6"/>
  <c r="K156" i="6"/>
  <c r="K108" i="6"/>
  <c r="K131" i="6"/>
  <c r="K96" i="6"/>
  <c r="K132" i="6"/>
  <c r="K133" i="6"/>
  <c r="K134" i="6"/>
  <c r="K135" i="6"/>
  <c r="K136" i="6"/>
  <c r="K137" i="6"/>
  <c r="K138" i="6"/>
  <c r="K139" i="6"/>
  <c r="K140" i="6"/>
  <c r="K141" i="6"/>
  <c r="K159" i="6"/>
  <c r="K160" i="6"/>
  <c r="K161" i="6"/>
  <c r="K162" i="6"/>
  <c r="K163" i="6"/>
  <c r="K164" i="6"/>
  <c r="K165" i="6"/>
  <c r="K166" i="6"/>
  <c r="K167" i="6"/>
  <c r="K168" i="6"/>
  <c r="K169" i="6"/>
  <c r="K170" i="6"/>
  <c r="K171" i="6"/>
  <c r="K172" i="6"/>
  <c r="K173" i="6"/>
  <c r="K174" i="6"/>
  <c r="K175" i="6"/>
  <c r="K176" i="6"/>
  <c r="K177" i="6"/>
  <c r="K178" i="6"/>
  <c r="K179" i="6"/>
  <c r="K180" i="6"/>
  <c r="K181" i="6"/>
  <c r="K182" i="6"/>
  <c r="K183" i="6"/>
  <c r="K184" i="6"/>
  <c r="K185" i="6"/>
  <c r="K186" i="6"/>
  <c r="K187" i="6"/>
  <c r="K188" i="6"/>
  <c r="K189" i="6"/>
  <c r="K190" i="6"/>
  <c r="K191" i="6"/>
  <c r="K192" i="6"/>
  <c r="K193" i="6"/>
  <c r="K194" i="6"/>
  <c r="K195" i="6"/>
  <c r="K196" i="6"/>
  <c r="K198" i="6"/>
  <c r="K199" i="6"/>
  <c r="K200" i="6"/>
  <c r="K201" i="6"/>
  <c r="K202" i="6"/>
  <c r="K203" i="6"/>
  <c r="K204" i="6"/>
  <c r="K205" i="6"/>
  <c r="K206" i="6"/>
  <c r="K207" i="6"/>
  <c r="K208" i="6"/>
  <c r="K209" i="6"/>
  <c r="K210" i="6"/>
  <c r="K211" i="6"/>
  <c r="K212" i="6"/>
  <c r="K213" i="6"/>
  <c r="K214" i="6"/>
  <c r="K215" i="6"/>
  <c r="K216" i="6"/>
  <c r="K217" i="6"/>
  <c r="K218" i="6"/>
  <c r="K219" i="6"/>
  <c r="K220" i="6"/>
  <c r="K221" i="6"/>
  <c r="K222" i="6"/>
  <c r="K223" i="6"/>
  <c r="K224" i="6"/>
  <c r="K225" i="6"/>
  <c r="K226" i="6"/>
  <c r="K227" i="6"/>
  <c r="K228" i="6"/>
  <c r="K229" i="6"/>
  <c r="K230" i="6"/>
  <c r="K231" i="6"/>
  <c r="K232" i="6"/>
  <c r="K233" i="6"/>
  <c r="K234" i="6"/>
  <c r="K235" i="6"/>
  <c r="K237" i="6"/>
  <c r="K238" i="6"/>
  <c r="K239" i="6"/>
  <c r="K240" i="6"/>
  <c r="K241" i="6"/>
  <c r="K242" i="6"/>
  <c r="K243" i="6"/>
  <c r="K244" i="6"/>
  <c r="K245" i="6"/>
  <c r="K246" i="6"/>
  <c r="K247" i="6"/>
  <c r="K248" i="6"/>
  <c r="K249" i="6"/>
  <c r="K250" i="6"/>
  <c r="K251" i="6"/>
  <c r="K252" i="6"/>
  <c r="K253" i="6"/>
  <c r="K254" i="6"/>
  <c r="K255" i="6"/>
  <c r="K256" i="6"/>
  <c r="K257" i="6"/>
  <c r="K258" i="6"/>
  <c r="K259" i="6"/>
  <c r="K260" i="6"/>
  <c r="K264" i="6"/>
  <c r="K265" i="6"/>
  <c r="K266" i="6"/>
  <c r="K267" i="6"/>
  <c r="K268" i="6"/>
  <c r="K269" i="6"/>
  <c r="K270" i="6"/>
  <c r="K13" i="6"/>
  <c r="K14" i="6"/>
  <c r="K15" i="6"/>
  <c r="K236" i="6"/>
  <c r="K18" i="6"/>
  <c r="K17" i="6"/>
  <c r="K54" i="6"/>
  <c r="P64" i="22"/>
  <c r="O64" i="22"/>
  <c r="O70" i="22"/>
  <c r="J64" i="22"/>
  <c r="K64" i="22" s="1"/>
  <c r="J70" i="22"/>
  <c r="A315" i="34" l="1"/>
  <c r="T314" i="34"/>
  <c r="L64" i="22"/>
  <c r="N64" i="22" s="1"/>
  <c r="V64" i="22" s="1"/>
  <c r="P156" i="6"/>
  <c r="AI55" i="33"/>
  <c r="A56" i="33"/>
  <c r="A316" i="34" l="1"/>
  <c r="T315" i="34"/>
  <c r="P332" i="34"/>
  <c r="Q332" i="34" s="1"/>
  <c r="S332" i="34" s="1"/>
  <c r="AI56" i="33"/>
  <c r="A57" i="33"/>
  <c r="A317" i="34" l="1"/>
  <c r="T316" i="34"/>
  <c r="AI57" i="33"/>
  <c r="A58" i="33"/>
  <c r="A318" i="34" l="1"/>
  <c r="T317" i="34"/>
  <c r="AI58" i="33"/>
  <c r="A59" i="33"/>
  <c r="A319" i="34" l="1"/>
  <c r="T318" i="34"/>
  <c r="AI59" i="33"/>
  <c r="A60" i="33"/>
  <c r="A320" i="34" l="1"/>
  <c r="T319" i="34"/>
  <c r="AI60" i="33"/>
  <c r="A61" i="33"/>
  <c r="A321" i="34" l="1"/>
  <c r="T320" i="34"/>
  <c r="AI61" i="33"/>
  <c r="A62" i="33"/>
  <c r="A322" i="34" l="1"/>
  <c r="T321" i="34"/>
  <c r="AI62" i="33"/>
  <c r="A63" i="33"/>
  <c r="A323" i="34" l="1"/>
  <c r="T322" i="34"/>
  <c r="AI63" i="33"/>
  <c r="A64" i="33"/>
  <c r="A324" i="34" l="1"/>
  <c r="T323" i="34"/>
  <c r="AI64" i="33"/>
  <c r="A65" i="33"/>
  <c r="A325" i="34" l="1"/>
  <c r="T324" i="34"/>
  <c r="AI65" i="33"/>
  <c r="A66" i="33"/>
  <c r="O14" i="22"/>
  <c r="O33" i="22"/>
  <c r="O15" i="22"/>
  <c r="O16" i="22"/>
  <c r="O17" i="22"/>
  <c r="O18" i="22"/>
  <c r="O19" i="22"/>
  <c r="O20" i="22"/>
  <c r="O24" i="22"/>
  <c r="O25" i="22"/>
  <c r="O45" i="22"/>
  <c r="O22" i="22"/>
  <c r="O23" i="22"/>
  <c r="O26" i="22"/>
  <c r="O28" i="22"/>
  <c r="O29" i="22"/>
  <c r="O30" i="22"/>
  <c r="O31" i="22"/>
  <c r="O32" i="22"/>
  <c r="O34" i="22"/>
  <c r="O35" i="22"/>
  <c r="O36" i="22"/>
  <c r="O37" i="22"/>
  <c r="O38" i="22"/>
  <c r="O39" i="22"/>
  <c r="O40" i="22"/>
  <c r="O41" i="22"/>
  <c r="O48" i="22"/>
  <c r="O44" i="22"/>
  <c r="O49" i="22"/>
  <c r="O50" i="22"/>
  <c r="O51" i="22"/>
  <c r="O52" i="22"/>
  <c r="O43" i="22"/>
  <c r="O53" i="22"/>
  <c r="O27" i="22"/>
  <c r="O47" i="22"/>
  <c r="O54" i="22"/>
  <c r="O42" i="22"/>
  <c r="O46" i="22"/>
  <c r="O55" i="22"/>
  <c r="O56" i="22"/>
  <c r="O57" i="22"/>
  <c r="O58" i="22"/>
  <c r="O59" i="22"/>
  <c r="O60" i="22"/>
  <c r="O61" i="22"/>
  <c r="O62" i="22"/>
  <c r="O63" i="22"/>
  <c r="O65" i="22"/>
  <c r="O66" i="22"/>
  <c r="O67" i="22"/>
  <c r="O68" i="22"/>
  <c r="O69" i="22"/>
  <c r="O71" i="22"/>
  <c r="O72" i="22"/>
  <c r="O73" i="22"/>
  <c r="O13" i="22"/>
  <c r="A326" i="34" l="1"/>
  <c r="T325" i="34"/>
  <c r="AI66" i="33"/>
  <c r="A67" i="33"/>
  <c r="R74" i="22"/>
  <c r="O74" i="22"/>
  <c r="P33" i="22"/>
  <c r="P15" i="22"/>
  <c r="P16" i="22"/>
  <c r="P17" i="22"/>
  <c r="P18" i="22"/>
  <c r="P19" i="22"/>
  <c r="P20" i="22"/>
  <c r="P24" i="22"/>
  <c r="P25" i="22"/>
  <c r="P45" i="22"/>
  <c r="P22" i="22"/>
  <c r="P23" i="22"/>
  <c r="P26" i="22"/>
  <c r="P28" i="22"/>
  <c r="P29" i="22"/>
  <c r="P30" i="22"/>
  <c r="P31" i="22"/>
  <c r="P32" i="22"/>
  <c r="P34" i="22"/>
  <c r="P35" i="22"/>
  <c r="P36" i="22"/>
  <c r="P37" i="22"/>
  <c r="P38" i="22"/>
  <c r="P39" i="22"/>
  <c r="P40" i="22"/>
  <c r="P41" i="22"/>
  <c r="P48" i="22"/>
  <c r="P44" i="22"/>
  <c r="P49" i="22"/>
  <c r="P50" i="22"/>
  <c r="P51" i="22"/>
  <c r="P52" i="22"/>
  <c r="P43" i="22"/>
  <c r="P53" i="22"/>
  <c r="P27" i="22"/>
  <c r="P47" i="22"/>
  <c r="P54" i="22"/>
  <c r="P42" i="22"/>
  <c r="P46" i="22"/>
  <c r="P55" i="22"/>
  <c r="P56" i="22"/>
  <c r="P57" i="22"/>
  <c r="P58" i="22"/>
  <c r="P59" i="22"/>
  <c r="P60" i="22"/>
  <c r="P61" i="22"/>
  <c r="P62" i="22"/>
  <c r="P63" i="22"/>
  <c r="P70" i="22"/>
  <c r="P65" i="22"/>
  <c r="P66" i="22"/>
  <c r="P67" i="22"/>
  <c r="P68" i="22"/>
  <c r="P69" i="22"/>
  <c r="P71" i="22"/>
  <c r="P72" i="22"/>
  <c r="P73" i="22"/>
  <c r="P14" i="22"/>
  <c r="P13" i="22"/>
  <c r="J14" i="22"/>
  <c r="K14" i="22" s="1"/>
  <c r="L14" i="22" s="1"/>
  <c r="J33" i="22"/>
  <c r="K33" i="22" s="1"/>
  <c r="J15" i="22"/>
  <c r="K15" i="22" s="1"/>
  <c r="J16" i="22"/>
  <c r="K16" i="22" s="1"/>
  <c r="J17" i="22"/>
  <c r="K17" i="22" s="1"/>
  <c r="J18" i="22"/>
  <c r="K18" i="22" s="1"/>
  <c r="J19" i="22"/>
  <c r="K19" i="22" s="1"/>
  <c r="J20" i="22"/>
  <c r="K20" i="22" s="1"/>
  <c r="J24" i="22"/>
  <c r="K24" i="22" s="1"/>
  <c r="J25" i="22"/>
  <c r="K25" i="22" s="1"/>
  <c r="J45" i="22"/>
  <c r="K45" i="22" s="1"/>
  <c r="J22" i="22"/>
  <c r="K22" i="22" s="1"/>
  <c r="J23" i="22"/>
  <c r="K23" i="22" s="1"/>
  <c r="J26" i="22"/>
  <c r="K26" i="22" s="1"/>
  <c r="J28" i="22"/>
  <c r="K28" i="22" s="1"/>
  <c r="J29" i="22"/>
  <c r="K29" i="22" s="1"/>
  <c r="J30" i="22"/>
  <c r="K30" i="22" s="1"/>
  <c r="J31" i="22"/>
  <c r="K31" i="22" s="1"/>
  <c r="J32" i="22"/>
  <c r="K32" i="22" s="1"/>
  <c r="J34" i="22"/>
  <c r="K34" i="22" s="1"/>
  <c r="J35" i="22"/>
  <c r="K35" i="22" s="1"/>
  <c r="J36" i="22"/>
  <c r="K36" i="22" s="1"/>
  <c r="J37" i="22"/>
  <c r="K37" i="22" s="1"/>
  <c r="J38" i="22"/>
  <c r="K38" i="22" s="1"/>
  <c r="J39" i="22"/>
  <c r="K39" i="22" s="1"/>
  <c r="J40" i="22"/>
  <c r="K40" i="22" s="1"/>
  <c r="J41" i="22"/>
  <c r="K41" i="22" s="1"/>
  <c r="J48" i="22"/>
  <c r="K48" i="22" s="1"/>
  <c r="J44" i="22"/>
  <c r="K44" i="22" s="1"/>
  <c r="J49" i="22"/>
  <c r="K49" i="22" s="1"/>
  <c r="J50" i="22"/>
  <c r="K50" i="22" s="1"/>
  <c r="J51" i="22"/>
  <c r="K51" i="22" s="1"/>
  <c r="J52" i="22"/>
  <c r="K52" i="22" s="1"/>
  <c r="J43" i="22"/>
  <c r="K43" i="22" s="1"/>
  <c r="J53" i="22"/>
  <c r="K53" i="22" s="1"/>
  <c r="J27" i="22"/>
  <c r="K27" i="22" s="1"/>
  <c r="J47" i="22"/>
  <c r="K47" i="22" s="1"/>
  <c r="J54" i="22"/>
  <c r="K54" i="22" s="1"/>
  <c r="J42" i="22"/>
  <c r="K42" i="22" s="1"/>
  <c r="J46" i="22"/>
  <c r="K46" i="22" s="1"/>
  <c r="J55" i="22"/>
  <c r="K55" i="22" s="1"/>
  <c r="J56" i="22"/>
  <c r="K56" i="22" s="1"/>
  <c r="J57" i="22"/>
  <c r="K57" i="22" s="1"/>
  <c r="J58" i="22"/>
  <c r="K58" i="22" s="1"/>
  <c r="J59" i="22"/>
  <c r="K59" i="22" s="1"/>
  <c r="J60" i="22"/>
  <c r="K60" i="22" s="1"/>
  <c r="J61" i="22"/>
  <c r="K61" i="22" s="1"/>
  <c r="J62" i="22"/>
  <c r="K62" i="22" s="1"/>
  <c r="J63" i="22"/>
  <c r="K63" i="22" s="1"/>
  <c r="K70" i="22"/>
  <c r="J65" i="22"/>
  <c r="K65" i="22" s="1"/>
  <c r="J66" i="22"/>
  <c r="K66" i="22" s="1"/>
  <c r="J67" i="22"/>
  <c r="K67" i="22" s="1"/>
  <c r="J68" i="22"/>
  <c r="K68" i="22" s="1"/>
  <c r="J69" i="22"/>
  <c r="K69" i="22" s="1"/>
  <c r="J71" i="22"/>
  <c r="K71" i="22" s="1"/>
  <c r="J72" i="22"/>
  <c r="K72" i="22" s="1"/>
  <c r="J73" i="22"/>
  <c r="K73" i="22" s="1"/>
  <c r="J13" i="22"/>
  <c r="K13" i="22" s="1"/>
  <c r="L13" i="22" s="1"/>
  <c r="A327" i="34" l="1"/>
  <c r="T326" i="34"/>
  <c r="L72" i="22"/>
  <c r="N72" i="22" s="1"/>
  <c r="V72" i="22" s="1"/>
  <c r="L67" i="22"/>
  <c r="N67" i="22" s="1"/>
  <c r="V67" i="22" s="1"/>
  <c r="L70" i="22"/>
  <c r="N70" i="22" s="1"/>
  <c r="V70" i="22" s="1"/>
  <c r="L60" i="22"/>
  <c r="N60" i="22" s="1"/>
  <c r="V60" i="22" s="1"/>
  <c r="L56" i="22"/>
  <c r="N56" i="22" s="1"/>
  <c r="V56" i="22" s="1"/>
  <c r="L54" i="22"/>
  <c r="N54" i="22" s="1"/>
  <c r="V54" i="22" s="1"/>
  <c r="L43" i="22"/>
  <c r="N43" i="22" s="1"/>
  <c r="V43" i="22" s="1"/>
  <c r="L49" i="22"/>
  <c r="N49" i="22" s="1"/>
  <c r="V49" i="22" s="1"/>
  <c r="L40" i="22"/>
  <c r="N40" i="22" s="1"/>
  <c r="V40" i="22" s="1"/>
  <c r="L37" i="22"/>
  <c r="N37" i="22" s="1"/>
  <c r="V37" i="22" s="1"/>
  <c r="L34" i="22"/>
  <c r="N34" i="22" s="1"/>
  <c r="V34" i="22" s="1"/>
  <c r="L29" i="22"/>
  <c r="N29" i="22" s="1"/>
  <c r="V29" i="22" s="1"/>
  <c r="L22" i="22"/>
  <c r="N22" i="22" s="1"/>
  <c r="V22" i="22" s="1"/>
  <c r="L20" i="22"/>
  <c r="N20" i="22" s="1"/>
  <c r="V20" i="22" s="1"/>
  <c r="L16" i="22"/>
  <c r="N16" i="22" s="1"/>
  <c r="V16" i="22" s="1"/>
  <c r="L71" i="22"/>
  <c r="N71" i="22" s="1"/>
  <c r="V71" i="22" s="1"/>
  <c r="L66" i="22"/>
  <c r="N66" i="22" s="1"/>
  <c r="V66" i="22" s="1"/>
  <c r="L63" i="22"/>
  <c r="N63" i="22" s="1"/>
  <c r="V63" i="22" s="1"/>
  <c r="L59" i="22"/>
  <c r="N59" i="22" s="1"/>
  <c r="V59" i="22" s="1"/>
  <c r="L55" i="22"/>
  <c r="N55" i="22" s="1"/>
  <c r="V55" i="22" s="1"/>
  <c r="L47" i="22"/>
  <c r="N47" i="22" s="1"/>
  <c r="V47" i="22" s="1"/>
  <c r="L52" i="22"/>
  <c r="N52" i="22" s="1"/>
  <c r="V52" i="22" s="1"/>
  <c r="L44" i="22"/>
  <c r="N44" i="22" s="1"/>
  <c r="V44" i="22" s="1"/>
  <c r="L36" i="22"/>
  <c r="N36" i="22" s="1"/>
  <c r="V36" i="22" s="1"/>
  <c r="L32" i="22"/>
  <c r="N32" i="22" s="1"/>
  <c r="V32" i="22" s="1"/>
  <c r="L28" i="22"/>
  <c r="N28" i="22" s="1"/>
  <c r="V28" i="22" s="1"/>
  <c r="L45" i="22"/>
  <c r="N45" i="22" s="1"/>
  <c r="V45" i="22" s="1"/>
  <c r="L19" i="22"/>
  <c r="N19" i="22" s="1"/>
  <c r="V19" i="22" s="1"/>
  <c r="L69" i="22"/>
  <c r="N69" i="22" s="1"/>
  <c r="V69" i="22" s="1"/>
  <c r="L62" i="22"/>
  <c r="N62" i="22" s="1"/>
  <c r="V62" i="22" s="1"/>
  <c r="L58" i="22"/>
  <c r="N58" i="22" s="1"/>
  <c r="V58" i="22" s="1"/>
  <c r="L46" i="22"/>
  <c r="N46" i="22" s="1"/>
  <c r="V46" i="22" s="1"/>
  <c r="L27" i="22"/>
  <c r="N27" i="22" s="1"/>
  <c r="V27" i="22" s="1"/>
  <c r="L51" i="22"/>
  <c r="N51" i="22" s="1"/>
  <c r="V51" i="22" s="1"/>
  <c r="L48" i="22"/>
  <c r="N48" i="22" s="1"/>
  <c r="V48" i="22" s="1"/>
  <c r="L39" i="22"/>
  <c r="N39" i="22" s="1"/>
  <c r="V39" i="22" s="1"/>
  <c r="L35" i="22"/>
  <c r="N35" i="22" s="1"/>
  <c r="V35" i="22" s="1"/>
  <c r="L31" i="22"/>
  <c r="N31" i="22" s="1"/>
  <c r="V31" i="22" s="1"/>
  <c r="L26" i="22"/>
  <c r="N26" i="22" s="1"/>
  <c r="V26" i="22" s="1"/>
  <c r="L25" i="22"/>
  <c r="N25" i="22" s="1"/>
  <c r="V25" i="22" s="1"/>
  <c r="L18" i="22"/>
  <c r="N18" i="22" s="1"/>
  <c r="V18" i="22" s="1"/>
  <c r="L15" i="22"/>
  <c r="N15" i="22" s="1"/>
  <c r="V15" i="22" s="1"/>
  <c r="L73" i="22"/>
  <c r="N73" i="22" s="1"/>
  <c r="V73" i="22" s="1"/>
  <c r="L68" i="22"/>
  <c r="N68" i="22" s="1"/>
  <c r="V68" i="22" s="1"/>
  <c r="L65" i="22"/>
  <c r="N65" i="22" s="1"/>
  <c r="V65" i="22" s="1"/>
  <c r="L61" i="22"/>
  <c r="N61" i="22" s="1"/>
  <c r="V61" i="22" s="1"/>
  <c r="L57" i="22"/>
  <c r="N57" i="22" s="1"/>
  <c r="V57" i="22" s="1"/>
  <c r="L42" i="22"/>
  <c r="N42" i="22" s="1"/>
  <c r="V42" i="22" s="1"/>
  <c r="L53" i="22"/>
  <c r="N53" i="22" s="1"/>
  <c r="V53" i="22" s="1"/>
  <c r="L50" i="22"/>
  <c r="N50" i="22" s="1"/>
  <c r="V50" i="22" s="1"/>
  <c r="L41" i="22"/>
  <c r="N41" i="22" s="1"/>
  <c r="V41" i="22" s="1"/>
  <c r="L38" i="22"/>
  <c r="N38" i="22" s="1"/>
  <c r="V38" i="22" s="1"/>
  <c r="L30" i="22"/>
  <c r="N30" i="22" s="1"/>
  <c r="V30" i="22" s="1"/>
  <c r="L23" i="22"/>
  <c r="N23" i="22" s="1"/>
  <c r="V23" i="22" s="1"/>
  <c r="L24" i="22"/>
  <c r="N24" i="22" s="1"/>
  <c r="V24" i="22" s="1"/>
  <c r="L17" i="22"/>
  <c r="N17" i="22" s="1"/>
  <c r="V17" i="22" s="1"/>
  <c r="L33" i="22"/>
  <c r="N33" i="22" s="1"/>
  <c r="V33" i="22" s="1"/>
  <c r="AI67" i="33"/>
  <c r="A68" i="33"/>
  <c r="P74" i="22"/>
  <c r="J74" i="22"/>
  <c r="A328" i="34" l="1"/>
  <c r="T327" i="34"/>
  <c r="P281" i="34"/>
  <c r="Q281" i="34" s="1"/>
  <c r="S281" i="34" s="1"/>
  <c r="P313" i="34"/>
  <c r="Q313" i="34" s="1"/>
  <c r="S313" i="34" s="1"/>
  <c r="P329" i="34"/>
  <c r="Q329" i="34" s="1"/>
  <c r="S329" i="34" s="1"/>
  <c r="P285" i="34"/>
  <c r="Q285" i="34" s="1"/>
  <c r="S285" i="34" s="1"/>
  <c r="P301" i="34"/>
  <c r="Q301" i="34" s="1"/>
  <c r="S301" i="34" s="1"/>
  <c r="P317" i="34"/>
  <c r="Q317" i="34" s="1"/>
  <c r="S317" i="34" s="1"/>
  <c r="P334" i="34"/>
  <c r="Q334" i="34" s="1"/>
  <c r="S334" i="34" s="1"/>
  <c r="P286" i="34"/>
  <c r="Q286" i="34" s="1"/>
  <c r="S286" i="34" s="1"/>
  <c r="P302" i="34"/>
  <c r="Q302" i="34" s="1"/>
  <c r="S302" i="34" s="1"/>
  <c r="P318" i="34"/>
  <c r="Q318" i="34" s="1"/>
  <c r="S318" i="34" s="1"/>
  <c r="P335" i="34"/>
  <c r="Q335" i="34" s="1"/>
  <c r="S335" i="34" s="1"/>
  <c r="P291" i="34"/>
  <c r="Q291" i="34" s="1"/>
  <c r="S291" i="34" s="1"/>
  <c r="P307" i="34"/>
  <c r="Q307" i="34" s="1"/>
  <c r="S307" i="34" s="1"/>
  <c r="P323" i="34"/>
  <c r="Q323" i="34" s="1"/>
  <c r="S323" i="34" s="1"/>
  <c r="P340" i="34"/>
  <c r="Q340" i="34" s="1"/>
  <c r="S340" i="34" s="1"/>
  <c r="P296" i="34"/>
  <c r="Q296" i="34" s="1"/>
  <c r="S296" i="34" s="1"/>
  <c r="P312" i="34"/>
  <c r="Q312" i="34" s="1"/>
  <c r="S312" i="34" s="1"/>
  <c r="P328" i="34"/>
  <c r="Q328" i="34" s="1"/>
  <c r="S328" i="34" s="1"/>
  <c r="P305" i="34"/>
  <c r="Q305" i="34" s="1"/>
  <c r="S305" i="34" s="1"/>
  <c r="P338" i="34"/>
  <c r="Q338" i="34" s="1"/>
  <c r="S338" i="34" s="1"/>
  <c r="P290" i="34"/>
  <c r="Q290" i="34" s="1"/>
  <c r="S290" i="34" s="1"/>
  <c r="P306" i="34"/>
  <c r="Q306" i="34" s="1"/>
  <c r="S306" i="34" s="1"/>
  <c r="P322" i="34"/>
  <c r="Q322" i="34" s="1"/>
  <c r="S322" i="34" s="1"/>
  <c r="P339" i="34"/>
  <c r="Q339" i="34" s="1"/>
  <c r="S339" i="34" s="1"/>
  <c r="P295" i="34"/>
  <c r="Q295" i="34" s="1"/>
  <c r="S295" i="34" s="1"/>
  <c r="P311" i="34"/>
  <c r="Q311" i="34" s="1"/>
  <c r="S311" i="34" s="1"/>
  <c r="P327" i="34"/>
  <c r="Q327" i="34" s="1"/>
  <c r="S327" i="34" s="1"/>
  <c r="P284" i="34"/>
  <c r="Q284" i="34" s="1"/>
  <c r="S284" i="34" s="1"/>
  <c r="P300" i="34"/>
  <c r="Q300" i="34" s="1"/>
  <c r="S300" i="34" s="1"/>
  <c r="P316" i="34"/>
  <c r="Q316" i="34" s="1"/>
  <c r="S316" i="34" s="1"/>
  <c r="P333" i="34"/>
  <c r="Q333" i="34" s="1"/>
  <c r="S333" i="34" s="1"/>
  <c r="P289" i="34"/>
  <c r="Q289" i="34" s="1"/>
  <c r="S289" i="34" s="1"/>
  <c r="P321" i="34"/>
  <c r="Q321" i="34" s="1"/>
  <c r="S321" i="34" s="1"/>
  <c r="P293" i="34"/>
  <c r="Q293" i="34" s="1"/>
  <c r="S293" i="34" s="1"/>
  <c r="P309" i="34"/>
  <c r="Q309" i="34" s="1"/>
  <c r="S309" i="34" s="1"/>
  <c r="P325" i="34"/>
  <c r="Q325" i="34" s="1"/>
  <c r="S325" i="34" s="1"/>
  <c r="P342" i="34"/>
  <c r="Q342" i="34" s="1"/>
  <c r="S342" i="34" s="1"/>
  <c r="P294" i="34"/>
  <c r="Q294" i="34" s="1"/>
  <c r="S294" i="34" s="1"/>
  <c r="P310" i="34"/>
  <c r="Q310" i="34" s="1"/>
  <c r="S310" i="34" s="1"/>
  <c r="P326" i="34"/>
  <c r="Q326" i="34" s="1"/>
  <c r="S326" i="34" s="1"/>
  <c r="P283" i="34"/>
  <c r="Q283" i="34" s="1"/>
  <c r="S283" i="34" s="1"/>
  <c r="P299" i="34"/>
  <c r="Q299" i="34" s="1"/>
  <c r="S299" i="34" s="1"/>
  <c r="P315" i="34"/>
  <c r="Q315" i="34" s="1"/>
  <c r="S315" i="34" s="1"/>
  <c r="P331" i="34"/>
  <c r="Q331" i="34" s="1"/>
  <c r="S331" i="34" s="1"/>
  <c r="P288" i="34"/>
  <c r="Q288" i="34" s="1"/>
  <c r="S288" i="34" s="1"/>
  <c r="P304" i="34"/>
  <c r="Q304" i="34" s="1"/>
  <c r="S304" i="34" s="1"/>
  <c r="P320" i="34"/>
  <c r="Q320" i="34" s="1"/>
  <c r="S320" i="34" s="1"/>
  <c r="P337" i="34"/>
  <c r="Q337" i="34" s="1"/>
  <c r="S337" i="34" s="1"/>
  <c r="P297" i="34"/>
  <c r="Q297" i="34" s="1"/>
  <c r="S297" i="34" s="1"/>
  <c r="P282" i="34"/>
  <c r="Q282" i="34" s="1"/>
  <c r="S282" i="34" s="1"/>
  <c r="P298" i="34"/>
  <c r="Q298" i="34" s="1"/>
  <c r="S298" i="34" s="1"/>
  <c r="P314" i="34"/>
  <c r="Q314" i="34" s="1"/>
  <c r="S314" i="34" s="1"/>
  <c r="P330" i="34"/>
  <c r="Q330" i="34" s="1"/>
  <c r="S330" i="34" s="1"/>
  <c r="P287" i="34"/>
  <c r="Q287" i="34" s="1"/>
  <c r="S287" i="34" s="1"/>
  <c r="P303" i="34"/>
  <c r="Q303" i="34" s="1"/>
  <c r="S303" i="34" s="1"/>
  <c r="P319" i="34"/>
  <c r="Q319" i="34" s="1"/>
  <c r="S319" i="34" s="1"/>
  <c r="P336" i="34"/>
  <c r="Q336" i="34" s="1"/>
  <c r="S336" i="34" s="1"/>
  <c r="P292" i="34"/>
  <c r="Q292" i="34" s="1"/>
  <c r="S292" i="34" s="1"/>
  <c r="P308" i="34"/>
  <c r="Q308" i="34" s="1"/>
  <c r="S308" i="34" s="1"/>
  <c r="P324" i="34"/>
  <c r="Q324" i="34" s="1"/>
  <c r="S324" i="34" s="1"/>
  <c r="P341" i="34"/>
  <c r="Q341" i="34" s="1"/>
  <c r="S341" i="34" s="1"/>
  <c r="AI68" i="33"/>
  <c r="A69" i="33"/>
  <c r="K74" i="22"/>
  <c r="A329" i="34" l="1"/>
  <c r="T328" i="34"/>
  <c r="AI69" i="33"/>
  <c r="A70" i="33"/>
  <c r="L74" i="22"/>
  <c r="I16" i="31"/>
  <c r="L16" i="31" s="1"/>
  <c r="T15" i="31"/>
  <c r="I15" i="31"/>
  <c r="L15" i="31" s="1"/>
  <c r="Q14" i="31"/>
  <c r="T14" i="31" s="1"/>
  <c r="I14" i="31"/>
  <c r="L14" i="31" s="1"/>
  <c r="I13" i="31"/>
  <c r="Q12" i="31"/>
  <c r="I12" i="31"/>
  <c r="L12" i="31" s="1"/>
  <c r="Q11" i="31"/>
  <c r="T11" i="31" s="1"/>
  <c r="Q10" i="31"/>
  <c r="T10" i="31" s="1"/>
  <c r="I10" i="31"/>
  <c r="L10" i="31" s="1"/>
  <c r="Q9" i="31"/>
  <c r="I9" i="31"/>
  <c r="A330" i="34" l="1"/>
  <c r="T329" i="34"/>
  <c r="AI70" i="33"/>
  <c r="A71" i="33"/>
  <c r="T18" i="21"/>
  <c r="I18" i="21"/>
  <c r="L18" i="21" s="1"/>
  <c r="T17" i="21"/>
  <c r="I17" i="21"/>
  <c r="L17" i="21" s="1"/>
  <c r="T16" i="21"/>
  <c r="I16" i="21"/>
  <c r="L16" i="21" s="1"/>
  <c r="T15" i="21"/>
  <c r="I15" i="21"/>
  <c r="L15" i="21" s="1"/>
  <c r="Q14" i="21"/>
  <c r="T14" i="21" s="1"/>
  <c r="I14" i="21"/>
  <c r="L14" i="21" s="1"/>
  <c r="Q13" i="21"/>
  <c r="T13" i="21" s="1"/>
  <c r="I13" i="21"/>
  <c r="L13" i="21" s="1"/>
  <c r="Q12" i="21"/>
  <c r="T12" i="21" s="1"/>
  <c r="I12" i="21"/>
  <c r="L12" i="21" s="1"/>
  <c r="I11" i="21"/>
  <c r="Q10" i="21"/>
  <c r="I10" i="21"/>
  <c r="L10" i="21" s="1"/>
  <c r="Q9" i="21"/>
  <c r="I9" i="21"/>
  <c r="A331" i="34" l="1"/>
  <c r="T330" i="34"/>
  <c r="AI71" i="33"/>
  <c r="A72" i="33"/>
  <c r="A332" i="34" l="1"/>
  <c r="T331" i="34"/>
  <c r="AI72" i="33"/>
  <c r="A73" i="33"/>
  <c r="N14" i="22"/>
  <c r="V14" i="22" s="1"/>
  <c r="N13" i="22"/>
  <c r="V13" i="22" s="1"/>
  <c r="A333" i="34" l="1"/>
  <c r="T332" i="34"/>
  <c r="P279" i="34"/>
  <c r="Q279" i="34" s="1"/>
  <c r="S279" i="34" s="1"/>
  <c r="P280" i="34"/>
  <c r="Q280" i="34" s="1"/>
  <c r="S280" i="34" s="1"/>
  <c r="N74" i="22"/>
  <c r="AI73" i="33"/>
  <c r="A74" i="33"/>
  <c r="A334" i="34" l="1"/>
  <c r="T333" i="34"/>
  <c r="S343" i="34"/>
  <c r="Q343" i="34"/>
  <c r="AI74" i="33"/>
  <c r="A75" i="33"/>
  <c r="A335" i="34" l="1"/>
  <c r="T334" i="34"/>
  <c r="AI75" i="33"/>
  <c r="A76" i="33"/>
  <c r="A336" i="34" l="1"/>
  <c r="T335" i="34"/>
  <c r="AI76" i="33"/>
  <c r="A77" i="33"/>
  <c r="A337" i="34" l="1"/>
  <c r="T336" i="34"/>
  <c r="AI77" i="33"/>
  <c r="A78" i="33"/>
  <c r="A338" i="34" l="1"/>
  <c r="T337" i="34"/>
  <c r="AI78" i="33"/>
  <c r="A79" i="33"/>
  <c r="A339" i="34" l="1"/>
  <c r="T338" i="34"/>
  <c r="AI79" i="33"/>
  <c r="A80" i="33"/>
  <c r="A340" i="34" l="1"/>
  <c r="T339" i="34"/>
  <c r="AI80" i="33"/>
  <c r="A81" i="33"/>
  <c r="A341" i="34" l="1"/>
  <c r="T340" i="34"/>
  <c r="AI81" i="33"/>
  <c r="A82" i="33"/>
  <c r="A342" i="34" l="1"/>
  <c r="T342" i="34" s="1"/>
  <c r="T341" i="34"/>
  <c r="AI82" i="33"/>
  <c r="A83" i="33"/>
  <c r="AI83" i="33" l="1"/>
  <c r="A84" i="33"/>
  <c r="K271" i="6"/>
  <c r="H270" i="6"/>
  <c r="P270" i="6" s="1"/>
  <c r="H269" i="6"/>
  <c r="P269" i="6" s="1"/>
  <c r="H268" i="6"/>
  <c r="P268" i="6" s="1"/>
  <c r="H267" i="6"/>
  <c r="P267" i="6" s="1"/>
  <c r="H266" i="6"/>
  <c r="P266" i="6" s="1"/>
  <c r="H265" i="6"/>
  <c r="P265" i="6" s="1"/>
  <c r="H264" i="6"/>
  <c r="P264" i="6" s="1"/>
  <c r="H260" i="6"/>
  <c r="P260" i="6" s="1"/>
  <c r="H259" i="6"/>
  <c r="P259" i="6" s="1"/>
  <c r="H258" i="6"/>
  <c r="P258" i="6" s="1"/>
  <c r="H257" i="6"/>
  <c r="P257" i="6" s="1"/>
  <c r="H256" i="6"/>
  <c r="P256" i="6" s="1"/>
  <c r="H255" i="6"/>
  <c r="P255" i="6" s="1"/>
  <c r="H254" i="6"/>
  <c r="P254" i="6" s="1"/>
  <c r="H253" i="6"/>
  <c r="P253" i="6" s="1"/>
  <c r="H252" i="6"/>
  <c r="P252" i="6" s="1"/>
  <c r="H251" i="6"/>
  <c r="P251" i="6" s="1"/>
  <c r="H250" i="6"/>
  <c r="P250" i="6" s="1"/>
  <c r="H249" i="6"/>
  <c r="P249" i="6" s="1"/>
  <c r="H248" i="6"/>
  <c r="P248" i="6" s="1"/>
  <c r="H247" i="6"/>
  <c r="P247" i="6" s="1"/>
  <c r="H246" i="6"/>
  <c r="P246" i="6" s="1"/>
  <c r="H245" i="6"/>
  <c r="P245" i="6" s="1"/>
  <c r="H244" i="6"/>
  <c r="P244" i="6" s="1"/>
  <c r="H243" i="6"/>
  <c r="P243" i="6" s="1"/>
  <c r="H242" i="6"/>
  <c r="P242" i="6" s="1"/>
  <c r="H241" i="6"/>
  <c r="P241" i="6" s="1"/>
  <c r="H240" i="6"/>
  <c r="P240" i="6" s="1"/>
  <c r="H239" i="6"/>
  <c r="P239" i="6" s="1"/>
  <c r="H238" i="6"/>
  <c r="P238" i="6" s="1"/>
  <c r="H237" i="6"/>
  <c r="P237" i="6" s="1"/>
  <c r="H235" i="6"/>
  <c r="P235" i="6" s="1"/>
  <c r="H234" i="6"/>
  <c r="P234" i="6" s="1"/>
  <c r="H233" i="6"/>
  <c r="P233" i="6" s="1"/>
  <c r="H232" i="6"/>
  <c r="P232" i="6" s="1"/>
  <c r="H231" i="6"/>
  <c r="P231" i="6" s="1"/>
  <c r="H230" i="6"/>
  <c r="P230" i="6" s="1"/>
  <c r="H229" i="6"/>
  <c r="P229" i="6" s="1"/>
  <c r="H228" i="6"/>
  <c r="P228" i="6" s="1"/>
  <c r="H227" i="6"/>
  <c r="P227" i="6" s="1"/>
  <c r="H226" i="6"/>
  <c r="P226" i="6" s="1"/>
  <c r="H225" i="6"/>
  <c r="P225" i="6" s="1"/>
  <c r="H224" i="6"/>
  <c r="P224" i="6" s="1"/>
  <c r="H223" i="6"/>
  <c r="P223" i="6" s="1"/>
  <c r="H222" i="6"/>
  <c r="P222" i="6" s="1"/>
  <c r="H221" i="6"/>
  <c r="P221" i="6" s="1"/>
  <c r="H220" i="6"/>
  <c r="P220" i="6" s="1"/>
  <c r="H219" i="6"/>
  <c r="P219" i="6" s="1"/>
  <c r="H218" i="6"/>
  <c r="P218" i="6" s="1"/>
  <c r="H217" i="6"/>
  <c r="P217" i="6" s="1"/>
  <c r="H216" i="6"/>
  <c r="P216" i="6" s="1"/>
  <c r="H215" i="6"/>
  <c r="P215" i="6" s="1"/>
  <c r="H214" i="6"/>
  <c r="P214" i="6" s="1"/>
  <c r="H213" i="6"/>
  <c r="P213" i="6" s="1"/>
  <c r="H212" i="6"/>
  <c r="P212" i="6" s="1"/>
  <c r="H211" i="6"/>
  <c r="P211" i="6" s="1"/>
  <c r="H210" i="6"/>
  <c r="P210" i="6" s="1"/>
  <c r="H209" i="6"/>
  <c r="P209" i="6" s="1"/>
  <c r="H208" i="6"/>
  <c r="P208" i="6" s="1"/>
  <c r="I207" i="6"/>
  <c r="H207" i="6"/>
  <c r="H206" i="6"/>
  <c r="P206" i="6" s="1"/>
  <c r="H205" i="6"/>
  <c r="P205" i="6" s="1"/>
  <c r="H204" i="6"/>
  <c r="P204" i="6" s="1"/>
  <c r="H203" i="6"/>
  <c r="P203" i="6" s="1"/>
  <c r="H202" i="6"/>
  <c r="P202" i="6" s="1"/>
  <c r="H201" i="6"/>
  <c r="P201" i="6" s="1"/>
  <c r="H200" i="6"/>
  <c r="P200" i="6" s="1"/>
  <c r="H199" i="6"/>
  <c r="P199" i="6" s="1"/>
  <c r="H198" i="6"/>
  <c r="P198" i="6" s="1"/>
  <c r="H197" i="6"/>
  <c r="P197" i="6" s="1"/>
  <c r="H196" i="6"/>
  <c r="P196" i="6" s="1"/>
  <c r="H195" i="6"/>
  <c r="P195" i="6" s="1"/>
  <c r="H194" i="6"/>
  <c r="P194" i="6" s="1"/>
  <c r="H193" i="6"/>
  <c r="P193" i="6" s="1"/>
  <c r="H192" i="6"/>
  <c r="P192" i="6" s="1"/>
  <c r="H191" i="6"/>
  <c r="P191" i="6" s="1"/>
  <c r="H190" i="6"/>
  <c r="P190" i="6" s="1"/>
  <c r="H189" i="6"/>
  <c r="P189" i="6" s="1"/>
  <c r="H188" i="6"/>
  <c r="P188" i="6" s="1"/>
  <c r="H187" i="6"/>
  <c r="P187" i="6" s="1"/>
  <c r="H186" i="6"/>
  <c r="P186" i="6" s="1"/>
  <c r="H185" i="6"/>
  <c r="P185" i="6" s="1"/>
  <c r="H184" i="6"/>
  <c r="P184" i="6" s="1"/>
  <c r="I183" i="6"/>
  <c r="H183" i="6"/>
  <c r="H182" i="6"/>
  <c r="P182" i="6" s="1"/>
  <c r="H181" i="6"/>
  <c r="P181" i="6" s="1"/>
  <c r="H180" i="6"/>
  <c r="P180" i="6" s="1"/>
  <c r="H179" i="6"/>
  <c r="P179" i="6" s="1"/>
  <c r="H178" i="6"/>
  <c r="P178" i="6" s="1"/>
  <c r="H177" i="6"/>
  <c r="P177" i="6" s="1"/>
  <c r="H176" i="6"/>
  <c r="P176" i="6" s="1"/>
  <c r="H175" i="6"/>
  <c r="P175" i="6" s="1"/>
  <c r="H174" i="6"/>
  <c r="P174" i="6" s="1"/>
  <c r="H173" i="6"/>
  <c r="P173" i="6" s="1"/>
  <c r="H172" i="6"/>
  <c r="P172" i="6" s="1"/>
  <c r="H171" i="6"/>
  <c r="P171" i="6" s="1"/>
  <c r="H170" i="6"/>
  <c r="P170" i="6" s="1"/>
  <c r="H169" i="6"/>
  <c r="P169" i="6" s="1"/>
  <c r="H168" i="6"/>
  <c r="P168" i="6" s="1"/>
  <c r="H167" i="6"/>
  <c r="P167" i="6" s="1"/>
  <c r="H166" i="6"/>
  <c r="P166" i="6" s="1"/>
  <c r="H165" i="6"/>
  <c r="P165" i="6" s="1"/>
  <c r="H164" i="6"/>
  <c r="P164" i="6" s="1"/>
  <c r="H163" i="6"/>
  <c r="P163" i="6" s="1"/>
  <c r="H162" i="6"/>
  <c r="P162" i="6" s="1"/>
  <c r="H161" i="6"/>
  <c r="P161" i="6" s="1"/>
  <c r="H160" i="6"/>
  <c r="P160" i="6" s="1"/>
  <c r="H159" i="6"/>
  <c r="P159" i="6" s="1"/>
  <c r="H141" i="6"/>
  <c r="P141" i="6" s="1"/>
  <c r="H140" i="6"/>
  <c r="P140" i="6" s="1"/>
  <c r="H139" i="6"/>
  <c r="P139" i="6" s="1"/>
  <c r="H138" i="6"/>
  <c r="P138" i="6" s="1"/>
  <c r="H137" i="6"/>
  <c r="P137" i="6" s="1"/>
  <c r="H136" i="6"/>
  <c r="P136" i="6" s="1"/>
  <c r="H135" i="6"/>
  <c r="P135" i="6" s="1"/>
  <c r="H134" i="6"/>
  <c r="P134" i="6" s="1"/>
  <c r="H133" i="6"/>
  <c r="P133" i="6" s="1"/>
  <c r="H132" i="6"/>
  <c r="P132" i="6" s="1"/>
  <c r="H96" i="6"/>
  <c r="P96" i="6" s="1"/>
  <c r="H131" i="6"/>
  <c r="P131" i="6" s="1"/>
  <c r="H108" i="6"/>
  <c r="P108" i="6" s="1"/>
  <c r="H130" i="6"/>
  <c r="H155" i="6"/>
  <c r="P155" i="6" s="1"/>
  <c r="H154" i="6"/>
  <c r="P154" i="6" s="1"/>
  <c r="H153" i="6"/>
  <c r="P153" i="6" s="1"/>
  <c r="H152" i="6"/>
  <c r="P152" i="6" s="1"/>
  <c r="H151" i="6"/>
  <c r="P151" i="6" s="1"/>
  <c r="H150" i="6"/>
  <c r="P150" i="6" s="1"/>
  <c r="H149" i="6"/>
  <c r="P149" i="6" s="1"/>
  <c r="H142" i="6"/>
  <c r="P142" i="6" s="1"/>
  <c r="H148" i="6"/>
  <c r="P148" i="6" s="1"/>
  <c r="H147" i="6"/>
  <c r="P147" i="6" s="1"/>
  <c r="H146" i="6"/>
  <c r="P146" i="6" s="1"/>
  <c r="H145" i="6"/>
  <c r="P145" i="6" s="1"/>
  <c r="H144" i="6"/>
  <c r="P144" i="6" s="1"/>
  <c r="H143" i="6"/>
  <c r="P143" i="6" s="1"/>
  <c r="H129" i="6"/>
  <c r="P129" i="6" s="1"/>
  <c r="H128" i="6"/>
  <c r="P128" i="6" s="1"/>
  <c r="H127" i="6"/>
  <c r="P127" i="6" s="1"/>
  <c r="H126" i="6"/>
  <c r="P126" i="6" s="1"/>
  <c r="I125" i="6"/>
  <c r="H125" i="6"/>
  <c r="H124" i="6"/>
  <c r="P124" i="6" s="1"/>
  <c r="H123" i="6"/>
  <c r="P123" i="6" s="1"/>
  <c r="H122" i="6"/>
  <c r="P122" i="6" s="1"/>
  <c r="H121" i="6"/>
  <c r="P121" i="6" s="1"/>
  <c r="H120" i="6"/>
  <c r="P120" i="6" s="1"/>
  <c r="H109" i="6"/>
  <c r="P109" i="6" s="1"/>
  <c r="H119" i="6"/>
  <c r="P119" i="6" s="1"/>
  <c r="H118" i="6"/>
  <c r="P118" i="6" s="1"/>
  <c r="H117" i="6"/>
  <c r="P117" i="6" s="1"/>
  <c r="H116" i="6"/>
  <c r="P116" i="6" s="1"/>
  <c r="H115" i="6"/>
  <c r="P115" i="6" s="1"/>
  <c r="H114" i="6"/>
  <c r="P114" i="6" s="1"/>
  <c r="H113" i="6"/>
  <c r="P113" i="6" s="1"/>
  <c r="H112" i="6"/>
  <c r="P112" i="6" s="1"/>
  <c r="H111" i="6"/>
  <c r="P111" i="6" s="1"/>
  <c r="H43" i="6"/>
  <c r="P43" i="6" s="1"/>
  <c r="H107" i="6"/>
  <c r="P107" i="6" s="1"/>
  <c r="H106" i="6"/>
  <c r="P106" i="6" s="1"/>
  <c r="H105" i="6"/>
  <c r="H104" i="6"/>
  <c r="P104" i="6" s="1"/>
  <c r="H103" i="6"/>
  <c r="P103" i="6" s="1"/>
  <c r="H102" i="6"/>
  <c r="P102" i="6" s="1"/>
  <c r="H101" i="6"/>
  <c r="P101" i="6" s="1"/>
  <c r="H100" i="6"/>
  <c r="P100" i="6" s="1"/>
  <c r="H99" i="6"/>
  <c r="P99" i="6" s="1"/>
  <c r="H97" i="6"/>
  <c r="P97" i="6" s="1"/>
  <c r="H95" i="6"/>
  <c r="P95" i="6" s="1"/>
  <c r="H94" i="6"/>
  <c r="P94" i="6" s="1"/>
  <c r="H93" i="6"/>
  <c r="P93" i="6" s="1"/>
  <c r="H92" i="6"/>
  <c r="P92" i="6" s="1"/>
  <c r="H39" i="6"/>
  <c r="P39" i="6" s="1"/>
  <c r="H91" i="6"/>
  <c r="P91" i="6" s="1"/>
  <c r="H90" i="6"/>
  <c r="P90" i="6" s="1"/>
  <c r="H89" i="6"/>
  <c r="P89" i="6" s="1"/>
  <c r="H88" i="6"/>
  <c r="P88" i="6" s="1"/>
  <c r="H87" i="6"/>
  <c r="P87" i="6" s="1"/>
  <c r="H86" i="6"/>
  <c r="P86" i="6" s="1"/>
  <c r="H85" i="6"/>
  <c r="P85" i="6" s="1"/>
  <c r="H84" i="6"/>
  <c r="P84" i="6" s="1"/>
  <c r="H83" i="6"/>
  <c r="P83" i="6" s="1"/>
  <c r="H263" i="6"/>
  <c r="P263" i="6" s="1"/>
  <c r="H262" i="6"/>
  <c r="P262" i="6" s="1"/>
  <c r="H261" i="6"/>
  <c r="P261" i="6" s="1"/>
  <c r="H81" i="6"/>
  <c r="P81" i="6" s="1"/>
  <c r="H74" i="6"/>
  <c r="P74" i="6" s="1"/>
  <c r="H66" i="6"/>
  <c r="P66" i="6" s="1"/>
  <c r="H56" i="6"/>
  <c r="P56" i="6" s="1"/>
  <c r="H53" i="6"/>
  <c r="P53" i="6" s="1"/>
  <c r="H52" i="6"/>
  <c r="P52" i="6" s="1"/>
  <c r="H44" i="6"/>
  <c r="P44" i="6" s="1"/>
  <c r="H80" i="6"/>
  <c r="P80" i="6" s="1"/>
  <c r="H79" i="6"/>
  <c r="P79" i="6" s="1"/>
  <c r="H158" i="6"/>
  <c r="P158" i="6" s="1"/>
  <c r="H110" i="6"/>
  <c r="P110" i="6" s="1"/>
  <c r="H71" i="6"/>
  <c r="P71" i="6" s="1"/>
  <c r="H70" i="6"/>
  <c r="P70" i="6" s="1"/>
  <c r="H69" i="6"/>
  <c r="P69" i="6" s="1"/>
  <c r="H68" i="6"/>
  <c r="P68" i="6" s="1"/>
  <c r="H67" i="6"/>
  <c r="P67" i="6" s="1"/>
  <c r="H72" i="6"/>
  <c r="P72" i="6" s="1"/>
  <c r="H64" i="6"/>
  <c r="P64" i="6" s="1"/>
  <c r="H63" i="6"/>
  <c r="P63" i="6" s="1"/>
  <c r="H62" i="6"/>
  <c r="P62" i="6" s="1"/>
  <c r="H61" i="6"/>
  <c r="P61" i="6" s="1"/>
  <c r="H60" i="6"/>
  <c r="P60" i="6" s="1"/>
  <c r="H59" i="6"/>
  <c r="P59" i="6" s="1"/>
  <c r="H57" i="6"/>
  <c r="P57" i="6" s="1"/>
  <c r="H16" i="6"/>
  <c r="P16" i="6" s="1"/>
  <c r="H58" i="6"/>
  <c r="P58" i="6" s="1"/>
  <c r="H51" i="6"/>
  <c r="P51" i="6" s="1"/>
  <c r="H50" i="6"/>
  <c r="P50" i="6" s="1"/>
  <c r="H49" i="6"/>
  <c r="P49" i="6" s="1"/>
  <c r="H48" i="6"/>
  <c r="P48" i="6" s="1"/>
  <c r="H47" i="6"/>
  <c r="P47" i="6" s="1"/>
  <c r="H73" i="6"/>
  <c r="P73" i="6" s="1"/>
  <c r="H65" i="6"/>
  <c r="P65" i="6" s="1"/>
  <c r="H46" i="6"/>
  <c r="P46" i="6" s="1"/>
  <c r="H41" i="6"/>
  <c r="P41" i="6" s="1"/>
  <c r="H38" i="6"/>
  <c r="P38" i="6" s="1"/>
  <c r="H37" i="6"/>
  <c r="P37" i="6" s="1"/>
  <c r="H36" i="6"/>
  <c r="P36" i="6" s="1"/>
  <c r="H35" i="6"/>
  <c r="P35" i="6" s="1"/>
  <c r="H34" i="6"/>
  <c r="P34" i="6" s="1"/>
  <c r="H45" i="6"/>
  <c r="P45" i="6" s="1"/>
  <c r="H42" i="6"/>
  <c r="P42" i="6" s="1"/>
  <c r="H26" i="6"/>
  <c r="P26" i="6" s="1"/>
  <c r="H33" i="6"/>
  <c r="P33" i="6" s="1"/>
  <c r="H28" i="6"/>
  <c r="P28" i="6" s="1"/>
  <c r="H78" i="6"/>
  <c r="P78" i="6" s="1"/>
  <c r="H75" i="6"/>
  <c r="P75" i="6" s="1"/>
  <c r="H77" i="6"/>
  <c r="P77" i="6" s="1"/>
  <c r="H76" i="6"/>
  <c r="P76" i="6" s="1"/>
  <c r="H32" i="6"/>
  <c r="P32" i="6" s="1"/>
  <c r="H31" i="6"/>
  <c r="P31" i="6" s="1"/>
  <c r="H30" i="6"/>
  <c r="P30" i="6" s="1"/>
  <c r="H29" i="6"/>
  <c r="P29" i="6" s="1"/>
  <c r="H27" i="6"/>
  <c r="P27" i="6" s="1"/>
  <c r="H25" i="6"/>
  <c r="P25" i="6" s="1"/>
  <c r="H24" i="6"/>
  <c r="P24" i="6" s="1"/>
  <c r="F271" i="6"/>
  <c r="H82" i="6"/>
  <c r="P82" i="6" s="1"/>
  <c r="H20" i="6"/>
  <c r="P20" i="6" s="1"/>
  <c r="H23" i="6"/>
  <c r="P23" i="6" s="1"/>
  <c r="H22" i="6"/>
  <c r="P22" i="6" s="1"/>
  <c r="H21" i="6"/>
  <c r="P21" i="6" s="1"/>
  <c r="H40" i="6"/>
  <c r="P40" i="6" s="1"/>
  <c r="H54" i="6"/>
  <c r="P54" i="6" s="1"/>
  <c r="H17" i="6"/>
  <c r="P17" i="6" s="1"/>
  <c r="H18" i="6"/>
  <c r="P18" i="6" s="1"/>
  <c r="H236" i="6"/>
  <c r="P236" i="6" s="1"/>
  <c r="H15" i="6"/>
  <c r="P15" i="6" s="1"/>
  <c r="H14" i="6"/>
  <c r="P14" i="6" s="1"/>
  <c r="H13" i="6"/>
  <c r="P13" i="6" s="1"/>
  <c r="I271" i="6" l="1"/>
  <c r="P105" i="6"/>
  <c r="P130" i="6"/>
  <c r="P157" i="6"/>
  <c r="P125" i="6"/>
  <c r="P183" i="6"/>
  <c r="P207" i="6"/>
  <c r="H19" i="6"/>
  <c r="P19" i="6" s="1"/>
  <c r="AI84" i="33"/>
  <c r="A85" i="33"/>
  <c r="H271" i="6" l="1"/>
  <c r="AI85" i="33"/>
  <c r="A86" i="33"/>
  <c r="J318" i="28"/>
  <c r="E313" i="33" s="1"/>
  <c r="J103" i="28"/>
  <c r="E98" i="33" s="1"/>
  <c r="J115" i="28"/>
  <c r="E110" i="33" s="1"/>
  <c r="AC353" i="28"/>
  <c r="AB353" i="28"/>
  <c r="V353" i="28"/>
  <c r="O353" i="28"/>
  <c r="L353" i="28"/>
  <c r="M353" i="28" s="1"/>
  <c r="P353" i="28" s="1"/>
  <c r="K353" i="28"/>
  <c r="AC352" i="28"/>
  <c r="AB352" i="28"/>
  <c r="V352" i="28"/>
  <c r="O352" i="28"/>
  <c r="L352" i="28"/>
  <c r="K352" i="28"/>
  <c r="AC351" i="28"/>
  <c r="AB351" i="28"/>
  <c r="V351" i="28"/>
  <c r="O351" i="28"/>
  <c r="L351" i="28"/>
  <c r="M351" i="28" s="1"/>
  <c r="P351" i="28" s="1"/>
  <c r="K351" i="28"/>
  <c r="AC350" i="28"/>
  <c r="AB350" i="28"/>
  <c r="V350" i="28"/>
  <c r="O350" i="28"/>
  <c r="L350" i="28"/>
  <c r="K350" i="28"/>
  <c r="AC349" i="28"/>
  <c r="AB349" i="28"/>
  <c r="V349" i="28"/>
  <c r="O349" i="28"/>
  <c r="L349" i="28"/>
  <c r="M349" i="28" s="1"/>
  <c r="K349" i="28"/>
  <c r="AC348" i="28"/>
  <c r="AB348" i="28"/>
  <c r="V348" i="28"/>
  <c r="O348" i="28"/>
  <c r="L348" i="28"/>
  <c r="K348" i="28"/>
  <c r="AC347" i="28"/>
  <c r="AB347" i="28"/>
  <c r="V347" i="28"/>
  <c r="O347" i="28"/>
  <c r="L347" i="28"/>
  <c r="M347" i="28" s="1"/>
  <c r="K347" i="28"/>
  <c r="AC346" i="28"/>
  <c r="AB346" i="28"/>
  <c r="V346" i="28"/>
  <c r="O346" i="28"/>
  <c r="L346" i="28"/>
  <c r="K346" i="28"/>
  <c r="AC345" i="28"/>
  <c r="AB345" i="28"/>
  <c r="V345" i="28"/>
  <c r="O345" i="28"/>
  <c r="L345" i="28"/>
  <c r="M345" i="28" s="1"/>
  <c r="K345" i="28"/>
  <c r="AC344" i="28"/>
  <c r="AB344" i="28"/>
  <c r="V344" i="28"/>
  <c r="O344" i="28"/>
  <c r="L344" i="28"/>
  <c r="K344" i="28"/>
  <c r="AC343" i="28"/>
  <c r="AB343" i="28"/>
  <c r="O343" i="28"/>
  <c r="L343" i="28"/>
  <c r="I343" i="28"/>
  <c r="K343" i="28" s="1"/>
  <c r="AC342" i="28"/>
  <c r="AB342" i="28"/>
  <c r="V342" i="28"/>
  <c r="O342" i="28"/>
  <c r="L342" i="28"/>
  <c r="K342" i="28"/>
  <c r="AC341" i="28"/>
  <c r="AB341" i="28"/>
  <c r="V341" i="28"/>
  <c r="O341" i="28"/>
  <c r="L341" i="28"/>
  <c r="K341" i="28"/>
  <c r="AC340" i="28"/>
  <c r="AB340" i="28"/>
  <c r="V340" i="28"/>
  <c r="O340" i="28"/>
  <c r="L340" i="28"/>
  <c r="K340" i="28"/>
  <c r="AC339" i="28"/>
  <c r="AB339" i="28"/>
  <c r="V339" i="28"/>
  <c r="O339" i="28"/>
  <c r="L339" i="28"/>
  <c r="K339" i="28"/>
  <c r="AC338" i="28"/>
  <c r="AB338" i="28"/>
  <c r="V338" i="28"/>
  <c r="O338" i="28"/>
  <c r="L338" i="28"/>
  <c r="K338" i="28"/>
  <c r="AC337" i="28"/>
  <c r="AB337" i="28"/>
  <c r="V337" i="28"/>
  <c r="O337" i="28"/>
  <c r="L337" i="28"/>
  <c r="K337" i="28"/>
  <c r="AC336" i="28"/>
  <c r="AB336" i="28"/>
  <c r="V336" i="28"/>
  <c r="O336" i="28"/>
  <c r="L336" i="28"/>
  <c r="K336" i="28"/>
  <c r="AC335" i="28"/>
  <c r="AB335" i="28"/>
  <c r="V335" i="28"/>
  <c r="O335" i="28"/>
  <c r="L335" i="28"/>
  <c r="K335" i="28"/>
  <c r="AC334" i="28"/>
  <c r="AB334" i="28"/>
  <c r="V334" i="28"/>
  <c r="O334" i="28"/>
  <c r="L334" i="28"/>
  <c r="K334" i="28"/>
  <c r="AC333" i="28"/>
  <c r="AB333" i="28"/>
  <c r="V333" i="28"/>
  <c r="O333" i="28"/>
  <c r="L333" i="28"/>
  <c r="K333" i="28"/>
  <c r="AC332" i="28"/>
  <c r="AB332" i="28"/>
  <c r="V332" i="28"/>
  <c r="O332" i="28"/>
  <c r="L332" i="28"/>
  <c r="K332" i="28"/>
  <c r="AC331" i="28"/>
  <c r="AB331" i="28"/>
  <c r="V331" i="28"/>
  <c r="O331" i="28"/>
  <c r="L331" i="28"/>
  <c r="K331" i="28"/>
  <c r="AC330" i="28"/>
  <c r="AB330" i="28"/>
  <c r="V330" i="28"/>
  <c r="O330" i="28"/>
  <c r="L330" i="28"/>
  <c r="K330" i="28"/>
  <c r="AC329" i="28"/>
  <c r="AB329" i="28"/>
  <c r="V329" i="28"/>
  <c r="O329" i="28"/>
  <c r="L329" i="28"/>
  <c r="K329" i="28"/>
  <c r="AC328" i="28"/>
  <c r="AB328" i="28"/>
  <c r="V328" i="28"/>
  <c r="O328" i="28"/>
  <c r="L328" i="28"/>
  <c r="K328" i="28"/>
  <c r="AC327" i="28"/>
  <c r="AB327" i="28"/>
  <c r="V327" i="28"/>
  <c r="O327" i="28"/>
  <c r="L327" i="28"/>
  <c r="K327" i="28"/>
  <c r="AC326" i="28"/>
  <c r="AB326" i="28"/>
  <c r="V326" i="28"/>
  <c r="O326" i="28"/>
  <c r="L326" i="28"/>
  <c r="K326" i="28"/>
  <c r="AC325" i="28"/>
  <c r="AB325" i="28"/>
  <c r="V325" i="28"/>
  <c r="O325" i="28"/>
  <c r="L325" i="28"/>
  <c r="K325" i="28"/>
  <c r="AC324" i="28"/>
  <c r="AB324" i="28"/>
  <c r="V324" i="28"/>
  <c r="T324" i="28"/>
  <c r="O324" i="28"/>
  <c r="L324" i="28"/>
  <c r="K324" i="28"/>
  <c r="AC323" i="28"/>
  <c r="AB323" i="28"/>
  <c r="V323" i="28"/>
  <c r="O323" i="28"/>
  <c r="L323" i="28"/>
  <c r="K323" i="28"/>
  <c r="AC322" i="28"/>
  <c r="AB322" i="28"/>
  <c r="V322" i="28"/>
  <c r="O322" i="28"/>
  <c r="L322" i="28"/>
  <c r="K322" i="28"/>
  <c r="AC321" i="28"/>
  <c r="V321" i="28"/>
  <c r="O321" i="28"/>
  <c r="L321" i="28"/>
  <c r="K321" i="28"/>
  <c r="AC320" i="28"/>
  <c r="AB320" i="28"/>
  <c r="V320" i="28"/>
  <c r="O320" i="28"/>
  <c r="L320" i="28"/>
  <c r="K320" i="28"/>
  <c r="O319" i="28"/>
  <c r="L319" i="28"/>
  <c r="I319" i="28"/>
  <c r="K319" i="28" s="1"/>
  <c r="AB318" i="28"/>
  <c r="V318" i="28"/>
  <c r="O318" i="28"/>
  <c r="L318" i="28"/>
  <c r="K318" i="28"/>
  <c r="AC317" i="28"/>
  <c r="AB317" i="28"/>
  <c r="V317" i="28"/>
  <c r="O317" i="28"/>
  <c r="L317" i="28"/>
  <c r="K317" i="28"/>
  <c r="AC316" i="28"/>
  <c r="AB316" i="28"/>
  <c r="V316" i="28"/>
  <c r="O316" i="28"/>
  <c r="L316" i="28"/>
  <c r="K316" i="28"/>
  <c r="AC315" i="28"/>
  <c r="AB315" i="28"/>
  <c r="V315" i="28"/>
  <c r="O315" i="28"/>
  <c r="L315" i="28"/>
  <c r="K315" i="28"/>
  <c r="AC314" i="28"/>
  <c r="AB314" i="28"/>
  <c r="V314" i="28"/>
  <c r="O314" i="28"/>
  <c r="L314" i="28"/>
  <c r="K314" i="28"/>
  <c r="AC313" i="28"/>
  <c r="AB313" i="28"/>
  <c r="V313" i="28"/>
  <c r="O313" i="28"/>
  <c r="L313" i="28"/>
  <c r="K313" i="28"/>
  <c r="AC312" i="28"/>
  <c r="AB312" i="28"/>
  <c r="V312" i="28"/>
  <c r="O312" i="28"/>
  <c r="L312" i="28"/>
  <c r="K312" i="28"/>
  <c r="AC311" i="28"/>
  <c r="AB311" i="28"/>
  <c r="V311" i="28"/>
  <c r="O311" i="28"/>
  <c r="L311" i="28"/>
  <c r="K311" i="28"/>
  <c r="AC310" i="28"/>
  <c r="AB310" i="28"/>
  <c r="V310" i="28"/>
  <c r="O310" i="28"/>
  <c r="L310" i="28"/>
  <c r="K310" i="28"/>
  <c r="AC309" i="28"/>
  <c r="V309" i="28"/>
  <c r="L309" i="28"/>
  <c r="K309" i="28"/>
  <c r="AC308" i="28"/>
  <c r="AB308" i="28"/>
  <c r="V308" i="28"/>
  <c r="O308" i="28"/>
  <c r="L308" i="28"/>
  <c r="K308" i="28"/>
  <c r="AC307" i="28"/>
  <c r="AB307" i="28"/>
  <c r="V307" i="28"/>
  <c r="O307" i="28"/>
  <c r="L307" i="28"/>
  <c r="K307" i="28"/>
  <c r="AC306" i="28"/>
  <c r="AB306" i="28"/>
  <c r="V306" i="28"/>
  <c r="O306" i="28"/>
  <c r="L306" i="28"/>
  <c r="K306" i="28"/>
  <c r="AC305" i="28"/>
  <c r="AB305" i="28"/>
  <c r="V305" i="28"/>
  <c r="O305" i="28"/>
  <c r="L305" i="28"/>
  <c r="K305" i="28"/>
  <c r="AC304" i="28"/>
  <c r="AB304" i="28"/>
  <c r="V304" i="28"/>
  <c r="O304" i="28"/>
  <c r="L304" i="28"/>
  <c r="K304" i="28"/>
  <c r="AC303" i="28"/>
  <c r="AB303" i="28"/>
  <c r="V303" i="28"/>
  <c r="O303" i="28"/>
  <c r="L303" i="28"/>
  <c r="K303" i="28"/>
  <c r="AC302" i="28"/>
  <c r="AB302" i="28"/>
  <c r="V302" i="28"/>
  <c r="O302" i="28"/>
  <c r="L302" i="28"/>
  <c r="K302" i="28"/>
  <c r="AC301" i="28"/>
  <c r="AB301" i="28"/>
  <c r="V301" i="28"/>
  <c r="O301" i="28"/>
  <c r="L301" i="28"/>
  <c r="K301" i="28"/>
  <c r="AC300" i="28"/>
  <c r="AB300" i="28"/>
  <c r="V300" i="28"/>
  <c r="O300" i="28"/>
  <c r="L300" i="28"/>
  <c r="K300" i="28"/>
  <c r="AC299" i="28"/>
  <c r="AB299" i="28"/>
  <c r="V299" i="28"/>
  <c r="O299" i="28"/>
  <c r="L299" i="28"/>
  <c r="K299" i="28"/>
  <c r="AC298" i="28"/>
  <c r="AB298" i="28"/>
  <c r="V298" i="28"/>
  <c r="O298" i="28"/>
  <c r="L298" i="28"/>
  <c r="K298" i="28"/>
  <c r="AC297" i="28"/>
  <c r="AB297" i="28"/>
  <c r="V297" i="28"/>
  <c r="O297" i="28"/>
  <c r="L297" i="28"/>
  <c r="K297" i="28"/>
  <c r="AC296" i="28"/>
  <c r="AB296" i="28"/>
  <c r="V296" i="28"/>
  <c r="O296" i="28"/>
  <c r="L296" i="28"/>
  <c r="K296" i="28"/>
  <c r="AC295" i="28"/>
  <c r="AB295" i="28"/>
  <c r="V295" i="28"/>
  <c r="O295" i="28"/>
  <c r="L295" i="28"/>
  <c r="K295" i="28"/>
  <c r="AC294" i="28"/>
  <c r="AB294" i="28"/>
  <c r="V294" i="28"/>
  <c r="O294" i="28"/>
  <c r="L294" i="28"/>
  <c r="K294" i="28"/>
  <c r="AC293" i="28"/>
  <c r="AB293" i="28"/>
  <c r="V293" i="28"/>
  <c r="O293" i="28"/>
  <c r="L293" i="28"/>
  <c r="K293" i="28"/>
  <c r="AB292" i="28"/>
  <c r="V292" i="28"/>
  <c r="O292" i="28"/>
  <c r="L292" i="28"/>
  <c r="K292" i="28"/>
  <c r="AC291" i="28"/>
  <c r="AB291" i="28"/>
  <c r="V291" i="28"/>
  <c r="O291" i="28"/>
  <c r="L291" i="28"/>
  <c r="K291" i="28"/>
  <c r="AC290" i="28"/>
  <c r="AB290" i="28"/>
  <c r="V290" i="28"/>
  <c r="O290" i="28"/>
  <c r="L290" i="28"/>
  <c r="K290" i="28"/>
  <c r="AC289" i="28"/>
  <c r="AB289" i="28"/>
  <c r="V289" i="28"/>
  <c r="O289" i="28"/>
  <c r="L289" i="28"/>
  <c r="K289" i="28"/>
  <c r="T354" i="28"/>
  <c r="R354" i="28"/>
  <c r="O354" i="28"/>
  <c r="G354" i="28"/>
  <c r="AC288" i="28"/>
  <c r="AB288" i="28"/>
  <c r="U288" i="28"/>
  <c r="S288" i="28"/>
  <c r="P288" i="28"/>
  <c r="M288" i="28"/>
  <c r="H288" i="28"/>
  <c r="K288" i="28" s="1"/>
  <c r="L288" i="28" s="1"/>
  <c r="AC287" i="28"/>
  <c r="AB287" i="28"/>
  <c r="U287" i="28"/>
  <c r="S287" i="28"/>
  <c r="P287" i="28"/>
  <c r="M287" i="28"/>
  <c r="H287" i="28"/>
  <c r="K287" i="28" s="1"/>
  <c r="AC286" i="28"/>
  <c r="AB286" i="28"/>
  <c r="U286" i="28"/>
  <c r="S286" i="28"/>
  <c r="P286" i="28"/>
  <c r="M286" i="28"/>
  <c r="H286" i="28"/>
  <c r="K286" i="28" s="1"/>
  <c r="L286" i="28" s="1"/>
  <c r="AC285" i="28"/>
  <c r="AB285" i="28"/>
  <c r="U285" i="28"/>
  <c r="S285" i="28"/>
  <c r="P285" i="28"/>
  <c r="M285" i="28"/>
  <c r="H285" i="28"/>
  <c r="K285" i="28" s="1"/>
  <c r="AC284" i="28"/>
  <c r="AB284" i="28"/>
  <c r="U284" i="28"/>
  <c r="S284" i="28"/>
  <c r="P284" i="28"/>
  <c r="M284" i="28"/>
  <c r="H284" i="28"/>
  <c r="K284" i="28" s="1"/>
  <c r="L284" i="28" s="1"/>
  <c r="AC283" i="28"/>
  <c r="AB283" i="28"/>
  <c r="U283" i="28"/>
  <c r="S283" i="28"/>
  <c r="P283" i="28"/>
  <c r="M283" i="28"/>
  <c r="N283" i="28" s="1"/>
  <c r="H283" i="28"/>
  <c r="K283" i="28" s="1"/>
  <c r="L283" i="28" s="1"/>
  <c r="AC282" i="28"/>
  <c r="AB282" i="28"/>
  <c r="U282" i="28"/>
  <c r="S282" i="28"/>
  <c r="P282" i="28"/>
  <c r="M282" i="28"/>
  <c r="K282" i="28"/>
  <c r="L282" i="28" s="1"/>
  <c r="H282" i="28"/>
  <c r="AC281" i="28"/>
  <c r="AB281" i="28"/>
  <c r="U281" i="28"/>
  <c r="S281" i="28"/>
  <c r="P281" i="28"/>
  <c r="M281" i="28"/>
  <c r="H281" i="28"/>
  <c r="K281" i="28" s="1"/>
  <c r="AC280" i="28"/>
  <c r="AB280" i="28"/>
  <c r="U280" i="28"/>
  <c r="S280" i="28"/>
  <c r="P280" i="28"/>
  <c r="M280" i="28"/>
  <c r="H280" i="28"/>
  <c r="K280" i="28" s="1"/>
  <c r="L280" i="28" s="1"/>
  <c r="AC279" i="28"/>
  <c r="AB279" i="28"/>
  <c r="U279" i="28"/>
  <c r="S279" i="28"/>
  <c r="P279" i="28"/>
  <c r="M279" i="28"/>
  <c r="H279" i="28"/>
  <c r="K279" i="28" s="1"/>
  <c r="L279" i="28" s="1"/>
  <c r="AC278" i="28"/>
  <c r="AB278" i="28"/>
  <c r="U278" i="28"/>
  <c r="S278" i="28"/>
  <c r="P278" i="28"/>
  <c r="M278" i="28"/>
  <c r="H278" i="28"/>
  <c r="K278" i="28" s="1"/>
  <c r="L278" i="28" s="1"/>
  <c r="AC277" i="28"/>
  <c r="AB277" i="28"/>
  <c r="U277" i="28"/>
  <c r="S277" i="28"/>
  <c r="P277" i="28"/>
  <c r="M277" i="28"/>
  <c r="H277" i="28"/>
  <c r="K277" i="28" s="1"/>
  <c r="AC276" i="28"/>
  <c r="AB276" i="28"/>
  <c r="U276" i="28"/>
  <c r="S276" i="28"/>
  <c r="P276" i="28"/>
  <c r="M276" i="28"/>
  <c r="H276" i="28"/>
  <c r="K276" i="28" s="1"/>
  <c r="L276" i="28" s="1"/>
  <c r="AC275" i="28"/>
  <c r="AB275" i="28"/>
  <c r="U275" i="28"/>
  <c r="S275" i="28"/>
  <c r="P275" i="28"/>
  <c r="M275" i="28"/>
  <c r="H275" i="28"/>
  <c r="K275" i="28" s="1"/>
  <c r="L275" i="28" s="1"/>
  <c r="AC274" i="28"/>
  <c r="AB274" i="28"/>
  <c r="U274" i="28"/>
  <c r="S274" i="28"/>
  <c r="P274" i="28"/>
  <c r="M274" i="28"/>
  <c r="H274" i="28"/>
  <c r="K274" i="28" s="1"/>
  <c r="L274" i="28" s="1"/>
  <c r="AC273" i="28"/>
  <c r="AB273" i="28"/>
  <c r="U273" i="28"/>
  <c r="S273" i="28"/>
  <c r="P273" i="28"/>
  <c r="M273" i="28"/>
  <c r="H273" i="28"/>
  <c r="K273" i="28" s="1"/>
  <c r="AC272" i="28"/>
  <c r="AB272" i="28"/>
  <c r="U272" i="28"/>
  <c r="S272" i="28"/>
  <c r="P272" i="28"/>
  <c r="M272" i="28"/>
  <c r="H272" i="28"/>
  <c r="K272" i="28" s="1"/>
  <c r="L272" i="28" s="1"/>
  <c r="AC271" i="28"/>
  <c r="AB271" i="28"/>
  <c r="U271" i="28"/>
  <c r="S271" i="28"/>
  <c r="P271" i="28"/>
  <c r="M271" i="28"/>
  <c r="H271" i="28"/>
  <c r="K271" i="28" s="1"/>
  <c r="L271" i="28" s="1"/>
  <c r="AC270" i="28"/>
  <c r="AB270" i="28"/>
  <c r="U270" i="28"/>
  <c r="S270" i="28"/>
  <c r="P270" i="28"/>
  <c r="M270" i="28"/>
  <c r="H270" i="28"/>
  <c r="K270" i="28" s="1"/>
  <c r="L270" i="28" s="1"/>
  <c r="AC269" i="28"/>
  <c r="AB269" i="28"/>
  <c r="U269" i="28"/>
  <c r="S269" i="28"/>
  <c r="P269" i="28"/>
  <c r="M269" i="28"/>
  <c r="H269" i="28"/>
  <c r="K269" i="28" s="1"/>
  <c r="AC268" i="28"/>
  <c r="AB268" i="28"/>
  <c r="U268" i="28"/>
  <c r="S268" i="28"/>
  <c r="P268" i="28"/>
  <c r="M268" i="28"/>
  <c r="H268" i="28"/>
  <c r="K268" i="28" s="1"/>
  <c r="L268" i="28" s="1"/>
  <c r="AC267" i="28"/>
  <c r="AB267" i="28"/>
  <c r="U267" i="28"/>
  <c r="S267" i="28"/>
  <c r="P267" i="28"/>
  <c r="M267" i="28"/>
  <c r="H267" i="28"/>
  <c r="K267" i="28" s="1"/>
  <c r="L267" i="28" s="1"/>
  <c r="AC266" i="28"/>
  <c r="AB266" i="28"/>
  <c r="U266" i="28"/>
  <c r="S266" i="28"/>
  <c r="P266" i="28"/>
  <c r="M266" i="28"/>
  <c r="H266" i="28"/>
  <c r="K266" i="28" s="1"/>
  <c r="L266" i="28" s="1"/>
  <c r="AC265" i="28"/>
  <c r="AB265" i="28"/>
  <c r="U265" i="28"/>
  <c r="S265" i="28"/>
  <c r="P265" i="28"/>
  <c r="M265" i="28"/>
  <c r="H265" i="28"/>
  <c r="K265" i="28" s="1"/>
  <c r="L265" i="28" s="1"/>
  <c r="AC264" i="28"/>
  <c r="AB264" i="28"/>
  <c r="U264" i="28"/>
  <c r="S264" i="28"/>
  <c r="P264" i="28"/>
  <c r="M264" i="28"/>
  <c r="V264" i="28" s="1"/>
  <c r="H264" i="28"/>
  <c r="K264" i="28" s="1"/>
  <c r="L264" i="28" s="1"/>
  <c r="AC263" i="28"/>
  <c r="AB263" i="28"/>
  <c r="U263" i="28"/>
  <c r="S263" i="28"/>
  <c r="P263" i="28"/>
  <c r="M263" i="28"/>
  <c r="H263" i="28"/>
  <c r="K263" i="28" s="1"/>
  <c r="L263" i="28" s="1"/>
  <c r="AC262" i="28"/>
  <c r="AB262" i="28"/>
  <c r="U262" i="28"/>
  <c r="S262" i="28"/>
  <c r="P262" i="28"/>
  <c r="M262" i="28"/>
  <c r="H262" i="28"/>
  <c r="K262" i="28" s="1"/>
  <c r="L262" i="28" s="1"/>
  <c r="AC261" i="28"/>
  <c r="AB261" i="28"/>
  <c r="U261" i="28"/>
  <c r="S261" i="28"/>
  <c r="P261" i="28"/>
  <c r="M261" i="28"/>
  <c r="H261" i="28"/>
  <c r="K261" i="28" s="1"/>
  <c r="AC260" i="28"/>
  <c r="AB260" i="28"/>
  <c r="U260" i="28"/>
  <c r="S260" i="28"/>
  <c r="P260" i="28"/>
  <c r="M260" i="28"/>
  <c r="H260" i="28"/>
  <c r="K260" i="28" s="1"/>
  <c r="L260" i="28" s="1"/>
  <c r="AC259" i="28"/>
  <c r="AB259" i="28"/>
  <c r="U259" i="28"/>
  <c r="S259" i="28"/>
  <c r="P259" i="28"/>
  <c r="M259" i="28"/>
  <c r="H259" i="28"/>
  <c r="K259" i="28" s="1"/>
  <c r="L259" i="28" s="1"/>
  <c r="AC258" i="28"/>
  <c r="AB258" i="28"/>
  <c r="U258" i="28"/>
  <c r="S258" i="28"/>
  <c r="P258" i="28"/>
  <c r="M258" i="28"/>
  <c r="H258" i="28"/>
  <c r="K258" i="28" s="1"/>
  <c r="AC257" i="28"/>
  <c r="AB257" i="28"/>
  <c r="U257" i="28"/>
  <c r="S257" i="28"/>
  <c r="P257" i="28"/>
  <c r="M257" i="28"/>
  <c r="H257" i="28"/>
  <c r="K257" i="28" s="1"/>
  <c r="L257" i="28" s="1"/>
  <c r="AC256" i="28"/>
  <c r="AB256" i="28"/>
  <c r="U256" i="28"/>
  <c r="S256" i="28"/>
  <c r="P256" i="28"/>
  <c r="M256" i="28"/>
  <c r="H256" i="28"/>
  <c r="K256" i="28" s="1"/>
  <c r="L256" i="28" s="1"/>
  <c r="AC255" i="28"/>
  <c r="AB255" i="28"/>
  <c r="U255" i="28"/>
  <c r="S255" i="28"/>
  <c r="P255" i="28"/>
  <c r="M255" i="28"/>
  <c r="H255" i="28"/>
  <c r="K255" i="28" s="1"/>
  <c r="L255" i="28" s="1"/>
  <c r="AC254" i="28"/>
  <c r="AB254" i="28"/>
  <c r="U254" i="28"/>
  <c r="S254" i="28"/>
  <c r="P254" i="28"/>
  <c r="M254" i="28"/>
  <c r="H254" i="28"/>
  <c r="K254" i="28" s="1"/>
  <c r="AC253" i="28"/>
  <c r="AB253" i="28"/>
  <c r="U253" i="28"/>
  <c r="S253" i="28"/>
  <c r="P253" i="28"/>
  <c r="M253" i="28"/>
  <c r="H253" i="28"/>
  <c r="K253" i="28" s="1"/>
  <c r="AC252" i="28"/>
  <c r="AB252" i="28"/>
  <c r="U252" i="28"/>
  <c r="S252" i="28"/>
  <c r="P252" i="28"/>
  <c r="M252" i="28"/>
  <c r="H252" i="28"/>
  <c r="K252" i="28" s="1"/>
  <c r="L252" i="28" s="1"/>
  <c r="AC251" i="28"/>
  <c r="AB251" i="28"/>
  <c r="U251" i="28"/>
  <c r="S251" i="28"/>
  <c r="P251" i="28"/>
  <c r="M251" i="28"/>
  <c r="H251" i="28"/>
  <c r="K251" i="28" s="1"/>
  <c r="L251" i="28" s="1"/>
  <c r="AC250" i="28"/>
  <c r="AB250" i="28"/>
  <c r="U250" i="28"/>
  <c r="S250" i="28"/>
  <c r="P250" i="28"/>
  <c r="M250" i="28"/>
  <c r="H250" i="28"/>
  <c r="K250" i="28" s="1"/>
  <c r="AC249" i="28"/>
  <c r="AB249" i="28"/>
  <c r="U249" i="28"/>
  <c r="S249" i="28"/>
  <c r="P249" i="28"/>
  <c r="M249" i="28"/>
  <c r="H249" i="28"/>
  <c r="K249" i="28" s="1"/>
  <c r="AC248" i="28"/>
  <c r="AB248" i="28"/>
  <c r="U248" i="28"/>
  <c r="S248" i="28"/>
  <c r="P248" i="28"/>
  <c r="M248" i="28"/>
  <c r="H248" i="28"/>
  <c r="K248" i="28" s="1"/>
  <c r="L248" i="28" s="1"/>
  <c r="AC247" i="28"/>
  <c r="AB247" i="28"/>
  <c r="U247" i="28"/>
  <c r="S247" i="28"/>
  <c r="P247" i="28"/>
  <c r="M247" i="28"/>
  <c r="K247" i="28"/>
  <c r="L247" i="28" s="1"/>
  <c r="H247" i="28"/>
  <c r="AC246" i="28"/>
  <c r="AB246" i="28"/>
  <c r="U246" i="28"/>
  <c r="S246" i="28"/>
  <c r="P246" i="28"/>
  <c r="M246" i="28"/>
  <c r="H246" i="28"/>
  <c r="K246" i="28" s="1"/>
  <c r="L246" i="28" s="1"/>
  <c r="AC245" i="28"/>
  <c r="AB245" i="28"/>
  <c r="U245" i="28"/>
  <c r="S245" i="28"/>
  <c r="P245" i="28"/>
  <c r="M245" i="28"/>
  <c r="H245" i="28"/>
  <c r="K245" i="28" s="1"/>
  <c r="L245" i="28" s="1"/>
  <c r="AC244" i="28"/>
  <c r="AB244" i="28"/>
  <c r="U244" i="28"/>
  <c r="S244" i="28"/>
  <c r="P244" i="28"/>
  <c r="M244" i="28"/>
  <c r="H244" i="28"/>
  <c r="K244" i="28" s="1"/>
  <c r="AC243" i="28"/>
  <c r="AB243" i="28"/>
  <c r="U243" i="28"/>
  <c r="S243" i="28"/>
  <c r="P243" i="28"/>
  <c r="M243" i="28"/>
  <c r="H243" i="28"/>
  <c r="K243" i="28" s="1"/>
  <c r="L243" i="28" s="1"/>
  <c r="AC242" i="28"/>
  <c r="AB242" i="28"/>
  <c r="U242" i="28"/>
  <c r="S242" i="28"/>
  <c r="P242" i="28"/>
  <c r="M242" i="28"/>
  <c r="H242" i="28"/>
  <c r="K242" i="28" s="1"/>
  <c r="L242" i="28" s="1"/>
  <c r="AC241" i="28"/>
  <c r="AB241" i="28"/>
  <c r="U241" i="28"/>
  <c r="S241" i="28"/>
  <c r="P241" i="28"/>
  <c r="M241" i="28"/>
  <c r="K241" i="28"/>
  <c r="H241" i="28"/>
  <c r="AC240" i="28"/>
  <c r="AB240" i="28"/>
  <c r="U240" i="28"/>
  <c r="S240" i="28"/>
  <c r="P240" i="28"/>
  <c r="M240" i="28"/>
  <c r="H240" i="28"/>
  <c r="K240" i="28" s="1"/>
  <c r="AC239" i="28"/>
  <c r="AB239" i="28"/>
  <c r="U239" i="28"/>
  <c r="S239" i="28"/>
  <c r="P239" i="28"/>
  <c r="M239" i="28"/>
  <c r="H239" i="28"/>
  <c r="K239" i="28" s="1"/>
  <c r="L239" i="28" s="1"/>
  <c r="AC238" i="28"/>
  <c r="AB238" i="28"/>
  <c r="U238" i="28"/>
  <c r="S238" i="28"/>
  <c r="P238" i="28"/>
  <c r="M238" i="28"/>
  <c r="H238" i="28"/>
  <c r="K238" i="28" s="1"/>
  <c r="L238" i="28" s="1"/>
  <c r="AC237" i="28"/>
  <c r="AB237" i="28"/>
  <c r="U237" i="28"/>
  <c r="S237" i="28"/>
  <c r="P237" i="28"/>
  <c r="M237" i="28"/>
  <c r="H237" i="28"/>
  <c r="K237" i="28" s="1"/>
  <c r="AC236" i="28"/>
  <c r="AB236" i="28"/>
  <c r="U236" i="28"/>
  <c r="S236" i="28"/>
  <c r="P236" i="28"/>
  <c r="M236" i="28"/>
  <c r="H236" i="28"/>
  <c r="K236" i="28" s="1"/>
  <c r="AC235" i="28"/>
  <c r="AB235" i="28"/>
  <c r="U235" i="28"/>
  <c r="S235" i="28"/>
  <c r="P235" i="28"/>
  <c r="M235" i="28"/>
  <c r="H235" i="28"/>
  <c r="K235" i="28" s="1"/>
  <c r="L235" i="28" s="1"/>
  <c r="AC234" i="28"/>
  <c r="AB234" i="28"/>
  <c r="U234" i="28"/>
  <c r="S234" i="28"/>
  <c r="P234" i="28"/>
  <c r="M234" i="28"/>
  <c r="H234" i="28"/>
  <c r="K234" i="28" s="1"/>
  <c r="L234" i="28" s="1"/>
  <c r="AC233" i="28"/>
  <c r="AB233" i="28"/>
  <c r="U233" i="28"/>
  <c r="S233" i="28"/>
  <c r="P233" i="28"/>
  <c r="M233" i="28"/>
  <c r="H233" i="28"/>
  <c r="K233" i="28" s="1"/>
  <c r="AC232" i="28"/>
  <c r="AB232" i="28"/>
  <c r="U232" i="28"/>
  <c r="S232" i="28"/>
  <c r="P232" i="28"/>
  <c r="M232" i="28"/>
  <c r="H232" i="28"/>
  <c r="K232" i="28" s="1"/>
  <c r="AC231" i="28"/>
  <c r="AB231" i="28"/>
  <c r="U231" i="28"/>
  <c r="S231" i="28"/>
  <c r="P231" i="28"/>
  <c r="M231" i="28"/>
  <c r="H231" i="28"/>
  <c r="K231" i="28" s="1"/>
  <c r="L231" i="28" s="1"/>
  <c r="AC230" i="28"/>
  <c r="AB230" i="28"/>
  <c r="U230" i="28"/>
  <c r="S230" i="28"/>
  <c r="P230" i="28"/>
  <c r="M230" i="28"/>
  <c r="H230" i="28"/>
  <c r="K230" i="28" s="1"/>
  <c r="L230" i="28" s="1"/>
  <c r="AC229" i="28"/>
  <c r="AB229" i="28"/>
  <c r="U229" i="28"/>
  <c r="S229" i="28"/>
  <c r="P229" i="28"/>
  <c r="M229" i="28"/>
  <c r="H229" i="28"/>
  <c r="K229" i="28" s="1"/>
  <c r="AC228" i="28"/>
  <c r="AB228" i="28"/>
  <c r="U228" i="28"/>
  <c r="S228" i="28"/>
  <c r="P228" i="28"/>
  <c r="M228" i="28"/>
  <c r="H228" i="28"/>
  <c r="K228" i="28" s="1"/>
  <c r="AC227" i="28"/>
  <c r="AB227" i="28"/>
  <c r="U227" i="28"/>
  <c r="S227" i="28"/>
  <c r="P227" i="28"/>
  <c r="M227" i="28"/>
  <c r="H227" i="28"/>
  <c r="K227" i="28" s="1"/>
  <c r="L227" i="28" s="1"/>
  <c r="AC226" i="28"/>
  <c r="AB226" i="28"/>
  <c r="U226" i="28"/>
  <c r="S226" i="28"/>
  <c r="P226" i="28"/>
  <c r="M226" i="28"/>
  <c r="I226" i="28"/>
  <c r="H226" i="28"/>
  <c r="K226" i="28" s="1"/>
  <c r="L226" i="28" s="1"/>
  <c r="AC225" i="28"/>
  <c r="AB225" i="28"/>
  <c r="U225" i="28"/>
  <c r="S225" i="28"/>
  <c r="P225" i="28"/>
  <c r="M225" i="28"/>
  <c r="H225" i="28"/>
  <c r="K225" i="28" s="1"/>
  <c r="L225" i="28" s="1"/>
  <c r="AC224" i="28"/>
  <c r="AB224" i="28"/>
  <c r="U224" i="28"/>
  <c r="S224" i="28"/>
  <c r="P224" i="28"/>
  <c r="M224" i="28"/>
  <c r="H224" i="28"/>
  <c r="K224" i="28" s="1"/>
  <c r="L224" i="28" s="1"/>
  <c r="AC223" i="28"/>
  <c r="AB223" i="28"/>
  <c r="U223" i="28"/>
  <c r="S223" i="28"/>
  <c r="P223" i="28"/>
  <c r="M223" i="28"/>
  <c r="H223" i="28"/>
  <c r="K223" i="28" s="1"/>
  <c r="AC222" i="28"/>
  <c r="AB222" i="28"/>
  <c r="U222" i="28"/>
  <c r="S222" i="28"/>
  <c r="P222" i="28"/>
  <c r="M222" i="28"/>
  <c r="H222" i="28"/>
  <c r="K222" i="28" s="1"/>
  <c r="L222" i="28" s="1"/>
  <c r="AC221" i="28"/>
  <c r="AB221" i="28"/>
  <c r="U221" i="28"/>
  <c r="S221" i="28"/>
  <c r="P221" i="28"/>
  <c r="M221" i="28"/>
  <c r="H221" i="28"/>
  <c r="K221" i="28" s="1"/>
  <c r="L221" i="28" s="1"/>
  <c r="AC220" i="28"/>
  <c r="AB220" i="28"/>
  <c r="U220" i="28"/>
  <c r="S220" i="28"/>
  <c r="P220" i="28"/>
  <c r="M220" i="28"/>
  <c r="H220" i="28"/>
  <c r="K220" i="28" s="1"/>
  <c r="AC219" i="28"/>
  <c r="AB219" i="28"/>
  <c r="U219" i="28"/>
  <c r="S219" i="28"/>
  <c r="P219" i="28"/>
  <c r="M219" i="28"/>
  <c r="H219" i="28"/>
  <c r="K219" i="28" s="1"/>
  <c r="AC218" i="28"/>
  <c r="AB218" i="28"/>
  <c r="U218" i="28"/>
  <c r="S218" i="28"/>
  <c r="P218" i="28"/>
  <c r="M218" i="28"/>
  <c r="H218" i="28"/>
  <c r="K218" i="28" s="1"/>
  <c r="L218" i="28" s="1"/>
  <c r="AC217" i="28"/>
  <c r="AB217" i="28"/>
  <c r="U217" i="28"/>
  <c r="S217" i="28"/>
  <c r="P217" i="28"/>
  <c r="M217" i="28"/>
  <c r="H217" i="28"/>
  <c r="K217" i="28" s="1"/>
  <c r="L217" i="28" s="1"/>
  <c r="AC216" i="28"/>
  <c r="AB216" i="28"/>
  <c r="U216" i="28"/>
  <c r="S216" i="28"/>
  <c r="P216" i="28"/>
  <c r="M216" i="28"/>
  <c r="H216" i="28"/>
  <c r="K216" i="28" s="1"/>
  <c r="AC215" i="28"/>
  <c r="AB215" i="28"/>
  <c r="U215" i="28"/>
  <c r="S215" i="28"/>
  <c r="P215" i="28"/>
  <c r="M215" i="28"/>
  <c r="H215" i="28"/>
  <c r="K215" i="28" s="1"/>
  <c r="AC214" i="28"/>
  <c r="AB214" i="28"/>
  <c r="U214" i="28"/>
  <c r="S214" i="28"/>
  <c r="P214" i="28"/>
  <c r="M214" i="28"/>
  <c r="H214" i="28"/>
  <c r="K214" i="28" s="1"/>
  <c r="L214" i="28" s="1"/>
  <c r="AC213" i="28"/>
  <c r="AB213" i="28"/>
  <c r="U213" i="28"/>
  <c r="S213" i="28"/>
  <c r="P213" i="28"/>
  <c r="M213" i="28"/>
  <c r="H213" i="28"/>
  <c r="K213" i="28" s="1"/>
  <c r="L213" i="28" s="1"/>
  <c r="AC212" i="28"/>
  <c r="AB212" i="28"/>
  <c r="U212" i="28"/>
  <c r="S212" i="28"/>
  <c r="P212" i="28"/>
  <c r="M212" i="28"/>
  <c r="H212" i="28"/>
  <c r="K212" i="28" s="1"/>
  <c r="AC211" i="28"/>
  <c r="AB211" i="28"/>
  <c r="U211" i="28"/>
  <c r="S211" i="28"/>
  <c r="P211" i="28"/>
  <c r="M211" i="28"/>
  <c r="H211" i="28"/>
  <c r="K211" i="28" s="1"/>
  <c r="AC210" i="28"/>
  <c r="AB210" i="28"/>
  <c r="U210" i="28"/>
  <c r="S210" i="28"/>
  <c r="P210" i="28"/>
  <c r="M210" i="28"/>
  <c r="H210" i="28"/>
  <c r="K210" i="28" s="1"/>
  <c r="L210" i="28" s="1"/>
  <c r="AC209" i="28"/>
  <c r="AB209" i="28"/>
  <c r="U209" i="28"/>
  <c r="S209" i="28"/>
  <c r="P209" i="28"/>
  <c r="M209" i="28"/>
  <c r="H209" i="28"/>
  <c r="K209" i="28" s="1"/>
  <c r="L209" i="28" s="1"/>
  <c r="AC208" i="28"/>
  <c r="AB208" i="28"/>
  <c r="U208" i="28"/>
  <c r="S208" i="28"/>
  <c r="P208" i="28"/>
  <c r="M208" i="28"/>
  <c r="H208" i="28"/>
  <c r="K208" i="28" s="1"/>
  <c r="L208" i="28" s="1"/>
  <c r="AC207" i="28"/>
  <c r="AB207" i="28"/>
  <c r="U207" i="28"/>
  <c r="S207" i="28"/>
  <c r="P207" i="28"/>
  <c r="M207" i="28"/>
  <c r="H207" i="28"/>
  <c r="K207" i="28" s="1"/>
  <c r="L207" i="28" s="1"/>
  <c r="AC206" i="28"/>
  <c r="AB206" i="28"/>
  <c r="U206" i="28"/>
  <c r="S206" i="28"/>
  <c r="P206" i="28"/>
  <c r="M206" i="28"/>
  <c r="H206" i="28"/>
  <c r="K206" i="28" s="1"/>
  <c r="AC205" i="28"/>
  <c r="AB205" i="28"/>
  <c r="U205" i="28"/>
  <c r="S205" i="28"/>
  <c r="P205" i="28"/>
  <c r="M205" i="28"/>
  <c r="H205" i="28"/>
  <c r="K205" i="28" s="1"/>
  <c r="L205" i="28" s="1"/>
  <c r="AC204" i="28"/>
  <c r="AB204" i="28"/>
  <c r="U204" i="28"/>
  <c r="S204" i="28"/>
  <c r="P204" i="28"/>
  <c r="M204" i="28"/>
  <c r="H204" i="28"/>
  <c r="K204" i="28" s="1"/>
  <c r="L204" i="28" s="1"/>
  <c r="AC203" i="28"/>
  <c r="AB203" i="28"/>
  <c r="U203" i="28"/>
  <c r="S203" i="28"/>
  <c r="P203" i="28"/>
  <c r="M203" i="28"/>
  <c r="H203" i="28"/>
  <c r="K203" i="28" s="1"/>
  <c r="L203" i="28" s="1"/>
  <c r="AC202" i="28"/>
  <c r="AB202" i="28"/>
  <c r="U202" i="28"/>
  <c r="S202" i="28"/>
  <c r="P202" i="28"/>
  <c r="M202" i="28"/>
  <c r="H202" i="28"/>
  <c r="K202" i="28" s="1"/>
  <c r="AC201" i="28"/>
  <c r="AB201" i="28"/>
  <c r="U201" i="28"/>
  <c r="S201" i="28"/>
  <c r="P201" i="28"/>
  <c r="M201" i="28"/>
  <c r="I201" i="28"/>
  <c r="H201" i="28"/>
  <c r="K201" i="28" s="1"/>
  <c r="L201" i="28" s="1"/>
  <c r="AC200" i="28"/>
  <c r="AB200" i="28"/>
  <c r="U200" i="28"/>
  <c r="S200" i="28"/>
  <c r="P200" i="28"/>
  <c r="M200" i="28"/>
  <c r="H200" i="28"/>
  <c r="K200" i="28" s="1"/>
  <c r="L200" i="28" s="1"/>
  <c r="AC199" i="28"/>
  <c r="AB199" i="28"/>
  <c r="U199" i="28"/>
  <c r="S199" i="28"/>
  <c r="P199" i="28"/>
  <c r="M199" i="28"/>
  <c r="H199" i="28"/>
  <c r="K199" i="28" s="1"/>
  <c r="L199" i="28" s="1"/>
  <c r="AC198" i="28"/>
  <c r="AB198" i="28"/>
  <c r="U198" i="28"/>
  <c r="S198" i="28"/>
  <c r="P198" i="28"/>
  <c r="M198" i="28"/>
  <c r="H198" i="28"/>
  <c r="K198" i="28" s="1"/>
  <c r="L198" i="28" s="1"/>
  <c r="AC197" i="28"/>
  <c r="AB197" i="28"/>
  <c r="U197" i="28"/>
  <c r="S197" i="28"/>
  <c r="P197" i="28"/>
  <c r="M197" i="28"/>
  <c r="H197" i="28"/>
  <c r="K197" i="28" s="1"/>
  <c r="AC196" i="28"/>
  <c r="AB196" i="28"/>
  <c r="U196" i="28"/>
  <c r="S196" i="28"/>
  <c r="P196" i="28"/>
  <c r="M196" i="28"/>
  <c r="H196" i="28"/>
  <c r="K196" i="28" s="1"/>
  <c r="L196" i="28" s="1"/>
  <c r="AC195" i="28"/>
  <c r="AB195" i="28"/>
  <c r="U195" i="28"/>
  <c r="S195" i="28"/>
  <c r="P195" i="28"/>
  <c r="M195" i="28"/>
  <c r="H195" i="28"/>
  <c r="K195" i="28" s="1"/>
  <c r="L195" i="28" s="1"/>
  <c r="AC194" i="28"/>
  <c r="AB194" i="28"/>
  <c r="U194" i="28"/>
  <c r="S194" i="28"/>
  <c r="P194" i="28"/>
  <c r="M194" i="28"/>
  <c r="H194" i="28"/>
  <c r="K194" i="28" s="1"/>
  <c r="L194" i="28" s="1"/>
  <c r="AF193" i="28"/>
  <c r="AC193" i="28"/>
  <c r="AB193" i="28"/>
  <c r="U193" i="28"/>
  <c r="S193" i="28"/>
  <c r="P193" i="28"/>
  <c r="M193" i="28"/>
  <c r="H193" i="28"/>
  <c r="K193" i="28" s="1"/>
  <c r="L193" i="28" s="1"/>
  <c r="AC192" i="28"/>
  <c r="AB192" i="28"/>
  <c r="U192" i="28"/>
  <c r="S192" i="28"/>
  <c r="P192" i="28"/>
  <c r="M192" i="28"/>
  <c r="H192" i="28"/>
  <c r="K192" i="28" s="1"/>
  <c r="AC191" i="28"/>
  <c r="AB191" i="28"/>
  <c r="U191" i="28"/>
  <c r="S191" i="28"/>
  <c r="P191" i="28"/>
  <c r="M191" i="28"/>
  <c r="H191" i="28"/>
  <c r="K191" i="28" s="1"/>
  <c r="L191" i="28" s="1"/>
  <c r="AC190" i="28"/>
  <c r="AB190" i="28"/>
  <c r="U190" i="28"/>
  <c r="S190" i="28"/>
  <c r="P190" i="28"/>
  <c r="M190" i="28"/>
  <c r="H190" i="28"/>
  <c r="K190" i="28" s="1"/>
  <c r="L190" i="28" s="1"/>
  <c r="AC189" i="28"/>
  <c r="AB189" i="28"/>
  <c r="U189" i="28"/>
  <c r="S189" i="28"/>
  <c r="P189" i="28"/>
  <c r="M189" i="28"/>
  <c r="H189" i="28"/>
  <c r="K189" i="28" s="1"/>
  <c r="L189" i="28" s="1"/>
  <c r="AC188" i="28"/>
  <c r="AB188" i="28"/>
  <c r="U188" i="28"/>
  <c r="S188" i="28"/>
  <c r="P188" i="28"/>
  <c r="M188" i="28"/>
  <c r="H188" i="28"/>
  <c r="K188" i="28" s="1"/>
  <c r="AC187" i="28"/>
  <c r="AB187" i="28"/>
  <c r="U187" i="28"/>
  <c r="S187" i="28"/>
  <c r="P187" i="28"/>
  <c r="M187" i="28"/>
  <c r="H187" i="28"/>
  <c r="K187" i="28" s="1"/>
  <c r="L187" i="28" s="1"/>
  <c r="AC186" i="28"/>
  <c r="AB186" i="28"/>
  <c r="U186" i="28"/>
  <c r="S186" i="28"/>
  <c r="P186" i="28"/>
  <c r="M186" i="28"/>
  <c r="H186" i="28"/>
  <c r="K186" i="28" s="1"/>
  <c r="L186" i="28" s="1"/>
  <c r="AC185" i="28"/>
  <c r="AB185" i="28"/>
  <c r="U185" i="28"/>
  <c r="S185" i="28"/>
  <c r="P185" i="28"/>
  <c r="M185" i="28"/>
  <c r="H185" i="28"/>
  <c r="K185" i="28" s="1"/>
  <c r="L185" i="28" s="1"/>
  <c r="AC184" i="28"/>
  <c r="AB184" i="28"/>
  <c r="U184" i="28"/>
  <c r="S184" i="28"/>
  <c r="P184" i="28"/>
  <c r="M184" i="28"/>
  <c r="H184" i="28"/>
  <c r="K184" i="28" s="1"/>
  <c r="AC183" i="28"/>
  <c r="AB183" i="28"/>
  <c r="U183" i="28"/>
  <c r="S183" i="28"/>
  <c r="P183" i="28"/>
  <c r="M183" i="28"/>
  <c r="H183" i="28"/>
  <c r="K183" i="28" s="1"/>
  <c r="L183" i="28" s="1"/>
  <c r="AC182" i="28"/>
  <c r="AB182" i="28"/>
  <c r="U182" i="28"/>
  <c r="S182" i="28"/>
  <c r="P182" i="28"/>
  <c r="M182" i="28"/>
  <c r="H182" i="28"/>
  <c r="K182" i="28" s="1"/>
  <c r="L182" i="28" s="1"/>
  <c r="AC181" i="28"/>
  <c r="AB181" i="28"/>
  <c r="U181" i="28"/>
  <c r="S181" i="28"/>
  <c r="P181" i="28"/>
  <c r="M181" i="28"/>
  <c r="H181" i="28"/>
  <c r="K181" i="28" s="1"/>
  <c r="L181" i="28" s="1"/>
  <c r="AC180" i="28"/>
  <c r="AB180" i="28"/>
  <c r="U180" i="28"/>
  <c r="S180" i="28"/>
  <c r="P180" i="28"/>
  <c r="M180" i="28"/>
  <c r="H180" i="28"/>
  <c r="K180" i="28" s="1"/>
  <c r="AC179" i="28"/>
  <c r="AB179" i="28"/>
  <c r="U179" i="28"/>
  <c r="S179" i="28"/>
  <c r="P179" i="28"/>
  <c r="M179" i="28"/>
  <c r="H179" i="28"/>
  <c r="K179" i="28" s="1"/>
  <c r="AC178" i="28"/>
  <c r="AB178" i="28"/>
  <c r="U178" i="28"/>
  <c r="S178" i="28"/>
  <c r="P178" i="28"/>
  <c r="M178" i="28"/>
  <c r="H178" i="28"/>
  <c r="K178" i="28" s="1"/>
  <c r="L178" i="28" s="1"/>
  <c r="AC177" i="28"/>
  <c r="AB177" i="28"/>
  <c r="U177" i="28"/>
  <c r="S177" i="28"/>
  <c r="P177" i="28"/>
  <c r="M177" i="28"/>
  <c r="H177" i="28"/>
  <c r="K177" i="28" s="1"/>
  <c r="L177" i="28" s="1"/>
  <c r="AC176" i="28"/>
  <c r="AB176" i="28"/>
  <c r="U176" i="28"/>
  <c r="S176" i="28"/>
  <c r="P176" i="28"/>
  <c r="M176" i="28"/>
  <c r="H176" i="28"/>
  <c r="K176" i="28" s="1"/>
  <c r="L176" i="28" s="1"/>
  <c r="AC175" i="28"/>
  <c r="AB175" i="28"/>
  <c r="U175" i="28"/>
  <c r="S175" i="28"/>
  <c r="P175" i="28"/>
  <c r="M175" i="28"/>
  <c r="H175" i="28"/>
  <c r="K175" i="28" s="1"/>
  <c r="L175" i="28" s="1"/>
  <c r="AC174" i="28"/>
  <c r="AB174" i="28"/>
  <c r="U174" i="28"/>
  <c r="S174" i="28"/>
  <c r="P174" i="28"/>
  <c r="M174" i="28"/>
  <c r="H174" i="28"/>
  <c r="K174" i="28" s="1"/>
  <c r="L174" i="28" s="1"/>
  <c r="AC173" i="28"/>
  <c r="AB173" i="28"/>
  <c r="U173" i="28"/>
  <c r="S173" i="28"/>
  <c r="P173" i="28"/>
  <c r="M173" i="28"/>
  <c r="H173" i="28"/>
  <c r="K173" i="28" s="1"/>
  <c r="L173" i="28" s="1"/>
  <c r="AC172" i="28"/>
  <c r="AB172" i="28"/>
  <c r="U172" i="28"/>
  <c r="S172" i="28"/>
  <c r="P172" i="28"/>
  <c r="M172" i="28"/>
  <c r="H172" i="28"/>
  <c r="K172" i="28" s="1"/>
  <c r="L172" i="28" s="1"/>
  <c r="AC171" i="28"/>
  <c r="AB171" i="28"/>
  <c r="U171" i="28"/>
  <c r="S171" i="28"/>
  <c r="P171" i="28"/>
  <c r="M171" i="28"/>
  <c r="H171" i="28"/>
  <c r="K171" i="28" s="1"/>
  <c r="L171" i="28" s="1"/>
  <c r="AC170" i="28"/>
  <c r="AB170" i="28"/>
  <c r="U170" i="28"/>
  <c r="S170" i="28"/>
  <c r="P170" i="28"/>
  <c r="M170" i="28"/>
  <c r="H170" i="28"/>
  <c r="K170" i="28" s="1"/>
  <c r="L170" i="28" s="1"/>
  <c r="AC169" i="28"/>
  <c r="AB169" i="28"/>
  <c r="U169" i="28"/>
  <c r="S169" i="28"/>
  <c r="P169" i="28"/>
  <c r="M169" i="28"/>
  <c r="V169" i="28" s="1"/>
  <c r="H169" i="28"/>
  <c r="K169" i="28" s="1"/>
  <c r="L169" i="28" s="1"/>
  <c r="AC168" i="28"/>
  <c r="AB168" i="28"/>
  <c r="U168" i="28"/>
  <c r="S168" i="28"/>
  <c r="P168" i="28"/>
  <c r="M168" i="28"/>
  <c r="H168" i="28"/>
  <c r="K168" i="28" s="1"/>
  <c r="L168" i="28" s="1"/>
  <c r="AC167" i="28"/>
  <c r="AB167" i="28"/>
  <c r="U167" i="28"/>
  <c r="S167" i="28"/>
  <c r="P167" i="28"/>
  <c r="M167" i="28"/>
  <c r="H167" i="28"/>
  <c r="K167" i="28" s="1"/>
  <c r="L167" i="28" s="1"/>
  <c r="AC166" i="28"/>
  <c r="AB166" i="28"/>
  <c r="U166" i="28"/>
  <c r="S166" i="28"/>
  <c r="P166" i="28"/>
  <c r="M166" i="28"/>
  <c r="H166" i="28"/>
  <c r="K166" i="28" s="1"/>
  <c r="L166" i="28" s="1"/>
  <c r="AC165" i="28"/>
  <c r="AB165" i="28"/>
  <c r="U165" i="28"/>
  <c r="S165" i="28"/>
  <c r="P165" i="28"/>
  <c r="M165" i="28"/>
  <c r="H165" i="28"/>
  <c r="K165" i="28" s="1"/>
  <c r="L165" i="28" s="1"/>
  <c r="AC164" i="28"/>
  <c r="AB164" i="28"/>
  <c r="U164" i="28"/>
  <c r="S164" i="28"/>
  <c r="P164" i="28"/>
  <c r="M164" i="28"/>
  <c r="H164" i="28"/>
  <c r="K164" i="28" s="1"/>
  <c r="L164" i="28" s="1"/>
  <c r="AC163" i="28"/>
  <c r="AB163" i="28"/>
  <c r="U163" i="28"/>
  <c r="S163" i="28"/>
  <c r="P163" i="28"/>
  <c r="M163" i="28"/>
  <c r="H163" i="28"/>
  <c r="K163" i="28" s="1"/>
  <c r="L163" i="28" s="1"/>
  <c r="AC162" i="28"/>
  <c r="AB162" i="28"/>
  <c r="U162" i="28"/>
  <c r="S162" i="28"/>
  <c r="P162" i="28"/>
  <c r="M162" i="28"/>
  <c r="H162" i="28"/>
  <c r="K162" i="28" s="1"/>
  <c r="L162" i="28" s="1"/>
  <c r="AC161" i="28"/>
  <c r="AB161" i="28"/>
  <c r="U161" i="28"/>
  <c r="S161" i="28"/>
  <c r="P161" i="28"/>
  <c r="M161" i="28"/>
  <c r="H161" i="28"/>
  <c r="K161" i="28" s="1"/>
  <c r="L161" i="28" s="1"/>
  <c r="AC160" i="28"/>
  <c r="AB160" i="28"/>
  <c r="U160" i="28"/>
  <c r="S160" i="28"/>
  <c r="P160" i="28"/>
  <c r="M160" i="28"/>
  <c r="H160" i="28"/>
  <c r="K160" i="28" s="1"/>
  <c r="L160" i="28" s="1"/>
  <c r="AC159" i="28"/>
  <c r="AB159" i="28"/>
  <c r="U159" i="28"/>
  <c r="S159" i="28"/>
  <c r="P159" i="28"/>
  <c r="M159" i="28"/>
  <c r="H159" i="28"/>
  <c r="K159" i="28" s="1"/>
  <c r="L159" i="28" s="1"/>
  <c r="AC158" i="28"/>
  <c r="AB158" i="28"/>
  <c r="U158" i="28"/>
  <c r="S158" i="28"/>
  <c r="P158" i="28"/>
  <c r="M158" i="28"/>
  <c r="V158" i="28" s="1"/>
  <c r="H158" i="28"/>
  <c r="K158" i="28" s="1"/>
  <c r="L158" i="28" s="1"/>
  <c r="AC157" i="28"/>
  <c r="AB157" i="28"/>
  <c r="U157" i="28"/>
  <c r="S157" i="28"/>
  <c r="P157" i="28"/>
  <c r="M157" i="28"/>
  <c r="H157" i="28"/>
  <c r="K157" i="28" s="1"/>
  <c r="L157" i="28" s="1"/>
  <c r="AC156" i="28"/>
  <c r="AB156" i="28"/>
  <c r="U156" i="28"/>
  <c r="S156" i="28"/>
  <c r="P156" i="28"/>
  <c r="M156" i="28"/>
  <c r="H156" i="28"/>
  <c r="K156" i="28" s="1"/>
  <c r="AC155" i="28"/>
  <c r="AB155" i="28"/>
  <c r="U155" i="28"/>
  <c r="S155" i="28"/>
  <c r="P155" i="28"/>
  <c r="M155" i="28"/>
  <c r="H155" i="28"/>
  <c r="K155" i="28" s="1"/>
  <c r="L155" i="28" s="1"/>
  <c r="AC154" i="28"/>
  <c r="AB154" i="28"/>
  <c r="U154" i="28"/>
  <c r="S154" i="28"/>
  <c r="P154" i="28"/>
  <c r="M154" i="28"/>
  <c r="H154" i="28"/>
  <c r="K154" i="28" s="1"/>
  <c r="L154" i="28" s="1"/>
  <c r="AC153" i="28"/>
  <c r="AB153" i="28"/>
  <c r="U153" i="28"/>
  <c r="S153" i="28"/>
  <c r="P153" i="28"/>
  <c r="M153" i="28"/>
  <c r="H153" i="28"/>
  <c r="K153" i="28" s="1"/>
  <c r="L153" i="28" s="1"/>
  <c r="AC152" i="28"/>
  <c r="AB152" i="28"/>
  <c r="U152" i="28"/>
  <c r="S152" i="28"/>
  <c r="P152" i="28"/>
  <c r="M152" i="28"/>
  <c r="H152" i="28"/>
  <c r="K152" i="28" s="1"/>
  <c r="AC151" i="28"/>
  <c r="AB151" i="28"/>
  <c r="U151" i="28"/>
  <c r="S151" i="28"/>
  <c r="P151" i="28"/>
  <c r="M151" i="28"/>
  <c r="H151" i="28"/>
  <c r="K151" i="28" s="1"/>
  <c r="L151" i="28" s="1"/>
  <c r="AC150" i="28"/>
  <c r="AB150" i="28"/>
  <c r="U150" i="28"/>
  <c r="S150" i="28"/>
  <c r="P150" i="28"/>
  <c r="M150" i="28"/>
  <c r="H150" i="28"/>
  <c r="K150" i="28" s="1"/>
  <c r="L150" i="28" s="1"/>
  <c r="AC149" i="28"/>
  <c r="AB149" i="28"/>
  <c r="U149" i="28"/>
  <c r="S149" i="28"/>
  <c r="P149" i="28"/>
  <c r="M149" i="28"/>
  <c r="H149" i="28"/>
  <c r="K149" i="28" s="1"/>
  <c r="L149" i="28" s="1"/>
  <c r="AC148" i="28"/>
  <c r="AB148" i="28"/>
  <c r="U148" i="28"/>
  <c r="S148" i="28"/>
  <c r="P148" i="28"/>
  <c r="M148" i="28"/>
  <c r="H148" i="28"/>
  <c r="K148" i="28" s="1"/>
  <c r="AC147" i="28"/>
  <c r="AB147" i="28"/>
  <c r="U147" i="28"/>
  <c r="S147" i="28"/>
  <c r="P147" i="28"/>
  <c r="M147" i="28"/>
  <c r="H147" i="28"/>
  <c r="K147" i="28" s="1"/>
  <c r="L147" i="28" s="1"/>
  <c r="AC146" i="28"/>
  <c r="AB146" i="28"/>
  <c r="U146" i="28"/>
  <c r="S146" i="28"/>
  <c r="P146" i="28"/>
  <c r="M146" i="28"/>
  <c r="H146" i="28"/>
  <c r="K146" i="28" s="1"/>
  <c r="L146" i="28" s="1"/>
  <c r="AC145" i="28"/>
  <c r="AB145" i="28"/>
  <c r="U145" i="28"/>
  <c r="S145" i="28"/>
  <c r="P145" i="28"/>
  <c r="M145" i="28"/>
  <c r="H145" i="28"/>
  <c r="K145" i="28" s="1"/>
  <c r="L145" i="28" s="1"/>
  <c r="AC144" i="28"/>
  <c r="AB144" i="28"/>
  <c r="U144" i="28"/>
  <c r="S144" i="28"/>
  <c r="P144" i="28"/>
  <c r="M144" i="28"/>
  <c r="H144" i="28"/>
  <c r="K144" i="28" s="1"/>
  <c r="AC143" i="28"/>
  <c r="AB143" i="28"/>
  <c r="U143" i="28"/>
  <c r="S143" i="28"/>
  <c r="P143" i="28"/>
  <c r="M143" i="28"/>
  <c r="H143" i="28"/>
  <c r="K143" i="28" s="1"/>
  <c r="L143" i="28" s="1"/>
  <c r="AC142" i="28"/>
  <c r="AB142" i="28"/>
  <c r="U142" i="28"/>
  <c r="S142" i="28"/>
  <c r="P142" i="28"/>
  <c r="M142" i="28"/>
  <c r="I142" i="28"/>
  <c r="I354" i="28" s="1"/>
  <c r="H142" i="28"/>
  <c r="AC141" i="28"/>
  <c r="AB141" i="28"/>
  <c r="U141" i="28"/>
  <c r="S141" i="28"/>
  <c r="P141" i="28"/>
  <c r="M141" i="28"/>
  <c r="H141" i="28"/>
  <c r="K141" i="28" s="1"/>
  <c r="L141" i="28" s="1"/>
  <c r="AC140" i="28"/>
  <c r="AB140" i="28"/>
  <c r="U140" i="28"/>
  <c r="S140" i="28"/>
  <c r="P140" i="28"/>
  <c r="M140" i="28"/>
  <c r="H140" i="28"/>
  <c r="K140" i="28" s="1"/>
  <c r="L140" i="28" s="1"/>
  <c r="AC139" i="28"/>
  <c r="AB139" i="28"/>
  <c r="U139" i="28"/>
  <c r="S139" i="28"/>
  <c r="P139" i="28"/>
  <c r="M139" i="28"/>
  <c r="H139" i="28"/>
  <c r="K139" i="28" s="1"/>
  <c r="AC138" i="28"/>
  <c r="AB138" i="28"/>
  <c r="U138" i="28"/>
  <c r="S138" i="28"/>
  <c r="P138" i="28"/>
  <c r="M138" i="28"/>
  <c r="H138" i="28"/>
  <c r="K138" i="28" s="1"/>
  <c r="L138" i="28" s="1"/>
  <c r="AC137" i="28"/>
  <c r="AB137" i="28"/>
  <c r="U137" i="28"/>
  <c r="S137" i="28"/>
  <c r="P137" i="28"/>
  <c r="M137" i="28"/>
  <c r="H137" i="28"/>
  <c r="K137" i="28" s="1"/>
  <c r="L137" i="28" s="1"/>
  <c r="AC136" i="28"/>
  <c r="AB136" i="28"/>
  <c r="U136" i="28"/>
  <c r="S136" i="28"/>
  <c r="P136" i="28"/>
  <c r="M136" i="28"/>
  <c r="H136" i="28"/>
  <c r="K136" i="28" s="1"/>
  <c r="L136" i="28" s="1"/>
  <c r="AC135" i="28"/>
  <c r="AB135" i="28"/>
  <c r="U135" i="28"/>
  <c r="S135" i="28"/>
  <c r="P135" i="28"/>
  <c r="M135" i="28"/>
  <c r="H135" i="28"/>
  <c r="K135" i="28" s="1"/>
  <c r="AC134" i="28"/>
  <c r="AB134" i="28"/>
  <c r="U134" i="28"/>
  <c r="S134" i="28"/>
  <c r="P134" i="28"/>
  <c r="M134" i="28"/>
  <c r="H134" i="28"/>
  <c r="K134" i="28" s="1"/>
  <c r="L134" i="28" s="1"/>
  <c r="AC133" i="28"/>
  <c r="AB133" i="28"/>
  <c r="U133" i="28"/>
  <c r="S133" i="28"/>
  <c r="P133" i="28"/>
  <c r="M133" i="28"/>
  <c r="V133" i="28" s="1"/>
  <c r="H133" i="28"/>
  <c r="K133" i="28" s="1"/>
  <c r="L133" i="28" s="1"/>
  <c r="AC132" i="28"/>
  <c r="AB132" i="28"/>
  <c r="U132" i="28"/>
  <c r="S132" i="28"/>
  <c r="P132" i="28"/>
  <c r="M132" i="28"/>
  <c r="H132" i="28"/>
  <c r="K132" i="28" s="1"/>
  <c r="L132" i="28" s="1"/>
  <c r="AC131" i="28"/>
  <c r="AB131" i="28"/>
  <c r="U131" i="28"/>
  <c r="S131" i="28"/>
  <c r="P131" i="28"/>
  <c r="M131" i="28"/>
  <c r="H131" i="28"/>
  <c r="K131" i="28" s="1"/>
  <c r="L131" i="28" s="1"/>
  <c r="AC130" i="28"/>
  <c r="AB130" i="28"/>
  <c r="U130" i="28"/>
  <c r="S130" i="28"/>
  <c r="P130" i="28"/>
  <c r="M130" i="28"/>
  <c r="H130" i="28"/>
  <c r="K130" i="28" s="1"/>
  <c r="L130" i="28" s="1"/>
  <c r="AC129" i="28"/>
  <c r="AB129" i="28"/>
  <c r="U129" i="28"/>
  <c r="S129" i="28"/>
  <c r="P129" i="28"/>
  <c r="M129" i="28"/>
  <c r="V129" i="28" s="1"/>
  <c r="H129" i="28"/>
  <c r="K129" i="28" s="1"/>
  <c r="L129" i="28" s="1"/>
  <c r="AC128" i="28"/>
  <c r="AB128" i="28"/>
  <c r="U128" i="28"/>
  <c r="S128" i="28"/>
  <c r="P128" i="28"/>
  <c r="M128" i="28"/>
  <c r="H128" i="28"/>
  <c r="K128" i="28" s="1"/>
  <c r="L128" i="28" s="1"/>
  <c r="AC127" i="28"/>
  <c r="AB127" i="28"/>
  <c r="U127" i="28"/>
  <c r="S127" i="28"/>
  <c r="P127" i="28"/>
  <c r="M127" i="28"/>
  <c r="H127" i="28"/>
  <c r="K127" i="28" s="1"/>
  <c r="L127" i="28" s="1"/>
  <c r="AC126" i="28"/>
  <c r="AB126" i="28"/>
  <c r="U126" i="28"/>
  <c r="S126" i="28"/>
  <c r="P126" i="28"/>
  <c r="M126" i="28"/>
  <c r="H126" i="28"/>
  <c r="K126" i="28" s="1"/>
  <c r="L126" i="28" s="1"/>
  <c r="AC125" i="28"/>
  <c r="AB125" i="28"/>
  <c r="U125" i="28"/>
  <c r="S125" i="28"/>
  <c r="P125" i="28"/>
  <c r="M125" i="28"/>
  <c r="H125" i="28"/>
  <c r="K125" i="28" s="1"/>
  <c r="L125" i="28" s="1"/>
  <c r="AC124" i="28"/>
  <c r="AB124" i="28"/>
  <c r="U124" i="28"/>
  <c r="S124" i="28"/>
  <c r="P124" i="28"/>
  <c r="M124" i="28"/>
  <c r="H124" i="28"/>
  <c r="K124" i="28" s="1"/>
  <c r="L124" i="28" s="1"/>
  <c r="AC123" i="28"/>
  <c r="AB123" i="28"/>
  <c r="U123" i="28"/>
  <c r="S123" i="28"/>
  <c r="P123" i="28"/>
  <c r="M123" i="28"/>
  <c r="H123" i="28"/>
  <c r="K123" i="28" s="1"/>
  <c r="L123" i="28" s="1"/>
  <c r="AC122" i="28"/>
  <c r="AB122" i="28"/>
  <c r="U122" i="28"/>
  <c r="S122" i="28"/>
  <c r="P122" i="28"/>
  <c r="M122" i="28"/>
  <c r="H122" i="28"/>
  <c r="K122" i="28" s="1"/>
  <c r="L122" i="28" s="1"/>
  <c r="AC121" i="28"/>
  <c r="AB121" i="28"/>
  <c r="U121" i="28"/>
  <c r="S121" i="28"/>
  <c r="P121" i="28"/>
  <c r="M121" i="28"/>
  <c r="V121" i="28" s="1"/>
  <c r="H121" i="28"/>
  <c r="K121" i="28" s="1"/>
  <c r="L121" i="28" s="1"/>
  <c r="AC120" i="28"/>
  <c r="AB120" i="28"/>
  <c r="U120" i="28"/>
  <c r="S120" i="28"/>
  <c r="P120" i="28"/>
  <c r="M120" i="28"/>
  <c r="H120" i="28"/>
  <c r="K120" i="28" s="1"/>
  <c r="L120" i="28" s="1"/>
  <c r="AC119" i="28"/>
  <c r="AB119" i="28"/>
  <c r="U119" i="28"/>
  <c r="S119" i="28"/>
  <c r="P119" i="28"/>
  <c r="M119" i="28"/>
  <c r="H119" i="28"/>
  <c r="K119" i="28" s="1"/>
  <c r="L119" i="28" s="1"/>
  <c r="AC118" i="28"/>
  <c r="AB118" i="28"/>
  <c r="U118" i="28"/>
  <c r="S118" i="28"/>
  <c r="P118" i="28"/>
  <c r="M118" i="28"/>
  <c r="H118" i="28"/>
  <c r="K118" i="28" s="1"/>
  <c r="L118" i="28" s="1"/>
  <c r="AC117" i="28"/>
  <c r="AB117" i="28"/>
  <c r="U117" i="28"/>
  <c r="S117" i="28"/>
  <c r="P117" i="28"/>
  <c r="M117" i="28"/>
  <c r="H117" i="28"/>
  <c r="K117" i="28" s="1"/>
  <c r="L117" i="28" s="1"/>
  <c r="AC116" i="28"/>
  <c r="AB116" i="28"/>
  <c r="U116" i="28"/>
  <c r="S116" i="28"/>
  <c r="P116" i="28"/>
  <c r="M116" i="28"/>
  <c r="H116" i="28"/>
  <c r="K116" i="28" s="1"/>
  <c r="L116" i="28" s="1"/>
  <c r="AC115" i="28"/>
  <c r="AB115" i="28"/>
  <c r="U115" i="28"/>
  <c r="S115" i="28"/>
  <c r="P115" i="28"/>
  <c r="M115" i="28"/>
  <c r="H115" i="28"/>
  <c r="K115" i="28" s="1"/>
  <c r="L115" i="28" s="1"/>
  <c r="AC114" i="28"/>
  <c r="AB114" i="28"/>
  <c r="U114" i="28"/>
  <c r="S114" i="28"/>
  <c r="P114" i="28"/>
  <c r="M114" i="28"/>
  <c r="H114" i="28"/>
  <c r="K114" i="28" s="1"/>
  <c r="L114" i="28" s="1"/>
  <c r="AC113" i="28"/>
  <c r="AB113" i="28"/>
  <c r="U113" i="28"/>
  <c r="S113" i="28"/>
  <c r="P113" i="28"/>
  <c r="M113" i="28"/>
  <c r="H113" i="28"/>
  <c r="K113" i="28" s="1"/>
  <c r="L113" i="28" s="1"/>
  <c r="AC112" i="28"/>
  <c r="AB112" i="28"/>
  <c r="U112" i="28"/>
  <c r="S112" i="28"/>
  <c r="P112" i="28"/>
  <c r="M112" i="28"/>
  <c r="H112" i="28"/>
  <c r="K112" i="28" s="1"/>
  <c r="L112" i="28" s="1"/>
  <c r="AC111" i="28"/>
  <c r="AB111" i="28"/>
  <c r="U111" i="28"/>
  <c r="S111" i="28"/>
  <c r="P111" i="28"/>
  <c r="M111" i="28"/>
  <c r="N111" i="28" s="1"/>
  <c r="H111" i="28"/>
  <c r="K111" i="28" s="1"/>
  <c r="L111" i="28" s="1"/>
  <c r="AC110" i="28"/>
  <c r="AB110" i="28"/>
  <c r="U110" i="28"/>
  <c r="S110" i="28"/>
  <c r="P110" i="28"/>
  <c r="M110" i="28"/>
  <c r="H110" i="28"/>
  <c r="K110" i="28" s="1"/>
  <c r="L110" i="28" s="1"/>
  <c r="AC109" i="28"/>
  <c r="AB109" i="28"/>
  <c r="U109" i="28"/>
  <c r="S109" i="28"/>
  <c r="P109" i="28"/>
  <c r="M109" i="28"/>
  <c r="H109" i="28"/>
  <c r="K109" i="28" s="1"/>
  <c r="L109" i="28" s="1"/>
  <c r="AC108" i="28"/>
  <c r="AB108" i="28"/>
  <c r="U108" i="28"/>
  <c r="S108" i="28"/>
  <c r="P108" i="28"/>
  <c r="M108" i="28"/>
  <c r="H108" i="28"/>
  <c r="K108" i="28" s="1"/>
  <c r="L108" i="28" s="1"/>
  <c r="AB107" i="28"/>
  <c r="U107" i="28"/>
  <c r="S107" i="28"/>
  <c r="P107" i="28"/>
  <c r="M107" i="28"/>
  <c r="H107" i="28"/>
  <c r="K107" i="28" s="1"/>
  <c r="L107" i="28" s="1"/>
  <c r="AC106" i="28"/>
  <c r="AB106" i="28"/>
  <c r="U106" i="28"/>
  <c r="S106" i="28"/>
  <c r="P106" i="28"/>
  <c r="M106" i="28"/>
  <c r="H106" i="28"/>
  <c r="K106" i="28" s="1"/>
  <c r="L106" i="28" s="1"/>
  <c r="AC105" i="28"/>
  <c r="AB105" i="28"/>
  <c r="U105" i="28"/>
  <c r="S105" i="28"/>
  <c r="P105" i="28"/>
  <c r="M105" i="28"/>
  <c r="H105" i="28"/>
  <c r="K105" i="28" s="1"/>
  <c r="L105" i="28" s="1"/>
  <c r="AC104" i="28"/>
  <c r="AB104" i="28"/>
  <c r="U104" i="28"/>
  <c r="S104" i="28"/>
  <c r="P104" i="28"/>
  <c r="M104" i="28"/>
  <c r="H104" i="28"/>
  <c r="K104" i="28" s="1"/>
  <c r="AC103" i="28"/>
  <c r="AB103" i="28"/>
  <c r="U103" i="28"/>
  <c r="S103" i="28"/>
  <c r="P103" i="28"/>
  <c r="M103" i="28"/>
  <c r="H103" i="28"/>
  <c r="K103" i="28" s="1"/>
  <c r="L103" i="28" s="1"/>
  <c r="AC102" i="28"/>
  <c r="AB102" i="28"/>
  <c r="U102" i="28"/>
  <c r="S102" i="28"/>
  <c r="P102" i="28"/>
  <c r="M102" i="28"/>
  <c r="H102" i="28"/>
  <c r="K102" i="28" s="1"/>
  <c r="L102" i="28" s="1"/>
  <c r="AC101" i="28"/>
  <c r="AB101" i="28"/>
  <c r="U101" i="28"/>
  <c r="S101" i="28"/>
  <c r="P101" i="28"/>
  <c r="M101" i="28"/>
  <c r="H101" i="28"/>
  <c r="K101" i="28" s="1"/>
  <c r="L101" i="28" s="1"/>
  <c r="AC100" i="28"/>
  <c r="AB100" i="28"/>
  <c r="U100" i="28"/>
  <c r="S100" i="28"/>
  <c r="P100" i="28"/>
  <c r="M100" i="28"/>
  <c r="H100" i="28"/>
  <c r="K100" i="28" s="1"/>
  <c r="AC99" i="28"/>
  <c r="AB99" i="28"/>
  <c r="U99" i="28"/>
  <c r="S99" i="28"/>
  <c r="P99" i="28"/>
  <c r="M99" i="28"/>
  <c r="H99" i="28"/>
  <c r="K99" i="28" s="1"/>
  <c r="L99" i="28" s="1"/>
  <c r="AC98" i="28"/>
  <c r="AB98" i="28"/>
  <c r="U98" i="28"/>
  <c r="S98" i="28"/>
  <c r="P98" i="28"/>
  <c r="M98" i="28"/>
  <c r="H98" i="28"/>
  <c r="K98" i="28" s="1"/>
  <c r="L98" i="28" s="1"/>
  <c r="AC97" i="28"/>
  <c r="AB97" i="28"/>
  <c r="U97" i="28"/>
  <c r="S97" i="28"/>
  <c r="P97" i="28"/>
  <c r="M97" i="28"/>
  <c r="H97" i="28"/>
  <c r="K97" i="28" s="1"/>
  <c r="L97" i="28" s="1"/>
  <c r="AC96" i="28"/>
  <c r="AB96" i="28"/>
  <c r="U96" i="28"/>
  <c r="S96" i="28"/>
  <c r="P96" i="28"/>
  <c r="M96" i="28"/>
  <c r="H96" i="28"/>
  <c r="K96" i="28" s="1"/>
  <c r="AC95" i="28"/>
  <c r="AB95" i="28"/>
  <c r="U95" i="28"/>
  <c r="S95" i="28"/>
  <c r="P95" i="28"/>
  <c r="M95" i="28"/>
  <c r="H95" i="28"/>
  <c r="K95" i="28" s="1"/>
  <c r="L95" i="28" s="1"/>
  <c r="V95" i="28" s="1"/>
  <c r="AC94" i="28"/>
  <c r="AB94" i="28"/>
  <c r="U94" i="28"/>
  <c r="S94" i="28"/>
  <c r="P94" i="28"/>
  <c r="M94" i="28"/>
  <c r="H94" i="28"/>
  <c r="K94" i="28" s="1"/>
  <c r="L94" i="28" s="1"/>
  <c r="AC93" i="28"/>
  <c r="AB93" i="28"/>
  <c r="U93" i="28"/>
  <c r="S93" i="28"/>
  <c r="P93" i="28"/>
  <c r="M93" i="28"/>
  <c r="H93" i="28"/>
  <c r="K93" i="28" s="1"/>
  <c r="L93" i="28" s="1"/>
  <c r="AC92" i="28"/>
  <c r="AB92" i="28"/>
  <c r="U92" i="28"/>
  <c r="S92" i="28"/>
  <c r="P92" i="28"/>
  <c r="M92" i="28"/>
  <c r="H92" i="28"/>
  <c r="K92" i="28" s="1"/>
  <c r="AC91" i="28"/>
  <c r="AB91" i="28"/>
  <c r="U91" i="28"/>
  <c r="S91" i="28"/>
  <c r="P91" i="28"/>
  <c r="M91" i="28"/>
  <c r="H91" i="28"/>
  <c r="K91" i="28" s="1"/>
  <c r="L91" i="28" s="1"/>
  <c r="AC90" i="28"/>
  <c r="AB90" i="28"/>
  <c r="U90" i="28"/>
  <c r="S90" i="28"/>
  <c r="P90" i="28"/>
  <c r="M90" i="28"/>
  <c r="H90" i="28"/>
  <c r="K90" i="28" s="1"/>
  <c r="L90" i="28" s="1"/>
  <c r="AC89" i="28"/>
  <c r="AB89" i="28"/>
  <c r="U89" i="28"/>
  <c r="S89" i="28"/>
  <c r="P89" i="28"/>
  <c r="M89" i="28"/>
  <c r="H89" i="28"/>
  <c r="K89" i="28" s="1"/>
  <c r="L89" i="28" s="1"/>
  <c r="AC88" i="28"/>
  <c r="AB88" i="28"/>
  <c r="U88" i="28"/>
  <c r="S88" i="28"/>
  <c r="P88" i="28"/>
  <c r="M88" i="28"/>
  <c r="H88" i="28"/>
  <c r="K88" i="28" s="1"/>
  <c r="AC87" i="28"/>
  <c r="AB87" i="28"/>
  <c r="U87" i="28"/>
  <c r="S87" i="28"/>
  <c r="P87" i="28"/>
  <c r="M87" i="28"/>
  <c r="H87" i="28"/>
  <c r="K87" i="28" s="1"/>
  <c r="L87" i="28" s="1"/>
  <c r="AC86" i="28"/>
  <c r="AB86" i="28"/>
  <c r="U86" i="28"/>
  <c r="S86" i="28"/>
  <c r="P86" i="28"/>
  <c r="M86" i="28"/>
  <c r="H86" i="28"/>
  <c r="K86" i="28" s="1"/>
  <c r="L86" i="28" s="1"/>
  <c r="AC85" i="28"/>
  <c r="AB85" i="28"/>
  <c r="U85" i="28"/>
  <c r="S85" i="28"/>
  <c r="P85" i="28"/>
  <c r="M85" i="28"/>
  <c r="H85" i="28"/>
  <c r="K85" i="28" s="1"/>
  <c r="L85" i="28" s="1"/>
  <c r="AC84" i="28"/>
  <c r="AB84" i="28"/>
  <c r="U84" i="28"/>
  <c r="S84" i="28"/>
  <c r="P84" i="28"/>
  <c r="M84" i="28"/>
  <c r="H84" i="28"/>
  <c r="K84" i="28" s="1"/>
  <c r="AC83" i="28"/>
  <c r="AB83" i="28"/>
  <c r="U83" i="28"/>
  <c r="S83" i="28"/>
  <c r="P83" i="28"/>
  <c r="M83" i="28"/>
  <c r="H83" i="28"/>
  <c r="K83" i="28" s="1"/>
  <c r="L83" i="28" s="1"/>
  <c r="AC82" i="28"/>
  <c r="AB82" i="28"/>
  <c r="U82" i="28"/>
  <c r="S82" i="28"/>
  <c r="P82" i="28"/>
  <c r="M82" i="28"/>
  <c r="H82" i="28"/>
  <c r="K82" i="28" s="1"/>
  <c r="L82" i="28" s="1"/>
  <c r="AC81" i="28"/>
  <c r="AB81" i="28"/>
  <c r="U81" i="28"/>
  <c r="S81" i="28"/>
  <c r="P81" i="28"/>
  <c r="M81" i="28"/>
  <c r="H81" i="28"/>
  <c r="K81" i="28" s="1"/>
  <c r="L81" i="28" s="1"/>
  <c r="AC80" i="28"/>
  <c r="AB80" i="28"/>
  <c r="U80" i="28"/>
  <c r="S80" i="28"/>
  <c r="P80" i="28"/>
  <c r="M80" i="28"/>
  <c r="H80" i="28"/>
  <c r="K80" i="28" s="1"/>
  <c r="AC79" i="28"/>
  <c r="AB79" i="28"/>
  <c r="U79" i="28"/>
  <c r="S79" i="28"/>
  <c r="P79" i="28"/>
  <c r="M79" i="28"/>
  <c r="H79" i="28"/>
  <c r="K79" i="28" s="1"/>
  <c r="L79" i="28" s="1"/>
  <c r="AC78" i="28"/>
  <c r="AB78" i="28"/>
  <c r="U78" i="28"/>
  <c r="S78" i="28"/>
  <c r="P78" i="28"/>
  <c r="M78" i="28"/>
  <c r="H78" i="28"/>
  <c r="K78" i="28" s="1"/>
  <c r="L78" i="28" s="1"/>
  <c r="AC77" i="28"/>
  <c r="AB77" i="28"/>
  <c r="U77" i="28"/>
  <c r="S77" i="28"/>
  <c r="P77" i="28"/>
  <c r="M77" i="28"/>
  <c r="H77" i="28"/>
  <c r="K77" i="28" s="1"/>
  <c r="L77" i="28" s="1"/>
  <c r="AC76" i="28"/>
  <c r="AB76" i="28"/>
  <c r="U76" i="28"/>
  <c r="S76" i="28"/>
  <c r="P76" i="28"/>
  <c r="M76" i="28"/>
  <c r="H76" i="28"/>
  <c r="K76" i="28" s="1"/>
  <c r="AC75" i="28"/>
  <c r="AB75" i="28"/>
  <c r="U75" i="28"/>
  <c r="S75" i="28"/>
  <c r="P75" i="28"/>
  <c r="M75" i="28"/>
  <c r="H75" i="28"/>
  <c r="K75" i="28" s="1"/>
  <c r="L75" i="28" s="1"/>
  <c r="AC74" i="28"/>
  <c r="AB74" i="28"/>
  <c r="U74" i="28"/>
  <c r="S74" i="28"/>
  <c r="P74" i="28"/>
  <c r="M74" i="28"/>
  <c r="H74" i="28"/>
  <c r="K74" i="28" s="1"/>
  <c r="L74" i="28" s="1"/>
  <c r="AC73" i="28"/>
  <c r="AB73" i="28"/>
  <c r="U73" i="28"/>
  <c r="S73" i="28"/>
  <c r="P73" i="28"/>
  <c r="M73" i="28"/>
  <c r="H73" i="28"/>
  <c r="K73" i="28" s="1"/>
  <c r="L73" i="28" s="1"/>
  <c r="AC72" i="28"/>
  <c r="AB72" i="28"/>
  <c r="U72" i="28"/>
  <c r="S72" i="28"/>
  <c r="P72" i="28"/>
  <c r="M72" i="28"/>
  <c r="H72" i="28"/>
  <c r="K72" i="28" s="1"/>
  <c r="AC71" i="28"/>
  <c r="AB71" i="28"/>
  <c r="U71" i="28"/>
  <c r="S71" i="28"/>
  <c r="P71" i="28"/>
  <c r="M71" i="28"/>
  <c r="H71" i="28"/>
  <c r="K71" i="28" s="1"/>
  <c r="L71" i="28" s="1"/>
  <c r="AC70" i="28"/>
  <c r="AB70" i="28"/>
  <c r="U70" i="28"/>
  <c r="S70" i="28"/>
  <c r="P70" i="28"/>
  <c r="M70" i="28"/>
  <c r="H70" i="28"/>
  <c r="K70" i="28" s="1"/>
  <c r="L70" i="28" s="1"/>
  <c r="AC69" i="28"/>
  <c r="AB69" i="28"/>
  <c r="U69" i="28"/>
  <c r="S69" i="28"/>
  <c r="P69" i="28"/>
  <c r="M69" i="28"/>
  <c r="H69" i="28"/>
  <c r="K69" i="28" s="1"/>
  <c r="L69" i="28" s="1"/>
  <c r="AC68" i="28"/>
  <c r="AB68" i="28"/>
  <c r="U68" i="28"/>
  <c r="S68" i="28"/>
  <c r="P68" i="28"/>
  <c r="M68" i="28"/>
  <c r="H68" i="28"/>
  <c r="K68" i="28" s="1"/>
  <c r="AC67" i="28"/>
  <c r="AB67" i="28"/>
  <c r="U67" i="28"/>
  <c r="S67" i="28"/>
  <c r="P67" i="28"/>
  <c r="M67" i="28"/>
  <c r="H67" i="28"/>
  <c r="K67" i="28" s="1"/>
  <c r="L67" i="28" s="1"/>
  <c r="AC66" i="28"/>
  <c r="AB66" i="28"/>
  <c r="U66" i="28"/>
  <c r="S66" i="28"/>
  <c r="P66" i="28"/>
  <c r="M66" i="28"/>
  <c r="H66" i="28"/>
  <c r="K66" i="28" s="1"/>
  <c r="L66" i="28" s="1"/>
  <c r="AC65" i="28"/>
  <c r="AB65" i="28"/>
  <c r="U65" i="28"/>
  <c r="S65" i="28"/>
  <c r="P65" i="28"/>
  <c r="M65" i="28"/>
  <c r="H65" i="28"/>
  <c r="K65" i="28" s="1"/>
  <c r="L65" i="28" s="1"/>
  <c r="AC64" i="28"/>
  <c r="AB64" i="28"/>
  <c r="U64" i="28"/>
  <c r="S64" i="28"/>
  <c r="P64" i="28"/>
  <c r="M64" i="28"/>
  <c r="H64" i="28"/>
  <c r="K64" i="28" s="1"/>
  <c r="AC63" i="28"/>
  <c r="AB63" i="28"/>
  <c r="U63" i="28"/>
  <c r="S63" i="28"/>
  <c r="P63" i="28"/>
  <c r="M63" i="28"/>
  <c r="H63" i="28"/>
  <c r="K63" i="28" s="1"/>
  <c r="L63" i="28" s="1"/>
  <c r="AC62" i="28"/>
  <c r="AB62" i="28"/>
  <c r="U62" i="28"/>
  <c r="S62" i="28"/>
  <c r="P62" i="28"/>
  <c r="M62" i="28"/>
  <c r="H62" i="28"/>
  <c r="K62" i="28" s="1"/>
  <c r="L62" i="28" s="1"/>
  <c r="AC61" i="28"/>
  <c r="AB61" i="28"/>
  <c r="U61" i="28"/>
  <c r="S61" i="28"/>
  <c r="P61" i="28"/>
  <c r="M61" i="28"/>
  <c r="H61" i="28"/>
  <c r="K61" i="28" s="1"/>
  <c r="L61" i="28" s="1"/>
  <c r="AC60" i="28"/>
  <c r="AB60" i="28"/>
  <c r="U60" i="28"/>
  <c r="S60" i="28"/>
  <c r="P60" i="28"/>
  <c r="M60" i="28"/>
  <c r="H60" i="28"/>
  <c r="K60" i="28" s="1"/>
  <c r="AC59" i="28"/>
  <c r="AB59" i="28"/>
  <c r="U59" i="28"/>
  <c r="P59" i="28"/>
  <c r="M59" i="28"/>
  <c r="H59" i="28"/>
  <c r="K59" i="28" s="1"/>
  <c r="L59" i="28" s="1"/>
  <c r="AC58" i="28"/>
  <c r="AB58" i="28"/>
  <c r="U58" i="28"/>
  <c r="S58" i="28"/>
  <c r="P58" i="28"/>
  <c r="M58" i="28"/>
  <c r="H58" i="28"/>
  <c r="K58" i="28" s="1"/>
  <c r="L58" i="28" s="1"/>
  <c r="AC57" i="28"/>
  <c r="AB57" i="28"/>
  <c r="U57" i="28"/>
  <c r="S57" i="28"/>
  <c r="P57" i="28"/>
  <c r="M57" i="28"/>
  <c r="H57" i="28"/>
  <c r="K57" i="28" s="1"/>
  <c r="AC56" i="28"/>
  <c r="AB56" i="28"/>
  <c r="U56" i="28"/>
  <c r="S56" i="28"/>
  <c r="P56" i="28"/>
  <c r="M56" i="28"/>
  <c r="H56" i="28"/>
  <c r="K56" i="28" s="1"/>
  <c r="L56" i="28" s="1"/>
  <c r="AC55" i="28"/>
  <c r="AB55" i="28"/>
  <c r="U55" i="28"/>
  <c r="S55" i="28"/>
  <c r="P55" i="28"/>
  <c r="M55" i="28"/>
  <c r="H55" i="28"/>
  <c r="K55" i="28" s="1"/>
  <c r="L55" i="28" s="1"/>
  <c r="AC54" i="28"/>
  <c r="AB54" i="28"/>
  <c r="U54" i="28"/>
  <c r="S54" i="28"/>
  <c r="P54" i="28"/>
  <c r="M54" i="28"/>
  <c r="H54" i="28"/>
  <c r="K54" i="28" s="1"/>
  <c r="L54" i="28" s="1"/>
  <c r="AC53" i="28"/>
  <c r="AB53" i="28"/>
  <c r="U53" i="28"/>
  <c r="S53" i="28"/>
  <c r="P53" i="28"/>
  <c r="M53" i="28"/>
  <c r="H53" i="28"/>
  <c r="K53" i="28" s="1"/>
  <c r="AC52" i="28"/>
  <c r="AB52" i="28"/>
  <c r="U52" i="28"/>
  <c r="S52" i="28"/>
  <c r="P52" i="28"/>
  <c r="M52" i="28"/>
  <c r="K52" i="28"/>
  <c r="L52" i="28" s="1"/>
  <c r="H52" i="28"/>
  <c r="AC51" i="28"/>
  <c r="AB51" i="28"/>
  <c r="U51" i="28"/>
  <c r="S51" i="28"/>
  <c r="P51" i="28"/>
  <c r="M51" i="28"/>
  <c r="H51" i="28"/>
  <c r="K51" i="28" s="1"/>
  <c r="L51" i="28" s="1"/>
  <c r="AC50" i="28"/>
  <c r="AB50" i="28"/>
  <c r="U50" i="28"/>
  <c r="S50" i="28"/>
  <c r="P50" i="28"/>
  <c r="M50" i="28"/>
  <c r="H50" i="28"/>
  <c r="K50" i="28" s="1"/>
  <c r="L50" i="28" s="1"/>
  <c r="AC49" i="28"/>
  <c r="AB49" i="28"/>
  <c r="U49" i="28"/>
  <c r="S49" i="28"/>
  <c r="P49" i="28"/>
  <c r="M49" i="28"/>
  <c r="H49" i="28"/>
  <c r="K49" i="28" s="1"/>
  <c r="L49" i="28" s="1"/>
  <c r="AC48" i="28"/>
  <c r="AB48" i="28"/>
  <c r="U48" i="28"/>
  <c r="S48" i="28"/>
  <c r="P48" i="28"/>
  <c r="M48" i="28"/>
  <c r="H48" i="28"/>
  <c r="K48" i="28" s="1"/>
  <c r="L48" i="28" s="1"/>
  <c r="AC47" i="28"/>
  <c r="AB47" i="28"/>
  <c r="U47" i="28"/>
  <c r="S47" i="28"/>
  <c r="P47" i="28"/>
  <c r="M47" i="28"/>
  <c r="H47" i="28"/>
  <c r="K47" i="28" s="1"/>
  <c r="L47" i="28" s="1"/>
  <c r="AC46" i="28"/>
  <c r="AB46" i="28"/>
  <c r="U46" i="28"/>
  <c r="S46" i="28"/>
  <c r="P46" i="28"/>
  <c r="M46" i="28"/>
  <c r="H46" i="28"/>
  <c r="K46" i="28" s="1"/>
  <c r="L46" i="28" s="1"/>
  <c r="AC45" i="28"/>
  <c r="AB45" i="28"/>
  <c r="U45" i="28"/>
  <c r="S45" i="28"/>
  <c r="P45" i="28"/>
  <c r="M45" i="28"/>
  <c r="H45" i="28"/>
  <c r="K45" i="28" s="1"/>
  <c r="AC44" i="28"/>
  <c r="AB44" i="28"/>
  <c r="U44" i="28"/>
  <c r="S44" i="28"/>
  <c r="P44" i="28"/>
  <c r="M44" i="28"/>
  <c r="H44" i="28"/>
  <c r="K44" i="28" s="1"/>
  <c r="L44" i="28" s="1"/>
  <c r="AC43" i="28"/>
  <c r="AB43" i="28"/>
  <c r="U43" i="28"/>
  <c r="S43" i="28"/>
  <c r="P43" i="28"/>
  <c r="M43" i="28"/>
  <c r="H43" i="28"/>
  <c r="K43" i="28" s="1"/>
  <c r="L43" i="28" s="1"/>
  <c r="AC42" i="28"/>
  <c r="AB42" i="28"/>
  <c r="U42" i="28"/>
  <c r="S42" i="28"/>
  <c r="P42" i="28"/>
  <c r="M42" i="28"/>
  <c r="H42" i="28"/>
  <c r="K42" i="28" s="1"/>
  <c r="L42" i="28" s="1"/>
  <c r="AC41" i="28"/>
  <c r="AB41" i="28"/>
  <c r="U41" i="28"/>
  <c r="S41" i="28"/>
  <c r="P41" i="28"/>
  <c r="M41" i="28"/>
  <c r="H41" i="28"/>
  <c r="K41" i="28" s="1"/>
  <c r="AC40" i="28"/>
  <c r="AB40" i="28"/>
  <c r="U40" i="28"/>
  <c r="S40" i="28"/>
  <c r="P40" i="28"/>
  <c r="M40" i="28"/>
  <c r="H40" i="28"/>
  <c r="K40" i="28" s="1"/>
  <c r="L40" i="28" s="1"/>
  <c r="AC39" i="28"/>
  <c r="AB39" i="28"/>
  <c r="U39" i="28"/>
  <c r="S39" i="28"/>
  <c r="P39" i="28"/>
  <c r="M39" i="28"/>
  <c r="H39" i="28"/>
  <c r="K39" i="28" s="1"/>
  <c r="L39" i="28" s="1"/>
  <c r="AC38" i="28"/>
  <c r="AB38" i="28"/>
  <c r="U38" i="28"/>
  <c r="S38" i="28"/>
  <c r="P38" i="28"/>
  <c r="M38" i="28"/>
  <c r="H38" i="28"/>
  <c r="K38" i="28" s="1"/>
  <c r="L38" i="28" s="1"/>
  <c r="AC37" i="28"/>
  <c r="AB37" i="28"/>
  <c r="U37" i="28"/>
  <c r="S37" i="28"/>
  <c r="P37" i="28"/>
  <c r="M37" i="28"/>
  <c r="F37" i="28"/>
  <c r="F354" i="28" s="1"/>
  <c r="AC36" i="28"/>
  <c r="AB36" i="28"/>
  <c r="U36" i="28"/>
  <c r="S36" i="28"/>
  <c r="P36" i="28"/>
  <c r="M36" i="28"/>
  <c r="H36" i="28"/>
  <c r="K36" i="28" s="1"/>
  <c r="AC35" i="28"/>
  <c r="AB35" i="28"/>
  <c r="U35" i="28"/>
  <c r="S35" i="28"/>
  <c r="P35" i="28"/>
  <c r="M35" i="28"/>
  <c r="H35" i="28"/>
  <c r="K35" i="28" s="1"/>
  <c r="L35" i="28" s="1"/>
  <c r="AC34" i="28"/>
  <c r="AB34" i="28"/>
  <c r="U34" i="28"/>
  <c r="S34" i="28"/>
  <c r="P34" i="28"/>
  <c r="M34" i="28"/>
  <c r="H34" i="28"/>
  <c r="K34" i="28" s="1"/>
  <c r="L34" i="28" s="1"/>
  <c r="AC33" i="28"/>
  <c r="AB33" i="28"/>
  <c r="U33" i="28"/>
  <c r="S33" i="28"/>
  <c r="P33" i="28"/>
  <c r="M33" i="28"/>
  <c r="H33" i="28"/>
  <c r="K33" i="28" s="1"/>
  <c r="AC32" i="28"/>
  <c r="AB32" i="28"/>
  <c r="U32" i="28"/>
  <c r="S32" i="28"/>
  <c r="P32" i="28"/>
  <c r="M32" i="28"/>
  <c r="H32" i="28"/>
  <c r="K32" i="28" s="1"/>
  <c r="AC31" i="28"/>
  <c r="AB31" i="28"/>
  <c r="U31" i="28"/>
  <c r="S31" i="28"/>
  <c r="P31" i="28"/>
  <c r="M31" i="28"/>
  <c r="H31" i="28"/>
  <c r="K31" i="28" s="1"/>
  <c r="L31" i="28" s="1"/>
  <c r="AC30" i="28"/>
  <c r="AB30" i="28"/>
  <c r="U30" i="28"/>
  <c r="S30" i="28"/>
  <c r="P30" i="28"/>
  <c r="M30" i="28"/>
  <c r="H30" i="28"/>
  <c r="K30" i="28" s="1"/>
  <c r="L30" i="28" s="1"/>
  <c r="AC29" i="28"/>
  <c r="AB29" i="28"/>
  <c r="U29" i="28"/>
  <c r="S29" i="28"/>
  <c r="P29" i="28"/>
  <c r="M29" i="28"/>
  <c r="H29" i="28"/>
  <c r="K29" i="28" s="1"/>
  <c r="L29" i="28" s="1"/>
  <c r="AC28" i="28"/>
  <c r="AB28" i="28"/>
  <c r="U28" i="28"/>
  <c r="S28" i="28"/>
  <c r="P28" i="28"/>
  <c r="M28" i="28"/>
  <c r="H28" i="28"/>
  <c r="K28" i="28" s="1"/>
  <c r="AC27" i="28"/>
  <c r="AB27" i="28"/>
  <c r="U27" i="28"/>
  <c r="S27" i="28"/>
  <c r="P27" i="28"/>
  <c r="M27" i="28"/>
  <c r="H27" i="28"/>
  <c r="K27" i="28" s="1"/>
  <c r="L27" i="28" s="1"/>
  <c r="AC26" i="28"/>
  <c r="AB26" i="28"/>
  <c r="U26" i="28"/>
  <c r="S26" i="28"/>
  <c r="P26" i="28"/>
  <c r="M26" i="28"/>
  <c r="H26" i="28"/>
  <c r="K26" i="28" s="1"/>
  <c r="L26" i="28" s="1"/>
  <c r="AC25" i="28"/>
  <c r="AB25" i="28"/>
  <c r="U25" i="28"/>
  <c r="S25" i="28"/>
  <c r="P25" i="28"/>
  <c r="M25" i="28"/>
  <c r="H25" i="28"/>
  <c r="K25" i="28" s="1"/>
  <c r="AC24" i="28"/>
  <c r="AB24" i="28"/>
  <c r="U24" i="28"/>
  <c r="S24" i="28"/>
  <c r="P24" i="28"/>
  <c r="M24" i="28"/>
  <c r="H24" i="28"/>
  <c r="K24" i="28" s="1"/>
  <c r="AC23" i="28"/>
  <c r="AB23" i="28"/>
  <c r="U23" i="28"/>
  <c r="S23" i="28"/>
  <c r="P23" i="28"/>
  <c r="M23" i="28"/>
  <c r="H23" i="28"/>
  <c r="A23" i="28"/>
  <c r="M294" i="28" l="1"/>
  <c r="P294" i="28" s="1"/>
  <c r="M298" i="28"/>
  <c r="P298" i="28" s="1"/>
  <c r="M300" i="28"/>
  <c r="M304" i="28"/>
  <c r="M308" i="28"/>
  <c r="P308" i="28" s="1"/>
  <c r="M311" i="28"/>
  <c r="M313" i="28"/>
  <c r="M315" i="28"/>
  <c r="M317" i="28"/>
  <c r="V74" i="28"/>
  <c r="N259" i="28"/>
  <c r="Q259" i="28" s="1"/>
  <c r="W259" i="28" s="1"/>
  <c r="X259" i="28" s="1"/>
  <c r="Z259" i="28" s="1"/>
  <c r="M289" i="28"/>
  <c r="P289" i="28" s="1"/>
  <c r="M291" i="28"/>
  <c r="P291" i="28" s="1"/>
  <c r="M326" i="28"/>
  <c r="Q326" i="28" s="1"/>
  <c r="W326" i="28" s="1"/>
  <c r="X326" i="28" s="1"/>
  <c r="Z326" i="28" s="1"/>
  <c r="M328" i="28"/>
  <c r="Q328" i="28" s="1"/>
  <c r="W328" i="28" s="1"/>
  <c r="X328" i="28" s="1"/>
  <c r="Z328" i="28" s="1"/>
  <c r="M330" i="28"/>
  <c r="P330" i="28" s="1"/>
  <c r="M332" i="28"/>
  <c r="Q332" i="28" s="1"/>
  <c r="W332" i="28" s="1"/>
  <c r="X332" i="28" s="1"/>
  <c r="Z332" i="28" s="1"/>
  <c r="M334" i="28"/>
  <c r="P334" i="28" s="1"/>
  <c r="M336" i="28"/>
  <c r="P336" i="28" s="1"/>
  <c r="M338" i="28"/>
  <c r="P338" i="28" s="1"/>
  <c r="M340" i="28"/>
  <c r="P340" i="28" s="1"/>
  <c r="M342" i="28"/>
  <c r="P342" i="28" s="1"/>
  <c r="K142" i="28"/>
  <c r="L142" i="28" s="1"/>
  <c r="M319" i="28"/>
  <c r="Q319" i="28" s="1"/>
  <c r="W319" i="28" s="1"/>
  <c r="X319" i="28" s="1"/>
  <c r="Z319" i="28" s="1"/>
  <c r="H37" i="28"/>
  <c r="K37" i="28" s="1"/>
  <c r="L37" i="28" s="1"/>
  <c r="N37" i="28" s="1"/>
  <c r="Q37" i="28" s="1"/>
  <c r="W37" i="28" s="1"/>
  <c r="X37" i="28" s="1"/>
  <c r="Z37" i="28" s="1"/>
  <c r="E115" i="35"/>
  <c r="E103" i="35"/>
  <c r="E307" i="34"/>
  <c r="E317" i="35"/>
  <c r="E86" i="6"/>
  <c r="E93" i="34"/>
  <c r="E97" i="6"/>
  <c r="E105" i="34"/>
  <c r="AI86" i="33"/>
  <c r="A87" i="33"/>
  <c r="M364" i="28"/>
  <c r="N154" i="28"/>
  <c r="Q154" i="28" s="1"/>
  <c r="W154" i="28" s="1"/>
  <c r="X154" i="28" s="1"/>
  <c r="Z154" i="28" s="1"/>
  <c r="V63" i="28"/>
  <c r="V82" i="28"/>
  <c r="V150" i="28"/>
  <c r="V178" i="28"/>
  <c r="N198" i="28"/>
  <c r="V246" i="28"/>
  <c r="V247" i="28"/>
  <c r="V252" i="28"/>
  <c r="N263" i="28"/>
  <c r="Q263" i="28" s="1"/>
  <c r="W263" i="28" s="1"/>
  <c r="X263" i="28" s="1"/>
  <c r="Z263" i="28" s="1"/>
  <c r="N267" i="28"/>
  <c r="Q267" i="28" s="1"/>
  <c r="W267" i="28" s="1"/>
  <c r="X267" i="28" s="1"/>
  <c r="Z267" i="28" s="1"/>
  <c r="V272" i="28"/>
  <c r="M290" i="28"/>
  <c r="P290" i="28" s="1"/>
  <c r="M292" i="28"/>
  <c r="P292" i="28" s="1"/>
  <c r="M321" i="28"/>
  <c r="Q321" i="28" s="1"/>
  <c r="W321" i="28" s="1"/>
  <c r="X321" i="28" s="1"/>
  <c r="Z321" i="28" s="1"/>
  <c r="M325" i="28"/>
  <c r="P325" i="28" s="1"/>
  <c r="M327" i="28"/>
  <c r="Q327" i="28" s="1"/>
  <c r="W327" i="28" s="1"/>
  <c r="X327" i="28" s="1"/>
  <c r="Z327" i="28" s="1"/>
  <c r="M329" i="28"/>
  <c r="Q329" i="28" s="1"/>
  <c r="W329" i="28" s="1"/>
  <c r="X329" i="28" s="1"/>
  <c r="Z329" i="28" s="1"/>
  <c r="M331" i="28"/>
  <c r="P331" i="28" s="1"/>
  <c r="M333" i="28"/>
  <c r="Q333" i="28" s="1"/>
  <c r="W333" i="28" s="1"/>
  <c r="X333" i="28" s="1"/>
  <c r="Z333" i="28" s="1"/>
  <c r="M335" i="28"/>
  <c r="P335" i="28" s="1"/>
  <c r="V343" i="28"/>
  <c r="M344" i="28"/>
  <c r="P344" i="28" s="1"/>
  <c r="M348" i="28"/>
  <c r="P348" i="28" s="1"/>
  <c r="M350" i="28"/>
  <c r="Q350" i="28" s="1"/>
  <c r="W350" i="28" s="1"/>
  <c r="X350" i="28" s="1"/>
  <c r="Z350" i="28" s="1"/>
  <c r="M352" i="28"/>
  <c r="P352" i="28" s="1"/>
  <c r="V91" i="28"/>
  <c r="V71" i="28"/>
  <c r="V167" i="28"/>
  <c r="N193" i="28"/>
  <c r="Q193" i="28" s="1"/>
  <c r="W193" i="28" s="1"/>
  <c r="X193" i="28" s="1"/>
  <c r="Z193" i="28" s="1"/>
  <c r="V235" i="28"/>
  <c r="N271" i="28"/>
  <c r="Q271" i="28" s="1"/>
  <c r="W271" i="28" s="1"/>
  <c r="X271" i="28" s="1"/>
  <c r="Z271" i="28" s="1"/>
  <c r="V276" i="28"/>
  <c r="M293" i="28"/>
  <c r="P293" i="28" s="1"/>
  <c r="M297" i="28"/>
  <c r="P297" i="28" s="1"/>
  <c r="M301" i="28"/>
  <c r="P301" i="28" s="1"/>
  <c r="M303" i="28"/>
  <c r="Q303" i="28" s="1"/>
  <c r="W303" i="28" s="1"/>
  <c r="X303" i="28" s="1"/>
  <c r="Z303" i="28" s="1"/>
  <c r="M305" i="28"/>
  <c r="Q305" i="28" s="1"/>
  <c r="W305" i="28" s="1"/>
  <c r="X305" i="28" s="1"/>
  <c r="Z305" i="28" s="1"/>
  <c r="M307" i="28"/>
  <c r="P307" i="28" s="1"/>
  <c r="M310" i="28"/>
  <c r="P310" i="28" s="1"/>
  <c r="M312" i="28"/>
  <c r="Q312" i="28" s="1"/>
  <c r="W312" i="28" s="1"/>
  <c r="X312" i="28" s="1"/>
  <c r="Z312" i="28" s="1"/>
  <c r="M314" i="28"/>
  <c r="Q314" i="28" s="1"/>
  <c r="W314" i="28" s="1"/>
  <c r="X314" i="28" s="1"/>
  <c r="Z314" i="28" s="1"/>
  <c r="M316" i="28"/>
  <c r="Q316" i="28" s="1"/>
  <c r="W316" i="28" s="1"/>
  <c r="X316" i="28" s="1"/>
  <c r="Z316" i="28" s="1"/>
  <c r="M318" i="28"/>
  <c r="Q318" i="28" s="1"/>
  <c r="W318" i="28" s="1"/>
  <c r="X318" i="28" s="1"/>
  <c r="Z318" i="28" s="1"/>
  <c r="M322" i="28"/>
  <c r="Q322" i="28" s="1"/>
  <c r="W322" i="28" s="1"/>
  <c r="X322" i="28" s="1"/>
  <c r="Z322" i="28" s="1"/>
  <c r="M324" i="28"/>
  <c r="P324" i="28" s="1"/>
  <c r="M337" i="28"/>
  <c r="P337" i="28" s="1"/>
  <c r="M339" i="28"/>
  <c r="P339" i="28" s="1"/>
  <c r="M341" i="28"/>
  <c r="P341" i="28" s="1"/>
  <c r="V31" i="28"/>
  <c r="V26" i="28"/>
  <c r="V40" i="28"/>
  <c r="M361" i="28"/>
  <c r="V49" i="28"/>
  <c r="V54" i="28"/>
  <c r="V58" i="28"/>
  <c r="V66" i="28"/>
  <c r="V79" i="28"/>
  <c r="V94" i="28"/>
  <c r="V134" i="28"/>
  <c r="V142" i="28"/>
  <c r="V195" i="28"/>
  <c r="V224" i="28"/>
  <c r="V256" i="28"/>
  <c r="M362" i="28"/>
  <c r="M363" i="28"/>
  <c r="N34" i="28"/>
  <c r="Q34" i="28" s="1"/>
  <c r="W34" i="28" s="1"/>
  <c r="X34" i="28" s="1"/>
  <c r="Z34" i="28" s="1"/>
  <c r="N141" i="28"/>
  <c r="Q141" i="28" s="1"/>
  <c r="W141" i="28" s="1"/>
  <c r="X141" i="28" s="1"/>
  <c r="Z141" i="28" s="1"/>
  <c r="N185" i="28"/>
  <c r="Q185" i="28" s="1"/>
  <c r="W185" i="28" s="1"/>
  <c r="X185" i="28" s="1"/>
  <c r="Z185" i="28" s="1"/>
  <c r="N207" i="28"/>
  <c r="Q207" i="28" s="1"/>
  <c r="W207" i="28" s="1"/>
  <c r="X207" i="28" s="1"/>
  <c r="Z207" i="28" s="1"/>
  <c r="N43" i="28"/>
  <c r="Q43" i="28" s="1"/>
  <c r="W43" i="28" s="1"/>
  <c r="X43" i="28" s="1"/>
  <c r="Z43" i="28" s="1"/>
  <c r="N194" i="28"/>
  <c r="Q194" i="28" s="1"/>
  <c r="W194" i="28" s="1"/>
  <c r="X194" i="28" s="1"/>
  <c r="Z194" i="28" s="1"/>
  <c r="N120" i="28"/>
  <c r="Q120" i="28" s="1"/>
  <c r="W120" i="28" s="1"/>
  <c r="X120" i="28" s="1"/>
  <c r="Z120" i="28" s="1"/>
  <c r="V25" i="28"/>
  <c r="V96" i="28"/>
  <c r="N126" i="28"/>
  <c r="Q126" i="28" s="1"/>
  <c r="W126" i="28" s="1"/>
  <c r="X126" i="28" s="1"/>
  <c r="Z126" i="28" s="1"/>
  <c r="N134" i="28"/>
  <c r="Q134" i="28" s="1"/>
  <c r="W134" i="28" s="1"/>
  <c r="X134" i="28" s="1"/>
  <c r="Z134" i="28" s="1"/>
  <c r="V135" i="28"/>
  <c r="N162" i="28"/>
  <c r="Q162" i="28" s="1"/>
  <c r="W162" i="28" s="1"/>
  <c r="X162" i="28" s="1"/>
  <c r="Z162" i="28" s="1"/>
  <c r="N163" i="28"/>
  <c r="Q163" i="28" s="1"/>
  <c r="W163" i="28" s="1"/>
  <c r="X163" i="28" s="1"/>
  <c r="Z163" i="28" s="1"/>
  <c r="N190" i="28"/>
  <c r="Q190" i="28" s="1"/>
  <c r="W190" i="28" s="1"/>
  <c r="X190" i="28" s="1"/>
  <c r="Z190" i="28" s="1"/>
  <c r="Q317" i="28"/>
  <c r="W317" i="28" s="1"/>
  <c r="X317" i="28" s="1"/>
  <c r="Z317" i="28" s="1"/>
  <c r="V174" i="28"/>
  <c r="V249" i="28"/>
  <c r="N252" i="28"/>
  <c r="Q252" i="28" s="1"/>
  <c r="W252" i="28" s="1"/>
  <c r="X252" i="28" s="1"/>
  <c r="Z252" i="28" s="1"/>
  <c r="N257" i="28"/>
  <c r="Q257" i="28" s="1"/>
  <c r="W257" i="28" s="1"/>
  <c r="X257" i="28" s="1"/>
  <c r="Z257" i="28" s="1"/>
  <c r="Q300" i="28"/>
  <c r="W300" i="28" s="1"/>
  <c r="X300" i="28" s="1"/>
  <c r="Z300" i="28" s="1"/>
  <c r="Q351" i="28"/>
  <c r="W351" i="28" s="1"/>
  <c r="X351" i="28" s="1"/>
  <c r="Z351" i="28" s="1"/>
  <c r="Q353" i="28"/>
  <c r="W353" i="28" s="1"/>
  <c r="X353" i="28" s="1"/>
  <c r="Z353" i="28" s="1"/>
  <c r="N131" i="28"/>
  <c r="Q131" i="28" s="1"/>
  <c r="W131" i="28" s="1"/>
  <c r="X131" i="28" s="1"/>
  <c r="Z131" i="28" s="1"/>
  <c r="N133" i="28"/>
  <c r="Q133" i="28" s="1"/>
  <c r="W133" i="28" s="1"/>
  <c r="X133" i="28" s="1"/>
  <c r="Z133" i="28" s="1"/>
  <c r="N137" i="28"/>
  <c r="Q137" i="28" s="1"/>
  <c r="W137" i="28" s="1"/>
  <c r="X137" i="28" s="1"/>
  <c r="Z137" i="28" s="1"/>
  <c r="N138" i="28"/>
  <c r="Q138" i="28" s="1"/>
  <c r="W138" i="28" s="1"/>
  <c r="X138" i="28" s="1"/>
  <c r="Z138" i="28" s="1"/>
  <c r="V139" i="28"/>
  <c r="N173" i="28"/>
  <c r="Q173" i="28" s="1"/>
  <c r="W173" i="28" s="1"/>
  <c r="X173" i="28" s="1"/>
  <c r="Z173" i="28" s="1"/>
  <c r="N174" i="28"/>
  <c r="Q174" i="28" s="1"/>
  <c r="W174" i="28" s="1"/>
  <c r="X174" i="28" s="1"/>
  <c r="Z174" i="28" s="1"/>
  <c r="N199" i="28"/>
  <c r="Q199" i="28" s="1"/>
  <c r="W199" i="28" s="1"/>
  <c r="X199" i="28" s="1"/>
  <c r="Z199" i="28" s="1"/>
  <c r="V229" i="28"/>
  <c r="V233" i="28"/>
  <c r="V237" i="28"/>
  <c r="N260" i="28"/>
  <c r="Q260" i="28" s="1"/>
  <c r="W260" i="28" s="1"/>
  <c r="X260" i="28" s="1"/>
  <c r="Z260" i="28" s="1"/>
  <c r="Q338" i="28"/>
  <c r="W338" i="28" s="1"/>
  <c r="X338" i="28" s="1"/>
  <c r="Z338" i="28" s="1"/>
  <c r="N158" i="28"/>
  <c r="Q158" i="28" s="1"/>
  <c r="W158" i="28" s="1"/>
  <c r="X158" i="28" s="1"/>
  <c r="Z158" i="28" s="1"/>
  <c r="N265" i="28"/>
  <c r="Q265" i="28" s="1"/>
  <c r="W265" i="28" s="1"/>
  <c r="X265" i="28" s="1"/>
  <c r="Z265" i="28" s="1"/>
  <c r="Q289" i="28"/>
  <c r="W289" i="28" s="1"/>
  <c r="X289" i="28" s="1"/>
  <c r="Z289" i="28" s="1"/>
  <c r="M296" i="28"/>
  <c r="P296" i="28" s="1"/>
  <c r="Q298" i="28"/>
  <c r="W298" i="28" s="1"/>
  <c r="X298" i="28" s="1"/>
  <c r="Z298" i="28" s="1"/>
  <c r="M299" i="28"/>
  <c r="Q299" i="28" s="1"/>
  <c r="W299" i="28" s="1"/>
  <c r="X299" i="28" s="1"/>
  <c r="Z299" i="28" s="1"/>
  <c r="S354" i="28"/>
  <c r="V33" i="28"/>
  <c r="N182" i="28"/>
  <c r="Q182" i="28" s="1"/>
  <c r="W182" i="28" s="1"/>
  <c r="X182" i="28" s="1"/>
  <c r="Z182" i="28" s="1"/>
  <c r="N204" i="28"/>
  <c r="Q204" i="28" s="1"/>
  <c r="W204" i="28" s="1"/>
  <c r="X204" i="28" s="1"/>
  <c r="Z204" i="28" s="1"/>
  <c r="N205" i="28"/>
  <c r="Q205" i="28" s="1"/>
  <c r="W205" i="28" s="1"/>
  <c r="X205" i="28" s="1"/>
  <c r="Z205" i="28" s="1"/>
  <c r="N268" i="28"/>
  <c r="Q268" i="28" s="1"/>
  <c r="W268" i="28" s="1"/>
  <c r="X268" i="28" s="1"/>
  <c r="Z268" i="28" s="1"/>
  <c r="N98" i="28"/>
  <c r="Q98" i="28" s="1"/>
  <c r="W98" i="28" s="1"/>
  <c r="X98" i="28" s="1"/>
  <c r="Z98" i="28" s="1"/>
  <c r="N118" i="28"/>
  <c r="Q118" i="28" s="1"/>
  <c r="W118" i="28" s="1"/>
  <c r="X118" i="28" s="1"/>
  <c r="Z118" i="28" s="1"/>
  <c r="N146" i="28"/>
  <c r="Q146" i="28" s="1"/>
  <c r="W146" i="28" s="1"/>
  <c r="X146" i="28" s="1"/>
  <c r="Z146" i="28" s="1"/>
  <c r="V163" i="28"/>
  <c r="N165" i="28"/>
  <c r="Q165" i="28" s="1"/>
  <c r="W165" i="28" s="1"/>
  <c r="X165" i="28" s="1"/>
  <c r="Z165" i="28" s="1"/>
  <c r="N166" i="28"/>
  <c r="Q166" i="28" s="1"/>
  <c r="W166" i="28" s="1"/>
  <c r="X166" i="28" s="1"/>
  <c r="Z166" i="28" s="1"/>
  <c r="N186" i="28"/>
  <c r="Q186" i="28" s="1"/>
  <c r="W186" i="28" s="1"/>
  <c r="X186" i="28" s="1"/>
  <c r="Z186" i="28" s="1"/>
  <c r="N208" i="28"/>
  <c r="Q208" i="28" s="1"/>
  <c r="W208" i="28" s="1"/>
  <c r="X208" i="28" s="1"/>
  <c r="Z208" i="28" s="1"/>
  <c r="N209" i="28"/>
  <c r="Q209" i="28" s="1"/>
  <c r="W209" i="28" s="1"/>
  <c r="X209" i="28" s="1"/>
  <c r="Z209" i="28" s="1"/>
  <c r="V220" i="28"/>
  <c r="Q283" i="28"/>
  <c r="W283" i="28" s="1"/>
  <c r="X283" i="28" s="1"/>
  <c r="Z283" i="28" s="1"/>
  <c r="N286" i="28"/>
  <c r="Q286" i="28" s="1"/>
  <c r="W286" i="28" s="1"/>
  <c r="X286" i="28" s="1"/>
  <c r="Z286" i="28" s="1"/>
  <c r="Q294" i="28"/>
  <c r="W294" i="28" s="1"/>
  <c r="X294" i="28" s="1"/>
  <c r="Z294" i="28" s="1"/>
  <c r="M295" i="28"/>
  <c r="P295" i="28" s="1"/>
  <c r="Q308" i="28"/>
  <c r="W308" i="28" s="1"/>
  <c r="X308" i="28" s="1"/>
  <c r="Z308" i="28" s="1"/>
  <c r="Q330" i="28"/>
  <c r="W330" i="28" s="1"/>
  <c r="X330" i="28" s="1"/>
  <c r="Z330" i="28" s="1"/>
  <c r="V100" i="28"/>
  <c r="L100" i="28"/>
  <c r="N100" i="28" s="1"/>
  <c r="Q100" i="28" s="1"/>
  <c r="W100" i="28" s="1"/>
  <c r="X100" i="28" s="1"/>
  <c r="Z100" i="28" s="1"/>
  <c r="V104" i="28"/>
  <c r="L104" i="28"/>
  <c r="N104" i="28" s="1"/>
  <c r="Q104" i="28" s="1"/>
  <c r="W104" i="28" s="1"/>
  <c r="X104" i="28" s="1"/>
  <c r="Z104" i="28" s="1"/>
  <c r="N38" i="28"/>
  <c r="Q38" i="28" s="1"/>
  <c r="W38" i="28" s="1"/>
  <c r="X38" i="28" s="1"/>
  <c r="Z38" i="28" s="1"/>
  <c r="N50" i="28"/>
  <c r="Q50" i="28" s="1"/>
  <c r="W50" i="28" s="1"/>
  <c r="X50" i="28" s="1"/>
  <c r="Z50" i="28" s="1"/>
  <c r="N69" i="28"/>
  <c r="Q69" i="28" s="1"/>
  <c r="W69" i="28" s="1"/>
  <c r="X69" i="28" s="1"/>
  <c r="Z69" i="28" s="1"/>
  <c r="N29" i="28"/>
  <c r="Q29" i="28" s="1"/>
  <c r="W29" i="28" s="1"/>
  <c r="X29" i="28" s="1"/>
  <c r="Z29" i="28" s="1"/>
  <c r="N46" i="28"/>
  <c r="Q46" i="28" s="1"/>
  <c r="W46" i="28" s="1"/>
  <c r="X46" i="28" s="1"/>
  <c r="Z46" i="28" s="1"/>
  <c r="N49" i="28"/>
  <c r="Q49" i="28" s="1"/>
  <c r="W49" i="28" s="1"/>
  <c r="X49" i="28" s="1"/>
  <c r="Z49" i="28" s="1"/>
  <c r="V51" i="28"/>
  <c r="V52" i="28"/>
  <c r="V56" i="28"/>
  <c r="V87" i="28"/>
  <c r="V111" i="28"/>
  <c r="L135" i="28"/>
  <c r="N135" i="28" s="1"/>
  <c r="Q135" i="28" s="1"/>
  <c r="W135" i="28" s="1"/>
  <c r="X135" i="28" s="1"/>
  <c r="Z135" i="28" s="1"/>
  <c r="N164" i="28"/>
  <c r="Q164" i="28" s="1"/>
  <c r="W164" i="28" s="1"/>
  <c r="X164" i="28" s="1"/>
  <c r="Z164" i="28" s="1"/>
  <c r="N170" i="28"/>
  <c r="Q170" i="28" s="1"/>
  <c r="W170" i="28" s="1"/>
  <c r="X170" i="28" s="1"/>
  <c r="Z170" i="28" s="1"/>
  <c r="N176" i="28"/>
  <c r="Q176" i="28" s="1"/>
  <c r="W176" i="28" s="1"/>
  <c r="X176" i="28" s="1"/>
  <c r="Z176" i="28" s="1"/>
  <c r="N97" i="28"/>
  <c r="Q97" i="28" s="1"/>
  <c r="W97" i="28" s="1"/>
  <c r="X97" i="28" s="1"/>
  <c r="Z97" i="28" s="1"/>
  <c r="V102" i="28"/>
  <c r="N103" i="28"/>
  <c r="Q103" i="28" s="1"/>
  <c r="W103" i="28" s="1"/>
  <c r="X103" i="28" s="1"/>
  <c r="Z103" i="28" s="1"/>
  <c r="V109" i="28"/>
  <c r="Q111" i="28"/>
  <c r="W111" i="28" s="1"/>
  <c r="X111" i="28" s="1"/>
  <c r="Z111" i="28" s="1"/>
  <c r="V113" i="28"/>
  <c r="V114" i="28"/>
  <c r="N122" i="28"/>
  <c r="Q122" i="28" s="1"/>
  <c r="W122" i="28" s="1"/>
  <c r="X122" i="28" s="1"/>
  <c r="Z122" i="28" s="1"/>
  <c r="V126" i="28"/>
  <c r="N127" i="28"/>
  <c r="Q127" i="28" s="1"/>
  <c r="W127" i="28" s="1"/>
  <c r="X127" i="28" s="1"/>
  <c r="Z127" i="28" s="1"/>
  <c r="N130" i="28"/>
  <c r="Q130" i="28" s="1"/>
  <c r="W130" i="28" s="1"/>
  <c r="X130" i="28" s="1"/>
  <c r="Z130" i="28" s="1"/>
  <c r="L139" i="28"/>
  <c r="N139" i="28" s="1"/>
  <c r="Q139" i="28" s="1"/>
  <c r="W139" i="28" s="1"/>
  <c r="X139" i="28" s="1"/>
  <c r="Z139" i="28" s="1"/>
  <c r="N142" i="28"/>
  <c r="Q142" i="28" s="1"/>
  <c r="W142" i="28" s="1"/>
  <c r="X142" i="28" s="1"/>
  <c r="Z142" i="28" s="1"/>
  <c r="V146" i="28"/>
  <c r="N147" i="28"/>
  <c r="Q147" i="28" s="1"/>
  <c r="W147" i="28" s="1"/>
  <c r="X147" i="28" s="1"/>
  <c r="Z147" i="28" s="1"/>
  <c r="V154" i="28"/>
  <c r="V212" i="28"/>
  <c r="L212" i="28"/>
  <c r="N212" i="28" s="1"/>
  <c r="Q212" i="28" s="1"/>
  <c r="W212" i="28" s="1"/>
  <c r="X212" i="28" s="1"/>
  <c r="Z212" i="28" s="1"/>
  <c r="N85" i="28"/>
  <c r="Q85" i="28" s="1"/>
  <c r="W85" i="28" s="1"/>
  <c r="X85" i="28" s="1"/>
  <c r="Z85" i="28" s="1"/>
  <c r="V48" i="28"/>
  <c r="N101" i="28"/>
  <c r="Q101" i="28" s="1"/>
  <c r="W101" i="28" s="1"/>
  <c r="X101" i="28" s="1"/>
  <c r="Z101" i="28" s="1"/>
  <c r="V107" i="28"/>
  <c r="N108" i="28"/>
  <c r="Q108" i="28" s="1"/>
  <c r="W108" i="28" s="1"/>
  <c r="X108" i="28" s="1"/>
  <c r="Z108" i="28" s="1"/>
  <c r="N112" i="28"/>
  <c r="Q112" i="28" s="1"/>
  <c r="W112" i="28" s="1"/>
  <c r="X112" i="28" s="1"/>
  <c r="Z112" i="28" s="1"/>
  <c r="V115" i="28"/>
  <c r="N150" i="28"/>
  <c r="Q150" i="28" s="1"/>
  <c r="W150" i="28" s="1"/>
  <c r="X150" i="28" s="1"/>
  <c r="Z150" i="28" s="1"/>
  <c r="N153" i="28"/>
  <c r="Q153" i="28" s="1"/>
  <c r="W153" i="28" s="1"/>
  <c r="X153" i="28" s="1"/>
  <c r="Z153" i="28" s="1"/>
  <c r="N167" i="28"/>
  <c r="Q167" i="28" s="1"/>
  <c r="W167" i="28" s="1"/>
  <c r="X167" i="28" s="1"/>
  <c r="Z167" i="28" s="1"/>
  <c r="N175" i="28"/>
  <c r="Q175" i="28" s="1"/>
  <c r="W175" i="28" s="1"/>
  <c r="X175" i="28" s="1"/>
  <c r="Z175" i="28" s="1"/>
  <c r="V287" i="28"/>
  <c r="L287" i="28"/>
  <c r="N287" i="28" s="1"/>
  <c r="Q287" i="28" s="1"/>
  <c r="W287" i="28" s="1"/>
  <c r="X287" i="28" s="1"/>
  <c r="Z287" i="28" s="1"/>
  <c r="P311" i="28"/>
  <c r="Q311" i="28"/>
  <c r="W311" i="28" s="1"/>
  <c r="X311" i="28" s="1"/>
  <c r="Z311" i="28" s="1"/>
  <c r="P313" i="28"/>
  <c r="Q313" i="28"/>
  <c r="W313" i="28" s="1"/>
  <c r="X313" i="28" s="1"/>
  <c r="Z313" i="28" s="1"/>
  <c r="P315" i="28"/>
  <c r="Q315" i="28"/>
  <c r="W315" i="28" s="1"/>
  <c r="X315" i="28" s="1"/>
  <c r="Z315" i="28" s="1"/>
  <c r="P347" i="28"/>
  <c r="Q347" i="28"/>
  <c r="W347" i="28" s="1"/>
  <c r="X347" i="28" s="1"/>
  <c r="Z347" i="28" s="1"/>
  <c r="N77" i="28"/>
  <c r="Q77" i="28" s="1"/>
  <c r="W77" i="28" s="1"/>
  <c r="X77" i="28" s="1"/>
  <c r="Z77" i="28" s="1"/>
  <c r="N89" i="28"/>
  <c r="Q89" i="28" s="1"/>
  <c r="W89" i="28" s="1"/>
  <c r="X89" i="28" s="1"/>
  <c r="Z89" i="28" s="1"/>
  <c r="N95" i="28"/>
  <c r="Q95" i="28" s="1"/>
  <c r="W95" i="28" s="1"/>
  <c r="X95" i="28" s="1"/>
  <c r="Z95" i="28" s="1"/>
  <c r="L96" i="28"/>
  <c r="N96" i="28" s="1"/>
  <c r="Q96" i="28" s="1"/>
  <c r="W96" i="28" s="1"/>
  <c r="X96" i="28" s="1"/>
  <c r="Z96" i="28" s="1"/>
  <c r="N105" i="28"/>
  <c r="Q105" i="28" s="1"/>
  <c r="W105" i="28" s="1"/>
  <c r="X105" i="28" s="1"/>
  <c r="Z105" i="28" s="1"/>
  <c r="N116" i="28"/>
  <c r="Q116" i="28" s="1"/>
  <c r="W116" i="28" s="1"/>
  <c r="X116" i="28" s="1"/>
  <c r="Z116" i="28" s="1"/>
  <c r="V119" i="28"/>
  <c r="N124" i="28"/>
  <c r="Q124" i="28" s="1"/>
  <c r="W124" i="28" s="1"/>
  <c r="X124" i="28" s="1"/>
  <c r="Z124" i="28" s="1"/>
  <c r="N143" i="28"/>
  <c r="Q143" i="28" s="1"/>
  <c r="W143" i="28" s="1"/>
  <c r="X143" i="28" s="1"/>
  <c r="Z143" i="28" s="1"/>
  <c r="N151" i="28"/>
  <c r="Q151" i="28" s="1"/>
  <c r="W151" i="28" s="1"/>
  <c r="X151" i="28" s="1"/>
  <c r="Z151" i="28" s="1"/>
  <c r="N161" i="28"/>
  <c r="Q161" i="28" s="1"/>
  <c r="W161" i="28" s="1"/>
  <c r="X161" i="28" s="1"/>
  <c r="Z161" i="28" s="1"/>
  <c r="V250" i="28"/>
  <c r="L250" i="28"/>
  <c r="N250" i="28" s="1"/>
  <c r="Q250" i="28" s="1"/>
  <c r="W250" i="28" s="1"/>
  <c r="X250" i="28" s="1"/>
  <c r="Z250" i="28" s="1"/>
  <c r="V258" i="28"/>
  <c r="L258" i="28"/>
  <c r="V231" i="28"/>
  <c r="V241" i="28"/>
  <c r="V254" i="28"/>
  <c r="N278" i="28"/>
  <c r="Q278" i="28" s="1"/>
  <c r="W278" i="28" s="1"/>
  <c r="X278" i="28" s="1"/>
  <c r="Z278" i="28" s="1"/>
  <c r="V288" i="28"/>
  <c r="P300" i="28"/>
  <c r="M302" i="28"/>
  <c r="Q302" i="28" s="1"/>
  <c r="W302" i="28" s="1"/>
  <c r="X302" i="28" s="1"/>
  <c r="Z302" i="28" s="1"/>
  <c r="Q304" i="28"/>
  <c r="W304" i="28" s="1"/>
  <c r="X304" i="28" s="1"/>
  <c r="Z304" i="28" s="1"/>
  <c r="N168" i="28"/>
  <c r="Q168" i="28" s="1"/>
  <c r="W168" i="28" s="1"/>
  <c r="X168" i="28" s="1"/>
  <c r="Z168" i="28" s="1"/>
  <c r="N172" i="28"/>
  <c r="Q172" i="28" s="1"/>
  <c r="W172" i="28" s="1"/>
  <c r="X172" i="28" s="1"/>
  <c r="Z172" i="28" s="1"/>
  <c r="V180" i="28"/>
  <c r="V182" i="28"/>
  <c r="V183" i="28"/>
  <c r="V190" i="28"/>
  <c r="V191" i="28"/>
  <c r="V196" i="28"/>
  <c r="Q198" i="28"/>
  <c r="W198" i="28" s="1"/>
  <c r="X198" i="28" s="1"/>
  <c r="Z198" i="28" s="1"/>
  <c r="V204" i="28"/>
  <c r="V205" i="28"/>
  <c r="V221" i="28"/>
  <c r="L254" i="28"/>
  <c r="N254" i="28" s="1"/>
  <c r="Q254" i="28" s="1"/>
  <c r="W254" i="28" s="1"/>
  <c r="X254" i="28" s="1"/>
  <c r="Z254" i="28" s="1"/>
  <c r="N255" i="28"/>
  <c r="Q255" i="28" s="1"/>
  <c r="W255" i="28" s="1"/>
  <c r="X255" i="28" s="1"/>
  <c r="Z255" i="28" s="1"/>
  <c r="N258" i="28"/>
  <c r="Q258" i="28" s="1"/>
  <c r="W258" i="28" s="1"/>
  <c r="X258" i="28" s="1"/>
  <c r="Z258" i="28" s="1"/>
  <c r="V266" i="28"/>
  <c r="N282" i="28"/>
  <c r="Q282" i="28" s="1"/>
  <c r="W282" i="28" s="1"/>
  <c r="X282" i="28" s="1"/>
  <c r="Z282" i="28" s="1"/>
  <c r="Q345" i="28"/>
  <c r="W345" i="28" s="1"/>
  <c r="X345" i="28" s="1"/>
  <c r="Z345" i="28" s="1"/>
  <c r="M346" i="28"/>
  <c r="Q346" i="28" s="1"/>
  <c r="W346" i="28" s="1"/>
  <c r="X346" i="28" s="1"/>
  <c r="Z346" i="28" s="1"/>
  <c r="V227" i="28"/>
  <c r="V245" i="28"/>
  <c r="M320" i="28"/>
  <c r="Q320" i="28" s="1"/>
  <c r="W320" i="28" s="1"/>
  <c r="X320" i="28" s="1"/>
  <c r="Z320" i="28" s="1"/>
  <c r="M343" i="28"/>
  <c r="Q343" i="28" s="1"/>
  <c r="W343" i="28" s="1"/>
  <c r="X343" i="28" s="1"/>
  <c r="Z343" i="28" s="1"/>
  <c r="Q349" i="28"/>
  <c r="W349" i="28" s="1"/>
  <c r="X349" i="28" s="1"/>
  <c r="Z349" i="28" s="1"/>
  <c r="N155" i="28"/>
  <c r="Q155" i="28" s="1"/>
  <c r="W155" i="28" s="1"/>
  <c r="X155" i="28" s="1"/>
  <c r="Z155" i="28" s="1"/>
  <c r="N160" i="28"/>
  <c r="Q160" i="28" s="1"/>
  <c r="W160" i="28" s="1"/>
  <c r="X160" i="28" s="1"/>
  <c r="Z160" i="28" s="1"/>
  <c r="V165" i="28"/>
  <c r="N169" i="28"/>
  <c r="Q169" i="28" s="1"/>
  <c r="W169" i="28" s="1"/>
  <c r="X169" i="28" s="1"/>
  <c r="Z169" i="28" s="1"/>
  <c r="V186" i="28"/>
  <c r="V187" i="28"/>
  <c r="V199" i="28"/>
  <c r="V200" i="28"/>
  <c r="V208" i="28"/>
  <c r="V209" i="28"/>
  <c r="V210" i="28"/>
  <c r="V218" i="28"/>
  <c r="V238" i="28"/>
  <c r="V243" i="28"/>
  <c r="N256" i="28"/>
  <c r="Q256" i="28" s="1"/>
  <c r="W256" i="28" s="1"/>
  <c r="X256" i="28" s="1"/>
  <c r="Z256" i="28" s="1"/>
  <c r="V260" i="28"/>
  <c r="N264" i="28"/>
  <c r="Q264" i="28" s="1"/>
  <c r="W264" i="28" s="1"/>
  <c r="X264" i="28" s="1"/>
  <c r="Z264" i="28" s="1"/>
  <c r="Q293" i="28"/>
  <c r="W293" i="28" s="1"/>
  <c r="X293" i="28" s="1"/>
  <c r="Z293" i="28" s="1"/>
  <c r="M306" i="28"/>
  <c r="M309" i="28"/>
  <c r="M323" i="28"/>
  <c r="P323" i="28" s="1"/>
  <c r="L24" i="28"/>
  <c r="N24" i="28" s="1"/>
  <c r="Q24" i="28" s="1"/>
  <c r="W24" i="28" s="1"/>
  <c r="X24" i="28" s="1"/>
  <c r="Z24" i="28" s="1"/>
  <c r="V24" i="28"/>
  <c r="L32" i="28"/>
  <c r="N32" i="28" s="1"/>
  <c r="Q32" i="28" s="1"/>
  <c r="W32" i="28" s="1"/>
  <c r="X32" i="28" s="1"/>
  <c r="Z32" i="28" s="1"/>
  <c r="V32" i="28"/>
  <c r="N27" i="28"/>
  <c r="Q27" i="28" s="1"/>
  <c r="W27" i="28" s="1"/>
  <c r="X27" i="28" s="1"/>
  <c r="Z27" i="28" s="1"/>
  <c r="L36" i="28"/>
  <c r="N36" i="28" s="1"/>
  <c r="Q36" i="28" s="1"/>
  <c r="W36" i="28" s="1"/>
  <c r="X36" i="28" s="1"/>
  <c r="Z36" i="28" s="1"/>
  <c r="V36" i="28"/>
  <c r="V37" i="28"/>
  <c r="N39" i="28"/>
  <c r="Q39" i="28" s="1"/>
  <c r="W39" i="28" s="1"/>
  <c r="X39" i="28" s="1"/>
  <c r="Z39" i="28" s="1"/>
  <c r="V44" i="28"/>
  <c r="L41" i="28"/>
  <c r="N41" i="28" s="1"/>
  <c r="Q41" i="28" s="1"/>
  <c r="W41" i="28" s="1"/>
  <c r="X41" i="28" s="1"/>
  <c r="Z41" i="28" s="1"/>
  <c r="V41" i="28"/>
  <c r="L28" i="28"/>
  <c r="N28" i="28" s="1"/>
  <c r="Q28" i="28" s="1"/>
  <c r="W28" i="28" s="1"/>
  <c r="X28" i="28" s="1"/>
  <c r="Z28" i="28" s="1"/>
  <c r="V28" i="28"/>
  <c r="V30" i="28"/>
  <c r="V35" i="28"/>
  <c r="N42" i="28"/>
  <c r="Q42" i="28" s="1"/>
  <c r="W42" i="28" s="1"/>
  <c r="X42" i="28" s="1"/>
  <c r="Z42" i="28" s="1"/>
  <c r="L45" i="28"/>
  <c r="N45" i="28" s="1"/>
  <c r="Q45" i="28" s="1"/>
  <c r="W45" i="28" s="1"/>
  <c r="X45" i="28" s="1"/>
  <c r="Z45" i="28" s="1"/>
  <c r="V45" i="28"/>
  <c r="N47" i="28"/>
  <c r="Q47" i="28" s="1"/>
  <c r="W47" i="28" s="1"/>
  <c r="X47" i="28" s="1"/>
  <c r="Z47" i="28" s="1"/>
  <c r="L53" i="28"/>
  <c r="N53" i="28" s="1"/>
  <c r="Q53" i="28" s="1"/>
  <c r="W53" i="28" s="1"/>
  <c r="X53" i="28" s="1"/>
  <c r="Z53" i="28" s="1"/>
  <c r="V53" i="28"/>
  <c r="L57" i="28"/>
  <c r="N57" i="28" s="1"/>
  <c r="Q57" i="28" s="1"/>
  <c r="W57" i="28" s="1"/>
  <c r="X57" i="28" s="1"/>
  <c r="Z57" i="28" s="1"/>
  <c r="V57" i="28"/>
  <c r="L60" i="28"/>
  <c r="N60" i="28" s="1"/>
  <c r="Q60" i="28" s="1"/>
  <c r="W60" i="28" s="1"/>
  <c r="X60" i="28" s="1"/>
  <c r="Z60" i="28" s="1"/>
  <c r="V60" i="28"/>
  <c r="L25" i="28"/>
  <c r="N25" i="28" s="1"/>
  <c r="Q25" i="28" s="1"/>
  <c r="W25" i="28" s="1"/>
  <c r="X25" i="28" s="1"/>
  <c r="Z25" i="28" s="1"/>
  <c r="P354" i="28"/>
  <c r="N26" i="28"/>
  <c r="Q26" i="28" s="1"/>
  <c r="W26" i="28" s="1"/>
  <c r="X26" i="28" s="1"/>
  <c r="Z26" i="28" s="1"/>
  <c r="V27" i="28"/>
  <c r="N30" i="28"/>
  <c r="Q30" i="28" s="1"/>
  <c r="W30" i="28" s="1"/>
  <c r="X30" i="28" s="1"/>
  <c r="Z30" i="28" s="1"/>
  <c r="A24" i="28"/>
  <c r="AA24" i="28" s="1"/>
  <c r="V34" i="28"/>
  <c r="V39" i="28"/>
  <c r="V43" i="28"/>
  <c r="V47" i="28"/>
  <c r="N54" i="28"/>
  <c r="Q54" i="28" s="1"/>
  <c r="W54" i="28" s="1"/>
  <c r="X54" i="28" s="1"/>
  <c r="Z54" i="28" s="1"/>
  <c r="V55" i="28"/>
  <c r="N55" i="28"/>
  <c r="Q55" i="28" s="1"/>
  <c r="W55" i="28" s="1"/>
  <c r="X55" i="28" s="1"/>
  <c r="Z55" i="28" s="1"/>
  <c r="N56" i="28"/>
  <c r="Q56" i="28" s="1"/>
  <c r="W56" i="28" s="1"/>
  <c r="X56" i="28" s="1"/>
  <c r="Z56" i="28" s="1"/>
  <c r="N58" i="28"/>
  <c r="Q58" i="28" s="1"/>
  <c r="W58" i="28" s="1"/>
  <c r="X58" i="28" s="1"/>
  <c r="Z58" i="28" s="1"/>
  <c r="V59" i="28"/>
  <c r="N59" i="28"/>
  <c r="Q59" i="28" s="1"/>
  <c r="W59" i="28" s="1"/>
  <c r="X59" i="28" s="1"/>
  <c r="Z59" i="28" s="1"/>
  <c r="N65" i="28"/>
  <c r="Q65" i="28" s="1"/>
  <c r="W65" i="28" s="1"/>
  <c r="X65" i="28" s="1"/>
  <c r="Z65" i="28" s="1"/>
  <c r="L68" i="28"/>
  <c r="N68" i="28" s="1"/>
  <c r="Q68" i="28" s="1"/>
  <c r="W68" i="28" s="1"/>
  <c r="X68" i="28" s="1"/>
  <c r="Z68" i="28" s="1"/>
  <c r="V68" i="28"/>
  <c r="V70" i="28"/>
  <c r="V75" i="28"/>
  <c r="N81" i="28"/>
  <c r="Q81" i="28" s="1"/>
  <c r="W81" i="28" s="1"/>
  <c r="X81" i="28" s="1"/>
  <c r="Z81" i="28" s="1"/>
  <c r="L84" i="28"/>
  <c r="N84" i="28" s="1"/>
  <c r="Q84" i="28" s="1"/>
  <c r="W84" i="28" s="1"/>
  <c r="X84" i="28" s="1"/>
  <c r="Z84" i="28" s="1"/>
  <c r="V84" i="28"/>
  <c r="V86" i="28"/>
  <c r="N93" i="28"/>
  <c r="Q93" i="28" s="1"/>
  <c r="W93" i="28" s="1"/>
  <c r="X93" i="28" s="1"/>
  <c r="Z93" i="28" s="1"/>
  <c r="V98" i="28"/>
  <c r="N99" i="28"/>
  <c r="Q99" i="28" s="1"/>
  <c r="W99" i="28" s="1"/>
  <c r="X99" i="28" s="1"/>
  <c r="Z99" i="28" s="1"/>
  <c r="V110" i="28"/>
  <c r="N128" i="28"/>
  <c r="Q128" i="28" s="1"/>
  <c r="W128" i="28" s="1"/>
  <c r="X128" i="28" s="1"/>
  <c r="Z128" i="28" s="1"/>
  <c r="V29" i="28"/>
  <c r="V42" i="28"/>
  <c r="V46" i="28"/>
  <c r="V50" i="28"/>
  <c r="L72" i="28"/>
  <c r="N72" i="28" s="1"/>
  <c r="Q72" i="28" s="1"/>
  <c r="W72" i="28" s="1"/>
  <c r="X72" i="28" s="1"/>
  <c r="Z72" i="28" s="1"/>
  <c r="V72" i="28"/>
  <c r="V38" i="28"/>
  <c r="U354" i="28"/>
  <c r="N31" i="28"/>
  <c r="Q31" i="28" s="1"/>
  <c r="W31" i="28" s="1"/>
  <c r="X31" i="28" s="1"/>
  <c r="Z31" i="28" s="1"/>
  <c r="L33" i="28"/>
  <c r="N33" i="28" s="1"/>
  <c r="Q33" i="28" s="1"/>
  <c r="W33" i="28" s="1"/>
  <c r="X33" i="28" s="1"/>
  <c r="Z33" i="28" s="1"/>
  <c r="N35" i="28"/>
  <c r="Q35" i="28" s="1"/>
  <c r="W35" i="28" s="1"/>
  <c r="X35" i="28" s="1"/>
  <c r="Z35" i="28" s="1"/>
  <c r="N40" i="28"/>
  <c r="Q40" i="28" s="1"/>
  <c r="W40" i="28" s="1"/>
  <c r="X40" i="28" s="1"/>
  <c r="Z40" i="28" s="1"/>
  <c r="N44" i="28"/>
  <c r="Q44" i="28" s="1"/>
  <c r="W44" i="28" s="1"/>
  <c r="X44" i="28" s="1"/>
  <c r="Z44" i="28" s="1"/>
  <c r="N48" i="28"/>
  <c r="Q48" i="28" s="1"/>
  <c r="W48" i="28" s="1"/>
  <c r="X48" i="28" s="1"/>
  <c r="Z48" i="28" s="1"/>
  <c r="N51" i="28"/>
  <c r="Q51" i="28" s="1"/>
  <c r="W51" i="28" s="1"/>
  <c r="X51" i="28" s="1"/>
  <c r="Z51" i="28" s="1"/>
  <c r="N61" i="28"/>
  <c r="V61" i="28"/>
  <c r="V67" i="28"/>
  <c r="N73" i="28"/>
  <c r="Q73" i="28" s="1"/>
  <c r="W73" i="28" s="1"/>
  <c r="X73" i="28" s="1"/>
  <c r="Z73" i="28" s="1"/>
  <c r="L76" i="28"/>
  <c r="N76" i="28" s="1"/>
  <c r="Q76" i="28" s="1"/>
  <c r="W76" i="28" s="1"/>
  <c r="X76" i="28" s="1"/>
  <c r="Z76" i="28" s="1"/>
  <c r="V76" i="28"/>
  <c r="V78" i="28"/>
  <c r="V83" i="28"/>
  <c r="L88" i="28"/>
  <c r="N88" i="28" s="1"/>
  <c r="Q88" i="28" s="1"/>
  <c r="W88" i="28" s="1"/>
  <c r="X88" i="28" s="1"/>
  <c r="Z88" i="28" s="1"/>
  <c r="V88" i="28"/>
  <c r="V90" i="28"/>
  <c r="V106" i="28"/>
  <c r="V117" i="28"/>
  <c r="V122" i="28"/>
  <c r="N123" i="28"/>
  <c r="Q123" i="28" s="1"/>
  <c r="W123" i="28" s="1"/>
  <c r="X123" i="28" s="1"/>
  <c r="Z123" i="28" s="1"/>
  <c r="V125" i="28"/>
  <c r="V130" i="28"/>
  <c r="AA23" i="28"/>
  <c r="K23" i="28"/>
  <c r="V23" i="28" s="1"/>
  <c r="N52" i="28"/>
  <c r="Q52" i="28" s="1"/>
  <c r="W52" i="28" s="1"/>
  <c r="X52" i="28" s="1"/>
  <c r="Z52" i="28" s="1"/>
  <c r="Q61" i="28"/>
  <c r="W61" i="28" s="1"/>
  <c r="X61" i="28" s="1"/>
  <c r="Z61" i="28" s="1"/>
  <c r="V62" i="28"/>
  <c r="L64" i="28"/>
  <c r="N64" i="28" s="1"/>
  <c r="Q64" i="28" s="1"/>
  <c r="W64" i="28" s="1"/>
  <c r="X64" i="28" s="1"/>
  <c r="Z64" i="28" s="1"/>
  <c r="V64" i="28"/>
  <c r="L80" i="28"/>
  <c r="N80" i="28" s="1"/>
  <c r="Q80" i="28" s="1"/>
  <c r="W80" i="28" s="1"/>
  <c r="X80" i="28" s="1"/>
  <c r="Z80" i="28" s="1"/>
  <c r="V80" i="28"/>
  <c r="L92" i="28"/>
  <c r="N92" i="28" s="1"/>
  <c r="Q92" i="28" s="1"/>
  <c r="W92" i="28" s="1"/>
  <c r="X92" i="28" s="1"/>
  <c r="Z92" i="28" s="1"/>
  <c r="V92" i="28"/>
  <c r="V65" i="28"/>
  <c r="V69" i="28"/>
  <c r="V73" i="28"/>
  <c r="V77" i="28"/>
  <c r="V81" i="28"/>
  <c r="V85" i="28"/>
  <c r="V89" i="28"/>
  <c r="V93" i="28"/>
  <c r="V97" i="28"/>
  <c r="V101" i="28"/>
  <c r="V105" i="28"/>
  <c r="V108" i="28"/>
  <c r="V112" i="28"/>
  <c r="N115" i="28"/>
  <c r="Q115" i="28" s="1"/>
  <c r="W115" i="28" s="1"/>
  <c r="X115" i="28" s="1"/>
  <c r="Z115" i="28" s="1"/>
  <c r="V116" i="28"/>
  <c r="N119" i="28"/>
  <c r="Q119" i="28" s="1"/>
  <c r="W119" i="28" s="1"/>
  <c r="X119" i="28" s="1"/>
  <c r="Z119" i="28" s="1"/>
  <c r="V120" i="28"/>
  <c r="V124" i="28"/>
  <c r="V128" i="28"/>
  <c r="V138" i="28"/>
  <c r="N149" i="28"/>
  <c r="Q149" i="28" s="1"/>
  <c r="W149" i="28" s="1"/>
  <c r="X149" i="28" s="1"/>
  <c r="Z149" i="28" s="1"/>
  <c r="N157" i="28"/>
  <c r="Q157" i="28" s="1"/>
  <c r="W157" i="28" s="1"/>
  <c r="X157" i="28" s="1"/>
  <c r="Z157" i="28" s="1"/>
  <c r="N159" i="28"/>
  <c r="Q159" i="28" s="1"/>
  <c r="W159" i="28" s="1"/>
  <c r="X159" i="28" s="1"/>
  <c r="Z159" i="28" s="1"/>
  <c r="V161" i="28"/>
  <c r="V172" i="28"/>
  <c r="L179" i="28"/>
  <c r="N179" i="28" s="1"/>
  <c r="Q179" i="28" s="1"/>
  <c r="W179" i="28" s="1"/>
  <c r="X179" i="28" s="1"/>
  <c r="Z179" i="28" s="1"/>
  <c r="V179" i="28"/>
  <c r="N63" i="28"/>
  <c r="Q63" i="28" s="1"/>
  <c r="W63" i="28" s="1"/>
  <c r="X63" i="28" s="1"/>
  <c r="Z63" i="28" s="1"/>
  <c r="N67" i="28"/>
  <c r="Q67" i="28" s="1"/>
  <c r="W67" i="28" s="1"/>
  <c r="X67" i="28" s="1"/>
  <c r="Z67" i="28" s="1"/>
  <c r="N71" i="28"/>
  <c r="Q71" i="28" s="1"/>
  <c r="W71" i="28" s="1"/>
  <c r="X71" i="28" s="1"/>
  <c r="Z71" i="28" s="1"/>
  <c r="N75" i="28"/>
  <c r="Q75" i="28" s="1"/>
  <c r="W75" i="28" s="1"/>
  <c r="X75" i="28" s="1"/>
  <c r="Z75" i="28" s="1"/>
  <c r="N79" i="28"/>
  <c r="Q79" i="28" s="1"/>
  <c r="W79" i="28" s="1"/>
  <c r="X79" i="28" s="1"/>
  <c r="Z79" i="28" s="1"/>
  <c r="N83" i="28"/>
  <c r="Q83" i="28" s="1"/>
  <c r="W83" i="28" s="1"/>
  <c r="X83" i="28" s="1"/>
  <c r="Z83" i="28" s="1"/>
  <c r="N87" i="28"/>
  <c r="Q87" i="28" s="1"/>
  <c r="W87" i="28" s="1"/>
  <c r="X87" i="28" s="1"/>
  <c r="Z87" i="28" s="1"/>
  <c r="N91" i="28"/>
  <c r="Q91" i="28" s="1"/>
  <c r="W91" i="28" s="1"/>
  <c r="X91" i="28" s="1"/>
  <c r="Z91" i="28" s="1"/>
  <c r="N107" i="28"/>
  <c r="Q107" i="28" s="1"/>
  <c r="W107" i="28" s="1"/>
  <c r="X107" i="28" s="1"/>
  <c r="Z107" i="28" s="1"/>
  <c r="N110" i="28"/>
  <c r="Q110" i="28" s="1"/>
  <c r="W110" i="28" s="1"/>
  <c r="X110" i="28" s="1"/>
  <c r="Z110" i="28" s="1"/>
  <c r="N114" i="28"/>
  <c r="Q114" i="28" s="1"/>
  <c r="W114" i="28" s="1"/>
  <c r="X114" i="28" s="1"/>
  <c r="Z114" i="28" s="1"/>
  <c r="V123" i="28"/>
  <c r="V127" i="28"/>
  <c r="V131" i="28"/>
  <c r="N132" i="28"/>
  <c r="Q132" i="28" s="1"/>
  <c r="W132" i="28" s="1"/>
  <c r="X132" i="28" s="1"/>
  <c r="Z132" i="28" s="1"/>
  <c r="V132" i="28"/>
  <c r="L144" i="28"/>
  <c r="N144" i="28" s="1"/>
  <c r="Q144" i="28" s="1"/>
  <c r="W144" i="28" s="1"/>
  <c r="X144" i="28" s="1"/>
  <c r="Z144" i="28" s="1"/>
  <c r="V144" i="28"/>
  <c r="L152" i="28"/>
  <c r="N152" i="28" s="1"/>
  <c r="Q152" i="28" s="1"/>
  <c r="W152" i="28" s="1"/>
  <c r="X152" i="28" s="1"/>
  <c r="Z152" i="28" s="1"/>
  <c r="V152" i="28"/>
  <c r="N171" i="28"/>
  <c r="Q171" i="28" s="1"/>
  <c r="W171" i="28" s="1"/>
  <c r="X171" i="28" s="1"/>
  <c r="Z171" i="28" s="1"/>
  <c r="N62" i="28"/>
  <c r="Q62" i="28" s="1"/>
  <c r="W62" i="28" s="1"/>
  <c r="X62" i="28" s="1"/>
  <c r="Z62" i="28" s="1"/>
  <c r="N66" i="28"/>
  <c r="Q66" i="28" s="1"/>
  <c r="W66" i="28" s="1"/>
  <c r="X66" i="28" s="1"/>
  <c r="Z66" i="28" s="1"/>
  <c r="N70" i="28"/>
  <c r="Q70" i="28" s="1"/>
  <c r="W70" i="28" s="1"/>
  <c r="X70" i="28" s="1"/>
  <c r="Z70" i="28" s="1"/>
  <c r="N74" i="28"/>
  <c r="Q74" i="28" s="1"/>
  <c r="W74" i="28" s="1"/>
  <c r="X74" i="28" s="1"/>
  <c r="Z74" i="28" s="1"/>
  <c r="N78" i="28"/>
  <c r="Q78" i="28" s="1"/>
  <c r="W78" i="28" s="1"/>
  <c r="X78" i="28" s="1"/>
  <c r="Z78" i="28" s="1"/>
  <c r="N82" i="28"/>
  <c r="Q82" i="28" s="1"/>
  <c r="W82" i="28" s="1"/>
  <c r="X82" i="28" s="1"/>
  <c r="Z82" i="28" s="1"/>
  <c r="N86" i="28"/>
  <c r="Q86" i="28" s="1"/>
  <c r="W86" i="28" s="1"/>
  <c r="X86" i="28" s="1"/>
  <c r="Z86" i="28" s="1"/>
  <c r="N90" i="28"/>
  <c r="Q90" i="28" s="1"/>
  <c r="W90" i="28" s="1"/>
  <c r="X90" i="28" s="1"/>
  <c r="Z90" i="28" s="1"/>
  <c r="N94" i="28"/>
  <c r="Q94" i="28" s="1"/>
  <c r="W94" i="28" s="1"/>
  <c r="X94" i="28" s="1"/>
  <c r="Z94" i="28" s="1"/>
  <c r="V99" i="28"/>
  <c r="N102" i="28"/>
  <c r="Q102" i="28" s="1"/>
  <c r="W102" i="28" s="1"/>
  <c r="X102" i="28" s="1"/>
  <c r="Z102" i="28" s="1"/>
  <c r="V103" i="28"/>
  <c r="N106" i="28"/>
  <c r="Q106" i="28" s="1"/>
  <c r="W106" i="28" s="1"/>
  <c r="X106" i="28" s="1"/>
  <c r="Z106" i="28" s="1"/>
  <c r="N109" i="28"/>
  <c r="Q109" i="28" s="1"/>
  <c r="W109" i="28" s="1"/>
  <c r="X109" i="28" s="1"/>
  <c r="Z109" i="28" s="1"/>
  <c r="N113" i="28"/>
  <c r="Q113" i="28" s="1"/>
  <c r="W113" i="28" s="1"/>
  <c r="X113" i="28" s="1"/>
  <c r="Z113" i="28" s="1"/>
  <c r="N117" i="28"/>
  <c r="Q117" i="28" s="1"/>
  <c r="W117" i="28" s="1"/>
  <c r="X117" i="28" s="1"/>
  <c r="Z117" i="28" s="1"/>
  <c r="V118" i="28"/>
  <c r="N121" i="28"/>
  <c r="Q121" i="28" s="1"/>
  <c r="W121" i="28" s="1"/>
  <c r="X121" i="28" s="1"/>
  <c r="Z121" i="28" s="1"/>
  <c r="N125" i="28"/>
  <c r="Q125" i="28" s="1"/>
  <c r="W125" i="28" s="1"/>
  <c r="X125" i="28" s="1"/>
  <c r="Z125" i="28" s="1"/>
  <c r="N129" i="28"/>
  <c r="Q129" i="28" s="1"/>
  <c r="W129" i="28" s="1"/>
  <c r="X129" i="28" s="1"/>
  <c r="Z129" i="28" s="1"/>
  <c r="N140" i="28"/>
  <c r="Q140" i="28" s="1"/>
  <c r="W140" i="28" s="1"/>
  <c r="X140" i="28" s="1"/>
  <c r="Z140" i="28" s="1"/>
  <c r="V140" i="28"/>
  <c r="V141" i="28"/>
  <c r="N145" i="28"/>
  <c r="Q145" i="28" s="1"/>
  <c r="W145" i="28" s="1"/>
  <c r="X145" i="28" s="1"/>
  <c r="Z145" i="28" s="1"/>
  <c r="N136" i="28"/>
  <c r="Q136" i="28" s="1"/>
  <c r="W136" i="28" s="1"/>
  <c r="X136" i="28" s="1"/>
  <c r="Z136" i="28" s="1"/>
  <c r="V136" i="28"/>
  <c r="V137" i="28"/>
  <c r="L148" i="28"/>
  <c r="N148" i="28" s="1"/>
  <c r="Q148" i="28" s="1"/>
  <c r="W148" i="28" s="1"/>
  <c r="X148" i="28" s="1"/>
  <c r="Z148" i="28" s="1"/>
  <c r="V148" i="28"/>
  <c r="L156" i="28"/>
  <c r="N156" i="28" s="1"/>
  <c r="Q156" i="28" s="1"/>
  <c r="W156" i="28" s="1"/>
  <c r="X156" i="28" s="1"/>
  <c r="Z156" i="28" s="1"/>
  <c r="V156" i="28"/>
  <c r="V145" i="28"/>
  <c r="V149" i="28"/>
  <c r="V153" i="28"/>
  <c r="V157" i="28"/>
  <c r="V160" i="28"/>
  <c r="V164" i="28"/>
  <c r="V168" i="28"/>
  <c r="V171" i="28"/>
  <c r="V175" i="28"/>
  <c r="L180" i="28"/>
  <c r="N180" i="28" s="1"/>
  <c r="Q180" i="28" s="1"/>
  <c r="W180" i="28" s="1"/>
  <c r="X180" i="28" s="1"/>
  <c r="Z180" i="28" s="1"/>
  <c r="N181" i="28"/>
  <c r="Q181" i="28" s="1"/>
  <c r="W181" i="28" s="1"/>
  <c r="X181" i="28" s="1"/>
  <c r="Z181" i="28" s="1"/>
  <c r="N189" i="28"/>
  <c r="Q189" i="28" s="1"/>
  <c r="W189" i="28" s="1"/>
  <c r="X189" i="28" s="1"/>
  <c r="Z189" i="28" s="1"/>
  <c r="N203" i="28"/>
  <c r="Q203" i="28" s="1"/>
  <c r="W203" i="28" s="1"/>
  <c r="X203" i="28" s="1"/>
  <c r="Z203" i="28" s="1"/>
  <c r="V176" i="28"/>
  <c r="N177" i="28"/>
  <c r="Q177" i="28" s="1"/>
  <c r="W177" i="28" s="1"/>
  <c r="X177" i="28" s="1"/>
  <c r="Z177" i="28" s="1"/>
  <c r="L184" i="28"/>
  <c r="N184" i="28" s="1"/>
  <c r="Q184" i="28" s="1"/>
  <c r="W184" i="28" s="1"/>
  <c r="X184" i="28" s="1"/>
  <c r="Z184" i="28" s="1"/>
  <c r="V184" i="28"/>
  <c r="L192" i="28"/>
  <c r="N192" i="28" s="1"/>
  <c r="Q192" i="28" s="1"/>
  <c r="W192" i="28" s="1"/>
  <c r="X192" i="28" s="1"/>
  <c r="Z192" i="28" s="1"/>
  <c r="V192" i="28"/>
  <c r="L197" i="28"/>
  <c r="N197" i="28" s="1"/>
  <c r="Q197" i="28" s="1"/>
  <c r="W197" i="28" s="1"/>
  <c r="X197" i="28" s="1"/>
  <c r="Z197" i="28" s="1"/>
  <c r="V197" i="28"/>
  <c r="V201" i="28"/>
  <c r="L206" i="28"/>
  <c r="N206" i="28" s="1"/>
  <c r="Q206" i="28" s="1"/>
  <c r="W206" i="28" s="1"/>
  <c r="X206" i="28" s="1"/>
  <c r="Z206" i="28" s="1"/>
  <c r="V206" i="28"/>
  <c r="V143" i="28"/>
  <c r="V147" i="28"/>
  <c r="V151" i="28"/>
  <c r="V155" i="28"/>
  <c r="V162" i="28"/>
  <c r="V166" i="28"/>
  <c r="V173" i="28"/>
  <c r="V177" i="28"/>
  <c r="N178" i="28"/>
  <c r="Q178" i="28" s="1"/>
  <c r="W178" i="28" s="1"/>
  <c r="X178" i="28" s="1"/>
  <c r="Z178" i="28" s="1"/>
  <c r="L188" i="28"/>
  <c r="N188" i="28" s="1"/>
  <c r="Q188" i="28" s="1"/>
  <c r="W188" i="28" s="1"/>
  <c r="X188" i="28" s="1"/>
  <c r="Z188" i="28" s="1"/>
  <c r="V188" i="28"/>
  <c r="L202" i="28"/>
  <c r="N202" i="28" s="1"/>
  <c r="Q202" i="28" s="1"/>
  <c r="W202" i="28" s="1"/>
  <c r="X202" i="28" s="1"/>
  <c r="Z202" i="28" s="1"/>
  <c r="V202" i="28"/>
  <c r="L211" i="28"/>
  <c r="N211" i="28" s="1"/>
  <c r="Q211" i="28" s="1"/>
  <c r="W211" i="28" s="1"/>
  <c r="X211" i="28" s="1"/>
  <c r="Z211" i="28" s="1"/>
  <c r="V211" i="28"/>
  <c r="V181" i="28"/>
  <c r="V185" i="28"/>
  <c r="V189" i="28"/>
  <c r="V193" i="28"/>
  <c r="V194" i="28"/>
  <c r="V198" i="28"/>
  <c r="V203" i="28"/>
  <c r="V207" i="28"/>
  <c r="V213" i="28"/>
  <c r="L223" i="28"/>
  <c r="N223" i="28" s="1"/>
  <c r="Q223" i="28" s="1"/>
  <c r="W223" i="28" s="1"/>
  <c r="X223" i="28" s="1"/>
  <c r="Z223" i="28" s="1"/>
  <c r="V223" i="28"/>
  <c r="V225" i="28"/>
  <c r="V226" i="28"/>
  <c r="L232" i="28"/>
  <c r="N232" i="28" s="1"/>
  <c r="Q232" i="28" s="1"/>
  <c r="W232" i="28" s="1"/>
  <c r="X232" i="28" s="1"/>
  <c r="Z232" i="28" s="1"/>
  <c r="V232" i="28"/>
  <c r="V234" i="28"/>
  <c r="V239" i="28"/>
  <c r="N183" i="28"/>
  <c r="Q183" i="28" s="1"/>
  <c r="W183" i="28" s="1"/>
  <c r="X183" i="28" s="1"/>
  <c r="Z183" i="28" s="1"/>
  <c r="N187" i="28"/>
  <c r="Q187" i="28" s="1"/>
  <c r="W187" i="28" s="1"/>
  <c r="X187" i="28" s="1"/>
  <c r="Z187" i="28" s="1"/>
  <c r="N191" i="28"/>
  <c r="Q191" i="28" s="1"/>
  <c r="W191" i="28" s="1"/>
  <c r="X191" i="28" s="1"/>
  <c r="Z191" i="28" s="1"/>
  <c r="N196" i="28"/>
  <c r="Q196" i="28" s="1"/>
  <c r="W196" i="28" s="1"/>
  <c r="X196" i="28" s="1"/>
  <c r="Z196" i="28" s="1"/>
  <c r="N200" i="28"/>
  <c r="Q200" i="28" s="1"/>
  <c r="W200" i="28" s="1"/>
  <c r="X200" i="28" s="1"/>
  <c r="Z200" i="28" s="1"/>
  <c r="N201" i="28"/>
  <c r="Q201" i="28" s="1"/>
  <c r="W201" i="28" s="1"/>
  <c r="X201" i="28" s="1"/>
  <c r="Z201" i="28" s="1"/>
  <c r="L215" i="28"/>
  <c r="N215" i="28" s="1"/>
  <c r="Q215" i="28" s="1"/>
  <c r="W215" i="28" s="1"/>
  <c r="X215" i="28" s="1"/>
  <c r="Z215" i="28" s="1"/>
  <c r="V215" i="28"/>
  <c r="L236" i="28"/>
  <c r="N236" i="28" s="1"/>
  <c r="Q236" i="28" s="1"/>
  <c r="W236" i="28" s="1"/>
  <c r="X236" i="28" s="1"/>
  <c r="Z236" i="28" s="1"/>
  <c r="V236" i="28"/>
  <c r="N195" i="28"/>
  <c r="Q195" i="28" s="1"/>
  <c r="W195" i="28" s="1"/>
  <c r="X195" i="28" s="1"/>
  <c r="Z195" i="28" s="1"/>
  <c r="V214" i="28"/>
  <c r="N214" i="28"/>
  <c r="Q214" i="28" s="1"/>
  <c r="W214" i="28" s="1"/>
  <c r="X214" i="28" s="1"/>
  <c r="Z214" i="28" s="1"/>
  <c r="V216" i="28"/>
  <c r="L216" i="28"/>
  <c r="N216" i="28" s="1"/>
  <c r="Q216" i="28" s="1"/>
  <c r="W216" i="28" s="1"/>
  <c r="X216" i="28" s="1"/>
  <c r="Z216" i="28" s="1"/>
  <c r="V217" i="28"/>
  <c r="V222" i="28"/>
  <c r="L228" i="28"/>
  <c r="N228" i="28" s="1"/>
  <c r="Q228" i="28" s="1"/>
  <c r="W228" i="28" s="1"/>
  <c r="X228" i="28" s="1"/>
  <c r="Z228" i="28" s="1"/>
  <c r="V228" i="28"/>
  <c r="V230" i="28"/>
  <c r="L240" i="28"/>
  <c r="N240" i="28" s="1"/>
  <c r="Q240" i="28" s="1"/>
  <c r="W240" i="28" s="1"/>
  <c r="X240" i="28" s="1"/>
  <c r="Z240" i="28" s="1"/>
  <c r="V240" i="28"/>
  <c r="V242" i="28"/>
  <c r="V248" i="28"/>
  <c r="N210" i="28"/>
  <c r="Q210" i="28" s="1"/>
  <c r="W210" i="28" s="1"/>
  <c r="X210" i="28" s="1"/>
  <c r="Z210" i="28" s="1"/>
  <c r="L219" i="28"/>
  <c r="N219" i="28" s="1"/>
  <c r="Q219" i="28" s="1"/>
  <c r="W219" i="28" s="1"/>
  <c r="X219" i="28" s="1"/>
  <c r="Z219" i="28" s="1"/>
  <c r="V219" i="28"/>
  <c r="L244" i="28"/>
  <c r="N244" i="28" s="1"/>
  <c r="Q244" i="28" s="1"/>
  <c r="W244" i="28" s="1"/>
  <c r="X244" i="28" s="1"/>
  <c r="Z244" i="28" s="1"/>
  <c r="V244" i="28"/>
  <c r="N218" i="28"/>
  <c r="Q218" i="28" s="1"/>
  <c r="W218" i="28" s="1"/>
  <c r="X218" i="28" s="1"/>
  <c r="Z218" i="28" s="1"/>
  <c r="L220" i="28"/>
  <c r="N220" i="28" s="1"/>
  <c r="Q220" i="28" s="1"/>
  <c r="W220" i="28" s="1"/>
  <c r="X220" i="28" s="1"/>
  <c r="Z220" i="28" s="1"/>
  <c r="N222" i="28"/>
  <c r="Q222" i="28" s="1"/>
  <c r="W222" i="28" s="1"/>
  <c r="X222" i="28" s="1"/>
  <c r="Z222" i="28" s="1"/>
  <c r="N227" i="28"/>
  <c r="Q227" i="28" s="1"/>
  <c r="W227" i="28" s="1"/>
  <c r="X227" i="28" s="1"/>
  <c r="Z227" i="28" s="1"/>
  <c r="L229" i="28"/>
  <c r="N229" i="28" s="1"/>
  <c r="Q229" i="28" s="1"/>
  <c r="W229" i="28" s="1"/>
  <c r="X229" i="28" s="1"/>
  <c r="Z229" i="28" s="1"/>
  <c r="N231" i="28"/>
  <c r="Q231" i="28" s="1"/>
  <c r="W231" i="28" s="1"/>
  <c r="X231" i="28" s="1"/>
  <c r="Z231" i="28" s="1"/>
  <c r="L233" i="28"/>
  <c r="N233" i="28" s="1"/>
  <c r="Q233" i="28" s="1"/>
  <c r="W233" i="28" s="1"/>
  <c r="X233" i="28" s="1"/>
  <c r="Z233" i="28" s="1"/>
  <c r="N235" i="28"/>
  <c r="Q235" i="28" s="1"/>
  <c r="W235" i="28" s="1"/>
  <c r="X235" i="28" s="1"/>
  <c r="Z235" i="28" s="1"/>
  <c r="L237" i="28"/>
  <c r="N237" i="28" s="1"/>
  <c r="Q237" i="28" s="1"/>
  <c r="W237" i="28" s="1"/>
  <c r="X237" i="28" s="1"/>
  <c r="Z237" i="28" s="1"/>
  <c r="N239" i="28"/>
  <c r="Q239" i="28" s="1"/>
  <c r="W239" i="28" s="1"/>
  <c r="X239" i="28" s="1"/>
  <c r="Z239" i="28" s="1"/>
  <c r="L241" i="28"/>
  <c r="N241" i="28" s="1"/>
  <c r="Q241" i="28" s="1"/>
  <c r="W241" i="28" s="1"/>
  <c r="X241" i="28" s="1"/>
  <c r="Z241" i="28" s="1"/>
  <c r="N243" i="28"/>
  <c r="Q243" i="28" s="1"/>
  <c r="W243" i="28" s="1"/>
  <c r="X243" i="28" s="1"/>
  <c r="Z243" i="28" s="1"/>
  <c r="N247" i="28"/>
  <c r="Q247" i="28" s="1"/>
  <c r="W247" i="28" s="1"/>
  <c r="X247" i="28" s="1"/>
  <c r="Z247" i="28" s="1"/>
  <c r="L249" i="28"/>
  <c r="N249" i="28" s="1"/>
  <c r="Q249" i="28" s="1"/>
  <c r="W249" i="28" s="1"/>
  <c r="X249" i="28" s="1"/>
  <c r="Z249" i="28" s="1"/>
  <c r="N262" i="28"/>
  <c r="Q262" i="28" s="1"/>
  <c r="W262" i="28" s="1"/>
  <c r="X262" i="28" s="1"/>
  <c r="Z262" i="28" s="1"/>
  <c r="N270" i="28"/>
  <c r="Q270" i="28" s="1"/>
  <c r="W270" i="28" s="1"/>
  <c r="X270" i="28" s="1"/>
  <c r="Z270" i="28" s="1"/>
  <c r="L273" i="28"/>
  <c r="N273" i="28" s="1"/>
  <c r="Q273" i="28" s="1"/>
  <c r="W273" i="28" s="1"/>
  <c r="X273" i="28" s="1"/>
  <c r="Z273" i="28" s="1"/>
  <c r="V273" i="28"/>
  <c r="N275" i="28"/>
  <c r="Q275" i="28" s="1"/>
  <c r="W275" i="28" s="1"/>
  <c r="X275" i="28" s="1"/>
  <c r="Z275" i="28" s="1"/>
  <c r="V280" i="28"/>
  <c r="N213" i="28"/>
  <c r="Q213" i="28" s="1"/>
  <c r="W213" i="28" s="1"/>
  <c r="X213" i="28" s="1"/>
  <c r="Z213" i="28" s="1"/>
  <c r="N217" i="28"/>
  <c r="Q217" i="28" s="1"/>
  <c r="W217" i="28" s="1"/>
  <c r="X217" i="28" s="1"/>
  <c r="Z217" i="28" s="1"/>
  <c r="N221" i="28"/>
  <c r="Q221" i="28" s="1"/>
  <c r="W221" i="28" s="1"/>
  <c r="X221" i="28" s="1"/>
  <c r="Z221" i="28" s="1"/>
  <c r="N225" i="28"/>
  <c r="Q225" i="28" s="1"/>
  <c r="W225" i="28" s="1"/>
  <c r="X225" i="28" s="1"/>
  <c r="Z225" i="28" s="1"/>
  <c r="N226" i="28"/>
  <c r="Q226" i="28" s="1"/>
  <c r="W226" i="28" s="1"/>
  <c r="X226" i="28" s="1"/>
  <c r="Z226" i="28" s="1"/>
  <c r="N230" i="28"/>
  <c r="Q230" i="28" s="1"/>
  <c r="W230" i="28" s="1"/>
  <c r="X230" i="28" s="1"/>
  <c r="Z230" i="28" s="1"/>
  <c r="N234" i="28"/>
  <c r="Q234" i="28" s="1"/>
  <c r="W234" i="28" s="1"/>
  <c r="X234" i="28" s="1"/>
  <c r="Z234" i="28" s="1"/>
  <c r="N238" i="28"/>
  <c r="Q238" i="28" s="1"/>
  <c r="W238" i="28" s="1"/>
  <c r="X238" i="28" s="1"/>
  <c r="Z238" i="28" s="1"/>
  <c r="N242" i="28"/>
  <c r="Q242" i="28" s="1"/>
  <c r="W242" i="28" s="1"/>
  <c r="X242" i="28" s="1"/>
  <c r="Z242" i="28" s="1"/>
  <c r="N246" i="28"/>
  <c r="Q246" i="28" s="1"/>
  <c r="W246" i="28" s="1"/>
  <c r="X246" i="28" s="1"/>
  <c r="Z246" i="28" s="1"/>
  <c r="V268" i="28"/>
  <c r="N274" i="28"/>
  <c r="Q274" i="28" s="1"/>
  <c r="W274" i="28" s="1"/>
  <c r="X274" i="28" s="1"/>
  <c r="Z274" i="28" s="1"/>
  <c r="L277" i="28"/>
  <c r="N277" i="28" s="1"/>
  <c r="Q277" i="28" s="1"/>
  <c r="W277" i="28" s="1"/>
  <c r="X277" i="28" s="1"/>
  <c r="Z277" i="28" s="1"/>
  <c r="V277" i="28"/>
  <c r="N279" i="28"/>
  <c r="Q279" i="28" s="1"/>
  <c r="W279" i="28" s="1"/>
  <c r="X279" i="28" s="1"/>
  <c r="Z279" i="28" s="1"/>
  <c r="V284" i="28"/>
  <c r="N224" i="28"/>
  <c r="Q224" i="28" s="1"/>
  <c r="W224" i="28" s="1"/>
  <c r="X224" i="28" s="1"/>
  <c r="Z224" i="28" s="1"/>
  <c r="N245" i="28"/>
  <c r="Q245" i="28" s="1"/>
  <c r="W245" i="28" s="1"/>
  <c r="X245" i="28" s="1"/>
  <c r="Z245" i="28" s="1"/>
  <c r="N248" i="28"/>
  <c r="Q248" i="28" s="1"/>
  <c r="W248" i="28" s="1"/>
  <c r="X248" i="28" s="1"/>
  <c r="Z248" i="28" s="1"/>
  <c r="L253" i="28"/>
  <c r="N253" i="28" s="1"/>
  <c r="Q253" i="28" s="1"/>
  <c r="W253" i="28" s="1"/>
  <c r="X253" i="28" s="1"/>
  <c r="Z253" i="28" s="1"/>
  <c r="V253" i="28"/>
  <c r="L281" i="28"/>
  <c r="N281" i="28" s="1"/>
  <c r="Q281" i="28" s="1"/>
  <c r="W281" i="28" s="1"/>
  <c r="X281" i="28" s="1"/>
  <c r="Z281" i="28" s="1"/>
  <c r="V281" i="28"/>
  <c r="N251" i="28"/>
  <c r="Q251" i="28" s="1"/>
  <c r="W251" i="28" s="1"/>
  <c r="X251" i="28" s="1"/>
  <c r="Z251" i="28" s="1"/>
  <c r="V251" i="28"/>
  <c r="L261" i="28"/>
  <c r="N261" i="28" s="1"/>
  <c r="Q261" i="28" s="1"/>
  <c r="W261" i="28" s="1"/>
  <c r="X261" i="28" s="1"/>
  <c r="Z261" i="28" s="1"/>
  <c r="V261" i="28"/>
  <c r="L269" i="28"/>
  <c r="N269" i="28" s="1"/>
  <c r="Q269" i="28" s="1"/>
  <c r="W269" i="28" s="1"/>
  <c r="X269" i="28" s="1"/>
  <c r="Z269" i="28" s="1"/>
  <c r="V269" i="28"/>
  <c r="L285" i="28"/>
  <c r="N285" i="28" s="1"/>
  <c r="Q285" i="28" s="1"/>
  <c r="W285" i="28" s="1"/>
  <c r="X285" i="28" s="1"/>
  <c r="Z285" i="28" s="1"/>
  <c r="V285" i="28"/>
  <c r="V255" i="28"/>
  <c r="V259" i="28"/>
  <c r="V263" i="28"/>
  <c r="N266" i="28"/>
  <c r="Q266" i="28" s="1"/>
  <c r="W266" i="28" s="1"/>
  <c r="X266" i="28" s="1"/>
  <c r="Z266" i="28" s="1"/>
  <c r="V267" i="28"/>
  <c r="V271" i="28"/>
  <c r="V275" i="28"/>
  <c r="V279" i="28"/>
  <c r="V283" i="28"/>
  <c r="V262" i="28"/>
  <c r="V270" i="28"/>
  <c r="V274" i="28"/>
  <c r="V278" i="28"/>
  <c r="V282" i="28"/>
  <c r="V286" i="28"/>
  <c r="V257" i="28"/>
  <c r="V265" i="28"/>
  <c r="N272" i="28"/>
  <c r="Q272" i="28" s="1"/>
  <c r="W272" i="28" s="1"/>
  <c r="X272" i="28" s="1"/>
  <c r="Z272" i="28" s="1"/>
  <c r="N276" i="28"/>
  <c r="Q276" i="28" s="1"/>
  <c r="W276" i="28" s="1"/>
  <c r="X276" i="28" s="1"/>
  <c r="Z276" i="28" s="1"/>
  <c r="N280" i="28"/>
  <c r="Q280" i="28" s="1"/>
  <c r="W280" i="28" s="1"/>
  <c r="X280" i="28" s="1"/>
  <c r="Z280" i="28" s="1"/>
  <c r="N284" i="28"/>
  <c r="Q284" i="28" s="1"/>
  <c r="W284" i="28" s="1"/>
  <c r="X284" i="28" s="1"/>
  <c r="Z284" i="28" s="1"/>
  <c r="N288" i="28"/>
  <c r="Q288" i="28" s="1"/>
  <c r="W288" i="28" s="1"/>
  <c r="X288" i="28" s="1"/>
  <c r="Z288" i="28" s="1"/>
  <c r="Q340" i="28" l="1"/>
  <c r="W340" i="28" s="1"/>
  <c r="X340" i="28" s="1"/>
  <c r="Z340" i="28" s="1"/>
  <c r="Q291" i="28"/>
  <c r="W291" i="28" s="1"/>
  <c r="X291" i="28" s="1"/>
  <c r="Z291" i="28" s="1"/>
  <c r="Q334" i="28"/>
  <c r="W334" i="28" s="1"/>
  <c r="X334" i="28" s="1"/>
  <c r="Z334" i="28" s="1"/>
  <c r="Q342" i="28"/>
  <c r="W342" i="28" s="1"/>
  <c r="X342" i="28" s="1"/>
  <c r="Z342" i="28" s="1"/>
  <c r="P329" i="28"/>
  <c r="P328" i="28"/>
  <c r="P314" i="28"/>
  <c r="Q352" i="28"/>
  <c r="W352" i="28" s="1"/>
  <c r="X352" i="28" s="1"/>
  <c r="Z352" i="28" s="1"/>
  <c r="H354" i="28"/>
  <c r="Q336" i="28"/>
  <c r="W336" i="28" s="1"/>
  <c r="X336" i="28" s="1"/>
  <c r="Z336" i="28" s="1"/>
  <c r="P333" i="28"/>
  <c r="Q337" i="28"/>
  <c r="W337" i="28" s="1"/>
  <c r="X337" i="28" s="1"/>
  <c r="Z337" i="28" s="1"/>
  <c r="Q331" i="28"/>
  <c r="W331" i="28" s="1"/>
  <c r="X331" i="28" s="1"/>
  <c r="Z331" i="28" s="1"/>
  <c r="Q344" i="28"/>
  <c r="W344" i="28" s="1"/>
  <c r="X344" i="28" s="1"/>
  <c r="Z344" i="28" s="1"/>
  <c r="Q324" i="28"/>
  <c r="W324" i="28" s="1"/>
  <c r="X324" i="28" s="1"/>
  <c r="Z324" i="28" s="1"/>
  <c r="P321" i="28"/>
  <c r="Q292" i="28"/>
  <c r="W292" i="28" s="1"/>
  <c r="X292" i="28" s="1"/>
  <c r="Z292" i="28" s="1"/>
  <c r="Q348" i="28"/>
  <c r="W348" i="28" s="1"/>
  <c r="X348" i="28" s="1"/>
  <c r="Z348" i="28" s="1"/>
  <c r="Q310" i="28"/>
  <c r="W310" i="28" s="1"/>
  <c r="X310" i="28" s="1"/>
  <c r="Z310" i="28" s="1"/>
  <c r="Q341" i="28"/>
  <c r="W341" i="28" s="1"/>
  <c r="X341" i="28" s="1"/>
  <c r="Z341" i="28" s="1"/>
  <c r="P312" i="28"/>
  <c r="Q325" i="28"/>
  <c r="W325" i="28" s="1"/>
  <c r="X325" i="28" s="1"/>
  <c r="Z325" i="28" s="1"/>
  <c r="AI87" i="33"/>
  <c r="A88" i="33"/>
  <c r="Q297" i="28"/>
  <c r="W297" i="28" s="1"/>
  <c r="X297" i="28" s="1"/>
  <c r="Z297" i="28" s="1"/>
  <c r="Q301" i="28"/>
  <c r="W301" i="28" s="1"/>
  <c r="X301" i="28" s="1"/>
  <c r="Z301" i="28" s="1"/>
  <c r="Q339" i="28"/>
  <c r="W339" i="28" s="1"/>
  <c r="X339" i="28" s="1"/>
  <c r="Z339" i="28" s="1"/>
  <c r="Q307" i="28"/>
  <c r="W307" i="28" s="1"/>
  <c r="X307" i="28" s="1"/>
  <c r="Z307" i="28" s="1"/>
  <c r="Q335" i="28"/>
  <c r="W335" i="28" s="1"/>
  <c r="X335" i="28" s="1"/>
  <c r="Z335" i="28" s="1"/>
  <c r="Q290" i="28"/>
  <c r="W290" i="28" s="1"/>
  <c r="X290" i="28" s="1"/>
  <c r="Z290" i="28" s="1"/>
  <c r="A25" i="28"/>
  <c r="Q295" i="28"/>
  <c r="W295" i="28" s="1"/>
  <c r="X295" i="28" s="1"/>
  <c r="Z295" i="28" s="1"/>
  <c r="Q296" i="28"/>
  <c r="W296" i="28" s="1"/>
  <c r="X296" i="28" s="1"/>
  <c r="Z296" i="28" s="1"/>
  <c r="Q306" i="28"/>
  <c r="W306" i="28" s="1"/>
  <c r="X306" i="28" s="1"/>
  <c r="Z306" i="28" s="1"/>
  <c r="P306" i="28"/>
  <c r="Q323" i="28"/>
  <c r="W323" i="28" s="1"/>
  <c r="X323" i="28" s="1"/>
  <c r="Z323" i="28" s="1"/>
  <c r="Q309" i="28"/>
  <c r="W309" i="28" s="1"/>
  <c r="X309" i="28" s="1"/>
  <c r="Z309" i="28" s="1"/>
  <c r="P309" i="28"/>
  <c r="K354" i="28"/>
  <c r="L23" i="28"/>
  <c r="V354" i="28"/>
  <c r="AI88" i="33" l="1"/>
  <c r="A89" i="33"/>
  <c r="A26" i="28"/>
  <c r="AA25" i="28"/>
  <c r="L354" i="28"/>
  <c r="N23" i="28"/>
  <c r="AI89" i="33" l="1"/>
  <c r="A90" i="33"/>
  <c r="A28" i="28"/>
  <c r="AA28" i="28" s="1"/>
  <c r="AA26" i="28"/>
  <c r="A27" i="28"/>
  <c r="AA27" i="28" s="1"/>
  <c r="N354" i="28"/>
  <c r="Q23" i="28"/>
  <c r="AI90" i="33" l="1"/>
  <c r="A91" i="33"/>
  <c r="A29" i="28"/>
  <c r="A30" i="28" s="1"/>
  <c r="AA30" i="28" s="1"/>
  <c r="Q354" i="28"/>
  <c r="W23" i="28"/>
  <c r="AI91" i="33" l="1"/>
  <c r="A92" i="33"/>
  <c r="A31" i="28"/>
  <c r="AA29" i="28"/>
  <c r="W354" i="28"/>
  <c r="X23" i="28"/>
  <c r="Z23" i="28" s="1"/>
  <c r="Z354" i="28" s="1"/>
  <c r="AI92" i="33" l="1"/>
  <c r="A93" i="33"/>
  <c r="AA31" i="28"/>
  <c r="A32" i="28"/>
  <c r="AI93" i="33" l="1"/>
  <c r="A94" i="33"/>
  <c r="AA32" i="28"/>
  <c r="A33" i="28"/>
  <c r="A34" i="28" l="1"/>
  <c r="AA34" i="28" s="1"/>
  <c r="AI94" i="33"/>
  <c r="A95" i="33"/>
  <c r="AA33" i="28"/>
  <c r="A35" i="28" l="1"/>
  <c r="AA35" i="28" s="1"/>
  <c r="AI95" i="33"/>
  <c r="A96" i="33"/>
  <c r="A36" i="28" l="1"/>
  <c r="AA36" i="28" s="1"/>
  <c r="A37" i="28"/>
  <c r="AA37" i="28" s="1"/>
  <c r="AI96" i="33"/>
  <c r="A97" i="33"/>
  <c r="A38" i="28" l="1"/>
  <c r="AI97" i="33"/>
  <c r="A98" i="33"/>
  <c r="A39" i="28" l="1"/>
  <c r="AA38" i="28"/>
  <c r="A40" i="28"/>
  <c r="AA40" i="28" s="1"/>
  <c r="AI98" i="33"/>
  <c r="A99" i="33"/>
  <c r="AA39" i="28" l="1"/>
  <c r="A41" i="28"/>
  <c r="AA41" i="28" s="1"/>
  <c r="AI99" i="33"/>
  <c r="A100" i="33"/>
  <c r="A42" i="28" l="1"/>
  <c r="AI100" i="33"/>
  <c r="A101" i="33"/>
  <c r="AA42" i="28" l="1"/>
  <c r="A43" i="28"/>
  <c r="AI101" i="33"/>
  <c r="A102" i="33"/>
  <c r="A44" i="28" l="1"/>
  <c r="AA44" i="28" s="1"/>
  <c r="A45" i="28"/>
  <c r="AA45" i="28" s="1"/>
  <c r="AA43" i="28"/>
  <c r="AI102" i="33"/>
  <c r="A103" i="33"/>
  <c r="A46" i="28" l="1"/>
  <c r="AI103" i="33"/>
  <c r="A104" i="33"/>
  <c r="AA46" i="28" l="1"/>
  <c r="A47" i="28"/>
  <c r="A48" i="28" s="1"/>
  <c r="AA48" i="28" s="1"/>
  <c r="AI104" i="33"/>
  <c r="A105" i="33"/>
  <c r="AA47" i="28" l="1"/>
  <c r="A49" i="28"/>
  <c r="AA49" i="28" s="1"/>
  <c r="AI105" i="33"/>
  <c r="A106" i="33"/>
  <c r="A50" i="28" l="1"/>
  <c r="AI106" i="33"/>
  <c r="A107" i="33"/>
  <c r="AA50" i="28" l="1"/>
  <c r="A51" i="28"/>
  <c r="AI107" i="33"/>
  <c r="A108" i="33"/>
  <c r="AA51" i="28" l="1"/>
  <c r="A52" i="28"/>
  <c r="AA52" i="28" s="1"/>
  <c r="A53" i="28"/>
  <c r="AA53" i="28" s="1"/>
  <c r="AI108" i="33"/>
  <c r="A109" i="33"/>
  <c r="A54" i="28"/>
  <c r="AA54" i="28" s="1"/>
  <c r="AI109" i="33" l="1"/>
  <c r="A110" i="33"/>
  <c r="A55" i="28"/>
  <c r="AA55" i="28" s="1"/>
  <c r="AI110" i="33" l="1"/>
  <c r="A111" i="33"/>
  <c r="A56" i="28"/>
  <c r="AA56" i="28" s="1"/>
  <c r="AI111" i="33" l="1"/>
  <c r="A112" i="33"/>
  <c r="A57" i="28"/>
  <c r="AI112" i="33" l="1"/>
  <c r="A113" i="33"/>
  <c r="AA57" i="28"/>
  <c r="A58" i="28"/>
  <c r="AI113" i="33" l="1"/>
  <c r="A114" i="33"/>
  <c r="AA58" i="28"/>
  <c r="A59" i="28"/>
  <c r="AI114" i="33" l="1"/>
  <c r="A115" i="33"/>
  <c r="AA59" i="28"/>
  <c r="A60" i="28"/>
  <c r="AI115" i="33" l="1"/>
  <c r="A116" i="33"/>
  <c r="AA60" i="28"/>
  <c r="A61" i="28"/>
  <c r="AI116" i="33" l="1"/>
  <c r="A117" i="33"/>
  <c r="AA61" i="28"/>
  <c r="A62" i="28"/>
  <c r="AI117" i="33" l="1"/>
  <c r="A118" i="33"/>
  <c r="AA62" i="28"/>
  <c r="A63" i="28"/>
  <c r="AI118" i="33" l="1"/>
  <c r="A119" i="33"/>
  <c r="AA63" i="28"/>
  <c r="A64" i="28"/>
  <c r="AI119" i="33" l="1"/>
  <c r="A120" i="33"/>
  <c r="AA64" i="28"/>
  <c r="A65" i="28"/>
  <c r="AI120" i="33" l="1"/>
  <c r="A121" i="33"/>
  <c r="AA65" i="28"/>
  <c r="A66" i="28"/>
  <c r="AI121" i="33" l="1"/>
  <c r="A122" i="33"/>
  <c r="AA66" i="28"/>
  <c r="A67" i="28"/>
  <c r="AI122" i="33" l="1"/>
  <c r="A123" i="33"/>
  <c r="AA67" i="28"/>
  <c r="A68" i="28"/>
  <c r="AI123" i="33" l="1"/>
  <c r="A124" i="33"/>
  <c r="AA68" i="28"/>
  <c r="A69" i="28"/>
  <c r="AI124" i="33" l="1"/>
  <c r="A125" i="33"/>
  <c r="AA69" i="28"/>
  <c r="A70" i="28"/>
  <c r="AI125" i="33" l="1"/>
  <c r="A126" i="33"/>
  <c r="AA70" i="28"/>
  <c r="A71" i="28"/>
  <c r="AI126" i="33" l="1"/>
  <c r="A127" i="33"/>
  <c r="A72" i="28"/>
  <c r="AA71" i="28"/>
  <c r="AI127" i="33" l="1"/>
  <c r="A128" i="33"/>
  <c r="AA72" i="28"/>
  <c r="A73" i="28"/>
  <c r="AI128" i="33" l="1"/>
  <c r="A129" i="33"/>
  <c r="A74" i="28"/>
  <c r="AA73" i="28"/>
  <c r="AI129" i="33" l="1"/>
  <c r="A130" i="33"/>
  <c r="AA74" i="28"/>
  <c r="A75" i="28"/>
  <c r="AI130" i="33" l="1"/>
  <c r="A131" i="33"/>
  <c r="A76" i="28"/>
  <c r="AA75" i="28"/>
  <c r="AI131" i="33" l="1"/>
  <c r="A132" i="33"/>
  <c r="AA76" i="28"/>
  <c r="A77" i="28"/>
  <c r="AA77" i="28" s="1"/>
  <c r="AI132" i="33" l="1"/>
  <c r="A133" i="33"/>
  <c r="A78" i="28"/>
  <c r="AI133" i="33" l="1"/>
  <c r="A134" i="33"/>
  <c r="AA78" i="28"/>
  <c r="A79" i="28"/>
  <c r="AI134" i="33" l="1"/>
  <c r="A135" i="33"/>
  <c r="AA79" i="28"/>
  <c r="A80" i="28"/>
  <c r="AI135" i="33" l="1"/>
  <c r="A136" i="33"/>
  <c r="A81" i="28"/>
  <c r="AA80" i="28"/>
  <c r="AI136" i="33" l="1"/>
  <c r="A137" i="33"/>
  <c r="AA81" i="28"/>
  <c r="A82" i="28"/>
  <c r="AI137" i="33" l="1"/>
  <c r="A138" i="33"/>
  <c r="AA82" i="28"/>
  <c r="A83" i="28"/>
  <c r="AI138" i="33" l="1"/>
  <c r="A139" i="33"/>
  <c r="AA83" i="28"/>
  <c r="A84" i="28"/>
  <c r="AI139" i="33" l="1"/>
  <c r="A140" i="33"/>
  <c r="AA84" i="28"/>
  <c r="A85" i="28"/>
  <c r="AI140" i="33" l="1"/>
  <c r="A141" i="33"/>
  <c r="AA85" i="28"/>
  <c r="A86" i="28"/>
  <c r="AI141" i="33" l="1"/>
  <c r="A142" i="33"/>
  <c r="AA86" i="28"/>
  <c r="A87" i="28"/>
  <c r="AI142" i="33" l="1"/>
  <c r="A143" i="33"/>
  <c r="AA87" i="28"/>
  <c r="A88" i="28"/>
  <c r="AI143" i="33" l="1"/>
  <c r="A144" i="33"/>
  <c r="AA88" i="28"/>
  <c r="A89" i="28"/>
  <c r="AI144" i="33" l="1"/>
  <c r="A145" i="33"/>
  <c r="AA89" i="28"/>
  <c r="A90" i="28"/>
  <c r="AI145" i="33" l="1"/>
  <c r="A146" i="33"/>
  <c r="AA90" i="28"/>
  <c r="A91" i="28"/>
  <c r="AI146" i="33" l="1"/>
  <c r="A147" i="33"/>
  <c r="AA91" i="28"/>
  <c r="A92" i="28"/>
  <c r="AA92" i="28" s="1"/>
  <c r="AI147" i="33" l="1"/>
  <c r="A148" i="33"/>
  <c r="A93" i="28"/>
  <c r="AA93" i="28" s="1"/>
  <c r="A94" i="28" l="1"/>
  <c r="AA94" i="28" s="1"/>
  <c r="AI148" i="33"/>
  <c r="A149" i="33"/>
  <c r="A95" i="28"/>
  <c r="AA95" i="28" s="1"/>
  <c r="A96" i="28" l="1"/>
  <c r="AI149" i="33"/>
  <c r="A150" i="33"/>
  <c r="AA96" i="28"/>
  <c r="A97" i="28"/>
  <c r="AI150" i="33" l="1"/>
  <c r="A151" i="33"/>
  <c r="AA97" i="28"/>
  <c r="A98" i="28"/>
  <c r="AI151" i="33" l="1"/>
  <c r="A152" i="33"/>
  <c r="AA98" i="28"/>
  <c r="A99" i="28"/>
  <c r="AI152" i="33" l="1"/>
  <c r="A153" i="33"/>
  <c r="AA99" i="28"/>
  <c r="A100" i="28"/>
  <c r="AI153" i="33" l="1"/>
  <c r="A154" i="33"/>
  <c r="AA100" i="28"/>
  <c r="A101" i="28"/>
  <c r="AI154" i="33" l="1"/>
  <c r="A155" i="33"/>
  <c r="AA101" i="28"/>
  <c r="A102" i="28"/>
  <c r="AI155" i="33" l="1"/>
  <c r="A156" i="33"/>
  <c r="A157" i="33" s="1"/>
  <c r="AA102" i="28"/>
  <c r="A103" i="28"/>
  <c r="AI157" i="33" l="1"/>
  <c r="A158" i="33"/>
  <c r="AA103" i="28"/>
  <c r="A104" i="28"/>
  <c r="AI158" i="33" l="1"/>
  <c r="A159" i="33"/>
  <c r="AA104" i="28"/>
  <c r="A105" i="28"/>
  <c r="AI159" i="33" l="1"/>
  <c r="A160" i="33"/>
  <c r="AA105" i="28"/>
  <c r="A106" i="28"/>
  <c r="AI160" i="33" l="1"/>
  <c r="A161" i="33"/>
  <c r="AA106" i="28"/>
  <c r="A107" i="28"/>
  <c r="AI161" i="33" l="1"/>
  <c r="A162" i="33"/>
  <c r="AA107" i="28"/>
  <c r="A108" i="28"/>
  <c r="AI162" i="33" l="1"/>
  <c r="A163" i="33"/>
  <c r="AA108" i="28"/>
  <c r="A109" i="28"/>
  <c r="AI163" i="33" l="1"/>
  <c r="A164" i="33"/>
  <c r="AA109" i="28"/>
  <c r="A110" i="28"/>
  <c r="AI164" i="33" l="1"/>
  <c r="A165" i="33"/>
  <c r="AA110" i="28"/>
  <c r="A111" i="28"/>
  <c r="AI165" i="33" l="1"/>
  <c r="A166" i="33"/>
  <c r="AA111" i="28"/>
  <c r="A112" i="28"/>
  <c r="AI166" i="33" l="1"/>
  <c r="A167" i="33"/>
  <c r="AA112" i="28"/>
  <c r="A113" i="28"/>
  <c r="AI167" i="33" l="1"/>
  <c r="A168" i="33"/>
  <c r="AA113" i="28"/>
  <c r="A114" i="28"/>
  <c r="AI168" i="33" l="1"/>
  <c r="A169" i="33"/>
  <c r="AA114" i="28"/>
  <c r="A115" i="28"/>
  <c r="AI169" i="33" l="1"/>
  <c r="A170" i="33"/>
  <c r="AA115" i="28"/>
  <c r="A116" i="28"/>
  <c r="AI170" i="33" l="1"/>
  <c r="A171" i="33"/>
  <c r="AA116" i="28"/>
  <c r="A117" i="28"/>
  <c r="AI171" i="33" l="1"/>
  <c r="A172" i="33"/>
  <c r="AA117" i="28"/>
  <c r="A118" i="28"/>
  <c r="AI172" i="33" l="1"/>
  <c r="A173" i="33"/>
  <c r="AA118" i="28"/>
  <c r="A119" i="28"/>
  <c r="AI173" i="33" l="1"/>
  <c r="A174" i="33"/>
  <c r="AA119" i="28"/>
  <c r="A120" i="28"/>
  <c r="AI174" i="33" l="1"/>
  <c r="A175" i="33"/>
  <c r="AA120" i="28"/>
  <c r="A121" i="28"/>
  <c r="AI175" i="33" l="1"/>
  <c r="A176" i="33"/>
  <c r="AA121" i="28"/>
  <c r="A122" i="28"/>
  <c r="AI176" i="33" l="1"/>
  <c r="A177" i="33"/>
  <c r="AA122" i="28"/>
  <c r="A123" i="28"/>
  <c r="AI177" i="33" l="1"/>
  <c r="A178" i="33"/>
  <c r="AA123" i="28"/>
  <c r="A124" i="28"/>
  <c r="AI178" i="33" l="1"/>
  <c r="A179" i="33"/>
  <c r="AA124" i="28"/>
  <c r="A125" i="28"/>
  <c r="AI179" i="33" l="1"/>
  <c r="A180" i="33"/>
  <c r="AA125" i="28"/>
  <c r="A126" i="28"/>
  <c r="AI180" i="33" l="1"/>
  <c r="A181" i="33"/>
  <c r="AA126" i="28"/>
  <c r="A127" i="28"/>
  <c r="AI181" i="33" l="1"/>
  <c r="A182" i="33"/>
  <c r="AA127" i="28"/>
  <c r="A128" i="28"/>
  <c r="AI182" i="33" l="1"/>
  <c r="A183" i="33"/>
  <c r="AA128" i="28"/>
  <c r="A129" i="28"/>
  <c r="AI183" i="33" l="1"/>
  <c r="A184" i="33"/>
  <c r="AA129" i="28"/>
  <c r="A130" i="28"/>
  <c r="AI184" i="33" l="1"/>
  <c r="A185" i="33"/>
  <c r="AA130" i="28"/>
  <c r="A131" i="28"/>
  <c r="AI185" i="33" l="1"/>
  <c r="A186" i="33"/>
  <c r="AA131" i="28"/>
  <c r="A132" i="28"/>
  <c r="AI186" i="33" l="1"/>
  <c r="A187" i="33"/>
  <c r="AA132" i="28"/>
  <c r="A133" i="28"/>
  <c r="AI187" i="33" l="1"/>
  <c r="A188" i="33"/>
  <c r="AA133" i="28"/>
  <c r="A134" i="28"/>
  <c r="AI188" i="33" l="1"/>
  <c r="A189" i="33"/>
  <c r="AA134" i="28"/>
  <c r="A135" i="28"/>
  <c r="AI189" i="33" l="1"/>
  <c r="A190" i="33"/>
  <c r="AA135" i="28"/>
  <c r="A136" i="28"/>
  <c r="AI190" i="33" l="1"/>
  <c r="A191" i="33"/>
  <c r="AA136" i="28"/>
  <c r="A137" i="28"/>
  <c r="AI191" i="33" l="1"/>
  <c r="A192" i="33"/>
  <c r="AA137" i="28"/>
  <c r="A138" i="28"/>
  <c r="AI192" i="33" l="1"/>
  <c r="A193" i="33"/>
  <c r="AA138" i="28"/>
  <c r="A139" i="28"/>
  <c r="AI193" i="33" l="1"/>
  <c r="A194" i="33"/>
  <c r="AA139" i="28"/>
  <c r="A140" i="28"/>
  <c r="AI194" i="33" l="1"/>
  <c r="A195" i="33"/>
  <c r="AA140" i="28"/>
  <c r="A141" i="28"/>
  <c r="AI195" i="33" l="1"/>
  <c r="A196" i="33"/>
  <c r="AA141" i="28"/>
  <c r="A142" i="28"/>
  <c r="AI196" i="33" l="1"/>
  <c r="A197" i="33"/>
  <c r="AA142" i="28"/>
  <c r="A143" i="28"/>
  <c r="AI197" i="33" l="1"/>
  <c r="A198" i="33"/>
  <c r="AA143" i="28"/>
  <c r="A144" i="28"/>
  <c r="AI198" i="33" l="1"/>
  <c r="A199" i="33"/>
  <c r="AA144" i="28"/>
  <c r="A145" i="28"/>
  <c r="AI199" i="33" l="1"/>
  <c r="A200" i="33"/>
  <c r="AA145" i="28"/>
  <c r="A146" i="28"/>
  <c r="AI200" i="33" l="1"/>
  <c r="A201" i="33"/>
  <c r="AA146" i="28"/>
  <c r="A147" i="28"/>
  <c r="AI201" i="33" l="1"/>
  <c r="A202" i="33"/>
  <c r="AA147" i="28"/>
  <c r="A148" i="28"/>
  <c r="AI202" i="33" l="1"/>
  <c r="A203" i="33"/>
  <c r="AA148" i="28"/>
  <c r="A149" i="28"/>
  <c r="AI203" i="33" l="1"/>
  <c r="A204" i="33"/>
  <c r="AA149" i="28"/>
  <c r="A150" i="28"/>
  <c r="AI204" i="33" l="1"/>
  <c r="A205" i="33"/>
  <c r="AA150" i="28"/>
  <c r="A151" i="28"/>
  <c r="AI205" i="33" l="1"/>
  <c r="A206" i="33"/>
  <c r="AA151" i="28"/>
  <c r="A152" i="28"/>
  <c r="AI206" i="33" l="1"/>
  <c r="A207" i="33"/>
  <c r="AA152" i="28"/>
  <c r="A153" i="28"/>
  <c r="AI207" i="33" l="1"/>
  <c r="A208" i="33"/>
  <c r="AA153" i="28"/>
  <c r="A154" i="28"/>
  <c r="AI208" i="33" l="1"/>
  <c r="A209" i="33"/>
  <c r="AA154" i="28"/>
  <c r="A155" i="28"/>
  <c r="AI209" i="33" l="1"/>
  <c r="A210" i="33"/>
  <c r="AA155" i="28"/>
  <c r="A156" i="28"/>
  <c r="AI210" i="33" l="1"/>
  <c r="A211" i="33"/>
  <c r="AA156" i="28"/>
  <c r="A157" i="28"/>
  <c r="AI211" i="33" l="1"/>
  <c r="A212" i="33"/>
  <c r="AA157" i="28"/>
  <c r="A158" i="28"/>
  <c r="AI212" i="33" l="1"/>
  <c r="A213" i="33"/>
  <c r="AA158" i="28"/>
  <c r="A159" i="28"/>
  <c r="AI213" i="33" l="1"/>
  <c r="A214" i="33"/>
  <c r="AA159" i="28"/>
  <c r="A160" i="28"/>
  <c r="AI214" i="33" l="1"/>
  <c r="A215" i="33"/>
  <c r="AA160" i="28"/>
  <c r="A161" i="28"/>
  <c r="AI215" i="33" l="1"/>
  <c r="A216" i="33"/>
  <c r="AA161" i="28"/>
  <c r="A162" i="28"/>
  <c r="AI216" i="33" l="1"/>
  <c r="A217" i="33"/>
  <c r="AA162" i="28"/>
  <c r="A163" i="28"/>
  <c r="AI217" i="33" l="1"/>
  <c r="A218" i="33"/>
  <c r="AA163" i="28"/>
  <c r="A164" i="28"/>
  <c r="AI218" i="33" l="1"/>
  <c r="A219" i="33"/>
  <c r="AA164" i="28"/>
  <c r="A165" i="28"/>
  <c r="AI219" i="33" l="1"/>
  <c r="A220" i="33"/>
  <c r="AA165" i="28"/>
  <c r="A166" i="28"/>
  <c r="AI220" i="33" l="1"/>
  <c r="A221" i="33"/>
  <c r="AA166" i="28"/>
  <c r="A167" i="28"/>
  <c r="AI221" i="33" l="1"/>
  <c r="A222" i="33"/>
  <c r="AA167" i="28"/>
  <c r="A168" i="28"/>
  <c r="AI222" i="33" l="1"/>
  <c r="A223" i="33"/>
  <c r="AA168" i="28"/>
  <c r="A169" i="28"/>
  <c r="AI223" i="33" l="1"/>
  <c r="A224" i="33"/>
  <c r="AA169" i="28"/>
  <c r="A170" i="28"/>
  <c r="AI224" i="33" l="1"/>
  <c r="A225" i="33"/>
  <c r="AA170" i="28"/>
  <c r="A171" i="28"/>
  <c r="AI225" i="33" l="1"/>
  <c r="A226" i="33"/>
  <c r="AA171" i="28"/>
  <c r="A172" i="28"/>
  <c r="AI226" i="33" l="1"/>
  <c r="A227" i="33"/>
  <c r="AA172" i="28"/>
  <c r="A173" i="28"/>
  <c r="AI227" i="33" l="1"/>
  <c r="A228" i="33"/>
  <c r="AA173" i="28"/>
  <c r="A174" i="28"/>
  <c r="AI228" i="33" l="1"/>
  <c r="A229" i="33"/>
  <c r="AA174" i="28"/>
  <c r="A175" i="28"/>
  <c r="AI229" i="33" l="1"/>
  <c r="A230" i="33"/>
  <c r="AA175" i="28"/>
  <c r="A176" i="28"/>
  <c r="AI230" i="33" l="1"/>
  <c r="A231" i="33"/>
  <c r="AA176" i="28"/>
  <c r="A177" i="28"/>
  <c r="AI231" i="33" l="1"/>
  <c r="A232" i="33"/>
  <c r="AA177" i="28"/>
  <c r="A178" i="28"/>
  <c r="AI232" i="33" l="1"/>
  <c r="A233" i="33"/>
  <c r="AA178" i="28"/>
  <c r="A179" i="28"/>
  <c r="AI233" i="33" l="1"/>
  <c r="A234" i="33"/>
  <c r="AA179" i="28"/>
  <c r="A180" i="28"/>
  <c r="AI234" i="33" l="1"/>
  <c r="A235" i="33"/>
  <c r="AA180" i="28"/>
  <c r="A181" i="28"/>
  <c r="AI235" i="33" l="1"/>
  <c r="A236" i="33"/>
  <c r="AA181" i="28"/>
  <c r="A182" i="28"/>
  <c r="AI236" i="33" l="1"/>
  <c r="A237" i="33"/>
  <c r="AA182" i="28"/>
  <c r="A183" i="28"/>
  <c r="AI237" i="33" l="1"/>
  <c r="A238" i="33"/>
  <c r="AA183" i="28"/>
  <c r="A184" i="28"/>
  <c r="AI238" i="33" l="1"/>
  <c r="A239" i="33"/>
  <c r="AA184" i="28"/>
  <c r="A185" i="28"/>
  <c r="AI239" i="33" l="1"/>
  <c r="A240" i="33"/>
  <c r="AA185" i="28"/>
  <c r="A186" i="28"/>
  <c r="AI240" i="33" l="1"/>
  <c r="A241" i="33"/>
  <c r="AA186" i="28"/>
  <c r="A187" i="28"/>
  <c r="AI241" i="33" l="1"/>
  <c r="A242" i="33"/>
  <c r="AA187" i="28"/>
  <c r="A188" i="28"/>
  <c r="AI242" i="33" l="1"/>
  <c r="A243" i="33"/>
  <c r="AA188" i="28"/>
  <c r="A189" i="28"/>
  <c r="AI243" i="33" l="1"/>
  <c r="A244" i="33"/>
  <c r="AA189" i="28"/>
  <c r="A190" i="28"/>
  <c r="AI244" i="33" l="1"/>
  <c r="A245" i="33"/>
  <c r="AA190" i="28"/>
  <c r="A191" i="28"/>
  <c r="AI245" i="33" l="1"/>
  <c r="A246" i="33"/>
  <c r="AA191" i="28"/>
  <c r="A192" i="28"/>
  <c r="AI246" i="33" l="1"/>
  <c r="A247" i="33"/>
  <c r="AA192" i="28"/>
  <c r="A193" i="28"/>
  <c r="AI247" i="33" l="1"/>
  <c r="A248" i="33"/>
  <c r="AA193" i="28"/>
  <c r="A194" i="28"/>
  <c r="AI248" i="33" l="1"/>
  <c r="A249" i="33"/>
  <c r="AA194" i="28"/>
  <c r="A195" i="28"/>
  <c r="AI249" i="33" l="1"/>
  <c r="A250" i="33"/>
  <c r="AA195" i="28"/>
  <c r="A196" i="28"/>
  <c r="AI250" i="33" l="1"/>
  <c r="A251" i="33"/>
  <c r="AA196" i="28"/>
  <c r="A197" i="28"/>
  <c r="AI251" i="33" l="1"/>
  <c r="A252" i="33"/>
  <c r="AA197" i="28"/>
  <c r="A198" i="28"/>
  <c r="AI252" i="33" l="1"/>
  <c r="A253" i="33"/>
  <c r="AA198" i="28"/>
  <c r="A199" i="28"/>
  <c r="AI253" i="33" l="1"/>
  <c r="A254" i="33"/>
  <c r="AA199" i="28"/>
  <c r="A200" i="28"/>
  <c r="AI254" i="33" l="1"/>
  <c r="A255" i="33"/>
  <c r="AA200" i="28"/>
  <c r="A201" i="28"/>
  <c r="AI255" i="33" l="1"/>
  <c r="A256" i="33"/>
  <c r="AA201" i="28"/>
  <c r="A202" i="28"/>
  <c r="AI256" i="33" l="1"/>
  <c r="A257" i="33"/>
  <c r="AA202" i="28"/>
  <c r="A203" i="28"/>
  <c r="AI257" i="33" l="1"/>
  <c r="A258" i="33"/>
  <c r="AA203" i="28"/>
  <c r="A204" i="28"/>
  <c r="AI258" i="33" l="1"/>
  <c r="A259" i="33"/>
  <c r="AA204" i="28"/>
  <c r="A205" i="28"/>
  <c r="AI259" i="33" l="1"/>
  <c r="A260" i="33"/>
  <c r="AA205" i="28"/>
  <c r="A206" i="28"/>
  <c r="AI260" i="33" l="1"/>
  <c r="A261" i="33"/>
  <c r="AA206" i="28"/>
  <c r="A207" i="28"/>
  <c r="AI261" i="33" l="1"/>
  <c r="A262" i="33"/>
  <c r="AA207" i="28"/>
  <c r="A208" i="28"/>
  <c r="AI262" i="33" l="1"/>
  <c r="A263" i="33"/>
  <c r="AA208" i="28"/>
  <c r="A209" i="28"/>
  <c r="AI263" i="33" l="1"/>
  <c r="A264" i="33"/>
  <c r="AA209" i="28"/>
  <c r="A210" i="28"/>
  <c r="AI264" i="33" l="1"/>
  <c r="A265" i="33"/>
  <c r="AA210" i="28"/>
  <c r="A211" i="28"/>
  <c r="AI265" i="33" l="1"/>
  <c r="A266" i="33"/>
  <c r="AA211" i="28"/>
  <c r="A212" i="28"/>
  <c r="AI266" i="33" l="1"/>
  <c r="A267" i="33"/>
  <c r="AA212" i="28"/>
  <c r="A213" i="28"/>
  <c r="AI267" i="33" l="1"/>
  <c r="A268" i="33"/>
  <c r="AA213" i="28"/>
  <c r="A214" i="28"/>
  <c r="AI268" i="33" l="1"/>
  <c r="A269" i="33"/>
  <c r="AA214" i="28"/>
  <c r="A215" i="28"/>
  <c r="AI269" i="33" l="1"/>
  <c r="A270" i="33"/>
  <c r="AA215" i="28"/>
  <c r="A216" i="28"/>
  <c r="AI270" i="33" l="1"/>
  <c r="A271" i="33"/>
  <c r="AA216" i="28"/>
  <c r="A217" i="28"/>
  <c r="AI271" i="33" l="1"/>
  <c r="A272" i="33"/>
  <c r="AA217" i="28"/>
  <c r="A218" i="28"/>
  <c r="AI272" i="33" l="1"/>
  <c r="A273" i="33"/>
  <c r="AA218" i="28"/>
  <c r="A219" i="28"/>
  <c r="AI273" i="33" l="1"/>
  <c r="A274" i="33"/>
  <c r="AA219" i="28"/>
  <c r="A220" i="28"/>
  <c r="AI274" i="33" l="1"/>
  <c r="A275" i="33"/>
  <c r="AA220" i="28"/>
  <c r="A221" i="28"/>
  <c r="AI275" i="33" l="1"/>
  <c r="A276" i="33"/>
  <c r="AA221" i="28"/>
  <c r="A222" i="28"/>
  <c r="AI276" i="33" l="1"/>
  <c r="A277" i="33"/>
  <c r="AA222" i="28"/>
  <c r="A223" i="28"/>
  <c r="AI277" i="33" l="1"/>
  <c r="A278" i="33"/>
  <c r="AA223" i="28"/>
  <c r="A224" i="28"/>
  <c r="AI278" i="33" l="1"/>
  <c r="A279" i="33"/>
  <c r="AA224" i="28"/>
  <c r="A225" i="28"/>
  <c r="AI279" i="33" l="1"/>
  <c r="A280" i="33"/>
  <c r="AA225" i="28"/>
  <c r="A226" i="28"/>
  <c r="AI280" i="33" l="1"/>
  <c r="A281" i="33"/>
  <c r="AA226" i="28"/>
  <c r="A227" i="28"/>
  <c r="AI281" i="33" l="1"/>
  <c r="A282" i="33"/>
  <c r="AA227" i="28"/>
  <c r="A228" i="28"/>
  <c r="AI282" i="33" l="1"/>
  <c r="A283" i="33"/>
  <c r="AA228" i="28"/>
  <c r="A229" i="28"/>
  <c r="AI283" i="33" l="1"/>
  <c r="A284" i="33"/>
  <c r="AA229" i="28"/>
  <c r="A230" i="28"/>
  <c r="AI284" i="33" l="1"/>
  <c r="A285" i="33"/>
  <c r="AA230" i="28"/>
  <c r="A231" i="28"/>
  <c r="A286" i="33" l="1"/>
  <c r="AI285" i="33"/>
  <c r="AA231" i="28"/>
  <c r="A232" i="28"/>
  <c r="AI286" i="33" l="1"/>
  <c r="A287" i="33"/>
  <c r="AA232" i="28"/>
  <c r="A233" i="28"/>
  <c r="AI287" i="33" l="1"/>
  <c r="A288" i="33"/>
  <c r="AA233" i="28"/>
  <c r="A234" i="28"/>
  <c r="AI288" i="33" l="1"/>
  <c r="A289" i="33"/>
  <c r="AA234" i="28"/>
  <c r="A235" i="28"/>
  <c r="AI289" i="33" l="1"/>
  <c r="A290" i="33"/>
  <c r="AA235" i="28"/>
  <c r="A236" i="28"/>
  <c r="AI290" i="33" l="1"/>
  <c r="A291" i="33"/>
  <c r="AA236" i="28"/>
  <c r="A237" i="28"/>
  <c r="AI291" i="33" l="1"/>
  <c r="A292" i="33"/>
  <c r="AA237" i="28"/>
  <c r="A238" i="28"/>
  <c r="AI292" i="33" l="1"/>
  <c r="A293" i="33"/>
  <c r="AA238" i="28"/>
  <c r="A239" i="28"/>
  <c r="AI293" i="33" l="1"/>
  <c r="A294" i="33"/>
  <c r="AA239" i="28"/>
  <c r="A240" i="28"/>
  <c r="AI294" i="33" l="1"/>
  <c r="A295" i="33"/>
  <c r="AA240" i="28"/>
  <c r="A241" i="28"/>
  <c r="AI295" i="33" l="1"/>
  <c r="A296" i="33"/>
  <c r="AA241" i="28"/>
  <c r="A242" i="28"/>
  <c r="AI296" i="33" l="1"/>
  <c r="A297" i="33"/>
  <c r="AA242" i="28"/>
  <c r="A243" i="28"/>
  <c r="AI297" i="33" l="1"/>
  <c r="A298" i="33"/>
  <c r="AA243" i="28"/>
  <c r="A244" i="28"/>
  <c r="AI298" i="33" l="1"/>
  <c r="A299" i="33"/>
  <c r="AA244" i="28"/>
  <c r="A245" i="28"/>
  <c r="AI299" i="33" l="1"/>
  <c r="A300" i="33"/>
  <c r="AA245" i="28"/>
  <c r="A246" i="28"/>
  <c r="AI300" i="33" l="1"/>
  <c r="A301" i="33"/>
  <c r="AA246" i="28"/>
  <c r="A247" i="28"/>
  <c r="AI301" i="33" l="1"/>
  <c r="A302" i="33"/>
  <c r="AA247" i="28"/>
  <c r="A248" i="28"/>
  <c r="AI302" i="33" l="1"/>
  <c r="A303" i="33"/>
  <c r="AA248" i="28"/>
  <c r="A249" i="28"/>
  <c r="AI303" i="33" l="1"/>
  <c r="A304" i="33"/>
  <c r="AA249" i="28"/>
  <c r="A250" i="28"/>
  <c r="AI304" i="33" l="1"/>
  <c r="A305" i="33"/>
  <c r="AA250" i="28"/>
  <c r="A251" i="28"/>
  <c r="AI305" i="33" l="1"/>
  <c r="A306" i="33"/>
  <c r="AA251" i="28"/>
  <c r="A252" i="28"/>
  <c r="AI306" i="33" l="1"/>
  <c r="A307" i="33"/>
  <c r="AA252" i="28"/>
  <c r="A253" i="28"/>
  <c r="AI307" i="33" l="1"/>
  <c r="A308" i="33"/>
  <c r="AA253" i="28"/>
  <c r="A254" i="28"/>
  <c r="AI308" i="33" l="1"/>
  <c r="A309" i="33"/>
  <c r="AA254" i="28"/>
  <c r="A255" i="28"/>
  <c r="AI309" i="33" l="1"/>
  <c r="A310" i="33"/>
  <c r="AA255" i="28"/>
  <c r="A256" i="28"/>
  <c r="AI310" i="33" l="1"/>
  <c r="A311" i="33"/>
  <c r="AA256" i="28"/>
  <c r="A257" i="28"/>
  <c r="AI311" i="33" l="1"/>
  <c r="A312" i="33"/>
  <c r="AA257" i="28"/>
  <c r="A258" i="28"/>
  <c r="AI312" i="33" l="1"/>
  <c r="A313" i="33"/>
  <c r="AA258" i="28"/>
  <c r="A259" i="28"/>
  <c r="AI313" i="33" l="1"/>
  <c r="A314" i="33"/>
  <c r="AA259" i="28"/>
  <c r="A260" i="28"/>
  <c r="AI314" i="33" l="1"/>
  <c r="A315" i="33"/>
  <c r="AA260" i="28"/>
  <c r="A261" i="28"/>
  <c r="AI315" i="33" l="1"/>
  <c r="A316" i="33"/>
  <c r="AA261" i="28"/>
  <c r="A262" i="28"/>
  <c r="AI316" i="33" l="1"/>
  <c r="A317" i="33"/>
  <c r="AA262" i="28"/>
  <c r="A263" i="28"/>
  <c r="AI317" i="33" l="1"/>
  <c r="A318" i="33"/>
  <c r="AA263" i="28"/>
  <c r="A264" i="28"/>
  <c r="AI318" i="33" l="1"/>
  <c r="A319" i="33"/>
  <c r="AA264" i="28"/>
  <c r="A265" i="28"/>
  <c r="AI319" i="33" l="1"/>
  <c r="A320" i="33"/>
  <c r="AA265" i="28"/>
  <c r="A266" i="28"/>
  <c r="AI320" i="33" l="1"/>
  <c r="A321" i="33"/>
  <c r="AA266" i="28"/>
  <c r="A267" i="28"/>
  <c r="AI321" i="33" l="1"/>
  <c r="A322" i="33"/>
  <c r="AA267" i="28"/>
  <c r="A268" i="28"/>
  <c r="AI322" i="33" l="1"/>
  <c r="A323" i="33"/>
  <c r="AA268" i="28"/>
  <c r="A269" i="28"/>
  <c r="AI323" i="33" l="1"/>
  <c r="A324" i="33"/>
  <c r="AA269" i="28"/>
  <c r="A270" i="28"/>
  <c r="AI324" i="33" l="1"/>
  <c r="A325" i="33"/>
  <c r="AA270" i="28"/>
  <c r="A271" i="28"/>
  <c r="AI325" i="33" l="1"/>
  <c r="A326" i="33"/>
  <c r="AA271" i="28"/>
  <c r="A272" i="28"/>
  <c r="AI326" i="33" l="1"/>
  <c r="A327" i="33"/>
  <c r="AA272" i="28"/>
  <c r="A273" i="28"/>
  <c r="AI327" i="33" l="1"/>
  <c r="A328" i="33"/>
  <c r="AA273" i="28"/>
  <c r="A274" i="28"/>
  <c r="AI328" i="33" l="1"/>
  <c r="A329" i="33"/>
  <c r="AA274" i="28"/>
  <c r="A275" i="28"/>
  <c r="AI329" i="33" l="1"/>
  <c r="A330" i="33"/>
  <c r="AA275" i="28"/>
  <c r="A276" i="28"/>
  <c r="AI330" i="33" l="1"/>
  <c r="A331" i="33"/>
  <c r="AA276" i="28"/>
  <c r="A277" i="28"/>
  <c r="AI331" i="33" l="1"/>
  <c r="A332" i="33"/>
  <c r="AA277" i="28"/>
  <c r="A278" i="28"/>
  <c r="AI332" i="33" l="1"/>
  <c r="A333" i="33"/>
  <c r="AA278" i="28"/>
  <c r="A279" i="28"/>
  <c r="AI333" i="33" l="1"/>
  <c r="A334" i="33"/>
  <c r="AA279" i="28"/>
  <c r="A280" i="28"/>
  <c r="AI334" i="33" l="1"/>
  <c r="A335" i="33"/>
  <c r="AA280" i="28"/>
  <c r="A281" i="28"/>
  <c r="AI335" i="33" l="1"/>
  <c r="A336" i="33"/>
  <c r="AA281" i="28"/>
  <c r="A282" i="28"/>
  <c r="AI336" i="33" l="1"/>
  <c r="A337" i="33"/>
  <c r="AA282" i="28"/>
  <c r="A283" i="28"/>
  <c r="AI337" i="33" l="1"/>
  <c r="A338" i="33"/>
  <c r="AA283" i="28"/>
  <c r="A284" i="28"/>
  <c r="AI338" i="33" l="1"/>
  <c r="A339" i="33"/>
  <c r="AA284" i="28"/>
  <c r="A285" i="28"/>
  <c r="AI339" i="33" l="1"/>
  <c r="A340" i="33"/>
  <c r="AA285" i="28"/>
  <c r="A286" i="28"/>
  <c r="AI340" i="33" l="1"/>
  <c r="A341" i="33"/>
  <c r="AA286" i="28"/>
  <c r="A287" i="28"/>
  <c r="AI341" i="33" l="1"/>
  <c r="A342" i="33"/>
  <c r="AA287" i="28"/>
  <c r="A288" i="28"/>
  <c r="AI342" i="33" l="1"/>
  <c r="A343" i="33"/>
  <c r="AA288" i="28"/>
  <c r="A289" i="28"/>
  <c r="AI343" i="33" l="1"/>
  <c r="A344" i="33"/>
  <c r="AA289" i="28"/>
  <c r="A290" i="28"/>
  <c r="AI344" i="33" l="1"/>
  <c r="A345" i="33"/>
  <c r="AA290" i="28"/>
  <c r="A291" i="28"/>
  <c r="AI345" i="33" l="1"/>
  <c r="A346" i="33"/>
  <c r="AA291" i="28"/>
  <c r="A292" i="28"/>
  <c r="AI346" i="33" l="1"/>
  <c r="A347" i="33"/>
  <c r="AA292" i="28"/>
  <c r="A293" i="28"/>
  <c r="AI347" i="33" l="1"/>
  <c r="A348" i="33"/>
  <c r="AA293" i="28"/>
  <c r="A294" i="28"/>
  <c r="AI348" i="33" l="1"/>
  <c r="A349" i="33"/>
  <c r="AI349" i="33" s="1"/>
  <c r="AA294" i="28"/>
  <c r="A295" i="28"/>
  <c r="AA295" i="28" l="1"/>
  <c r="A296" i="28"/>
  <c r="AA296" i="28" l="1"/>
  <c r="A297" i="28"/>
  <c r="AA297" i="28" l="1"/>
  <c r="A298" i="28"/>
  <c r="AA298" i="28" l="1"/>
  <c r="A299" i="28"/>
  <c r="AA299" i="28" l="1"/>
  <c r="A300" i="28"/>
  <c r="AA300" i="28" l="1"/>
  <c r="A301" i="28"/>
  <c r="AA301" i="28" l="1"/>
  <c r="A302" i="28"/>
  <c r="AA302" i="28" l="1"/>
  <c r="A303" i="28"/>
  <c r="AA303" i="28" l="1"/>
  <c r="A304" i="28"/>
  <c r="AA304" i="28" l="1"/>
  <c r="A305" i="28"/>
  <c r="AA305" i="28" l="1"/>
  <c r="A306" i="28"/>
  <c r="AA306" i="28" l="1"/>
  <c r="A307" i="28"/>
  <c r="AA307" i="28" l="1"/>
  <c r="A308" i="28"/>
  <c r="AA308" i="28" l="1"/>
  <c r="A309" i="28"/>
  <c r="AA309" i="28" l="1"/>
  <c r="A310" i="28"/>
  <c r="AA310" i="28" l="1"/>
  <c r="A311" i="28"/>
  <c r="AA311" i="28" l="1"/>
  <c r="A312" i="28"/>
  <c r="AA312" i="28" l="1"/>
  <c r="A313" i="28"/>
  <c r="AA313" i="28" l="1"/>
  <c r="A314" i="28"/>
  <c r="AA314" i="28" l="1"/>
  <c r="A315" i="28"/>
  <c r="AA315" i="28" l="1"/>
  <c r="A316" i="28"/>
  <c r="AA316" i="28" l="1"/>
  <c r="A317" i="28"/>
  <c r="AA317" i="28" l="1"/>
  <c r="A318" i="28"/>
  <c r="AA318" i="28" l="1"/>
  <c r="A319" i="28"/>
  <c r="AA319" i="28" l="1"/>
  <c r="A320" i="28"/>
  <c r="AA320" i="28" l="1"/>
  <c r="A321" i="28"/>
  <c r="AA321" i="28" l="1"/>
  <c r="A322" i="28"/>
  <c r="AA322" i="28" l="1"/>
  <c r="A323" i="28"/>
  <c r="AA323" i="28" l="1"/>
  <c r="A324" i="28"/>
  <c r="AA324" i="28" l="1"/>
  <c r="A325" i="28"/>
  <c r="AA325" i="28" l="1"/>
  <c r="A326" i="28"/>
  <c r="AA326" i="28" l="1"/>
  <c r="A327" i="28"/>
  <c r="AA327" i="28" l="1"/>
  <c r="A328" i="28"/>
  <c r="AA328" i="28" l="1"/>
  <c r="A329" i="28"/>
  <c r="AA329" i="28" l="1"/>
  <c r="A330" i="28"/>
  <c r="AA330" i="28" l="1"/>
  <c r="A331" i="28"/>
  <c r="AA331" i="28" l="1"/>
  <c r="A332" i="28"/>
  <c r="AA332" i="28" l="1"/>
  <c r="A333" i="28"/>
  <c r="AA333" i="28" l="1"/>
  <c r="A334" i="28"/>
  <c r="AA334" i="28" l="1"/>
  <c r="A335" i="28"/>
  <c r="AA335" i="28" l="1"/>
  <c r="A336" i="28"/>
  <c r="AA336" i="28" l="1"/>
  <c r="A337" i="28"/>
  <c r="AA337" i="28" l="1"/>
  <c r="A338" i="28"/>
  <c r="AA338" i="28" l="1"/>
  <c r="A339" i="28"/>
  <c r="AA339" i="28" l="1"/>
  <c r="A340" i="28"/>
  <c r="AA340" i="28" l="1"/>
  <c r="A341" i="28"/>
  <c r="AA341" i="28" l="1"/>
  <c r="A342" i="28"/>
  <c r="AA342" i="28" l="1"/>
  <c r="A343" i="28"/>
  <c r="AA343" i="28" l="1"/>
  <c r="A344" i="28"/>
  <c r="AA344" i="28" l="1"/>
  <c r="A345" i="28"/>
  <c r="AA345" i="28" l="1"/>
  <c r="A346" i="28"/>
  <c r="AA346" i="28" l="1"/>
  <c r="A347" i="28"/>
  <c r="AA347" i="28" l="1"/>
  <c r="A348" i="28"/>
  <c r="AA348" i="28" l="1"/>
  <c r="A349" i="28"/>
  <c r="AA349" i="28" l="1"/>
  <c r="A350" i="28"/>
  <c r="AA350" i="28" l="1"/>
  <c r="A351" i="28"/>
  <c r="AA351" i="28" l="1"/>
  <c r="A352" i="28"/>
  <c r="AA352" i="28" l="1"/>
  <c r="A353" i="28"/>
  <c r="AA353" i="28" s="1"/>
  <c r="V74" i="22" l="1"/>
  <c r="F45" i="27" l="1"/>
  <c r="F46" i="27"/>
  <c r="F47" i="27"/>
  <c r="F48" i="27"/>
  <c r="F93" i="27"/>
  <c r="F94" i="27"/>
  <c r="F95" i="27"/>
  <c r="F332" i="27"/>
  <c r="AC352" i="27"/>
  <c r="AB352" i="27"/>
  <c r="V352" i="27"/>
  <c r="O352" i="27"/>
  <c r="L352" i="27"/>
  <c r="M352" i="27" s="1"/>
  <c r="P352" i="27" s="1"/>
  <c r="K352" i="27"/>
  <c r="AC351" i="27"/>
  <c r="AB351" i="27"/>
  <c r="V351" i="27"/>
  <c r="O351" i="27"/>
  <c r="L351" i="27"/>
  <c r="K351" i="27"/>
  <c r="AC350" i="27"/>
  <c r="AB350" i="27"/>
  <c r="V350" i="27"/>
  <c r="O350" i="27"/>
  <c r="L350" i="27"/>
  <c r="M350" i="27" s="1"/>
  <c r="P350" i="27" s="1"/>
  <c r="K350" i="27"/>
  <c r="AC349" i="27"/>
  <c r="AB349" i="27"/>
  <c r="V349" i="27"/>
  <c r="L349" i="27"/>
  <c r="K349" i="27"/>
  <c r="AC348" i="27"/>
  <c r="AB348" i="27"/>
  <c r="V348" i="27"/>
  <c r="O348" i="27"/>
  <c r="L348" i="27"/>
  <c r="K348" i="27"/>
  <c r="AC347" i="27"/>
  <c r="AB347" i="27"/>
  <c r="V347" i="27"/>
  <c r="O347" i="27"/>
  <c r="L347" i="27"/>
  <c r="K347" i="27"/>
  <c r="AC346" i="27"/>
  <c r="AB346" i="27"/>
  <c r="V346" i="27"/>
  <c r="O346" i="27"/>
  <c r="L346" i="27"/>
  <c r="K346" i="27"/>
  <c r="AC345" i="27"/>
  <c r="AB345" i="27"/>
  <c r="V345" i="27"/>
  <c r="O345" i="27"/>
  <c r="L345" i="27"/>
  <c r="K345" i="27"/>
  <c r="AC344" i="27"/>
  <c r="AB344" i="27"/>
  <c r="V344" i="27"/>
  <c r="O344" i="27"/>
  <c r="L344" i="27"/>
  <c r="K344" i="27"/>
  <c r="AC343" i="27"/>
  <c r="AB343" i="27"/>
  <c r="V343" i="27"/>
  <c r="O343" i="27"/>
  <c r="L343" i="27"/>
  <c r="K343" i="27"/>
  <c r="AC342" i="27"/>
  <c r="AB342" i="27"/>
  <c r="O342" i="27"/>
  <c r="L342" i="27"/>
  <c r="J342" i="27"/>
  <c r="V342" i="27" s="1"/>
  <c r="AC341" i="27"/>
  <c r="AB341" i="27"/>
  <c r="V341" i="27"/>
  <c r="O341" i="27"/>
  <c r="L341" i="27"/>
  <c r="K341" i="27"/>
  <c r="AC340" i="27"/>
  <c r="AB340" i="27"/>
  <c r="V340" i="27"/>
  <c r="O340" i="27"/>
  <c r="L340" i="27"/>
  <c r="K340" i="27"/>
  <c r="AC339" i="27"/>
  <c r="AB339" i="27"/>
  <c r="V339" i="27"/>
  <c r="O339" i="27"/>
  <c r="L339" i="27"/>
  <c r="K339" i="27"/>
  <c r="AC338" i="27"/>
  <c r="AB338" i="27"/>
  <c r="V338" i="27"/>
  <c r="O338" i="27"/>
  <c r="L338" i="27"/>
  <c r="K338" i="27"/>
  <c r="AC337" i="27"/>
  <c r="AB337" i="27"/>
  <c r="V337" i="27"/>
  <c r="O337" i="27"/>
  <c r="L337" i="27"/>
  <c r="K337" i="27"/>
  <c r="AC336" i="27"/>
  <c r="AB336" i="27"/>
  <c r="V336" i="27"/>
  <c r="O336" i="27"/>
  <c r="L336" i="27"/>
  <c r="K336" i="27"/>
  <c r="AC335" i="27"/>
  <c r="AB335" i="27"/>
  <c r="V335" i="27"/>
  <c r="O335" i="27"/>
  <c r="L335" i="27"/>
  <c r="K335" i="27"/>
  <c r="AC334" i="27"/>
  <c r="AB334" i="27"/>
  <c r="V334" i="27"/>
  <c r="O334" i="27"/>
  <c r="L334" i="27"/>
  <c r="K334" i="27"/>
  <c r="AC333" i="27"/>
  <c r="AB333" i="27"/>
  <c r="V333" i="27"/>
  <c r="O333" i="27"/>
  <c r="L333" i="27"/>
  <c r="K333" i="27"/>
  <c r="AC332" i="27"/>
  <c r="AB332" i="27"/>
  <c r="V332" i="27"/>
  <c r="O332" i="27"/>
  <c r="L332" i="27"/>
  <c r="K332" i="27"/>
  <c r="AC331" i="27"/>
  <c r="AB331" i="27"/>
  <c r="V331" i="27"/>
  <c r="O331" i="27"/>
  <c r="L331" i="27"/>
  <c r="K331" i="27"/>
  <c r="AC330" i="27"/>
  <c r="AB330" i="27"/>
  <c r="V330" i="27"/>
  <c r="O330" i="27"/>
  <c r="L330" i="27"/>
  <c r="K330" i="27"/>
  <c r="AC329" i="27"/>
  <c r="AB329" i="27"/>
  <c r="V329" i="27"/>
  <c r="O329" i="27"/>
  <c r="L329" i="27"/>
  <c r="K329" i="27"/>
  <c r="AC328" i="27"/>
  <c r="AB328" i="27"/>
  <c r="V328" i="27"/>
  <c r="O328" i="27"/>
  <c r="L328" i="27"/>
  <c r="K328" i="27"/>
  <c r="AC327" i="27"/>
  <c r="AB327" i="27"/>
  <c r="V327" i="27"/>
  <c r="O327" i="27"/>
  <c r="L327" i="27"/>
  <c r="K327" i="27"/>
  <c r="AC326" i="27"/>
  <c r="AB326" i="27"/>
  <c r="V326" i="27"/>
  <c r="O326" i="27"/>
  <c r="L326" i="27"/>
  <c r="K326" i="27"/>
  <c r="AC325" i="27"/>
  <c r="AB325" i="27"/>
  <c r="V325" i="27"/>
  <c r="O325" i="27"/>
  <c r="L325" i="27"/>
  <c r="K325" i="27"/>
  <c r="AC324" i="27"/>
  <c r="AB324" i="27"/>
  <c r="V324" i="27"/>
  <c r="O324" i="27"/>
  <c r="L324" i="27"/>
  <c r="K324" i="27"/>
  <c r="AC323" i="27"/>
  <c r="AB323" i="27"/>
  <c r="V323" i="27"/>
  <c r="T323" i="27"/>
  <c r="O323" i="27"/>
  <c r="L323" i="27"/>
  <c r="K323" i="27"/>
  <c r="AC322" i="27"/>
  <c r="AB322" i="27"/>
  <c r="V322" i="27"/>
  <c r="O322" i="27"/>
  <c r="L322" i="27"/>
  <c r="K322" i="27"/>
  <c r="AC321" i="27"/>
  <c r="AB321" i="27"/>
  <c r="V321" i="27"/>
  <c r="O321" i="27"/>
  <c r="L321" i="27"/>
  <c r="K321" i="27"/>
  <c r="AC320" i="27"/>
  <c r="AB320" i="27"/>
  <c r="V320" i="27"/>
  <c r="O320" i="27"/>
  <c r="L320" i="27"/>
  <c r="M320" i="27" s="1"/>
  <c r="P320" i="27" s="1"/>
  <c r="K320" i="27"/>
  <c r="AC319" i="27"/>
  <c r="AB319" i="27"/>
  <c r="V319" i="27"/>
  <c r="O319" i="27"/>
  <c r="L319" i="27"/>
  <c r="K319" i="27"/>
  <c r="V318" i="27"/>
  <c r="O318" i="27"/>
  <c r="L318" i="27"/>
  <c r="K318" i="27"/>
  <c r="AC317" i="27"/>
  <c r="AB317" i="27"/>
  <c r="V317" i="27"/>
  <c r="O317" i="27"/>
  <c r="L317" i="27"/>
  <c r="K317" i="27"/>
  <c r="AC316" i="27"/>
  <c r="AB316" i="27"/>
  <c r="V316" i="27"/>
  <c r="O316" i="27"/>
  <c r="L316" i="27"/>
  <c r="K316" i="27"/>
  <c r="AC315" i="27"/>
  <c r="AB315" i="27"/>
  <c r="V315" i="27"/>
  <c r="O315" i="27"/>
  <c r="L315" i="27"/>
  <c r="M315" i="27" s="1"/>
  <c r="P315" i="27" s="1"/>
  <c r="K315" i="27"/>
  <c r="AC314" i="27"/>
  <c r="AB314" i="27"/>
  <c r="V314" i="27"/>
  <c r="O314" i="27"/>
  <c r="L314" i="27"/>
  <c r="K314" i="27"/>
  <c r="AC313" i="27"/>
  <c r="AB313" i="27"/>
  <c r="V313" i="27"/>
  <c r="O313" i="27"/>
  <c r="L313" i="27"/>
  <c r="M313" i="27" s="1"/>
  <c r="K313" i="27"/>
  <c r="AC312" i="27"/>
  <c r="AB312" i="27"/>
  <c r="V312" i="27"/>
  <c r="O312" i="27"/>
  <c r="L312" i="27"/>
  <c r="K312" i="27"/>
  <c r="AC311" i="27"/>
  <c r="AB311" i="27"/>
  <c r="V311" i="27"/>
  <c r="O311" i="27"/>
  <c r="L311" i="27"/>
  <c r="M311" i="27" s="1"/>
  <c r="P311" i="27" s="1"/>
  <c r="K311" i="27"/>
  <c r="AC310" i="27"/>
  <c r="AB310" i="27"/>
  <c r="V310" i="27"/>
  <c r="O310" i="27"/>
  <c r="L310" i="27"/>
  <c r="K310" i="27"/>
  <c r="AC309" i="27"/>
  <c r="V309" i="27"/>
  <c r="L309" i="27"/>
  <c r="K309" i="27"/>
  <c r="AC308" i="27"/>
  <c r="AB308" i="27"/>
  <c r="V308" i="27"/>
  <c r="O308" i="27"/>
  <c r="L308" i="27"/>
  <c r="M308" i="27" s="1"/>
  <c r="P308" i="27" s="1"/>
  <c r="K308" i="27"/>
  <c r="AC307" i="27"/>
  <c r="AB307" i="27"/>
  <c r="V307" i="27"/>
  <c r="O307" i="27"/>
  <c r="L307" i="27"/>
  <c r="K307" i="27"/>
  <c r="AC306" i="27"/>
  <c r="AB306" i="27"/>
  <c r="V306" i="27"/>
  <c r="O306" i="27"/>
  <c r="L306" i="27"/>
  <c r="M306" i="27" s="1"/>
  <c r="P306" i="27" s="1"/>
  <c r="K306" i="27"/>
  <c r="AC305" i="27"/>
  <c r="AB305" i="27"/>
  <c r="V305" i="27"/>
  <c r="O305" i="27"/>
  <c r="L305" i="27"/>
  <c r="K305" i="27"/>
  <c r="AC304" i="27"/>
  <c r="AB304" i="27"/>
  <c r="V304" i="27"/>
  <c r="O304" i="27"/>
  <c r="L304" i="27"/>
  <c r="M304" i="27" s="1"/>
  <c r="K304" i="27"/>
  <c r="AC303" i="27"/>
  <c r="AB303" i="27"/>
  <c r="V303" i="27"/>
  <c r="O303" i="27"/>
  <c r="L303" i="27"/>
  <c r="K303" i="27"/>
  <c r="AC302" i="27"/>
  <c r="V302" i="27"/>
  <c r="O302" i="27"/>
  <c r="L302" i="27"/>
  <c r="K302" i="27"/>
  <c r="AC301" i="27"/>
  <c r="AB301" i="27"/>
  <c r="V301" i="27"/>
  <c r="O301" i="27"/>
  <c r="L301" i="27"/>
  <c r="K301" i="27"/>
  <c r="AC300" i="27"/>
  <c r="AB300" i="27"/>
  <c r="V300" i="27"/>
  <c r="O300" i="27"/>
  <c r="L300" i="27"/>
  <c r="K300" i="27"/>
  <c r="AC299" i="27"/>
  <c r="AB299" i="27"/>
  <c r="V299" i="27"/>
  <c r="O299" i="27"/>
  <c r="L299" i="27"/>
  <c r="K299" i="27"/>
  <c r="AC298" i="27"/>
  <c r="AB298" i="27"/>
  <c r="V298" i="27"/>
  <c r="O298" i="27"/>
  <c r="L298" i="27"/>
  <c r="K298" i="27"/>
  <c r="AC297" i="27"/>
  <c r="AB297" i="27"/>
  <c r="V297" i="27"/>
  <c r="O297" i="27"/>
  <c r="L297" i="27"/>
  <c r="K297" i="27"/>
  <c r="AC296" i="27"/>
  <c r="AB296" i="27"/>
  <c r="V296" i="27"/>
  <c r="O296" i="27"/>
  <c r="L296" i="27"/>
  <c r="K296" i="27"/>
  <c r="AC295" i="27"/>
  <c r="AB295" i="27"/>
  <c r="V295" i="27"/>
  <c r="O295" i="27"/>
  <c r="L295" i="27"/>
  <c r="K295" i="27"/>
  <c r="AC294" i="27"/>
  <c r="AB294" i="27"/>
  <c r="V294" i="27"/>
  <c r="O294" i="27"/>
  <c r="L294" i="27"/>
  <c r="K294" i="27"/>
  <c r="AC293" i="27"/>
  <c r="AB293" i="27"/>
  <c r="V293" i="27"/>
  <c r="O293" i="27"/>
  <c r="L293" i="27"/>
  <c r="K293" i="27"/>
  <c r="AB292" i="27"/>
  <c r="V292" i="27"/>
  <c r="O292" i="27"/>
  <c r="L292" i="27"/>
  <c r="K292" i="27"/>
  <c r="AC291" i="27"/>
  <c r="AB291" i="27"/>
  <c r="V291" i="27"/>
  <c r="O291" i="27"/>
  <c r="L291" i="27"/>
  <c r="M291" i="27" s="1"/>
  <c r="P291" i="27" s="1"/>
  <c r="K291" i="27"/>
  <c r="AC290" i="27"/>
  <c r="AB290" i="27"/>
  <c r="V290" i="27"/>
  <c r="O290" i="27"/>
  <c r="L290" i="27"/>
  <c r="K290" i="27"/>
  <c r="AC289" i="27"/>
  <c r="AB289" i="27"/>
  <c r="V289" i="27"/>
  <c r="O289" i="27"/>
  <c r="L289" i="27"/>
  <c r="M289" i="27" s="1"/>
  <c r="P289" i="27" s="1"/>
  <c r="K289" i="27"/>
  <c r="T353" i="27"/>
  <c r="R353" i="27"/>
  <c r="O353" i="27"/>
  <c r="H353" i="27"/>
  <c r="AC288" i="27"/>
  <c r="AB288" i="27"/>
  <c r="U288" i="27"/>
  <c r="S288" i="27"/>
  <c r="P288" i="27"/>
  <c r="M288" i="27"/>
  <c r="I288" i="27"/>
  <c r="K288" i="27" s="1"/>
  <c r="L288" i="27" s="1"/>
  <c r="AC287" i="27"/>
  <c r="AB287" i="27"/>
  <c r="U287" i="27"/>
  <c r="S287" i="27"/>
  <c r="P287" i="27"/>
  <c r="M287" i="27"/>
  <c r="I287" i="27"/>
  <c r="K287" i="27" s="1"/>
  <c r="L287" i="27" s="1"/>
  <c r="AC286" i="27"/>
  <c r="AB286" i="27"/>
  <c r="U286" i="27"/>
  <c r="S286" i="27"/>
  <c r="P286" i="27"/>
  <c r="M286" i="27"/>
  <c r="I286" i="27"/>
  <c r="K286" i="27" s="1"/>
  <c r="L286" i="27" s="1"/>
  <c r="AC285" i="27"/>
  <c r="AB285" i="27"/>
  <c r="U285" i="27"/>
  <c r="S285" i="27"/>
  <c r="P285" i="27"/>
  <c r="M285" i="27"/>
  <c r="I285" i="27"/>
  <c r="K285" i="27" s="1"/>
  <c r="L285" i="27" s="1"/>
  <c r="AC284" i="27"/>
  <c r="AB284" i="27"/>
  <c r="U284" i="27"/>
  <c r="S284" i="27"/>
  <c r="P284" i="27"/>
  <c r="M284" i="27"/>
  <c r="I284" i="27"/>
  <c r="K284" i="27" s="1"/>
  <c r="L284" i="27" s="1"/>
  <c r="AC283" i="27"/>
  <c r="AB283" i="27"/>
  <c r="U283" i="27"/>
  <c r="S283" i="27"/>
  <c r="P283" i="27"/>
  <c r="M283" i="27"/>
  <c r="I283" i="27"/>
  <c r="K283" i="27" s="1"/>
  <c r="L283" i="27" s="1"/>
  <c r="AC282" i="27"/>
  <c r="AB282" i="27"/>
  <c r="U282" i="27"/>
  <c r="S282" i="27"/>
  <c r="P282" i="27"/>
  <c r="M282" i="27"/>
  <c r="I282" i="27"/>
  <c r="K282" i="27" s="1"/>
  <c r="L282" i="27" s="1"/>
  <c r="AC281" i="27"/>
  <c r="AB281" i="27"/>
  <c r="U281" i="27"/>
  <c r="S281" i="27"/>
  <c r="P281" i="27"/>
  <c r="M281" i="27"/>
  <c r="I281" i="27"/>
  <c r="K281" i="27" s="1"/>
  <c r="L281" i="27" s="1"/>
  <c r="AC280" i="27"/>
  <c r="AB280" i="27"/>
  <c r="U280" i="27"/>
  <c r="S280" i="27"/>
  <c r="P280" i="27"/>
  <c r="M280" i="27"/>
  <c r="I280" i="27"/>
  <c r="K280" i="27" s="1"/>
  <c r="L280" i="27" s="1"/>
  <c r="AC279" i="27"/>
  <c r="AB279" i="27"/>
  <c r="U279" i="27"/>
  <c r="S279" i="27"/>
  <c r="P279" i="27"/>
  <c r="M279" i="27"/>
  <c r="I279" i="27"/>
  <c r="K279" i="27" s="1"/>
  <c r="L279" i="27" s="1"/>
  <c r="AC278" i="27"/>
  <c r="AB278" i="27"/>
  <c r="U278" i="27"/>
  <c r="S278" i="27"/>
  <c r="P278" i="27"/>
  <c r="M278" i="27"/>
  <c r="I278" i="27"/>
  <c r="K278" i="27" s="1"/>
  <c r="L278" i="27" s="1"/>
  <c r="AC277" i="27"/>
  <c r="AB277" i="27"/>
  <c r="U277" i="27"/>
  <c r="S277" i="27"/>
  <c r="P277" i="27"/>
  <c r="M277" i="27"/>
  <c r="I277" i="27"/>
  <c r="K277" i="27" s="1"/>
  <c r="L277" i="27" s="1"/>
  <c r="AC276" i="27"/>
  <c r="AB276" i="27"/>
  <c r="U276" i="27"/>
  <c r="S276" i="27"/>
  <c r="P276" i="27"/>
  <c r="M276" i="27"/>
  <c r="I276" i="27"/>
  <c r="K276" i="27" s="1"/>
  <c r="L276" i="27" s="1"/>
  <c r="AC275" i="27"/>
  <c r="AB275" i="27"/>
  <c r="U275" i="27"/>
  <c r="S275" i="27"/>
  <c r="P275" i="27"/>
  <c r="M275" i="27"/>
  <c r="I275" i="27"/>
  <c r="K275" i="27" s="1"/>
  <c r="L275" i="27" s="1"/>
  <c r="AC274" i="27"/>
  <c r="AB274" i="27"/>
  <c r="U274" i="27"/>
  <c r="S274" i="27"/>
  <c r="P274" i="27"/>
  <c r="M274" i="27"/>
  <c r="I274" i="27"/>
  <c r="K274" i="27" s="1"/>
  <c r="L274" i="27" s="1"/>
  <c r="AC273" i="27"/>
  <c r="AB273" i="27"/>
  <c r="U273" i="27"/>
  <c r="S273" i="27"/>
  <c r="P273" i="27"/>
  <c r="M273" i="27"/>
  <c r="I273" i="27"/>
  <c r="K273" i="27" s="1"/>
  <c r="L273" i="27" s="1"/>
  <c r="AC272" i="27"/>
  <c r="AB272" i="27"/>
  <c r="U272" i="27"/>
  <c r="S272" i="27"/>
  <c r="P272" i="27"/>
  <c r="M272" i="27"/>
  <c r="I272" i="27"/>
  <c r="K272" i="27" s="1"/>
  <c r="L272" i="27" s="1"/>
  <c r="AC271" i="27"/>
  <c r="AB271" i="27"/>
  <c r="U271" i="27"/>
  <c r="S271" i="27"/>
  <c r="P271" i="27"/>
  <c r="M271" i="27"/>
  <c r="I271" i="27"/>
  <c r="K271" i="27" s="1"/>
  <c r="L271" i="27" s="1"/>
  <c r="AC270" i="27"/>
  <c r="AB270" i="27"/>
  <c r="U270" i="27"/>
  <c r="S270" i="27"/>
  <c r="P270" i="27"/>
  <c r="M270" i="27"/>
  <c r="I270" i="27"/>
  <c r="K270" i="27" s="1"/>
  <c r="L270" i="27" s="1"/>
  <c r="AC269" i="27"/>
  <c r="AB269" i="27"/>
  <c r="U269" i="27"/>
  <c r="S269" i="27"/>
  <c r="P269" i="27"/>
  <c r="M269" i="27"/>
  <c r="I269" i="27"/>
  <c r="K269" i="27" s="1"/>
  <c r="L269" i="27" s="1"/>
  <c r="AC268" i="27"/>
  <c r="AB268" i="27"/>
  <c r="U268" i="27"/>
  <c r="S268" i="27"/>
  <c r="P268" i="27"/>
  <c r="M268" i="27"/>
  <c r="I268" i="27"/>
  <c r="K268" i="27" s="1"/>
  <c r="L268" i="27" s="1"/>
  <c r="AC267" i="27"/>
  <c r="AB267" i="27"/>
  <c r="U267" i="27"/>
  <c r="S267" i="27"/>
  <c r="P267" i="27"/>
  <c r="M267" i="27"/>
  <c r="I267" i="27"/>
  <c r="K267" i="27" s="1"/>
  <c r="L267" i="27" s="1"/>
  <c r="AC266" i="27"/>
  <c r="AB266" i="27"/>
  <c r="U266" i="27"/>
  <c r="S266" i="27"/>
  <c r="P266" i="27"/>
  <c r="M266" i="27"/>
  <c r="I266" i="27"/>
  <c r="K266" i="27" s="1"/>
  <c r="L266" i="27" s="1"/>
  <c r="AC265" i="27"/>
  <c r="AB265" i="27"/>
  <c r="U265" i="27"/>
  <c r="S265" i="27"/>
  <c r="P265" i="27"/>
  <c r="M265" i="27"/>
  <c r="I265" i="27"/>
  <c r="K265" i="27" s="1"/>
  <c r="L265" i="27" s="1"/>
  <c r="AC264" i="27"/>
  <c r="AB264" i="27"/>
  <c r="U264" i="27"/>
  <c r="S264" i="27"/>
  <c r="P264" i="27"/>
  <c r="M264" i="27"/>
  <c r="I264" i="27"/>
  <c r="K264" i="27" s="1"/>
  <c r="L264" i="27" s="1"/>
  <c r="AC263" i="27"/>
  <c r="AB263" i="27"/>
  <c r="U263" i="27"/>
  <c r="S263" i="27"/>
  <c r="P263" i="27"/>
  <c r="M263" i="27"/>
  <c r="I263" i="27"/>
  <c r="K263" i="27" s="1"/>
  <c r="L263" i="27" s="1"/>
  <c r="AC262" i="27"/>
  <c r="AB262" i="27"/>
  <c r="U262" i="27"/>
  <c r="S262" i="27"/>
  <c r="P262" i="27"/>
  <c r="M262" i="27"/>
  <c r="I262" i="27"/>
  <c r="K262" i="27" s="1"/>
  <c r="L262" i="27" s="1"/>
  <c r="AC261" i="27"/>
  <c r="AB261" i="27"/>
  <c r="U261" i="27"/>
  <c r="S261" i="27"/>
  <c r="P261" i="27"/>
  <c r="M261" i="27"/>
  <c r="I261" i="27"/>
  <c r="K261" i="27" s="1"/>
  <c r="L261" i="27" s="1"/>
  <c r="AC260" i="27"/>
  <c r="AB260" i="27"/>
  <c r="U260" i="27"/>
  <c r="S260" i="27"/>
  <c r="P260" i="27"/>
  <c r="M260" i="27"/>
  <c r="I260" i="27"/>
  <c r="K260" i="27" s="1"/>
  <c r="L260" i="27" s="1"/>
  <c r="AC259" i="27"/>
  <c r="AB259" i="27"/>
  <c r="U259" i="27"/>
  <c r="S259" i="27"/>
  <c r="P259" i="27"/>
  <c r="M259" i="27"/>
  <c r="I259" i="27"/>
  <c r="K259" i="27" s="1"/>
  <c r="L259" i="27" s="1"/>
  <c r="AC258" i="27"/>
  <c r="AB258" i="27"/>
  <c r="U258" i="27"/>
  <c r="S258" i="27"/>
  <c r="P258" i="27"/>
  <c r="M258" i="27"/>
  <c r="I258" i="27"/>
  <c r="K258" i="27" s="1"/>
  <c r="L258" i="27" s="1"/>
  <c r="AC257" i="27"/>
  <c r="AB257" i="27"/>
  <c r="U257" i="27"/>
  <c r="S257" i="27"/>
  <c r="P257" i="27"/>
  <c r="M257" i="27"/>
  <c r="I257" i="27"/>
  <c r="K257" i="27" s="1"/>
  <c r="L257" i="27" s="1"/>
  <c r="AC256" i="27"/>
  <c r="AB256" i="27"/>
  <c r="U256" i="27"/>
  <c r="S256" i="27"/>
  <c r="P256" i="27"/>
  <c r="M256" i="27"/>
  <c r="I256" i="27"/>
  <c r="K256" i="27" s="1"/>
  <c r="L256" i="27" s="1"/>
  <c r="AC255" i="27"/>
  <c r="AB255" i="27"/>
  <c r="U255" i="27"/>
  <c r="S255" i="27"/>
  <c r="P255" i="27"/>
  <c r="M255" i="27"/>
  <c r="I255" i="27"/>
  <c r="K255" i="27" s="1"/>
  <c r="L255" i="27" s="1"/>
  <c r="AC254" i="27"/>
  <c r="AB254" i="27"/>
  <c r="U254" i="27"/>
  <c r="S254" i="27"/>
  <c r="P254" i="27"/>
  <c r="M254" i="27"/>
  <c r="I254" i="27"/>
  <c r="K254" i="27" s="1"/>
  <c r="L254" i="27" s="1"/>
  <c r="AC253" i="27"/>
  <c r="AB253" i="27"/>
  <c r="U253" i="27"/>
  <c r="S253" i="27"/>
  <c r="P253" i="27"/>
  <c r="M253" i="27"/>
  <c r="I253" i="27"/>
  <c r="K253" i="27" s="1"/>
  <c r="L253" i="27" s="1"/>
  <c r="AC252" i="27"/>
  <c r="AB252" i="27"/>
  <c r="U252" i="27"/>
  <c r="S252" i="27"/>
  <c r="P252" i="27"/>
  <c r="M252" i="27"/>
  <c r="I252" i="27"/>
  <c r="K252" i="27" s="1"/>
  <c r="L252" i="27" s="1"/>
  <c r="AC251" i="27"/>
  <c r="AB251" i="27"/>
  <c r="U251" i="27"/>
  <c r="S251" i="27"/>
  <c r="P251" i="27"/>
  <c r="M251" i="27"/>
  <c r="I251" i="27"/>
  <c r="K251" i="27" s="1"/>
  <c r="L251" i="27" s="1"/>
  <c r="AC250" i="27"/>
  <c r="AB250" i="27"/>
  <c r="U250" i="27"/>
  <c r="S250" i="27"/>
  <c r="P250" i="27"/>
  <c r="M250" i="27"/>
  <c r="I250" i="27"/>
  <c r="K250" i="27" s="1"/>
  <c r="L250" i="27" s="1"/>
  <c r="AC249" i="27"/>
  <c r="AB249" i="27"/>
  <c r="U249" i="27"/>
  <c r="S249" i="27"/>
  <c r="P249" i="27"/>
  <c r="M249" i="27"/>
  <c r="I249" i="27"/>
  <c r="K249" i="27" s="1"/>
  <c r="L249" i="27" s="1"/>
  <c r="AC248" i="27"/>
  <c r="AB248" i="27"/>
  <c r="U248" i="27"/>
  <c r="S248" i="27"/>
  <c r="P248" i="27"/>
  <c r="M248" i="27"/>
  <c r="I248" i="27"/>
  <c r="K248" i="27" s="1"/>
  <c r="L248" i="27" s="1"/>
  <c r="AC247" i="27"/>
  <c r="AB247" i="27"/>
  <c r="U247" i="27"/>
  <c r="S247" i="27"/>
  <c r="P247" i="27"/>
  <c r="M247" i="27"/>
  <c r="I247" i="27"/>
  <c r="K247" i="27" s="1"/>
  <c r="L247" i="27" s="1"/>
  <c r="AC246" i="27"/>
  <c r="AB246" i="27"/>
  <c r="U246" i="27"/>
  <c r="S246" i="27"/>
  <c r="P246" i="27"/>
  <c r="M246" i="27"/>
  <c r="I246" i="27"/>
  <c r="K246" i="27" s="1"/>
  <c r="L246" i="27" s="1"/>
  <c r="AC245" i="27"/>
  <c r="AB245" i="27"/>
  <c r="U245" i="27"/>
  <c r="S245" i="27"/>
  <c r="P245" i="27"/>
  <c r="M245" i="27"/>
  <c r="I245" i="27"/>
  <c r="K245" i="27" s="1"/>
  <c r="AC244" i="27"/>
  <c r="AB244" i="27"/>
  <c r="U244" i="27"/>
  <c r="S244" i="27"/>
  <c r="P244" i="27"/>
  <c r="M244" i="27"/>
  <c r="I244" i="27"/>
  <c r="K244" i="27" s="1"/>
  <c r="L244" i="27" s="1"/>
  <c r="AC243" i="27"/>
  <c r="AB243" i="27"/>
  <c r="U243" i="27"/>
  <c r="S243" i="27"/>
  <c r="P243" i="27"/>
  <c r="M243" i="27"/>
  <c r="I243" i="27"/>
  <c r="K243" i="27" s="1"/>
  <c r="L243" i="27" s="1"/>
  <c r="AC242" i="27"/>
  <c r="AB242" i="27"/>
  <c r="U242" i="27"/>
  <c r="S242" i="27"/>
  <c r="P242" i="27"/>
  <c r="M242" i="27"/>
  <c r="I242" i="27"/>
  <c r="K242" i="27" s="1"/>
  <c r="L242" i="27" s="1"/>
  <c r="AC241" i="27"/>
  <c r="AB241" i="27"/>
  <c r="U241" i="27"/>
  <c r="S241" i="27"/>
  <c r="P241" i="27"/>
  <c r="M241" i="27"/>
  <c r="I241" i="27"/>
  <c r="K241" i="27" s="1"/>
  <c r="AC240" i="27"/>
  <c r="AB240" i="27"/>
  <c r="U240" i="27"/>
  <c r="S240" i="27"/>
  <c r="P240" i="27"/>
  <c r="M240" i="27"/>
  <c r="I240" i="27"/>
  <c r="K240" i="27" s="1"/>
  <c r="L240" i="27" s="1"/>
  <c r="AC239" i="27"/>
  <c r="AB239" i="27"/>
  <c r="U239" i="27"/>
  <c r="S239" i="27"/>
  <c r="P239" i="27"/>
  <c r="M239" i="27"/>
  <c r="I239" i="27"/>
  <c r="K239" i="27" s="1"/>
  <c r="L239" i="27" s="1"/>
  <c r="AC238" i="27"/>
  <c r="AB238" i="27"/>
  <c r="U238" i="27"/>
  <c r="S238" i="27"/>
  <c r="P238" i="27"/>
  <c r="M238" i="27"/>
  <c r="I238" i="27"/>
  <c r="K238" i="27" s="1"/>
  <c r="L238" i="27" s="1"/>
  <c r="AC237" i="27"/>
  <c r="AB237" i="27"/>
  <c r="U237" i="27"/>
  <c r="S237" i="27"/>
  <c r="P237" i="27"/>
  <c r="M237" i="27"/>
  <c r="I237" i="27"/>
  <c r="K237" i="27" s="1"/>
  <c r="AC236" i="27"/>
  <c r="AB236" i="27"/>
  <c r="U236" i="27"/>
  <c r="S236" i="27"/>
  <c r="P236" i="27"/>
  <c r="M236" i="27"/>
  <c r="I236" i="27"/>
  <c r="K236" i="27" s="1"/>
  <c r="L236" i="27" s="1"/>
  <c r="AC235" i="27"/>
  <c r="AB235" i="27"/>
  <c r="U235" i="27"/>
  <c r="S235" i="27"/>
  <c r="P235" i="27"/>
  <c r="M235" i="27"/>
  <c r="I235" i="27"/>
  <c r="K235" i="27" s="1"/>
  <c r="L235" i="27" s="1"/>
  <c r="AC234" i="27"/>
  <c r="AB234" i="27"/>
  <c r="U234" i="27"/>
  <c r="S234" i="27"/>
  <c r="P234" i="27"/>
  <c r="M234" i="27"/>
  <c r="V234" i="27" s="1"/>
  <c r="I234" i="27"/>
  <c r="K234" i="27" s="1"/>
  <c r="L234" i="27" s="1"/>
  <c r="AC233" i="27"/>
  <c r="AB233" i="27"/>
  <c r="U233" i="27"/>
  <c r="S233" i="27"/>
  <c r="P233" i="27"/>
  <c r="M233" i="27"/>
  <c r="K233" i="27"/>
  <c r="I233" i="27"/>
  <c r="AC232" i="27"/>
  <c r="AB232" i="27"/>
  <c r="U232" i="27"/>
  <c r="S232" i="27"/>
  <c r="P232" i="27"/>
  <c r="M232" i="27"/>
  <c r="I232" i="27"/>
  <c r="K232" i="27" s="1"/>
  <c r="L232" i="27" s="1"/>
  <c r="AC231" i="27"/>
  <c r="AB231" i="27"/>
  <c r="U231" i="27"/>
  <c r="S231" i="27"/>
  <c r="P231" i="27"/>
  <c r="M231" i="27"/>
  <c r="I231" i="27"/>
  <c r="K231" i="27" s="1"/>
  <c r="L231" i="27" s="1"/>
  <c r="AC230" i="27"/>
  <c r="AB230" i="27"/>
  <c r="U230" i="27"/>
  <c r="S230" i="27"/>
  <c r="P230" i="27"/>
  <c r="M230" i="27"/>
  <c r="I230" i="27"/>
  <c r="K230" i="27" s="1"/>
  <c r="L230" i="27" s="1"/>
  <c r="AC229" i="27"/>
  <c r="AB229" i="27"/>
  <c r="U229" i="27"/>
  <c r="S229" i="27"/>
  <c r="P229" i="27"/>
  <c r="M229" i="27"/>
  <c r="I229" i="27"/>
  <c r="K229" i="27" s="1"/>
  <c r="AC228" i="27"/>
  <c r="AB228" i="27"/>
  <c r="U228" i="27"/>
  <c r="S228" i="27"/>
  <c r="P228" i="27"/>
  <c r="M228" i="27"/>
  <c r="I228" i="27"/>
  <c r="K228" i="27" s="1"/>
  <c r="L228" i="27" s="1"/>
  <c r="AC227" i="27"/>
  <c r="AB227" i="27"/>
  <c r="U227" i="27"/>
  <c r="S227" i="27"/>
  <c r="P227" i="27"/>
  <c r="M227" i="27"/>
  <c r="I227" i="27"/>
  <c r="K227" i="27" s="1"/>
  <c r="L227" i="27" s="1"/>
  <c r="AC226" i="27"/>
  <c r="AB226" i="27"/>
  <c r="U226" i="27"/>
  <c r="S226" i="27"/>
  <c r="P226" i="27"/>
  <c r="M226" i="27"/>
  <c r="J226" i="27"/>
  <c r="I226" i="27"/>
  <c r="AC225" i="27"/>
  <c r="AB225" i="27"/>
  <c r="U225" i="27"/>
  <c r="S225" i="27"/>
  <c r="P225" i="27"/>
  <c r="M225" i="27"/>
  <c r="I225" i="27"/>
  <c r="K225" i="27" s="1"/>
  <c r="L225" i="27" s="1"/>
  <c r="AC224" i="27"/>
  <c r="AB224" i="27"/>
  <c r="U224" i="27"/>
  <c r="S224" i="27"/>
  <c r="P224" i="27"/>
  <c r="M224" i="27"/>
  <c r="I224" i="27"/>
  <c r="K224" i="27" s="1"/>
  <c r="AC223" i="27"/>
  <c r="AB223" i="27"/>
  <c r="U223" i="27"/>
  <c r="S223" i="27"/>
  <c r="P223" i="27"/>
  <c r="M223" i="27"/>
  <c r="I223" i="27"/>
  <c r="K223" i="27" s="1"/>
  <c r="L223" i="27" s="1"/>
  <c r="AC222" i="27"/>
  <c r="AB222" i="27"/>
  <c r="U222" i="27"/>
  <c r="S222" i="27"/>
  <c r="P222" i="27"/>
  <c r="M222" i="27"/>
  <c r="I222" i="27"/>
  <c r="K222" i="27" s="1"/>
  <c r="L222" i="27" s="1"/>
  <c r="AC221" i="27"/>
  <c r="AB221" i="27"/>
  <c r="U221" i="27"/>
  <c r="S221" i="27"/>
  <c r="P221" i="27"/>
  <c r="M221" i="27"/>
  <c r="I221" i="27"/>
  <c r="K221" i="27" s="1"/>
  <c r="L221" i="27" s="1"/>
  <c r="AC220" i="27"/>
  <c r="AB220" i="27"/>
  <c r="U220" i="27"/>
  <c r="S220" i="27"/>
  <c r="P220" i="27"/>
  <c r="M220" i="27"/>
  <c r="I220" i="27"/>
  <c r="K220" i="27" s="1"/>
  <c r="AC219" i="27"/>
  <c r="AB219" i="27"/>
  <c r="U219" i="27"/>
  <c r="S219" i="27"/>
  <c r="P219" i="27"/>
  <c r="M219" i="27"/>
  <c r="I219" i="27"/>
  <c r="K219" i="27" s="1"/>
  <c r="L219" i="27" s="1"/>
  <c r="AC218" i="27"/>
  <c r="AB218" i="27"/>
  <c r="U218" i="27"/>
  <c r="S218" i="27"/>
  <c r="P218" i="27"/>
  <c r="M218" i="27"/>
  <c r="I218" i="27"/>
  <c r="K218" i="27" s="1"/>
  <c r="L218" i="27" s="1"/>
  <c r="AC217" i="27"/>
  <c r="AB217" i="27"/>
  <c r="U217" i="27"/>
  <c r="S217" i="27"/>
  <c r="P217" i="27"/>
  <c r="M217" i="27"/>
  <c r="I217" i="27"/>
  <c r="K217" i="27" s="1"/>
  <c r="L217" i="27" s="1"/>
  <c r="AC216" i="27"/>
  <c r="AB216" i="27"/>
  <c r="U216" i="27"/>
  <c r="S216" i="27"/>
  <c r="P216" i="27"/>
  <c r="M216" i="27"/>
  <c r="I216" i="27"/>
  <c r="K216" i="27" s="1"/>
  <c r="L216" i="27" s="1"/>
  <c r="AC215" i="27"/>
  <c r="AB215" i="27"/>
  <c r="U215" i="27"/>
  <c r="S215" i="27"/>
  <c r="P215" i="27"/>
  <c r="M215" i="27"/>
  <c r="I215" i="27"/>
  <c r="K215" i="27" s="1"/>
  <c r="L215" i="27" s="1"/>
  <c r="AC214" i="27"/>
  <c r="AB214" i="27"/>
  <c r="U214" i="27"/>
  <c r="S214" i="27"/>
  <c r="P214" i="27"/>
  <c r="M214" i="27"/>
  <c r="I214" i="27"/>
  <c r="K214" i="27" s="1"/>
  <c r="L214" i="27" s="1"/>
  <c r="AC213" i="27"/>
  <c r="AB213" i="27"/>
  <c r="U213" i="27"/>
  <c r="S213" i="27"/>
  <c r="P213" i="27"/>
  <c r="M213" i="27"/>
  <c r="I213" i="27"/>
  <c r="K213" i="27" s="1"/>
  <c r="L213" i="27" s="1"/>
  <c r="AC212" i="27"/>
  <c r="AB212" i="27"/>
  <c r="U212" i="27"/>
  <c r="S212" i="27"/>
  <c r="P212" i="27"/>
  <c r="M212" i="27"/>
  <c r="I212" i="27"/>
  <c r="K212" i="27" s="1"/>
  <c r="L212" i="27" s="1"/>
  <c r="AC211" i="27"/>
  <c r="AB211" i="27"/>
  <c r="U211" i="27"/>
  <c r="S211" i="27"/>
  <c r="P211" i="27"/>
  <c r="M211" i="27"/>
  <c r="I211" i="27"/>
  <c r="K211" i="27" s="1"/>
  <c r="L211" i="27" s="1"/>
  <c r="AC210" i="27"/>
  <c r="AB210" i="27"/>
  <c r="U210" i="27"/>
  <c r="S210" i="27"/>
  <c r="P210" i="27"/>
  <c r="M210" i="27"/>
  <c r="I210" i="27"/>
  <c r="K210" i="27" s="1"/>
  <c r="L210" i="27" s="1"/>
  <c r="AC209" i="27"/>
  <c r="AB209" i="27"/>
  <c r="U209" i="27"/>
  <c r="S209" i="27"/>
  <c r="P209" i="27"/>
  <c r="M209" i="27"/>
  <c r="I209" i="27"/>
  <c r="K209" i="27" s="1"/>
  <c r="L209" i="27" s="1"/>
  <c r="AC208" i="27"/>
  <c r="AB208" i="27"/>
  <c r="U208" i="27"/>
  <c r="S208" i="27"/>
  <c r="P208" i="27"/>
  <c r="M208" i="27"/>
  <c r="I208" i="27"/>
  <c r="K208" i="27" s="1"/>
  <c r="L208" i="27" s="1"/>
  <c r="AC207" i="27"/>
  <c r="AB207" i="27"/>
  <c r="U207" i="27"/>
  <c r="S207" i="27"/>
  <c r="P207" i="27"/>
  <c r="M207" i="27"/>
  <c r="I207" i="27"/>
  <c r="K207" i="27" s="1"/>
  <c r="L207" i="27" s="1"/>
  <c r="AC206" i="27"/>
  <c r="AB206" i="27"/>
  <c r="U206" i="27"/>
  <c r="S206" i="27"/>
  <c r="P206" i="27"/>
  <c r="M206" i="27"/>
  <c r="I206" i="27"/>
  <c r="K206" i="27" s="1"/>
  <c r="L206" i="27" s="1"/>
  <c r="AC205" i="27"/>
  <c r="AB205" i="27"/>
  <c r="U205" i="27"/>
  <c r="S205" i="27"/>
  <c r="P205" i="27"/>
  <c r="M205" i="27"/>
  <c r="I205" i="27"/>
  <c r="K205" i="27" s="1"/>
  <c r="L205" i="27" s="1"/>
  <c r="AC204" i="27"/>
  <c r="AB204" i="27"/>
  <c r="U204" i="27"/>
  <c r="S204" i="27"/>
  <c r="P204" i="27"/>
  <c r="M204" i="27"/>
  <c r="I204" i="27"/>
  <c r="K204" i="27" s="1"/>
  <c r="AC203" i="27"/>
  <c r="AB203" i="27"/>
  <c r="U203" i="27"/>
  <c r="S203" i="27"/>
  <c r="P203" i="27"/>
  <c r="M203" i="27"/>
  <c r="I203" i="27"/>
  <c r="K203" i="27" s="1"/>
  <c r="L203" i="27" s="1"/>
  <c r="AC202" i="27"/>
  <c r="AB202" i="27"/>
  <c r="U202" i="27"/>
  <c r="S202" i="27"/>
  <c r="P202" i="27"/>
  <c r="M202" i="27"/>
  <c r="I202" i="27"/>
  <c r="K202" i="27" s="1"/>
  <c r="L202" i="27" s="1"/>
  <c r="AC201" i="27"/>
  <c r="AB201" i="27"/>
  <c r="U201" i="27"/>
  <c r="S201" i="27"/>
  <c r="P201" i="27"/>
  <c r="M201" i="27"/>
  <c r="J201" i="27"/>
  <c r="I201" i="27"/>
  <c r="AC200" i="27"/>
  <c r="AB200" i="27"/>
  <c r="U200" i="27"/>
  <c r="S200" i="27"/>
  <c r="P200" i="27"/>
  <c r="M200" i="27"/>
  <c r="I200" i="27"/>
  <c r="K200" i="27" s="1"/>
  <c r="L200" i="27" s="1"/>
  <c r="AC199" i="27"/>
  <c r="AB199" i="27"/>
  <c r="U199" i="27"/>
  <c r="S199" i="27"/>
  <c r="P199" i="27"/>
  <c r="M199" i="27"/>
  <c r="I199" i="27"/>
  <c r="K199" i="27" s="1"/>
  <c r="L199" i="27" s="1"/>
  <c r="AC198" i="27"/>
  <c r="AB198" i="27"/>
  <c r="U198" i="27"/>
  <c r="S198" i="27"/>
  <c r="P198" i="27"/>
  <c r="M198" i="27"/>
  <c r="I198" i="27"/>
  <c r="K198" i="27" s="1"/>
  <c r="L198" i="27" s="1"/>
  <c r="AC197" i="27"/>
  <c r="AB197" i="27"/>
  <c r="U197" i="27"/>
  <c r="S197" i="27"/>
  <c r="P197" i="27"/>
  <c r="M197" i="27"/>
  <c r="I197" i="27"/>
  <c r="K197" i="27" s="1"/>
  <c r="L197" i="27" s="1"/>
  <c r="AC196" i="27"/>
  <c r="AB196" i="27"/>
  <c r="U196" i="27"/>
  <c r="S196" i="27"/>
  <c r="P196" i="27"/>
  <c r="M196" i="27"/>
  <c r="I196" i="27"/>
  <c r="K196" i="27" s="1"/>
  <c r="L196" i="27" s="1"/>
  <c r="AC195" i="27"/>
  <c r="AB195" i="27"/>
  <c r="U195" i="27"/>
  <c r="S195" i="27"/>
  <c r="P195" i="27"/>
  <c r="M195" i="27"/>
  <c r="I195" i="27"/>
  <c r="K195" i="27" s="1"/>
  <c r="L195" i="27" s="1"/>
  <c r="AC194" i="27"/>
  <c r="AB194" i="27"/>
  <c r="U194" i="27"/>
  <c r="S194" i="27"/>
  <c r="P194" i="27"/>
  <c r="M194" i="27"/>
  <c r="I194" i="27"/>
  <c r="K194" i="27" s="1"/>
  <c r="L194" i="27" s="1"/>
  <c r="AF193" i="27"/>
  <c r="AC193" i="27"/>
  <c r="AB193" i="27"/>
  <c r="U193" i="27"/>
  <c r="S193" i="27"/>
  <c r="P193" i="27"/>
  <c r="M193" i="27"/>
  <c r="I193" i="27"/>
  <c r="K193" i="27" s="1"/>
  <c r="L193" i="27" s="1"/>
  <c r="AC192" i="27"/>
  <c r="AB192" i="27"/>
  <c r="U192" i="27"/>
  <c r="S192" i="27"/>
  <c r="P192" i="27"/>
  <c r="M192" i="27"/>
  <c r="I192" i="27"/>
  <c r="K192" i="27" s="1"/>
  <c r="L192" i="27" s="1"/>
  <c r="AC191" i="27"/>
  <c r="AB191" i="27"/>
  <c r="U191" i="27"/>
  <c r="S191" i="27"/>
  <c r="P191" i="27"/>
  <c r="M191" i="27"/>
  <c r="I191" i="27"/>
  <c r="K191" i="27" s="1"/>
  <c r="L191" i="27" s="1"/>
  <c r="AC190" i="27"/>
  <c r="AB190" i="27"/>
  <c r="U190" i="27"/>
  <c r="S190" i="27"/>
  <c r="P190" i="27"/>
  <c r="M190" i="27"/>
  <c r="I190" i="27"/>
  <c r="K190" i="27" s="1"/>
  <c r="L190" i="27" s="1"/>
  <c r="AC189" i="27"/>
  <c r="AB189" i="27"/>
  <c r="U189" i="27"/>
  <c r="S189" i="27"/>
  <c r="P189" i="27"/>
  <c r="M189" i="27"/>
  <c r="I189" i="27"/>
  <c r="K189" i="27" s="1"/>
  <c r="L189" i="27" s="1"/>
  <c r="AC188" i="27"/>
  <c r="AB188" i="27"/>
  <c r="U188" i="27"/>
  <c r="S188" i="27"/>
  <c r="P188" i="27"/>
  <c r="M188" i="27"/>
  <c r="I188" i="27"/>
  <c r="K188" i="27" s="1"/>
  <c r="L188" i="27" s="1"/>
  <c r="AC187" i="27"/>
  <c r="AB187" i="27"/>
  <c r="U187" i="27"/>
  <c r="S187" i="27"/>
  <c r="P187" i="27"/>
  <c r="M187" i="27"/>
  <c r="I187" i="27"/>
  <c r="K187" i="27" s="1"/>
  <c r="L187" i="27" s="1"/>
  <c r="AC186" i="27"/>
  <c r="AB186" i="27"/>
  <c r="U186" i="27"/>
  <c r="S186" i="27"/>
  <c r="P186" i="27"/>
  <c r="M186" i="27"/>
  <c r="I186" i="27"/>
  <c r="K186" i="27" s="1"/>
  <c r="L186" i="27" s="1"/>
  <c r="AC185" i="27"/>
  <c r="AB185" i="27"/>
  <c r="U185" i="27"/>
  <c r="S185" i="27"/>
  <c r="P185" i="27"/>
  <c r="M185" i="27"/>
  <c r="I185" i="27"/>
  <c r="K185" i="27" s="1"/>
  <c r="L185" i="27" s="1"/>
  <c r="AC184" i="27"/>
  <c r="AB184" i="27"/>
  <c r="U184" i="27"/>
  <c r="S184" i="27"/>
  <c r="P184" i="27"/>
  <c r="M184" i="27"/>
  <c r="I184" i="27"/>
  <c r="K184" i="27" s="1"/>
  <c r="L184" i="27" s="1"/>
  <c r="AC183" i="27"/>
  <c r="AB183" i="27"/>
  <c r="U183" i="27"/>
  <c r="S183" i="27"/>
  <c r="P183" i="27"/>
  <c r="M183" i="27"/>
  <c r="I183" i="27"/>
  <c r="K183" i="27" s="1"/>
  <c r="L183" i="27" s="1"/>
  <c r="AC182" i="27"/>
  <c r="AB182" i="27"/>
  <c r="U182" i="27"/>
  <c r="S182" i="27"/>
  <c r="P182" i="27"/>
  <c r="M182" i="27"/>
  <c r="I182" i="27"/>
  <c r="K182" i="27" s="1"/>
  <c r="L182" i="27" s="1"/>
  <c r="AC181" i="27"/>
  <c r="AB181" i="27"/>
  <c r="U181" i="27"/>
  <c r="S181" i="27"/>
  <c r="P181" i="27"/>
  <c r="M181" i="27"/>
  <c r="I181" i="27"/>
  <c r="K181" i="27" s="1"/>
  <c r="L181" i="27" s="1"/>
  <c r="AC180" i="27"/>
  <c r="AB180" i="27"/>
  <c r="U180" i="27"/>
  <c r="S180" i="27"/>
  <c r="P180" i="27"/>
  <c r="M180" i="27"/>
  <c r="I180" i="27"/>
  <c r="K180" i="27" s="1"/>
  <c r="L180" i="27" s="1"/>
  <c r="AC179" i="27"/>
  <c r="U179" i="27"/>
  <c r="S179" i="27"/>
  <c r="P179" i="27"/>
  <c r="M179" i="27"/>
  <c r="I179" i="27"/>
  <c r="K179" i="27" s="1"/>
  <c r="AC178" i="27"/>
  <c r="AB178" i="27"/>
  <c r="U178" i="27"/>
  <c r="S178" i="27"/>
  <c r="P178" i="27"/>
  <c r="M178" i="27"/>
  <c r="I178" i="27"/>
  <c r="K178" i="27" s="1"/>
  <c r="L178" i="27" s="1"/>
  <c r="AC177" i="27"/>
  <c r="AB177" i="27"/>
  <c r="U177" i="27"/>
  <c r="S177" i="27"/>
  <c r="P177" i="27"/>
  <c r="M177" i="27"/>
  <c r="I177" i="27"/>
  <c r="K177" i="27" s="1"/>
  <c r="L177" i="27" s="1"/>
  <c r="AC176" i="27"/>
  <c r="AB176" i="27"/>
  <c r="U176" i="27"/>
  <c r="S176" i="27"/>
  <c r="P176" i="27"/>
  <c r="M176" i="27"/>
  <c r="I176" i="27"/>
  <c r="K176" i="27" s="1"/>
  <c r="L176" i="27" s="1"/>
  <c r="AC175" i="27"/>
  <c r="AB175" i="27"/>
  <c r="U175" i="27"/>
  <c r="S175" i="27"/>
  <c r="P175" i="27"/>
  <c r="M175" i="27"/>
  <c r="I175" i="27"/>
  <c r="K175" i="27" s="1"/>
  <c r="AC174" i="27"/>
  <c r="AB174" i="27"/>
  <c r="U174" i="27"/>
  <c r="S174" i="27"/>
  <c r="P174" i="27"/>
  <c r="M174" i="27"/>
  <c r="I174" i="27"/>
  <c r="K174" i="27" s="1"/>
  <c r="AC173" i="27"/>
  <c r="AB173" i="27"/>
  <c r="U173" i="27"/>
  <c r="S173" i="27"/>
  <c r="P173" i="27"/>
  <c r="M173" i="27"/>
  <c r="I173" i="27"/>
  <c r="K173" i="27" s="1"/>
  <c r="L173" i="27" s="1"/>
  <c r="AC172" i="27"/>
  <c r="AB172" i="27"/>
  <c r="U172" i="27"/>
  <c r="S172" i="27"/>
  <c r="P172" i="27"/>
  <c r="M172" i="27"/>
  <c r="I172" i="27"/>
  <c r="K172" i="27" s="1"/>
  <c r="L172" i="27" s="1"/>
  <c r="AC171" i="27"/>
  <c r="AB171" i="27"/>
  <c r="U171" i="27"/>
  <c r="S171" i="27"/>
  <c r="P171" i="27"/>
  <c r="M171" i="27"/>
  <c r="I171" i="27"/>
  <c r="K171" i="27" s="1"/>
  <c r="L171" i="27" s="1"/>
  <c r="AC170" i="27"/>
  <c r="AB170" i="27"/>
  <c r="U170" i="27"/>
  <c r="S170" i="27"/>
  <c r="P170" i="27"/>
  <c r="M170" i="27"/>
  <c r="N170" i="27" s="1"/>
  <c r="I170" i="27"/>
  <c r="K170" i="27" s="1"/>
  <c r="L170" i="27" s="1"/>
  <c r="AC169" i="27"/>
  <c r="AB169" i="27"/>
  <c r="U169" i="27"/>
  <c r="S169" i="27"/>
  <c r="P169" i="27"/>
  <c r="M169" i="27"/>
  <c r="I169" i="27"/>
  <c r="K169" i="27" s="1"/>
  <c r="L169" i="27" s="1"/>
  <c r="AC168" i="27"/>
  <c r="AB168" i="27"/>
  <c r="U168" i="27"/>
  <c r="S168" i="27"/>
  <c r="P168" i="27"/>
  <c r="M168" i="27"/>
  <c r="I168" i="27"/>
  <c r="K168" i="27" s="1"/>
  <c r="L168" i="27" s="1"/>
  <c r="AC167" i="27"/>
  <c r="AB167" i="27"/>
  <c r="U167" i="27"/>
  <c r="S167" i="27"/>
  <c r="P167" i="27"/>
  <c r="M167" i="27"/>
  <c r="I167" i="27"/>
  <c r="K167" i="27" s="1"/>
  <c r="L167" i="27" s="1"/>
  <c r="AC166" i="27"/>
  <c r="AB166" i="27"/>
  <c r="U166" i="27"/>
  <c r="S166" i="27"/>
  <c r="P166" i="27"/>
  <c r="M166" i="27"/>
  <c r="I166" i="27"/>
  <c r="K166" i="27" s="1"/>
  <c r="L166" i="27" s="1"/>
  <c r="AC165" i="27"/>
  <c r="AB165" i="27"/>
  <c r="U165" i="27"/>
  <c r="S165" i="27"/>
  <c r="P165" i="27"/>
  <c r="M165" i="27"/>
  <c r="I165" i="27"/>
  <c r="K165" i="27" s="1"/>
  <c r="L165" i="27" s="1"/>
  <c r="AC164" i="27"/>
  <c r="AB164" i="27"/>
  <c r="U164" i="27"/>
  <c r="S164" i="27"/>
  <c r="P164" i="27"/>
  <c r="M164" i="27"/>
  <c r="I164" i="27"/>
  <c r="K164" i="27" s="1"/>
  <c r="L164" i="27" s="1"/>
  <c r="AC163" i="27"/>
  <c r="AB163" i="27"/>
  <c r="U163" i="27"/>
  <c r="S163" i="27"/>
  <c r="P163" i="27"/>
  <c r="M163" i="27"/>
  <c r="I163" i="27"/>
  <c r="K163" i="27" s="1"/>
  <c r="L163" i="27" s="1"/>
  <c r="AC162" i="27"/>
  <c r="AB162" i="27"/>
  <c r="U162" i="27"/>
  <c r="S162" i="27"/>
  <c r="P162" i="27"/>
  <c r="M162" i="27"/>
  <c r="I162" i="27"/>
  <c r="K162" i="27" s="1"/>
  <c r="L162" i="27" s="1"/>
  <c r="AC161" i="27"/>
  <c r="AB161" i="27"/>
  <c r="U161" i="27"/>
  <c r="S161" i="27"/>
  <c r="P161" i="27"/>
  <c r="M161" i="27"/>
  <c r="I161" i="27"/>
  <c r="K161" i="27" s="1"/>
  <c r="L161" i="27" s="1"/>
  <c r="AC160" i="27"/>
  <c r="AB160" i="27"/>
  <c r="U160" i="27"/>
  <c r="S160" i="27"/>
  <c r="P160" i="27"/>
  <c r="M160" i="27"/>
  <c r="I160" i="27"/>
  <c r="K160" i="27" s="1"/>
  <c r="L160" i="27" s="1"/>
  <c r="AC159" i="27"/>
  <c r="AB159" i="27"/>
  <c r="U159" i="27"/>
  <c r="S159" i="27"/>
  <c r="P159" i="27"/>
  <c r="M159" i="27"/>
  <c r="I159" i="27"/>
  <c r="K159" i="27" s="1"/>
  <c r="L159" i="27" s="1"/>
  <c r="AC158" i="27"/>
  <c r="AB158" i="27"/>
  <c r="U158" i="27"/>
  <c r="S158" i="27"/>
  <c r="P158" i="27"/>
  <c r="M158" i="27"/>
  <c r="V158" i="27" s="1"/>
  <c r="I158" i="27"/>
  <c r="K158" i="27" s="1"/>
  <c r="L158" i="27" s="1"/>
  <c r="AC157" i="27"/>
  <c r="AB157" i="27"/>
  <c r="U157" i="27"/>
  <c r="S157" i="27"/>
  <c r="P157" i="27"/>
  <c r="M157" i="27"/>
  <c r="I157" i="27"/>
  <c r="K157" i="27" s="1"/>
  <c r="L157" i="27" s="1"/>
  <c r="AC156" i="27"/>
  <c r="AB156" i="27"/>
  <c r="U156" i="27"/>
  <c r="S156" i="27"/>
  <c r="P156" i="27"/>
  <c r="M156" i="27"/>
  <c r="I156" i="27"/>
  <c r="K156" i="27" s="1"/>
  <c r="L156" i="27" s="1"/>
  <c r="AC155" i="27"/>
  <c r="AB155" i="27"/>
  <c r="U155" i="27"/>
  <c r="S155" i="27"/>
  <c r="P155" i="27"/>
  <c r="M155" i="27"/>
  <c r="I155" i="27"/>
  <c r="K155" i="27" s="1"/>
  <c r="L155" i="27" s="1"/>
  <c r="AC154" i="27"/>
  <c r="AB154" i="27"/>
  <c r="U154" i="27"/>
  <c r="S154" i="27"/>
  <c r="P154" i="27"/>
  <c r="M154" i="27"/>
  <c r="I154" i="27"/>
  <c r="K154" i="27" s="1"/>
  <c r="AC153" i="27"/>
  <c r="AB153" i="27"/>
  <c r="U153" i="27"/>
  <c r="S153" i="27"/>
  <c r="P153" i="27"/>
  <c r="M153" i="27"/>
  <c r="I153" i="27"/>
  <c r="K153" i="27" s="1"/>
  <c r="L153" i="27" s="1"/>
  <c r="AC152" i="27"/>
  <c r="AB152" i="27"/>
  <c r="U152" i="27"/>
  <c r="S152" i="27"/>
  <c r="P152" i="27"/>
  <c r="M152" i="27"/>
  <c r="I152" i="27"/>
  <c r="K152" i="27" s="1"/>
  <c r="L152" i="27" s="1"/>
  <c r="AC151" i="27"/>
  <c r="AB151" i="27"/>
  <c r="U151" i="27"/>
  <c r="S151" i="27"/>
  <c r="P151" i="27"/>
  <c r="M151" i="27"/>
  <c r="I151" i="27"/>
  <c r="K151" i="27" s="1"/>
  <c r="L151" i="27" s="1"/>
  <c r="AC150" i="27"/>
  <c r="AB150" i="27"/>
  <c r="U150" i="27"/>
  <c r="S150" i="27"/>
  <c r="P150" i="27"/>
  <c r="M150" i="27"/>
  <c r="I150" i="27"/>
  <c r="K150" i="27" s="1"/>
  <c r="AC149" i="27"/>
  <c r="AB149" i="27"/>
  <c r="U149" i="27"/>
  <c r="S149" i="27"/>
  <c r="P149" i="27"/>
  <c r="M149" i="27"/>
  <c r="I149" i="27"/>
  <c r="K149" i="27" s="1"/>
  <c r="L149" i="27" s="1"/>
  <c r="AC148" i="27"/>
  <c r="AB148" i="27"/>
  <c r="U148" i="27"/>
  <c r="S148" i="27"/>
  <c r="P148" i="27"/>
  <c r="M148" i="27"/>
  <c r="I148" i="27"/>
  <c r="K148" i="27" s="1"/>
  <c r="L148" i="27" s="1"/>
  <c r="AC147" i="27"/>
  <c r="AB147" i="27"/>
  <c r="U147" i="27"/>
  <c r="S147" i="27"/>
  <c r="P147" i="27"/>
  <c r="M147" i="27"/>
  <c r="I147" i="27"/>
  <c r="K147" i="27" s="1"/>
  <c r="L147" i="27" s="1"/>
  <c r="AC146" i="27"/>
  <c r="AB146" i="27"/>
  <c r="U146" i="27"/>
  <c r="S146" i="27"/>
  <c r="P146" i="27"/>
  <c r="M146" i="27"/>
  <c r="I146" i="27"/>
  <c r="K146" i="27" s="1"/>
  <c r="AC145" i="27"/>
  <c r="AB145" i="27"/>
  <c r="U145" i="27"/>
  <c r="S145" i="27"/>
  <c r="P145" i="27"/>
  <c r="M145" i="27"/>
  <c r="I145" i="27"/>
  <c r="K145" i="27" s="1"/>
  <c r="L145" i="27" s="1"/>
  <c r="AC144" i="27"/>
  <c r="AB144" i="27"/>
  <c r="U144" i="27"/>
  <c r="S144" i="27"/>
  <c r="P144" i="27"/>
  <c r="M144" i="27"/>
  <c r="I144" i="27"/>
  <c r="K144" i="27" s="1"/>
  <c r="L144" i="27" s="1"/>
  <c r="AC143" i="27"/>
  <c r="AB143" i="27"/>
  <c r="U143" i="27"/>
  <c r="S143" i="27"/>
  <c r="P143" i="27"/>
  <c r="M143" i="27"/>
  <c r="I143" i="27"/>
  <c r="K143" i="27" s="1"/>
  <c r="L143" i="27" s="1"/>
  <c r="AC142" i="27"/>
  <c r="AB142" i="27"/>
  <c r="U142" i="27"/>
  <c r="S142" i="27"/>
  <c r="P142" i="27"/>
  <c r="M142" i="27"/>
  <c r="J142" i="27"/>
  <c r="I142" i="27"/>
  <c r="AC141" i="27"/>
  <c r="AB141" i="27"/>
  <c r="U141" i="27"/>
  <c r="S141" i="27"/>
  <c r="P141" i="27"/>
  <c r="M141" i="27"/>
  <c r="I141" i="27"/>
  <c r="K141" i="27" s="1"/>
  <c r="AC140" i="27"/>
  <c r="AB140" i="27"/>
  <c r="U140" i="27"/>
  <c r="S140" i="27"/>
  <c r="P140" i="27"/>
  <c r="M140" i="27"/>
  <c r="I140" i="27"/>
  <c r="K140" i="27" s="1"/>
  <c r="L140" i="27" s="1"/>
  <c r="AC139" i="27"/>
  <c r="AB139" i="27"/>
  <c r="U139" i="27"/>
  <c r="S139" i="27"/>
  <c r="P139" i="27"/>
  <c r="M139" i="27"/>
  <c r="I139" i="27"/>
  <c r="K139" i="27" s="1"/>
  <c r="L139" i="27" s="1"/>
  <c r="AC138" i="27"/>
  <c r="AB138" i="27"/>
  <c r="U138" i="27"/>
  <c r="S138" i="27"/>
  <c r="P138" i="27"/>
  <c r="M138" i="27"/>
  <c r="I138" i="27"/>
  <c r="K138" i="27" s="1"/>
  <c r="L138" i="27" s="1"/>
  <c r="AC137" i="27"/>
  <c r="AB137" i="27"/>
  <c r="U137" i="27"/>
  <c r="S137" i="27"/>
  <c r="P137" i="27"/>
  <c r="M137" i="27"/>
  <c r="I137" i="27"/>
  <c r="K137" i="27" s="1"/>
  <c r="L137" i="27" s="1"/>
  <c r="AC136" i="27"/>
  <c r="AB136" i="27"/>
  <c r="U136" i="27"/>
  <c r="S136" i="27"/>
  <c r="P136" i="27"/>
  <c r="M136" i="27"/>
  <c r="I136" i="27"/>
  <c r="K136" i="27" s="1"/>
  <c r="L136" i="27" s="1"/>
  <c r="AC135" i="27"/>
  <c r="AB135" i="27"/>
  <c r="U135" i="27"/>
  <c r="S135" i="27"/>
  <c r="P135" i="27"/>
  <c r="M135" i="27"/>
  <c r="I135" i="27"/>
  <c r="K135" i="27" s="1"/>
  <c r="L135" i="27" s="1"/>
  <c r="AC134" i="27"/>
  <c r="AB134" i="27"/>
  <c r="U134" i="27"/>
  <c r="S134" i="27"/>
  <c r="P134" i="27"/>
  <c r="M134" i="27"/>
  <c r="I134" i="27"/>
  <c r="K134" i="27" s="1"/>
  <c r="L134" i="27" s="1"/>
  <c r="AC133" i="27"/>
  <c r="AB133" i="27"/>
  <c r="U133" i="27"/>
  <c r="S133" i="27"/>
  <c r="P133" i="27"/>
  <c r="M133" i="27"/>
  <c r="I133" i="27"/>
  <c r="K133" i="27" s="1"/>
  <c r="L133" i="27" s="1"/>
  <c r="AC132" i="27"/>
  <c r="AB132" i="27"/>
  <c r="U132" i="27"/>
  <c r="S132" i="27"/>
  <c r="P132" i="27"/>
  <c r="M132" i="27"/>
  <c r="I132" i="27"/>
  <c r="K132" i="27" s="1"/>
  <c r="L132" i="27" s="1"/>
  <c r="AC131" i="27"/>
  <c r="AB131" i="27"/>
  <c r="U131" i="27"/>
  <c r="S131" i="27"/>
  <c r="P131" i="27"/>
  <c r="M131" i="27"/>
  <c r="I131" i="27"/>
  <c r="K131" i="27" s="1"/>
  <c r="L131" i="27" s="1"/>
  <c r="AC130" i="27"/>
  <c r="AB130" i="27"/>
  <c r="U130" i="27"/>
  <c r="S130" i="27"/>
  <c r="P130" i="27"/>
  <c r="M130" i="27"/>
  <c r="I130" i="27"/>
  <c r="K130" i="27" s="1"/>
  <c r="L130" i="27" s="1"/>
  <c r="AC129" i="27"/>
  <c r="AB129" i="27"/>
  <c r="U129" i="27"/>
  <c r="S129" i="27"/>
  <c r="P129" i="27"/>
  <c r="M129" i="27"/>
  <c r="I129" i="27"/>
  <c r="K129" i="27" s="1"/>
  <c r="L129" i="27" s="1"/>
  <c r="AC128" i="27"/>
  <c r="AB128" i="27"/>
  <c r="U128" i="27"/>
  <c r="S128" i="27"/>
  <c r="P128" i="27"/>
  <c r="M128" i="27"/>
  <c r="I128" i="27"/>
  <c r="K128" i="27" s="1"/>
  <c r="AC127" i="27"/>
  <c r="AB127" i="27"/>
  <c r="U127" i="27"/>
  <c r="S127" i="27"/>
  <c r="P127" i="27"/>
  <c r="M127" i="27"/>
  <c r="I127" i="27"/>
  <c r="K127" i="27" s="1"/>
  <c r="L127" i="27" s="1"/>
  <c r="AC126" i="27"/>
  <c r="AB126" i="27"/>
  <c r="U126" i="27"/>
  <c r="S126" i="27"/>
  <c r="P126" i="27"/>
  <c r="M126" i="27"/>
  <c r="I126" i="27"/>
  <c r="K126" i="27" s="1"/>
  <c r="L126" i="27" s="1"/>
  <c r="AC125" i="27"/>
  <c r="AB125" i="27"/>
  <c r="U125" i="27"/>
  <c r="S125" i="27"/>
  <c r="P125" i="27"/>
  <c r="M125" i="27"/>
  <c r="I125" i="27"/>
  <c r="K125" i="27" s="1"/>
  <c r="L125" i="27" s="1"/>
  <c r="AC124" i="27"/>
  <c r="AB124" i="27"/>
  <c r="U124" i="27"/>
  <c r="S124" i="27"/>
  <c r="P124" i="27"/>
  <c r="M124" i="27"/>
  <c r="I124" i="27"/>
  <c r="K124" i="27" s="1"/>
  <c r="AB123" i="27"/>
  <c r="U123" i="27"/>
  <c r="S123" i="27"/>
  <c r="P123" i="27"/>
  <c r="M123" i="27"/>
  <c r="I123" i="27"/>
  <c r="K123" i="27" s="1"/>
  <c r="L123" i="27" s="1"/>
  <c r="AC122" i="27"/>
  <c r="AB122" i="27"/>
  <c r="U122" i="27"/>
  <c r="S122" i="27"/>
  <c r="P122" i="27"/>
  <c r="M122" i="27"/>
  <c r="I122" i="27"/>
  <c r="K122" i="27" s="1"/>
  <c r="L122" i="27" s="1"/>
  <c r="AC121" i="27"/>
  <c r="AB121" i="27"/>
  <c r="U121" i="27"/>
  <c r="S121" i="27"/>
  <c r="P121" i="27"/>
  <c r="M121" i="27"/>
  <c r="I121" i="27"/>
  <c r="K121" i="27" s="1"/>
  <c r="AC120" i="27"/>
  <c r="AB120" i="27"/>
  <c r="U120" i="27"/>
  <c r="S120" i="27"/>
  <c r="P120" i="27"/>
  <c r="M120" i="27"/>
  <c r="I120" i="27"/>
  <c r="K120" i="27" s="1"/>
  <c r="L120" i="27" s="1"/>
  <c r="AC119" i="27"/>
  <c r="AB119" i="27"/>
  <c r="U119" i="27"/>
  <c r="S119" i="27"/>
  <c r="P119" i="27"/>
  <c r="M119" i="27"/>
  <c r="I119" i="27"/>
  <c r="K119" i="27" s="1"/>
  <c r="L119" i="27" s="1"/>
  <c r="AC118" i="27"/>
  <c r="AB118" i="27"/>
  <c r="U118" i="27"/>
  <c r="S118" i="27"/>
  <c r="P118" i="27"/>
  <c r="M118" i="27"/>
  <c r="I118" i="27"/>
  <c r="K118" i="27" s="1"/>
  <c r="L118" i="27" s="1"/>
  <c r="AC117" i="27"/>
  <c r="AB117" i="27"/>
  <c r="U117" i="27"/>
  <c r="S117" i="27"/>
  <c r="P117" i="27"/>
  <c r="M117" i="27"/>
  <c r="I117" i="27"/>
  <c r="K117" i="27" s="1"/>
  <c r="L117" i="27" s="1"/>
  <c r="AC116" i="27"/>
  <c r="AB116" i="27"/>
  <c r="U116" i="27"/>
  <c r="S116" i="27"/>
  <c r="P116" i="27"/>
  <c r="M116" i="27"/>
  <c r="I116" i="27"/>
  <c r="K116" i="27" s="1"/>
  <c r="AB115" i="27"/>
  <c r="U115" i="27"/>
  <c r="S115" i="27"/>
  <c r="P115" i="27"/>
  <c r="M115" i="27"/>
  <c r="I115" i="27"/>
  <c r="K115" i="27" s="1"/>
  <c r="L115" i="27" s="1"/>
  <c r="AC114" i="27"/>
  <c r="AB114" i="27"/>
  <c r="U114" i="27"/>
  <c r="S114" i="27"/>
  <c r="P114" i="27"/>
  <c r="M114" i="27"/>
  <c r="I114" i="27"/>
  <c r="K114" i="27" s="1"/>
  <c r="L114" i="27" s="1"/>
  <c r="AB113" i="27"/>
  <c r="U113" i="27"/>
  <c r="S113" i="27"/>
  <c r="P113" i="27"/>
  <c r="M113" i="27"/>
  <c r="I113" i="27"/>
  <c r="K113" i="27" s="1"/>
  <c r="L113" i="27" s="1"/>
  <c r="AC112" i="27"/>
  <c r="AB112" i="27"/>
  <c r="U112" i="27"/>
  <c r="S112" i="27"/>
  <c r="P112" i="27"/>
  <c r="M112" i="27"/>
  <c r="I112" i="27"/>
  <c r="K112" i="27" s="1"/>
  <c r="AB111" i="27"/>
  <c r="U111" i="27"/>
  <c r="S111" i="27"/>
  <c r="P111" i="27"/>
  <c r="M111" i="27"/>
  <c r="V111" i="27" s="1"/>
  <c r="I111" i="27"/>
  <c r="K111" i="27" s="1"/>
  <c r="L111" i="27" s="1"/>
  <c r="AB110" i="27"/>
  <c r="U110" i="27"/>
  <c r="S110" i="27"/>
  <c r="P110" i="27"/>
  <c r="M110" i="27"/>
  <c r="I110" i="27"/>
  <c r="K110" i="27" s="1"/>
  <c r="L110" i="27" s="1"/>
  <c r="AC109" i="27"/>
  <c r="AB109" i="27"/>
  <c r="U109" i="27"/>
  <c r="S109" i="27"/>
  <c r="P109" i="27"/>
  <c r="M109" i="27"/>
  <c r="I109" i="27"/>
  <c r="K109" i="27" s="1"/>
  <c r="AB108" i="27"/>
  <c r="U108" i="27"/>
  <c r="S108" i="27"/>
  <c r="P108" i="27"/>
  <c r="M108" i="27"/>
  <c r="I108" i="27"/>
  <c r="K108" i="27" s="1"/>
  <c r="L108" i="27" s="1"/>
  <c r="AC107" i="27"/>
  <c r="AB107" i="27"/>
  <c r="U107" i="27"/>
  <c r="S107" i="27"/>
  <c r="P107" i="27"/>
  <c r="M107" i="27"/>
  <c r="I107" i="27"/>
  <c r="K107" i="27" s="1"/>
  <c r="L107" i="27" s="1"/>
  <c r="AC106" i="27"/>
  <c r="AB106" i="27"/>
  <c r="U106" i="27"/>
  <c r="S106" i="27"/>
  <c r="P106" i="27"/>
  <c r="M106" i="27"/>
  <c r="I106" i="27"/>
  <c r="K106" i="27" s="1"/>
  <c r="L106" i="27" s="1"/>
  <c r="AC105" i="27"/>
  <c r="AB105" i="27"/>
  <c r="U105" i="27"/>
  <c r="S105" i="27"/>
  <c r="P105" i="27"/>
  <c r="M105" i="27"/>
  <c r="I105" i="27"/>
  <c r="K105" i="27" s="1"/>
  <c r="AC104" i="27"/>
  <c r="AB104" i="27"/>
  <c r="U104" i="27"/>
  <c r="S104" i="27"/>
  <c r="P104" i="27"/>
  <c r="M104" i="27"/>
  <c r="I104" i="27"/>
  <c r="K104" i="27" s="1"/>
  <c r="L104" i="27" s="1"/>
  <c r="AB103" i="27"/>
  <c r="U103" i="27"/>
  <c r="S103" i="27"/>
  <c r="P103" i="27"/>
  <c r="M103" i="27"/>
  <c r="I103" i="27"/>
  <c r="K103" i="27" s="1"/>
  <c r="L103" i="27" s="1"/>
  <c r="AC102" i="27"/>
  <c r="AB102" i="27"/>
  <c r="U102" i="27"/>
  <c r="S102" i="27"/>
  <c r="P102" i="27"/>
  <c r="M102" i="27"/>
  <c r="I102" i="27"/>
  <c r="K102" i="27" s="1"/>
  <c r="L102" i="27" s="1"/>
  <c r="AC101" i="27"/>
  <c r="AB101" i="27"/>
  <c r="U101" i="27"/>
  <c r="S101" i="27"/>
  <c r="P101" i="27"/>
  <c r="M101" i="27"/>
  <c r="I101" i="27"/>
  <c r="K101" i="27" s="1"/>
  <c r="L101" i="27" s="1"/>
  <c r="AC100" i="27"/>
  <c r="AB100" i="27"/>
  <c r="U100" i="27"/>
  <c r="S100" i="27"/>
  <c r="P100" i="27"/>
  <c r="M100" i="27"/>
  <c r="I100" i="27"/>
  <c r="K100" i="27" s="1"/>
  <c r="L100" i="27" s="1"/>
  <c r="AC99" i="27"/>
  <c r="AB99" i="27"/>
  <c r="U99" i="27"/>
  <c r="S99" i="27"/>
  <c r="P99" i="27"/>
  <c r="M99" i="27"/>
  <c r="I99" i="27"/>
  <c r="K99" i="27" s="1"/>
  <c r="L99" i="27" s="1"/>
  <c r="AC98" i="27"/>
  <c r="AB98" i="27"/>
  <c r="U98" i="27"/>
  <c r="S98" i="27"/>
  <c r="P98" i="27"/>
  <c r="M98" i="27"/>
  <c r="I98" i="27"/>
  <c r="K98" i="27" s="1"/>
  <c r="L98" i="27" s="1"/>
  <c r="AC97" i="27"/>
  <c r="AB97" i="27"/>
  <c r="U97" i="27"/>
  <c r="S97" i="27"/>
  <c r="P97" i="27"/>
  <c r="M97" i="27"/>
  <c r="I97" i="27"/>
  <c r="K97" i="27" s="1"/>
  <c r="L97" i="27" s="1"/>
  <c r="AC96" i="27"/>
  <c r="AB96" i="27"/>
  <c r="U96" i="27"/>
  <c r="S96" i="27"/>
  <c r="P96" i="27"/>
  <c r="M96" i="27"/>
  <c r="I96" i="27"/>
  <c r="K96" i="27" s="1"/>
  <c r="L96" i="27" s="1"/>
  <c r="AC95" i="27"/>
  <c r="AB95" i="27"/>
  <c r="U95" i="27"/>
  <c r="S95" i="27"/>
  <c r="P95" i="27"/>
  <c r="M95" i="27"/>
  <c r="I95" i="27"/>
  <c r="K95" i="27" s="1"/>
  <c r="L95" i="27" s="1"/>
  <c r="V95" i="27" s="1"/>
  <c r="AC94" i="27"/>
  <c r="AB94" i="27"/>
  <c r="U94" i="27"/>
  <c r="S94" i="27"/>
  <c r="P94" i="27"/>
  <c r="M94" i="27"/>
  <c r="I94" i="27"/>
  <c r="K94" i="27" s="1"/>
  <c r="L94" i="27" s="1"/>
  <c r="AC93" i="27"/>
  <c r="AB93" i="27"/>
  <c r="U93" i="27"/>
  <c r="S93" i="27"/>
  <c r="P93" i="27"/>
  <c r="M93" i="27"/>
  <c r="I93" i="27"/>
  <c r="K93" i="27" s="1"/>
  <c r="L93" i="27" s="1"/>
  <c r="AC92" i="27"/>
  <c r="AB92" i="27"/>
  <c r="U92" i="27"/>
  <c r="S92" i="27"/>
  <c r="P92" i="27"/>
  <c r="M92" i="27"/>
  <c r="I92" i="27"/>
  <c r="K92" i="27" s="1"/>
  <c r="L92" i="27" s="1"/>
  <c r="AC91" i="27"/>
  <c r="AB91" i="27"/>
  <c r="U91" i="27"/>
  <c r="S91" i="27"/>
  <c r="P91" i="27"/>
  <c r="M91" i="27"/>
  <c r="I91" i="27"/>
  <c r="K91" i="27" s="1"/>
  <c r="L91" i="27" s="1"/>
  <c r="AC90" i="27"/>
  <c r="AB90" i="27"/>
  <c r="U90" i="27"/>
  <c r="S90" i="27"/>
  <c r="P90" i="27"/>
  <c r="M90" i="27"/>
  <c r="I90" i="27"/>
  <c r="K90" i="27" s="1"/>
  <c r="L90" i="27" s="1"/>
  <c r="AC89" i="27"/>
  <c r="AB89" i="27"/>
  <c r="U89" i="27"/>
  <c r="S89" i="27"/>
  <c r="P89" i="27"/>
  <c r="M89" i="27"/>
  <c r="I89" i="27"/>
  <c r="K89" i="27" s="1"/>
  <c r="L89" i="27" s="1"/>
  <c r="AC88" i="27"/>
  <c r="AB88" i="27"/>
  <c r="U88" i="27"/>
  <c r="S88" i="27"/>
  <c r="P88" i="27"/>
  <c r="M88" i="27"/>
  <c r="I88" i="27"/>
  <c r="K88" i="27" s="1"/>
  <c r="AC87" i="27"/>
  <c r="AB87" i="27"/>
  <c r="U87" i="27"/>
  <c r="S87" i="27"/>
  <c r="P87" i="27"/>
  <c r="M87" i="27"/>
  <c r="I87" i="27"/>
  <c r="K87" i="27" s="1"/>
  <c r="L87" i="27" s="1"/>
  <c r="AC86" i="27"/>
  <c r="AB86" i="27"/>
  <c r="U86" i="27"/>
  <c r="S86" i="27"/>
  <c r="P86" i="27"/>
  <c r="M86" i="27"/>
  <c r="I86" i="27"/>
  <c r="K86" i="27" s="1"/>
  <c r="L86" i="27" s="1"/>
  <c r="AC85" i="27"/>
  <c r="AB85" i="27"/>
  <c r="U85" i="27"/>
  <c r="S85" i="27"/>
  <c r="P85" i="27"/>
  <c r="M85" i="27"/>
  <c r="I85" i="27"/>
  <c r="K85" i="27" s="1"/>
  <c r="AC84" i="27"/>
  <c r="AB84" i="27"/>
  <c r="U84" i="27"/>
  <c r="S84" i="27"/>
  <c r="P84" i="27"/>
  <c r="M84" i="27"/>
  <c r="I84" i="27"/>
  <c r="K84" i="27" s="1"/>
  <c r="L84" i="27" s="1"/>
  <c r="AC83" i="27"/>
  <c r="AB83" i="27"/>
  <c r="U83" i="27"/>
  <c r="S83" i="27"/>
  <c r="P83" i="27"/>
  <c r="M83" i="27"/>
  <c r="I83" i="27"/>
  <c r="K83" i="27" s="1"/>
  <c r="L83" i="27" s="1"/>
  <c r="AC82" i="27"/>
  <c r="AB82" i="27"/>
  <c r="U82" i="27"/>
  <c r="S82" i="27"/>
  <c r="P82" i="27"/>
  <c r="M82" i="27"/>
  <c r="I82" i="27"/>
  <c r="K82" i="27" s="1"/>
  <c r="L82" i="27" s="1"/>
  <c r="AC81" i="27"/>
  <c r="AB81" i="27"/>
  <c r="U81" i="27"/>
  <c r="S81" i="27"/>
  <c r="P81" i="27"/>
  <c r="M81" i="27"/>
  <c r="I81" i="27"/>
  <c r="K81" i="27" s="1"/>
  <c r="AC80" i="27"/>
  <c r="AB80" i="27"/>
  <c r="U80" i="27"/>
  <c r="S80" i="27"/>
  <c r="P80" i="27"/>
  <c r="M80" i="27"/>
  <c r="I80" i="27"/>
  <c r="K80" i="27" s="1"/>
  <c r="L80" i="27" s="1"/>
  <c r="N80" i="27" s="1"/>
  <c r="AC79" i="27"/>
  <c r="AB79" i="27"/>
  <c r="U79" i="27"/>
  <c r="S79" i="27"/>
  <c r="P79" i="27"/>
  <c r="M79" i="27"/>
  <c r="V79" i="27" s="1"/>
  <c r="I79" i="27"/>
  <c r="K79" i="27" s="1"/>
  <c r="L79" i="27" s="1"/>
  <c r="AC78" i="27"/>
  <c r="AB78" i="27"/>
  <c r="U78" i="27"/>
  <c r="S78" i="27"/>
  <c r="P78" i="27"/>
  <c r="M78" i="27"/>
  <c r="I78" i="27"/>
  <c r="K78" i="27" s="1"/>
  <c r="L78" i="27" s="1"/>
  <c r="AC77" i="27"/>
  <c r="AB77" i="27"/>
  <c r="U77" i="27"/>
  <c r="S77" i="27"/>
  <c r="P77" i="27"/>
  <c r="M77" i="27"/>
  <c r="I77" i="27"/>
  <c r="K77" i="27" s="1"/>
  <c r="L77" i="27" s="1"/>
  <c r="AC76" i="27"/>
  <c r="AB76" i="27"/>
  <c r="U76" i="27"/>
  <c r="S76" i="27"/>
  <c r="P76" i="27"/>
  <c r="M76" i="27"/>
  <c r="I76" i="27"/>
  <c r="K76" i="27" s="1"/>
  <c r="AC75" i="27"/>
  <c r="AB75" i="27"/>
  <c r="U75" i="27"/>
  <c r="S75" i="27"/>
  <c r="P75" i="27"/>
  <c r="M75" i="27"/>
  <c r="I75" i="27"/>
  <c r="K75" i="27" s="1"/>
  <c r="L75" i="27" s="1"/>
  <c r="AC74" i="27"/>
  <c r="AB74" i="27"/>
  <c r="U74" i="27"/>
  <c r="S74" i="27"/>
  <c r="P74" i="27"/>
  <c r="M74" i="27"/>
  <c r="K74" i="27"/>
  <c r="L74" i="27" s="1"/>
  <c r="I74" i="27"/>
  <c r="AC73" i="27"/>
  <c r="AB73" i="27"/>
  <c r="U73" i="27"/>
  <c r="S73" i="27"/>
  <c r="P73" i="27"/>
  <c r="M73" i="27"/>
  <c r="K73" i="27"/>
  <c r="L73" i="27" s="1"/>
  <c r="I73" i="27"/>
  <c r="AC72" i="27"/>
  <c r="AB72" i="27"/>
  <c r="U72" i="27"/>
  <c r="S72" i="27"/>
  <c r="P72" i="27"/>
  <c r="M72" i="27"/>
  <c r="I72" i="27"/>
  <c r="K72" i="27" s="1"/>
  <c r="AC71" i="27"/>
  <c r="AB71" i="27"/>
  <c r="U71" i="27"/>
  <c r="S71" i="27"/>
  <c r="P71" i="27"/>
  <c r="M71" i="27"/>
  <c r="I71" i="27"/>
  <c r="K71" i="27" s="1"/>
  <c r="L71" i="27" s="1"/>
  <c r="AC70" i="27"/>
  <c r="AB70" i="27"/>
  <c r="U70" i="27"/>
  <c r="S70" i="27"/>
  <c r="P70" i="27"/>
  <c r="M70" i="27"/>
  <c r="I70" i="27"/>
  <c r="K70" i="27" s="1"/>
  <c r="L70" i="27" s="1"/>
  <c r="AC69" i="27"/>
  <c r="AB69" i="27"/>
  <c r="U69" i="27"/>
  <c r="S69" i="27"/>
  <c r="P69" i="27"/>
  <c r="M69" i="27"/>
  <c r="I69" i="27"/>
  <c r="K69" i="27" s="1"/>
  <c r="L69" i="27" s="1"/>
  <c r="AC68" i="27"/>
  <c r="AB68" i="27"/>
  <c r="U68" i="27"/>
  <c r="S68" i="27"/>
  <c r="P68" i="27"/>
  <c r="M68" i="27"/>
  <c r="I68" i="27"/>
  <c r="K68" i="27" s="1"/>
  <c r="AC67" i="27"/>
  <c r="AB67" i="27"/>
  <c r="U67" i="27"/>
  <c r="S67" i="27"/>
  <c r="P67" i="27"/>
  <c r="M67" i="27"/>
  <c r="I67" i="27"/>
  <c r="K67" i="27" s="1"/>
  <c r="L67" i="27" s="1"/>
  <c r="AC66" i="27"/>
  <c r="AB66" i="27"/>
  <c r="U66" i="27"/>
  <c r="S66" i="27"/>
  <c r="P66" i="27"/>
  <c r="M66" i="27"/>
  <c r="K66" i="27"/>
  <c r="L66" i="27" s="1"/>
  <c r="I66" i="27"/>
  <c r="AC65" i="27"/>
  <c r="AB65" i="27"/>
  <c r="U65" i="27"/>
  <c r="S65" i="27"/>
  <c r="P65" i="27"/>
  <c r="M65" i="27"/>
  <c r="I65" i="27"/>
  <c r="K65" i="27" s="1"/>
  <c r="AC64" i="27"/>
  <c r="AB64" i="27"/>
  <c r="U64" i="27"/>
  <c r="S64" i="27"/>
  <c r="P64" i="27"/>
  <c r="M64" i="27"/>
  <c r="I64" i="27"/>
  <c r="K64" i="27" s="1"/>
  <c r="AC63" i="27"/>
  <c r="AB63" i="27"/>
  <c r="U63" i="27"/>
  <c r="S63" i="27"/>
  <c r="P63" i="27"/>
  <c r="M63" i="27"/>
  <c r="I63" i="27"/>
  <c r="K63" i="27" s="1"/>
  <c r="L63" i="27" s="1"/>
  <c r="AC62" i="27"/>
  <c r="AB62" i="27"/>
  <c r="U62" i="27"/>
  <c r="S62" i="27"/>
  <c r="P62" i="27"/>
  <c r="M62" i="27"/>
  <c r="I62" i="27"/>
  <c r="K62" i="27" s="1"/>
  <c r="L62" i="27" s="1"/>
  <c r="AC61" i="27"/>
  <c r="AB61" i="27"/>
  <c r="U61" i="27"/>
  <c r="S61" i="27"/>
  <c r="P61" i="27"/>
  <c r="M61" i="27"/>
  <c r="K61" i="27"/>
  <c r="I61" i="27"/>
  <c r="AC60" i="27"/>
  <c r="AB60" i="27"/>
  <c r="U60" i="27"/>
  <c r="S60" i="27"/>
  <c r="P60" i="27"/>
  <c r="M60" i="27"/>
  <c r="K60" i="27"/>
  <c r="L60" i="27" s="1"/>
  <c r="I60" i="27"/>
  <c r="AC59" i="27"/>
  <c r="AB59" i="27"/>
  <c r="U59" i="27"/>
  <c r="P59" i="27"/>
  <c r="M59" i="27"/>
  <c r="I59" i="27"/>
  <c r="K59" i="27" s="1"/>
  <c r="L59" i="27" s="1"/>
  <c r="AC58" i="27"/>
  <c r="AB58" i="27"/>
  <c r="U58" i="27"/>
  <c r="S58" i="27"/>
  <c r="P58" i="27"/>
  <c r="M58" i="27"/>
  <c r="I58" i="27"/>
  <c r="K58" i="27" s="1"/>
  <c r="AC57" i="27"/>
  <c r="AB57" i="27"/>
  <c r="U57" i="27"/>
  <c r="S57" i="27"/>
  <c r="P57" i="27"/>
  <c r="M57" i="27"/>
  <c r="I57" i="27"/>
  <c r="K57" i="27" s="1"/>
  <c r="L57" i="27" s="1"/>
  <c r="AC56" i="27"/>
  <c r="AB56" i="27"/>
  <c r="U56" i="27"/>
  <c r="S56" i="27"/>
  <c r="P56" i="27"/>
  <c r="M56" i="27"/>
  <c r="I56" i="27"/>
  <c r="K56" i="27" s="1"/>
  <c r="L56" i="27" s="1"/>
  <c r="AC55" i="27"/>
  <c r="AB55" i="27"/>
  <c r="U55" i="27"/>
  <c r="S55" i="27"/>
  <c r="P55" i="27"/>
  <c r="M55" i="27"/>
  <c r="I55" i="27"/>
  <c r="K55" i="27" s="1"/>
  <c r="L55" i="27" s="1"/>
  <c r="AC54" i="27"/>
  <c r="AB54" i="27"/>
  <c r="U54" i="27"/>
  <c r="S54" i="27"/>
  <c r="P54" i="27"/>
  <c r="M54" i="27"/>
  <c r="I54" i="27"/>
  <c r="K54" i="27" s="1"/>
  <c r="AC53" i="27"/>
  <c r="AB53" i="27"/>
  <c r="U53" i="27"/>
  <c r="S53" i="27"/>
  <c r="P53" i="27"/>
  <c r="M53" i="27"/>
  <c r="I53" i="27"/>
  <c r="K53" i="27" s="1"/>
  <c r="L53" i="27" s="1"/>
  <c r="AC52" i="27"/>
  <c r="AB52" i="27"/>
  <c r="U52" i="27"/>
  <c r="S52" i="27"/>
  <c r="P52" i="27"/>
  <c r="M52" i="27"/>
  <c r="I52" i="27"/>
  <c r="K52" i="27" s="1"/>
  <c r="L52" i="27" s="1"/>
  <c r="AC51" i="27"/>
  <c r="AB51" i="27"/>
  <c r="U51" i="27"/>
  <c r="S51" i="27"/>
  <c r="P51" i="27"/>
  <c r="M51" i="27"/>
  <c r="I51" i="27"/>
  <c r="K51" i="27" s="1"/>
  <c r="L51" i="27" s="1"/>
  <c r="AC50" i="27"/>
  <c r="AB50" i="27"/>
  <c r="U50" i="27"/>
  <c r="S50" i="27"/>
  <c r="P50" i="27"/>
  <c r="M50" i="27"/>
  <c r="I50" i="27"/>
  <c r="K50" i="27" s="1"/>
  <c r="AC49" i="27"/>
  <c r="AB49" i="27"/>
  <c r="U49" i="27"/>
  <c r="S49" i="27"/>
  <c r="P49" i="27"/>
  <c r="M49" i="27"/>
  <c r="I49" i="27"/>
  <c r="K49" i="27" s="1"/>
  <c r="L49" i="27" s="1"/>
  <c r="AC48" i="27"/>
  <c r="AB48" i="27"/>
  <c r="U48" i="27"/>
  <c r="S48" i="27"/>
  <c r="P48" i="27"/>
  <c r="M48" i="27"/>
  <c r="I48" i="27"/>
  <c r="K48" i="27" s="1"/>
  <c r="L48" i="27" s="1"/>
  <c r="AC47" i="27"/>
  <c r="AB47" i="27"/>
  <c r="U47" i="27"/>
  <c r="S47" i="27"/>
  <c r="P47" i="27"/>
  <c r="M47" i="27"/>
  <c r="I47" i="27"/>
  <c r="K47" i="27" s="1"/>
  <c r="L47" i="27" s="1"/>
  <c r="AC46" i="27"/>
  <c r="AB46" i="27"/>
  <c r="U46" i="27"/>
  <c r="S46" i="27"/>
  <c r="P46" i="27"/>
  <c r="M46" i="27"/>
  <c r="I46" i="27"/>
  <c r="K46" i="27" s="1"/>
  <c r="L46" i="27" s="1"/>
  <c r="AC45" i="27"/>
  <c r="AB45" i="27"/>
  <c r="U45" i="27"/>
  <c r="S45" i="27"/>
  <c r="P45" i="27"/>
  <c r="M45" i="27"/>
  <c r="I45" i="27"/>
  <c r="K45" i="27" s="1"/>
  <c r="AC44" i="27"/>
  <c r="AB44" i="27"/>
  <c r="U44" i="27"/>
  <c r="S44" i="27"/>
  <c r="P44" i="27"/>
  <c r="M44" i="27"/>
  <c r="I44" i="27"/>
  <c r="K44" i="27" s="1"/>
  <c r="L44" i="27" s="1"/>
  <c r="AC43" i="27"/>
  <c r="AB43" i="27"/>
  <c r="U43" i="27"/>
  <c r="S43" i="27"/>
  <c r="P43" i="27"/>
  <c r="M43" i="27"/>
  <c r="I43" i="27"/>
  <c r="K43" i="27" s="1"/>
  <c r="L43" i="27" s="1"/>
  <c r="AC42" i="27"/>
  <c r="AB42" i="27"/>
  <c r="U42" i="27"/>
  <c r="S42" i="27"/>
  <c r="P42" i="27"/>
  <c r="M42" i="27"/>
  <c r="I42" i="27"/>
  <c r="K42" i="27" s="1"/>
  <c r="L42" i="27" s="1"/>
  <c r="AC41" i="27"/>
  <c r="AB41" i="27"/>
  <c r="U41" i="27"/>
  <c r="S41" i="27"/>
  <c r="P41" i="27"/>
  <c r="M41" i="27"/>
  <c r="I41" i="27"/>
  <c r="K41" i="27" s="1"/>
  <c r="AC40" i="27"/>
  <c r="AB40" i="27"/>
  <c r="U40" i="27"/>
  <c r="S40" i="27"/>
  <c r="P40" i="27"/>
  <c r="M40" i="27"/>
  <c r="I40" i="27"/>
  <c r="K40" i="27" s="1"/>
  <c r="L40" i="27" s="1"/>
  <c r="AC39" i="27"/>
  <c r="AB39" i="27"/>
  <c r="U39" i="27"/>
  <c r="S39" i="27"/>
  <c r="P39" i="27"/>
  <c r="M39" i="27"/>
  <c r="I39" i="27"/>
  <c r="K39" i="27" s="1"/>
  <c r="L39" i="27" s="1"/>
  <c r="AC38" i="27"/>
  <c r="AB38" i="27"/>
  <c r="U38" i="27"/>
  <c r="S38" i="27"/>
  <c r="P38" i="27"/>
  <c r="M38" i="27"/>
  <c r="I38" i="27"/>
  <c r="K38" i="27" s="1"/>
  <c r="L38" i="27" s="1"/>
  <c r="AC37" i="27"/>
  <c r="AB37" i="27"/>
  <c r="U37" i="27"/>
  <c r="S37" i="27"/>
  <c r="P37" i="27"/>
  <c r="M37" i="27"/>
  <c r="G37" i="27"/>
  <c r="G353" i="27" s="1"/>
  <c r="AC36" i="27"/>
  <c r="AB36" i="27"/>
  <c r="U36" i="27"/>
  <c r="S36" i="27"/>
  <c r="P36" i="27"/>
  <c r="M36" i="27"/>
  <c r="I36" i="27"/>
  <c r="K36" i="27" s="1"/>
  <c r="L36" i="27" s="1"/>
  <c r="AC35" i="27"/>
  <c r="AB35" i="27"/>
  <c r="U35" i="27"/>
  <c r="S35" i="27"/>
  <c r="P35" i="27"/>
  <c r="M35" i="27"/>
  <c r="I35" i="27"/>
  <c r="K35" i="27" s="1"/>
  <c r="L35" i="27" s="1"/>
  <c r="AC34" i="27"/>
  <c r="AB34" i="27"/>
  <c r="U34" i="27"/>
  <c r="S34" i="27"/>
  <c r="P34" i="27"/>
  <c r="M34" i="27"/>
  <c r="I34" i="27"/>
  <c r="K34" i="27" s="1"/>
  <c r="L34" i="27" s="1"/>
  <c r="AC33" i="27"/>
  <c r="AB33" i="27"/>
  <c r="U33" i="27"/>
  <c r="S33" i="27"/>
  <c r="P33" i="27"/>
  <c r="M33" i="27"/>
  <c r="I33" i="27"/>
  <c r="K33" i="27" s="1"/>
  <c r="L33" i="27" s="1"/>
  <c r="AC32" i="27"/>
  <c r="AB32" i="27"/>
  <c r="U32" i="27"/>
  <c r="S32" i="27"/>
  <c r="P32" i="27"/>
  <c r="M32" i="27"/>
  <c r="I32" i="27"/>
  <c r="K32" i="27" s="1"/>
  <c r="L32" i="27" s="1"/>
  <c r="AC31" i="27"/>
  <c r="AB31" i="27"/>
  <c r="U31" i="27"/>
  <c r="S31" i="27"/>
  <c r="P31" i="27"/>
  <c r="M31" i="27"/>
  <c r="I31" i="27"/>
  <c r="K31" i="27" s="1"/>
  <c r="L31" i="27" s="1"/>
  <c r="AC30" i="27"/>
  <c r="AB30" i="27"/>
  <c r="U30" i="27"/>
  <c r="S30" i="27"/>
  <c r="P30" i="27"/>
  <c r="M30" i="27"/>
  <c r="I30" i="27"/>
  <c r="K30" i="27" s="1"/>
  <c r="AC29" i="27"/>
  <c r="AB29" i="27"/>
  <c r="U29" i="27"/>
  <c r="S29" i="27"/>
  <c r="P29" i="27"/>
  <c r="M29" i="27"/>
  <c r="I29" i="27"/>
  <c r="K29" i="27" s="1"/>
  <c r="L29" i="27" s="1"/>
  <c r="AC28" i="27"/>
  <c r="AB28" i="27"/>
  <c r="U28" i="27"/>
  <c r="S28" i="27"/>
  <c r="P28" i="27"/>
  <c r="M28" i="27"/>
  <c r="I28" i="27"/>
  <c r="K28" i="27" s="1"/>
  <c r="L28" i="27" s="1"/>
  <c r="AC27" i="27"/>
  <c r="AB27" i="27"/>
  <c r="U27" i="27"/>
  <c r="S27" i="27"/>
  <c r="P27" i="27"/>
  <c r="M27" i="27"/>
  <c r="I27" i="27"/>
  <c r="K27" i="27" s="1"/>
  <c r="L27" i="27" s="1"/>
  <c r="AC26" i="27"/>
  <c r="AB26" i="27"/>
  <c r="U26" i="27"/>
  <c r="S26" i="27"/>
  <c r="P26" i="27"/>
  <c r="M26" i="27"/>
  <c r="I26" i="27"/>
  <c r="K26" i="27" s="1"/>
  <c r="AC25" i="27"/>
  <c r="AB25" i="27"/>
  <c r="U25" i="27"/>
  <c r="S25" i="27"/>
  <c r="P25" i="27"/>
  <c r="M25" i="27"/>
  <c r="I25" i="27"/>
  <c r="K25" i="27" s="1"/>
  <c r="L25" i="27" s="1"/>
  <c r="AC24" i="27"/>
  <c r="AB24" i="27"/>
  <c r="U24" i="27"/>
  <c r="S24" i="27"/>
  <c r="P24" i="27"/>
  <c r="M24" i="27"/>
  <c r="I24" i="27"/>
  <c r="K24" i="27" s="1"/>
  <c r="L24" i="27" s="1"/>
  <c r="AC23" i="27"/>
  <c r="AB23" i="27"/>
  <c r="U23" i="27"/>
  <c r="S23" i="27"/>
  <c r="P23" i="27"/>
  <c r="M23" i="27"/>
  <c r="I23" i="27"/>
  <c r="A23" i="27"/>
  <c r="V272" i="27" l="1"/>
  <c r="V276" i="27"/>
  <c r="V221" i="27"/>
  <c r="V288" i="27"/>
  <c r="M298" i="27"/>
  <c r="P298" i="27" s="1"/>
  <c r="M300" i="27"/>
  <c r="P300" i="27" s="1"/>
  <c r="M302" i="27"/>
  <c r="M324" i="27"/>
  <c r="P324" i="27" s="1"/>
  <c r="M326" i="27"/>
  <c r="M332" i="27"/>
  <c r="P332" i="27" s="1"/>
  <c r="M336" i="27"/>
  <c r="M340" i="27"/>
  <c r="Q340" i="27" s="1"/>
  <c r="W340" i="27" s="1"/>
  <c r="X340" i="27" s="1"/>
  <c r="V188" i="27"/>
  <c r="V197" i="27"/>
  <c r="V58" i="27"/>
  <c r="N29" i="27"/>
  <c r="J48" i="28"/>
  <c r="J95" i="28"/>
  <c r="J47" i="28"/>
  <c r="J94" i="28"/>
  <c r="J46" i="28"/>
  <c r="J333" i="28"/>
  <c r="E328" i="33" s="1"/>
  <c r="J93" i="28"/>
  <c r="E88" i="33" s="1"/>
  <c r="J45" i="28"/>
  <c r="V30" i="27"/>
  <c r="K201" i="27"/>
  <c r="L201" i="27" s="1"/>
  <c r="N24" i="27"/>
  <c r="Q24" i="27" s="1"/>
  <c r="W24" i="27" s="1"/>
  <c r="X24" i="27" s="1"/>
  <c r="N28" i="27"/>
  <c r="Q28" i="27" s="1"/>
  <c r="W28" i="27" s="1"/>
  <c r="X28" i="27" s="1"/>
  <c r="I37" i="27"/>
  <c r="K37" i="27" s="1"/>
  <c r="V140" i="27"/>
  <c r="V280" i="27"/>
  <c r="V235" i="27"/>
  <c r="V32" i="27"/>
  <c r="V136" i="27"/>
  <c r="V156" i="27"/>
  <c r="V164" i="27"/>
  <c r="V219" i="27"/>
  <c r="V225" i="27"/>
  <c r="V227" i="27"/>
  <c r="N266" i="27"/>
  <c r="Q266" i="27" s="1"/>
  <c r="W266" i="27" s="1"/>
  <c r="X266" i="27" s="1"/>
  <c r="N267" i="27"/>
  <c r="N274" i="27"/>
  <c r="N278" i="27"/>
  <c r="Q278" i="27" s="1"/>
  <c r="W278" i="27" s="1"/>
  <c r="X278" i="27" s="1"/>
  <c r="M290" i="27"/>
  <c r="P290" i="27" s="1"/>
  <c r="M292" i="27"/>
  <c r="M305" i="27"/>
  <c r="M307" i="27"/>
  <c r="P307" i="27" s="1"/>
  <c r="M309" i="27"/>
  <c r="Q309" i="27" s="1"/>
  <c r="W309" i="27" s="1"/>
  <c r="X309" i="27" s="1"/>
  <c r="M314" i="27"/>
  <c r="P314" i="27" s="1"/>
  <c r="M318" i="27"/>
  <c r="Q318" i="27" s="1"/>
  <c r="W318" i="27" s="1"/>
  <c r="X318" i="27" s="1"/>
  <c r="M319" i="27"/>
  <c r="Q319" i="27" s="1"/>
  <c r="W319" i="27" s="1"/>
  <c r="X319" i="27" s="1"/>
  <c r="M321" i="27"/>
  <c r="Q321" i="27" s="1"/>
  <c r="W321" i="27" s="1"/>
  <c r="X321" i="27" s="1"/>
  <c r="M343" i="27"/>
  <c r="P343" i="27" s="1"/>
  <c r="M345" i="27"/>
  <c r="Q345" i="27" s="1"/>
  <c r="W345" i="27" s="1"/>
  <c r="X345" i="27" s="1"/>
  <c r="M347" i="27"/>
  <c r="Q347" i="27" s="1"/>
  <c r="W347" i="27" s="1"/>
  <c r="X347" i="27" s="1"/>
  <c r="M349" i="27"/>
  <c r="Q349" i="27" s="1"/>
  <c r="W349" i="27" s="1"/>
  <c r="X349" i="27" s="1"/>
  <c r="V35" i="27"/>
  <c r="V69" i="27"/>
  <c r="J353" i="27"/>
  <c r="V167" i="27"/>
  <c r="V192" i="27"/>
  <c r="V193" i="27"/>
  <c r="V195" i="27"/>
  <c r="V210" i="27"/>
  <c r="V211" i="27"/>
  <c r="V238" i="27"/>
  <c r="V249" i="27"/>
  <c r="V250" i="27"/>
  <c r="V264" i="27"/>
  <c r="M295" i="27"/>
  <c r="P295" i="27" s="1"/>
  <c r="M299" i="27"/>
  <c r="Q299" i="27" s="1"/>
  <c r="W299" i="27" s="1"/>
  <c r="X299" i="27" s="1"/>
  <c r="M325" i="27"/>
  <c r="Q325" i="27" s="1"/>
  <c r="W325" i="27" s="1"/>
  <c r="X325" i="27" s="1"/>
  <c r="M329" i="27"/>
  <c r="P329" i="27" s="1"/>
  <c r="M331" i="27"/>
  <c r="Q331" i="27" s="1"/>
  <c r="W331" i="27" s="1"/>
  <c r="X331" i="27" s="1"/>
  <c r="M333" i="27"/>
  <c r="P333" i="27" s="1"/>
  <c r="M335" i="27"/>
  <c r="Q335" i="27" s="1"/>
  <c r="W335" i="27" s="1"/>
  <c r="X335" i="27" s="1"/>
  <c r="M339" i="27"/>
  <c r="P339" i="27" s="1"/>
  <c r="M341" i="27"/>
  <c r="P341" i="27" s="1"/>
  <c r="V56" i="27"/>
  <c r="V70" i="27"/>
  <c r="V94" i="27"/>
  <c r="V131" i="27"/>
  <c r="V148" i="27"/>
  <c r="V184" i="27"/>
  <c r="V190" i="27"/>
  <c r="V199" i="27"/>
  <c r="V212" i="27"/>
  <c r="V214" i="27"/>
  <c r="V216" i="27"/>
  <c r="K226" i="27"/>
  <c r="L226" i="27" s="1"/>
  <c r="V230" i="27"/>
  <c r="V242" i="27"/>
  <c r="V243" i="27"/>
  <c r="M294" i="27"/>
  <c r="P294" i="27" s="1"/>
  <c r="Q313" i="27"/>
  <c r="W313" i="27" s="1"/>
  <c r="X313" i="27" s="1"/>
  <c r="M344" i="27"/>
  <c r="Q344" i="27" s="1"/>
  <c r="W344" i="27" s="1"/>
  <c r="X344" i="27" s="1"/>
  <c r="M348" i="27"/>
  <c r="Q348" i="27" s="1"/>
  <c r="W348" i="27" s="1"/>
  <c r="X348" i="27" s="1"/>
  <c r="N200" i="27"/>
  <c r="Q200" i="27" s="1"/>
  <c r="W200" i="27" s="1"/>
  <c r="X200" i="27" s="1"/>
  <c r="N194" i="27"/>
  <c r="N282" i="27"/>
  <c r="Q282" i="27" s="1"/>
  <c r="W282" i="27" s="1"/>
  <c r="X282" i="27" s="1"/>
  <c r="N198" i="27"/>
  <c r="Q274" i="27"/>
  <c r="W274" i="27" s="1"/>
  <c r="X274" i="27" s="1"/>
  <c r="Q302" i="27"/>
  <c r="W302" i="27" s="1"/>
  <c r="X302" i="27" s="1"/>
  <c r="N144" i="27"/>
  <c r="Q144" i="27" s="1"/>
  <c r="W144" i="27" s="1"/>
  <c r="X144" i="27" s="1"/>
  <c r="N158" i="27"/>
  <c r="N219" i="27"/>
  <c r="Q219" i="27" s="1"/>
  <c r="W219" i="27" s="1"/>
  <c r="X219" i="27" s="1"/>
  <c r="N223" i="27"/>
  <c r="Q223" i="27" s="1"/>
  <c r="W223" i="27" s="1"/>
  <c r="X223" i="27" s="1"/>
  <c r="V224" i="27"/>
  <c r="N254" i="27"/>
  <c r="Q254" i="27" s="1"/>
  <c r="W254" i="27" s="1"/>
  <c r="X254" i="27" s="1"/>
  <c r="N258" i="27"/>
  <c r="Q258" i="27" s="1"/>
  <c r="W258" i="27" s="1"/>
  <c r="X258" i="27" s="1"/>
  <c r="Q306" i="27"/>
  <c r="W306" i="27" s="1"/>
  <c r="X306" i="27" s="1"/>
  <c r="Q311" i="27"/>
  <c r="W311" i="27" s="1"/>
  <c r="X311" i="27" s="1"/>
  <c r="M293" i="27"/>
  <c r="P293" i="27" s="1"/>
  <c r="Q305" i="27"/>
  <c r="W305" i="27" s="1"/>
  <c r="X305" i="27" s="1"/>
  <c r="M323" i="27"/>
  <c r="P323" i="27" s="1"/>
  <c r="N104" i="27"/>
  <c r="N120" i="27"/>
  <c r="N129" i="27"/>
  <c r="Q129" i="27" s="1"/>
  <c r="W129" i="27" s="1"/>
  <c r="X129" i="27" s="1"/>
  <c r="V233" i="27"/>
  <c r="N36" i="27"/>
  <c r="Q36" i="27" s="1"/>
  <c r="W36" i="27" s="1"/>
  <c r="X36" i="27" s="1"/>
  <c r="N46" i="27"/>
  <c r="V61" i="27"/>
  <c r="V93" i="27"/>
  <c r="Q320" i="27"/>
  <c r="W320" i="27" s="1"/>
  <c r="X320" i="27" s="1"/>
  <c r="Q343" i="27"/>
  <c r="W343" i="27" s="1"/>
  <c r="X343" i="27" s="1"/>
  <c r="N25" i="27"/>
  <c r="Q25" i="27" s="1"/>
  <c r="W25" i="27" s="1"/>
  <c r="X25" i="27" s="1"/>
  <c r="N69" i="27"/>
  <c r="Q69" i="27" s="1"/>
  <c r="W69" i="27" s="1"/>
  <c r="X69" i="27" s="1"/>
  <c r="N77" i="27"/>
  <c r="Q77" i="27" s="1"/>
  <c r="W77" i="27" s="1"/>
  <c r="X77" i="27" s="1"/>
  <c r="N93" i="27"/>
  <c r="Q93" i="27" s="1"/>
  <c r="W93" i="27" s="1"/>
  <c r="X93" i="27" s="1"/>
  <c r="N99" i="27"/>
  <c r="Q99" i="27" s="1"/>
  <c r="W99" i="27" s="1"/>
  <c r="X99" i="27" s="1"/>
  <c r="N100" i="27"/>
  <c r="Q100" i="27" s="1"/>
  <c r="W100" i="27" s="1"/>
  <c r="X100" i="27" s="1"/>
  <c r="N165" i="27"/>
  <c r="Q165" i="27" s="1"/>
  <c r="W165" i="27" s="1"/>
  <c r="X165" i="27" s="1"/>
  <c r="N169" i="27"/>
  <c r="Q169" i="27" s="1"/>
  <c r="W169" i="27" s="1"/>
  <c r="X169" i="27" s="1"/>
  <c r="N178" i="27"/>
  <c r="Q178" i="27" s="1"/>
  <c r="W178" i="27" s="1"/>
  <c r="X178" i="27" s="1"/>
  <c r="N248" i="27"/>
  <c r="Q248" i="27" s="1"/>
  <c r="W248" i="27" s="1"/>
  <c r="X248" i="27" s="1"/>
  <c r="N262" i="27"/>
  <c r="Q262" i="27" s="1"/>
  <c r="W262" i="27" s="1"/>
  <c r="X262" i="27" s="1"/>
  <c r="Q314" i="27"/>
  <c r="W314" i="27" s="1"/>
  <c r="X314" i="27" s="1"/>
  <c r="M317" i="27"/>
  <c r="Q317" i="27" s="1"/>
  <c r="W317" i="27" s="1"/>
  <c r="X317" i="27" s="1"/>
  <c r="N73" i="27"/>
  <c r="Q73" i="27" s="1"/>
  <c r="W73" i="27" s="1"/>
  <c r="X73" i="27" s="1"/>
  <c r="N84" i="27"/>
  <c r="Q84" i="27" s="1"/>
  <c r="W84" i="27" s="1"/>
  <c r="X84" i="27" s="1"/>
  <c r="V85" i="27"/>
  <c r="N92" i="27"/>
  <c r="Q92" i="27" s="1"/>
  <c r="W92" i="27" s="1"/>
  <c r="X92" i="27" s="1"/>
  <c r="N96" i="27"/>
  <c r="Q96" i="27" s="1"/>
  <c r="W96" i="27" s="1"/>
  <c r="X96" i="27" s="1"/>
  <c r="N108" i="27"/>
  <c r="Q108" i="27" s="1"/>
  <c r="W108" i="27" s="1"/>
  <c r="X108" i="27" s="1"/>
  <c r="V109" i="27"/>
  <c r="N171" i="27"/>
  <c r="Q171" i="27" s="1"/>
  <c r="W171" i="27" s="1"/>
  <c r="X171" i="27" s="1"/>
  <c r="N232" i="27"/>
  <c r="Q232" i="27" s="1"/>
  <c r="W232" i="27" s="1"/>
  <c r="X232" i="27" s="1"/>
  <c r="N260" i="27"/>
  <c r="Q260" i="27" s="1"/>
  <c r="W260" i="27" s="1"/>
  <c r="X260" i="27" s="1"/>
  <c r="Q289" i="27"/>
  <c r="W289" i="27" s="1"/>
  <c r="X289" i="27" s="1"/>
  <c r="Q291" i="27"/>
  <c r="W291" i="27" s="1"/>
  <c r="X291" i="27" s="1"/>
  <c r="N136" i="27"/>
  <c r="Q158" i="27"/>
  <c r="W158" i="27" s="1"/>
  <c r="X158" i="27" s="1"/>
  <c r="P313" i="27"/>
  <c r="N33" i="27"/>
  <c r="Q33" i="27" s="1"/>
  <c r="W33" i="27" s="1"/>
  <c r="X33" i="27" s="1"/>
  <c r="N38" i="27"/>
  <c r="Q38" i="27" s="1"/>
  <c r="W38" i="27" s="1"/>
  <c r="X38" i="27" s="1"/>
  <c r="N42" i="27"/>
  <c r="Q42" i="27" s="1"/>
  <c r="W42" i="27" s="1"/>
  <c r="X42" i="27" s="1"/>
  <c r="N49" i="27"/>
  <c r="Q49" i="27" s="1"/>
  <c r="W49" i="27" s="1"/>
  <c r="X49" i="27" s="1"/>
  <c r="V50" i="27"/>
  <c r="N152" i="27"/>
  <c r="Q152" i="27" s="1"/>
  <c r="W152" i="27" s="1"/>
  <c r="X152" i="27" s="1"/>
  <c r="N168" i="27"/>
  <c r="Q168" i="27" s="1"/>
  <c r="W168" i="27" s="1"/>
  <c r="X168" i="27" s="1"/>
  <c r="N180" i="27"/>
  <c r="Q180" i="27" s="1"/>
  <c r="W180" i="27" s="1"/>
  <c r="X180" i="27" s="1"/>
  <c r="N186" i="27"/>
  <c r="Q186" i="27" s="1"/>
  <c r="W186" i="27" s="1"/>
  <c r="X186" i="27" s="1"/>
  <c r="Q194" i="27"/>
  <c r="W194" i="27" s="1"/>
  <c r="X194" i="27" s="1"/>
  <c r="N202" i="27"/>
  <c r="Q202" i="27" s="1"/>
  <c r="W202" i="27" s="1"/>
  <c r="X202" i="27" s="1"/>
  <c r="N203" i="27"/>
  <c r="V204" i="27"/>
  <c r="N240" i="27"/>
  <c r="Q240" i="27" s="1"/>
  <c r="W240" i="27" s="1"/>
  <c r="X240" i="27" s="1"/>
  <c r="V241" i="27"/>
  <c r="N252" i="27"/>
  <c r="Q252" i="27" s="1"/>
  <c r="W252" i="27" s="1"/>
  <c r="X252" i="27" s="1"/>
  <c r="N256" i="27"/>
  <c r="Q256" i="27" s="1"/>
  <c r="W256" i="27" s="1"/>
  <c r="X256" i="27" s="1"/>
  <c r="Q267" i="27"/>
  <c r="W267" i="27" s="1"/>
  <c r="X267" i="27" s="1"/>
  <c r="N276" i="27"/>
  <c r="Q276" i="27" s="1"/>
  <c r="W276" i="27" s="1"/>
  <c r="X276" i="27" s="1"/>
  <c r="N284" i="27"/>
  <c r="Q284" i="27" s="1"/>
  <c r="W284" i="27" s="1"/>
  <c r="X284" i="27" s="1"/>
  <c r="Q298" i="27"/>
  <c r="W298" i="27" s="1"/>
  <c r="X298" i="27" s="1"/>
  <c r="M303" i="27"/>
  <c r="Q303" i="27" s="1"/>
  <c r="W303" i="27" s="1"/>
  <c r="X303" i="27" s="1"/>
  <c r="Q304" i="27"/>
  <c r="W304" i="27" s="1"/>
  <c r="X304" i="27" s="1"/>
  <c r="M322" i="27"/>
  <c r="P322" i="27" s="1"/>
  <c r="Q339" i="27"/>
  <c r="W339" i="27" s="1"/>
  <c r="X339" i="27" s="1"/>
  <c r="P292" i="27"/>
  <c r="Q292" i="27"/>
  <c r="W292" i="27" s="1"/>
  <c r="X292" i="27" s="1"/>
  <c r="Q300" i="27"/>
  <c r="W300" i="27" s="1"/>
  <c r="X300" i="27" s="1"/>
  <c r="V54" i="27"/>
  <c r="L54" i="27"/>
  <c r="N54" i="27" s="1"/>
  <c r="Q54" i="27" s="1"/>
  <c r="W54" i="27" s="1"/>
  <c r="X54" i="27" s="1"/>
  <c r="V55" i="27"/>
  <c r="V26" i="27"/>
  <c r="L26" i="27"/>
  <c r="N26" i="27" s="1"/>
  <c r="Q26" i="27" s="1"/>
  <c r="W26" i="27" s="1"/>
  <c r="X26" i="27" s="1"/>
  <c r="V81" i="27"/>
  <c r="L81" i="27"/>
  <c r="N81" i="27" s="1"/>
  <c r="Q81" i="27" s="1"/>
  <c r="W81" i="27" s="1"/>
  <c r="X81" i="27" s="1"/>
  <c r="V105" i="27"/>
  <c r="L105" i="27"/>
  <c r="N105" i="27" s="1"/>
  <c r="Q105" i="27" s="1"/>
  <c r="W105" i="27" s="1"/>
  <c r="X105" i="27" s="1"/>
  <c r="V121" i="27"/>
  <c r="L121" i="27"/>
  <c r="N121" i="27" s="1"/>
  <c r="Q121" i="27" s="1"/>
  <c r="W121" i="27" s="1"/>
  <c r="X121" i="27" s="1"/>
  <c r="V179" i="27"/>
  <c r="L179" i="27"/>
  <c r="N179" i="27" s="1"/>
  <c r="Q179" i="27" s="1"/>
  <c r="W179" i="27" s="1"/>
  <c r="X179" i="27" s="1"/>
  <c r="N166" i="27"/>
  <c r="Q166" i="27" s="1"/>
  <c r="W166" i="27" s="1"/>
  <c r="X166" i="27" s="1"/>
  <c r="N188" i="27"/>
  <c r="Q188" i="27" s="1"/>
  <c r="W188" i="27" s="1"/>
  <c r="X188" i="27" s="1"/>
  <c r="N197" i="27"/>
  <c r="Q197" i="27" s="1"/>
  <c r="W197" i="27" s="1"/>
  <c r="X197" i="27" s="1"/>
  <c r="N206" i="27"/>
  <c r="N207" i="27"/>
  <c r="Q207" i="27" s="1"/>
  <c r="W207" i="27" s="1"/>
  <c r="X207" i="27" s="1"/>
  <c r="N212" i="27"/>
  <c r="Q212" i="27" s="1"/>
  <c r="W212" i="27" s="1"/>
  <c r="X212" i="27" s="1"/>
  <c r="N214" i="27"/>
  <c r="Q214" i="27" s="1"/>
  <c r="W214" i="27" s="1"/>
  <c r="X214" i="27" s="1"/>
  <c r="N215" i="27"/>
  <c r="Q215" i="27" s="1"/>
  <c r="W215" i="27" s="1"/>
  <c r="X215" i="27" s="1"/>
  <c r="N225" i="27"/>
  <c r="Q225" i="27" s="1"/>
  <c r="W225" i="27" s="1"/>
  <c r="X225" i="27" s="1"/>
  <c r="N234" i="27"/>
  <c r="Q234" i="27" s="1"/>
  <c r="W234" i="27" s="1"/>
  <c r="X234" i="27" s="1"/>
  <c r="N242" i="27"/>
  <c r="Q242" i="27" s="1"/>
  <c r="W242" i="27" s="1"/>
  <c r="X242" i="27" s="1"/>
  <c r="V267" i="27"/>
  <c r="N268" i="27"/>
  <c r="Q268" i="27" s="1"/>
  <c r="W268" i="27" s="1"/>
  <c r="X268" i="27" s="1"/>
  <c r="N279" i="27"/>
  <c r="Q279" i="27" s="1"/>
  <c r="W279" i="27" s="1"/>
  <c r="X279" i="27" s="1"/>
  <c r="V279" i="27"/>
  <c r="N280" i="27"/>
  <c r="Q280" i="27" s="1"/>
  <c r="W280" i="27" s="1"/>
  <c r="X280" i="27" s="1"/>
  <c r="Q293" i="27"/>
  <c r="W293" i="27" s="1"/>
  <c r="X293" i="27" s="1"/>
  <c r="Q332" i="27"/>
  <c r="W332" i="27" s="1"/>
  <c r="X332" i="27" s="1"/>
  <c r="L30" i="27"/>
  <c r="N30" i="27" s="1"/>
  <c r="Q30" i="27" s="1"/>
  <c r="W30" i="27" s="1"/>
  <c r="X30" i="27" s="1"/>
  <c r="V34" i="27"/>
  <c r="V60" i="27"/>
  <c r="V67" i="27"/>
  <c r="L85" i="27"/>
  <c r="N85" i="27" s="1"/>
  <c r="Q85" i="27" s="1"/>
  <c r="W85" i="27" s="1"/>
  <c r="X85" i="27" s="1"/>
  <c r="L109" i="27"/>
  <c r="N109" i="27" s="1"/>
  <c r="Q109" i="27" s="1"/>
  <c r="W109" i="27" s="1"/>
  <c r="X109" i="27" s="1"/>
  <c r="V145" i="27"/>
  <c r="V152" i="27"/>
  <c r="V153" i="27"/>
  <c r="N162" i="27"/>
  <c r="Q162" i="27" s="1"/>
  <c r="W162" i="27" s="1"/>
  <c r="X162" i="27" s="1"/>
  <c r="V180" i="27"/>
  <c r="V181" i="27"/>
  <c r="N283" i="27"/>
  <c r="Q283" i="27" s="1"/>
  <c r="W283" i="27" s="1"/>
  <c r="X283" i="27" s="1"/>
  <c r="V283" i="27"/>
  <c r="V284" i="27"/>
  <c r="V285" i="27"/>
  <c r="M301" i="27"/>
  <c r="M310" i="27"/>
  <c r="Q326" i="27"/>
  <c r="W326" i="27" s="1"/>
  <c r="X326" i="27" s="1"/>
  <c r="M337" i="27"/>
  <c r="V39" i="27"/>
  <c r="V31" i="27"/>
  <c r="L50" i="27"/>
  <c r="N50" i="27" s="1"/>
  <c r="Q50" i="27" s="1"/>
  <c r="W50" i="27" s="1"/>
  <c r="X50" i="27" s="1"/>
  <c r="V57" i="27"/>
  <c r="L58" i="27"/>
  <c r="N58" i="27" s="1"/>
  <c r="Q58" i="27" s="1"/>
  <c r="W58" i="27" s="1"/>
  <c r="X58" i="27" s="1"/>
  <c r="V47" i="27"/>
  <c r="V52" i="27"/>
  <c r="V74" i="27"/>
  <c r="N101" i="27"/>
  <c r="Q101" i="27" s="1"/>
  <c r="W101" i="27" s="1"/>
  <c r="X101" i="27" s="1"/>
  <c r="V106" i="27"/>
  <c r="N117" i="27"/>
  <c r="Q117" i="27" s="1"/>
  <c r="W117" i="27" s="1"/>
  <c r="X117" i="27" s="1"/>
  <c r="V122" i="27"/>
  <c r="V127" i="27"/>
  <c r="N140" i="27"/>
  <c r="Q140" i="27" s="1"/>
  <c r="W140" i="27" s="1"/>
  <c r="X140" i="27" s="1"/>
  <c r="N143" i="27"/>
  <c r="Q143" i="27" s="1"/>
  <c r="W143" i="27" s="1"/>
  <c r="X143" i="27" s="1"/>
  <c r="N148" i="27"/>
  <c r="Q148" i="27" s="1"/>
  <c r="W148" i="27" s="1"/>
  <c r="X148" i="27" s="1"/>
  <c r="N151" i="27"/>
  <c r="Q151" i="27" s="1"/>
  <c r="W151" i="27" s="1"/>
  <c r="X151" i="27" s="1"/>
  <c r="N156" i="27"/>
  <c r="Q156" i="27" s="1"/>
  <c r="W156" i="27" s="1"/>
  <c r="X156" i="27" s="1"/>
  <c r="N164" i="27"/>
  <c r="Q164" i="27" s="1"/>
  <c r="W164" i="27" s="1"/>
  <c r="X164" i="27" s="1"/>
  <c r="V168" i="27"/>
  <c r="V171" i="27"/>
  <c r="V172" i="27"/>
  <c r="N184" i="27"/>
  <c r="Q184" i="27" s="1"/>
  <c r="W184" i="27" s="1"/>
  <c r="X184" i="27" s="1"/>
  <c r="N192" i="27"/>
  <c r="Q192" i="27" s="1"/>
  <c r="W192" i="27" s="1"/>
  <c r="X192" i="27" s="1"/>
  <c r="L204" i="27"/>
  <c r="N204" i="27" s="1"/>
  <c r="Q204" i="27" s="1"/>
  <c r="W204" i="27" s="1"/>
  <c r="X204" i="27" s="1"/>
  <c r="V208" i="27"/>
  <c r="N213" i="27"/>
  <c r="Q213" i="27" s="1"/>
  <c r="W213" i="27" s="1"/>
  <c r="X213" i="27" s="1"/>
  <c r="N221" i="27"/>
  <c r="Q221" i="27" s="1"/>
  <c r="W221" i="27" s="1"/>
  <c r="X221" i="27" s="1"/>
  <c r="N230" i="27"/>
  <c r="Q230" i="27" s="1"/>
  <c r="W230" i="27" s="1"/>
  <c r="X230" i="27" s="1"/>
  <c r="N238" i="27"/>
  <c r="Q238" i="27" s="1"/>
  <c r="W238" i="27" s="1"/>
  <c r="X238" i="27" s="1"/>
  <c r="N246" i="27"/>
  <c r="Q246" i="27" s="1"/>
  <c r="W246" i="27" s="1"/>
  <c r="X246" i="27" s="1"/>
  <c r="N250" i="27"/>
  <c r="Q250" i="27" s="1"/>
  <c r="W250" i="27" s="1"/>
  <c r="X250" i="27" s="1"/>
  <c r="N251" i="27"/>
  <c r="Q251" i="27" s="1"/>
  <c r="W251" i="27" s="1"/>
  <c r="X251" i="27" s="1"/>
  <c r="V252" i="27"/>
  <c r="N259" i="27"/>
  <c r="Q259" i="27" s="1"/>
  <c r="W259" i="27" s="1"/>
  <c r="X259" i="27" s="1"/>
  <c r="V259" i="27"/>
  <c r="V262" i="27"/>
  <c r="N272" i="27"/>
  <c r="Q272" i="27" s="1"/>
  <c r="W272" i="27" s="1"/>
  <c r="X272" i="27" s="1"/>
  <c r="N288" i="27"/>
  <c r="Q288" i="27" s="1"/>
  <c r="W288" i="27" s="1"/>
  <c r="X288" i="27" s="1"/>
  <c r="M297" i="27"/>
  <c r="Q315" i="27"/>
  <c r="W315" i="27" s="1"/>
  <c r="X315" i="27" s="1"/>
  <c r="M328" i="27"/>
  <c r="Q329" i="27"/>
  <c r="W329" i="27" s="1"/>
  <c r="X329" i="27" s="1"/>
  <c r="Q336" i="27"/>
  <c r="W336" i="27" s="1"/>
  <c r="X336" i="27" s="1"/>
  <c r="P336" i="27"/>
  <c r="V114" i="27"/>
  <c r="S353" i="27"/>
  <c r="V48" i="27"/>
  <c r="L61" i="27"/>
  <c r="N61" i="27" s="1"/>
  <c r="Q61" i="27" s="1"/>
  <c r="W61" i="27" s="1"/>
  <c r="X61" i="27" s="1"/>
  <c r="V78" i="27"/>
  <c r="N138" i="27"/>
  <c r="Q138" i="27" s="1"/>
  <c r="W138" i="27" s="1"/>
  <c r="X138" i="27" s="1"/>
  <c r="V144" i="27"/>
  <c r="V82" i="27"/>
  <c r="V87" i="27"/>
  <c r="V90" i="27"/>
  <c r="N95" i="27"/>
  <c r="Q95" i="27" s="1"/>
  <c r="W95" i="27" s="1"/>
  <c r="X95" i="27" s="1"/>
  <c r="V98" i="27"/>
  <c r="N32" i="27"/>
  <c r="Q32" i="27" s="1"/>
  <c r="W32" i="27" s="1"/>
  <c r="X32" i="27" s="1"/>
  <c r="V36" i="27"/>
  <c r="V40" i="27"/>
  <c r="V43" i="27"/>
  <c r="N52" i="27"/>
  <c r="Q52" i="27" s="1"/>
  <c r="W52" i="27" s="1"/>
  <c r="X52" i="27" s="1"/>
  <c r="V53" i="27"/>
  <c r="N62" i="27"/>
  <c r="Q62" i="27" s="1"/>
  <c r="W62" i="27" s="1"/>
  <c r="X62" i="27" s="1"/>
  <c r="V62" i="27"/>
  <c r="V63" i="27"/>
  <c r="V86" i="27"/>
  <c r="N97" i="27"/>
  <c r="Q97" i="27" s="1"/>
  <c r="W97" i="27" s="1"/>
  <c r="X97" i="27" s="1"/>
  <c r="N113" i="27"/>
  <c r="Q113" i="27" s="1"/>
  <c r="W113" i="27" s="1"/>
  <c r="X113" i="27" s="1"/>
  <c r="V115" i="27"/>
  <c r="V118" i="27"/>
  <c r="Q120" i="27"/>
  <c r="W120" i="27" s="1"/>
  <c r="X120" i="27" s="1"/>
  <c r="V126" i="27"/>
  <c r="N133" i="27"/>
  <c r="Q133" i="27" s="1"/>
  <c r="W133" i="27" s="1"/>
  <c r="X133" i="27" s="1"/>
  <c r="N137" i="27"/>
  <c r="Q137" i="27" s="1"/>
  <c r="W137" i="27" s="1"/>
  <c r="X137" i="27" s="1"/>
  <c r="V149" i="27"/>
  <c r="V157" i="27"/>
  <c r="N160" i="27"/>
  <c r="Q160" i="27" s="1"/>
  <c r="W160" i="27" s="1"/>
  <c r="X160" i="27" s="1"/>
  <c r="N161" i="27"/>
  <c r="V165" i="27"/>
  <c r="Q170" i="27"/>
  <c r="W170" i="27" s="1"/>
  <c r="X170" i="27" s="1"/>
  <c r="V175" i="27"/>
  <c r="N182" i="27"/>
  <c r="Q182" i="27" s="1"/>
  <c r="W182" i="27" s="1"/>
  <c r="X182" i="27" s="1"/>
  <c r="V185" i="27"/>
  <c r="N190" i="27"/>
  <c r="Q190" i="27" s="1"/>
  <c r="W190" i="27" s="1"/>
  <c r="X190" i="27" s="1"/>
  <c r="N210" i="27"/>
  <c r="Q210" i="27" s="1"/>
  <c r="W210" i="27" s="1"/>
  <c r="X210" i="27" s="1"/>
  <c r="N211" i="27"/>
  <c r="Q211" i="27" s="1"/>
  <c r="W211" i="27" s="1"/>
  <c r="X211" i="27" s="1"/>
  <c r="N217" i="27"/>
  <c r="Q217" i="27" s="1"/>
  <c r="W217" i="27" s="1"/>
  <c r="X217" i="27" s="1"/>
  <c r="V222" i="27"/>
  <c r="N226" i="27"/>
  <c r="Q226" i="27" s="1"/>
  <c r="W226" i="27" s="1"/>
  <c r="X226" i="27" s="1"/>
  <c r="N228" i="27"/>
  <c r="Q228" i="27" s="1"/>
  <c r="W228" i="27" s="1"/>
  <c r="X228" i="27" s="1"/>
  <c r="V229" i="27"/>
  <c r="V231" i="27"/>
  <c r="N236" i="27"/>
  <c r="Q236" i="27" s="1"/>
  <c r="W236" i="27" s="1"/>
  <c r="X236" i="27" s="1"/>
  <c r="V237" i="27"/>
  <c r="V239" i="27"/>
  <c r="N244" i="27"/>
  <c r="Q244" i="27" s="1"/>
  <c r="W244" i="27" s="1"/>
  <c r="X244" i="27" s="1"/>
  <c r="V245" i="27"/>
  <c r="V247" i="27"/>
  <c r="N255" i="27"/>
  <c r="Q255" i="27" s="1"/>
  <c r="W255" i="27" s="1"/>
  <c r="X255" i="27" s="1"/>
  <c r="V256" i="27"/>
  <c r="N257" i="27"/>
  <c r="Q257" i="27" s="1"/>
  <c r="W257" i="27" s="1"/>
  <c r="X257" i="27" s="1"/>
  <c r="V260" i="27"/>
  <c r="N263" i="27"/>
  <c r="Q263" i="27" s="1"/>
  <c r="W263" i="27" s="1"/>
  <c r="X263" i="27" s="1"/>
  <c r="V263" i="27"/>
  <c r="N264" i="27"/>
  <c r="Q264" i="27" s="1"/>
  <c r="W264" i="27" s="1"/>
  <c r="X264" i="27" s="1"/>
  <c r="N270" i="27"/>
  <c r="Q270" i="27" s="1"/>
  <c r="W270" i="27" s="1"/>
  <c r="X270" i="27" s="1"/>
  <c r="N275" i="27"/>
  <c r="Q275" i="27" s="1"/>
  <c r="W275" i="27" s="1"/>
  <c r="X275" i="27" s="1"/>
  <c r="V275" i="27"/>
  <c r="N286" i="27"/>
  <c r="Q286" i="27" s="1"/>
  <c r="W286" i="27" s="1"/>
  <c r="X286" i="27" s="1"/>
  <c r="Q308" i="27"/>
  <c r="W308" i="27" s="1"/>
  <c r="X308" i="27" s="1"/>
  <c r="Q350" i="27"/>
  <c r="W350" i="27" s="1"/>
  <c r="X350" i="27" s="1"/>
  <c r="Q352" i="27"/>
  <c r="W352" i="27" s="1"/>
  <c r="X352" i="27" s="1"/>
  <c r="M296" i="27"/>
  <c r="P296" i="27" s="1"/>
  <c r="M312" i="27"/>
  <c r="P312" i="27" s="1"/>
  <c r="M316" i="27"/>
  <c r="Q316" i="27" s="1"/>
  <c r="W316" i="27" s="1"/>
  <c r="X316" i="27" s="1"/>
  <c r="M327" i="27"/>
  <c r="M330" i="27"/>
  <c r="P330" i="27" s="1"/>
  <c r="M334" i="27"/>
  <c r="M338" i="27"/>
  <c r="K342" i="27"/>
  <c r="M346" i="27"/>
  <c r="M351" i="27"/>
  <c r="P351" i="27" s="1"/>
  <c r="M342" i="27"/>
  <c r="Q342" i="27" s="1"/>
  <c r="W342" i="27" s="1"/>
  <c r="X342" i="27" s="1"/>
  <c r="L41" i="27"/>
  <c r="N41" i="27" s="1"/>
  <c r="Q41" i="27" s="1"/>
  <c r="W41" i="27" s="1"/>
  <c r="X41" i="27" s="1"/>
  <c r="V41" i="27"/>
  <c r="L64" i="27"/>
  <c r="N64" i="27" s="1"/>
  <c r="Q64" i="27" s="1"/>
  <c r="W64" i="27" s="1"/>
  <c r="X64" i="27" s="1"/>
  <c r="V64" i="27"/>
  <c r="V28" i="27"/>
  <c r="V24" i="27"/>
  <c r="V27" i="27"/>
  <c r="Q29" i="27"/>
  <c r="W29" i="27" s="1"/>
  <c r="X29" i="27" s="1"/>
  <c r="L37" i="27"/>
  <c r="N37" i="27" s="1"/>
  <c r="Q37" i="27" s="1"/>
  <c r="W37" i="27" s="1"/>
  <c r="X37" i="27" s="1"/>
  <c r="V37" i="27"/>
  <c r="V44" i="27"/>
  <c r="Q46" i="27"/>
  <c r="W46" i="27" s="1"/>
  <c r="X46" i="27" s="1"/>
  <c r="L68" i="27"/>
  <c r="N68" i="27" s="1"/>
  <c r="Q68" i="27" s="1"/>
  <c r="W68" i="27" s="1"/>
  <c r="X68" i="27" s="1"/>
  <c r="V68" i="27"/>
  <c r="L45" i="27"/>
  <c r="N45" i="27" s="1"/>
  <c r="Q45" i="27" s="1"/>
  <c r="W45" i="27" s="1"/>
  <c r="X45" i="27" s="1"/>
  <c r="V45" i="27"/>
  <c r="L65" i="27"/>
  <c r="N65" i="27" s="1"/>
  <c r="Q65" i="27" s="1"/>
  <c r="W65" i="27" s="1"/>
  <c r="X65" i="27" s="1"/>
  <c r="V65" i="27"/>
  <c r="AA23" i="27"/>
  <c r="V25" i="27"/>
  <c r="V42" i="27"/>
  <c r="V46" i="27"/>
  <c r="V51" i="27"/>
  <c r="V66" i="27"/>
  <c r="N66" i="27"/>
  <c r="Q66" i="27" s="1"/>
  <c r="W66" i="27" s="1"/>
  <c r="X66" i="27" s="1"/>
  <c r="N67" i="27"/>
  <c r="Q67" i="27" s="1"/>
  <c r="W67" i="27" s="1"/>
  <c r="X67" i="27" s="1"/>
  <c r="V75" i="27"/>
  <c r="Q80" i="27"/>
  <c r="W80" i="27" s="1"/>
  <c r="X80" i="27" s="1"/>
  <c r="V83" i="27"/>
  <c r="N89" i="27"/>
  <c r="Q89" i="27" s="1"/>
  <c r="W89" i="27" s="1"/>
  <c r="X89" i="27" s="1"/>
  <c r="V91" i="27"/>
  <c r="V99" i="27"/>
  <c r="V102" i="27"/>
  <c r="Q104" i="27"/>
  <c r="W104" i="27" s="1"/>
  <c r="X104" i="27" s="1"/>
  <c r="V107" i="27"/>
  <c r="V110" i="27"/>
  <c r="L116" i="27"/>
  <c r="N116" i="27" s="1"/>
  <c r="Q116" i="27" s="1"/>
  <c r="W116" i="27" s="1"/>
  <c r="X116" i="27" s="1"/>
  <c r="V116" i="27"/>
  <c r="V123" i="27"/>
  <c r="M363" i="27"/>
  <c r="M362" i="27"/>
  <c r="M360" i="27"/>
  <c r="V29" i="27"/>
  <c r="V33" i="27"/>
  <c r="N31" i="27"/>
  <c r="Q31" i="27" s="1"/>
  <c r="W31" i="27" s="1"/>
  <c r="X31" i="27" s="1"/>
  <c r="N40" i="27"/>
  <c r="Q40" i="27" s="1"/>
  <c r="W40" i="27" s="1"/>
  <c r="X40" i="27" s="1"/>
  <c r="N48" i="27"/>
  <c r="Q48" i="27" s="1"/>
  <c r="W48" i="27" s="1"/>
  <c r="X48" i="27" s="1"/>
  <c r="V49" i="27"/>
  <c r="N56" i="27"/>
  <c r="Q56" i="27" s="1"/>
  <c r="W56" i="27" s="1"/>
  <c r="X56" i="27" s="1"/>
  <c r="L112" i="27"/>
  <c r="N112" i="27" s="1"/>
  <c r="Q112" i="27" s="1"/>
  <c r="W112" i="27" s="1"/>
  <c r="X112" i="27" s="1"/>
  <c r="V112" i="27"/>
  <c r="V119" i="27"/>
  <c r="V38" i="27"/>
  <c r="I353" i="27"/>
  <c r="U353" i="27"/>
  <c r="N27" i="27"/>
  <c r="Q27" i="27" s="1"/>
  <c r="W27" i="27" s="1"/>
  <c r="X27" i="27" s="1"/>
  <c r="N35" i="27"/>
  <c r="Q35" i="27" s="1"/>
  <c r="W35" i="27" s="1"/>
  <c r="X35" i="27" s="1"/>
  <c r="N44" i="27"/>
  <c r="Q44" i="27" s="1"/>
  <c r="W44" i="27" s="1"/>
  <c r="X44" i="27" s="1"/>
  <c r="K23" i="27"/>
  <c r="V23" i="27" s="1"/>
  <c r="P353" i="27"/>
  <c r="N34" i="27"/>
  <c r="Q34" i="27" s="1"/>
  <c r="W34" i="27" s="1"/>
  <c r="X34" i="27" s="1"/>
  <c r="N39" i="27"/>
  <c r="Q39" i="27" s="1"/>
  <c r="W39" i="27" s="1"/>
  <c r="X39" i="27" s="1"/>
  <c r="N43" i="27"/>
  <c r="Q43" i="27" s="1"/>
  <c r="W43" i="27" s="1"/>
  <c r="X43" i="27" s="1"/>
  <c r="N47" i="27"/>
  <c r="Q47" i="27" s="1"/>
  <c r="W47" i="27" s="1"/>
  <c r="X47" i="27" s="1"/>
  <c r="N53" i="27"/>
  <c r="Q53" i="27" s="1"/>
  <c r="W53" i="27" s="1"/>
  <c r="X53" i="27" s="1"/>
  <c r="N57" i="27"/>
  <c r="Q57" i="27" s="1"/>
  <c r="W57" i="27" s="1"/>
  <c r="X57" i="27" s="1"/>
  <c r="N63" i="27"/>
  <c r="Q63" i="27" s="1"/>
  <c r="W63" i="27" s="1"/>
  <c r="X63" i="27" s="1"/>
  <c r="L72" i="27"/>
  <c r="N72" i="27" s="1"/>
  <c r="Q72" i="27" s="1"/>
  <c r="W72" i="27" s="1"/>
  <c r="X72" i="27" s="1"/>
  <c r="V72" i="27"/>
  <c r="L76" i="27"/>
  <c r="N76" i="27" s="1"/>
  <c r="Q76" i="27" s="1"/>
  <c r="W76" i="27" s="1"/>
  <c r="X76" i="27" s="1"/>
  <c r="V76" i="27"/>
  <c r="L124" i="27"/>
  <c r="N124" i="27" s="1"/>
  <c r="Q124" i="27" s="1"/>
  <c r="W124" i="27" s="1"/>
  <c r="X124" i="27" s="1"/>
  <c r="V124" i="27"/>
  <c r="A24" i="27"/>
  <c r="AA24" i="27" s="1"/>
  <c r="N51" i="27"/>
  <c r="Q51" i="27" s="1"/>
  <c r="W51" i="27" s="1"/>
  <c r="X51" i="27" s="1"/>
  <c r="N55" i="27"/>
  <c r="Q55" i="27" s="1"/>
  <c r="W55" i="27" s="1"/>
  <c r="X55" i="27" s="1"/>
  <c r="V59" i="27"/>
  <c r="N59" i="27"/>
  <c r="Q59" i="27" s="1"/>
  <c r="W59" i="27" s="1"/>
  <c r="X59" i="27" s="1"/>
  <c r="N60" i="27"/>
  <c r="Q60" i="27" s="1"/>
  <c r="W60" i="27" s="1"/>
  <c r="X60" i="27" s="1"/>
  <c r="V71" i="27"/>
  <c r="N71" i="27"/>
  <c r="Q71" i="27" s="1"/>
  <c r="W71" i="27" s="1"/>
  <c r="X71" i="27" s="1"/>
  <c r="L88" i="27"/>
  <c r="N88" i="27" s="1"/>
  <c r="Q88" i="27" s="1"/>
  <c r="W88" i="27" s="1"/>
  <c r="X88" i="27" s="1"/>
  <c r="V88" i="27"/>
  <c r="V103" i="27"/>
  <c r="N125" i="27"/>
  <c r="Q125" i="27" s="1"/>
  <c r="W125" i="27" s="1"/>
  <c r="X125" i="27" s="1"/>
  <c r="L128" i="27"/>
  <c r="N128" i="27" s="1"/>
  <c r="Q128" i="27" s="1"/>
  <c r="W128" i="27" s="1"/>
  <c r="X128" i="27" s="1"/>
  <c r="V128" i="27"/>
  <c r="V132" i="27"/>
  <c r="V73" i="27"/>
  <c r="V77" i="27"/>
  <c r="V89" i="27"/>
  <c r="V97" i="27"/>
  <c r="V101" i="27"/>
  <c r="V113" i="27"/>
  <c r="V117" i="27"/>
  <c r="V125" i="27"/>
  <c r="V129" i="27"/>
  <c r="N130" i="27"/>
  <c r="Q130" i="27" s="1"/>
  <c r="W130" i="27" s="1"/>
  <c r="X130" i="27" s="1"/>
  <c r="V133" i="27"/>
  <c r="N134" i="27"/>
  <c r="Q134" i="27" s="1"/>
  <c r="W134" i="27" s="1"/>
  <c r="X134" i="27" s="1"/>
  <c r="V134" i="27"/>
  <c r="Q136" i="27"/>
  <c r="W136" i="27" s="1"/>
  <c r="X136" i="27" s="1"/>
  <c r="L141" i="27"/>
  <c r="N141" i="27" s="1"/>
  <c r="Q141" i="27" s="1"/>
  <c r="W141" i="27" s="1"/>
  <c r="X141" i="27" s="1"/>
  <c r="V141" i="27"/>
  <c r="L150" i="27"/>
  <c r="N150" i="27" s="1"/>
  <c r="Q150" i="27" s="1"/>
  <c r="W150" i="27" s="1"/>
  <c r="X150" i="27" s="1"/>
  <c r="V150" i="27"/>
  <c r="N159" i="27"/>
  <c r="Q159" i="27" s="1"/>
  <c r="W159" i="27" s="1"/>
  <c r="X159" i="27" s="1"/>
  <c r="Q161" i="27"/>
  <c r="W161" i="27" s="1"/>
  <c r="X161" i="27" s="1"/>
  <c r="N75" i="27"/>
  <c r="Q75" i="27" s="1"/>
  <c r="W75" i="27" s="1"/>
  <c r="X75" i="27" s="1"/>
  <c r="N79" i="27"/>
  <c r="Q79" i="27" s="1"/>
  <c r="W79" i="27" s="1"/>
  <c r="X79" i="27" s="1"/>
  <c r="V80" i="27"/>
  <c r="N83" i="27"/>
  <c r="Q83" i="27" s="1"/>
  <c r="W83" i="27" s="1"/>
  <c r="X83" i="27" s="1"/>
  <c r="V84" i="27"/>
  <c r="N87" i="27"/>
  <c r="Q87" i="27" s="1"/>
  <c r="W87" i="27" s="1"/>
  <c r="X87" i="27" s="1"/>
  <c r="N91" i="27"/>
  <c r="Q91" i="27" s="1"/>
  <c r="W91" i="27" s="1"/>
  <c r="X91" i="27" s="1"/>
  <c r="V92" i="27"/>
  <c r="V96" i="27"/>
  <c r="V100" i="27"/>
  <c r="N103" i="27"/>
  <c r="Q103" i="27" s="1"/>
  <c r="W103" i="27" s="1"/>
  <c r="X103" i="27" s="1"/>
  <c r="V104" i="27"/>
  <c r="N107" i="27"/>
  <c r="Q107" i="27" s="1"/>
  <c r="W107" i="27" s="1"/>
  <c r="X107" i="27" s="1"/>
  <c r="V108" i="27"/>
  <c r="N111" i="27"/>
  <c r="Q111" i="27" s="1"/>
  <c r="W111" i="27" s="1"/>
  <c r="X111" i="27" s="1"/>
  <c r="N115" i="27"/>
  <c r="Q115" i="27" s="1"/>
  <c r="W115" i="27" s="1"/>
  <c r="X115" i="27" s="1"/>
  <c r="N119" i="27"/>
  <c r="Q119" i="27" s="1"/>
  <c r="W119" i="27" s="1"/>
  <c r="X119" i="27" s="1"/>
  <c r="V120" i="27"/>
  <c r="N123" i="27"/>
  <c r="Q123" i="27" s="1"/>
  <c r="W123" i="27" s="1"/>
  <c r="X123" i="27" s="1"/>
  <c r="N127" i="27"/>
  <c r="Q127" i="27" s="1"/>
  <c r="W127" i="27" s="1"/>
  <c r="X127" i="27" s="1"/>
  <c r="V130" i="27"/>
  <c r="N70" i="27"/>
  <c r="Q70" i="27" s="1"/>
  <c r="W70" i="27" s="1"/>
  <c r="X70" i="27" s="1"/>
  <c r="N74" i="27"/>
  <c r="Q74" i="27" s="1"/>
  <c r="W74" i="27" s="1"/>
  <c r="X74" i="27" s="1"/>
  <c r="N78" i="27"/>
  <c r="Q78" i="27" s="1"/>
  <c r="W78" i="27" s="1"/>
  <c r="X78" i="27" s="1"/>
  <c r="N82" i="27"/>
  <c r="Q82" i="27" s="1"/>
  <c r="W82" i="27" s="1"/>
  <c r="X82" i="27" s="1"/>
  <c r="N86" i="27"/>
  <c r="Q86" i="27" s="1"/>
  <c r="W86" i="27" s="1"/>
  <c r="X86" i="27" s="1"/>
  <c r="N90" i="27"/>
  <c r="Q90" i="27" s="1"/>
  <c r="W90" i="27" s="1"/>
  <c r="X90" i="27" s="1"/>
  <c r="N94" i="27"/>
  <c r="Q94" i="27" s="1"/>
  <c r="W94" i="27" s="1"/>
  <c r="X94" i="27" s="1"/>
  <c r="N98" i="27"/>
  <c r="Q98" i="27" s="1"/>
  <c r="W98" i="27" s="1"/>
  <c r="X98" i="27" s="1"/>
  <c r="N102" i="27"/>
  <c r="Q102" i="27" s="1"/>
  <c r="W102" i="27" s="1"/>
  <c r="X102" i="27" s="1"/>
  <c r="N106" i="27"/>
  <c r="Q106" i="27" s="1"/>
  <c r="W106" i="27" s="1"/>
  <c r="X106" i="27" s="1"/>
  <c r="N110" i="27"/>
  <c r="Q110" i="27" s="1"/>
  <c r="W110" i="27" s="1"/>
  <c r="X110" i="27" s="1"/>
  <c r="N114" i="27"/>
  <c r="Q114" i="27" s="1"/>
  <c r="W114" i="27" s="1"/>
  <c r="X114" i="27" s="1"/>
  <c r="N118" i="27"/>
  <c r="Q118" i="27" s="1"/>
  <c r="W118" i="27" s="1"/>
  <c r="X118" i="27" s="1"/>
  <c r="N122" i="27"/>
  <c r="Q122" i="27" s="1"/>
  <c r="W122" i="27" s="1"/>
  <c r="X122" i="27" s="1"/>
  <c r="N126" i="27"/>
  <c r="Q126" i="27" s="1"/>
  <c r="W126" i="27" s="1"/>
  <c r="X126" i="27" s="1"/>
  <c r="N131" i="27"/>
  <c r="Q131" i="27" s="1"/>
  <c r="W131" i="27" s="1"/>
  <c r="X131" i="27" s="1"/>
  <c r="V135" i="27"/>
  <c r="N135" i="27"/>
  <c r="Q135" i="27" s="1"/>
  <c r="W135" i="27" s="1"/>
  <c r="X135" i="27" s="1"/>
  <c r="L146" i="27"/>
  <c r="N146" i="27" s="1"/>
  <c r="Q146" i="27" s="1"/>
  <c r="W146" i="27" s="1"/>
  <c r="X146" i="27" s="1"/>
  <c r="V146" i="27"/>
  <c r="L154" i="27"/>
  <c r="N154" i="27" s="1"/>
  <c r="Q154" i="27" s="1"/>
  <c r="W154" i="27" s="1"/>
  <c r="X154" i="27" s="1"/>
  <c r="V154" i="27"/>
  <c r="L174" i="27"/>
  <c r="N174" i="27" s="1"/>
  <c r="Q174" i="27" s="1"/>
  <c r="W174" i="27" s="1"/>
  <c r="X174" i="27" s="1"/>
  <c r="V174" i="27"/>
  <c r="N132" i="27"/>
  <c r="Q132" i="27" s="1"/>
  <c r="W132" i="27" s="1"/>
  <c r="X132" i="27" s="1"/>
  <c r="V137" i="27"/>
  <c r="V139" i="27"/>
  <c r="N147" i="27"/>
  <c r="Q147" i="27" s="1"/>
  <c r="W147" i="27" s="1"/>
  <c r="X147" i="27" s="1"/>
  <c r="N155" i="27"/>
  <c r="Q155" i="27" s="1"/>
  <c r="W155" i="27" s="1"/>
  <c r="X155" i="27" s="1"/>
  <c r="V160" i="27"/>
  <c r="V163" i="27"/>
  <c r="V138" i="27"/>
  <c r="V143" i="27"/>
  <c r="V147" i="27"/>
  <c r="V151" i="27"/>
  <c r="V155" i="27"/>
  <c r="V162" i="27"/>
  <c r="V166" i="27"/>
  <c r="N172" i="27"/>
  <c r="Q172" i="27" s="1"/>
  <c r="W172" i="27" s="1"/>
  <c r="X172" i="27" s="1"/>
  <c r="N189" i="27"/>
  <c r="Q189" i="27" s="1"/>
  <c r="W189" i="27" s="1"/>
  <c r="X189" i="27" s="1"/>
  <c r="V206" i="27"/>
  <c r="N209" i="27"/>
  <c r="Q209" i="27" s="1"/>
  <c r="W209" i="27" s="1"/>
  <c r="X209" i="27" s="1"/>
  <c r="K142" i="27"/>
  <c r="N145" i="27"/>
  <c r="Q145" i="27" s="1"/>
  <c r="W145" i="27" s="1"/>
  <c r="X145" i="27" s="1"/>
  <c r="N149" i="27"/>
  <c r="Q149" i="27" s="1"/>
  <c r="W149" i="27" s="1"/>
  <c r="X149" i="27" s="1"/>
  <c r="N153" i="27"/>
  <c r="Q153" i="27" s="1"/>
  <c r="W153" i="27" s="1"/>
  <c r="X153" i="27" s="1"/>
  <c r="N157" i="27"/>
  <c r="Q157" i="27" s="1"/>
  <c r="W157" i="27" s="1"/>
  <c r="X157" i="27" s="1"/>
  <c r="V161" i="27"/>
  <c r="V169" i="27"/>
  <c r="L175" i="27"/>
  <c r="N175" i="27" s="1"/>
  <c r="Q175" i="27" s="1"/>
  <c r="W175" i="27" s="1"/>
  <c r="X175" i="27" s="1"/>
  <c r="V177" i="27"/>
  <c r="V186" i="27"/>
  <c r="N187" i="27"/>
  <c r="Q187" i="27" s="1"/>
  <c r="W187" i="27" s="1"/>
  <c r="X187" i="27" s="1"/>
  <c r="N196" i="27"/>
  <c r="Q196" i="27" s="1"/>
  <c r="W196" i="27" s="1"/>
  <c r="X196" i="27" s="1"/>
  <c r="Q198" i="27"/>
  <c r="W198" i="27" s="1"/>
  <c r="X198" i="27" s="1"/>
  <c r="V202" i="27"/>
  <c r="N205" i="27"/>
  <c r="Q205" i="27" s="1"/>
  <c r="W205" i="27" s="1"/>
  <c r="X205" i="27" s="1"/>
  <c r="Q206" i="27"/>
  <c r="W206" i="27" s="1"/>
  <c r="X206" i="27" s="1"/>
  <c r="N139" i="27"/>
  <c r="Q139" i="27" s="1"/>
  <c r="W139" i="27" s="1"/>
  <c r="X139" i="27" s="1"/>
  <c r="N163" i="27"/>
  <c r="Q163" i="27" s="1"/>
  <c r="W163" i="27" s="1"/>
  <c r="X163" i="27" s="1"/>
  <c r="N167" i="27"/>
  <c r="Q167" i="27" s="1"/>
  <c r="W167" i="27" s="1"/>
  <c r="X167" i="27" s="1"/>
  <c r="V173" i="27"/>
  <c r="N176" i="27"/>
  <c r="Q176" i="27" s="1"/>
  <c r="W176" i="27" s="1"/>
  <c r="X176" i="27" s="1"/>
  <c r="N201" i="27"/>
  <c r="Q201" i="27" s="1"/>
  <c r="W201" i="27" s="1"/>
  <c r="X201" i="27" s="1"/>
  <c r="Q203" i="27"/>
  <c r="W203" i="27" s="1"/>
  <c r="X203" i="27" s="1"/>
  <c r="N173" i="27"/>
  <c r="Q173" i="27" s="1"/>
  <c r="W173" i="27" s="1"/>
  <c r="X173" i="27" s="1"/>
  <c r="V182" i="27"/>
  <c r="N183" i="27"/>
  <c r="Q183" i="27" s="1"/>
  <c r="W183" i="27" s="1"/>
  <c r="X183" i="27" s="1"/>
  <c r="N191" i="27"/>
  <c r="Q191" i="27" s="1"/>
  <c r="W191" i="27" s="1"/>
  <c r="X191" i="27" s="1"/>
  <c r="V176" i="27"/>
  <c r="V183" i="27"/>
  <c r="V187" i="27"/>
  <c r="V191" i="27"/>
  <c r="N195" i="27"/>
  <c r="Q195" i="27" s="1"/>
  <c r="W195" i="27" s="1"/>
  <c r="X195" i="27" s="1"/>
  <c r="V196" i="27"/>
  <c r="N199" i="27"/>
  <c r="Q199" i="27" s="1"/>
  <c r="W199" i="27" s="1"/>
  <c r="X199" i="27" s="1"/>
  <c r="V200" i="27"/>
  <c r="V205" i="27"/>
  <c r="N208" i="27"/>
  <c r="Q208" i="27" s="1"/>
  <c r="W208" i="27" s="1"/>
  <c r="X208" i="27" s="1"/>
  <c r="V209" i="27"/>
  <c r="V213" i="27"/>
  <c r="N181" i="27"/>
  <c r="Q181" i="27" s="1"/>
  <c r="W181" i="27" s="1"/>
  <c r="X181" i="27" s="1"/>
  <c r="N185" i="27"/>
  <c r="Q185" i="27" s="1"/>
  <c r="W185" i="27" s="1"/>
  <c r="X185" i="27" s="1"/>
  <c r="N193" i="27"/>
  <c r="Q193" i="27" s="1"/>
  <c r="W193" i="27" s="1"/>
  <c r="X193" i="27" s="1"/>
  <c r="V223" i="27"/>
  <c r="V232" i="27"/>
  <c r="V240" i="27"/>
  <c r="N177" i="27"/>
  <c r="Q177" i="27" s="1"/>
  <c r="W177" i="27" s="1"/>
  <c r="X177" i="27" s="1"/>
  <c r="V178" i="27"/>
  <c r="V189" i="27"/>
  <c r="V194" i="27"/>
  <c r="V198" i="27"/>
  <c r="V203" i="27"/>
  <c r="V207" i="27"/>
  <c r="V215" i="27"/>
  <c r="V217" i="27"/>
  <c r="V218" i="27"/>
  <c r="N218" i="27"/>
  <c r="Q218" i="27" s="1"/>
  <c r="W218" i="27" s="1"/>
  <c r="X218" i="27" s="1"/>
  <c r="V220" i="27"/>
  <c r="L220" i="27"/>
  <c r="N220" i="27" s="1"/>
  <c r="Q220" i="27" s="1"/>
  <c r="W220" i="27" s="1"/>
  <c r="X220" i="27" s="1"/>
  <c r="V246" i="27"/>
  <c r="N216" i="27"/>
  <c r="Q216" i="27" s="1"/>
  <c r="W216" i="27" s="1"/>
  <c r="X216" i="27" s="1"/>
  <c r="V228" i="27"/>
  <c r="V236" i="27"/>
  <c r="V244" i="27"/>
  <c r="N222" i="27"/>
  <c r="Q222" i="27" s="1"/>
  <c r="W222" i="27" s="1"/>
  <c r="X222" i="27" s="1"/>
  <c r="L224" i="27"/>
  <c r="N224" i="27" s="1"/>
  <c r="Q224" i="27" s="1"/>
  <c r="W224" i="27" s="1"/>
  <c r="X224" i="27" s="1"/>
  <c r="N227" i="27"/>
  <c r="Q227" i="27" s="1"/>
  <c r="W227" i="27" s="1"/>
  <c r="X227" i="27" s="1"/>
  <c r="L229" i="27"/>
  <c r="N229" i="27" s="1"/>
  <c r="Q229" i="27" s="1"/>
  <c r="W229" i="27" s="1"/>
  <c r="X229" i="27" s="1"/>
  <c r="N231" i="27"/>
  <c r="Q231" i="27" s="1"/>
  <c r="W231" i="27" s="1"/>
  <c r="X231" i="27" s="1"/>
  <c r="L233" i="27"/>
  <c r="N233" i="27" s="1"/>
  <c r="Q233" i="27" s="1"/>
  <c r="W233" i="27" s="1"/>
  <c r="X233" i="27" s="1"/>
  <c r="N235" i="27"/>
  <c r="Q235" i="27" s="1"/>
  <c r="W235" i="27" s="1"/>
  <c r="X235" i="27" s="1"/>
  <c r="L237" i="27"/>
  <c r="N237" i="27" s="1"/>
  <c r="Q237" i="27" s="1"/>
  <c r="W237" i="27" s="1"/>
  <c r="X237" i="27" s="1"/>
  <c r="N239" i="27"/>
  <c r="Q239" i="27" s="1"/>
  <c r="W239" i="27" s="1"/>
  <c r="X239" i="27" s="1"/>
  <c r="L241" i="27"/>
  <c r="N241" i="27" s="1"/>
  <c r="Q241" i="27" s="1"/>
  <c r="W241" i="27" s="1"/>
  <c r="X241" i="27" s="1"/>
  <c r="N243" i="27"/>
  <c r="Q243" i="27" s="1"/>
  <c r="W243" i="27" s="1"/>
  <c r="X243" i="27" s="1"/>
  <c r="L245" i="27"/>
  <c r="N245" i="27" s="1"/>
  <c r="Q245" i="27" s="1"/>
  <c r="W245" i="27" s="1"/>
  <c r="X245" i="27" s="1"/>
  <c r="N247" i="27"/>
  <c r="Q247" i="27" s="1"/>
  <c r="W247" i="27" s="1"/>
  <c r="X247" i="27" s="1"/>
  <c r="N249" i="27"/>
  <c r="Q249" i="27" s="1"/>
  <c r="W249" i="27" s="1"/>
  <c r="X249" i="27" s="1"/>
  <c r="N253" i="27"/>
  <c r="Q253" i="27" s="1"/>
  <c r="W253" i="27" s="1"/>
  <c r="X253" i="27" s="1"/>
  <c r="V253" i="27"/>
  <c r="V257" i="27"/>
  <c r="V269" i="27"/>
  <c r="N269" i="27"/>
  <c r="Q269" i="27" s="1"/>
  <c r="W269" i="27" s="1"/>
  <c r="X269" i="27" s="1"/>
  <c r="V270" i="27"/>
  <c r="V268" i="27"/>
  <c r="N271" i="27"/>
  <c r="V271" i="27"/>
  <c r="V273" i="27"/>
  <c r="N273" i="27"/>
  <c r="Q273" i="27" s="1"/>
  <c r="W273" i="27" s="1"/>
  <c r="X273" i="27" s="1"/>
  <c r="V274" i="27"/>
  <c r="V248" i="27"/>
  <c r="V251" i="27"/>
  <c r="V254" i="27"/>
  <c r="V255" i="27"/>
  <c r="V258" i="27"/>
  <c r="V261" i="27"/>
  <c r="N261" i="27"/>
  <c r="Q261" i="27" s="1"/>
  <c r="W261" i="27" s="1"/>
  <c r="X261" i="27" s="1"/>
  <c r="Q271" i="27"/>
  <c r="W271" i="27" s="1"/>
  <c r="X271" i="27" s="1"/>
  <c r="V277" i="27"/>
  <c r="N277" i="27"/>
  <c r="Q277" i="27" s="1"/>
  <c r="W277" i="27" s="1"/>
  <c r="X277" i="27" s="1"/>
  <c r="V278" i="27"/>
  <c r="V265" i="27"/>
  <c r="N265" i="27"/>
  <c r="Q265" i="27" s="1"/>
  <c r="W265" i="27" s="1"/>
  <c r="X265" i="27" s="1"/>
  <c r="V266" i="27"/>
  <c r="V281" i="27"/>
  <c r="N281" i="27"/>
  <c r="Q281" i="27" s="1"/>
  <c r="W281" i="27" s="1"/>
  <c r="X281" i="27" s="1"/>
  <c r="V282" i="27"/>
  <c r="V286" i="27"/>
  <c r="N287" i="27"/>
  <c r="Q287" i="27" s="1"/>
  <c r="W287" i="27" s="1"/>
  <c r="X287" i="27" s="1"/>
  <c r="V287" i="27"/>
  <c r="N285" i="27"/>
  <c r="Q285" i="27" s="1"/>
  <c r="W285" i="27" s="1"/>
  <c r="X285" i="27" s="1"/>
  <c r="P340" i="27" l="1"/>
  <c r="Q290" i="27"/>
  <c r="W290" i="27" s="1"/>
  <c r="X290" i="27" s="1"/>
  <c r="Q324" i="27"/>
  <c r="W324" i="27" s="1"/>
  <c r="X324" i="27" s="1"/>
  <c r="V226" i="27"/>
  <c r="V201" i="27"/>
  <c r="Q294" i="27"/>
  <c r="W294" i="27" s="1"/>
  <c r="X294" i="27" s="1"/>
  <c r="E93" i="35"/>
  <c r="E321" i="34"/>
  <c r="E331" i="35"/>
  <c r="Q341" i="27"/>
  <c r="W341" i="27" s="1"/>
  <c r="X341" i="27" s="1"/>
  <c r="E83" i="34"/>
  <c r="Q295" i="27"/>
  <c r="W295" i="27" s="1"/>
  <c r="X295" i="27" s="1"/>
  <c r="Z295" i="27" s="1"/>
  <c r="P347" i="27"/>
  <c r="Q307" i="27"/>
  <c r="W307" i="27" s="1"/>
  <c r="X307" i="27" s="1"/>
  <c r="Z307" i="27" s="1"/>
  <c r="Q333" i="27"/>
  <c r="W333" i="27" s="1"/>
  <c r="X333" i="27" s="1"/>
  <c r="Z333" i="27" s="1"/>
  <c r="Z349" i="27"/>
  <c r="Z309" i="27"/>
  <c r="Z287" i="27"/>
  <c r="Z247" i="27"/>
  <c r="Z222" i="27"/>
  <c r="Z181" i="27"/>
  <c r="Z183" i="27"/>
  <c r="Z145" i="27"/>
  <c r="Z132" i="27"/>
  <c r="Z102" i="27"/>
  <c r="Z70" i="27"/>
  <c r="Z87" i="27"/>
  <c r="Z136" i="27"/>
  <c r="Z128" i="27"/>
  <c r="Z59" i="27"/>
  <c r="Z116" i="27"/>
  <c r="Z47" i="27"/>
  <c r="Z99" i="27"/>
  <c r="Z89" i="27"/>
  <c r="Z37" i="27"/>
  <c r="Z270" i="27"/>
  <c r="Z228" i="27"/>
  <c r="Z52" i="27"/>
  <c r="Z331" i="27"/>
  <c r="Z238" i="27"/>
  <c r="Z326" i="27"/>
  <c r="Z278" i="27"/>
  <c r="Z197" i="27"/>
  <c r="Z105" i="27"/>
  <c r="Z276" i="27"/>
  <c r="Z299" i="27"/>
  <c r="Z73" i="27"/>
  <c r="Z25" i="27"/>
  <c r="Z347" i="27"/>
  <c r="Z258" i="27"/>
  <c r="Z277" i="27"/>
  <c r="Z245" i="27"/>
  <c r="Z237" i="27"/>
  <c r="Z229" i="27"/>
  <c r="Z176" i="27"/>
  <c r="Z139" i="27"/>
  <c r="Z198" i="27"/>
  <c r="Z157" i="27"/>
  <c r="Z172" i="27"/>
  <c r="Z165" i="27"/>
  <c r="Z147" i="27"/>
  <c r="Z131" i="27"/>
  <c r="Z114" i="27"/>
  <c r="Z98" i="27"/>
  <c r="Z82" i="27"/>
  <c r="Z119" i="27"/>
  <c r="Z107" i="27"/>
  <c r="Z75" i="27"/>
  <c r="Z150" i="27"/>
  <c r="Z125" i="27"/>
  <c r="Z71" i="27"/>
  <c r="Z63" i="27"/>
  <c r="Z43" i="27"/>
  <c r="Z56" i="27"/>
  <c r="Z31" i="27"/>
  <c r="Z67" i="27"/>
  <c r="Z46" i="27"/>
  <c r="Z29" i="27"/>
  <c r="Z342" i="27"/>
  <c r="Z318" i="27"/>
  <c r="Z352" i="27"/>
  <c r="Z286" i="27"/>
  <c r="Z264" i="27"/>
  <c r="Z257" i="27"/>
  <c r="Z236" i="27"/>
  <c r="Z226" i="27"/>
  <c r="Z210" i="27"/>
  <c r="Z178" i="27"/>
  <c r="Z120" i="27"/>
  <c r="Z113" i="27"/>
  <c r="Z85" i="27"/>
  <c r="Z329" i="27"/>
  <c r="Z251" i="27"/>
  <c r="Z230" i="27"/>
  <c r="Z204" i="27"/>
  <c r="Z151" i="27"/>
  <c r="Z101" i="27"/>
  <c r="Z30" i="27"/>
  <c r="Z324" i="27"/>
  <c r="Z340" i="27"/>
  <c r="Z280" i="27"/>
  <c r="Z268" i="27"/>
  <c r="Z225" i="27"/>
  <c r="Z212" i="27"/>
  <c r="Z188" i="27"/>
  <c r="Z300" i="27"/>
  <c r="Z345" i="27"/>
  <c r="Z303" i="27"/>
  <c r="Z267" i="27"/>
  <c r="Z240" i="27"/>
  <c r="Z194" i="27"/>
  <c r="Z152" i="27"/>
  <c r="Z38" i="27"/>
  <c r="Z200" i="27"/>
  <c r="Z291" i="27"/>
  <c r="Z171" i="27"/>
  <c r="Z92" i="27"/>
  <c r="Z314" i="27"/>
  <c r="Z169" i="27"/>
  <c r="Z93" i="27"/>
  <c r="Z343" i="27"/>
  <c r="Z254" i="27"/>
  <c r="Z348" i="27"/>
  <c r="Z261" i="27"/>
  <c r="Z239" i="27"/>
  <c r="Z218" i="27"/>
  <c r="Z199" i="27"/>
  <c r="Z201" i="27"/>
  <c r="Z189" i="27"/>
  <c r="Z154" i="27"/>
  <c r="Z118" i="27"/>
  <c r="Z86" i="27"/>
  <c r="Z79" i="27"/>
  <c r="Z130" i="27"/>
  <c r="Z88" i="27"/>
  <c r="Z51" i="27"/>
  <c r="Z72" i="27"/>
  <c r="Z27" i="27"/>
  <c r="Z40" i="27"/>
  <c r="Z45" i="27"/>
  <c r="Z41" i="27"/>
  <c r="Z182" i="27"/>
  <c r="Z32" i="27"/>
  <c r="Z156" i="27"/>
  <c r="Z293" i="27"/>
  <c r="Z214" i="27"/>
  <c r="Z304" i="27"/>
  <c r="Z248" i="27"/>
  <c r="Z285" i="27"/>
  <c r="Z253" i="27"/>
  <c r="Z235" i="27"/>
  <c r="Z227" i="27"/>
  <c r="Z220" i="27"/>
  <c r="Z177" i="27"/>
  <c r="Z193" i="27"/>
  <c r="Z195" i="27"/>
  <c r="Z173" i="27"/>
  <c r="Z206" i="27"/>
  <c r="Z196" i="27"/>
  <c r="Z175" i="27"/>
  <c r="Z153" i="27"/>
  <c r="Z209" i="27"/>
  <c r="Z174" i="27"/>
  <c r="Z146" i="27"/>
  <c r="Z126" i="27"/>
  <c r="Z110" i="27"/>
  <c r="Z94" i="27"/>
  <c r="Z78" i="27"/>
  <c r="Z127" i="27"/>
  <c r="Z115" i="27"/>
  <c r="Z83" i="27"/>
  <c r="Z161" i="27"/>
  <c r="Z134" i="27"/>
  <c r="Z55" i="27"/>
  <c r="Z76" i="27"/>
  <c r="Z57" i="27"/>
  <c r="Z39" i="27"/>
  <c r="Z44" i="27"/>
  <c r="Z80" i="27"/>
  <c r="Z66" i="27"/>
  <c r="Z65" i="27"/>
  <c r="Z68" i="27"/>
  <c r="Z64" i="27"/>
  <c r="Z316" i="27"/>
  <c r="Z350" i="27"/>
  <c r="Z244" i="27"/>
  <c r="Z190" i="27"/>
  <c r="Z137" i="27"/>
  <c r="Z97" i="27"/>
  <c r="Z62" i="27"/>
  <c r="Z95" i="27"/>
  <c r="Z61" i="27"/>
  <c r="Z250" i="27"/>
  <c r="Z221" i="27"/>
  <c r="Z192" i="27"/>
  <c r="Z148" i="27"/>
  <c r="Z58" i="27"/>
  <c r="Z162" i="27"/>
  <c r="Z109" i="27"/>
  <c r="Z219" i="27"/>
  <c r="Z207" i="27"/>
  <c r="Z166" i="27"/>
  <c r="Z121" i="27"/>
  <c r="Z81" i="27"/>
  <c r="Z339" i="27"/>
  <c r="Z298" i="27"/>
  <c r="Z256" i="27"/>
  <c r="Z186" i="27"/>
  <c r="Z33" i="27"/>
  <c r="Z158" i="27"/>
  <c r="Z289" i="27"/>
  <c r="Z341" i="27"/>
  <c r="Z262" i="27"/>
  <c r="Z320" i="27"/>
  <c r="Z311" i="27"/>
  <c r="Z344" i="27"/>
  <c r="Z335" i="27"/>
  <c r="Z325" i="27"/>
  <c r="Z321" i="27"/>
  <c r="Z266" i="27"/>
  <c r="Z28" i="27"/>
  <c r="Z273" i="27"/>
  <c r="Z231" i="27"/>
  <c r="Z216" i="27"/>
  <c r="Z208" i="27"/>
  <c r="Z163" i="27"/>
  <c r="Z155" i="27"/>
  <c r="Z129" i="27"/>
  <c r="Z104" i="27"/>
  <c r="Z24" i="27"/>
  <c r="Z294" i="27"/>
  <c r="Z211" i="27"/>
  <c r="Z168" i="27"/>
  <c r="Z138" i="27"/>
  <c r="Z272" i="27"/>
  <c r="Z140" i="27"/>
  <c r="Z50" i="27"/>
  <c r="Z234" i="27"/>
  <c r="Z179" i="27"/>
  <c r="Z26" i="27"/>
  <c r="Z202" i="27"/>
  <c r="Z232" i="27"/>
  <c r="Z96" i="27"/>
  <c r="Z317" i="27"/>
  <c r="Z305" i="27"/>
  <c r="Z274" i="27"/>
  <c r="Z265" i="27"/>
  <c r="Z269" i="27"/>
  <c r="Z243" i="27"/>
  <c r="Z281" i="27"/>
  <c r="Z271" i="27"/>
  <c r="Z249" i="27"/>
  <c r="Z241" i="27"/>
  <c r="Z233" i="27"/>
  <c r="Z224" i="27"/>
  <c r="Z185" i="27"/>
  <c r="Z191" i="27"/>
  <c r="Z203" i="27"/>
  <c r="Z167" i="27"/>
  <c r="Z205" i="27"/>
  <c r="Z187" i="27"/>
  <c r="Z149" i="27"/>
  <c r="Z135" i="27"/>
  <c r="Z122" i="27"/>
  <c r="Z106" i="27"/>
  <c r="Z90" i="27"/>
  <c r="Z74" i="27"/>
  <c r="Z123" i="27"/>
  <c r="Z111" i="27"/>
  <c r="Z103" i="27"/>
  <c r="Z91" i="27"/>
  <c r="Z159" i="27"/>
  <c r="Z141" i="27"/>
  <c r="Z60" i="27"/>
  <c r="Z53" i="27"/>
  <c r="Z124" i="27"/>
  <c r="Z34" i="27"/>
  <c r="Z35" i="27"/>
  <c r="Z112" i="27"/>
  <c r="Z48" i="27"/>
  <c r="Z77" i="27"/>
  <c r="Z42" i="27"/>
  <c r="Z308" i="27"/>
  <c r="Z275" i="27"/>
  <c r="Z263" i="27"/>
  <c r="Z255" i="27"/>
  <c r="Z217" i="27"/>
  <c r="Z170" i="27"/>
  <c r="Z160" i="27"/>
  <c r="Z133" i="27"/>
  <c r="Z117" i="27"/>
  <c r="Z336" i="27"/>
  <c r="Z315" i="27"/>
  <c r="Z288" i="27"/>
  <c r="Z259" i="27"/>
  <c r="Z246" i="27"/>
  <c r="Z213" i="27"/>
  <c r="Z184" i="27"/>
  <c r="Z164" i="27"/>
  <c r="Z143" i="27"/>
  <c r="Z283" i="27"/>
  <c r="Z332" i="27"/>
  <c r="Z279" i="27"/>
  <c r="Z242" i="27"/>
  <c r="Z215" i="27"/>
  <c r="Z290" i="27"/>
  <c r="Z54" i="27"/>
  <c r="Z292" i="27"/>
  <c r="Z284" i="27"/>
  <c r="Z252" i="27"/>
  <c r="Z180" i="27"/>
  <c r="Z49" i="27"/>
  <c r="Z260" i="27"/>
  <c r="Z108" i="27"/>
  <c r="Z84" i="27"/>
  <c r="Z319" i="27"/>
  <c r="Z100" i="27"/>
  <c r="Z69" i="27"/>
  <c r="Z144" i="27"/>
  <c r="Z36" i="27"/>
  <c r="Z282" i="27"/>
  <c r="Z306" i="27"/>
  <c r="Z223" i="27"/>
  <c r="Z302" i="27"/>
  <c r="Z313" i="27"/>
  <c r="P335" i="27"/>
  <c r="P309" i="27"/>
  <c r="Q323" i="27"/>
  <c r="W323" i="27" s="1"/>
  <c r="X323" i="27" s="1"/>
  <c r="Q351" i="27"/>
  <c r="W351" i="27" s="1"/>
  <c r="X351" i="27" s="1"/>
  <c r="Q322" i="27"/>
  <c r="W322" i="27" s="1"/>
  <c r="X322" i="27" s="1"/>
  <c r="Q338" i="27"/>
  <c r="W338" i="27" s="1"/>
  <c r="X338" i="27" s="1"/>
  <c r="P338" i="27"/>
  <c r="Q296" i="27"/>
  <c r="W296" i="27" s="1"/>
  <c r="X296" i="27" s="1"/>
  <c r="Q334" i="27"/>
  <c r="W334" i="27" s="1"/>
  <c r="X334" i="27" s="1"/>
  <c r="P334" i="27"/>
  <c r="P328" i="27"/>
  <c r="Q328" i="27"/>
  <c r="W328" i="27" s="1"/>
  <c r="X328" i="27" s="1"/>
  <c r="Q297" i="27"/>
  <c r="W297" i="27" s="1"/>
  <c r="X297" i="27" s="1"/>
  <c r="P297" i="27"/>
  <c r="P310" i="27"/>
  <c r="Q310" i="27"/>
  <c r="W310" i="27" s="1"/>
  <c r="X310" i="27" s="1"/>
  <c r="Q346" i="27"/>
  <c r="W346" i="27" s="1"/>
  <c r="X346" i="27" s="1"/>
  <c r="P346" i="27"/>
  <c r="Q330" i="27"/>
  <c r="W330" i="27" s="1"/>
  <c r="X330" i="27" s="1"/>
  <c r="P327" i="27"/>
  <c r="Q327" i="27"/>
  <c r="W327" i="27" s="1"/>
  <c r="X327" i="27" s="1"/>
  <c r="P337" i="27"/>
  <c r="Q337" i="27"/>
  <c r="W337" i="27" s="1"/>
  <c r="X337" i="27" s="1"/>
  <c r="P301" i="27"/>
  <c r="Q301" i="27"/>
  <c r="W301" i="27" s="1"/>
  <c r="X301" i="27" s="1"/>
  <c r="Q312" i="27"/>
  <c r="W312" i="27" s="1"/>
  <c r="X312" i="27" s="1"/>
  <c r="K353" i="27"/>
  <c r="L23" i="27"/>
  <c r="L142" i="27"/>
  <c r="N142" i="27" s="1"/>
  <c r="Q142" i="27" s="1"/>
  <c r="W142" i="27" s="1"/>
  <c r="X142" i="27" s="1"/>
  <c r="V142" i="27"/>
  <c r="V353" i="27" s="1"/>
  <c r="A25" i="27"/>
  <c r="Z142" i="27" l="1"/>
  <c r="Z301" i="27"/>
  <c r="Z327" i="27"/>
  <c r="Z346" i="27"/>
  <c r="Z297" i="27"/>
  <c r="Z334" i="27"/>
  <c r="Z322" i="27"/>
  <c r="Z310" i="27"/>
  <c r="Z328" i="27"/>
  <c r="Z296" i="27"/>
  <c r="Z351" i="27"/>
  <c r="Z312" i="27"/>
  <c r="Z338" i="27"/>
  <c r="Z337" i="27"/>
  <c r="Z330" i="27"/>
  <c r="Z323" i="27"/>
  <c r="AA25" i="27"/>
  <c r="A26" i="27"/>
  <c r="A27" i="27" s="1"/>
  <c r="AA27" i="27" s="1"/>
  <c r="L353" i="27"/>
  <c r="N23" i="27"/>
  <c r="AA26" i="27" l="1"/>
  <c r="A28" i="27"/>
  <c r="N353" i="27"/>
  <c r="Q23" i="27"/>
  <c r="A29" i="27" l="1"/>
  <c r="AA29" i="27" s="1"/>
  <c r="AA28" i="27"/>
  <c r="Q353" i="27"/>
  <c r="W23" i="27"/>
  <c r="A30" i="27"/>
  <c r="A31" i="27" l="1"/>
  <c r="W353" i="27"/>
  <c r="X23" i="27"/>
  <c r="AA30" i="27"/>
  <c r="A32" i="27"/>
  <c r="Z23" i="27" l="1"/>
  <c r="Z353" i="27" s="1"/>
  <c r="X353" i="27"/>
  <c r="AA31" i="27"/>
  <c r="A33" i="27"/>
  <c r="AA33" i="27" s="1"/>
  <c r="AA32" i="27"/>
  <c r="A34" i="27" l="1"/>
  <c r="AA34" i="27" s="1"/>
  <c r="A35" i="27" l="1"/>
  <c r="AA35" i="27" l="1"/>
  <c r="A36" i="27"/>
  <c r="AA36" i="27" l="1"/>
  <c r="A37" i="27"/>
  <c r="A38" i="27" s="1"/>
  <c r="AA38" i="27" s="1"/>
  <c r="AA37" i="27" l="1"/>
  <c r="A39" i="27"/>
  <c r="AA39" i="27" s="1"/>
  <c r="A40" i="27"/>
  <c r="AA40" i="27" s="1"/>
  <c r="A41" i="27" l="1"/>
  <c r="AA41" i="27" s="1"/>
  <c r="A42" i="27"/>
  <c r="AA42" i="27" l="1"/>
  <c r="A43" i="27"/>
  <c r="AA43" i="27" l="1"/>
  <c r="A44" i="27"/>
  <c r="AA44" i="27" l="1"/>
  <c r="A45" i="27"/>
  <c r="AA45" i="27" l="1"/>
  <c r="A46" i="27"/>
  <c r="AA46" i="27" l="1"/>
  <c r="A47" i="27"/>
  <c r="AA47" i="27" l="1"/>
  <c r="A48" i="27"/>
  <c r="AA48" i="27" l="1"/>
  <c r="A49" i="27"/>
  <c r="AA49" i="27" l="1"/>
  <c r="A50" i="27"/>
  <c r="AA50" i="27" l="1"/>
  <c r="A51" i="27"/>
  <c r="AA51" i="27" l="1"/>
  <c r="A52" i="27"/>
  <c r="AA52" i="27" l="1"/>
  <c r="A53" i="27"/>
  <c r="AA53" i="27" l="1"/>
  <c r="A54" i="27"/>
  <c r="AA54" i="27" l="1"/>
  <c r="A55" i="27"/>
  <c r="AA55" i="27" l="1"/>
  <c r="A56" i="27"/>
  <c r="AA56" i="27" l="1"/>
  <c r="A57" i="27"/>
  <c r="AA57" i="27" l="1"/>
  <c r="A58" i="27"/>
  <c r="AA58" i="27" l="1"/>
  <c r="A59" i="27"/>
  <c r="AA59" i="27" l="1"/>
  <c r="A60" i="27"/>
  <c r="AA60" i="27" l="1"/>
  <c r="A61" i="27"/>
  <c r="AA61" i="27" l="1"/>
  <c r="A62" i="27"/>
  <c r="AA62" i="27" l="1"/>
  <c r="A63" i="27"/>
  <c r="AA63" i="27" l="1"/>
  <c r="A64" i="27"/>
  <c r="AA64" i="27" l="1"/>
  <c r="A65" i="27"/>
  <c r="AA65" i="27" l="1"/>
  <c r="A66" i="27"/>
  <c r="AA66" i="27" l="1"/>
  <c r="A67" i="27"/>
  <c r="AA67" i="27" l="1"/>
  <c r="A68" i="27"/>
  <c r="AA68" i="27" l="1"/>
  <c r="A69" i="27"/>
  <c r="AA69" i="27" l="1"/>
  <c r="A70" i="27"/>
  <c r="AA70" i="27" l="1"/>
  <c r="A71" i="27"/>
  <c r="AA71" i="27" l="1"/>
  <c r="A72" i="27"/>
  <c r="AA72" i="27" l="1"/>
  <c r="A73" i="27"/>
  <c r="AA73" i="27" l="1"/>
  <c r="A74" i="27"/>
  <c r="AA74" i="27" l="1"/>
  <c r="A75" i="27"/>
  <c r="AA75" i="27" l="1"/>
  <c r="A76" i="27"/>
  <c r="AA76" i="27" l="1"/>
  <c r="A77" i="27"/>
  <c r="AA77" i="27" l="1"/>
  <c r="A78" i="27"/>
  <c r="AA78" i="27" l="1"/>
  <c r="A79" i="27"/>
  <c r="AA79" i="27" l="1"/>
  <c r="A80" i="27"/>
  <c r="AA80" i="27" l="1"/>
  <c r="A81" i="27"/>
  <c r="AA81" i="27" l="1"/>
  <c r="A82" i="27"/>
  <c r="AA82" i="27" l="1"/>
  <c r="A83" i="27"/>
  <c r="AA83" i="27" l="1"/>
  <c r="A84" i="27"/>
  <c r="AA84" i="27" l="1"/>
  <c r="A85" i="27"/>
  <c r="AA85" i="27" l="1"/>
  <c r="A86" i="27"/>
  <c r="AA86" i="27" l="1"/>
  <c r="A87" i="27"/>
  <c r="AA87" i="27" l="1"/>
  <c r="A88" i="27"/>
  <c r="AA88" i="27" l="1"/>
  <c r="A89" i="27"/>
  <c r="AA89" i="27" l="1"/>
  <c r="A90" i="27"/>
  <c r="AA90" i="27" l="1"/>
  <c r="A91" i="27"/>
  <c r="AA91" i="27" l="1"/>
  <c r="A92" i="27"/>
  <c r="AA92" i="27" l="1"/>
  <c r="A93" i="27"/>
  <c r="AA93" i="27" l="1"/>
  <c r="A94" i="27"/>
  <c r="AA94" i="27" l="1"/>
  <c r="A95" i="27"/>
  <c r="AA95" i="27" l="1"/>
  <c r="A96" i="27"/>
  <c r="AA96" i="27" l="1"/>
  <c r="A97" i="27"/>
  <c r="AA97" i="27" l="1"/>
  <c r="A98" i="27"/>
  <c r="AA98" i="27" l="1"/>
  <c r="A99" i="27"/>
  <c r="AA99" i="27" l="1"/>
  <c r="A100" i="27"/>
  <c r="AA100" i="27" l="1"/>
  <c r="A101" i="27"/>
  <c r="AA101" i="27" l="1"/>
  <c r="A102" i="27"/>
  <c r="AA102" i="27" l="1"/>
  <c r="A103" i="27"/>
  <c r="AA103" i="27" l="1"/>
  <c r="A104" i="27"/>
  <c r="AA104" i="27" l="1"/>
  <c r="A105" i="27"/>
  <c r="AA105" i="27" l="1"/>
  <c r="A106" i="27"/>
  <c r="AA106" i="27" l="1"/>
  <c r="A107" i="27"/>
  <c r="AA107" i="27" l="1"/>
  <c r="A108" i="27"/>
  <c r="AA108" i="27" l="1"/>
  <c r="A109" i="27"/>
  <c r="AA109" i="27" l="1"/>
  <c r="A110" i="27"/>
  <c r="AA110" i="27" l="1"/>
  <c r="A111" i="27"/>
  <c r="AA111" i="27" l="1"/>
  <c r="A112" i="27"/>
  <c r="AA112" i="27" l="1"/>
  <c r="A113" i="27"/>
  <c r="AA113" i="27" l="1"/>
  <c r="A114" i="27"/>
  <c r="AA114" i="27" l="1"/>
  <c r="A115" i="27"/>
  <c r="AA115" i="27" l="1"/>
  <c r="A116" i="27"/>
  <c r="AA116" i="27" l="1"/>
  <c r="A117" i="27"/>
  <c r="AA117" i="27" l="1"/>
  <c r="A118" i="27"/>
  <c r="AA118" i="27" l="1"/>
  <c r="A119" i="27"/>
  <c r="AA119" i="27" l="1"/>
  <c r="A120" i="27"/>
  <c r="AA120" i="27" l="1"/>
  <c r="A121" i="27"/>
  <c r="AA121" i="27" l="1"/>
  <c r="A122" i="27"/>
  <c r="AA122" i="27" l="1"/>
  <c r="A123" i="27"/>
  <c r="AA123" i="27" l="1"/>
  <c r="A124" i="27"/>
  <c r="AA124" i="27" l="1"/>
  <c r="A125" i="27"/>
  <c r="AA125" i="27" l="1"/>
  <c r="A126" i="27"/>
  <c r="AA126" i="27" l="1"/>
  <c r="A127" i="27"/>
  <c r="AA127" i="27" l="1"/>
  <c r="A128" i="27"/>
  <c r="AA128" i="27" l="1"/>
  <c r="A129" i="27"/>
  <c r="AA129" i="27" l="1"/>
  <c r="A130" i="27"/>
  <c r="AA130" i="27" l="1"/>
  <c r="A131" i="27"/>
  <c r="AA131" i="27" l="1"/>
  <c r="A132" i="27"/>
  <c r="AA132" i="27" l="1"/>
  <c r="A133" i="27"/>
  <c r="AA133" i="27" l="1"/>
  <c r="A134" i="27"/>
  <c r="AA134" i="27" l="1"/>
  <c r="A135" i="27"/>
  <c r="AA135" i="27" l="1"/>
  <c r="A136" i="27"/>
  <c r="AA136" i="27" l="1"/>
  <c r="A137" i="27"/>
  <c r="AA137" i="27" l="1"/>
  <c r="A138" i="27"/>
  <c r="AA138" i="27" l="1"/>
  <c r="A139" i="27"/>
  <c r="AA139" i="27" l="1"/>
  <c r="A140" i="27"/>
  <c r="AA140" i="27" l="1"/>
  <c r="A141" i="27"/>
  <c r="AA141" i="27" l="1"/>
  <c r="A142" i="27"/>
  <c r="AA142" i="27" l="1"/>
  <c r="A143" i="27"/>
  <c r="AA143" i="27" l="1"/>
  <c r="A144" i="27"/>
  <c r="AA144" i="27" l="1"/>
  <c r="A145" i="27"/>
  <c r="AA145" i="27" l="1"/>
  <c r="A146" i="27"/>
  <c r="AA146" i="27" l="1"/>
  <c r="A147" i="27"/>
  <c r="AA147" i="27" l="1"/>
  <c r="A148" i="27"/>
  <c r="AA148" i="27" l="1"/>
  <c r="A149" i="27"/>
  <c r="AA149" i="27" l="1"/>
  <c r="A150" i="27"/>
  <c r="AA150" i="27" l="1"/>
  <c r="A151" i="27"/>
  <c r="AA151" i="27" l="1"/>
  <c r="A152" i="27"/>
  <c r="AA152" i="27" l="1"/>
  <c r="A153" i="27"/>
  <c r="AA153" i="27" l="1"/>
  <c r="A154" i="27"/>
  <c r="AA154" i="27" l="1"/>
  <c r="A155" i="27"/>
  <c r="AA155" i="27" l="1"/>
  <c r="A156" i="27"/>
  <c r="AA156" i="27" l="1"/>
  <c r="A157" i="27"/>
  <c r="AA157" i="27" l="1"/>
  <c r="A158" i="27"/>
  <c r="AA158" i="27" l="1"/>
  <c r="A159" i="27"/>
  <c r="AA159" i="27" l="1"/>
  <c r="A160" i="27"/>
  <c r="AA160" i="27" l="1"/>
  <c r="A161" i="27"/>
  <c r="AA161" i="27" l="1"/>
  <c r="A162" i="27"/>
  <c r="AA162" i="27" l="1"/>
  <c r="A163" i="27"/>
  <c r="AA163" i="27" l="1"/>
  <c r="A164" i="27"/>
  <c r="AA164" i="27" l="1"/>
  <c r="A165" i="27"/>
  <c r="AA165" i="27" l="1"/>
  <c r="A166" i="27"/>
  <c r="AA166" i="27" l="1"/>
  <c r="A167" i="27"/>
  <c r="AA167" i="27" l="1"/>
  <c r="A168" i="27"/>
  <c r="AA168" i="27" l="1"/>
  <c r="A169" i="27"/>
  <c r="AA169" i="27" l="1"/>
  <c r="A170" i="27"/>
  <c r="AA170" i="27" l="1"/>
  <c r="A171" i="27"/>
  <c r="AA171" i="27" l="1"/>
  <c r="A172" i="27"/>
  <c r="AA172" i="27" l="1"/>
  <c r="A173" i="27"/>
  <c r="AA173" i="27" l="1"/>
  <c r="A174" i="27"/>
  <c r="AA174" i="27" l="1"/>
  <c r="A175" i="27"/>
  <c r="AA175" i="27" l="1"/>
  <c r="A176" i="27"/>
  <c r="AA176" i="27" l="1"/>
  <c r="A177" i="27"/>
  <c r="AA177" i="27" l="1"/>
  <c r="A178" i="27"/>
  <c r="AA178" i="27" l="1"/>
  <c r="A179" i="27"/>
  <c r="AA179" i="27" l="1"/>
  <c r="A180" i="27"/>
  <c r="AA180" i="27" l="1"/>
  <c r="A181" i="27"/>
  <c r="AA181" i="27" l="1"/>
  <c r="A182" i="27"/>
  <c r="AA182" i="27" l="1"/>
  <c r="A183" i="27"/>
  <c r="AA183" i="27" l="1"/>
  <c r="A184" i="27"/>
  <c r="AA184" i="27" l="1"/>
  <c r="A185" i="27"/>
  <c r="AA185" i="27" l="1"/>
  <c r="A186" i="27"/>
  <c r="AA186" i="27" l="1"/>
  <c r="A187" i="27"/>
  <c r="AA187" i="27" l="1"/>
  <c r="A188" i="27"/>
  <c r="AA188" i="27" l="1"/>
  <c r="A189" i="27"/>
  <c r="AA189" i="27" l="1"/>
  <c r="A190" i="27"/>
  <c r="AA190" i="27" l="1"/>
  <c r="A191" i="27"/>
  <c r="AA191" i="27" l="1"/>
  <c r="A192" i="27"/>
  <c r="AA192" i="27" l="1"/>
  <c r="A193" i="27"/>
  <c r="AA193" i="27" l="1"/>
  <c r="A194" i="27"/>
  <c r="AA194" i="27" l="1"/>
  <c r="A195" i="27"/>
  <c r="AA195" i="27" l="1"/>
  <c r="A196" i="27"/>
  <c r="AA196" i="27" l="1"/>
  <c r="A197" i="27"/>
  <c r="AA197" i="27" l="1"/>
  <c r="A198" i="27"/>
  <c r="AA198" i="27" l="1"/>
  <c r="A199" i="27"/>
  <c r="AA199" i="27" l="1"/>
  <c r="A200" i="27"/>
  <c r="AA200" i="27" l="1"/>
  <c r="A201" i="27"/>
  <c r="AA201" i="27" l="1"/>
  <c r="A202" i="27"/>
  <c r="AA202" i="27" l="1"/>
  <c r="A203" i="27"/>
  <c r="AA203" i="27" l="1"/>
  <c r="A204" i="27"/>
  <c r="AA204" i="27" l="1"/>
  <c r="A205" i="27"/>
  <c r="AA205" i="27" l="1"/>
  <c r="A206" i="27"/>
  <c r="AA206" i="27" l="1"/>
  <c r="A207" i="27"/>
  <c r="AA207" i="27" l="1"/>
  <c r="A208" i="27"/>
  <c r="AA208" i="27" l="1"/>
  <c r="A209" i="27"/>
  <c r="AA209" i="27" l="1"/>
  <c r="A210" i="27"/>
  <c r="AA210" i="27" l="1"/>
  <c r="A211" i="27"/>
  <c r="AA211" i="27" l="1"/>
  <c r="A212" i="27"/>
  <c r="AA212" i="27" l="1"/>
  <c r="A213" i="27"/>
  <c r="AA213" i="27" l="1"/>
  <c r="A214" i="27"/>
  <c r="AA214" i="27" l="1"/>
  <c r="A215" i="27"/>
  <c r="AA215" i="27" l="1"/>
  <c r="A216" i="27"/>
  <c r="AA216" i="27" l="1"/>
  <c r="A217" i="27"/>
  <c r="AA217" i="27" l="1"/>
  <c r="A218" i="27"/>
  <c r="AA218" i="27" l="1"/>
  <c r="A219" i="27"/>
  <c r="AA219" i="27" l="1"/>
  <c r="A220" i="27"/>
  <c r="AA220" i="27" l="1"/>
  <c r="A221" i="27"/>
  <c r="AA221" i="27" l="1"/>
  <c r="A222" i="27"/>
  <c r="AA222" i="27" l="1"/>
  <c r="A223" i="27"/>
  <c r="AA223" i="27" l="1"/>
  <c r="A224" i="27"/>
  <c r="AA224" i="27" l="1"/>
  <c r="A225" i="27"/>
  <c r="AA225" i="27" l="1"/>
  <c r="A226" i="27"/>
  <c r="AA226" i="27" l="1"/>
  <c r="A227" i="27"/>
  <c r="AA227" i="27" l="1"/>
  <c r="A228" i="27"/>
  <c r="AA228" i="27" l="1"/>
  <c r="A229" i="27"/>
  <c r="AA229" i="27" l="1"/>
  <c r="A230" i="27"/>
  <c r="AA230" i="27" l="1"/>
  <c r="A231" i="27"/>
  <c r="AA231" i="27" l="1"/>
  <c r="A232" i="27"/>
  <c r="AA232" i="27" l="1"/>
  <c r="A233" i="27"/>
  <c r="AA233" i="27" l="1"/>
  <c r="A234" i="27"/>
  <c r="AA234" i="27" l="1"/>
  <c r="A235" i="27"/>
  <c r="AA235" i="27" l="1"/>
  <c r="A236" i="27"/>
  <c r="AA236" i="27" l="1"/>
  <c r="A237" i="27"/>
  <c r="AA237" i="27" l="1"/>
  <c r="A238" i="27"/>
  <c r="AA238" i="27" l="1"/>
  <c r="A239" i="27"/>
  <c r="AA239" i="27" l="1"/>
  <c r="A240" i="27"/>
  <c r="AA240" i="27" l="1"/>
  <c r="A241" i="27"/>
  <c r="AA241" i="27" l="1"/>
  <c r="A242" i="27"/>
  <c r="AA242" i="27" l="1"/>
  <c r="A243" i="27"/>
  <c r="AA243" i="27" l="1"/>
  <c r="A244" i="27"/>
  <c r="AA244" i="27" l="1"/>
  <c r="A245" i="27"/>
  <c r="AA245" i="27" l="1"/>
  <c r="A246" i="27"/>
  <c r="AA246" i="27" l="1"/>
  <c r="A247" i="27"/>
  <c r="AA247" i="27" l="1"/>
  <c r="A248" i="27"/>
  <c r="AA248" i="27" l="1"/>
  <c r="A249" i="27"/>
  <c r="AA249" i="27" l="1"/>
  <c r="A250" i="27"/>
  <c r="AA250" i="27" l="1"/>
  <c r="A251" i="27"/>
  <c r="AA251" i="27" l="1"/>
  <c r="A252" i="27"/>
  <c r="AA252" i="27" l="1"/>
  <c r="A253" i="27"/>
  <c r="AA253" i="27" l="1"/>
  <c r="A254" i="27"/>
  <c r="AA254" i="27" l="1"/>
  <c r="A255" i="27"/>
  <c r="AA255" i="27" l="1"/>
  <c r="A256" i="27"/>
  <c r="AA256" i="27" l="1"/>
  <c r="A257" i="27"/>
  <c r="AA257" i="27" l="1"/>
  <c r="A258" i="27"/>
  <c r="AA258" i="27" l="1"/>
  <c r="A259" i="27"/>
  <c r="AA259" i="27" l="1"/>
  <c r="A260" i="27"/>
  <c r="AA260" i="27" l="1"/>
  <c r="A261" i="27"/>
  <c r="AA261" i="27" l="1"/>
  <c r="A262" i="27"/>
  <c r="AA262" i="27" l="1"/>
  <c r="A263" i="27"/>
  <c r="AA263" i="27" l="1"/>
  <c r="A264" i="27"/>
  <c r="AA264" i="27" l="1"/>
  <c r="A265" i="27"/>
  <c r="AA265" i="27" l="1"/>
  <c r="A266" i="27"/>
  <c r="AA266" i="27" l="1"/>
  <c r="A267" i="27"/>
  <c r="AA267" i="27" l="1"/>
  <c r="A268" i="27"/>
  <c r="AA268" i="27" l="1"/>
  <c r="A269" i="27"/>
  <c r="AA269" i="27" l="1"/>
  <c r="A270" i="27"/>
  <c r="AA270" i="27" l="1"/>
  <c r="A271" i="27"/>
  <c r="AA271" i="27" l="1"/>
  <c r="A272" i="27"/>
  <c r="AA272" i="27" l="1"/>
  <c r="A273" i="27"/>
  <c r="AA273" i="27" l="1"/>
  <c r="A274" i="27"/>
  <c r="AA274" i="27" l="1"/>
  <c r="A275" i="27"/>
  <c r="AA275" i="27" l="1"/>
  <c r="A276" i="27"/>
  <c r="AA276" i="27" l="1"/>
  <c r="A277" i="27"/>
  <c r="AA277" i="27" l="1"/>
  <c r="A278" i="27"/>
  <c r="AA278" i="27" l="1"/>
  <c r="A279" i="27"/>
  <c r="AA279" i="27" l="1"/>
  <c r="A280" i="27"/>
  <c r="AA280" i="27" l="1"/>
  <c r="A281" i="27"/>
  <c r="AA281" i="27" l="1"/>
  <c r="A282" i="27"/>
  <c r="AA282" i="27" l="1"/>
  <c r="A283" i="27"/>
  <c r="AA283" i="27" l="1"/>
  <c r="A284" i="27"/>
  <c r="AA284" i="27" l="1"/>
  <c r="A285" i="27"/>
  <c r="AA285" i="27" l="1"/>
  <c r="A286" i="27"/>
  <c r="AA286" i="27" l="1"/>
  <c r="A287" i="27"/>
  <c r="AA287" i="27" l="1"/>
  <c r="A288" i="27"/>
  <c r="AA288" i="27" l="1"/>
  <c r="A289" i="27"/>
  <c r="AA289" i="27" l="1"/>
  <c r="A290" i="27"/>
  <c r="AA290" i="27" l="1"/>
  <c r="A291" i="27"/>
  <c r="AA291" i="27" l="1"/>
  <c r="A292" i="27"/>
  <c r="AA292" i="27" l="1"/>
  <c r="A293" i="27"/>
  <c r="Y71" i="22"/>
  <c r="Y72" i="22"/>
  <c r="Y73" i="22"/>
  <c r="Y61" i="22"/>
  <c r="Y62" i="22"/>
  <c r="Y63" i="22"/>
  <c r="Y70" i="22"/>
  <c r="Y65" i="22"/>
  <c r="Y66" i="22"/>
  <c r="Y67" i="22"/>
  <c r="Y68" i="22"/>
  <c r="Y69" i="22"/>
  <c r="Y27" i="22"/>
  <c r="Y47" i="22"/>
  <c r="Y54" i="22"/>
  <c r="Y42" i="22"/>
  <c r="Y46" i="22"/>
  <c r="Y55" i="22"/>
  <c r="Y56" i="22"/>
  <c r="Y57" i="22"/>
  <c r="Y58" i="22"/>
  <c r="Y59" i="22"/>
  <c r="Y60" i="22"/>
  <c r="Y44" i="22"/>
  <c r="Y49" i="22"/>
  <c r="Y50" i="22"/>
  <c r="Y51" i="22"/>
  <c r="Y52" i="22"/>
  <c r="Y43" i="22"/>
  <c r="Y53" i="22"/>
  <c r="Y34" i="22"/>
  <c r="Y35" i="22"/>
  <c r="Y36" i="22"/>
  <c r="Y37" i="22"/>
  <c r="Y38" i="22"/>
  <c r="Y39" i="22"/>
  <c r="Y41" i="22"/>
  <c r="Y48" i="22"/>
  <c r="Y45" i="22"/>
  <c r="Y22" i="22"/>
  <c r="Y23" i="22"/>
  <c r="Y26" i="22"/>
  <c r="Y28" i="22"/>
  <c r="Y29" i="22"/>
  <c r="Y30" i="22"/>
  <c r="Y31" i="22"/>
  <c r="Y32" i="22"/>
  <c r="Y17" i="22"/>
  <c r="Y18" i="22"/>
  <c r="Y19" i="22"/>
  <c r="Y20" i="22"/>
  <c r="Y24" i="22"/>
  <c r="Y25" i="22"/>
  <c r="Y14" i="22"/>
  <c r="Y15" i="22"/>
  <c r="Y16" i="22"/>
  <c r="Y13" i="22"/>
  <c r="T65" i="6"/>
  <c r="T73" i="6"/>
  <c r="T47" i="6"/>
  <c r="T48" i="6"/>
  <c r="T49" i="6"/>
  <c r="T50" i="6"/>
  <c r="T51" i="6"/>
  <c r="T58" i="6"/>
  <c r="T16" i="6"/>
  <c r="T57" i="6"/>
  <c r="T59" i="6"/>
  <c r="T60" i="6"/>
  <c r="T61" i="6"/>
  <c r="T62" i="6"/>
  <c r="T63" i="6"/>
  <c r="T64" i="6"/>
  <c r="T72" i="6"/>
  <c r="T67" i="6"/>
  <c r="T68" i="6"/>
  <c r="T69" i="6"/>
  <c r="T70" i="6"/>
  <c r="T71" i="6"/>
  <c r="T110" i="6"/>
  <c r="T158" i="6"/>
  <c r="T79" i="6"/>
  <c r="T80" i="6"/>
  <c r="T44" i="6"/>
  <c r="T52" i="6"/>
  <c r="T53" i="6"/>
  <c r="T56" i="6"/>
  <c r="T66" i="6"/>
  <c r="T74" i="6"/>
  <c r="T81" i="6"/>
  <c r="T261" i="6"/>
  <c r="T262" i="6"/>
  <c r="T263" i="6"/>
  <c r="T83" i="6"/>
  <c r="T84" i="6"/>
  <c r="T85" i="6"/>
  <c r="T86" i="6"/>
  <c r="T87" i="6"/>
  <c r="T88" i="6"/>
  <c r="T89" i="6"/>
  <c r="T91" i="6"/>
  <c r="T39" i="6"/>
  <c r="T92" i="6"/>
  <c r="T93" i="6"/>
  <c r="T94" i="6"/>
  <c r="T95" i="6"/>
  <c r="T97" i="6"/>
  <c r="T99" i="6"/>
  <c r="T100" i="6"/>
  <c r="T101" i="6"/>
  <c r="T102" i="6"/>
  <c r="T103" i="6"/>
  <c r="T104" i="6"/>
  <c r="T105" i="6"/>
  <c r="T106" i="6"/>
  <c r="T107" i="6"/>
  <c r="T43" i="6"/>
  <c r="T111" i="6"/>
  <c r="T112" i="6"/>
  <c r="T113" i="6"/>
  <c r="T114" i="6"/>
  <c r="T115" i="6"/>
  <c r="T116" i="6"/>
  <c r="T117" i="6"/>
  <c r="T118" i="6"/>
  <c r="T119" i="6"/>
  <c r="T109" i="6"/>
  <c r="T120" i="6"/>
  <c r="T121" i="6"/>
  <c r="T122" i="6"/>
  <c r="T123" i="6"/>
  <c r="T124" i="6"/>
  <c r="T125" i="6"/>
  <c r="T126" i="6"/>
  <c r="T127" i="6"/>
  <c r="T128" i="6"/>
  <c r="T129" i="6"/>
  <c r="T143" i="6"/>
  <c r="T144" i="6"/>
  <c r="T145" i="6"/>
  <c r="T146" i="6"/>
  <c r="T147" i="6"/>
  <c r="T148" i="6"/>
  <c r="T142" i="6"/>
  <c r="T149" i="6"/>
  <c r="T150" i="6"/>
  <c r="T151" i="6"/>
  <c r="T152" i="6"/>
  <c r="T153" i="6"/>
  <c r="T154" i="6"/>
  <c r="T155" i="6"/>
  <c r="T130" i="6"/>
  <c r="T131" i="6"/>
  <c r="T96" i="6"/>
  <c r="T132" i="6"/>
  <c r="T133" i="6"/>
  <c r="T134" i="6"/>
  <c r="T135" i="6"/>
  <c r="T136" i="6"/>
  <c r="T137" i="6"/>
  <c r="T138" i="6"/>
  <c r="T139" i="6"/>
  <c r="T140" i="6"/>
  <c r="T141" i="6"/>
  <c r="T159" i="6"/>
  <c r="T160" i="6"/>
  <c r="T161" i="6"/>
  <c r="T162" i="6"/>
  <c r="T163" i="6"/>
  <c r="T164" i="6"/>
  <c r="T165" i="6"/>
  <c r="T166" i="6"/>
  <c r="T167" i="6"/>
  <c r="T168" i="6"/>
  <c r="T169" i="6"/>
  <c r="T170" i="6"/>
  <c r="T171" i="6"/>
  <c r="T172" i="6"/>
  <c r="T173" i="6"/>
  <c r="T174" i="6"/>
  <c r="T175" i="6"/>
  <c r="T176" i="6"/>
  <c r="T177" i="6"/>
  <c r="T178" i="6"/>
  <c r="T179" i="6"/>
  <c r="T180" i="6"/>
  <c r="T181" i="6"/>
  <c r="T182" i="6"/>
  <c r="T183" i="6"/>
  <c r="T184" i="6"/>
  <c r="T185" i="6"/>
  <c r="T186" i="6"/>
  <c r="T187" i="6"/>
  <c r="T188" i="6"/>
  <c r="T189" i="6"/>
  <c r="T190" i="6"/>
  <c r="T191" i="6"/>
  <c r="T192" i="6"/>
  <c r="T193" i="6"/>
  <c r="T194" i="6"/>
  <c r="T195" i="6"/>
  <c r="T196" i="6"/>
  <c r="T197" i="6"/>
  <c r="T198" i="6"/>
  <c r="T199" i="6"/>
  <c r="T200" i="6"/>
  <c r="T201" i="6"/>
  <c r="T202" i="6"/>
  <c r="T203" i="6"/>
  <c r="T204" i="6"/>
  <c r="T205" i="6"/>
  <c r="T206" i="6"/>
  <c r="T207" i="6"/>
  <c r="T208" i="6"/>
  <c r="T209" i="6"/>
  <c r="T210" i="6"/>
  <c r="T211" i="6"/>
  <c r="T212" i="6"/>
  <c r="T213" i="6"/>
  <c r="T214" i="6"/>
  <c r="T215" i="6"/>
  <c r="T216" i="6"/>
  <c r="T217" i="6"/>
  <c r="T218" i="6"/>
  <c r="T219" i="6"/>
  <c r="T220" i="6"/>
  <c r="T221" i="6"/>
  <c r="T222" i="6"/>
  <c r="T223" i="6"/>
  <c r="T224" i="6"/>
  <c r="T225" i="6"/>
  <c r="T226" i="6"/>
  <c r="T227" i="6"/>
  <c r="T228" i="6"/>
  <c r="T229" i="6"/>
  <c r="T230" i="6"/>
  <c r="T231" i="6"/>
  <c r="T232" i="6"/>
  <c r="T233" i="6"/>
  <c r="T234" i="6"/>
  <c r="T235" i="6"/>
  <c r="T237" i="6"/>
  <c r="T238" i="6"/>
  <c r="T239" i="6"/>
  <c r="T240" i="6"/>
  <c r="T241" i="6"/>
  <c r="T242" i="6"/>
  <c r="T243" i="6"/>
  <c r="T244" i="6"/>
  <c r="T245" i="6"/>
  <c r="T246" i="6"/>
  <c r="T247" i="6"/>
  <c r="T248" i="6"/>
  <c r="T249" i="6"/>
  <c r="T250" i="6"/>
  <c r="T251" i="6"/>
  <c r="T252" i="6"/>
  <c r="T253" i="6"/>
  <c r="T254" i="6"/>
  <c r="T255" i="6"/>
  <c r="T256" i="6"/>
  <c r="T257" i="6"/>
  <c r="T258" i="6"/>
  <c r="T259" i="6"/>
  <c r="T260" i="6"/>
  <c r="T264" i="6"/>
  <c r="T265" i="6"/>
  <c r="T266" i="6"/>
  <c r="T267" i="6"/>
  <c r="T268" i="6"/>
  <c r="T269" i="6"/>
  <c r="T270" i="6"/>
  <c r="T42" i="6"/>
  <c r="T45" i="6"/>
  <c r="T34" i="6"/>
  <c r="T35" i="6"/>
  <c r="T36" i="6"/>
  <c r="T37" i="6"/>
  <c r="T38" i="6"/>
  <c r="T41" i="6"/>
  <c r="T46" i="6"/>
  <c r="T32" i="6"/>
  <c r="T76" i="6"/>
  <c r="T77" i="6"/>
  <c r="T75" i="6"/>
  <c r="T78" i="6"/>
  <c r="T28" i="6"/>
  <c r="T33" i="6"/>
  <c r="T26" i="6"/>
  <c r="T22" i="6"/>
  <c r="T23" i="6"/>
  <c r="T20" i="6"/>
  <c r="T19" i="6"/>
  <c r="T24" i="6"/>
  <c r="T25" i="6"/>
  <c r="T27" i="6"/>
  <c r="T29" i="6"/>
  <c r="T30" i="6"/>
  <c r="T31" i="6"/>
  <c r="T13" i="6"/>
  <c r="T14" i="6"/>
  <c r="T15" i="6"/>
  <c r="T236" i="6"/>
  <c r="T18" i="6"/>
  <c r="T17" i="6"/>
  <c r="T54" i="6"/>
  <c r="T40" i="6"/>
  <c r="T21" i="6"/>
  <c r="AA293" i="27" l="1"/>
  <c r="A294" i="27"/>
  <c r="AA294" i="27" l="1"/>
  <c r="A295" i="27"/>
  <c r="AA295" i="27" l="1"/>
  <c r="A296" i="27"/>
  <c r="AA296" i="27" l="1"/>
  <c r="A297" i="27"/>
  <c r="AA297" i="27" l="1"/>
  <c r="A298" i="27"/>
  <c r="AA298" i="27" l="1"/>
  <c r="A299" i="27"/>
  <c r="A300" i="27" l="1"/>
  <c r="AA299" i="27"/>
  <c r="J279" i="26"/>
  <c r="F280" i="27" s="1"/>
  <c r="J280" i="26"/>
  <c r="F281" i="27" s="1"/>
  <c r="J281" i="26"/>
  <c r="F282" i="27" s="1"/>
  <c r="J282" i="26"/>
  <c r="F283" i="27" s="1"/>
  <c r="J283" i="26"/>
  <c r="F284" i="27" s="1"/>
  <c r="J284" i="26"/>
  <c r="F285" i="27" s="1"/>
  <c r="J285" i="26"/>
  <c r="F286" i="27" s="1"/>
  <c r="J286" i="26"/>
  <c r="F287" i="27" s="1"/>
  <c r="J287" i="26"/>
  <c r="F288" i="27" s="1"/>
  <c r="J327" i="26"/>
  <c r="F329" i="27" s="1"/>
  <c r="J328" i="26"/>
  <c r="F330" i="27" s="1"/>
  <c r="J329" i="26"/>
  <c r="F331" i="27" s="1"/>
  <c r="J331" i="26"/>
  <c r="F333" i="27" s="1"/>
  <c r="J334" i="26"/>
  <c r="F336" i="27" s="1"/>
  <c r="J335" i="26"/>
  <c r="F337" i="27" s="1"/>
  <c r="J97" i="26"/>
  <c r="F99" i="27" s="1"/>
  <c r="J96" i="26"/>
  <c r="F98" i="27" s="1"/>
  <c r="J94" i="26"/>
  <c r="F96" i="27" s="1"/>
  <c r="J95" i="26"/>
  <c r="F97" i="27" s="1"/>
  <c r="J57" i="26"/>
  <c r="F59" i="27" s="1"/>
  <c r="J58" i="26"/>
  <c r="F60" i="27" s="1"/>
  <c r="J59" i="26"/>
  <c r="F61" i="27" s="1"/>
  <c r="J60" i="26"/>
  <c r="F62" i="27" s="1"/>
  <c r="J61" i="26"/>
  <c r="F63" i="27" s="1"/>
  <c r="J62" i="26"/>
  <c r="F64" i="27" s="1"/>
  <c r="J63" i="26"/>
  <c r="F65" i="27" s="1"/>
  <c r="J64" i="26"/>
  <c r="F66" i="27" s="1"/>
  <c r="J65" i="26"/>
  <c r="F67" i="27" s="1"/>
  <c r="AB350" i="26"/>
  <c r="V350" i="26"/>
  <c r="O350" i="26"/>
  <c r="L350" i="26"/>
  <c r="K350" i="26"/>
  <c r="AB349" i="26"/>
  <c r="V349" i="26"/>
  <c r="O349" i="26"/>
  <c r="L349" i="26"/>
  <c r="K349" i="26"/>
  <c r="AB348" i="26"/>
  <c r="V348" i="26"/>
  <c r="O348" i="26"/>
  <c r="L348" i="26"/>
  <c r="K348" i="26"/>
  <c r="AB347" i="26"/>
  <c r="V347" i="26"/>
  <c r="O347" i="26"/>
  <c r="L347" i="26"/>
  <c r="K347" i="26"/>
  <c r="AB346" i="26"/>
  <c r="V346" i="26"/>
  <c r="O346" i="26"/>
  <c r="L346" i="26"/>
  <c r="K346" i="26"/>
  <c r="AB345" i="26"/>
  <c r="V345" i="26"/>
  <c r="O345" i="26"/>
  <c r="L345" i="26"/>
  <c r="K345" i="26"/>
  <c r="AB344" i="26"/>
  <c r="V344" i="26"/>
  <c r="O344" i="26"/>
  <c r="L344" i="26"/>
  <c r="K344" i="26"/>
  <c r="AB343" i="26"/>
  <c r="V343" i="26"/>
  <c r="O343" i="26"/>
  <c r="L343" i="26"/>
  <c r="K343" i="26"/>
  <c r="AB342" i="26"/>
  <c r="V342" i="26"/>
  <c r="O342" i="26"/>
  <c r="L342" i="26"/>
  <c r="K342" i="26"/>
  <c r="AB341" i="26"/>
  <c r="V341" i="26"/>
  <c r="O341" i="26"/>
  <c r="L341" i="26"/>
  <c r="K341" i="26"/>
  <c r="AB340" i="26"/>
  <c r="O340" i="26"/>
  <c r="L340" i="26"/>
  <c r="I340" i="26"/>
  <c r="K340" i="26" s="1"/>
  <c r="AB339" i="26"/>
  <c r="V339" i="26"/>
  <c r="O339" i="26"/>
  <c r="L339" i="26"/>
  <c r="K339" i="26"/>
  <c r="AB338" i="26"/>
  <c r="V338" i="26"/>
  <c r="O338" i="26"/>
  <c r="L338" i="26"/>
  <c r="K338" i="26"/>
  <c r="AB337" i="26"/>
  <c r="V337" i="26"/>
  <c r="O337" i="26"/>
  <c r="L337" i="26"/>
  <c r="K337" i="26"/>
  <c r="AB336" i="26"/>
  <c r="V336" i="26"/>
  <c r="O336" i="26"/>
  <c r="L336" i="26"/>
  <c r="K336" i="26"/>
  <c r="AB335" i="26"/>
  <c r="V335" i="26"/>
  <c r="O335" i="26"/>
  <c r="L335" i="26"/>
  <c r="K335" i="26"/>
  <c r="AB334" i="26"/>
  <c r="V334" i="26"/>
  <c r="O334" i="26"/>
  <c r="L334" i="26"/>
  <c r="K334" i="26"/>
  <c r="AB333" i="26"/>
  <c r="V333" i="26"/>
  <c r="O333" i="26"/>
  <c r="L333" i="26"/>
  <c r="K333" i="26"/>
  <c r="AB332" i="26"/>
  <c r="V332" i="26"/>
  <c r="O332" i="26"/>
  <c r="L332" i="26"/>
  <c r="K332" i="26"/>
  <c r="AB331" i="26"/>
  <c r="V331" i="26"/>
  <c r="O331" i="26"/>
  <c r="L331" i="26"/>
  <c r="K331" i="26"/>
  <c r="AB330" i="26"/>
  <c r="V330" i="26"/>
  <c r="O330" i="26"/>
  <c r="L330" i="26"/>
  <c r="K330" i="26"/>
  <c r="AB329" i="26"/>
  <c r="V329" i="26"/>
  <c r="O329" i="26"/>
  <c r="L329" i="26"/>
  <c r="K329" i="26"/>
  <c r="AB328" i="26"/>
  <c r="V328" i="26"/>
  <c r="O328" i="26"/>
  <c r="L328" i="26"/>
  <c r="K328" i="26"/>
  <c r="AB327" i="26"/>
  <c r="V327" i="26"/>
  <c r="O327" i="26"/>
  <c r="L327" i="26"/>
  <c r="K327" i="26"/>
  <c r="AB326" i="26"/>
  <c r="V326" i="26"/>
  <c r="O326" i="26"/>
  <c r="L326" i="26"/>
  <c r="K326" i="26"/>
  <c r="AB325" i="26"/>
  <c r="V325" i="26"/>
  <c r="O325" i="26"/>
  <c r="L325" i="26"/>
  <c r="K325" i="26"/>
  <c r="AB324" i="26"/>
  <c r="V324" i="26"/>
  <c r="O324" i="26"/>
  <c r="L324" i="26"/>
  <c r="K324" i="26"/>
  <c r="AB323" i="26"/>
  <c r="V323" i="26"/>
  <c r="O323" i="26"/>
  <c r="L323" i="26"/>
  <c r="K323" i="26"/>
  <c r="AB322" i="26"/>
  <c r="V322" i="26"/>
  <c r="O322" i="26"/>
  <c r="L322" i="26"/>
  <c r="K322" i="26"/>
  <c r="AB321" i="26"/>
  <c r="V321" i="26"/>
  <c r="T321" i="26"/>
  <c r="O321" i="26"/>
  <c r="L321" i="26"/>
  <c r="K321" i="26"/>
  <c r="AB320" i="26"/>
  <c r="V320" i="26"/>
  <c r="O320" i="26"/>
  <c r="L320" i="26"/>
  <c r="K320" i="26"/>
  <c r="AB319" i="26"/>
  <c r="V319" i="26"/>
  <c r="O319" i="26"/>
  <c r="L319" i="26"/>
  <c r="K319" i="26"/>
  <c r="AB318" i="26"/>
  <c r="V318" i="26"/>
  <c r="O318" i="26"/>
  <c r="L318" i="26"/>
  <c r="K318" i="26"/>
  <c r="AB317" i="26"/>
  <c r="V317" i="26"/>
  <c r="O317" i="26"/>
  <c r="L317" i="26"/>
  <c r="K317" i="26"/>
  <c r="AB316" i="26"/>
  <c r="V316" i="26"/>
  <c r="O316" i="26"/>
  <c r="L316" i="26"/>
  <c r="K316" i="26"/>
  <c r="AB315" i="26"/>
  <c r="V315" i="26"/>
  <c r="O315" i="26"/>
  <c r="L315" i="26"/>
  <c r="K315" i="26"/>
  <c r="AB314" i="26"/>
  <c r="V314" i="26"/>
  <c r="O314" i="26"/>
  <c r="L314" i="26"/>
  <c r="K314" i="26"/>
  <c r="AB313" i="26"/>
  <c r="V313" i="26"/>
  <c r="O313" i="26"/>
  <c r="L313" i="26"/>
  <c r="K313" i="26"/>
  <c r="AB312" i="26"/>
  <c r="V312" i="26"/>
  <c r="O312" i="26"/>
  <c r="L312" i="26"/>
  <c r="K312" i="26"/>
  <c r="AB311" i="26"/>
  <c r="V311" i="26"/>
  <c r="O311" i="26"/>
  <c r="L311" i="26"/>
  <c r="K311" i="26"/>
  <c r="AB310" i="26"/>
  <c r="V310" i="26"/>
  <c r="O310" i="26"/>
  <c r="L310" i="26"/>
  <c r="K310" i="26"/>
  <c r="AB309" i="26"/>
  <c r="V309" i="26"/>
  <c r="O309" i="26"/>
  <c r="L309" i="26"/>
  <c r="K309" i="26"/>
  <c r="AB308" i="26"/>
  <c r="V308" i="26"/>
  <c r="O308" i="26"/>
  <c r="L308" i="26"/>
  <c r="K308" i="26"/>
  <c r="AB307" i="26"/>
  <c r="V307" i="26"/>
  <c r="O307" i="26"/>
  <c r="L307" i="26"/>
  <c r="K307" i="26"/>
  <c r="AB306" i="26"/>
  <c r="V306" i="26"/>
  <c r="O306" i="26"/>
  <c r="L306" i="26"/>
  <c r="K306" i="26"/>
  <c r="AB305" i="26"/>
  <c r="V305" i="26"/>
  <c r="O305" i="26"/>
  <c r="L305" i="26"/>
  <c r="K305" i="26"/>
  <c r="AB304" i="26"/>
  <c r="V304" i="26"/>
  <c r="O304" i="26"/>
  <c r="L304" i="26"/>
  <c r="K304" i="26"/>
  <c r="AB303" i="26"/>
  <c r="V303" i="26"/>
  <c r="O303" i="26"/>
  <c r="L303" i="26"/>
  <c r="K303" i="26"/>
  <c r="AB302" i="26"/>
  <c r="V302" i="26"/>
  <c r="O302" i="26"/>
  <c r="L302" i="26"/>
  <c r="K302" i="26"/>
  <c r="AB301" i="26"/>
  <c r="V301" i="26"/>
  <c r="O301" i="26"/>
  <c r="L301" i="26"/>
  <c r="K301" i="26"/>
  <c r="AB300" i="26"/>
  <c r="V300" i="26"/>
  <c r="O300" i="26"/>
  <c r="L300" i="26"/>
  <c r="K300" i="26"/>
  <c r="AB299" i="26"/>
  <c r="V299" i="26"/>
  <c r="O299" i="26"/>
  <c r="L299" i="26"/>
  <c r="K299" i="26"/>
  <c r="AB298" i="26"/>
  <c r="V298" i="26"/>
  <c r="O298" i="26"/>
  <c r="L298" i="26"/>
  <c r="K298" i="26"/>
  <c r="AB297" i="26"/>
  <c r="V297" i="26"/>
  <c r="O297" i="26"/>
  <c r="L297" i="26"/>
  <c r="K297" i="26"/>
  <c r="AB296" i="26"/>
  <c r="V296" i="26"/>
  <c r="O296" i="26"/>
  <c r="L296" i="26"/>
  <c r="K296" i="26"/>
  <c r="AB295" i="26"/>
  <c r="V295" i="26"/>
  <c r="O295" i="26"/>
  <c r="L295" i="26"/>
  <c r="K295" i="26"/>
  <c r="AB294" i="26"/>
  <c r="V294" i="26"/>
  <c r="O294" i="26"/>
  <c r="L294" i="26"/>
  <c r="K294" i="26"/>
  <c r="AB293" i="26"/>
  <c r="V293" i="26"/>
  <c r="O293" i="26"/>
  <c r="L293" i="26"/>
  <c r="K293" i="26"/>
  <c r="AB292" i="26"/>
  <c r="V292" i="26"/>
  <c r="O292" i="26"/>
  <c r="L292" i="26"/>
  <c r="K292" i="26"/>
  <c r="AB291" i="26"/>
  <c r="V291" i="26"/>
  <c r="O291" i="26"/>
  <c r="L291" i="26"/>
  <c r="K291" i="26"/>
  <c r="AB290" i="26"/>
  <c r="V290" i="26"/>
  <c r="O290" i="26"/>
  <c r="L290" i="26"/>
  <c r="K290" i="26"/>
  <c r="AB289" i="26"/>
  <c r="V289" i="26"/>
  <c r="O289" i="26"/>
  <c r="L289" i="26"/>
  <c r="K289" i="26"/>
  <c r="AB288" i="26"/>
  <c r="V288" i="26"/>
  <c r="O288" i="26"/>
  <c r="L288" i="26"/>
  <c r="K288" i="26"/>
  <c r="T352" i="26"/>
  <c r="R352" i="26"/>
  <c r="O352" i="26"/>
  <c r="G352" i="26"/>
  <c r="AB287" i="26"/>
  <c r="U287" i="26"/>
  <c r="S287" i="26"/>
  <c r="P287" i="26"/>
  <c r="M287" i="26"/>
  <c r="H287" i="26"/>
  <c r="K287" i="26" s="1"/>
  <c r="L287" i="26" s="1"/>
  <c r="AB286" i="26"/>
  <c r="U286" i="26"/>
  <c r="S286" i="26"/>
  <c r="P286" i="26"/>
  <c r="M286" i="26"/>
  <c r="H286" i="26"/>
  <c r="K286" i="26" s="1"/>
  <c r="L286" i="26" s="1"/>
  <c r="AB285" i="26"/>
  <c r="U285" i="26"/>
  <c r="S285" i="26"/>
  <c r="P285" i="26"/>
  <c r="M285" i="26"/>
  <c r="H285" i="26"/>
  <c r="K285" i="26" s="1"/>
  <c r="L285" i="26" s="1"/>
  <c r="AB284" i="26"/>
  <c r="U284" i="26"/>
  <c r="S284" i="26"/>
  <c r="P284" i="26"/>
  <c r="M284" i="26"/>
  <c r="H284" i="26"/>
  <c r="K284" i="26" s="1"/>
  <c r="L284" i="26" s="1"/>
  <c r="AB283" i="26"/>
  <c r="U283" i="26"/>
  <c r="S283" i="26"/>
  <c r="P283" i="26"/>
  <c r="M283" i="26"/>
  <c r="H283" i="26"/>
  <c r="K283" i="26" s="1"/>
  <c r="L283" i="26" s="1"/>
  <c r="AB282" i="26"/>
  <c r="U282" i="26"/>
  <c r="S282" i="26"/>
  <c r="P282" i="26"/>
  <c r="M282" i="26"/>
  <c r="H282" i="26"/>
  <c r="K282" i="26" s="1"/>
  <c r="L282" i="26" s="1"/>
  <c r="AB281" i="26"/>
  <c r="U281" i="26"/>
  <c r="S281" i="26"/>
  <c r="P281" i="26"/>
  <c r="M281" i="26"/>
  <c r="H281" i="26"/>
  <c r="K281" i="26" s="1"/>
  <c r="L281" i="26" s="1"/>
  <c r="AB280" i="26"/>
  <c r="U280" i="26"/>
  <c r="S280" i="26"/>
  <c r="P280" i="26"/>
  <c r="M280" i="26"/>
  <c r="H280" i="26"/>
  <c r="K280" i="26" s="1"/>
  <c r="L280" i="26" s="1"/>
  <c r="AB279" i="26"/>
  <c r="U279" i="26"/>
  <c r="S279" i="26"/>
  <c r="P279" i="26"/>
  <c r="M279" i="26"/>
  <c r="H279" i="26"/>
  <c r="K279" i="26" s="1"/>
  <c r="L279" i="26" s="1"/>
  <c r="AB278" i="26"/>
  <c r="U278" i="26"/>
  <c r="S278" i="26"/>
  <c r="P278" i="26"/>
  <c r="M278" i="26"/>
  <c r="H278" i="26"/>
  <c r="K278" i="26" s="1"/>
  <c r="L278" i="26" s="1"/>
  <c r="AB277" i="26"/>
  <c r="U277" i="26"/>
  <c r="S277" i="26"/>
  <c r="P277" i="26"/>
  <c r="M277" i="26"/>
  <c r="H277" i="26"/>
  <c r="K277" i="26" s="1"/>
  <c r="L277" i="26" s="1"/>
  <c r="AB276" i="26"/>
  <c r="U276" i="26"/>
  <c r="S276" i="26"/>
  <c r="P276" i="26"/>
  <c r="M276" i="26"/>
  <c r="H276" i="26"/>
  <c r="K276" i="26" s="1"/>
  <c r="L276" i="26" s="1"/>
  <c r="AB275" i="26"/>
  <c r="U275" i="26"/>
  <c r="S275" i="26"/>
  <c r="P275" i="26"/>
  <c r="M275" i="26"/>
  <c r="H275" i="26"/>
  <c r="K275" i="26" s="1"/>
  <c r="L275" i="26" s="1"/>
  <c r="AB274" i="26"/>
  <c r="U274" i="26"/>
  <c r="S274" i="26"/>
  <c r="P274" i="26"/>
  <c r="M274" i="26"/>
  <c r="H274" i="26"/>
  <c r="K274" i="26" s="1"/>
  <c r="L274" i="26" s="1"/>
  <c r="AB273" i="26"/>
  <c r="U273" i="26"/>
  <c r="S273" i="26"/>
  <c r="P273" i="26"/>
  <c r="M273" i="26"/>
  <c r="H273" i="26"/>
  <c r="K273" i="26" s="1"/>
  <c r="L273" i="26" s="1"/>
  <c r="AB272" i="26"/>
  <c r="U272" i="26"/>
  <c r="S272" i="26"/>
  <c r="P272" i="26"/>
  <c r="M272" i="26"/>
  <c r="H272" i="26"/>
  <c r="K272" i="26" s="1"/>
  <c r="L272" i="26" s="1"/>
  <c r="AB271" i="26"/>
  <c r="U271" i="26"/>
  <c r="S271" i="26"/>
  <c r="P271" i="26"/>
  <c r="M271" i="26"/>
  <c r="H271" i="26"/>
  <c r="K271" i="26" s="1"/>
  <c r="L271" i="26" s="1"/>
  <c r="AB270" i="26"/>
  <c r="U270" i="26"/>
  <c r="S270" i="26"/>
  <c r="P270" i="26"/>
  <c r="M270" i="26"/>
  <c r="H270" i="26"/>
  <c r="K270" i="26" s="1"/>
  <c r="L270" i="26" s="1"/>
  <c r="AB269" i="26"/>
  <c r="U269" i="26"/>
  <c r="S269" i="26"/>
  <c r="P269" i="26"/>
  <c r="M269" i="26"/>
  <c r="H269" i="26"/>
  <c r="K269" i="26" s="1"/>
  <c r="L269" i="26" s="1"/>
  <c r="AB268" i="26"/>
  <c r="U268" i="26"/>
  <c r="S268" i="26"/>
  <c r="P268" i="26"/>
  <c r="M268" i="26"/>
  <c r="H268" i="26"/>
  <c r="K268" i="26" s="1"/>
  <c r="L268" i="26" s="1"/>
  <c r="AB267" i="26"/>
  <c r="U267" i="26"/>
  <c r="S267" i="26"/>
  <c r="P267" i="26"/>
  <c r="M267" i="26"/>
  <c r="H267" i="26"/>
  <c r="K267" i="26" s="1"/>
  <c r="L267" i="26" s="1"/>
  <c r="AB266" i="26"/>
  <c r="U266" i="26"/>
  <c r="S266" i="26"/>
  <c r="P266" i="26"/>
  <c r="M266" i="26"/>
  <c r="H266" i="26"/>
  <c r="K266" i="26" s="1"/>
  <c r="L266" i="26" s="1"/>
  <c r="AB265" i="26"/>
  <c r="U265" i="26"/>
  <c r="S265" i="26"/>
  <c r="P265" i="26"/>
  <c r="M265" i="26"/>
  <c r="H265" i="26"/>
  <c r="K265" i="26" s="1"/>
  <c r="L265" i="26" s="1"/>
  <c r="AB264" i="26"/>
  <c r="U264" i="26"/>
  <c r="S264" i="26"/>
  <c r="P264" i="26"/>
  <c r="M264" i="26"/>
  <c r="H264" i="26"/>
  <c r="K264" i="26" s="1"/>
  <c r="L264" i="26" s="1"/>
  <c r="AB263" i="26"/>
  <c r="U263" i="26"/>
  <c r="S263" i="26"/>
  <c r="P263" i="26"/>
  <c r="M263" i="26"/>
  <c r="H263" i="26"/>
  <c r="K263" i="26" s="1"/>
  <c r="L263" i="26" s="1"/>
  <c r="AB262" i="26"/>
  <c r="U262" i="26"/>
  <c r="S262" i="26"/>
  <c r="P262" i="26"/>
  <c r="M262" i="26"/>
  <c r="H262" i="26"/>
  <c r="K262" i="26" s="1"/>
  <c r="L262" i="26" s="1"/>
  <c r="AB261" i="26"/>
  <c r="U261" i="26"/>
  <c r="S261" i="26"/>
  <c r="P261" i="26"/>
  <c r="M261" i="26"/>
  <c r="H261" i="26"/>
  <c r="K261" i="26" s="1"/>
  <c r="L261" i="26" s="1"/>
  <c r="AB260" i="26"/>
  <c r="U260" i="26"/>
  <c r="S260" i="26"/>
  <c r="P260" i="26"/>
  <c r="M260" i="26"/>
  <c r="H260" i="26"/>
  <c r="K260" i="26" s="1"/>
  <c r="L260" i="26" s="1"/>
  <c r="AB259" i="26"/>
  <c r="U259" i="26"/>
  <c r="S259" i="26"/>
  <c r="P259" i="26"/>
  <c r="M259" i="26"/>
  <c r="H259" i="26"/>
  <c r="K259" i="26" s="1"/>
  <c r="L259" i="26" s="1"/>
  <c r="AB258" i="26"/>
  <c r="U258" i="26"/>
  <c r="S258" i="26"/>
  <c r="P258" i="26"/>
  <c r="M258" i="26"/>
  <c r="H258" i="26"/>
  <c r="K258" i="26" s="1"/>
  <c r="L258" i="26" s="1"/>
  <c r="AB257" i="26"/>
  <c r="U257" i="26"/>
  <c r="S257" i="26"/>
  <c r="P257" i="26"/>
  <c r="M257" i="26"/>
  <c r="H257" i="26"/>
  <c r="K257" i="26" s="1"/>
  <c r="L257" i="26" s="1"/>
  <c r="AB256" i="26"/>
  <c r="U256" i="26"/>
  <c r="S256" i="26"/>
  <c r="P256" i="26"/>
  <c r="M256" i="26"/>
  <c r="H256" i="26"/>
  <c r="K256" i="26" s="1"/>
  <c r="L256" i="26" s="1"/>
  <c r="AB255" i="26"/>
  <c r="U255" i="26"/>
  <c r="S255" i="26"/>
  <c r="P255" i="26"/>
  <c r="M255" i="26"/>
  <c r="H255" i="26"/>
  <c r="K255" i="26" s="1"/>
  <c r="L255" i="26" s="1"/>
  <c r="AB254" i="26"/>
  <c r="U254" i="26"/>
  <c r="S254" i="26"/>
  <c r="P254" i="26"/>
  <c r="M254" i="26"/>
  <c r="H254" i="26"/>
  <c r="K254" i="26" s="1"/>
  <c r="L254" i="26" s="1"/>
  <c r="AB253" i="26"/>
  <c r="U253" i="26"/>
  <c r="S253" i="26"/>
  <c r="P253" i="26"/>
  <c r="M253" i="26"/>
  <c r="H253" i="26"/>
  <c r="K253" i="26" s="1"/>
  <c r="L253" i="26" s="1"/>
  <c r="AB252" i="26"/>
  <c r="U252" i="26"/>
  <c r="S252" i="26"/>
  <c r="P252" i="26"/>
  <c r="M252" i="26"/>
  <c r="H252" i="26"/>
  <c r="K252" i="26" s="1"/>
  <c r="L252" i="26" s="1"/>
  <c r="AB251" i="26"/>
  <c r="U251" i="26"/>
  <c r="S251" i="26"/>
  <c r="P251" i="26"/>
  <c r="M251" i="26"/>
  <c r="H251" i="26"/>
  <c r="K251" i="26" s="1"/>
  <c r="L251" i="26" s="1"/>
  <c r="AB250" i="26"/>
  <c r="U250" i="26"/>
  <c r="S250" i="26"/>
  <c r="P250" i="26"/>
  <c r="M250" i="26"/>
  <c r="H250" i="26"/>
  <c r="K250" i="26" s="1"/>
  <c r="L250" i="26" s="1"/>
  <c r="AB249" i="26"/>
  <c r="U249" i="26"/>
  <c r="S249" i="26"/>
  <c r="P249" i="26"/>
  <c r="M249" i="26"/>
  <c r="H249" i="26"/>
  <c r="K249" i="26" s="1"/>
  <c r="L249" i="26" s="1"/>
  <c r="AB248" i="26"/>
  <c r="U248" i="26"/>
  <c r="S248" i="26"/>
  <c r="P248" i="26"/>
  <c r="M248" i="26"/>
  <c r="H248" i="26"/>
  <c r="K248" i="26" s="1"/>
  <c r="L248" i="26" s="1"/>
  <c r="AB247" i="26"/>
  <c r="U247" i="26"/>
  <c r="S247" i="26"/>
  <c r="P247" i="26"/>
  <c r="M247" i="26"/>
  <c r="H247" i="26"/>
  <c r="K247" i="26" s="1"/>
  <c r="L247" i="26" s="1"/>
  <c r="AB246" i="26"/>
  <c r="U246" i="26"/>
  <c r="S246" i="26"/>
  <c r="P246" i="26"/>
  <c r="M246" i="26"/>
  <c r="H246" i="26"/>
  <c r="K246" i="26" s="1"/>
  <c r="L246" i="26" s="1"/>
  <c r="AB245" i="26"/>
  <c r="U245" i="26"/>
  <c r="S245" i="26"/>
  <c r="P245" i="26"/>
  <c r="M245" i="26"/>
  <c r="H245" i="26"/>
  <c r="K245" i="26" s="1"/>
  <c r="L245" i="26" s="1"/>
  <c r="AB244" i="26"/>
  <c r="U244" i="26"/>
  <c r="S244" i="26"/>
  <c r="P244" i="26"/>
  <c r="M244" i="26"/>
  <c r="H244" i="26"/>
  <c r="K244" i="26" s="1"/>
  <c r="L244" i="26" s="1"/>
  <c r="AB243" i="26"/>
  <c r="U243" i="26"/>
  <c r="S243" i="26"/>
  <c r="P243" i="26"/>
  <c r="M243" i="26"/>
  <c r="H243" i="26"/>
  <c r="K243" i="26" s="1"/>
  <c r="L243" i="26" s="1"/>
  <c r="AB242" i="26"/>
  <c r="U242" i="26"/>
  <c r="S242" i="26"/>
  <c r="P242" i="26"/>
  <c r="M242" i="26"/>
  <c r="H242" i="26"/>
  <c r="K242" i="26" s="1"/>
  <c r="L242" i="26" s="1"/>
  <c r="AB241" i="26"/>
  <c r="U241" i="26"/>
  <c r="S241" i="26"/>
  <c r="P241" i="26"/>
  <c r="M241" i="26"/>
  <c r="H241" i="26"/>
  <c r="K241" i="26" s="1"/>
  <c r="L241" i="26" s="1"/>
  <c r="AB240" i="26"/>
  <c r="U240" i="26"/>
  <c r="S240" i="26"/>
  <c r="P240" i="26"/>
  <c r="M240" i="26"/>
  <c r="H240" i="26"/>
  <c r="K240" i="26" s="1"/>
  <c r="L240" i="26" s="1"/>
  <c r="AB239" i="26"/>
  <c r="U239" i="26"/>
  <c r="S239" i="26"/>
  <c r="P239" i="26"/>
  <c r="M239" i="26"/>
  <c r="H239" i="26"/>
  <c r="K239" i="26" s="1"/>
  <c r="L239" i="26" s="1"/>
  <c r="AB238" i="26"/>
  <c r="U238" i="26"/>
  <c r="S238" i="26"/>
  <c r="P238" i="26"/>
  <c r="M238" i="26"/>
  <c r="H238" i="26"/>
  <c r="K238" i="26" s="1"/>
  <c r="L238" i="26" s="1"/>
  <c r="AB237" i="26"/>
  <c r="U237" i="26"/>
  <c r="S237" i="26"/>
  <c r="P237" i="26"/>
  <c r="M237" i="26"/>
  <c r="H237" i="26"/>
  <c r="K237" i="26" s="1"/>
  <c r="L237" i="26" s="1"/>
  <c r="AB236" i="26"/>
  <c r="U236" i="26"/>
  <c r="S236" i="26"/>
  <c r="P236" i="26"/>
  <c r="M236" i="26"/>
  <c r="H236" i="26"/>
  <c r="K236" i="26" s="1"/>
  <c r="L236" i="26" s="1"/>
  <c r="AB235" i="26"/>
  <c r="U235" i="26"/>
  <c r="S235" i="26"/>
  <c r="P235" i="26"/>
  <c r="M235" i="26"/>
  <c r="H235" i="26"/>
  <c r="K235" i="26" s="1"/>
  <c r="L235" i="26" s="1"/>
  <c r="AB234" i="26"/>
  <c r="U234" i="26"/>
  <c r="S234" i="26"/>
  <c r="P234" i="26"/>
  <c r="M234" i="26"/>
  <c r="H234" i="26"/>
  <c r="K234" i="26" s="1"/>
  <c r="AB233" i="26"/>
  <c r="U233" i="26"/>
  <c r="S233" i="26"/>
  <c r="P233" i="26"/>
  <c r="M233" i="26"/>
  <c r="H233" i="26"/>
  <c r="K233" i="26" s="1"/>
  <c r="L233" i="26" s="1"/>
  <c r="AB232" i="26"/>
  <c r="U232" i="26"/>
  <c r="S232" i="26"/>
  <c r="P232" i="26"/>
  <c r="M232" i="26"/>
  <c r="H232" i="26"/>
  <c r="K232" i="26" s="1"/>
  <c r="L232" i="26" s="1"/>
  <c r="AB231" i="26"/>
  <c r="U231" i="26"/>
  <c r="S231" i="26"/>
  <c r="P231" i="26"/>
  <c r="M231" i="26"/>
  <c r="H231" i="26"/>
  <c r="K231" i="26" s="1"/>
  <c r="L231" i="26" s="1"/>
  <c r="AB230" i="26"/>
  <c r="U230" i="26"/>
  <c r="S230" i="26"/>
  <c r="P230" i="26"/>
  <c r="M230" i="26"/>
  <c r="H230" i="26"/>
  <c r="K230" i="26" s="1"/>
  <c r="L230" i="26" s="1"/>
  <c r="AB229" i="26"/>
  <c r="U229" i="26"/>
  <c r="S229" i="26"/>
  <c r="P229" i="26"/>
  <c r="M229" i="26"/>
  <c r="H229" i="26"/>
  <c r="K229" i="26" s="1"/>
  <c r="L229" i="26" s="1"/>
  <c r="AB228" i="26"/>
  <c r="U228" i="26"/>
  <c r="S228" i="26"/>
  <c r="P228" i="26"/>
  <c r="M228" i="26"/>
  <c r="H228" i="26"/>
  <c r="K228" i="26" s="1"/>
  <c r="L228" i="26" s="1"/>
  <c r="AB227" i="26"/>
  <c r="U227" i="26"/>
  <c r="S227" i="26"/>
  <c r="P227" i="26"/>
  <c r="M227" i="26"/>
  <c r="H227" i="26"/>
  <c r="K227" i="26" s="1"/>
  <c r="L227" i="26" s="1"/>
  <c r="AB226" i="26"/>
  <c r="U226" i="26"/>
  <c r="S226" i="26"/>
  <c r="P226" i="26"/>
  <c r="M226" i="26"/>
  <c r="H226" i="26"/>
  <c r="K226" i="26" s="1"/>
  <c r="L226" i="26" s="1"/>
  <c r="AB225" i="26"/>
  <c r="U225" i="26"/>
  <c r="S225" i="26"/>
  <c r="P225" i="26"/>
  <c r="M225" i="26"/>
  <c r="H225" i="26"/>
  <c r="K225" i="26" s="1"/>
  <c r="L225" i="26" s="1"/>
  <c r="AB224" i="26"/>
  <c r="U224" i="26"/>
  <c r="S224" i="26"/>
  <c r="P224" i="26"/>
  <c r="M224" i="26"/>
  <c r="I224" i="26"/>
  <c r="H224" i="26"/>
  <c r="AB223" i="26"/>
  <c r="U223" i="26"/>
  <c r="S223" i="26"/>
  <c r="P223" i="26"/>
  <c r="M223" i="26"/>
  <c r="H223" i="26"/>
  <c r="K223" i="26" s="1"/>
  <c r="AB222" i="26"/>
  <c r="U222" i="26"/>
  <c r="S222" i="26"/>
  <c r="P222" i="26"/>
  <c r="M222" i="26"/>
  <c r="H222" i="26"/>
  <c r="K222" i="26" s="1"/>
  <c r="L222" i="26" s="1"/>
  <c r="AB221" i="26"/>
  <c r="U221" i="26"/>
  <c r="S221" i="26"/>
  <c r="P221" i="26"/>
  <c r="M221" i="26"/>
  <c r="H221" i="26"/>
  <c r="K221" i="26" s="1"/>
  <c r="AB220" i="26"/>
  <c r="U220" i="26"/>
  <c r="S220" i="26"/>
  <c r="P220" i="26"/>
  <c r="M220" i="26"/>
  <c r="H220" i="26"/>
  <c r="K220" i="26" s="1"/>
  <c r="L220" i="26" s="1"/>
  <c r="AB219" i="26"/>
  <c r="U219" i="26"/>
  <c r="S219" i="26"/>
  <c r="P219" i="26"/>
  <c r="M219" i="26"/>
  <c r="H219" i="26"/>
  <c r="K219" i="26" s="1"/>
  <c r="AB218" i="26"/>
  <c r="U218" i="26"/>
  <c r="S218" i="26"/>
  <c r="P218" i="26"/>
  <c r="M218" i="26"/>
  <c r="H218" i="26"/>
  <c r="K218" i="26" s="1"/>
  <c r="L218" i="26" s="1"/>
  <c r="AB217" i="26"/>
  <c r="U217" i="26"/>
  <c r="S217" i="26"/>
  <c r="P217" i="26"/>
  <c r="M217" i="26"/>
  <c r="H217" i="26"/>
  <c r="K217" i="26" s="1"/>
  <c r="L217" i="26" s="1"/>
  <c r="AB216" i="26"/>
  <c r="U216" i="26"/>
  <c r="S216" i="26"/>
  <c r="P216" i="26"/>
  <c r="M216" i="26"/>
  <c r="H216" i="26"/>
  <c r="K216" i="26" s="1"/>
  <c r="L216" i="26" s="1"/>
  <c r="AB215" i="26"/>
  <c r="U215" i="26"/>
  <c r="S215" i="26"/>
  <c r="P215" i="26"/>
  <c r="M215" i="26"/>
  <c r="H215" i="26"/>
  <c r="K215" i="26" s="1"/>
  <c r="L215" i="26" s="1"/>
  <c r="AB214" i="26"/>
  <c r="U214" i="26"/>
  <c r="S214" i="26"/>
  <c r="P214" i="26"/>
  <c r="M214" i="26"/>
  <c r="H214" i="26"/>
  <c r="K214" i="26" s="1"/>
  <c r="L214" i="26" s="1"/>
  <c r="AB213" i="26"/>
  <c r="U213" i="26"/>
  <c r="S213" i="26"/>
  <c r="P213" i="26"/>
  <c r="M213" i="26"/>
  <c r="H213" i="26"/>
  <c r="K213" i="26" s="1"/>
  <c r="L213" i="26" s="1"/>
  <c r="AB212" i="26"/>
  <c r="U212" i="26"/>
  <c r="S212" i="26"/>
  <c r="P212" i="26"/>
  <c r="M212" i="26"/>
  <c r="H212" i="26"/>
  <c r="K212" i="26" s="1"/>
  <c r="L212" i="26" s="1"/>
  <c r="AB211" i="26"/>
  <c r="U211" i="26"/>
  <c r="S211" i="26"/>
  <c r="P211" i="26"/>
  <c r="M211" i="26"/>
  <c r="H211" i="26"/>
  <c r="K211" i="26" s="1"/>
  <c r="L211" i="26" s="1"/>
  <c r="AB210" i="26"/>
  <c r="U210" i="26"/>
  <c r="S210" i="26"/>
  <c r="P210" i="26"/>
  <c r="M210" i="26"/>
  <c r="H210" i="26"/>
  <c r="K210" i="26" s="1"/>
  <c r="L210" i="26" s="1"/>
  <c r="AB209" i="26"/>
  <c r="U209" i="26"/>
  <c r="S209" i="26"/>
  <c r="P209" i="26"/>
  <c r="M209" i="26"/>
  <c r="H209" i="26"/>
  <c r="K209" i="26" s="1"/>
  <c r="L209" i="26" s="1"/>
  <c r="AB208" i="26"/>
  <c r="U208" i="26"/>
  <c r="S208" i="26"/>
  <c r="P208" i="26"/>
  <c r="M208" i="26"/>
  <c r="H208" i="26"/>
  <c r="K208" i="26" s="1"/>
  <c r="L208" i="26" s="1"/>
  <c r="AB207" i="26"/>
  <c r="U207" i="26"/>
  <c r="S207" i="26"/>
  <c r="P207" i="26"/>
  <c r="M207" i="26"/>
  <c r="H207" i="26"/>
  <c r="K207" i="26" s="1"/>
  <c r="L207" i="26" s="1"/>
  <c r="AB206" i="26"/>
  <c r="U206" i="26"/>
  <c r="S206" i="26"/>
  <c r="P206" i="26"/>
  <c r="M206" i="26"/>
  <c r="H206" i="26"/>
  <c r="K206" i="26" s="1"/>
  <c r="L206" i="26" s="1"/>
  <c r="AB205" i="26"/>
  <c r="U205" i="26"/>
  <c r="S205" i="26"/>
  <c r="P205" i="26"/>
  <c r="M205" i="26"/>
  <c r="H205" i="26"/>
  <c r="K205" i="26" s="1"/>
  <c r="L205" i="26" s="1"/>
  <c r="AB204" i="26"/>
  <c r="U204" i="26"/>
  <c r="S204" i="26"/>
  <c r="P204" i="26"/>
  <c r="M204" i="26"/>
  <c r="H204" i="26"/>
  <c r="K204" i="26" s="1"/>
  <c r="L204" i="26" s="1"/>
  <c r="AB203" i="26"/>
  <c r="U203" i="26"/>
  <c r="S203" i="26"/>
  <c r="P203" i="26"/>
  <c r="M203" i="26"/>
  <c r="H203" i="26"/>
  <c r="K203" i="26" s="1"/>
  <c r="L203" i="26" s="1"/>
  <c r="AB202" i="26"/>
  <c r="U202" i="26"/>
  <c r="S202" i="26"/>
  <c r="P202" i="26"/>
  <c r="M202" i="26"/>
  <c r="H202" i="26"/>
  <c r="K202" i="26" s="1"/>
  <c r="L202" i="26" s="1"/>
  <c r="AB201" i="26"/>
  <c r="U201" i="26"/>
  <c r="S201" i="26"/>
  <c r="P201" i="26"/>
  <c r="M201" i="26"/>
  <c r="H201" i="26"/>
  <c r="K201" i="26" s="1"/>
  <c r="L201" i="26" s="1"/>
  <c r="AB200" i="26"/>
  <c r="U200" i="26"/>
  <c r="S200" i="26"/>
  <c r="P200" i="26"/>
  <c r="M200" i="26"/>
  <c r="H200" i="26"/>
  <c r="K200" i="26" s="1"/>
  <c r="L200" i="26" s="1"/>
  <c r="AB199" i="26"/>
  <c r="U199" i="26"/>
  <c r="S199" i="26"/>
  <c r="P199" i="26"/>
  <c r="M199" i="26"/>
  <c r="I199" i="26"/>
  <c r="H199" i="26"/>
  <c r="AB198" i="26"/>
  <c r="U198" i="26"/>
  <c r="S198" i="26"/>
  <c r="P198" i="26"/>
  <c r="M198" i="26"/>
  <c r="H198" i="26"/>
  <c r="K198" i="26" s="1"/>
  <c r="L198" i="26" s="1"/>
  <c r="AB197" i="26"/>
  <c r="U197" i="26"/>
  <c r="S197" i="26"/>
  <c r="P197" i="26"/>
  <c r="M197" i="26"/>
  <c r="H197" i="26"/>
  <c r="K197" i="26" s="1"/>
  <c r="L197" i="26" s="1"/>
  <c r="AB196" i="26"/>
  <c r="U196" i="26"/>
  <c r="S196" i="26"/>
  <c r="P196" i="26"/>
  <c r="M196" i="26"/>
  <c r="H196" i="26"/>
  <c r="K196" i="26" s="1"/>
  <c r="L196" i="26" s="1"/>
  <c r="AB195" i="26"/>
  <c r="U195" i="26"/>
  <c r="S195" i="26"/>
  <c r="P195" i="26"/>
  <c r="M195" i="26"/>
  <c r="H195" i="26"/>
  <c r="K195" i="26" s="1"/>
  <c r="L195" i="26" s="1"/>
  <c r="AB194" i="26"/>
  <c r="U194" i="26"/>
  <c r="S194" i="26"/>
  <c r="P194" i="26"/>
  <c r="M194" i="26"/>
  <c r="H194" i="26"/>
  <c r="K194" i="26" s="1"/>
  <c r="L194" i="26" s="1"/>
  <c r="AB193" i="26"/>
  <c r="U193" i="26"/>
  <c r="S193" i="26"/>
  <c r="P193" i="26"/>
  <c r="M193" i="26"/>
  <c r="H193" i="26"/>
  <c r="K193" i="26" s="1"/>
  <c r="L193" i="26" s="1"/>
  <c r="AB192" i="26"/>
  <c r="U192" i="26"/>
  <c r="S192" i="26"/>
  <c r="P192" i="26"/>
  <c r="M192" i="26"/>
  <c r="H192" i="26"/>
  <c r="K192" i="26" s="1"/>
  <c r="L192" i="26" s="1"/>
  <c r="AF191" i="26"/>
  <c r="AB191" i="26"/>
  <c r="U191" i="26"/>
  <c r="S191" i="26"/>
  <c r="P191" i="26"/>
  <c r="M191" i="26"/>
  <c r="H191" i="26"/>
  <c r="K191" i="26" s="1"/>
  <c r="L191" i="26" s="1"/>
  <c r="AB190" i="26"/>
  <c r="U190" i="26"/>
  <c r="S190" i="26"/>
  <c r="P190" i="26"/>
  <c r="M190" i="26"/>
  <c r="H190" i="26"/>
  <c r="K190" i="26" s="1"/>
  <c r="L190" i="26" s="1"/>
  <c r="AB189" i="26"/>
  <c r="U189" i="26"/>
  <c r="S189" i="26"/>
  <c r="P189" i="26"/>
  <c r="M189" i="26"/>
  <c r="H189" i="26"/>
  <c r="K189" i="26" s="1"/>
  <c r="L189" i="26" s="1"/>
  <c r="AB188" i="26"/>
  <c r="U188" i="26"/>
  <c r="S188" i="26"/>
  <c r="P188" i="26"/>
  <c r="M188" i="26"/>
  <c r="H188" i="26"/>
  <c r="K188" i="26" s="1"/>
  <c r="L188" i="26" s="1"/>
  <c r="AB187" i="26"/>
  <c r="U187" i="26"/>
  <c r="S187" i="26"/>
  <c r="P187" i="26"/>
  <c r="M187" i="26"/>
  <c r="H187" i="26"/>
  <c r="K187" i="26" s="1"/>
  <c r="L187" i="26" s="1"/>
  <c r="AB186" i="26"/>
  <c r="U186" i="26"/>
  <c r="S186" i="26"/>
  <c r="P186" i="26"/>
  <c r="M186" i="26"/>
  <c r="H186" i="26"/>
  <c r="K186" i="26" s="1"/>
  <c r="L186" i="26" s="1"/>
  <c r="AB185" i="26"/>
  <c r="U185" i="26"/>
  <c r="S185" i="26"/>
  <c r="P185" i="26"/>
  <c r="M185" i="26"/>
  <c r="H185" i="26"/>
  <c r="K185" i="26" s="1"/>
  <c r="L185" i="26" s="1"/>
  <c r="AB184" i="26"/>
  <c r="U184" i="26"/>
  <c r="S184" i="26"/>
  <c r="P184" i="26"/>
  <c r="M184" i="26"/>
  <c r="H184" i="26"/>
  <c r="K184" i="26" s="1"/>
  <c r="L184" i="26" s="1"/>
  <c r="AB183" i="26"/>
  <c r="U183" i="26"/>
  <c r="S183" i="26"/>
  <c r="P183" i="26"/>
  <c r="M183" i="26"/>
  <c r="H183" i="26"/>
  <c r="K183" i="26" s="1"/>
  <c r="L183" i="26" s="1"/>
  <c r="AB182" i="26"/>
  <c r="U182" i="26"/>
  <c r="S182" i="26"/>
  <c r="P182" i="26"/>
  <c r="M182" i="26"/>
  <c r="H182" i="26"/>
  <c r="K182" i="26" s="1"/>
  <c r="L182" i="26" s="1"/>
  <c r="AB181" i="26"/>
  <c r="U181" i="26"/>
  <c r="S181" i="26"/>
  <c r="P181" i="26"/>
  <c r="M181" i="26"/>
  <c r="H181" i="26"/>
  <c r="K181" i="26" s="1"/>
  <c r="L181" i="26" s="1"/>
  <c r="AB180" i="26"/>
  <c r="U180" i="26"/>
  <c r="S180" i="26"/>
  <c r="P180" i="26"/>
  <c r="M180" i="26"/>
  <c r="H180" i="26"/>
  <c r="K180" i="26" s="1"/>
  <c r="L180" i="26" s="1"/>
  <c r="AB179" i="26"/>
  <c r="U179" i="26"/>
  <c r="S179" i="26"/>
  <c r="P179" i="26"/>
  <c r="M179" i="26"/>
  <c r="H179" i="26"/>
  <c r="K179" i="26" s="1"/>
  <c r="L179" i="26" s="1"/>
  <c r="AB178" i="26"/>
  <c r="U178" i="26"/>
  <c r="S178" i="26"/>
  <c r="P178" i="26"/>
  <c r="M178" i="26"/>
  <c r="H178" i="26"/>
  <c r="K178" i="26" s="1"/>
  <c r="L178" i="26" s="1"/>
  <c r="U177" i="26"/>
  <c r="S177" i="26"/>
  <c r="P177" i="26"/>
  <c r="M177" i="26"/>
  <c r="H177" i="26"/>
  <c r="K177" i="26" s="1"/>
  <c r="L177" i="26" s="1"/>
  <c r="AB176" i="26"/>
  <c r="U176" i="26"/>
  <c r="S176" i="26"/>
  <c r="P176" i="26"/>
  <c r="M176" i="26"/>
  <c r="H176" i="26"/>
  <c r="K176" i="26" s="1"/>
  <c r="L176" i="26" s="1"/>
  <c r="AB175" i="26"/>
  <c r="U175" i="26"/>
  <c r="S175" i="26"/>
  <c r="P175" i="26"/>
  <c r="M175" i="26"/>
  <c r="H175" i="26"/>
  <c r="K175" i="26" s="1"/>
  <c r="L175" i="26" s="1"/>
  <c r="AB174" i="26"/>
  <c r="U174" i="26"/>
  <c r="S174" i="26"/>
  <c r="P174" i="26"/>
  <c r="M174" i="26"/>
  <c r="H174" i="26"/>
  <c r="K174" i="26" s="1"/>
  <c r="AB173" i="26"/>
  <c r="U173" i="26"/>
  <c r="S173" i="26"/>
  <c r="P173" i="26"/>
  <c r="M173" i="26"/>
  <c r="H173" i="26"/>
  <c r="K173" i="26" s="1"/>
  <c r="L173" i="26" s="1"/>
  <c r="AB172" i="26"/>
  <c r="U172" i="26"/>
  <c r="S172" i="26"/>
  <c r="P172" i="26"/>
  <c r="M172" i="26"/>
  <c r="H172" i="26"/>
  <c r="K172" i="26" s="1"/>
  <c r="L172" i="26" s="1"/>
  <c r="AB171" i="26"/>
  <c r="U171" i="26"/>
  <c r="S171" i="26"/>
  <c r="P171" i="26"/>
  <c r="M171" i="26"/>
  <c r="H171" i="26"/>
  <c r="K171" i="26" s="1"/>
  <c r="L171" i="26" s="1"/>
  <c r="AB170" i="26"/>
  <c r="U170" i="26"/>
  <c r="S170" i="26"/>
  <c r="P170" i="26"/>
  <c r="M170" i="26"/>
  <c r="H170" i="26"/>
  <c r="K170" i="26" s="1"/>
  <c r="L170" i="26" s="1"/>
  <c r="AB169" i="26"/>
  <c r="U169" i="26"/>
  <c r="S169" i="26"/>
  <c r="P169" i="26"/>
  <c r="M169" i="26"/>
  <c r="H169" i="26"/>
  <c r="K169" i="26" s="1"/>
  <c r="L169" i="26" s="1"/>
  <c r="AB168" i="26"/>
  <c r="U168" i="26"/>
  <c r="S168" i="26"/>
  <c r="P168" i="26"/>
  <c r="M168" i="26"/>
  <c r="N168" i="26" s="1"/>
  <c r="H168" i="26"/>
  <c r="K168" i="26" s="1"/>
  <c r="L168" i="26" s="1"/>
  <c r="AB167" i="26"/>
  <c r="U167" i="26"/>
  <c r="S167" i="26"/>
  <c r="P167" i="26"/>
  <c r="M167" i="26"/>
  <c r="H167" i="26"/>
  <c r="K167" i="26" s="1"/>
  <c r="AB166" i="26"/>
  <c r="U166" i="26"/>
  <c r="S166" i="26"/>
  <c r="P166" i="26"/>
  <c r="M166" i="26"/>
  <c r="H166" i="26"/>
  <c r="K166" i="26" s="1"/>
  <c r="L166" i="26" s="1"/>
  <c r="AB165" i="26"/>
  <c r="U165" i="26"/>
  <c r="S165" i="26"/>
  <c r="P165" i="26"/>
  <c r="M165" i="26"/>
  <c r="H165" i="26"/>
  <c r="K165" i="26" s="1"/>
  <c r="L165" i="26" s="1"/>
  <c r="AB164" i="26"/>
  <c r="U164" i="26"/>
  <c r="S164" i="26"/>
  <c r="P164" i="26"/>
  <c r="M164" i="26"/>
  <c r="H164" i="26"/>
  <c r="K164" i="26" s="1"/>
  <c r="L164" i="26" s="1"/>
  <c r="AB163" i="26"/>
  <c r="U163" i="26"/>
  <c r="S163" i="26"/>
  <c r="P163" i="26"/>
  <c r="M163" i="26"/>
  <c r="H163" i="26"/>
  <c r="K163" i="26" s="1"/>
  <c r="L163" i="26" s="1"/>
  <c r="AB162" i="26"/>
  <c r="U162" i="26"/>
  <c r="S162" i="26"/>
  <c r="P162" i="26"/>
  <c r="M162" i="26"/>
  <c r="H162" i="26"/>
  <c r="K162" i="26" s="1"/>
  <c r="L162" i="26" s="1"/>
  <c r="AB161" i="26"/>
  <c r="U161" i="26"/>
  <c r="S161" i="26"/>
  <c r="P161" i="26"/>
  <c r="M161" i="26"/>
  <c r="H161" i="26"/>
  <c r="K161" i="26" s="1"/>
  <c r="L161" i="26" s="1"/>
  <c r="AB160" i="26"/>
  <c r="U160" i="26"/>
  <c r="S160" i="26"/>
  <c r="P160" i="26"/>
  <c r="M160" i="26"/>
  <c r="H160" i="26"/>
  <c r="K160" i="26" s="1"/>
  <c r="L160" i="26" s="1"/>
  <c r="AB159" i="26"/>
  <c r="U159" i="26"/>
  <c r="S159" i="26"/>
  <c r="P159" i="26"/>
  <c r="M159" i="26"/>
  <c r="H159" i="26"/>
  <c r="K159" i="26" s="1"/>
  <c r="L159" i="26" s="1"/>
  <c r="AB158" i="26"/>
  <c r="U158" i="26"/>
  <c r="S158" i="26"/>
  <c r="P158" i="26"/>
  <c r="M158" i="26"/>
  <c r="H158" i="26"/>
  <c r="K158" i="26" s="1"/>
  <c r="L158" i="26" s="1"/>
  <c r="AB157" i="26"/>
  <c r="U157" i="26"/>
  <c r="S157" i="26"/>
  <c r="P157" i="26"/>
  <c r="M157" i="26"/>
  <c r="H157" i="26"/>
  <c r="K157" i="26" s="1"/>
  <c r="L157" i="26" s="1"/>
  <c r="AB156" i="26"/>
  <c r="U156" i="26"/>
  <c r="S156" i="26"/>
  <c r="P156" i="26"/>
  <c r="M156" i="26"/>
  <c r="H156" i="26"/>
  <c r="K156" i="26" s="1"/>
  <c r="L156" i="26" s="1"/>
  <c r="AB155" i="26"/>
  <c r="U155" i="26"/>
  <c r="S155" i="26"/>
  <c r="P155" i="26"/>
  <c r="M155" i="26"/>
  <c r="H155" i="26"/>
  <c r="K155" i="26" s="1"/>
  <c r="L155" i="26" s="1"/>
  <c r="AB154" i="26"/>
  <c r="U154" i="26"/>
  <c r="S154" i="26"/>
  <c r="P154" i="26"/>
  <c r="M154" i="26"/>
  <c r="H154" i="26"/>
  <c r="K154" i="26" s="1"/>
  <c r="L154" i="26" s="1"/>
  <c r="AB153" i="26"/>
  <c r="U153" i="26"/>
  <c r="S153" i="26"/>
  <c r="P153" i="26"/>
  <c r="M153" i="26"/>
  <c r="H153" i="26"/>
  <c r="K153" i="26" s="1"/>
  <c r="L153" i="26" s="1"/>
  <c r="AB152" i="26"/>
  <c r="U152" i="26"/>
  <c r="S152" i="26"/>
  <c r="P152" i="26"/>
  <c r="M152" i="26"/>
  <c r="H152" i="26"/>
  <c r="K152" i="26" s="1"/>
  <c r="L152" i="26" s="1"/>
  <c r="AB151" i="26"/>
  <c r="U151" i="26"/>
  <c r="S151" i="26"/>
  <c r="P151" i="26"/>
  <c r="M151" i="26"/>
  <c r="H151" i="26"/>
  <c r="K151" i="26" s="1"/>
  <c r="L151" i="26" s="1"/>
  <c r="AB150" i="26"/>
  <c r="U150" i="26"/>
  <c r="S150" i="26"/>
  <c r="P150" i="26"/>
  <c r="M150" i="26"/>
  <c r="H150" i="26"/>
  <c r="K150" i="26" s="1"/>
  <c r="L150" i="26" s="1"/>
  <c r="AB149" i="26"/>
  <c r="U149" i="26"/>
  <c r="S149" i="26"/>
  <c r="P149" i="26"/>
  <c r="M149" i="26"/>
  <c r="H149" i="26"/>
  <c r="K149" i="26" s="1"/>
  <c r="L149" i="26" s="1"/>
  <c r="AB148" i="26"/>
  <c r="U148" i="26"/>
  <c r="S148" i="26"/>
  <c r="P148" i="26"/>
  <c r="M148" i="26"/>
  <c r="H148" i="26"/>
  <c r="K148" i="26" s="1"/>
  <c r="AB147" i="26"/>
  <c r="U147" i="26"/>
  <c r="S147" i="26"/>
  <c r="P147" i="26"/>
  <c r="M147" i="26"/>
  <c r="H147" i="26"/>
  <c r="K147" i="26" s="1"/>
  <c r="L147" i="26" s="1"/>
  <c r="AB146" i="26"/>
  <c r="U146" i="26"/>
  <c r="S146" i="26"/>
  <c r="P146" i="26"/>
  <c r="M146" i="26"/>
  <c r="H146" i="26"/>
  <c r="K146" i="26" s="1"/>
  <c r="AB145" i="26"/>
  <c r="U145" i="26"/>
  <c r="S145" i="26"/>
  <c r="P145" i="26"/>
  <c r="M145" i="26"/>
  <c r="H145" i="26"/>
  <c r="K145" i="26" s="1"/>
  <c r="L145" i="26" s="1"/>
  <c r="AB144" i="26"/>
  <c r="U144" i="26"/>
  <c r="S144" i="26"/>
  <c r="P144" i="26"/>
  <c r="M144" i="26"/>
  <c r="H144" i="26"/>
  <c r="K144" i="26" s="1"/>
  <c r="L144" i="26" s="1"/>
  <c r="AB143" i="26"/>
  <c r="U143" i="26"/>
  <c r="S143" i="26"/>
  <c r="P143" i="26"/>
  <c r="M143" i="26"/>
  <c r="H143" i="26"/>
  <c r="K143" i="26" s="1"/>
  <c r="L143" i="26" s="1"/>
  <c r="AB142" i="26"/>
  <c r="U142" i="26"/>
  <c r="S142" i="26"/>
  <c r="P142" i="26"/>
  <c r="M142" i="26"/>
  <c r="H142" i="26"/>
  <c r="K142" i="26" s="1"/>
  <c r="AB141" i="26"/>
  <c r="U141" i="26"/>
  <c r="S141" i="26"/>
  <c r="P141" i="26"/>
  <c r="M141" i="26"/>
  <c r="H141" i="26"/>
  <c r="K141" i="26" s="1"/>
  <c r="L141" i="26" s="1"/>
  <c r="AB140" i="26"/>
  <c r="U140" i="26"/>
  <c r="S140" i="26"/>
  <c r="P140" i="26"/>
  <c r="M140" i="26"/>
  <c r="I140" i="26"/>
  <c r="H140" i="26"/>
  <c r="U139" i="26"/>
  <c r="S139" i="26"/>
  <c r="P139" i="26"/>
  <c r="M139" i="26"/>
  <c r="H139" i="26"/>
  <c r="K139" i="26" s="1"/>
  <c r="L139" i="26" s="1"/>
  <c r="AB138" i="26"/>
  <c r="U138" i="26"/>
  <c r="S138" i="26"/>
  <c r="P138" i="26"/>
  <c r="M138" i="26"/>
  <c r="H138" i="26"/>
  <c r="K138" i="26" s="1"/>
  <c r="AB137" i="26"/>
  <c r="U137" i="26"/>
  <c r="S137" i="26"/>
  <c r="P137" i="26"/>
  <c r="M137" i="26"/>
  <c r="H137" i="26"/>
  <c r="K137" i="26" s="1"/>
  <c r="L137" i="26" s="1"/>
  <c r="AB136" i="26"/>
  <c r="U136" i="26"/>
  <c r="S136" i="26"/>
  <c r="P136" i="26"/>
  <c r="M136" i="26"/>
  <c r="H136" i="26"/>
  <c r="K136" i="26" s="1"/>
  <c r="AB135" i="26"/>
  <c r="U135" i="26"/>
  <c r="S135" i="26"/>
  <c r="P135" i="26"/>
  <c r="M135" i="26"/>
  <c r="H135" i="26"/>
  <c r="K135" i="26" s="1"/>
  <c r="L135" i="26" s="1"/>
  <c r="AB134" i="26"/>
  <c r="U134" i="26"/>
  <c r="S134" i="26"/>
  <c r="P134" i="26"/>
  <c r="M134" i="26"/>
  <c r="H134" i="26"/>
  <c r="K134" i="26" s="1"/>
  <c r="AB133" i="26"/>
  <c r="U133" i="26"/>
  <c r="S133" i="26"/>
  <c r="P133" i="26"/>
  <c r="M133" i="26"/>
  <c r="H133" i="26"/>
  <c r="K133" i="26" s="1"/>
  <c r="L133" i="26" s="1"/>
  <c r="AB132" i="26"/>
  <c r="U132" i="26"/>
  <c r="S132" i="26"/>
  <c r="P132" i="26"/>
  <c r="M132" i="26"/>
  <c r="H132" i="26"/>
  <c r="K132" i="26" s="1"/>
  <c r="AB131" i="26"/>
  <c r="U131" i="26"/>
  <c r="S131" i="26"/>
  <c r="P131" i="26"/>
  <c r="M131" i="26"/>
  <c r="H131" i="26"/>
  <c r="K131" i="26" s="1"/>
  <c r="L131" i="26" s="1"/>
  <c r="AB130" i="26"/>
  <c r="U130" i="26"/>
  <c r="S130" i="26"/>
  <c r="P130" i="26"/>
  <c r="M130" i="26"/>
  <c r="H130" i="26"/>
  <c r="K130" i="26" s="1"/>
  <c r="AB129" i="26"/>
  <c r="U129" i="26"/>
  <c r="S129" i="26"/>
  <c r="P129" i="26"/>
  <c r="M129" i="26"/>
  <c r="H129" i="26"/>
  <c r="K129" i="26" s="1"/>
  <c r="L129" i="26" s="1"/>
  <c r="AB128" i="26"/>
  <c r="U128" i="26"/>
  <c r="S128" i="26"/>
  <c r="P128" i="26"/>
  <c r="M128" i="26"/>
  <c r="H128" i="26"/>
  <c r="K128" i="26" s="1"/>
  <c r="AB127" i="26"/>
  <c r="U127" i="26"/>
  <c r="S127" i="26"/>
  <c r="P127" i="26"/>
  <c r="M127" i="26"/>
  <c r="H127" i="26"/>
  <c r="K127" i="26" s="1"/>
  <c r="L127" i="26" s="1"/>
  <c r="AB126" i="26"/>
  <c r="U126" i="26"/>
  <c r="S126" i="26"/>
  <c r="P126" i="26"/>
  <c r="M126" i="26"/>
  <c r="H126" i="26"/>
  <c r="K126" i="26" s="1"/>
  <c r="AB125" i="26"/>
  <c r="U125" i="26"/>
  <c r="S125" i="26"/>
  <c r="P125" i="26"/>
  <c r="M125" i="26"/>
  <c r="H125" i="26"/>
  <c r="K125" i="26" s="1"/>
  <c r="L125" i="26" s="1"/>
  <c r="AB124" i="26"/>
  <c r="U124" i="26"/>
  <c r="S124" i="26"/>
  <c r="P124" i="26"/>
  <c r="M124" i="26"/>
  <c r="H124" i="26"/>
  <c r="K124" i="26" s="1"/>
  <c r="AB123" i="26"/>
  <c r="U123" i="26"/>
  <c r="S123" i="26"/>
  <c r="P123" i="26"/>
  <c r="M123" i="26"/>
  <c r="H123" i="26"/>
  <c r="K123" i="26" s="1"/>
  <c r="L123" i="26" s="1"/>
  <c r="AB122" i="26"/>
  <c r="U122" i="26"/>
  <c r="S122" i="26"/>
  <c r="P122" i="26"/>
  <c r="M122" i="26"/>
  <c r="H122" i="26"/>
  <c r="K122" i="26" s="1"/>
  <c r="L122" i="26" s="1"/>
  <c r="AB121" i="26"/>
  <c r="U121" i="26"/>
  <c r="S121" i="26"/>
  <c r="P121" i="26"/>
  <c r="M121" i="26"/>
  <c r="H121" i="26"/>
  <c r="K121" i="26" s="1"/>
  <c r="L121" i="26" s="1"/>
  <c r="AB120" i="26"/>
  <c r="U120" i="26"/>
  <c r="S120" i="26"/>
  <c r="P120" i="26"/>
  <c r="M120" i="26"/>
  <c r="H120" i="26"/>
  <c r="K120" i="26" s="1"/>
  <c r="L120" i="26" s="1"/>
  <c r="AB119" i="26"/>
  <c r="U119" i="26"/>
  <c r="S119" i="26"/>
  <c r="P119" i="26"/>
  <c r="M119" i="26"/>
  <c r="H119" i="26"/>
  <c r="K119" i="26" s="1"/>
  <c r="L119" i="26" s="1"/>
  <c r="AB118" i="26"/>
  <c r="U118" i="26"/>
  <c r="S118" i="26"/>
  <c r="P118" i="26"/>
  <c r="M118" i="26"/>
  <c r="H118" i="26"/>
  <c r="K118" i="26" s="1"/>
  <c r="L118" i="26" s="1"/>
  <c r="AB117" i="26"/>
  <c r="U117" i="26"/>
  <c r="S117" i="26"/>
  <c r="P117" i="26"/>
  <c r="M117" i="26"/>
  <c r="H117" i="26"/>
  <c r="K117" i="26" s="1"/>
  <c r="L117" i="26" s="1"/>
  <c r="AB116" i="26"/>
  <c r="U116" i="26"/>
  <c r="S116" i="26"/>
  <c r="P116" i="26"/>
  <c r="M116" i="26"/>
  <c r="H116" i="26"/>
  <c r="K116" i="26" s="1"/>
  <c r="L116" i="26" s="1"/>
  <c r="AB115" i="26"/>
  <c r="U115" i="26"/>
  <c r="S115" i="26"/>
  <c r="P115" i="26"/>
  <c r="M115" i="26"/>
  <c r="H115" i="26"/>
  <c r="K115" i="26" s="1"/>
  <c r="L115" i="26" s="1"/>
  <c r="AB114" i="26"/>
  <c r="U114" i="26"/>
  <c r="S114" i="26"/>
  <c r="P114" i="26"/>
  <c r="M114" i="26"/>
  <c r="H114" i="26"/>
  <c r="K114" i="26" s="1"/>
  <c r="L114" i="26" s="1"/>
  <c r="AB113" i="26"/>
  <c r="U113" i="26"/>
  <c r="S113" i="26"/>
  <c r="P113" i="26"/>
  <c r="M113" i="26"/>
  <c r="H113" i="26"/>
  <c r="K113" i="26" s="1"/>
  <c r="L113" i="26" s="1"/>
  <c r="AB112" i="26"/>
  <c r="U112" i="26"/>
  <c r="S112" i="26"/>
  <c r="P112" i="26"/>
  <c r="M112" i="26"/>
  <c r="H112" i="26"/>
  <c r="K112" i="26" s="1"/>
  <c r="L112" i="26" s="1"/>
  <c r="AB111" i="26"/>
  <c r="U111" i="26"/>
  <c r="S111" i="26"/>
  <c r="P111" i="26"/>
  <c r="M111" i="26"/>
  <c r="H111" i="26"/>
  <c r="K111" i="26" s="1"/>
  <c r="L111" i="26" s="1"/>
  <c r="AB110" i="26"/>
  <c r="U110" i="26"/>
  <c r="S110" i="26"/>
  <c r="P110" i="26"/>
  <c r="M110" i="26"/>
  <c r="H110" i="26"/>
  <c r="K110" i="26" s="1"/>
  <c r="L110" i="26" s="1"/>
  <c r="AB109" i="26"/>
  <c r="U109" i="26"/>
  <c r="S109" i="26"/>
  <c r="P109" i="26"/>
  <c r="M109" i="26"/>
  <c r="N109" i="26" s="1"/>
  <c r="H109" i="26"/>
  <c r="K109" i="26" s="1"/>
  <c r="L109" i="26" s="1"/>
  <c r="AB108" i="26"/>
  <c r="U108" i="26"/>
  <c r="S108" i="26"/>
  <c r="P108" i="26"/>
  <c r="M108" i="26"/>
  <c r="H108" i="26"/>
  <c r="K108" i="26" s="1"/>
  <c r="L108" i="26" s="1"/>
  <c r="AB107" i="26"/>
  <c r="U107" i="26"/>
  <c r="S107" i="26"/>
  <c r="P107" i="26"/>
  <c r="M107" i="26"/>
  <c r="H107" i="26"/>
  <c r="K107" i="26" s="1"/>
  <c r="L107" i="26" s="1"/>
  <c r="AB106" i="26"/>
  <c r="U106" i="26"/>
  <c r="S106" i="26"/>
  <c r="P106" i="26"/>
  <c r="M106" i="26"/>
  <c r="H106" i="26"/>
  <c r="K106" i="26" s="1"/>
  <c r="L106" i="26" s="1"/>
  <c r="AB105" i="26"/>
  <c r="U105" i="26"/>
  <c r="S105" i="26"/>
  <c r="P105" i="26"/>
  <c r="M105" i="26"/>
  <c r="H105" i="26"/>
  <c r="K105" i="26" s="1"/>
  <c r="L105" i="26" s="1"/>
  <c r="AB104" i="26"/>
  <c r="U104" i="26"/>
  <c r="S104" i="26"/>
  <c r="P104" i="26"/>
  <c r="M104" i="26"/>
  <c r="H104" i="26"/>
  <c r="K104" i="26" s="1"/>
  <c r="L104" i="26" s="1"/>
  <c r="AB103" i="26"/>
  <c r="U103" i="26"/>
  <c r="S103" i="26"/>
  <c r="P103" i="26"/>
  <c r="M103" i="26"/>
  <c r="H103" i="26"/>
  <c r="K103" i="26" s="1"/>
  <c r="L103" i="26" s="1"/>
  <c r="AB102" i="26"/>
  <c r="U102" i="26"/>
  <c r="S102" i="26"/>
  <c r="P102" i="26"/>
  <c r="M102" i="26"/>
  <c r="H102" i="26"/>
  <c r="K102" i="26" s="1"/>
  <c r="L102" i="26" s="1"/>
  <c r="AB101" i="26"/>
  <c r="U101" i="26"/>
  <c r="S101" i="26"/>
  <c r="P101" i="26"/>
  <c r="M101" i="26"/>
  <c r="H101" i="26"/>
  <c r="K101" i="26" s="1"/>
  <c r="L101" i="26" s="1"/>
  <c r="AB100" i="26"/>
  <c r="U100" i="26"/>
  <c r="S100" i="26"/>
  <c r="P100" i="26"/>
  <c r="M100" i="26"/>
  <c r="H100" i="26"/>
  <c r="K100" i="26" s="1"/>
  <c r="L100" i="26" s="1"/>
  <c r="AB99" i="26"/>
  <c r="U99" i="26"/>
  <c r="S99" i="26"/>
  <c r="P99" i="26"/>
  <c r="M99" i="26"/>
  <c r="H99" i="26"/>
  <c r="K99" i="26" s="1"/>
  <c r="L99" i="26" s="1"/>
  <c r="AB98" i="26"/>
  <c r="U98" i="26"/>
  <c r="S98" i="26"/>
  <c r="P98" i="26"/>
  <c r="M98" i="26"/>
  <c r="H98" i="26"/>
  <c r="K98" i="26" s="1"/>
  <c r="L98" i="26" s="1"/>
  <c r="AB97" i="26"/>
  <c r="U97" i="26"/>
  <c r="S97" i="26"/>
  <c r="P97" i="26"/>
  <c r="M97" i="26"/>
  <c r="H97" i="26"/>
  <c r="K97" i="26" s="1"/>
  <c r="L97" i="26" s="1"/>
  <c r="AB96" i="26"/>
  <c r="U96" i="26"/>
  <c r="S96" i="26"/>
  <c r="P96" i="26"/>
  <c r="M96" i="26"/>
  <c r="H96" i="26"/>
  <c r="K96" i="26" s="1"/>
  <c r="L96" i="26" s="1"/>
  <c r="AB95" i="26"/>
  <c r="U95" i="26"/>
  <c r="S95" i="26"/>
  <c r="P95" i="26"/>
  <c r="M95" i="26"/>
  <c r="H95" i="26"/>
  <c r="K95" i="26" s="1"/>
  <c r="L95" i="26" s="1"/>
  <c r="AB94" i="26"/>
  <c r="U94" i="26"/>
  <c r="S94" i="26"/>
  <c r="P94" i="26"/>
  <c r="M94" i="26"/>
  <c r="H94" i="26"/>
  <c r="K94" i="26" s="1"/>
  <c r="L94" i="26" s="1"/>
  <c r="AB93" i="26"/>
  <c r="U93" i="26"/>
  <c r="S93" i="26"/>
  <c r="P93" i="26"/>
  <c r="M93" i="26"/>
  <c r="H93" i="26"/>
  <c r="K93" i="26" s="1"/>
  <c r="L93" i="26" s="1"/>
  <c r="V93" i="26" s="1"/>
  <c r="AB92" i="26"/>
  <c r="U92" i="26"/>
  <c r="S92" i="26"/>
  <c r="P92" i="26"/>
  <c r="M92" i="26"/>
  <c r="H92" i="26"/>
  <c r="K92" i="26" s="1"/>
  <c r="L92" i="26" s="1"/>
  <c r="AB90" i="26"/>
  <c r="U90" i="26"/>
  <c r="S90" i="26"/>
  <c r="P90" i="26"/>
  <c r="M90" i="26"/>
  <c r="H90" i="26"/>
  <c r="K90" i="26" s="1"/>
  <c r="L90" i="26" s="1"/>
  <c r="U89" i="26"/>
  <c r="S89" i="26"/>
  <c r="P89" i="26"/>
  <c r="M89" i="26"/>
  <c r="H89" i="26"/>
  <c r="K89" i="26" s="1"/>
  <c r="L89" i="26" s="1"/>
  <c r="AB88" i="26"/>
  <c r="U88" i="26"/>
  <c r="S88" i="26"/>
  <c r="P88" i="26"/>
  <c r="M88" i="26"/>
  <c r="H88" i="26"/>
  <c r="K88" i="26" s="1"/>
  <c r="AB87" i="26"/>
  <c r="U87" i="26"/>
  <c r="S87" i="26"/>
  <c r="P87" i="26"/>
  <c r="M87" i="26"/>
  <c r="H87" i="26"/>
  <c r="K87" i="26" s="1"/>
  <c r="L87" i="26" s="1"/>
  <c r="AB86" i="26"/>
  <c r="U86" i="26"/>
  <c r="S86" i="26"/>
  <c r="P86" i="26"/>
  <c r="M86" i="26"/>
  <c r="H86" i="26"/>
  <c r="K86" i="26" s="1"/>
  <c r="AB85" i="26"/>
  <c r="U85" i="26"/>
  <c r="S85" i="26"/>
  <c r="P85" i="26"/>
  <c r="M85" i="26"/>
  <c r="H85" i="26"/>
  <c r="K85" i="26" s="1"/>
  <c r="L85" i="26" s="1"/>
  <c r="AB84" i="26"/>
  <c r="U84" i="26"/>
  <c r="S84" i="26"/>
  <c r="P84" i="26"/>
  <c r="M84" i="26"/>
  <c r="H84" i="26"/>
  <c r="K84" i="26" s="1"/>
  <c r="AB83" i="26"/>
  <c r="U83" i="26"/>
  <c r="S83" i="26"/>
  <c r="P83" i="26"/>
  <c r="M83" i="26"/>
  <c r="H83" i="26"/>
  <c r="K83" i="26" s="1"/>
  <c r="L83" i="26" s="1"/>
  <c r="AB82" i="26"/>
  <c r="U82" i="26"/>
  <c r="S82" i="26"/>
  <c r="P82" i="26"/>
  <c r="M82" i="26"/>
  <c r="H82" i="26"/>
  <c r="K82" i="26" s="1"/>
  <c r="AB81" i="26"/>
  <c r="U81" i="26"/>
  <c r="S81" i="26"/>
  <c r="P81" i="26"/>
  <c r="M81" i="26"/>
  <c r="H81" i="26"/>
  <c r="K81" i="26" s="1"/>
  <c r="L81" i="26" s="1"/>
  <c r="AB80" i="26"/>
  <c r="U80" i="26"/>
  <c r="S80" i="26"/>
  <c r="P80" i="26"/>
  <c r="M80" i="26"/>
  <c r="H80" i="26"/>
  <c r="K80" i="26" s="1"/>
  <c r="AB79" i="26"/>
  <c r="U79" i="26"/>
  <c r="S79" i="26"/>
  <c r="P79" i="26"/>
  <c r="M79" i="26"/>
  <c r="H79" i="26"/>
  <c r="K79" i="26" s="1"/>
  <c r="L79" i="26" s="1"/>
  <c r="AB78" i="26"/>
  <c r="U78" i="26"/>
  <c r="S78" i="26"/>
  <c r="P78" i="26"/>
  <c r="M78" i="26"/>
  <c r="H78" i="26"/>
  <c r="K78" i="26" s="1"/>
  <c r="AB77" i="26"/>
  <c r="U77" i="26"/>
  <c r="S77" i="26"/>
  <c r="P77" i="26"/>
  <c r="M77" i="26"/>
  <c r="H77" i="26"/>
  <c r="K77" i="26" s="1"/>
  <c r="L77" i="26" s="1"/>
  <c r="AB76" i="26"/>
  <c r="U76" i="26"/>
  <c r="S76" i="26"/>
  <c r="P76" i="26"/>
  <c r="M76" i="26"/>
  <c r="H76" i="26"/>
  <c r="K76" i="26" s="1"/>
  <c r="L76" i="26" s="1"/>
  <c r="AB75" i="26"/>
  <c r="U75" i="26"/>
  <c r="S75" i="26"/>
  <c r="P75" i="26"/>
  <c r="M75" i="26"/>
  <c r="H75" i="26"/>
  <c r="K75" i="26" s="1"/>
  <c r="L75" i="26" s="1"/>
  <c r="AB74" i="26"/>
  <c r="U74" i="26"/>
  <c r="S74" i="26"/>
  <c r="P74" i="26"/>
  <c r="M74" i="26"/>
  <c r="H74" i="26"/>
  <c r="K74" i="26" s="1"/>
  <c r="L74" i="26" s="1"/>
  <c r="AB73" i="26"/>
  <c r="U73" i="26"/>
  <c r="S73" i="26"/>
  <c r="P73" i="26"/>
  <c r="M73" i="26"/>
  <c r="H73" i="26"/>
  <c r="K73" i="26" s="1"/>
  <c r="L73" i="26" s="1"/>
  <c r="AB72" i="26"/>
  <c r="U72" i="26"/>
  <c r="S72" i="26"/>
  <c r="P72" i="26"/>
  <c r="M72" i="26"/>
  <c r="H72" i="26"/>
  <c r="K72" i="26" s="1"/>
  <c r="L72" i="26" s="1"/>
  <c r="AB71" i="26"/>
  <c r="U71" i="26"/>
  <c r="S71" i="26"/>
  <c r="P71" i="26"/>
  <c r="M71" i="26"/>
  <c r="H71" i="26"/>
  <c r="K71" i="26" s="1"/>
  <c r="L71" i="26" s="1"/>
  <c r="AB70" i="26"/>
  <c r="U70" i="26"/>
  <c r="S70" i="26"/>
  <c r="P70" i="26"/>
  <c r="M70" i="26"/>
  <c r="H70" i="26"/>
  <c r="K70" i="26" s="1"/>
  <c r="L70" i="26" s="1"/>
  <c r="AB69" i="26"/>
  <c r="U69" i="26"/>
  <c r="S69" i="26"/>
  <c r="P69" i="26"/>
  <c r="M69" i="26"/>
  <c r="H69" i="26"/>
  <c r="K69" i="26" s="1"/>
  <c r="L69" i="26" s="1"/>
  <c r="AB68" i="26"/>
  <c r="U68" i="26"/>
  <c r="S68" i="26"/>
  <c r="P68" i="26"/>
  <c r="M68" i="26"/>
  <c r="H68" i="26"/>
  <c r="K68" i="26" s="1"/>
  <c r="L68" i="26" s="1"/>
  <c r="AB67" i="26"/>
  <c r="U67" i="26"/>
  <c r="S67" i="26"/>
  <c r="P67" i="26"/>
  <c r="M67" i="26"/>
  <c r="H67" i="26"/>
  <c r="K67" i="26" s="1"/>
  <c r="L67" i="26" s="1"/>
  <c r="AB66" i="26"/>
  <c r="U66" i="26"/>
  <c r="S66" i="26"/>
  <c r="P66" i="26"/>
  <c r="M66" i="26"/>
  <c r="H66" i="26"/>
  <c r="K66" i="26" s="1"/>
  <c r="L66" i="26" s="1"/>
  <c r="AB65" i="26"/>
  <c r="U65" i="26"/>
  <c r="S65" i="26"/>
  <c r="P65" i="26"/>
  <c r="M65" i="26"/>
  <c r="H65" i="26"/>
  <c r="K65" i="26" s="1"/>
  <c r="AB64" i="26"/>
  <c r="U64" i="26"/>
  <c r="S64" i="26"/>
  <c r="P64" i="26"/>
  <c r="M64" i="26"/>
  <c r="H64" i="26"/>
  <c r="K64" i="26" s="1"/>
  <c r="L64" i="26" s="1"/>
  <c r="AB63" i="26"/>
  <c r="U63" i="26"/>
  <c r="S63" i="26"/>
  <c r="P63" i="26"/>
  <c r="M63" i="26"/>
  <c r="H63" i="26"/>
  <c r="K63" i="26" s="1"/>
  <c r="AB62" i="26"/>
  <c r="U62" i="26"/>
  <c r="S62" i="26"/>
  <c r="P62" i="26"/>
  <c r="M62" i="26"/>
  <c r="H62" i="26"/>
  <c r="K62" i="26" s="1"/>
  <c r="L62" i="26" s="1"/>
  <c r="AB61" i="26"/>
  <c r="U61" i="26"/>
  <c r="S61" i="26"/>
  <c r="P61" i="26"/>
  <c r="M61" i="26"/>
  <c r="H61" i="26"/>
  <c r="K61" i="26" s="1"/>
  <c r="AB60" i="26"/>
  <c r="U60" i="26"/>
  <c r="S60" i="26"/>
  <c r="P60" i="26"/>
  <c r="M60" i="26"/>
  <c r="H60" i="26"/>
  <c r="K60" i="26" s="1"/>
  <c r="L60" i="26" s="1"/>
  <c r="AB59" i="26"/>
  <c r="U59" i="26"/>
  <c r="S59" i="26"/>
  <c r="P59" i="26"/>
  <c r="M59" i="26"/>
  <c r="H59" i="26"/>
  <c r="K59" i="26" s="1"/>
  <c r="AB58" i="26"/>
  <c r="U58" i="26"/>
  <c r="S58" i="26"/>
  <c r="P58" i="26"/>
  <c r="M58" i="26"/>
  <c r="H58" i="26"/>
  <c r="K58" i="26" s="1"/>
  <c r="L58" i="26" s="1"/>
  <c r="AB57" i="26"/>
  <c r="U57" i="26"/>
  <c r="P57" i="26"/>
  <c r="M57" i="26"/>
  <c r="H57" i="26"/>
  <c r="K57" i="26" s="1"/>
  <c r="L57" i="26" s="1"/>
  <c r="AB56" i="26"/>
  <c r="U56" i="26"/>
  <c r="S56" i="26"/>
  <c r="P56" i="26"/>
  <c r="M56" i="26"/>
  <c r="H56" i="26"/>
  <c r="K56" i="26" s="1"/>
  <c r="L56" i="26" s="1"/>
  <c r="AB55" i="26"/>
  <c r="U55" i="26"/>
  <c r="S55" i="26"/>
  <c r="P55" i="26"/>
  <c r="M55" i="26"/>
  <c r="H55" i="26"/>
  <c r="K55" i="26" s="1"/>
  <c r="L55" i="26" s="1"/>
  <c r="AB54" i="26"/>
  <c r="U54" i="26"/>
  <c r="S54" i="26"/>
  <c r="P54" i="26"/>
  <c r="M54" i="26"/>
  <c r="H54" i="26"/>
  <c r="K54" i="26" s="1"/>
  <c r="L54" i="26" s="1"/>
  <c r="AB53" i="26"/>
  <c r="U53" i="26"/>
  <c r="S53" i="26"/>
  <c r="P53" i="26"/>
  <c r="M53" i="26"/>
  <c r="H53" i="26"/>
  <c r="K53" i="26" s="1"/>
  <c r="L53" i="26" s="1"/>
  <c r="AB52" i="26"/>
  <c r="U52" i="26"/>
  <c r="S52" i="26"/>
  <c r="P52" i="26"/>
  <c r="M52" i="26"/>
  <c r="H52" i="26"/>
  <c r="K52" i="26" s="1"/>
  <c r="L52" i="26" s="1"/>
  <c r="AB51" i="26"/>
  <c r="U51" i="26"/>
  <c r="S51" i="26"/>
  <c r="P51" i="26"/>
  <c r="M51" i="26"/>
  <c r="H51" i="26"/>
  <c r="K51" i="26" s="1"/>
  <c r="L51" i="26" s="1"/>
  <c r="AB50" i="26"/>
  <c r="U50" i="26"/>
  <c r="S50" i="26"/>
  <c r="P50" i="26"/>
  <c r="M50" i="26"/>
  <c r="H50" i="26"/>
  <c r="K50" i="26" s="1"/>
  <c r="L50" i="26" s="1"/>
  <c r="AB49" i="26"/>
  <c r="U49" i="26"/>
  <c r="S49" i="26"/>
  <c r="P49" i="26"/>
  <c r="M49" i="26"/>
  <c r="H49" i="26"/>
  <c r="K49" i="26" s="1"/>
  <c r="L49" i="26" s="1"/>
  <c r="AB48" i="26"/>
  <c r="U48" i="26"/>
  <c r="S48" i="26"/>
  <c r="P48" i="26"/>
  <c r="M48" i="26"/>
  <c r="H48" i="26"/>
  <c r="K48" i="26" s="1"/>
  <c r="L48" i="26" s="1"/>
  <c r="AB47" i="26"/>
  <c r="U47" i="26"/>
  <c r="S47" i="26"/>
  <c r="P47" i="26"/>
  <c r="M47" i="26"/>
  <c r="H47" i="26"/>
  <c r="K47" i="26" s="1"/>
  <c r="L47" i="26" s="1"/>
  <c r="AB46" i="26"/>
  <c r="U46" i="26"/>
  <c r="S46" i="26"/>
  <c r="P46" i="26"/>
  <c r="M46" i="26"/>
  <c r="H46" i="26"/>
  <c r="K46" i="26" s="1"/>
  <c r="L46" i="26" s="1"/>
  <c r="AB45" i="26"/>
  <c r="U45" i="26"/>
  <c r="S45" i="26"/>
  <c r="P45" i="26"/>
  <c r="M45" i="26"/>
  <c r="H45" i="26"/>
  <c r="K45" i="26" s="1"/>
  <c r="L45" i="26" s="1"/>
  <c r="AB44" i="26"/>
  <c r="U44" i="26"/>
  <c r="S44" i="26"/>
  <c r="P44" i="26"/>
  <c r="M44" i="26"/>
  <c r="H44" i="26"/>
  <c r="K44" i="26" s="1"/>
  <c r="L44" i="26" s="1"/>
  <c r="AB43" i="26"/>
  <c r="U43" i="26"/>
  <c r="S43" i="26"/>
  <c r="P43" i="26"/>
  <c r="M43" i="26"/>
  <c r="H43" i="26"/>
  <c r="K43" i="26" s="1"/>
  <c r="L43" i="26" s="1"/>
  <c r="AB42" i="26"/>
  <c r="U42" i="26"/>
  <c r="S42" i="26"/>
  <c r="P42" i="26"/>
  <c r="M42" i="26"/>
  <c r="H42" i="26"/>
  <c r="K42" i="26" s="1"/>
  <c r="L42" i="26" s="1"/>
  <c r="AB41" i="26"/>
  <c r="U41" i="26"/>
  <c r="S41" i="26"/>
  <c r="P41" i="26"/>
  <c r="M41" i="26"/>
  <c r="H41" i="26"/>
  <c r="K41" i="26" s="1"/>
  <c r="L41" i="26" s="1"/>
  <c r="AB40" i="26"/>
  <c r="U40" i="26"/>
  <c r="S40" i="26"/>
  <c r="P40" i="26"/>
  <c r="M40" i="26"/>
  <c r="H40" i="26"/>
  <c r="K40" i="26" s="1"/>
  <c r="L40" i="26" s="1"/>
  <c r="AB39" i="26"/>
  <c r="U39" i="26"/>
  <c r="S39" i="26"/>
  <c r="P39" i="26"/>
  <c r="M39" i="26"/>
  <c r="H39" i="26"/>
  <c r="K39" i="26" s="1"/>
  <c r="L39" i="26" s="1"/>
  <c r="AB38" i="26"/>
  <c r="U38" i="26"/>
  <c r="S38" i="26"/>
  <c r="P38" i="26"/>
  <c r="M38" i="26"/>
  <c r="H38" i="26"/>
  <c r="K38" i="26" s="1"/>
  <c r="L38" i="26" s="1"/>
  <c r="AB37" i="26"/>
  <c r="U37" i="26"/>
  <c r="S37" i="26"/>
  <c r="P37" i="26"/>
  <c r="M37" i="26"/>
  <c r="H37" i="26"/>
  <c r="K37" i="26" s="1"/>
  <c r="L37" i="26" s="1"/>
  <c r="AB36" i="26"/>
  <c r="U36" i="26"/>
  <c r="S36" i="26"/>
  <c r="P36" i="26"/>
  <c r="M36" i="26"/>
  <c r="H36" i="26"/>
  <c r="K36" i="26" s="1"/>
  <c r="L36" i="26" s="1"/>
  <c r="AB91" i="26"/>
  <c r="U91" i="26"/>
  <c r="S91" i="26"/>
  <c r="P91" i="26"/>
  <c r="M91" i="26"/>
  <c r="H91" i="26"/>
  <c r="K91" i="26" s="1"/>
  <c r="L91" i="26" s="1"/>
  <c r="AB35" i="26"/>
  <c r="U35" i="26"/>
  <c r="S35" i="26"/>
  <c r="P35" i="26"/>
  <c r="M35" i="26"/>
  <c r="F35" i="26"/>
  <c r="AB34" i="26"/>
  <c r="U34" i="26"/>
  <c r="S34" i="26"/>
  <c r="P34" i="26"/>
  <c r="M34" i="26"/>
  <c r="H34" i="26"/>
  <c r="K34" i="26" s="1"/>
  <c r="AB33" i="26"/>
  <c r="U33" i="26"/>
  <c r="S33" i="26"/>
  <c r="P33" i="26"/>
  <c r="M33" i="26"/>
  <c r="H33" i="26"/>
  <c r="K33" i="26" s="1"/>
  <c r="L33" i="26" s="1"/>
  <c r="AB32" i="26"/>
  <c r="U32" i="26"/>
  <c r="S32" i="26"/>
  <c r="P32" i="26"/>
  <c r="M32" i="26"/>
  <c r="H32" i="26"/>
  <c r="K32" i="26" s="1"/>
  <c r="AB31" i="26"/>
  <c r="U31" i="26"/>
  <c r="S31" i="26"/>
  <c r="P31" i="26"/>
  <c r="M31" i="26"/>
  <c r="H31" i="26"/>
  <c r="K31" i="26" s="1"/>
  <c r="L31" i="26" s="1"/>
  <c r="AB30" i="26"/>
  <c r="U30" i="26"/>
  <c r="S30" i="26"/>
  <c r="P30" i="26"/>
  <c r="M30" i="26"/>
  <c r="H30" i="26"/>
  <c r="K30" i="26" s="1"/>
  <c r="L30" i="26" s="1"/>
  <c r="AB29" i="26"/>
  <c r="U29" i="26"/>
  <c r="S29" i="26"/>
  <c r="P29" i="26"/>
  <c r="M29" i="26"/>
  <c r="H29" i="26"/>
  <c r="K29" i="26" s="1"/>
  <c r="L29" i="26" s="1"/>
  <c r="AB28" i="26"/>
  <c r="U28" i="26"/>
  <c r="S28" i="26"/>
  <c r="P28" i="26"/>
  <c r="M28" i="26"/>
  <c r="H28" i="26"/>
  <c r="K28" i="26" s="1"/>
  <c r="L28" i="26" s="1"/>
  <c r="AB27" i="26"/>
  <c r="U27" i="26"/>
  <c r="S27" i="26"/>
  <c r="P27" i="26"/>
  <c r="M27" i="26"/>
  <c r="H27" i="26"/>
  <c r="K27" i="26" s="1"/>
  <c r="L27" i="26" s="1"/>
  <c r="AB26" i="26"/>
  <c r="U26" i="26"/>
  <c r="S26" i="26"/>
  <c r="P26" i="26"/>
  <c r="M26" i="26"/>
  <c r="H26" i="26"/>
  <c r="K26" i="26" s="1"/>
  <c r="AB25" i="26"/>
  <c r="U25" i="26"/>
  <c r="S25" i="26"/>
  <c r="P25" i="26"/>
  <c r="M25" i="26"/>
  <c r="H25" i="26"/>
  <c r="K25" i="26" s="1"/>
  <c r="L25" i="26" s="1"/>
  <c r="AB24" i="26"/>
  <c r="U24" i="26"/>
  <c r="S24" i="26"/>
  <c r="P24" i="26"/>
  <c r="M24" i="26"/>
  <c r="H24" i="26"/>
  <c r="K24" i="26" s="1"/>
  <c r="AB23" i="26"/>
  <c r="U23" i="26"/>
  <c r="S23" i="26"/>
  <c r="P23" i="26"/>
  <c r="M23" i="26"/>
  <c r="H23" i="26"/>
  <c r="K23" i="26" s="1"/>
  <c r="L23" i="26" s="1"/>
  <c r="AB22" i="26"/>
  <c r="U22" i="26"/>
  <c r="S22" i="26"/>
  <c r="P22" i="26"/>
  <c r="M22" i="26"/>
  <c r="H22" i="26"/>
  <c r="K22" i="26" s="1"/>
  <c r="AB21" i="26"/>
  <c r="U21" i="26"/>
  <c r="S21" i="26"/>
  <c r="P21" i="26"/>
  <c r="M21" i="26"/>
  <c r="H21" i="26"/>
  <c r="K21" i="26" s="1"/>
  <c r="L21" i="26" s="1"/>
  <c r="A21" i="26"/>
  <c r="J64" i="28" l="1"/>
  <c r="E59" i="33" s="1"/>
  <c r="J60" i="28"/>
  <c r="E55" i="33" s="1"/>
  <c r="J98" i="28"/>
  <c r="E93" i="33" s="1"/>
  <c r="J331" i="28"/>
  <c r="E326" i="33" s="1"/>
  <c r="J288" i="28"/>
  <c r="E284" i="33" s="1"/>
  <c r="J284" i="28"/>
  <c r="E280" i="33" s="1"/>
  <c r="J280" i="28"/>
  <c r="E276" i="33" s="1"/>
  <c r="J67" i="28"/>
  <c r="E62" i="33" s="1"/>
  <c r="J63" i="28"/>
  <c r="E58" i="33" s="1"/>
  <c r="J59" i="28"/>
  <c r="E54" i="33" s="1"/>
  <c r="J97" i="28"/>
  <c r="E92" i="33" s="1"/>
  <c r="J99" i="28"/>
  <c r="E94" i="33" s="1"/>
  <c r="J330" i="28"/>
  <c r="E325" i="33" s="1"/>
  <c r="J287" i="28"/>
  <c r="E283" i="33" s="1"/>
  <c r="J283" i="28"/>
  <c r="E279" i="33" s="1"/>
  <c r="J66" i="28"/>
  <c r="E61" i="33" s="1"/>
  <c r="J62" i="28"/>
  <c r="E57" i="33" s="1"/>
  <c r="J96" i="28"/>
  <c r="E91" i="33" s="1"/>
  <c r="J338" i="28"/>
  <c r="E333" i="33" s="1"/>
  <c r="J334" i="28"/>
  <c r="E329" i="33" s="1"/>
  <c r="J286" i="28"/>
  <c r="E282" i="33" s="1"/>
  <c r="J282" i="28"/>
  <c r="E278" i="33" s="1"/>
  <c r="J65" i="28"/>
  <c r="E60" i="33" s="1"/>
  <c r="J61" i="28"/>
  <c r="E56" i="33" s="1"/>
  <c r="J337" i="28"/>
  <c r="E332" i="33" s="1"/>
  <c r="J332" i="28"/>
  <c r="E327" i="33" s="1"/>
  <c r="J285" i="28"/>
  <c r="E281" i="33" s="1"/>
  <c r="J281" i="28"/>
  <c r="E277" i="33" s="1"/>
  <c r="AA300" i="27"/>
  <c r="A301" i="27"/>
  <c r="M320" i="26"/>
  <c r="P320" i="26" s="1"/>
  <c r="M323" i="26"/>
  <c r="Q323" i="26" s="1"/>
  <c r="W323" i="26" s="1"/>
  <c r="X323" i="26" s="1"/>
  <c r="N245" i="26"/>
  <c r="Q245" i="26" s="1"/>
  <c r="W245" i="26" s="1"/>
  <c r="X245" i="26" s="1"/>
  <c r="N247" i="26"/>
  <c r="Q247" i="26" s="1"/>
  <c r="W247" i="26" s="1"/>
  <c r="X247" i="26" s="1"/>
  <c r="Q320" i="26"/>
  <c r="W320" i="26" s="1"/>
  <c r="X320" i="26" s="1"/>
  <c r="M310" i="26"/>
  <c r="P310" i="26" s="1"/>
  <c r="M314" i="26"/>
  <c r="P314" i="26" s="1"/>
  <c r="M318" i="26"/>
  <c r="P318" i="26" s="1"/>
  <c r="M303" i="26"/>
  <c r="M307" i="26"/>
  <c r="P307" i="26" s="1"/>
  <c r="M343" i="26"/>
  <c r="Q343" i="26" s="1"/>
  <c r="W343" i="26" s="1"/>
  <c r="X343" i="26" s="1"/>
  <c r="M347" i="26"/>
  <c r="Q347" i="26" s="1"/>
  <c r="W347" i="26" s="1"/>
  <c r="X347" i="26" s="1"/>
  <c r="M289" i="26"/>
  <c r="P289" i="26" s="1"/>
  <c r="M293" i="26"/>
  <c r="Q293" i="26" s="1"/>
  <c r="W293" i="26" s="1"/>
  <c r="X293" i="26" s="1"/>
  <c r="M297" i="26"/>
  <c r="Q297" i="26" s="1"/>
  <c r="W297" i="26" s="1"/>
  <c r="X297" i="26" s="1"/>
  <c r="M332" i="26"/>
  <c r="P332" i="26" s="1"/>
  <c r="M349" i="26"/>
  <c r="P349" i="26" s="1"/>
  <c r="K140" i="26"/>
  <c r="V222" i="26"/>
  <c r="M288" i="26"/>
  <c r="M300" i="26"/>
  <c r="Q300" i="26" s="1"/>
  <c r="W300" i="26" s="1"/>
  <c r="X300" i="26" s="1"/>
  <c r="M308" i="26"/>
  <c r="Q308" i="26" s="1"/>
  <c r="W308" i="26" s="1"/>
  <c r="X308" i="26" s="1"/>
  <c r="M311" i="26"/>
  <c r="P311" i="26" s="1"/>
  <c r="M322" i="26"/>
  <c r="P322" i="26" s="1"/>
  <c r="M342" i="26"/>
  <c r="Q342" i="26" s="1"/>
  <c r="W342" i="26" s="1"/>
  <c r="X342" i="26" s="1"/>
  <c r="M350" i="26"/>
  <c r="P350" i="26" s="1"/>
  <c r="Q168" i="26"/>
  <c r="W168" i="26" s="1"/>
  <c r="X168" i="26" s="1"/>
  <c r="M339" i="26"/>
  <c r="P339" i="26" s="1"/>
  <c r="M344" i="26"/>
  <c r="P344" i="26" s="1"/>
  <c r="N66" i="26"/>
  <c r="Q66" i="26" s="1"/>
  <c r="W66" i="26" s="1"/>
  <c r="X66" i="26" s="1"/>
  <c r="N70" i="26"/>
  <c r="Q70" i="26" s="1"/>
  <c r="W70" i="26" s="1"/>
  <c r="X70" i="26" s="1"/>
  <c r="N186" i="26"/>
  <c r="Q186" i="26" s="1"/>
  <c r="W186" i="26" s="1"/>
  <c r="X186" i="26" s="1"/>
  <c r="V221" i="26"/>
  <c r="N196" i="26"/>
  <c r="Q196" i="26" s="1"/>
  <c r="W196" i="26" s="1"/>
  <c r="X196" i="26" s="1"/>
  <c r="N77" i="26"/>
  <c r="Q77" i="26" s="1"/>
  <c r="W77" i="26" s="1"/>
  <c r="X77" i="26" s="1"/>
  <c r="N79" i="26"/>
  <c r="Q79" i="26" s="1"/>
  <c r="W79" i="26" s="1"/>
  <c r="X79" i="26" s="1"/>
  <c r="N83" i="26"/>
  <c r="Q83" i="26" s="1"/>
  <c r="W83" i="26" s="1"/>
  <c r="X83" i="26" s="1"/>
  <c r="N85" i="26"/>
  <c r="Q85" i="26" s="1"/>
  <c r="W85" i="26" s="1"/>
  <c r="X85" i="26" s="1"/>
  <c r="N87" i="26"/>
  <c r="Q87" i="26" s="1"/>
  <c r="W87" i="26" s="1"/>
  <c r="X87" i="26" s="1"/>
  <c r="N89" i="26"/>
  <c r="Q89" i="26" s="1"/>
  <c r="W89" i="26" s="1"/>
  <c r="X89" i="26" s="1"/>
  <c r="N165" i="26"/>
  <c r="Q165" i="26" s="1"/>
  <c r="W165" i="26" s="1"/>
  <c r="X165" i="26" s="1"/>
  <c r="M329" i="26"/>
  <c r="Q329" i="26" s="1"/>
  <c r="W329" i="26" s="1"/>
  <c r="X329" i="26" s="1"/>
  <c r="M337" i="26"/>
  <c r="P337" i="26" s="1"/>
  <c r="N60" i="26"/>
  <c r="Q60" i="26" s="1"/>
  <c r="W60" i="26" s="1"/>
  <c r="X60" i="26" s="1"/>
  <c r="V61" i="26"/>
  <c r="V64" i="26"/>
  <c r="V66" i="26"/>
  <c r="V58" i="26"/>
  <c r="L61" i="26"/>
  <c r="N61" i="26" s="1"/>
  <c r="Q61" i="26" s="1"/>
  <c r="W61" i="26" s="1"/>
  <c r="X61" i="26" s="1"/>
  <c r="V63" i="26"/>
  <c r="V65" i="26"/>
  <c r="N72" i="26"/>
  <c r="Q72" i="26" s="1"/>
  <c r="W72" i="26" s="1"/>
  <c r="X72" i="26" s="1"/>
  <c r="N74" i="26"/>
  <c r="Q74" i="26" s="1"/>
  <c r="W74" i="26" s="1"/>
  <c r="X74" i="26" s="1"/>
  <c r="N76" i="26"/>
  <c r="Q76" i="26" s="1"/>
  <c r="W76" i="26" s="1"/>
  <c r="X76" i="26" s="1"/>
  <c r="N92" i="26"/>
  <c r="Q92" i="26" s="1"/>
  <c r="W92" i="26" s="1"/>
  <c r="X92" i="26" s="1"/>
  <c r="V124" i="26"/>
  <c r="V132" i="26"/>
  <c r="V134" i="26"/>
  <c r="N149" i="26"/>
  <c r="Q149" i="26" s="1"/>
  <c r="W149" i="26" s="1"/>
  <c r="X149" i="26" s="1"/>
  <c r="N172" i="26"/>
  <c r="Q172" i="26" s="1"/>
  <c r="W172" i="26" s="1"/>
  <c r="X172" i="26" s="1"/>
  <c r="N176" i="26"/>
  <c r="Q176" i="26" s="1"/>
  <c r="W176" i="26" s="1"/>
  <c r="X176" i="26" s="1"/>
  <c r="V189" i="26"/>
  <c r="K199" i="26"/>
  <c r="L199" i="26" s="1"/>
  <c r="N199" i="26" s="1"/>
  <c r="Q199" i="26" s="1"/>
  <c r="W199" i="26" s="1"/>
  <c r="X199" i="26" s="1"/>
  <c r="N206" i="26"/>
  <c r="Q206" i="26" s="1"/>
  <c r="W206" i="26" s="1"/>
  <c r="X206" i="26" s="1"/>
  <c r="V214" i="26"/>
  <c r="K224" i="26"/>
  <c r="L224" i="26" s="1"/>
  <c r="N224" i="26" s="1"/>
  <c r="Q224" i="26" s="1"/>
  <c r="W224" i="26" s="1"/>
  <c r="X224" i="26" s="1"/>
  <c r="N248" i="26"/>
  <c r="Q248" i="26" s="1"/>
  <c r="W248" i="26" s="1"/>
  <c r="X248" i="26" s="1"/>
  <c r="N256" i="26"/>
  <c r="Q256" i="26" s="1"/>
  <c r="W256" i="26" s="1"/>
  <c r="X256" i="26" s="1"/>
  <c r="N277" i="26"/>
  <c r="Q277" i="26" s="1"/>
  <c r="W277" i="26" s="1"/>
  <c r="X277" i="26" s="1"/>
  <c r="M292" i="26"/>
  <c r="P292" i="26" s="1"/>
  <c r="M306" i="26"/>
  <c r="P306" i="26" s="1"/>
  <c r="M313" i="26"/>
  <c r="P313" i="26" s="1"/>
  <c r="M316" i="26"/>
  <c r="Q316" i="26" s="1"/>
  <c r="W316" i="26" s="1"/>
  <c r="X316" i="26" s="1"/>
  <c r="M317" i="26"/>
  <c r="Q317" i="26" s="1"/>
  <c r="W317" i="26" s="1"/>
  <c r="X317" i="26" s="1"/>
  <c r="M319" i="26"/>
  <c r="Q319" i="26" s="1"/>
  <c r="W319" i="26" s="1"/>
  <c r="X319" i="26" s="1"/>
  <c r="M325" i="26"/>
  <c r="P325" i="26" s="1"/>
  <c r="M335" i="26"/>
  <c r="P335" i="26" s="1"/>
  <c r="M345" i="26"/>
  <c r="P345" i="26" s="1"/>
  <c r="V340" i="26"/>
  <c r="N238" i="26"/>
  <c r="Q238" i="26" s="1"/>
  <c r="W238" i="26" s="1"/>
  <c r="X238" i="26" s="1"/>
  <c r="V118" i="26"/>
  <c r="I352" i="26"/>
  <c r="V148" i="26"/>
  <c r="N166" i="26"/>
  <c r="Q166" i="26" s="1"/>
  <c r="W166" i="26" s="1"/>
  <c r="X166" i="26" s="1"/>
  <c r="N202" i="26"/>
  <c r="Q202" i="26" s="1"/>
  <c r="W202" i="26" s="1"/>
  <c r="X202" i="26" s="1"/>
  <c r="V210" i="26"/>
  <c r="V218" i="26"/>
  <c r="N227" i="26"/>
  <c r="Q227" i="26" s="1"/>
  <c r="W227" i="26" s="1"/>
  <c r="X227" i="26" s="1"/>
  <c r="N264" i="26"/>
  <c r="Q264" i="26" s="1"/>
  <c r="W264" i="26" s="1"/>
  <c r="X264" i="26" s="1"/>
  <c r="N287" i="26"/>
  <c r="Q287" i="26" s="1"/>
  <c r="W287" i="26" s="1"/>
  <c r="X287" i="26" s="1"/>
  <c r="M290" i="26"/>
  <c r="P290" i="26" s="1"/>
  <c r="M294" i="26"/>
  <c r="P294" i="26" s="1"/>
  <c r="M336" i="26"/>
  <c r="P336" i="26" s="1"/>
  <c r="V143" i="26"/>
  <c r="N193" i="26"/>
  <c r="Q193" i="26" s="1"/>
  <c r="W193" i="26" s="1"/>
  <c r="X193" i="26" s="1"/>
  <c r="N260" i="26"/>
  <c r="Q260" i="26" s="1"/>
  <c r="W260" i="26" s="1"/>
  <c r="X260" i="26" s="1"/>
  <c r="M291" i="26"/>
  <c r="P291" i="26" s="1"/>
  <c r="M295" i="26"/>
  <c r="P295" i="26" s="1"/>
  <c r="M298" i="26"/>
  <c r="Q298" i="26" s="1"/>
  <c r="W298" i="26" s="1"/>
  <c r="X298" i="26" s="1"/>
  <c r="M301" i="26"/>
  <c r="Q301" i="26" s="1"/>
  <c r="W301" i="26" s="1"/>
  <c r="X301" i="26" s="1"/>
  <c r="M305" i="26"/>
  <c r="Q305" i="26" s="1"/>
  <c r="W305" i="26" s="1"/>
  <c r="X305" i="26" s="1"/>
  <c r="M309" i="26"/>
  <c r="Q309" i="26" s="1"/>
  <c r="W309" i="26" s="1"/>
  <c r="X309" i="26" s="1"/>
  <c r="M312" i="26"/>
  <c r="Q312" i="26" s="1"/>
  <c r="W312" i="26" s="1"/>
  <c r="X312" i="26" s="1"/>
  <c r="M315" i="26"/>
  <c r="Q315" i="26" s="1"/>
  <c r="W315" i="26" s="1"/>
  <c r="X315" i="26" s="1"/>
  <c r="M321" i="26"/>
  <c r="P321" i="26" s="1"/>
  <c r="M324" i="26"/>
  <c r="Q324" i="26" s="1"/>
  <c r="W324" i="26" s="1"/>
  <c r="X324" i="26" s="1"/>
  <c r="M328" i="26"/>
  <c r="P328" i="26" s="1"/>
  <c r="M331" i="26"/>
  <c r="P331" i="26" s="1"/>
  <c r="M334" i="26"/>
  <c r="Q334" i="26" s="1"/>
  <c r="W334" i="26" s="1"/>
  <c r="X334" i="26" s="1"/>
  <c r="M340" i="26"/>
  <c r="Q340" i="26" s="1"/>
  <c r="W340" i="26" s="1"/>
  <c r="X340" i="26" s="1"/>
  <c r="V126" i="26"/>
  <c r="V138" i="26"/>
  <c r="V140" i="26"/>
  <c r="V146" i="26"/>
  <c r="N157" i="26"/>
  <c r="Q157" i="26" s="1"/>
  <c r="W157" i="26" s="1"/>
  <c r="X157" i="26" s="1"/>
  <c r="N184" i="26"/>
  <c r="Q184" i="26" s="1"/>
  <c r="W184" i="26" s="1"/>
  <c r="X184" i="26" s="1"/>
  <c r="V128" i="26"/>
  <c r="V192" i="26"/>
  <c r="N198" i="26"/>
  <c r="Q198" i="26" s="1"/>
  <c r="W198" i="26" s="1"/>
  <c r="X198" i="26" s="1"/>
  <c r="V223" i="26"/>
  <c r="N246" i="26"/>
  <c r="Q246" i="26" s="1"/>
  <c r="W246" i="26" s="1"/>
  <c r="X246" i="26" s="1"/>
  <c r="M326" i="26"/>
  <c r="P326" i="26" s="1"/>
  <c r="N29" i="26"/>
  <c r="Q29" i="26" s="1"/>
  <c r="W29" i="26" s="1"/>
  <c r="X29" i="26" s="1"/>
  <c r="N31" i="26"/>
  <c r="Q31" i="26" s="1"/>
  <c r="W31" i="26" s="1"/>
  <c r="X31" i="26" s="1"/>
  <c r="N33" i="26"/>
  <c r="Q33" i="26" s="1"/>
  <c r="W33" i="26" s="1"/>
  <c r="X33" i="26" s="1"/>
  <c r="V130" i="26"/>
  <c r="V142" i="26"/>
  <c r="N152" i="26"/>
  <c r="Q152" i="26" s="1"/>
  <c r="W152" i="26" s="1"/>
  <c r="X152" i="26" s="1"/>
  <c r="N154" i="26"/>
  <c r="Q154" i="26" s="1"/>
  <c r="W154" i="26" s="1"/>
  <c r="X154" i="26" s="1"/>
  <c r="N192" i="26"/>
  <c r="Q192" i="26" s="1"/>
  <c r="W192" i="26" s="1"/>
  <c r="X192" i="26" s="1"/>
  <c r="N197" i="26"/>
  <c r="Q197" i="26" s="1"/>
  <c r="W197" i="26" s="1"/>
  <c r="X197" i="26" s="1"/>
  <c r="M333" i="26"/>
  <c r="P333" i="26" s="1"/>
  <c r="V72" i="26"/>
  <c r="V74" i="26"/>
  <c r="V76" i="26"/>
  <c r="V51" i="26"/>
  <c r="N38" i="26"/>
  <c r="Q38" i="26" s="1"/>
  <c r="W38" i="26" s="1"/>
  <c r="X38" i="26" s="1"/>
  <c r="N97" i="26"/>
  <c r="Q97" i="26" s="1"/>
  <c r="W97" i="26" s="1"/>
  <c r="X97" i="26" s="1"/>
  <c r="N101" i="26"/>
  <c r="N105" i="26"/>
  <c r="Q105" i="26" s="1"/>
  <c r="W105" i="26" s="1"/>
  <c r="X105" i="26" s="1"/>
  <c r="V114" i="26"/>
  <c r="V122" i="26"/>
  <c r="N195" i="26"/>
  <c r="Q195" i="26" s="1"/>
  <c r="W195" i="26" s="1"/>
  <c r="X195" i="26" s="1"/>
  <c r="V37" i="26"/>
  <c r="V91" i="26"/>
  <c r="N36" i="26"/>
  <c r="Q36" i="26" s="1"/>
  <c r="W36" i="26" s="1"/>
  <c r="X36" i="26" s="1"/>
  <c r="V43" i="26"/>
  <c r="N44" i="26"/>
  <c r="Q44" i="26" s="1"/>
  <c r="W44" i="26" s="1"/>
  <c r="X44" i="26" s="1"/>
  <c r="N54" i="26"/>
  <c r="Q54" i="26" s="1"/>
  <c r="W54" i="26" s="1"/>
  <c r="X54" i="26" s="1"/>
  <c r="N58" i="26"/>
  <c r="Q58" i="26" s="1"/>
  <c r="W58" i="26" s="1"/>
  <c r="X58" i="26" s="1"/>
  <c r="L63" i="26"/>
  <c r="N63" i="26" s="1"/>
  <c r="Q63" i="26" s="1"/>
  <c r="W63" i="26" s="1"/>
  <c r="X63" i="26" s="1"/>
  <c r="V79" i="26"/>
  <c r="N81" i="26"/>
  <c r="Q81" i="26" s="1"/>
  <c r="W81" i="26" s="1"/>
  <c r="X81" i="26" s="1"/>
  <c r="N90" i="26"/>
  <c r="Q90" i="26" s="1"/>
  <c r="W90" i="26" s="1"/>
  <c r="X90" i="26" s="1"/>
  <c r="N96" i="26"/>
  <c r="Q96" i="26" s="1"/>
  <c r="W96" i="26" s="1"/>
  <c r="X96" i="26" s="1"/>
  <c r="N100" i="26"/>
  <c r="Q100" i="26" s="1"/>
  <c r="W100" i="26" s="1"/>
  <c r="X100" i="26" s="1"/>
  <c r="N104" i="26"/>
  <c r="Q104" i="26" s="1"/>
  <c r="W104" i="26" s="1"/>
  <c r="X104" i="26" s="1"/>
  <c r="N108" i="26"/>
  <c r="Q108" i="26" s="1"/>
  <c r="W108" i="26" s="1"/>
  <c r="X108" i="26" s="1"/>
  <c r="V113" i="26"/>
  <c r="V117" i="26"/>
  <c r="V121" i="26"/>
  <c r="V125" i="26"/>
  <c r="V139" i="26"/>
  <c r="V158" i="26"/>
  <c r="V171" i="26"/>
  <c r="V173" i="26"/>
  <c r="V45" i="26"/>
  <c r="V23" i="26"/>
  <c r="V41" i="26"/>
  <c r="V49" i="26"/>
  <c r="N50" i="26"/>
  <c r="Q50" i="26" s="1"/>
  <c r="W50" i="26" s="1"/>
  <c r="X50" i="26" s="1"/>
  <c r="V50" i="26"/>
  <c r="N53" i="26"/>
  <c r="Q53" i="26" s="1"/>
  <c r="W53" i="26" s="1"/>
  <c r="X53" i="26" s="1"/>
  <c r="V59" i="26"/>
  <c r="V62" i="26"/>
  <c r="L65" i="26"/>
  <c r="N65" i="26" s="1"/>
  <c r="Q65" i="26" s="1"/>
  <c r="W65" i="26" s="1"/>
  <c r="X65" i="26" s="1"/>
  <c r="V83" i="26"/>
  <c r="N95" i="26"/>
  <c r="Q95" i="26" s="1"/>
  <c r="W95" i="26" s="1"/>
  <c r="X95" i="26" s="1"/>
  <c r="N99" i="26"/>
  <c r="Q99" i="26" s="1"/>
  <c r="W99" i="26" s="1"/>
  <c r="X99" i="26" s="1"/>
  <c r="N103" i="26"/>
  <c r="Q103" i="26" s="1"/>
  <c r="W103" i="26" s="1"/>
  <c r="X103" i="26" s="1"/>
  <c r="N107" i="26"/>
  <c r="Q107" i="26" s="1"/>
  <c r="W107" i="26" s="1"/>
  <c r="X107" i="26" s="1"/>
  <c r="N111" i="26"/>
  <c r="Q111" i="26" s="1"/>
  <c r="W111" i="26" s="1"/>
  <c r="X111" i="26" s="1"/>
  <c r="V111" i="26"/>
  <c r="V112" i="26"/>
  <c r="V116" i="26"/>
  <c r="V120" i="26"/>
  <c r="V135" i="26"/>
  <c r="V144" i="26"/>
  <c r="V179" i="26"/>
  <c r="N46" i="26"/>
  <c r="Q46" i="26" s="1"/>
  <c r="W46" i="26" s="1"/>
  <c r="X46" i="26" s="1"/>
  <c r="N55" i="26"/>
  <c r="Q55" i="26" s="1"/>
  <c r="W55" i="26" s="1"/>
  <c r="X55" i="26" s="1"/>
  <c r="N42" i="26"/>
  <c r="Q42" i="26" s="1"/>
  <c r="W42" i="26" s="1"/>
  <c r="X42" i="26" s="1"/>
  <c r="N21" i="26"/>
  <c r="Q21" i="26" s="1"/>
  <c r="V25" i="26"/>
  <c r="V27" i="26"/>
  <c r="N30" i="26"/>
  <c r="Q30" i="26" s="1"/>
  <c r="W30" i="26" s="1"/>
  <c r="X30" i="26" s="1"/>
  <c r="V39" i="26"/>
  <c r="N40" i="26"/>
  <c r="Q40" i="26" s="1"/>
  <c r="W40" i="26" s="1"/>
  <c r="X40" i="26" s="1"/>
  <c r="V47" i="26"/>
  <c r="N48" i="26"/>
  <c r="Q48" i="26" s="1"/>
  <c r="W48" i="26" s="1"/>
  <c r="X48" i="26" s="1"/>
  <c r="N51" i="26"/>
  <c r="Q51" i="26" s="1"/>
  <c r="W51" i="26" s="1"/>
  <c r="X51" i="26" s="1"/>
  <c r="N52" i="26"/>
  <c r="Q52" i="26" s="1"/>
  <c r="W52" i="26" s="1"/>
  <c r="X52" i="26" s="1"/>
  <c r="N56" i="26"/>
  <c r="Q56" i="26" s="1"/>
  <c r="W56" i="26" s="1"/>
  <c r="X56" i="26" s="1"/>
  <c r="L59" i="26"/>
  <c r="N59" i="26" s="1"/>
  <c r="Q59" i="26" s="1"/>
  <c r="W59" i="26" s="1"/>
  <c r="X59" i="26" s="1"/>
  <c r="V60" i="26"/>
  <c r="N62" i="26"/>
  <c r="Q62" i="26" s="1"/>
  <c r="W62" i="26" s="1"/>
  <c r="X62" i="26" s="1"/>
  <c r="N64" i="26"/>
  <c r="Q64" i="26" s="1"/>
  <c r="W64" i="26" s="1"/>
  <c r="X64" i="26" s="1"/>
  <c r="N68" i="26"/>
  <c r="Q68" i="26" s="1"/>
  <c r="W68" i="26" s="1"/>
  <c r="X68" i="26" s="1"/>
  <c r="V87" i="26"/>
  <c r="N93" i="26"/>
  <c r="Q93" i="26" s="1"/>
  <c r="W93" i="26" s="1"/>
  <c r="X93" i="26" s="1"/>
  <c r="N94" i="26"/>
  <c r="Q94" i="26" s="1"/>
  <c r="W94" i="26" s="1"/>
  <c r="X94" i="26" s="1"/>
  <c r="N98" i="26"/>
  <c r="Q98" i="26" s="1"/>
  <c r="W98" i="26" s="1"/>
  <c r="X98" i="26" s="1"/>
  <c r="N102" i="26"/>
  <c r="Q102" i="26" s="1"/>
  <c r="W102" i="26" s="1"/>
  <c r="X102" i="26" s="1"/>
  <c r="N106" i="26"/>
  <c r="Q106" i="26" s="1"/>
  <c r="W106" i="26" s="1"/>
  <c r="X106" i="26" s="1"/>
  <c r="N110" i="26"/>
  <c r="Q110" i="26" s="1"/>
  <c r="W110" i="26" s="1"/>
  <c r="X110" i="26" s="1"/>
  <c r="V115" i="26"/>
  <c r="V119" i="26"/>
  <c r="V123" i="26"/>
  <c r="V127" i="26"/>
  <c r="V131" i="26"/>
  <c r="V136" i="26"/>
  <c r="V147" i="26"/>
  <c r="V150" i="26"/>
  <c r="V156" i="26"/>
  <c r="N156" i="26"/>
  <c r="Q156" i="26" s="1"/>
  <c r="W156" i="26" s="1"/>
  <c r="X156" i="26" s="1"/>
  <c r="V162" i="26"/>
  <c r="V172" i="26"/>
  <c r="V129" i="26"/>
  <c r="V133" i="26"/>
  <c r="V137" i="26"/>
  <c r="V141" i="26"/>
  <c r="V145" i="26"/>
  <c r="N151" i="26"/>
  <c r="Q151" i="26" s="1"/>
  <c r="W151" i="26" s="1"/>
  <c r="X151" i="26" s="1"/>
  <c r="N153" i="26"/>
  <c r="Q153" i="26" s="1"/>
  <c r="W153" i="26" s="1"/>
  <c r="X153" i="26" s="1"/>
  <c r="N155" i="26"/>
  <c r="Q155" i="26" s="1"/>
  <c r="W155" i="26" s="1"/>
  <c r="X155" i="26" s="1"/>
  <c r="V160" i="26"/>
  <c r="V166" i="26"/>
  <c r="V169" i="26"/>
  <c r="N177" i="26"/>
  <c r="Q177" i="26" s="1"/>
  <c r="W177" i="26" s="1"/>
  <c r="X177" i="26" s="1"/>
  <c r="N183" i="26"/>
  <c r="Q183" i="26" s="1"/>
  <c r="W183" i="26" s="1"/>
  <c r="X183" i="26" s="1"/>
  <c r="N185" i="26"/>
  <c r="Q185" i="26" s="1"/>
  <c r="W185" i="26" s="1"/>
  <c r="X185" i="26" s="1"/>
  <c r="N187" i="26"/>
  <c r="Q187" i="26" s="1"/>
  <c r="W187" i="26" s="1"/>
  <c r="X187" i="26" s="1"/>
  <c r="V194" i="26"/>
  <c r="V198" i="26"/>
  <c r="N200" i="26"/>
  <c r="Q200" i="26" s="1"/>
  <c r="W200" i="26" s="1"/>
  <c r="X200" i="26" s="1"/>
  <c r="N204" i="26"/>
  <c r="Q204" i="26" s="1"/>
  <c r="W204" i="26" s="1"/>
  <c r="X204" i="26" s="1"/>
  <c r="V208" i="26"/>
  <c r="V212" i="26"/>
  <c r="V216" i="26"/>
  <c r="V219" i="26"/>
  <c r="N222" i="26"/>
  <c r="Q222" i="26" s="1"/>
  <c r="W222" i="26" s="1"/>
  <c r="X222" i="26" s="1"/>
  <c r="N232" i="26"/>
  <c r="Q232" i="26" s="1"/>
  <c r="W232" i="26" s="1"/>
  <c r="X232" i="26" s="1"/>
  <c r="V277" i="26"/>
  <c r="N194" i="26"/>
  <c r="Q194" i="26" s="1"/>
  <c r="W194" i="26" s="1"/>
  <c r="X194" i="26" s="1"/>
  <c r="N203" i="26"/>
  <c r="Q203" i="26" s="1"/>
  <c r="W203" i="26" s="1"/>
  <c r="X203" i="26" s="1"/>
  <c r="V211" i="26"/>
  <c r="V215" i="26"/>
  <c r="N252" i="26"/>
  <c r="Q252" i="26" s="1"/>
  <c r="W252" i="26" s="1"/>
  <c r="X252" i="26" s="1"/>
  <c r="N268" i="26"/>
  <c r="Q268" i="26" s="1"/>
  <c r="W268" i="26" s="1"/>
  <c r="X268" i="26" s="1"/>
  <c r="M304" i="26"/>
  <c r="Q304" i="26" s="1"/>
  <c r="W304" i="26" s="1"/>
  <c r="X304" i="26" s="1"/>
  <c r="M341" i="26"/>
  <c r="P341" i="26" s="1"/>
  <c r="M346" i="26"/>
  <c r="Q346" i="26" s="1"/>
  <c r="W346" i="26" s="1"/>
  <c r="X346" i="26" s="1"/>
  <c r="N242" i="26"/>
  <c r="Q242" i="26" s="1"/>
  <c r="W242" i="26" s="1"/>
  <c r="X242" i="26" s="1"/>
  <c r="N285" i="26"/>
  <c r="Q285" i="26" s="1"/>
  <c r="W285" i="26" s="1"/>
  <c r="X285" i="26" s="1"/>
  <c r="V285" i="26"/>
  <c r="V286" i="26"/>
  <c r="M296" i="26"/>
  <c r="M299" i="26"/>
  <c r="M302" i="26"/>
  <c r="Q302" i="26" s="1"/>
  <c r="W302" i="26" s="1"/>
  <c r="X302" i="26" s="1"/>
  <c r="M327" i="26"/>
  <c r="M330" i="26"/>
  <c r="M338" i="26"/>
  <c r="M348" i="26"/>
  <c r="P348" i="26" s="1"/>
  <c r="V170" i="26"/>
  <c r="N182" i="26"/>
  <c r="Q182" i="26" s="1"/>
  <c r="W182" i="26" s="1"/>
  <c r="X182" i="26" s="1"/>
  <c r="V196" i="26"/>
  <c r="N201" i="26"/>
  <c r="Q201" i="26" s="1"/>
  <c r="W201" i="26" s="1"/>
  <c r="X201" i="26" s="1"/>
  <c r="N205" i="26"/>
  <c r="Q205" i="26" s="1"/>
  <c r="W205" i="26" s="1"/>
  <c r="X205" i="26" s="1"/>
  <c r="V209" i="26"/>
  <c r="V213" i="26"/>
  <c r="V217" i="26"/>
  <c r="V220" i="26"/>
  <c r="L223" i="26"/>
  <c r="N223" i="26" s="1"/>
  <c r="Q223" i="26" s="1"/>
  <c r="W223" i="26" s="1"/>
  <c r="X223" i="26" s="1"/>
  <c r="N225" i="26"/>
  <c r="Q225" i="26" s="1"/>
  <c r="W225" i="26" s="1"/>
  <c r="X225" i="26" s="1"/>
  <c r="N229" i="26"/>
  <c r="Q229" i="26" s="1"/>
  <c r="W229" i="26" s="1"/>
  <c r="X229" i="26" s="1"/>
  <c r="N237" i="26"/>
  <c r="Q237" i="26" s="1"/>
  <c r="W237" i="26" s="1"/>
  <c r="X237" i="26" s="1"/>
  <c r="N241" i="26"/>
  <c r="Q241" i="26" s="1"/>
  <c r="W241" i="26" s="1"/>
  <c r="X241" i="26" s="1"/>
  <c r="N244" i="26"/>
  <c r="Q244" i="26" s="1"/>
  <c r="W244" i="26" s="1"/>
  <c r="X244" i="26" s="1"/>
  <c r="N250" i="26"/>
  <c r="Q250" i="26" s="1"/>
  <c r="W250" i="26" s="1"/>
  <c r="X250" i="26" s="1"/>
  <c r="N254" i="26"/>
  <c r="Q254" i="26" s="1"/>
  <c r="W254" i="26" s="1"/>
  <c r="X254" i="26" s="1"/>
  <c r="N258" i="26"/>
  <c r="Q258" i="26" s="1"/>
  <c r="W258" i="26" s="1"/>
  <c r="X258" i="26" s="1"/>
  <c r="N262" i="26"/>
  <c r="Q262" i="26" s="1"/>
  <c r="W262" i="26" s="1"/>
  <c r="X262" i="26" s="1"/>
  <c r="N266" i="26"/>
  <c r="Q266" i="26" s="1"/>
  <c r="W266" i="26" s="1"/>
  <c r="X266" i="26" s="1"/>
  <c r="N270" i="26"/>
  <c r="Q270" i="26" s="1"/>
  <c r="W270" i="26" s="1"/>
  <c r="X270" i="26" s="1"/>
  <c r="N283" i="26"/>
  <c r="Q283" i="26" s="1"/>
  <c r="W283" i="26" s="1"/>
  <c r="X283" i="26" s="1"/>
  <c r="V283" i="26"/>
  <c r="Q303" i="26"/>
  <c r="W303" i="26" s="1"/>
  <c r="X303" i="26" s="1"/>
  <c r="Q314" i="26"/>
  <c r="W314" i="26" s="1"/>
  <c r="X314" i="26" s="1"/>
  <c r="V32" i="26"/>
  <c r="L32" i="26"/>
  <c r="N32" i="26" s="1"/>
  <c r="Q32" i="26" s="1"/>
  <c r="W32" i="26" s="1"/>
  <c r="X32" i="26" s="1"/>
  <c r="L34" i="26"/>
  <c r="N34" i="26" s="1"/>
  <c r="Q34" i="26" s="1"/>
  <c r="W34" i="26" s="1"/>
  <c r="X34" i="26" s="1"/>
  <c r="V34" i="26"/>
  <c r="V22" i="26"/>
  <c r="L22" i="26"/>
  <c r="N22" i="26" s="1"/>
  <c r="Q22" i="26" s="1"/>
  <c r="W22" i="26" s="1"/>
  <c r="X22" i="26" s="1"/>
  <c r="V26" i="26"/>
  <c r="L26" i="26"/>
  <c r="N26" i="26" s="1"/>
  <c r="Q26" i="26" s="1"/>
  <c r="W26" i="26" s="1"/>
  <c r="X26" i="26" s="1"/>
  <c r="L24" i="26"/>
  <c r="N24" i="26" s="1"/>
  <c r="Q24" i="26" s="1"/>
  <c r="W24" i="26" s="1"/>
  <c r="X24" i="26" s="1"/>
  <c r="V24" i="26"/>
  <c r="V28" i="26"/>
  <c r="V31" i="26"/>
  <c r="N28" i="26"/>
  <c r="Q28" i="26" s="1"/>
  <c r="W28" i="26" s="1"/>
  <c r="X28" i="26" s="1"/>
  <c r="F352" i="26"/>
  <c r="H35" i="26"/>
  <c r="K35" i="26" s="1"/>
  <c r="L35" i="26" s="1"/>
  <c r="V36" i="26"/>
  <c r="N37" i="26"/>
  <c r="Q37" i="26" s="1"/>
  <c r="W37" i="26" s="1"/>
  <c r="X37" i="26" s="1"/>
  <c r="V46" i="26"/>
  <c r="N47" i="26"/>
  <c r="Q47" i="26" s="1"/>
  <c r="W47" i="26" s="1"/>
  <c r="X47" i="26" s="1"/>
  <c r="V53" i="26"/>
  <c r="U352" i="26"/>
  <c r="N23" i="26"/>
  <c r="Q23" i="26" s="1"/>
  <c r="W23" i="26" s="1"/>
  <c r="X23" i="26" s="1"/>
  <c r="N25" i="26"/>
  <c r="Q25" i="26" s="1"/>
  <c r="W25" i="26" s="1"/>
  <c r="X25" i="26" s="1"/>
  <c r="N27" i="26"/>
  <c r="Q27" i="26" s="1"/>
  <c r="W27" i="26" s="1"/>
  <c r="X27" i="26" s="1"/>
  <c r="V30" i="26"/>
  <c r="V69" i="26"/>
  <c r="N69" i="26"/>
  <c r="Q69" i="26" s="1"/>
  <c r="W69" i="26" s="1"/>
  <c r="X69" i="26" s="1"/>
  <c r="V70" i="26"/>
  <c r="V77" i="26"/>
  <c r="V80" i="26"/>
  <c r="L80" i="26"/>
  <c r="N80" i="26" s="1"/>
  <c r="Q80" i="26" s="1"/>
  <c r="W80" i="26" s="1"/>
  <c r="X80" i="26" s="1"/>
  <c r="V81" i="26"/>
  <c r="V84" i="26"/>
  <c r="L84" i="26"/>
  <c r="N84" i="26" s="1"/>
  <c r="Q84" i="26" s="1"/>
  <c r="W84" i="26" s="1"/>
  <c r="X84" i="26" s="1"/>
  <c r="V85" i="26"/>
  <c r="V88" i="26"/>
  <c r="L88" i="26"/>
  <c r="N88" i="26" s="1"/>
  <c r="Q88" i="26" s="1"/>
  <c r="W88" i="26" s="1"/>
  <c r="X88" i="26" s="1"/>
  <c r="V89" i="26"/>
  <c r="V29" i="26"/>
  <c r="S352" i="26"/>
  <c r="AA21" i="26"/>
  <c r="N91" i="26"/>
  <c r="Q91" i="26" s="1"/>
  <c r="W91" i="26" s="1"/>
  <c r="X91" i="26" s="1"/>
  <c r="V38" i="26"/>
  <c r="N39" i="26"/>
  <c r="Q39" i="26" s="1"/>
  <c r="W39" i="26" s="1"/>
  <c r="X39" i="26" s="1"/>
  <c r="V40" i="26"/>
  <c r="N41" i="26"/>
  <c r="Q41" i="26" s="1"/>
  <c r="W41" i="26" s="1"/>
  <c r="X41" i="26" s="1"/>
  <c r="N45" i="26"/>
  <c r="Q45" i="26" s="1"/>
  <c r="W45" i="26" s="1"/>
  <c r="X45" i="26" s="1"/>
  <c r="V48" i="26"/>
  <c r="N49" i="26"/>
  <c r="Q49" i="26" s="1"/>
  <c r="W49" i="26" s="1"/>
  <c r="X49" i="26" s="1"/>
  <c r="V55" i="26"/>
  <c r="K352" i="26"/>
  <c r="P352" i="26"/>
  <c r="V21" i="26"/>
  <c r="A22" i="26"/>
  <c r="V33" i="26"/>
  <c r="V52" i="26"/>
  <c r="V54" i="26"/>
  <c r="V56" i="26"/>
  <c r="V67" i="26"/>
  <c r="N67" i="26"/>
  <c r="Q67" i="26" s="1"/>
  <c r="W67" i="26" s="1"/>
  <c r="X67" i="26" s="1"/>
  <c r="V68" i="26"/>
  <c r="V75" i="26"/>
  <c r="N75" i="26"/>
  <c r="Q75" i="26" s="1"/>
  <c r="W75" i="26" s="1"/>
  <c r="X75" i="26" s="1"/>
  <c r="V73" i="26"/>
  <c r="N73" i="26"/>
  <c r="Q73" i="26" s="1"/>
  <c r="W73" i="26" s="1"/>
  <c r="X73" i="26" s="1"/>
  <c r="V78" i="26"/>
  <c r="L78" i="26"/>
  <c r="N78" i="26" s="1"/>
  <c r="Q78" i="26" s="1"/>
  <c r="W78" i="26" s="1"/>
  <c r="X78" i="26" s="1"/>
  <c r="V82" i="26"/>
  <c r="L82" i="26"/>
  <c r="N82" i="26" s="1"/>
  <c r="Q82" i="26" s="1"/>
  <c r="W82" i="26" s="1"/>
  <c r="X82" i="26" s="1"/>
  <c r="V86" i="26"/>
  <c r="L86" i="26"/>
  <c r="N86" i="26" s="1"/>
  <c r="Q86" i="26" s="1"/>
  <c r="W86" i="26" s="1"/>
  <c r="X86" i="26" s="1"/>
  <c r="V42" i="26"/>
  <c r="N43" i="26"/>
  <c r="Q43" i="26" s="1"/>
  <c r="W43" i="26" s="1"/>
  <c r="X43" i="26" s="1"/>
  <c r="V44" i="26"/>
  <c r="V57" i="26"/>
  <c r="N57" i="26"/>
  <c r="Q57" i="26" s="1"/>
  <c r="W57" i="26" s="1"/>
  <c r="X57" i="26" s="1"/>
  <c r="V71" i="26"/>
  <c r="N71" i="26"/>
  <c r="Q71" i="26" s="1"/>
  <c r="W71" i="26" s="1"/>
  <c r="X71" i="26" s="1"/>
  <c r="V90" i="26"/>
  <c r="V92" i="26"/>
  <c r="V94" i="26"/>
  <c r="V96" i="26"/>
  <c r="V98" i="26"/>
  <c r="V100" i="26"/>
  <c r="V102" i="26"/>
  <c r="V104" i="26"/>
  <c r="V106" i="26"/>
  <c r="V108" i="26"/>
  <c r="V110" i="26"/>
  <c r="V95" i="26"/>
  <c r="V97" i="26"/>
  <c r="V99" i="26"/>
  <c r="V101" i="26"/>
  <c r="V103" i="26"/>
  <c r="V105" i="26"/>
  <c r="V107" i="26"/>
  <c r="V109" i="26"/>
  <c r="Q101" i="26"/>
  <c r="W101" i="26" s="1"/>
  <c r="X101" i="26" s="1"/>
  <c r="Q109" i="26"/>
  <c r="W109" i="26" s="1"/>
  <c r="X109" i="26" s="1"/>
  <c r="N113" i="26"/>
  <c r="Q113" i="26" s="1"/>
  <c r="W113" i="26" s="1"/>
  <c r="X113" i="26" s="1"/>
  <c r="N115" i="26"/>
  <c r="Q115" i="26" s="1"/>
  <c r="W115" i="26" s="1"/>
  <c r="X115" i="26" s="1"/>
  <c r="N117" i="26"/>
  <c r="Q117" i="26" s="1"/>
  <c r="W117" i="26" s="1"/>
  <c r="X117" i="26" s="1"/>
  <c r="N119" i="26"/>
  <c r="Q119" i="26" s="1"/>
  <c r="W119" i="26" s="1"/>
  <c r="X119" i="26" s="1"/>
  <c r="N121" i="26"/>
  <c r="Q121" i="26" s="1"/>
  <c r="W121" i="26" s="1"/>
  <c r="X121" i="26" s="1"/>
  <c r="N123" i="26"/>
  <c r="Q123" i="26" s="1"/>
  <c r="W123" i="26" s="1"/>
  <c r="X123" i="26" s="1"/>
  <c r="L124" i="26"/>
  <c r="N124" i="26" s="1"/>
  <c r="Q124" i="26" s="1"/>
  <c r="W124" i="26" s="1"/>
  <c r="X124" i="26" s="1"/>
  <c r="N125" i="26"/>
  <c r="Q125" i="26" s="1"/>
  <c r="W125" i="26" s="1"/>
  <c r="X125" i="26" s="1"/>
  <c r="L126" i="26"/>
  <c r="N126" i="26" s="1"/>
  <c r="Q126" i="26" s="1"/>
  <c r="W126" i="26" s="1"/>
  <c r="X126" i="26" s="1"/>
  <c r="N127" i="26"/>
  <c r="Q127" i="26" s="1"/>
  <c r="W127" i="26" s="1"/>
  <c r="X127" i="26" s="1"/>
  <c r="L128" i="26"/>
  <c r="N128" i="26" s="1"/>
  <c r="Q128" i="26" s="1"/>
  <c r="W128" i="26" s="1"/>
  <c r="X128" i="26" s="1"/>
  <c r="N129" i="26"/>
  <c r="Q129" i="26" s="1"/>
  <c r="W129" i="26" s="1"/>
  <c r="X129" i="26" s="1"/>
  <c r="L130" i="26"/>
  <c r="N130" i="26" s="1"/>
  <c r="Q130" i="26" s="1"/>
  <c r="W130" i="26" s="1"/>
  <c r="X130" i="26" s="1"/>
  <c r="N131" i="26"/>
  <c r="Q131" i="26" s="1"/>
  <c r="W131" i="26" s="1"/>
  <c r="X131" i="26" s="1"/>
  <c r="L132" i="26"/>
  <c r="N132" i="26" s="1"/>
  <c r="Q132" i="26" s="1"/>
  <c r="W132" i="26" s="1"/>
  <c r="X132" i="26" s="1"/>
  <c r="N133" i="26"/>
  <c r="Q133" i="26" s="1"/>
  <c r="W133" i="26" s="1"/>
  <c r="X133" i="26" s="1"/>
  <c r="L134" i="26"/>
  <c r="N134" i="26" s="1"/>
  <c r="Q134" i="26" s="1"/>
  <c r="W134" i="26" s="1"/>
  <c r="X134" i="26" s="1"/>
  <c r="N135" i="26"/>
  <c r="Q135" i="26" s="1"/>
  <c r="W135" i="26" s="1"/>
  <c r="X135" i="26" s="1"/>
  <c r="L136" i="26"/>
  <c r="N136" i="26" s="1"/>
  <c r="Q136" i="26" s="1"/>
  <c r="W136" i="26" s="1"/>
  <c r="X136" i="26" s="1"/>
  <c r="N137" i="26"/>
  <c r="Q137" i="26" s="1"/>
  <c r="W137" i="26" s="1"/>
  <c r="X137" i="26" s="1"/>
  <c r="L138" i="26"/>
  <c r="N138" i="26" s="1"/>
  <c r="Q138" i="26" s="1"/>
  <c r="W138" i="26" s="1"/>
  <c r="X138" i="26" s="1"/>
  <c r="N139" i="26"/>
  <c r="Q139" i="26" s="1"/>
  <c r="W139" i="26" s="1"/>
  <c r="X139" i="26" s="1"/>
  <c r="L140" i="26"/>
  <c r="N140" i="26" s="1"/>
  <c r="Q140" i="26" s="1"/>
  <c r="W140" i="26" s="1"/>
  <c r="X140" i="26" s="1"/>
  <c r="N141" i="26"/>
  <c r="Q141" i="26" s="1"/>
  <c r="W141" i="26" s="1"/>
  <c r="X141" i="26" s="1"/>
  <c r="L142" i="26"/>
  <c r="N142" i="26" s="1"/>
  <c r="Q142" i="26" s="1"/>
  <c r="W142" i="26" s="1"/>
  <c r="X142" i="26" s="1"/>
  <c r="N143" i="26"/>
  <c r="Q143" i="26" s="1"/>
  <c r="W143" i="26" s="1"/>
  <c r="X143" i="26" s="1"/>
  <c r="N145" i="26"/>
  <c r="Q145" i="26" s="1"/>
  <c r="W145" i="26" s="1"/>
  <c r="X145" i="26" s="1"/>
  <c r="L146" i="26"/>
  <c r="N146" i="26" s="1"/>
  <c r="Q146" i="26" s="1"/>
  <c r="W146" i="26" s="1"/>
  <c r="X146" i="26" s="1"/>
  <c r="N147" i="26"/>
  <c r="Q147" i="26" s="1"/>
  <c r="W147" i="26" s="1"/>
  <c r="X147" i="26" s="1"/>
  <c r="L148" i="26"/>
  <c r="N148" i="26" s="1"/>
  <c r="Q148" i="26" s="1"/>
  <c r="W148" i="26" s="1"/>
  <c r="X148" i="26" s="1"/>
  <c r="L174" i="26"/>
  <c r="N174" i="26" s="1"/>
  <c r="Q174" i="26" s="1"/>
  <c r="W174" i="26" s="1"/>
  <c r="X174" i="26" s="1"/>
  <c r="V174" i="26"/>
  <c r="V152" i="26"/>
  <c r="V154" i="26"/>
  <c r="N161" i="26"/>
  <c r="Q161" i="26" s="1"/>
  <c r="W161" i="26" s="1"/>
  <c r="X161" i="26" s="1"/>
  <c r="V164" i="26"/>
  <c r="V176" i="26"/>
  <c r="N178" i="26"/>
  <c r="Q178" i="26" s="1"/>
  <c r="W178" i="26" s="1"/>
  <c r="X178" i="26" s="1"/>
  <c r="V181" i="26"/>
  <c r="V184" i="26"/>
  <c r="V186" i="26"/>
  <c r="V191" i="26"/>
  <c r="N112" i="26"/>
  <c r="Q112" i="26" s="1"/>
  <c r="W112" i="26" s="1"/>
  <c r="X112" i="26" s="1"/>
  <c r="N114" i="26"/>
  <c r="Q114" i="26" s="1"/>
  <c r="W114" i="26" s="1"/>
  <c r="X114" i="26" s="1"/>
  <c r="N116" i="26"/>
  <c r="Q116" i="26" s="1"/>
  <c r="W116" i="26" s="1"/>
  <c r="X116" i="26" s="1"/>
  <c r="N118" i="26"/>
  <c r="Q118" i="26" s="1"/>
  <c r="W118" i="26" s="1"/>
  <c r="X118" i="26" s="1"/>
  <c r="N120" i="26"/>
  <c r="Q120" i="26" s="1"/>
  <c r="W120" i="26" s="1"/>
  <c r="X120" i="26" s="1"/>
  <c r="N122" i="26"/>
  <c r="Q122" i="26" s="1"/>
  <c r="W122" i="26" s="1"/>
  <c r="X122" i="26" s="1"/>
  <c r="N144" i="26"/>
  <c r="Q144" i="26" s="1"/>
  <c r="W144" i="26" s="1"/>
  <c r="X144" i="26" s="1"/>
  <c r="V149" i="26"/>
  <c r="V151" i="26"/>
  <c r="V153" i="26"/>
  <c r="V155" i="26"/>
  <c r="N159" i="26"/>
  <c r="Q159" i="26" s="1"/>
  <c r="W159" i="26" s="1"/>
  <c r="X159" i="26" s="1"/>
  <c r="N163" i="26"/>
  <c r="Q163" i="26" s="1"/>
  <c r="W163" i="26" s="1"/>
  <c r="X163" i="26" s="1"/>
  <c r="L167" i="26"/>
  <c r="N167" i="26" s="1"/>
  <c r="Q167" i="26" s="1"/>
  <c r="W167" i="26" s="1"/>
  <c r="X167" i="26" s="1"/>
  <c r="V167" i="26"/>
  <c r="V175" i="26"/>
  <c r="V177" i="26"/>
  <c r="N180" i="26"/>
  <c r="Q180" i="26" s="1"/>
  <c r="W180" i="26" s="1"/>
  <c r="X180" i="26" s="1"/>
  <c r="V183" i="26"/>
  <c r="V185" i="26"/>
  <c r="V187" i="26"/>
  <c r="V159" i="26"/>
  <c r="V161" i="26"/>
  <c r="V163" i="26"/>
  <c r="V165" i="26"/>
  <c r="N170" i="26"/>
  <c r="Q170" i="26" s="1"/>
  <c r="W170" i="26" s="1"/>
  <c r="X170" i="26" s="1"/>
  <c r="V178" i="26"/>
  <c r="V180" i="26"/>
  <c r="V182" i="26"/>
  <c r="N158" i="26"/>
  <c r="Q158" i="26" s="1"/>
  <c r="W158" i="26" s="1"/>
  <c r="X158" i="26" s="1"/>
  <c r="N160" i="26"/>
  <c r="Q160" i="26" s="1"/>
  <c r="W160" i="26" s="1"/>
  <c r="X160" i="26" s="1"/>
  <c r="N162" i="26"/>
  <c r="Q162" i="26" s="1"/>
  <c r="W162" i="26" s="1"/>
  <c r="X162" i="26" s="1"/>
  <c r="N164" i="26"/>
  <c r="Q164" i="26" s="1"/>
  <c r="W164" i="26" s="1"/>
  <c r="X164" i="26" s="1"/>
  <c r="N179" i="26"/>
  <c r="Q179" i="26" s="1"/>
  <c r="W179" i="26" s="1"/>
  <c r="X179" i="26" s="1"/>
  <c r="N181" i="26"/>
  <c r="Q181" i="26" s="1"/>
  <c r="W181" i="26" s="1"/>
  <c r="X181" i="26" s="1"/>
  <c r="N188" i="26"/>
  <c r="Q188" i="26" s="1"/>
  <c r="W188" i="26" s="1"/>
  <c r="X188" i="26" s="1"/>
  <c r="N190" i="26"/>
  <c r="Q190" i="26" s="1"/>
  <c r="W190" i="26" s="1"/>
  <c r="X190" i="26" s="1"/>
  <c r="V200" i="26"/>
  <c r="V202" i="26"/>
  <c r="V204" i="26"/>
  <c r="V206" i="26"/>
  <c r="N150" i="26"/>
  <c r="Q150" i="26" s="1"/>
  <c r="W150" i="26" s="1"/>
  <c r="X150" i="26" s="1"/>
  <c r="N169" i="26"/>
  <c r="Q169" i="26" s="1"/>
  <c r="W169" i="26" s="1"/>
  <c r="X169" i="26" s="1"/>
  <c r="N171" i="26"/>
  <c r="Q171" i="26" s="1"/>
  <c r="W171" i="26" s="1"/>
  <c r="X171" i="26" s="1"/>
  <c r="N173" i="26"/>
  <c r="Q173" i="26" s="1"/>
  <c r="W173" i="26" s="1"/>
  <c r="X173" i="26" s="1"/>
  <c r="N175" i="26"/>
  <c r="Q175" i="26" s="1"/>
  <c r="W175" i="26" s="1"/>
  <c r="X175" i="26" s="1"/>
  <c r="V188" i="26"/>
  <c r="N189" i="26"/>
  <c r="Q189" i="26" s="1"/>
  <c r="W189" i="26" s="1"/>
  <c r="X189" i="26" s="1"/>
  <c r="V190" i="26"/>
  <c r="N191" i="26"/>
  <c r="Q191" i="26" s="1"/>
  <c r="W191" i="26" s="1"/>
  <c r="X191" i="26" s="1"/>
  <c r="V193" i="26"/>
  <c r="V195" i="26"/>
  <c r="V197" i="26"/>
  <c r="V201" i="26"/>
  <c r="V203" i="26"/>
  <c r="V205" i="26"/>
  <c r="V207" i="26"/>
  <c r="N208" i="26"/>
  <c r="Q208" i="26" s="1"/>
  <c r="W208" i="26" s="1"/>
  <c r="X208" i="26" s="1"/>
  <c r="N210" i="26"/>
  <c r="Q210" i="26" s="1"/>
  <c r="W210" i="26" s="1"/>
  <c r="X210" i="26" s="1"/>
  <c r="N212" i="26"/>
  <c r="Q212" i="26" s="1"/>
  <c r="W212" i="26" s="1"/>
  <c r="X212" i="26" s="1"/>
  <c r="N214" i="26"/>
  <c r="Q214" i="26" s="1"/>
  <c r="W214" i="26" s="1"/>
  <c r="X214" i="26" s="1"/>
  <c r="N216" i="26"/>
  <c r="Q216" i="26" s="1"/>
  <c r="W216" i="26" s="1"/>
  <c r="X216" i="26" s="1"/>
  <c r="N218" i="26"/>
  <c r="Q218" i="26" s="1"/>
  <c r="W218" i="26" s="1"/>
  <c r="X218" i="26" s="1"/>
  <c r="L219" i="26"/>
  <c r="N219" i="26" s="1"/>
  <c r="Q219" i="26" s="1"/>
  <c r="W219" i="26" s="1"/>
  <c r="X219" i="26" s="1"/>
  <c r="L221" i="26"/>
  <c r="N221" i="26" s="1"/>
  <c r="Q221" i="26" s="1"/>
  <c r="W221" i="26" s="1"/>
  <c r="X221" i="26" s="1"/>
  <c r="N233" i="26"/>
  <c r="Q233" i="26" s="1"/>
  <c r="W233" i="26" s="1"/>
  <c r="X233" i="26" s="1"/>
  <c r="V233" i="26"/>
  <c r="N226" i="26"/>
  <c r="Q226" i="26" s="1"/>
  <c r="W226" i="26" s="1"/>
  <c r="X226" i="26" s="1"/>
  <c r="V226" i="26"/>
  <c r="N228" i="26"/>
  <c r="Q228" i="26" s="1"/>
  <c r="W228" i="26" s="1"/>
  <c r="X228" i="26" s="1"/>
  <c r="V228" i="26"/>
  <c r="N230" i="26"/>
  <c r="Q230" i="26" s="1"/>
  <c r="W230" i="26" s="1"/>
  <c r="X230" i="26" s="1"/>
  <c r="V230" i="26"/>
  <c r="N207" i="26"/>
  <c r="Q207" i="26" s="1"/>
  <c r="W207" i="26" s="1"/>
  <c r="X207" i="26" s="1"/>
  <c r="N209" i="26"/>
  <c r="Q209" i="26" s="1"/>
  <c r="W209" i="26" s="1"/>
  <c r="X209" i="26" s="1"/>
  <c r="N211" i="26"/>
  <c r="Q211" i="26" s="1"/>
  <c r="W211" i="26" s="1"/>
  <c r="X211" i="26" s="1"/>
  <c r="N213" i="26"/>
  <c r="Q213" i="26" s="1"/>
  <c r="W213" i="26" s="1"/>
  <c r="X213" i="26" s="1"/>
  <c r="N215" i="26"/>
  <c r="Q215" i="26" s="1"/>
  <c r="W215" i="26" s="1"/>
  <c r="X215" i="26" s="1"/>
  <c r="N217" i="26"/>
  <c r="Q217" i="26" s="1"/>
  <c r="W217" i="26" s="1"/>
  <c r="X217" i="26" s="1"/>
  <c r="N220" i="26"/>
  <c r="Q220" i="26" s="1"/>
  <c r="W220" i="26" s="1"/>
  <c r="X220" i="26" s="1"/>
  <c r="N236" i="26"/>
  <c r="Q236" i="26" s="1"/>
  <c r="W236" i="26" s="1"/>
  <c r="X236" i="26" s="1"/>
  <c r="N240" i="26"/>
  <c r="Q240" i="26" s="1"/>
  <c r="W240" i="26" s="1"/>
  <c r="X240" i="26" s="1"/>
  <c r="N243" i="26"/>
  <c r="Q243" i="26" s="1"/>
  <c r="W243" i="26" s="1"/>
  <c r="X243" i="26" s="1"/>
  <c r="V225" i="26"/>
  <c r="V227" i="26"/>
  <c r="V229" i="26"/>
  <c r="N231" i="26"/>
  <c r="Q231" i="26" s="1"/>
  <c r="W231" i="26" s="1"/>
  <c r="X231" i="26" s="1"/>
  <c r="V231" i="26"/>
  <c r="V232" i="26"/>
  <c r="L234" i="26"/>
  <c r="N234" i="26" s="1"/>
  <c r="Q234" i="26" s="1"/>
  <c r="W234" i="26" s="1"/>
  <c r="X234" i="26" s="1"/>
  <c r="V234" i="26"/>
  <c r="N235" i="26"/>
  <c r="Q235" i="26" s="1"/>
  <c r="W235" i="26" s="1"/>
  <c r="X235" i="26" s="1"/>
  <c r="N239" i="26"/>
  <c r="Q239" i="26" s="1"/>
  <c r="W239" i="26" s="1"/>
  <c r="X239" i="26" s="1"/>
  <c r="V235" i="26"/>
  <c r="V237" i="26"/>
  <c r="V239" i="26"/>
  <c r="V241" i="26"/>
  <c r="V243" i="26"/>
  <c r="V245" i="26"/>
  <c r="V247" i="26"/>
  <c r="N249" i="26"/>
  <c r="Q249" i="26" s="1"/>
  <c r="W249" i="26" s="1"/>
  <c r="X249" i="26" s="1"/>
  <c r="V249" i="26"/>
  <c r="N251" i="26"/>
  <c r="Q251" i="26" s="1"/>
  <c r="W251" i="26" s="1"/>
  <c r="X251" i="26" s="1"/>
  <c r="V251" i="26"/>
  <c r="N253" i="26"/>
  <c r="Q253" i="26" s="1"/>
  <c r="W253" i="26" s="1"/>
  <c r="X253" i="26" s="1"/>
  <c r="V253" i="26"/>
  <c r="N255" i="26"/>
  <c r="Q255" i="26" s="1"/>
  <c r="W255" i="26" s="1"/>
  <c r="X255" i="26" s="1"/>
  <c r="V255" i="26"/>
  <c r="N257" i="26"/>
  <c r="Q257" i="26" s="1"/>
  <c r="W257" i="26" s="1"/>
  <c r="X257" i="26" s="1"/>
  <c r="V257" i="26"/>
  <c r="N259" i="26"/>
  <c r="Q259" i="26" s="1"/>
  <c r="W259" i="26" s="1"/>
  <c r="X259" i="26" s="1"/>
  <c r="V259" i="26"/>
  <c r="N261" i="26"/>
  <c r="Q261" i="26" s="1"/>
  <c r="W261" i="26" s="1"/>
  <c r="X261" i="26" s="1"/>
  <c r="V261" i="26"/>
  <c r="N263" i="26"/>
  <c r="Q263" i="26" s="1"/>
  <c r="W263" i="26" s="1"/>
  <c r="X263" i="26" s="1"/>
  <c r="V263" i="26"/>
  <c r="N265" i="26"/>
  <c r="Q265" i="26" s="1"/>
  <c r="W265" i="26" s="1"/>
  <c r="X265" i="26" s="1"/>
  <c r="V265" i="26"/>
  <c r="N267" i="26"/>
  <c r="Q267" i="26" s="1"/>
  <c r="W267" i="26" s="1"/>
  <c r="X267" i="26" s="1"/>
  <c r="V267" i="26"/>
  <c r="N269" i="26"/>
  <c r="Q269" i="26" s="1"/>
  <c r="W269" i="26" s="1"/>
  <c r="X269" i="26" s="1"/>
  <c r="V269" i="26"/>
  <c r="N271" i="26"/>
  <c r="Q271" i="26" s="1"/>
  <c r="W271" i="26" s="1"/>
  <c r="X271" i="26" s="1"/>
  <c r="V271" i="26"/>
  <c r="V278" i="26"/>
  <c r="N278" i="26"/>
  <c r="Q278" i="26" s="1"/>
  <c r="W278" i="26" s="1"/>
  <c r="X278" i="26" s="1"/>
  <c r="N279" i="26"/>
  <c r="Q279" i="26" s="1"/>
  <c r="W279" i="26" s="1"/>
  <c r="X279" i="26" s="1"/>
  <c r="V279" i="26"/>
  <c r="V272" i="26"/>
  <c r="N272" i="26"/>
  <c r="Q272" i="26" s="1"/>
  <c r="W272" i="26" s="1"/>
  <c r="X272" i="26" s="1"/>
  <c r="N273" i="26"/>
  <c r="Q273" i="26" s="1"/>
  <c r="W273" i="26" s="1"/>
  <c r="X273" i="26" s="1"/>
  <c r="V273" i="26"/>
  <c r="V280" i="26"/>
  <c r="N280" i="26"/>
  <c r="Q280" i="26" s="1"/>
  <c r="W280" i="26" s="1"/>
  <c r="X280" i="26" s="1"/>
  <c r="N281" i="26"/>
  <c r="Q281" i="26" s="1"/>
  <c r="W281" i="26" s="1"/>
  <c r="X281" i="26" s="1"/>
  <c r="V281" i="26"/>
  <c r="V236" i="26"/>
  <c r="V238" i="26"/>
  <c r="V240" i="26"/>
  <c r="V242" i="26"/>
  <c r="V244" i="26"/>
  <c r="V246" i="26"/>
  <c r="V248" i="26"/>
  <c r="V250" i="26"/>
  <c r="V252" i="26"/>
  <c r="V254" i="26"/>
  <c r="V256" i="26"/>
  <c r="V258" i="26"/>
  <c r="V260" i="26"/>
  <c r="V262" i="26"/>
  <c r="V264" i="26"/>
  <c r="V266" i="26"/>
  <c r="V268" i="26"/>
  <c r="V270" i="26"/>
  <c r="V274" i="26"/>
  <c r="N274" i="26"/>
  <c r="Q274" i="26" s="1"/>
  <c r="W274" i="26" s="1"/>
  <c r="X274" i="26" s="1"/>
  <c r="N275" i="26"/>
  <c r="Q275" i="26" s="1"/>
  <c r="W275" i="26" s="1"/>
  <c r="X275" i="26" s="1"/>
  <c r="V275" i="26"/>
  <c r="V282" i="26"/>
  <c r="N282" i="26"/>
  <c r="Q282" i="26" s="1"/>
  <c r="W282" i="26" s="1"/>
  <c r="X282" i="26" s="1"/>
  <c r="V276" i="26"/>
  <c r="N276" i="26"/>
  <c r="Q276" i="26" s="1"/>
  <c r="W276" i="26" s="1"/>
  <c r="X276" i="26" s="1"/>
  <c r="V284" i="26"/>
  <c r="N284" i="26"/>
  <c r="Q284" i="26" s="1"/>
  <c r="W284" i="26" s="1"/>
  <c r="X284" i="26" s="1"/>
  <c r="V287" i="26"/>
  <c r="N286" i="26"/>
  <c r="Q286" i="26" s="1"/>
  <c r="W286" i="26" s="1"/>
  <c r="X286" i="26" s="1"/>
  <c r="Q339" i="26" l="1"/>
  <c r="W339" i="26" s="1"/>
  <c r="X339" i="26" s="1"/>
  <c r="V199" i="26"/>
  <c r="E67" i="35"/>
  <c r="E99" i="35"/>
  <c r="E68" i="35"/>
  <c r="E62" i="35"/>
  <c r="E285" i="35"/>
  <c r="E66" i="35"/>
  <c r="E283" i="35"/>
  <c r="E97" i="35"/>
  <c r="E280" i="35"/>
  <c r="E98" i="35"/>
  <c r="E281" i="35"/>
  <c r="E282" i="35"/>
  <c r="E96" i="35"/>
  <c r="E287" i="35"/>
  <c r="E60" i="35"/>
  <c r="E284" i="35"/>
  <c r="E61" i="35"/>
  <c r="E286" i="35"/>
  <c r="E63" i="35"/>
  <c r="E64" i="35"/>
  <c r="E288" i="35"/>
  <c r="E65" i="35"/>
  <c r="E322" i="34"/>
  <c r="E332" i="35"/>
  <c r="Q336" i="26"/>
  <c r="W336" i="26" s="1"/>
  <c r="X336" i="26" s="1"/>
  <c r="E326" i="34"/>
  <c r="E336" i="35"/>
  <c r="E320" i="34"/>
  <c r="E330" i="35"/>
  <c r="E319" i="34"/>
  <c r="E329" i="35"/>
  <c r="E325" i="34"/>
  <c r="E335" i="35"/>
  <c r="E318" i="34"/>
  <c r="E328" i="35"/>
  <c r="Q344" i="26"/>
  <c r="W344" i="26" s="1"/>
  <c r="X344" i="26" s="1"/>
  <c r="Z344" i="26" s="1"/>
  <c r="E264" i="6"/>
  <c r="E271" i="34"/>
  <c r="E51" i="34"/>
  <c r="E56" i="34"/>
  <c r="E83" i="6"/>
  <c r="E89" i="34"/>
  <c r="E57" i="34"/>
  <c r="E268" i="6"/>
  <c r="E275" i="34"/>
  <c r="E55" i="34"/>
  <c r="E266" i="6"/>
  <c r="E273" i="34"/>
  <c r="E262" i="6"/>
  <c r="E87" i="34"/>
  <c r="E270" i="34"/>
  <c r="E263" i="6"/>
  <c r="E88" i="34"/>
  <c r="Q294" i="26"/>
  <c r="W294" i="26" s="1"/>
  <c r="X294" i="26" s="1"/>
  <c r="Z294" i="26" s="1"/>
  <c r="E265" i="6"/>
  <c r="E272" i="34"/>
  <c r="E261" i="6"/>
  <c r="E86" i="34"/>
  <c r="E270" i="6"/>
  <c r="E277" i="34"/>
  <c r="E49" i="34"/>
  <c r="E267" i="6"/>
  <c r="E274" i="34"/>
  <c r="E50" i="34"/>
  <c r="E269" i="6"/>
  <c r="E276" i="34"/>
  <c r="E52" i="34"/>
  <c r="E53" i="34"/>
  <c r="E278" i="34"/>
  <c r="E54" i="34"/>
  <c r="Q331" i="26"/>
  <c r="W331" i="26" s="1"/>
  <c r="X331" i="26" s="1"/>
  <c r="Z331" i="26" s="1"/>
  <c r="Q310" i="26"/>
  <c r="W310" i="26" s="1"/>
  <c r="X310" i="26" s="1"/>
  <c r="Z310" i="26" s="1"/>
  <c r="Q307" i="26"/>
  <c r="W307" i="26" s="1"/>
  <c r="X307" i="26" s="1"/>
  <c r="Z307" i="26" s="1"/>
  <c r="P293" i="26"/>
  <c r="P300" i="26"/>
  <c r="Z273" i="26"/>
  <c r="Z267" i="26"/>
  <c r="Z255" i="26"/>
  <c r="Z217" i="26"/>
  <c r="Z218" i="26"/>
  <c r="Z164" i="26"/>
  <c r="Z161" i="26"/>
  <c r="Z140" i="26"/>
  <c r="Z132" i="26"/>
  <c r="Z117" i="26"/>
  <c r="Z78" i="26"/>
  <c r="Z25" i="26"/>
  <c r="Z34" i="26"/>
  <c r="Z244" i="26"/>
  <c r="Z323" i="26"/>
  <c r="Z268" i="26"/>
  <c r="Z177" i="26"/>
  <c r="Z94" i="26"/>
  <c r="Z55" i="26"/>
  <c r="Z90" i="26"/>
  <c r="Z97" i="26"/>
  <c r="Z305" i="26"/>
  <c r="Z176" i="26"/>
  <c r="Z165" i="26"/>
  <c r="Z83" i="26"/>
  <c r="Z300" i="26"/>
  <c r="Z276" i="26"/>
  <c r="Z272" i="26"/>
  <c r="Z240" i="26"/>
  <c r="Z207" i="26"/>
  <c r="Z233" i="26"/>
  <c r="Z216" i="26"/>
  <c r="Z208" i="26"/>
  <c r="Z189" i="26"/>
  <c r="Z171" i="26"/>
  <c r="Z188" i="26"/>
  <c r="Z162" i="26"/>
  <c r="Z159" i="26"/>
  <c r="Z118" i="26"/>
  <c r="Z178" i="26"/>
  <c r="Z148" i="26"/>
  <c r="Z143" i="26"/>
  <c r="Z139" i="26"/>
  <c r="Z135" i="26"/>
  <c r="Z131" i="26"/>
  <c r="Z127" i="26"/>
  <c r="Z123" i="26"/>
  <c r="Z115" i="26"/>
  <c r="Z96" i="26"/>
  <c r="Z71" i="26"/>
  <c r="Z41" i="26"/>
  <c r="Z91" i="26"/>
  <c r="Z84" i="26"/>
  <c r="Z23" i="26"/>
  <c r="Z22" i="26"/>
  <c r="Z32" i="26"/>
  <c r="Z283" i="26"/>
  <c r="Z258" i="26"/>
  <c r="Z241" i="26"/>
  <c r="Z223" i="26"/>
  <c r="Z182" i="26"/>
  <c r="Z264" i="26"/>
  <c r="Z252" i="26"/>
  <c r="Z194" i="26"/>
  <c r="Z204" i="26"/>
  <c r="Z187" i="26"/>
  <c r="Z153" i="26"/>
  <c r="Z106" i="26"/>
  <c r="Z93" i="26"/>
  <c r="Z62" i="26"/>
  <c r="Z52" i="26"/>
  <c r="Z40" i="26"/>
  <c r="Z46" i="26"/>
  <c r="Z111" i="26"/>
  <c r="Z95" i="26"/>
  <c r="Z61" i="26"/>
  <c r="Z50" i="26"/>
  <c r="Z104" i="26"/>
  <c r="Z81" i="26"/>
  <c r="Z54" i="26"/>
  <c r="Z38" i="26"/>
  <c r="Z154" i="26"/>
  <c r="Z33" i="26"/>
  <c r="Z246" i="26"/>
  <c r="Z315" i="26"/>
  <c r="Z301" i="26"/>
  <c r="Z260" i="26"/>
  <c r="Z227" i="26"/>
  <c r="Z166" i="26"/>
  <c r="Z238" i="26"/>
  <c r="Z256" i="26"/>
  <c r="Z206" i="26"/>
  <c r="Z172" i="26"/>
  <c r="Z72" i="26"/>
  <c r="Z60" i="26"/>
  <c r="Z89" i="26"/>
  <c r="Z79" i="26"/>
  <c r="Z320" i="26"/>
  <c r="Z279" i="26"/>
  <c r="Z263" i="26"/>
  <c r="Z251" i="26"/>
  <c r="Z243" i="26"/>
  <c r="Z210" i="26"/>
  <c r="Z190" i="26"/>
  <c r="Z120" i="26"/>
  <c r="Z174" i="26"/>
  <c r="Z136" i="26"/>
  <c r="Z124" i="26"/>
  <c r="Z86" i="26"/>
  <c r="Z75" i="26"/>
  <c r="Z80" i="26"/>
  <c r="Z47" i="26"/>
  <c r="Z262" i="26"/>
  <c r="Z225" i="26"/>
  <c r="Z346" i="26"/>
  <c r="Z222" i="26"/>
  <c r="Z110" i="26"/>
  <c r="Z56" i="26"/>
  <c r="Z108" i="26"/>
  <c r="Z58" i="26"/>
  <c r="Z192" i="26"/>
  <c r="Z157" i="26"/>
  <c r="Z202" i="26"/>
  <c r="Z277" i="26"/>
  <c r="Z74" i="26"/>
  <c r="Z342" i="26"/>
  <c r="Z286" i="26"/>
  <c r="Z280" i="26"/>
  <c r="Z278" i="26"/>
  <c r="Z234" i="26"/>
  <c r="Z215" i="26"/>
  <c r="Z228" i="26"/>
  <c r="Z275" i="26"/>
  <c r="Z269" i="26"/>
  <c r="Z265" i="26"/>
  <c r="Z261" i="26"/>
  <c r="Z257" i="26"/>
  <c r="Z253" i="26"/>
  <c r="Z249" i="26"/>
  <c r="Z239" i="26"/>
  <c r="Z236" i="26"/>
  <c r="Z213" i="26"/>
  <c r="Z221" i="26"/>
  <c r="Z214" i="26"/>
  <c r="Z169" i="26"/>
  <c r="Z181" i="26"/>
  <c r="Z160" i="26"/>
  <c r="Z144" i="26"/>
  <c r="Z116" i="26"/>
  <c r="Z147" i="26"/>
  <c r="Z142" i="26"/>
  <c r="Z138" i="26"/>
  <c r="Z134" i="26"/>
  <c r="Z130" i="26"/>
  <c r="Z126" i="26"/>
  <c r="Z121" i="26"/>
  <c r="Z113" i="26"/>
  <c r="Z43" i="26"/>
  <c r="Z82" i="26"/>
  <c r="Z73" i="26"/>
  <c r="Z49" i="26"/>
  <c r="Z88" i="26"/>
  <c r="Z37" i="26"/>
  <c r="Z28" i="26"/>
  <c r="Z24" i="26"/>
  <c r="Z314" i="26"/>
  <c r="Z270" i="26"/>
  <c r="Z254" i="26"/>
  <c r="Z237" i="26"/>
  <c r="Z205" i="26"/>
  <c r="Z302" i="26"/>
  <c r="Z245" i="26"/>
  <c r="Z200" i="26"/>
  <c r="Z185" i="26"/>
  <c r="Z151" i="26"/>
  <c r="Z156" i="26"/>
  <c r="Z102" i="26"/>
  <c r="Z51" i="26"/>
  <c r="Z107" i="26"/>
  <c r="Z100" i="26"/>
  <c r="Z44" i="26"/>
  <c r="Z105" i="26"/>
  <c r="Z152" i="26"/>
  <c r="Z31" i="26"/>
  <c r="Z186" i="26"/>
  <c r="Z340" i="26"/>
  <c r="Z324" i="26"/>
  <c r="Z312" i="26"/>
  <c r="Z298" i="26"/>
  <c r="Z193" i="26"/>
  <c r="Z319" i="26"/>
  <c r="Z248" i="26"/>
  <c r="Z149" i="26"/>
  <c r="Z92" i="26"/>
  <c r="Z87" i="26"/>
  <c r="Z77" i="26"/>
  <c r="Z70" i="26"/>
  <c r="Z168" i="26"/>
  <c r="Z347" i="26"/>
  <c r="Z281" i="26"/>
  <c r="Z271" i="26"/>
  <c r="Z259" i="26"/>
  <c r="Z231" i="26"/>
  <c r="Z209" i="26"/>
  <c r="Z173" i="26"/>
  <c r="Z163" i="26"/>
  <c r="Z112" i="26"/>
  <c r="Z145" i="26"/>
  <c r="Z128" i="26"/>
  <c r="Z101" i="26"/>
  <c r="Z45" i="26"/>
  <c r="Z69" i="26"/>
  <c r="Z336" i="26"/>
  <c r="Z285" i="26"/>
  <c r="Z203" i="26"/>
  <c r="Z155" i="26"/>
  <c r="Z64" i="26"/>
  <c r="Z99" i="26"/>
  <c r="Z36" i="26"/>
  <c r="Z316" i="26"/>
  <c r="Z284" i="26"/>
  <c r="Z282" i="26"/>
  <c r="Z274" i="26"/>
  <c r="Z235" i="26"/>
  <c r="Z220" i="26"/>
  <c r="Z211" i="26"/>
  <c r="Z230" i="26"/>
  <c r="Z226" i="26"/>
  <c r="Z219" i="26"/>
  <c r="Z212" i="26"/>
  <c r="Z199" i="26"/>
  <c r="Z191" i="26"/>
  <c r="Z175" i="26"/>
  <c r="Z150" i="26"/>
  <c r="Z179" i="26"/>
  <c r="Z158" i="26"/>
  <c r="Z170" i="26"/>
  <c r="Z180" i="26"/>
  <c r="Z167" i="26"/>
  <c r="Z122" i="26"/>
  <c r="Z114" i="26"/>
  <c r="Z146" i="26"/>
  <c r="Z141" i="26"/>
  <c r="Z137" i="26"/>
  <c r="Z133" i="26"/>
  <c r="Z129" i="26"/>
  <c r="Z125" i="26"/>
  <c r="Z119" i="26"/>
  <c r="Z109" i="26"/>
  <c r="Z57" i="26"/>
  <c r="Z67" i="26"/>
  <c r="Z39" i="26"/>
  <c r="Z27" i="26"/>
  <c r="Z26" i="26"/>
  <c r="Z339" i="26"/>
  <c r="Z303" i="26"/>
  <c r="Z266" i="26"/>
  <c r="Z250" i="26"/>
  <c r="Z229" i="26"/>
  <c r="Z201" i="26"/>
  <c r="Z242" i="26"/>
  <c r="Z304" i="26"/>
  <c r="Z232" i="26"/>
  <c r="Z183" i="26"/>
  <c r="Z98" i="26"/>
  <c r="Z68" i="26"/>
  <c r="Z59" i="26"/>
  <c r="Z48" i="26"/>
  <c r="Z30" i="26"/>
  <c r="Z42" i="26"/>
  <c r="Z103" i="26"/>
  <c r="Z65" i="26"/>
  <c r="Z53" i="26"/>
  <c r="Z293" i="26"/>
  <c r="Z63" i="26"/>
  <c r="Z195" i="26"/>
  <c r="Z197" i="26"/>
  <c r="Z29" i="26"/>
  <c r="Z198" i="26"/>
  <c r="Z184" i="26"/>
  <c r="Z334" i="26"/>
  <c r="Z309" i="26"/>
  <c r="Z287" i="26"/>
  <c r="Z317" i="26"/>
  <c r="Z224" i="26"/>
  <c r="Z76" i="26"/>
  <c r="Z329" i="26"/>
  <c r="Z85" i="26"/>
  <c r="Z196" i="26"/>
  <c r="Z66" i="26"/>
  <c r="Z308" i="26"/>
  <c r="Z247" i="26"/>
  <c r="Z297" i="26"/>
  <c r="Z343" i="26"/>
  <c r="AA301" i="27"/>
  <c r="A302" i="27"/>
  <c r="P308" i="26"/>
  <c r="P297" i="26"/>
  <c r="Q291" i="26"/>
  <c r="W291" i="26" s="1"/>
  <c r="X291" i="26" s="1"/>
  <c r="Q318" i="26"/>
  <c r="W318" i="26" s="1"/>
  <c r="X318" i="26" s="1"/>
  <c r="V224" i="26"/>
  <c r="P309" i="26"/>
  <c r="Q350" i="26"/>
  <c r="W350" i="26" s="1"/>
  <c r="X350" i="26" s="1"/>
  <c r="Q311" i="26"/>
  <c r="W311" i="26" s="1"/>
  <c r="X311" i="26" s="1"/>
  <c r="P334" i="26"/>
  <c r="Q332" i="26"/>
  <c r="W332" i="26" s="1"/>
  <c r="X332" i="26" s="1"/>
  <c r="Q292" i="26"/>
  <c r="W292" i="26" s="1"/>
  <c r="X292" i="26" s="1"/>
  <c r="M362" i="26"/>
  <c r="Q349" i="26"/>
  <c r="W349" i="26" s="1"/>
  <c r="X349" i="26" s="1"/>
  <c r="Q288" i="26"/>
  <c r="W288" i="26" s="1"/>
  <c r="X288" i="26" s="1"/>
  <c r="P288" i="26"/>
  <c r="M360" i="26"/>
  <c r="Q289" i="26"/>
  <c r="W289" i="26" s="1"/>
  <c r="X289" i="26" s="1"/>
  <c r="P305" i="26"/>
  <c r="Q345" i="26"/>
  <c r="W345" i="26" s="1"/>
  <c r="X345" i="26" s="1"/>
  <c r="Q322" i="26"/>
  <c r="W322" i="26" s="1"/>
  <c r="X322" i="26" s="1"/>
  <c r="Q306" i="26"/>
  <c r="W306" i="26" s="1"/>
  <c r="X306" i="26" s="1"/>
  <c r="Q290" i="26"/>
  <c r="W290" i="26" s="1"/>
  <c r="X290" i="26" s="1"/>
  <c r="P312" i="26"/>
  <c r="Q348" i="26"/>
  <c r="W348" i="26" s="1"/>
  <c r="X348" i="26" s="1"/>
  <c r="Q295" i="26"/>
  <c r="W295" i="26" s="1"/>
  <c r="X295" i="26" s="1"/>
  <c r="Q325" i="26"/>
  <c r="W325" i="26" s="1"/>
  <c r="X325" i="26" s="1"/>
  <c r="Q337" i="26"/>
  <c r="W337" i="26" s="1"/>
  <c r="X337" i="26" s="1"/>
  <c r="Q321" i="26"/>
  <c r="W321" i="26" s="1"/>
  <c r="X321" i="26" s="1"/>
  <c r="Q328" i="26"/>
  <c r="W328" i="26" s="1"/>
  <c r="X328" i="26" s="1"/>
  <c r="Q335" i="26"/>
  <c r="W335" i="26" s="1"/>
  <c r="X335" i="26" s="1"/>
  <c r="Q313" i="26"/>
  <c r="W313" i="26" s="1"/>
  <c r="X313" i="26" s="1"/>
  <c r="Q333" i="26"/>
  <c r="W333" i="26" s="1"/>
  <c r="X333" i="26" s="1"/>
  <c r="Q326" i="26"/>
  <c r="W326" i="26" s="1"/>
  <c r="X326" i="26" s="1"/>
  <c r="Q338" i="26"/>
  <c r="W338" i="26" s="1"/>
  <c r="X338" i="26" s="1"/>
  <c r="P338" i="26"/>
  <c r="Q327" i="26"/>
  <c r="W327" i="26" s="1"/>
  <c r="X327" i="26" s="1"/>
  <c r="P327" i="26"/>
  <c r="Q299" i="26"/>
  <c r="W299" i="26" s="1"/>
  <c r="X299" i="26" s="1"/>
  <c r="P299" i="26"/>
  <c r="L352" i="26"/>
  <c r="N35" i="26"/>
  <c r="Q35" i="26" s="1"/>
  <c r="W35" i="26" s="1"/>
  <c r="X35" i="26" s="1"/>
  <c r="Q296" i="26"/>
  <c r="W296" i="26" s="1"/>
  <c r="X296" i="26" s="1"/>
  <c r="P296" i="26"/>
  <c r="V35" i="26"/>
  <c r="H352" i="26"/>
  <c r="Q341" i="26"/>
  <c r="W341" i="26" s="1"/>
  <c r="X341" i="26" s="1"/>
  <c r="Q330" i="26"/>
  <c r="W330" i="26" s="1"/>
  <c r="X330" i="26" s="1"/>
  <c r="P330" i="26"/>
  <c r="AA22" i="26"/>
  <c r="A23" i="26"/>
  <c r="W21" i="26"/>
  <c r="X21" i="26" s="1"/>
  <c r="V352" i="26" l="1"/>
  <c r="Z333" i="26"/>
  <c r="Z322" i="26"/>
  <c r="Z327" i="26"/>
  <c r="Z321" i="26"/>
  <c r="Z348" i="26"/>
  <c r="Z311" i="26"/>
  <c r="Z318" i="26"/>
  <c r="Z330" i="26"/>
  <c r="Z313" i="26"/>
  <c r="Z337" i="26"/>
  <c r="Z345" i="26"/>
  <c r="Z292" i="26"/>
  <c r="Z350" i="26"/>
  <c r="Z291" i="26"/>
  <c r="Z296" i="26"/>
  <c r="Z338" i="26"/>
  <c r="Z341" i="26"/>
  <c r="Z299" i="26"/>
  <c r="Z335" i="26"/>
  <c r="Z325" i="26"/>
  <c r="Z290" i="26"/>
  <c r="Z288" i="26"/>
  <c r="Z332" i="26"/>
  <c r="Z35" i="26"/>
  <c r="Z326" i="26"/>
  <c r="Z328" i="26"/>
  <c r="Z295" i="26"/>
  <c r="Z306" i="26"/>
  <c r="Z289" i="26"/>
  <c r="Z349" i="26"/>
  <c r="AA302" i="27"/>
  <c r="A303" i="27"/>
  <c r="Z21" i="26"/>
  <c r="X352" i="26"/>
  <c r="N352" i="26"/>
  <c r="Q352" i="26"/>
  <c r="W352" i="26"/>
  <c r="AA23" i="26"/>
  <c r="A24" i="26"/>
  <c r="Z352" i="26" l="1"/>
  <c r="AA303" i="27"/>
  <c r="A304" i="27"/>
  <c r="A25" i="26"/>
  <c r="AA24" i="26"/>
  <c r="AA25" i="26" l="1"/>
  <c r="AA304" i="27"/>
  <c r="A305" i="27"/>
  <c r="A26" i="26"/>
  <c r="AA305" i="27" l="1"/>
  <c r="A306" i="27"/>
  <c r="A27" i="26"/>
  <c r="AA27" i="26" s="1"/>
  <c r="AA26" i="26"/>
  <c r="AA306" i="27" l="1"/>
  <c r="A307" i="27"/>
  <c r="A28" i="26"/>
  <c r="AA28" i="26" s="1"/>
  <c r="AA307" i="27" l="1"/>
  <c r="A308" i="27"/>
  <c r="A29" i="26"/>
  <c r="AA29" i="26" s="1"/>
  <c r="AA308" i="27" l="1"/>
  <c r="A309" i="27"/>
  <c r="A30" i="26"/>
  <c r="AA30" i="26" s="1"/>
  <c r="AA309" i="27" l="1"/>
  <c r="A310" i="27"/>
  <c r="A31" i="26"/>
  <c r="AA31" i="26" s="1"/>
  <c r="AA310" i="27" l="1"/>
  <c r="A311" i="27"/>
  <c r="A32" i="26"/>
  <c r="AA32" i="26" s="1"/>
  <c r="A33" i="26"/>
  <c r="A34" i="26" s="1"/>
  <c r="A35" i="26" s="1"/>
  <c r="A36" i="26" s="1"/>
  <c r="A37" i="26" s="1"/>
  <c r="A38" i="26" s="1"/>
  <c r="A39" i="26" s="1"/>
  <c r="AA311" i="27" l="1"/>
  <c r="A312" i="27"/>
  <c r="AA33" i="26"/>
  <c r="AA312" i="27" l="1"/>
  <c r="A313" i="27"/>
  <c r="AA34" i="26"/>
  <c r="AA313" i="27" l="1"/>
  <c r="A314" i="27"/>
  <c r="AA35" i="26"/>
  <c r="AA314" i="27" l="1"/>
  <c r="A315" i="27"/>
  <c r="AA315" i="27" l="1"/>
  <c r="A316" i="27"/>
  <c r="W363" i="25"/>
  <c r="AA316" i="27" l="1"/>
  <c r="A317" i="27"/>
  <c r="J228" i="25"/>
  <c r="J222" i="26" s="1"/>
  <c r="F224" i="27" s="1"/>
  <c r="AC361" i="25"/>
  <c r="V361" i="25"/>
  <c r="O361" i="25"/>
  <c r="L361" i="25"/>
  <c r="M361" i="25" s="1"/>
  <c r="K361" i="25"/>
  <c r="AC360" i="25"/>
  <c r="V360" i="25"/>
  <c r="O360" i="25"/>
  <c r="L360" i="25"/>
  <c r="M360" i="25" s="1"/>
  <c r="K360" i="25"/>
  <c r="AC359" i="25"/>
  <c r="V359" i="25"/>
  <c r="O359" i="25"/>
  <c r="L359" i="25"/>
  <c r="M359" i="25" s="1"/>
  <c r="P359" i="25" s="1"/>
  <c r="K359" i="25"/>
  <c r="AC358" i="25"/>
  <c r="V358" i="25"/>
  <c r="O358" i="25"/>
  <c r="L358" i="25"/>
  <c r="K358" i="25"/>
  <c r="AC357" i="25"/>
  <c r="V357" i="25"/>
  <c r="O357" i="25"/>
  <c r="L357" i="25"/>
  <c r="M357" i="25" s="1"/>
  <c r="K357" i="25"/>
  <c r="AC356" i="25"/>
  <c r="V356" i="25"/>
  <c r="O356" i="25"/>
  <c r="L356" i="25"/>
  <c r="K356" i="25"/>
  <c r="AC355" i="25"/>
  <c r="V355" i="25"/>
  <c r="O355" i="25"/>
  <c r="L355" i="25"/>
  <c r="M355" i="25" s="1"/>
  <c r="P355" i="25" s="1"/>
  <c r="K355" i="25"/>
  <c r="V354" i="25"/>
  <c r="O354" i="25"/>
  <c r="L354" i="25"/>
  <c r="M354" i="25" s="1"/>
  <c r="K354" i="25"/>
  <c r="AC353" i="25"/>
  <c r="V353" i="25"/>
  <c r="O353" i="25"/>
  <c r="L353" i="25"/>
  <c r="K353" i="25"/>
  <c r="AC352" i="25"/>
  <c r="V352" i="25"/>
  <c r="O352" i="25"/>
  <c r="L352" i="25"/>
  <c r="K352" i="25"/>
  <c r="AC351" i="25"/>
  <c r="O351" i="25"/>
  <c r="L351" i="25"/>
  <c r="I351" i="25"/>
  <c r="V351" i="25" s="1"/>
  <c r="AC350" i="25"/>
  <c r="V350" i="25"/>
  <c r="O350" i="25"/>
  <c r="L350" i="25"/>
  <c r="K350" i="25"/>
  <c r="AC349" i="25"/>
  <c r="V349" i="25"/>
  <c r="O349" i="25"/>
  <c r="L349" i="25"/>
  <c r="K349" i="25"/>
  <c r="AC348" i="25"/>
  <c r="V348" i="25"/>
  <c r="O348" i="25"/>
  <c r="L348" i="25"/>
  <c r="K348" i="25"/>
  <c r="AC347" i="25"/>
  <c r="V347" i="25"/>
  <c r="O347" i="25"/>
  <c r="L347" i="25"/>
  <c r="K347" i="25"/>
  <c r="AC346" i="25"/>
  <c r="V346" i="25"/>
  <c r="O346" i="25"/>
  <c r="L346" i="25"/>
  <c r="K346" i="25"/>
  <c r="AC345" i="25"/>
  <c r="V345" i="25"/>
  <c r="O345" i="25"/>
  <c r="L345" i="25"/>
  <c r="K345" i="25"/>
  <c r="AC344" i="25"/>
  <c r="V344" i="25"/>
  <c r="O344" i="25"/>
  <c r="L344" i="25"/>
  <c r="K344" i="25"/>
  <c r="AC343" i="25"/>
  <c r="V343" i="25"/>
  <c r="O343" i="25"/>
  <c r="L343" i="25"/>
  <c r="K343" i="25"/>
  <c r="AC342" i="25"/>
  <c r="V342" i="25"/>
  <c r="O342" i="25"/>
  <c r="L342" i="25"/>
  <c r="K342" i="25"/>
  <c r="AC341" i="25"/>
  <c r="V341" i="25"/>
  <c r="O341" i="25"/>
  <c r="L341" i="25"/>
  <c r="K341" i="25"/>
  <c r="V340" i="25"/>
  <c r="L340" i="25"/>
  <c r="K340" i="25"/>
  <c r="AC339" i="25"/>
  <c r="V339" i="25"/>
  <c r="O339" i="25"/>
  <c r="L339" i="25"/>
  <c r="K339" i="25"/>
  <c r="AC338" i="25"/>
  <c r="V338" i="25"/>
  <c r="O338" i="25"/>
  <c r="L338" i="25"/>
  <c r="K338" i="25"/>
  <c r="AC337" i="25"/>
  <c r="V337" i="25"/>
  <c r="O337" i="25"/>
  <c r="L337" i="25"/>
  <c r="K337" i="25"/>
  <c r="AC336" i="25"/>
  <c r="V336" i="25"/>
  <c r="O336" i="25"/>
  <c r="L336" i="25"/>
  <c r="K336" i="25"/>
  <c r="AC335" i="25"/>
  <c r="V335" i="25"/>
  <c r="O335" i="25"/>
  <c r="L335" i="25"/>
  <c r="K335" i="25"/>
  <c r="AC334" i="25"/>
  <c r="V334" i="25"/>
  <c r="O334" i="25"/>
  <c r="L334" i="25"/>
  <c r="K334" i="25"/>
  <c r="AC333" i="25"/>
  <c r="V333" i="25"/>
  <c r="O333" i="25"/>
  <c r="L333" i="25"/>
  <c r="K333" i="25"/>
  <c r="AC332" i="25"/>
  <c r="V332" i="25"/>
  <c r="T332" i="25"/>
  <c r="O332" i="25"/>
  <c r="L332" i="25"/>
  <c r="K332" i="25"/>
  <c r="AC331" i="25"/>
  <c r="V331" i="25"/>
  <c r="O331" i="25"/>
  <c r="L331" i="25"/>
  <c r="K331" i="25"/>
  <c r="AC330" i="25"/>
  <c r="V330" i="25"/>
  <c r="O330" i="25"/>
  <c r="L330" i="25"/>
  <c r="K330" i="25"/>
  <c r="AC329" i="25"/>
  <c r="V329" i="25"/>
  <c r="O329" i="25"/>
  <c r="L329" i="25"/>
  <c r="M329" i="25" s="1"/>
  <c r="P329" i="25" s="1"/>
  <c r="K329" i="25"/>
  <c r="AC328" i="25"/>
  <c r="V328" i="25"/>
  <c r="O328" i="25"/>
  <c r="L328" i="25"/>
  <c r="K328" i="25"/>
  <c r="AC327" i="25"/>
  <c r="V327" i="25"/>
  <c r="O327" i="25"/>
  <c r="L327" i="25"/>
  <c r="K327" i="25"/>
  <c r="AC326" i="25"/>
  <c r="V326" i="25"/>
  <c r="O326" i="25"/>
  <c r="L326" i="25"/>
  <c r="K326" i="25"/>
  <c r="AC325" i="25"/>
  <c r="V325" i="25"/>
  <c r="O325" i="25"/>
  <c r="L325" i="25"/>
  <c r="M325" i="25" s="1"/>
  <c r="P325" i="25" s="1"/>
  <c r="K325" i="25"/>
  <c r="AC324" i="25"/>
  <c r="V324" i="25"/>
  <c r="O324" i="25"/>
  <c r="L324" i="25"/>
  <c r="K324" i="25"/>
  <c r="AC323" i="25"/>
  <c r="V323" i="25"/>
  <c r="O323" i="25"/>
  <c r="L323" i="25"/>
  <c r="K323" i="25"/>
  <c r="AC322" i="25"/>
  <c r="V322" i="25"/>
  <c r="O322" i="25"/>
  <c r="L322" i="25"/>
  <c r="K322" i="25"/>
  <c r="AC321" i="25"/>
  <c r="V321" i="25"/>
  <c r="O321" i="25"/>
  <c r="L321" i="25"/>
  <c r="K321" i="25"/>
  <c r="AC320" i="25"/>
  <c r="V320" i="25"/>
  <c r="O320" i="25"/>
  <c r="L320" i="25"/>
  <c r="K320" i="25"/>
  <c r="AC319" i="25"/>
  <c r="V319" i="25"/>
  <c r="O319" i="25"/>
  <c r="L319" i="25"/>
  <c r="K319" i="25"/>
  <c r="AC318" i="25"/>
  <c r="V318" i="25"/>
  <c r="O318" i="25"/>
  <c r="L318" i="25"/>
  <c r="K318" i="25"/>
  <c r="AC317" i="25"/>
  <c r="V317" i="25"/>
  <c r="O317" i="25"/>
  <c r="L317" i="25"/>
  <c r="M317" i="25" s="1"/>
  <c r="P317" i="25" s="1"/>
  <c r="K317" i="25"/>
  <c r="AC316" i="25"/>
  <c r="V316" i="25"/>
  <c r="O316" i="25"/>
  <c r="L316" i="25"/>
  <c r="K316" i="25"/>
  <c r="AC315" i="25"/>
  <c r="V315" i="25"/>
  <c r="O315" i="25"/>
  <c r="L315" i="25"/>
  <c r="K315" i="25"/>
  <c r="AC314" i="25"/>
  <c r="V314" i="25"/>
  <c r="O314" i="25"/>
  <c r="L314" i="25"/>
  <c r="K314" i="25"/>
  <c r="AC313" i="25"/>
  <c r="V313" i="25"/>
  <c r="O313" i="25"/>
  <c r="L313" i="25"/>
  <c r="K313" i="25"/>
  <c r="AC312" i="25"/>
  <c r="V312" i="25"/>
  <c r="O312" i="25"/>
  <c r="L312" i="25"/>
  <c r="K312" i="25"/>
  <c r="AC311" i="25"/>
  <c r="V311" i="25"/>
  <c r="O311" i="25"/>
  <c r="L311" i="25"/>
  <c r="K311" i="25"/>
  <c r="AC310" i="25"/>
  <c r="V310" i="25"/>
  <c r="O310" i="25"/>
  <c r="L310" i="25"/>
  <c r="K310" i="25"/>
  <c r="AC309" i="25"/>
  <c r="V309" i="25"/>
  <c r="O309" i="25"/>
  <c r="L309" i="25"/>
  <c r="M309" i="25" s="1"/>
  <c r="K309" i="25"/>
  <c r="V308" i="25"/>
  <c r="O308" i="25"/>
  <c r="L308" i="25"/>
  <c r="M308" i="25" s="1"/>
  <c r="P308" i="25" s="1"/>
  <c r="K308" i="25"/>
  <c r="AC307" i="25"/>
  <c r="V307" i="25"/>
  <c r="O307" i="25"/>
  <c r="L307" i="25"/>
  <c r="K307" i="25"/>
  <c r="AC306" i="25"/>
  <c r="V306" i="25"/>
  <c r="O306" i="25"/>
  <c r="L306" i="25"/>
  <c r="K306" i="25"/>
  <c r="AC305" i="25"/>
  <c r="V305" i="25"/>
  <c r="O305" i="25"/>
  <c r="L305" i="25"/>
  <c r="K305" i="25"/>
  <c r="AC304" i="25"/>
  <c r="V304" i="25"/>
  <c r="O304" i="25"/>
  <c r="L304" i="25"/>
  <c r="M304" i="25" s="1"/>
  <c r="K304" i="25"/>
  <c r="AC303" i="25"/>
  <c r="V303" i="25"/>
  <c r="O303" i="25"/>
  <c r="L303" i="25"/>
  <c r="K303" i="25"/>
  <c r="AC302" i="25"/>
  <c r="V302" i="25"/>
  <c r="O302" i="25"/>
  <c r="L302" i="25"/>
  <c r="K302" i="25"/>
  <c r="AC301" i="25"/>
  <c r="V301" i="25"/>
  <c r="O301" i="25"/>
  <c r="L301" i="25"/>
  <c r="K301" i="25"/>
  <c r="AC300" i="25"/>
  <c r="V300" i="25"/>
  <c r="O300" i="25"/>
  <c r="L300" i="25"/>
  <c r="M300" i="25" s="1"/>
  <c r="K300" i="25"/>
  <c r="AC299" i="25"/>
  <c r="V299" i="25"/>
  <c r="O299" i="25"/>
  <c r="L299" i="25"/>
  <c r="K299" i="25"/>
  <c r="T363" i="25"/>
  <c r="R363" i="25"/>
  <c r="O363" i="25"/>
  <c r="G363" i="25"/>
  <c r="AC296" i="25"/>
  <c r="U296" i="25"/>
  <c r="S296" i="25"/>
  <c r="P296" i="25"/>
  <c r="M296" i="25"/>
  <c r="H296" i="25"/>
  <c r="K296" i="25" s="1"/>
  <c r="L296" i="25" s="1"/>
  <c r="AC295" i="25"/>
  <c r="U295" i="25"/>
  <c r="S295" i="25"/>
  <c r="P295" i="25"/>
  <c r="M295" i="25"/>
  <c r="H295" i="25"/>
  <c r="K295" i="25" s="1"/>
  <c r="L295" i="25" s="1"/>
  <c r="AC294" i="25"/>
  <c r="U294" i="25"/>
  <c r="S294" i="25"/>
  <c r="P294" i="25"/>
  <c r="M294" i="25"/>
  <c r="H294" i="25"/>
  <c r="K294" i="25" s="1"/>
  <c r="L294" i="25" s="1"/>
  <c r="AC293" i="25"/>
  <c r="U293" i="25"/>
  <c r="S293" i="25"/>
  <c r="P293" i="25"/>
  <c r="M293" i="25"/>
  <c r="H293" i="25"/>
  <c r="K293" i="25" s="1"/>
  <c r="L293" i="25" s="1"/>
  <c r="AC292" i="25"/>
  <c r="U292" i="25"/>
  <c r="S292" i="25"/>
  <c r="P292" i="25"/>
  <c r="M292" i="25"/>
  <c r="H292" i="25"/>
  <c r="K292" i="25" s="1"/>
  <c r="L292" i="25" s="1"/>
  <c r="AC291" i="25"/>
  <c r="U291" i="25"/>
  <c r="S291" i="25"/>
  <c r="P291" i="25"/>
  <c r="M291" i="25"/>
  <c r="H291" i="25"/>
  <c r="K291" i="25" s="1"/>
  <c r="L291" i="25" s="1"/>
  <c r="AC290" i="25"/>
  <c r="U290" i="25"/>
  <c r="S290" i="25"/>
  <c r="P290" i="25"/>
  <c r="M290" i="25"/>
  <c r="H290" i="25"/>
  <c r="K290" i="25" s="1"/>
  <c r="L290" i="25" s="1"/>
  <c r="AC289" i="25"/>
  <c r="U289" i="25"/>
  <c r="S289" i="25"/>
  <c r="P289" i="25"/>
  <c r="M289" i="25"/>
  <c r="H289" i="25"/>
  <c r="K289" i="25" s="1"/>
  <c r="L289" i="25" s="1"/>
  <c r="AC288" i="25"/>
  <c r="U288" i="25"/>
  <c r="S288" i="25"/>
  <c r="P288" i="25"/>
  <c r="M288" i="25"/>
  <c r="H288" i="25"/>
  <c r="K288" i="25" s="1"/>
  <c r="L288" i="25" s="1"/>
  <c r="AC284" i="25"/>
  <c r="U284" i="25"/>
  <c r="S284" i="25"/>
  <c r="P284" i="25"/>
  <c r="M284" i="25"/>
  <c r="H284" i="25"/>
  <c r="K284" i="25" s="1"/>
  <c r="L284" i="25" s="1"/>
  <c r="AC283" i="25"/>
  <c r="U283" i="25"/>
  <c r="S283" i="25"/>
  <c r="P283" i="25"/>
  <c r="M283" i="25"/>
  <c r="H283" i="25"/>
  <c r="K283" i="25" s="1"/>
  <c r="L283" i="25" s="1"/>
  <c r="AC282" i="25"/>
  <c r="U282" i="25"/>
  <c r="S282" i="25"/>
  <c r="P282" i="25"/>
  <c r="M282" i="25"/>
  <c r="H282" i="25"/>
  <c r="K282" i="25" s="1"/>
  <c r="L282" i="25" s="1"/>
  <c r="AC281" i="25"/>
  <c r="U281" i="25"/>
  <c r="S281" i="25"/>
  <c r="P281" i="25"/>
  <c r="M281" i="25"/>
  <c r="H281" i="25"/>
  <c r="K281" i="25" s="1"/>
  <c r="L281" i="25" s="1"/>
  <c r="AC280" i="25"/>
  <c r="U280" i="25"/>
  <c r="S280" i="25"/>
  <c r="P280" i="25"/>
  <c r="M280" i="25"/>
  <c r="H280" i="25"/>
  <c r="K280" i="25" s="1"/>
  <c r="L280" i="25" s="1"/>
  <c r="U279" i="25"/>
  <c r="S279" i="25"/>
  <c r="P279" i="25"/>
  <c r="M279" i="25"/>
  <c r="H279" i="25"/>
  <c r="K279" i="25" s="1"/>
  <c r="AC278" i="25"/>
  <c r="U278" i="25"/>
  <c r="S278" i="25"/>
  <c r="P278" i="25"/>
  <c r="M278" i="25"/>
  <c r="H278" i="25"/>
  <c r="K278" i="25" s="1"/>
  <c r="AC277" i="25"/>
  <c r="U277" i="25"/>
  <c r="S277" i="25"/>
  <c r="P277" i="25"/>
  <c r="M277" i="25"/>
  <c r="H277" i="25"/>
  <c r="K277" i="25" s="1"/>
  <c r="L277" i="25" s="1"/>
  <c r="AC276" i="25"/>
  <c r="U276" i="25"/>
  <c r="S276" i="25"/>
  <c r="P276" i="25"/>
  <c r="M276" i="25"/>
  <c r="H276" i="25"/>
  <c r="K276" i="25" s="1"/>
  <c r="AC275" i="25"/>
  <c r="U275" i="25"/>
  <c r="S275" i="25"/>
  <c r="P275" i="25"/>
  <c r="M275" i="25"/>
  <c r="H275" i="25"/>
  <c r="K275" i="25" s="1"/>
  <c r="L275" i="25" s="1"/>
  <c r="AC274" i="25"/>
  <c r="U274" i="25"/>
  <c r="S274" i="25"/>
  <c r="P274" i="25"/>
  <c r="M274" i="25"/>
  <c r="H274" i="25"/>
  <c r="K274" i="25" s="1"/>
  <c r="AC273" i="25"/>
  <c r="U273" i="25"/>
  <c r="S273" i="25"/>
  <c r="P273" i="25"/>
  <c r="M273" i="25"/>
  <c r="H273" i="25"/>
  <c r="K273" i="25" s="1"/>
  <c r="L273" i="25" s="1"/>
  <c r="AC272" i="25"/>
  <c r="U272" i="25"/>
  <c r="S272" i="25"/>
  <c r="P272" i="25"/>
  <c r="M272" i="25"/>
  <c r="H272" i="25"/>
  <c r="K272" i="25" s="1"/>
  <c r="AC271" i="25"/>
  <c r="U271" i="25"/>
  <c r="S271" i="25"/>
  <c r="P271" i="25"/>
  <c r="M271" i="25"/>
  <c r="H271" i="25"/>
  <c r="K271" i="25" s="1"/>
  <c r="L271" i="25" s="1"/>
  <c r="AC270" i="25"/>
  <c r="U270" i="25"/>
  <c r="S270" i="25"/>
  <c r="P270" i="25"/>
  <c r="M270" i="25"/>
  <c r="H270" i="25"/>
  <c r="K270" i="25" s="1"/>
  <c r="AC269" i="25"/>
  <c r="U269" i="25"/>
  <c r="S269" i="25"/>
  <c r="P269" i="25"/>
  <c r="M269" i="25"/>
  <c r="H269" i="25"/>
  <c r="K269" i="25" s="1"/>
  <c r="L269" i="25" s="1"/>
  <c r="AC268" i="25"/>
  <c r="U268" i="25"/>
  <c r="S268" i="25"/>
  <c r="P268" i="25"/>
  <c r="M268" i="25"/>
  <c r="H268" i="25"/>
  <c r="K268" i="25" s="1"/>
  <c r="AC267" i="25"/>
  <c r="U267" i="25"/>
  <c r="S267" i="25"/>
  <c r="P267" i="25"/>
  <c r="M267" i="25"/>
  <c r="H267" i="25"/>
  <c r="K267" i="25" s="1"/>
  <c r="L267" i="25" s="1"/>
  <c r="AC266" i="25"/>
  <c r="U266" i="25"/>
  <c r="S266" i="25"/>
  <c r="P266" i="25"/>
  <c r="M266" i="25"/>
  <c r="H266" i="25"/>
  <c r="K266" i="25" s="1"/>
  <c r="L266" i="25" s="1"/>
  <c r="AC265" i="25"/>
  <c r="U265" i="25"/>
  <c r="S265" i="25"/>
  <c r="P265" i="25"/>
  <c r="M265" i="25"/>
  <c r="H265" i="25"/>
  <c r="K265" i="25" s="1"/>
  <c r="L265" i="25" s="1"/>
  <c r="AC264" i="25"/>
  <c r="U264" i="25"/>
  <c r="S264" i="25"/>
  <c r="P264" i="25"/>
  <c r="M264" i="25"/>
  <c r="H264" i="25"/>
  <c r="K264" i="25" s="1"/>
  <c r="AC263" i="25"/>
  <c r="U263" i="25"/>
  <c r="S263" i="25"/>
  <c r="P263" i="25"/>
  <c r="M263" i="25"/>
  <c r="H263" i="25"/>
  <c r="K263" i="25" s="1"/>
  <c r="L263" i="25" s="1"/>
  <c r="AC262" i="25"/>
  <c r="U262" i="25"/>
  <c r="S262" i="25"/>
  <c r="P262" i="25"/>
  <c r="M262" i="25"/>
  <c r="H262" i="25"/>
  <c r="K262" i="25" s="1"/>
  <c r="AC261" i="25"/>
  <c r="U261" i="25"/>
  <c r="S261" i="25"/>
  <c r="P261" i="25"/>
  <c r="M261" i="25"/>
  <c r="H261" i="25"/>
  <c r="K261" i="25" s="1"/>
  <c r="L261" i="25" s="1"/>
  <c r="AC260" i="25"/>
  <c r="U260" i="25"/>
  <c r="S260" i="25"/>
  <c r="P260" i="25"/>
  <c r="M260" i="25"/>
  <c r="H260" i="25"/>
  <c r="K260" i="25" s="1"/>
  <c r="AC259" i="25"/>
  <c r="U259" i="25"/>
  <c r="S259" i="25"/>
  <c r="P259" i="25"/>
  <c r="M259" i="25"/>
  <c r="H259" i="25"/>
  <c r="K259" i="25" s="1"/>
  <c r="L259" i="25" s="1"/>
  <c r="AC258" i="25"/>
  <c r="U258" i="25"/>
  <c r="S258" i="25"/>
  <c r="P258" i="25"/>
  <c r="M258" i="25"/>
  <c r="H258" i="25"/>
  <c r="K258" i="25" s="1"/>
  <c r="L258" i="25" s="1"/>
  <c r="AC257" i="25"/>
  <c r="U257" i="25"/>
  <c r="S257" i="25"/>
  <c r="P257" i="25"/>
  <c r="M257" i="25"/>
  <c r="H257" i="25"/>
  <c r="K257" i="25" s="1"/>
  <c r="L257" i="25" s="1"/>
  <c r="AC256" i="25"/>
  <c r="U256" i="25"/>
  <c r="S256" i="25"/>
  <c r="P256" i="25"/>
  <c r="M256" i="25"/>
  <c r="H256" i="25"/>
  <c r="K256" i="25" s="1"/>
  <c r="AC255" i="25"/>
  <c r="U255" i="25"/>
  <c r="S255" i="25"/>
  <c r="P255" i="25"/>
  <c r="M255" i="25"/>
  <c r="H255" i="25"/>
  <c r="K255" i="25" s="1"/>
  <c r="L255" i="25" s="1"/>
  <c r="AC254" i="25"/>
  <c r="U254" i="25"/>
  <c r="S254" i="25"/>
  <c r="P254" i="25"/>
  <c r="M254" i="25"/>
  <c r="H254" i="25"/>
  <c r="K254" i="25" s="1"/>
  <c r="AC253" i="25"/>
  <c r="U253" i="25"/>
  <c r="S253" i="25"/>
  <c r="P253" i="25"/>
  <c r="M253" i="25"/>
  <c r="H253" i="25"/>
  <c r="K253" i="25" s="1"/>
  <c r="L253" i="25" s="1"/>
  <c r="AC252" i="25"/>
  <c r="U252" i="25"/>
  <c r="S252" i="25"/>
  <c r="P252" i="25"/>
  <c r="M252" i="25"/>
  <c r="H252" i="25"/>
  <c r="K252" i="25" s="1"/>
  <c r="L252" i="25" s="1"/>
  <c r="AC251" i="25"/>
  <c r="U251" i="25"/>
  <c r="S251" i="25"/>
  <c r="P251" i="25"/>
  <c r="M251" i="25"/>
  <c r="H251" i="25"/>
  <c r="K251" i="25" s="1"/>
  <c r="L251" i="25" s="1"/>
  <c r="AC250" i="25"/>
  <c r="U250" i="25"/>
  <c r="S250" i="25"/>
  <c r="P250" i="25"/>
  <c r="M250" i="25"/>
  <c r="H250" i="25"/>
  <c r="K250" i="25" s="1"/>
  <c r="L250" i="25" s="1"/>
  <c r="AC249" i="25"/>
  <c r="U249" i="25"/>
  <c r="S249" i="25"/>
  <c r="P249" i="25"/>
  <c r="M249" i="25"/>
  <c r="H249" i="25"/>
  <c r="K249" i="25" s="1"/>
  <c r="L249" i="25" s="1"/>
  <c r="AC248" i="25"/>
  <c r="U248" i="25"/>
  <c r="S248" i="25"/>
  <c r="P248" i="25"/>
  <c r="M248" i="25"/>
  <c r="H248" i="25"/>
  <c r="K248" i="25" s="1"/>
  <c r="L248" i="25" s="1"/>
  <c r="AC247" i="25"/>
  <c r="U247" i="25"/>
  <c r="S247" i="25"/>
  <c r="P247" i="25"/>
  <c r="M247" i="25"/>
  <c r="H247" i="25"/>
  <c r="K247" i="25" s="1"/>
  <c r="L247" i="25" s="1"/>
  <c r="AC246" i="25"/>
  <c r="U246" i="25"/>
  <c r="S246" i="25"/>
  <c r="P246" i="25"/>
  <c r="M246" i="25"/>
  <c r="H246" i="25"/>
  <c r="K246" i="25" s="1"/>
  <c r="L246" i="25" s="1"/>
  <c r="AC245" i="25"/>
  <c r="U245" i="25"/>
  <c r="S245" i="25"/>
  <c r="P245" i="25"/>
  <c r="M245" i="25"/>
  <c r="H245" i="25"/>
  <c r="K245" i="25" s="1"/>
  <c r="L245" i="25" s="1"/>
  <c r="AC244" i="25"/>
  <c r="U244" i="25"/>
  <c r="S244" i="25"/>
  <c r="P244" i="25"/>
  <c r="M244" i="25"/>
  <c r="H244" i="25"/>
  <c r="K244" i="25" s="1"/>
  <c r="L244" i="25" s="1"/>
  <c r="AC243" i="25"/>
  <c r="U243" i="25"/>
  <c r="S243" i="25"/>
  <c r="P243" i="25"/>
  <c r="M243" i="25"/>
  <c r="H243" i="25"/>
  <c r="K243" i="25" s="1"/>
  <c r="L243" i="25" s="1"/>
  <c r="AC242" i="25"/>
  <c r="U242" i="25"/>
  <c r="S242" i="25"/>
  <c r="P242" i="25"/>
  <c r="M242" i="25"/>
  <c r="H242" i="25"/>
  <c r="K242" i="25" s="1"/>
  <c r="L242" i="25" s="1"/>
  <c r="AC241" i="25"/>
  <c r="U241" i="25"/>
  <c r="S241" i="25"/>
  <c r="P241" i="25"/>
  <c r="M241" i="25"/>
  <c r="H241" i="25"/>
  <c r="K241" i="25" s="1"/>
  <c r="L241" i="25" s="1"/>
  <c r="AC240" i="25"/>
  <c r="U240" i="25"/>
  <c r="S240" i="25"/>
  <c r="P240" i="25"/>
  <c r="M240" i="25"/>
  <c r="H240" i="25"/>
  <c r="K240" i="25" s="1"/>
  <c r="L240" i="25" s="1"/>
  <c r="AC239" i="25"/>
  <c r="U239" i="25"/>
  <c r="S239" i="25"/>
  <c r="P239" i="25"/>
  <c r="M239" i="25"/>
  <c r="H239" i="25"/>
  <c r="K239" i="25" s="1"/>
  <c r="L239" i="25" s="1"/>
  <c r="AC238" i="25"/>
  <c r="U238" i="25"/>
  <c r="S238" i="25"/>
  <c r="P238" i="25"/>
  <c r="M238" i="25"/>
  <c r="H238" i="25"/>
  <c r="K238" i="25" s="1"/>
  <c r="L238" i="25" s="1"/>
  <c r="AC237" i="25"/>
  <c r="U237" i="25"/>
  <c r="S237" i="25"/>
  <c r="P237" i="25"/>
  <c r="M237" i="25"/>
  <c r="H237" i="25"/>
  <c r="K237" i="25" s="1"/>
  <c r="L237" i="25" s="1"/>
  <c r="AC236" i="25"/>
  <c r="U236" i="25"/>
  <c r="S236" i="25"/>
  <c r="P236" i="25"/>
  <c r="M236" i="25"/>
  <c r="H236" i="25"/>
  <c r="K236" i="25" s="1"/>
  <c r="L236" i="25" s="1"/>
  <c r="AC235" i="25"/>
  <c r="U235" i="25"/>
  <c r="S235" i="25"/>
  <c r="P235" i="25"/>
  <c r="M235" i="25"/>
  <c r="H235" i="25"/>
  <c r="K235" i="25" s="1"/>
  <c r="L235" i="25" s="1"/>
  <c r="AC234" i="25"/>
  <c r="U234" i="25"/>
  <c r="S234" i="25"/>
  <c r="P234" i="25"/>
  <c r="M234" i="25"/>
  <c r="H234" i="25"/>
  <c r="K234" i="25" s="1"/>
  <c r="L234" i="25" s="1"/>
  <c r="AC233" i="25"/>
  <c r="U233" i="25"/>
  <c r="S233" i="25"/>
  <c r="P233" i="25"/>
  <c r="M233" i="25"/>
  <c r="H233" i="25"/>
  <c r="K233" i="25" s="1"/>
  <c r="L233" i="25" s="1"/>
  <c r="AC232" i="25"/>
  <c r="U232" i="25"/>
  <c r="S232" i="25"/>
  <c r="P232" i="25"/>
  <c r="M232" i="25"/>
  <c r="H232" i="25"/>
  <c r="K232" i="25" s="1"/>
  <c r="L232" i="25" s="1"/>
  <c r="AC231" i="25"/>
  <c r="U231" i="25"/>
  <c r="S231" i="25"/>
  <c r="P231" i="25"/>
  <c r="M231" i="25"/>
  <c r="H231" i="25"/>
  <c r="K231" i="25" s="1"/>
  <c r="L231" i="25" s="1"/>
  <c r="AC230" i="25"/>
  <c r="U230" i="25"/>
  <c r="S230" i="25"/>
  <c r="P230" i="25"/>
  <c r="M230" i="25"/>
  <c r="I230" i="25"/>
  <c r="H230" i="25"/>
  <c r="AC229" i="25"/>
  <c r="U229" i="25"/>
  <c r="S229" i="25"/>
  <c r="P229" i="25"/>
  <c r="M229" i="25"/>
  <c r="H229" i="25"/>
  <c r="K229" i="25" s="1"/>
  <c r="L229" i="25" s="1"/>
  <c r="AC228" i="25"/>
  <c r="U228" i="25"/>
  <c r="S228" i="25"/>
  <c r="P228" i="25"/>
  <c r="M228" i="25"/>
  <c r="H228" i="25"/>
  <c r="K228" i="25" s="1"/>
  <c r="AC227" i="25"/>
  <c r="U227" i="25"/>
  <c r="S227" i="25"/>
  <c r="P227" i="25"/>
  <c r="M227" i="25"/>
  <c r="H227" i="25"/>
  <c r="K227" i="25" s="1"/>
  <c r="L227" i="25" s="1"/>
  <c r="AC226" i="25"/>
  <c r="U226" i="25"/>
  <c r="S226" i="25"/>
  <c r="P226" i="25"/>
  <c r="M226" i="25"/>
  <c r="H226" i="25"/>
  <c r="K226" i="25" s="1"/>
  <c r="AC225" i="25"/>
  <c r="U225" i="25"/>
  <c r="S225" i="25"/>
  <c r="P225" i="25"/>
  <c r="M225" i="25"/>
  <c r="H225" i="25"/>
  <c r="K225" i="25" s="1"/>
  <c r="L225" i="25" s="1"/>
  <c r="AC224" i="25"/>
  <c r="U224" i="25"/>
  <c r="S224" i="25"/>
  <c r="P224" i="25"/>
  <c r="M224" i="25"/>
  <c r="H224" i="25"/>
  <c r="K224" i="25" s="1"/>
  <c r="AC223" i="25"/>
  <c r="U223" i="25"/>
  <c r="S223" i="25"/>
  <c r="P223" i="25"/>
  <c r="M223" i="25"/>
  <c r="H223" i="25"/>
  <c r="K223" i="25" s="1"/>
  <c r="L223" i="25" s="1"/>
  <c r="AC222" i="25"/>
  <c r="U222" i="25"/>
  <c r="S222" i="25"/>
  <c r="P222" i="25"/>
  <c r="M222" i="25"/>
  <c r="H222" i="25"/>
  <c r="K222" i="25" s="1"/>
  <c r="AC221" i="25"/>
  <c r="U221" i="25"/>
  <c r="S221" i="25"/>
  <c r="P221" i="25"/>
  <c r="M221" i="25"/>
  <c r="H221" i="25"/>
  <c r="K221" i="25" s="1"/>
  <c r="L221" i="25" s="1"/>
  <c r="AC220" i="25"/>
  <c r="U220" i="25"/>
  <c r="S220" i="25"/>
  <c r="P220" i="25"/>
  <c r="M220" i="25"/>
  <c r="H220" i="25"/>
  <c r="K220" i="25" s="1"/>
  <c r="L220" i="25" s="1"/>
  <c r="AC219" i="25"/>
  <c r="U219" i="25"/>
  <c r="S219" i="25"/>
  <c r="P219" i="25"/>
  <c r="M219" i="25"/>
  <c r="H219" i="25"/>
  <c r="K219" i="25" s="1"/>
  <c r="L219" i="25" s="1"/>
  <c r="AC218" i="25"/>
  <c r="U218" i="25"/>
  <c r="S218" i="25"/>
  <c r="P218" i="25"/>
  <c r="M218" i="25"/>
  <c r="H218" i="25"/>
  <c r="K218" i="25" s="1"/>
  <c r="L218" i="25" s="1"/>
  <c r="AC217" i="25"/>
  <c r="U217" i="25"/>
  <c r="S217" i="25"/>
  <c r="P217" i="25"/>
  <c r="M217" i="25"/>
  <c r="H217" i="25"/>
  <c r="K217" i="25" s="1"/>
  <c r="L217" i="25" s="1"/>
  <c r="AC216" i="25"/>
  <c r="U216" i="25"/>
  <c r="S216" i="25"/>
  <c r="P216" i="25"/>
  <c r="M216" i="25"/>
  <c r="H216" i="25"/>
  <c r="K216" i="25" s="1"/>
  <c r="L216" i="25" s="1"/>
  <c r="AC215" i="25"/>
  <c r="U215" i="25"/>
  <c r="S215" i="25"/>
  <c r="P215" i="25"/>
  <c r="M215" i="25"/>
  <c r="H215" i="25"/>
  <c r="K215" i="25" s="1"/>
  <c r="L215" i="25" s="1"/>
  <c r="AC214" i="25"/>
  <c r="U214" i="25"/>
  <c r="S214" i="25"/>
  <c r="P214" i="25"/>
  <c r="M214" i="25"/>
  <c r="H214" i="25"/>
  <c r="K214" i="25" s="1"/>
  <c r="L214" i="25" s="1"/>
  <c r="AC213" i="25"/>
  <c r="U213" i="25"/>
  <c r="S213" i="25"/>
  <c r="P213" i="25"/>
  <c r="M213" i="25"/>
  <c r="H213" i="25"/>
  <c r="K213" i="25" s="1"/>
  <c r="AC212" i="25"/>
  <c r="U212" i="25"/>
  <c r="S212" i="25"/>
  <c r="P212" i="25"/>
  <c r="M212" i="25"/>
  <c r="H212" i="25"/>
  <c r="K212" i="25" s="1"/>
  <c r="L212" i="25" s="1"/>
  <c r="AC211" i="25"/>
  <c r="U211" i="25"/>
  <c r="S211" i="25"/>
  <c r="P211" i="25"/>
  <c r="M211" i="25"/>
  <c r="H211" i="25"/>
  <c r="K211" i="25" s="1"/>
  <c r="L211" i="25" s="1"/>
  <c r="AC210" i="25"/>
  <c r="U210" i="25"/>
  <c r="S210" i="25"/>
  <c r="P210" i="25"/>
  <c r="M210" i="25"/>
  <c r="H210" i="25"/>
  <c r="K210" i="25" s="1"/>
  <c r="L210" i="25" s="1"/>
  <c r="AC209" i="25"/>
  <c r="U209" i="25"/>
  <c r="S209" i="25"/>
  <c r="P209" i="25"/>
  <c r="M209" i="25"/>
  <c r="H209" i="25"/>
  <c r="K209" i="25" s="1"/>
  <c r="L209" i="25" s="1"/>
  <c r="AC208" i="25"/>
  <c r="U208" i="25"/>
  <c r="S208" i="25"/>
  <c r="P208" i="25"/>
  <c r="M208" i="25"/>
  <c r="H208" i="25"/>
  <c r="K208" i="25" s="1"/>
  <c r="L208" i="25" s="1"/>
  <c r="AC207" i="25"/>
  <c r="U207" i="25"/>
  <c r="S207" i="25"/>
  <c r="P207" i="25"/>
  <c r="M207" i="25"/>
  <c r="H207" i="25"/>
  <c r="K207" i="25" s="1"/>
  <c r="L207" i="25" s="1"/>
  <c r="AC206" i="25"/>
  <c r="U206" i="25"/>
  <c r="S206" i="25"/>
  <c r="P206" i="25"/>
  <c r="M206" i="25"/>
  <c r="H206" i="25"/>
  <c r="K206" i="25" s="1"/>
  <c r="L206" i="25" s="1"/>
  <c r="AC205" i="25"/>
  <c r="U205" i="25"/>
  <c r="S205" i="25"/>
  <c r="P205" i="25"/>
  <c r="M205" i="25"/>
  <c r="I205" i="25"/>
  <c r="H205" i="25"/>
  <c r="AC204" i="25"/>
  <c r="U204" i="25"/>
  <c r="S204" i="25"/>
  <c r="P204" i="25"/>
  <c r="M204" i="25"/>
  <c r="H204" i="25"/>
  <c r="K204" i="25" s="1"/>
  <c r="AC203" i="25"/>
  <c r="U203" i="25"/>
  <c r="S203" i="25"/>
  <c r="P203" i="25"/>
  <c r="M203" i="25"/>
  <c r="H203" i="25"/>
  <c r="K203" i="25" s="1"/>
  <c r="L203" i="25" s="1"/>
  <c r="AC202" i="25"/>
  <c r="U202" i="25"/>
  <c r="S202" i="25"/>
  <c r="P202" i="25"/>
  <c r="M202" i="25"/>
  <c r="H202" i="25"/>
  <c r="K202" i="25" s="1"/>
  <c r="AC201" i="25"/>
  <c r="U201" i="25"/>
  <c r="S201" i="25"/>
  <c r="P201" i="25"/>
  <c r="M201" i="25"/>
  <c r="H201" i="25"/>
  <c r="K201" i="25" s="1"/>
  <c r="L201" i="25" s="1"/>
  <c r="AC200" i="25"/>
  <c r="U200" i="25"/>
  <c r="S200" i="25"/>
  <c r="P200" i="25"/>
  <c r="M200" i="25"/>
  <c r="H200" i="25"/>
  <c r="K200" i="25" s="1"/>
  <c r="AC199" i="25"/>
  <c r="U199" i="25"/>
  <c r="S199" i="25"/>
  <c r="P199" i="25"/>
  <c r="M199" i="25"/>
  <c r="H199" i="25"/>
  <c r="K199" i="25" s="1"/>
  <c r="L199" i="25" s="1"/>
  <c r="AC198" i="25"/>
  <c r="U198" i="25"/>
  <c r="S198" i="25"/>
  <c r="P198" i="25"/>
  <c r="M198" i="25"/>
  <c r="H198" i="25"/>
  <c r="K198" i="25" s="1"/>
  <c r="L198" i="25" s="1"/>
  <c r="AG197" i="25"/>
  <c r="AC197" i="25"/>
  <c r="U197" i="25"/>
  <c r="S197" i="25"/>
  <c r="P197" i="25"/>
  <c r="M197" i="25"/>
  <c r="H197" i="25"/>
  <c r="K197" i="25" s="1"/>
  <c r="L197" i="25" s="1"/>
  <c r="AC196" i="25"/>
  <c r="U196" i="25"/>
  <c r="S196" i="25"/>
  <c r="P196" i="25"/>
  <c r="M196" i="25"/>
  <c r="H196" i="25"/>
  <c r="K196" i="25" s="1"/>
  <c r="L196" i="25" s="1"/>
  <c r="AC195" i="25"/>
  <c r="U195" i="25"/>
  <c r="S195" i="25"/>
  <c r="P195" i="25"/>
  <c r="M195" i="25"/>
  <c r="H195" i="25"/>
  <c r="K195" i="25" s="1"/>
  <c r="L195" i="25" s="1"/>
  <c r="AC194" i="25"/>
  <c r="U194" i="25"/>
  <c r="S194" i="25"/>
  <c r="P194" i="25"/>
  <c r="M194" i="25"/>
  <c r="H194" i="25"/>
  <c r="K194" i="25" s="1"/>
  <c r="L194" i="25" s="1"/>
  <c r="AC193" i="25"/>
  <c r="U193" i="25"/>
  <c r="S193" i="25"/>
  <c r="P193" i="25"/>
  <c r="M193" i="25"/>
  <c r="H193" i="25"/>
  <c r="K193" i="25" s="1"/>
  <c r="L193" i="25" s="1"/>
  <c r="AC192" i="25"/>
  <c r="U192" i="25"/>
  <c r="S192" i="25"/>
  <c r="P192" i="25"/>
  <c r="M192" i="25"/>
  <c r="H192" i="25"/>
  <c r="K192" i="25" s="1"/>
  <c r="L192" i="25" s="1"/>
  <c r="AC191" i="25"/>
  <c r="U191" i="25"/>
  <c r="S191" i="25"/>
  <c r="P191" i="25"/>
  <c r="M191" i="25"/>
  <c r="H191" i="25"/>
  <c r="K191" i="25" s="1"/>
  <c r="L191" i="25" s="1"/>
  <c r="AC190" i="25"/>
  <c r="U190" i="25"/>
  <c r="S190" i="25"/>
  <c r="P190" i="25"/>
  <c r="M190" i="25"/>
  <c r="H190" i="25"/>
  <c r="K190" i="25" s="1"/>
  <c r="L190" i="25" s="1"/>
  <c r="AC189" i="25"/>
  <c r="U189" i="25"/>
  <c r="S189" i="25"/>
  <c r="P189" i="25"/>
  <c r="M189" i="25"/>
  <c r="H189" i="25"/>
  <c r="K189" i="25" s="1"/>
  <c r="L189" i="25" s="1"/>
  <c r="AC188" i="25"/>
  <c r="U188" i="25"/>
  <c r="S188" i="25"/>
  <c r="P188" i="25"/>
  <c r="M188" i="25"/>
  <c r="H188" i="25"/>
  <c r="K188" i="25" s="1"/>
  <c r="L188" i="25" s="1"/>
  <c r="AC187" i="25"/>
  <c r="U187" i="25"/>
  <c r="S187" i="25"/>
  <c r="P187" i="25"/>
  <c r="M187" i="25"/>
  <c r="H187" i="25"/>
  <c r="K187" i="25" s="1"/>
  <c r="L187" i="25" s="1"/>
  <c r="AC186" i="25"/>
  <c r="U186" i="25"/>
  <c r="S186" i="25"/>
  <c r="P186" i="25"/>
  <c r="M186" i="25"/>
  <c r="H186" i="25"/>
  <c r="K186" i="25" s="1"/>
  <c r="L186" i="25" s="1"/>
  <c r="AC185" i="25"/>
  <c r="U185" i="25"/>
  <c r="S185" i="25"/>
  <c r="P185" i="25"/>
  <c r="M185" i="25"/>
  <c r="H185" i="25"/>
  <c r="K185" i="25" s="1"/>
  <c r="L185" i="25" s="1"/>
  <c r="AC184" i="25"/>
  <c r="U184" i="25"/>
  <c r="S184" i="25"/>
  <c r="P184" i="25"/>
  <c r="M184" i="25"/>
  <c r="H184" i="25"/>
  <c r="K184" i="25" s="1"/>
  <c r="L184" i="25" s="1"/>
  <c r="U183" i="25"/>
  <c r="S183" i="25"/>
  <c r="P183" i="25"/>
  <c r="M183" i="25"/>
  <c r="H183" i="25"/>
  <c r="K183" i="25" s="1"/>
  <c r="L183" i="25" s="1"/>
  <c r="AC182" i="25"/>
  <c r="U182" i="25"/>
  <c r="S182" i="25"/>
  <c r="P182" i="25"/>
  <c r="M182" i="25"/>
  <c r="H182" i="25"/>
  <c r="K182" i="25" s="1"/>
  <c r="AC181" i="25"/>
  <c r="U181" i="25"/>
  <c r="S181" i="25"/>
  <c r="P181" i="25"/>
  <c r="M181" i="25"/>
  <c r="H181" i="25"/>
  <c r="K181" i="25" s="1"/>
  <c r="L181" i="25" s="1"/>
  <c r="AC180" i="25"/>
  <c r="U180" i="25"/>
  <c r="S180" i="25"/>
  <c r="P180" i="25"/>
  <c r="M180" i="25"/>
  <c r="H180" i="25"/>
  <c r="K180" i="25" s="1"/>
  <c r="AC179" i="25"/>
  <c r="U179" i="25"/>
  <c r="S179" i="25"/>
  <c r="P179" i="25"/>
  <c r="M179" i="25"/>
  <c r="H179" i="25"/>
  <c r="K179" i="25" s="1"/>
  <c r="L179" i="25" s="1"/>
  <c r="AC178" i="25"/>
  <c r="U178" i="25"/>
  <c r="S178" i="25"/>
  <c r="P178" i="25"/>
  <c r="M178" i="25"/>
  <c r="H178" i="25"/>
  <c r="K178" i="25" s="1"/>
  <c r="AC177" i="25"/>
  <c r="U177" i="25"/>
  <c r="S177" i="25"/>
  <c r="P177" i="25"/>
  <c r="M177" i="25"/>
  <c r="H177" i="25"/>
  <c r="K177" i="25" s="1"/>
  <c r="L177" i="25" s="1"/>
  <c r="AC176" i="25"/>
  <c r="U176" i="25"/>
  <c r="S176" i="25"/>
  <c r="P176" i="25"/>
  <c r="M176" i="25"/>
  <c r="H176" i="25"/>
  <c r="K176" i="25" s="1"/>
  <c r="AC175" i="25"/>
  <c r="U175" i="25"/>
  <c r="S175" i="25"/>
  <c r="P175" i="25"/>
  <c r="M175" i="25"/>
  <c r="H175" i="25"/>
  <c r="K175" i="25" s="1"/>
  <c r="L175" i="25" s="1"/>
  <c r="AC174" i="25"/>
  <c r="U174" i="25"/>
  <c r="S174" i="25"/>
  <c r="P174" i="25"/>
  <c r="M174" i="25"/>
  <c r="N174" i="25" s="1"/>
  <c r="H174" i="25"/>
  <c r="K174" i="25" s="1"/>
  <c r="L174" i="25" s="1"/>
  <c r="AC173" i="25"/>
  <c r="U173" i="25"/>
  <c r="S173" i="25"/>
  <c r="P173" i="25"/>
  <c r="M173" i="25"/>
  <c r="H173" i="25"/>
  <c r="K173" i="25" s="1"/>
  <c r="L173" i="25" s="1"/>
  <c r="AC172" i="25"/>
  <c r="U172" i="25"/>
  <c r="S172" i="25"/>
  <c r="P172" i="25"/>
  <c r="M172" i="25"/>
  <c r="H172" i="25"/>
  <c r="K172" i="25" s="1"/>
  <c r="L172" i="25" s="1"/>
  <c r="AC171" i="25"/>
  <c r="U171" i="25"/>
  <c r="S171" i="25"/>
  <c r="P171" i="25"/>
  <c r="M171" i="25"/>
  <c r="H171" i="25"/>
  <c r="K171" i="25" s="1"/>
  <c r="L171" i="25" s="1"/>
  <c r="AC170" i="25"/>
  <c r="U170" i="25"/>
  <c r="S170" i="25"/>
  <c r="P170" i="25"/>
  <c r="M170" i="25"/>
  <c r="H170" i="25"/>
  <c r="K170" i="25" s="1"/>
  <c r="L170" i="25" s="1"/>
  <c r="AC169" i="25"/>
  <c r="U169" i="25"/>
  <c r="S169" i="25"/>
  <c r="P169" i="25"/>
  <c r="M169" i="25"/>
  <c r="H169" i="25"/>
  <c r="K169" i="25" s="1"/>
  <c r="L169" i="25" s="1"/>
  <c r="AC168" i="25"/>
  <c r="U168" i="25"/>
  <c r="S168" i="25"/>
  <c r="P168" i="25"/>
  <c r="M168" i="25"/>
  <c r="H168" i="25"/>
  <c r="K168" i="25" s="1"/>
  <c r="L168" i="25" s="1"/>
  <c r="AC167" i="25"/>
  <c r="U167" i="25"/>
  <c r="S167" i="25"/>
  <c r="P167" i="25"/>
  <c r="M167" i="25"/>
  <c r="H167" i="25"/>
  <c r="K167" i="25" s="1"/>
  <c r="L167" i="25" s="1"/>
  <c r="AC166" i="25"/>
  <c r="U166" i="25"/>
  <c r="S166" i="25"/>
  <c r="P166" i="25"/>
  <c r="M166" i="25"/>
  <c r="H166" i="25"/>
  <c r="K166" i="25" s="1"/>
  <c r="L166" i="25" s="1"/>
  <c r="AC165" i="25"/>
  <c r="U165" i="25"/>
  <c r="S165" i="25"/>
  <c r="P165" i="25"/>
  <c r="M165" i="25"/>
  <c r="H165" i="25"/>
  <c r="K165" i="25" s="1"/>
  <c r="L165" i="25" s="1"/>
  <c r="AC164" i="25"/>
  <c r="U164" i="25"/>
  <c r="S164" i="25"/>
  <c r="P164" i="25"/>
  <c r="M164" i="25"/>
  <c r="H164" i="25"/>
  <c r="K164" i="25" s="1"/>
  <c r="L164" i="25" s="1"/>
  <c r="AC163" i="25"/>
  <c r="U163" i="25"/>
  <c r="S163" i="25"/>
  <c r="P163" i="25"/>
  <c r="M163" i="25"/>
  <c r="L163" i="25"/>
  <c r="AC162" i="25"/>
  <c r="U162" i="25"/>
  <c r="S162" i="25"/>
  <c r="P162" i="25"/>
  <c r="M162" i="25"/>
  <c r="H162" i="25"/>
  <c r="K162" i="25" s="1"/>
  <c r="AC161" i="25"/>
  <c r="U161" i="25"/>
  <c r="S161" i="25"/>
  <c r="P161" i="25"/>
  <c r="M161" i="25"/>
  <c r="H161" i="25"/>
  <c r="K161" i="25" s="1"/>
  <c r="L161" i="25" s="1"/>
  <c r="AC160" i="25"/>
  <c r="U160" i="25"/>
  <c r="S160" i="25"/>
  <c r="P160" i="25"/>
  <c r="M160" i="25"/>
  <c r="H160" i="25"/>
  <c r="K160" i="25" s="1"/>
  <c r="AC159" i="25"/>
  <c r="U159" i="25"/>
  <c r="S159" i="25"/>
  <c r="P159" i="25"/>
  <c r="M159" i="25"/>
  <c r="H159" i="25"/>
  <c r="K159" i="25" s="1"/>
  <c r="L159" i="25" s="1"/>
  <c r="AC158" i="25"/>
  <c r="U158" i="25"/>
  <c r="S158" i="25"/>
  <c r="P158" i="25"/>
  <c r="M158" i="25"/>
  <c r="H158" i="25"/>
  <c r="K158" i="25" s="1"/>
  <c r="AC157" i="25"/>
  <c r="U157" i="25"/>
  <c r="S157" i="25"/>
  <c r="P157" i="25"/>
  <c r="M157" i="25"/>
  <c r="H157" i="25"/>
  <c r="K157" i="25" s="1"/>
  <c r="L157" i="25" s="1"/>
  <c r="AC156" i="25"/>
  <c r="U156" i="25"/>
  <c r="S156" i="25"/>
  <c r="P156" i="25"/>
  <c r="M156" i="25"/>
  <c r="H156" i="25"/>
  <c r="K156" i="25" s="1"/>
  <c r="AC155" i="25"/>
  <c r="U155" i="25"/>
  <c r="S155" i="25"/>
  <c r="P155" i="25"/>
  <c r="M155" i="25"/>
  <c r="H155" i="25"/>
  <c r="K155" i="25" s="1"/>
  <c r="L155" i="25" s="1"/>
  <c r="AC154" i="25"/>
  <c r="U154" i="25"/>
  <c r="S154" i="25"/>
  <c r="P154" i="25"/>
  <c r="M154" i="25"/>
  <c r="H154" i="25"/>
  <c r="K154" i="25" s="1"/>
  <c r="AC153" i="25"/>
  <c r="U153" i="25"/>
  <c r="S153" i="25"/>
  <c r="P153" i="25"/>
  <c r="M153" i="25"/>
  <c r="H153" i="25"/>
  <c r="K153" i="25" s="1"/>
  <c r="L153" i="25" s="1"/>
  <c r="AC152" i="25"/>
  <c r="U152" i="25"/>
  <c r="S152" i="25"/>
  <c r="P152" i="25"/>
  <c r="M152" i="25"/>
  <c r="H152" i="25"/>
  <c r="K152" i="25" s="1"/>
  <c r="AC151" i="25"/>
  <c r="U151" i="25"/>
  <c r="S151" i="25"/>
  <c r="P151" i="25"/>
  <c r="M151" i="25"/>
  <c r="H151" i="25"/>
  <c r="K151" i="25" s="1"/>
  <c r="L151" i="25" s="1"/>
  <c r="AC150" i="25"/>
  <c r="U150" i="25"/>
  <c r="S150" i="25"/>
  <c r="P150" i="25"/>
  <c r="M150" i="25"/>
  <c r="H150" i="25"/>
  <c r="K150" i="25" s="1"/>
  <c r="AC149" i="25"/>
  <c r="U149" i="25"/>
  <c r="S149" i="25"/>
  <c r="P149" i="25"/>
  <c r="M149" i="25"/>
  <c r="H149" i="25"/>
  <c r="K149" i="25" s="1"/>
  <c r="L149" i="25" s="1"/>
  <c r="AC148" i="25"/>
  <c r="U148" i="25"/>
  <c r="S148" i="25"/>
  <c r="P148" i="25"/>
  <c r="M148" i="25"/>
  <c r="H148" i="25"/>
  <c r="K148" i="25" s="1"/>
  <c r="AC147" i="25"/>
  <c r="U147" i="25"/>
  <c r="S147" i="25"/>
  <c r="P147" i="25"/>
  <c r="M147" i="25"/>
  <c r="H147" i="25"/>
  <c r="K147" i="25" s="1"/>
  <c r="L147" i="25" s="1"/>
  <c r="AC146" i="25"/>
  <c r="U146" i="25"/>
  <c r="S146" i="25"/>
  <c r="P146" i="25"/>
  <c r="M146" i="25"/>
  <c r="I146" i="25"/>
  <c r="H146" i="25"/>
  <c r="AC145" i="25"/>
  <c r="U145" i="25"/>
  <c r="S145" i="25"/>
  <c r="P145" i="25"/>
  <c r="M145" i="25"/>
  <c r="H145" i="25"/>
  <c r="K145" i="25" s="1"/>
  <c r="L145" i="25" s="1"/>
  <c r="AC144" i="25"/>
  <c r="U144" i="25"/>
  <c r="S144" i="25"/>
  <c r="P144" i="25"/>
  <c r="M144" i="25"/>
  <c r="H144" i="25"/>
  <c r="K144" i="25" s="1"/>
  <c r="L144" i="25" s="1"/>
  <c r="AC143" i="25"/>
  <c r="U143" i="25"/>
  <c r="S143" i="25"/>
  <c r="P143" i="25"/>
  <c r="M143" i="25"/>
  <c r="H143" i="25"/>
  <c r="K143" i="25" s="1"/>
  <c r="L143" i="25" s="1"/>
  <c r="AC142" i="25"/>
  <c r="U142" i="25"/>
  <c r="S142" i="25"/>
  <c r="P142" i="25"/>
  <c r="M142" i="25"/>
  <c r="H142" i="25"/>
  <c r="K142" i="25" s="1"/>
  <c r="L142" i="25" s="1"/>
  <c r="AC141" i="25"/>
  <c r="U141" i="25"/>
  <c r="S141" i="25"/>
  <c r="P141" i="25"/>
  <c r="M141" i="25"/>
  <c r="H141" i="25"/>
  <c r="K141" i="25" s="1"/>
  <c r="L141" i="25" s="1"/>
  <c r="AC140" i="25"/>
  <c r="U140" i="25"/>
  <c r="S140" i="25"/>
  <c r="P140" i="25"/>
  <c r="M140" i="25"/>
  <c r="K140" i="25"/>
  <c r="L140" i="25" s="1"/>
  <c r="H140" i="25"/>
  <c r="AC139" i="25"/>
  <c r="U139" i="25"/>
  <c r="S139" i="25"/>
  <c r="P139" i="25"/>
  <c r="M139" i="25"/>
  <c r="H139" i="25"/>
  <c r="K139" i="25" s="1"/>
  <c r="L139" i="25" s="1"/>
  <c r="AC138" i="25"/>
  <c r="U138" i="25"/>
  <c r="S138" i="25"/>
  <c r="P138" i="25"/>
  <c r="M138" i="25"/>
  <c r="H138" i="25"/>
  <c r="K138" i="25" s="1"/>
  <c r="L138" i="25" s="1"/>
  <c r="AC137" i="25"/>
  <c r="U137" i="25"/>
  <c r="S137" i="25"/>
  <c r="P137" i="25"/>
  <c r="M137" i="25"/>
  <c r="H137" i="25"/>
  <c r="K137" i="25" s="1"/>
  <c r="L137" i="25" s="1"/>
  <c r="AC136" i="25"/>
  <c r="U136" i="25"/>
  <c r="S136" i="25"/>
  <c r="P136" i="25"/>
  <c r="M136" i="25"/>
  <c r="H136" i="25"/>
  <c r="K136" i="25" s="1"/>
  <c r="L136" i="25" s="1"/>
  <c r="AC135" i="25"/>
  <c r="U135" i="25"/>
  <c r="S135" i="25"/>
  <c r="P135" i="25"/>
  <c r="M135" i="25"/>
  <c r="H135" i="25"/>
  <c r="K135" i="25" s="1"/>
  <c r="AC134" i="25"/>
  <c r="U134" i="25"/>
  <c r="S134" i="25"/>
  <c r="P134" i="25"/>
  <c r="M134" i="25"/>
  <c r="H134" i="25"/>
  <c r="K134" i="25" s="1"/>
  <c r="L134" i="25" s="1"/>
  <c r="AC133" i="25"/>
  <c r="U133" i="25"/>
  <c r="S133" i="25"/>
  <c r="P133" i="25"/>
  <c r="M133" i="25"/>
  <c r="H133" i="25"/>
  <c r="K133" i="25" s="1"/>
  <c r="AC132" i="25"/>
  <c r="U132" i="25"/>
  <c r="S132" i="25"/>
  <c r="P132" i="25"/>
  <c r="M132" i="25"/>
  <c r="H132" i="25"/>
  <c r="K132" i="25" s="1"/>
  <c r="L132" i="25" s="1"/>
  <c r="AC131" i="25"/>
  <c r="U131" i="25"/>
  <c r="S131" i="25"/>
  <c r="P131" i="25"/>
  <c r="M131" i="25"/>
  <c r="H131" i="25"/>
  <c r="K131" i="25" s="1"/>
  <c r="L131" i="25" s="1"/>
  <c r="AC130" i="25"/>
  <c r="U130" i="25"/>
  <c r="S130" i="25"/>
  <c r="P130" i="25"/>
  <c r="M130" i="25"/>
  <c r="H130" i="25"/>
  <c r="K130" i="25" s="1"/>
  <c r="L130" i="25" s="1"/>
  <c r="AC129" i="25"/>
  <c r="U129" i="25"/>
  <c r="S129" i="25"/>
  <c r="P129" i="25"/>
  <c r="M129" i="25"/>
  <c r="H129" i="25"/>
  <c r="K129" i="25" s="1"/>
  <c r="L129" i="25" s="1"/>
  <c r="AC128" i="25"/>
  <c r="U128" i="25"/>
  <c r="S128" i="25"/>
  <c r="P128" i="25"/>
  <c r="M128" i="25"/>
  <c r="H128" i="25"/>
  <c r="K128" i="25" s="1"/>
  <c r="L128" i="25" s="1"/>
  <c r="AC127" i="25"/>
  <c r="U127" i="25"/>
  <c r="S127" i="25"/>
  <c r="P127" i="25"/>
  <c r="M127" i="25"/>
  <c r="H127" i="25"/>
  <c r="K127" i="25" s="1"/>
  <c r="L127" i="25" s="1"/>
  <c r="AC126" i="25"/>
  <c r="U126" i="25"/>
  <c r="S126" i="25"/>
  <c r="P126" i="25"/>
  <c r="M126" i="25"/>
  <c r="H126" i="25"/>
  <c r="K126" i="25" s="1"/>
  <c r="L126" i="25" s="1"/>
  <c r="AC125" i="25"/>
  <c r="U125" i="25"/>
  <c r="S125" i="25"/>
  <c r="P125" i="25"/>
  <c r="M125" i="25"/>
  <c r="H125" i="25"/>
  <c r="K125" i="25" s="1"/>
  <c r="L125" i="25" s="1"/>
  <c r="AC124" i="25"/>
  <c r="U124" i="25"/>
  <c r="S124" i="25"/>
  <c r="P124" i="25"/>
  <c r="M124" i="25"/>
  <c r="H124" i="25"/>
  <c r="K124" i="25" s="1"/>
  <c r="L124" i="25" s="1"/>
  <c r="AC123" i="25"/>
  <c r="U123" i="25"/>
  <c r="S123" i="25"/>
  <c r="P123" i="25"/>
  <c r="M123" i="25"/>
  <c r="H123" i="25"/>
  <c r="K123" i="25" s="1"/>
  <c r="L123" i="25" s="1"/>
  <c r="AC122" i="25"/>
  <c r="U122" i="25"/>
  <c r="S122" i="25"/>
  <c r="P122" i="25"/>
  <c r="M122" i="25"/>
  <c r="H122" i="25"/>
  <c r="K122" i="25" s="1"/>
  <c r="L122" i="25" s="1"/>
  <c r="AC121" i="25"/>
  <c r="U121" i="25"/>
  <c r="S121" i="25"/>
  <c r="P121" i="25"/>
  <c r="M121" i="25"/>
  <c r="H121" i="25"/>
  <c r="K121" i="25" s="1"/>
  <c r="L121" i="25" s="1"/>
  <c r="AC120" i="25"/>
  <c r="U120" i="25"/>
  <c r="S120" i="25"/>
  <c r="P120" i="25"/>
  <c r="M120" i="25"/>
  <c r="V120" i="25" s="1"/>
  <c r="H120" i="25"/>
  <c r="K120" i="25" s="1"/>
  <c r="L120" i="25" s="1"/>
  <c r="AC119" i="25"/>
  <c r="U119" i="25"/>
  <c r="S119" i="25"/>
  <c r="P119" i="25"/>
  <c r="M119" i="25"/>
  <c r="H119" i="25"/>
  <c r="K119" i="25" s="1"/>
  <c r="L119" i="25" s="1"/>
  <c r="AC118" i="25"/>
  <c r="U118" i="25"/>
  <c r="S118" i="25"/>
  <c r="P118" i="25"/>
  <c r="M118" i="25"/>
  <c r="H118" i="25"/>
  <c r="K118" i="25" s="1"/>
  <c r="L118" i="25" s="1"/>
  <c r="AC117" i="25"/>
  <c r="U117" i="25"/>
  <c r="S117" i="25"/>
  <c r="P117" i="25"/>
  <c r="M117" i="25"/>
  <c r="H117" i="25"/>
  <c r="K117" i="25" s="1"/>
  <c r="L117" i="25" s="1"/>
  <c r="AC116" i="25"/>
  <c r="U116" i="25"/>
  <c r="S116" i="25"/>
  <c r="P116" i="25"/>
  <c r="M116" i="25"/>
  <c r="H116" i="25"/>
  <c r="K116" i="25" s="1"/>
  <c r="L116" i="25" s="1"/>
  <c r="AC115" i="25"/>
  <c r="U115" i="25"/>
  <c r="S115" i="25"/>
  <c r="P115" i="25"/>
  <c r="M115" i="25"/>
  <c r="V115" i="25" s="1"/>
  <c r="H115" i="25"/>
  <c r="K115" i="25" s="1"/>
  <c r="L115" i="25" s="1"/>
  <c r="AC114" i="25"/>
  <c r="U114" i="25"/>
  <c r="S114" i="25"/>
  <c r="P114" i="25"/>
  <c r="M114" i="25"/>
  <c r="H114" i="25"/>
  <c r="K114" i="25" s="1"/>
  <c r="L114" i="25" s="1"/>
  <c r="AC113" i="25"/>
  <c r="U113" i="25"/>
  <c r="S113" i="25"/>
  <c r="P113" i="25"/>
  <c r="M113" i="25"/>
  <c r="H113" i="25"/>
  <c r="K113" i="25" s="1"/>
  <c r="L113" i="25" s="1"/>
  <c r="AC112" i="25"/>
  <c r="U112" i="25"/>
  <c r="S112" i="25"/>
  <c r="P112" i="25"/>
  <c r="M112" i="25"/>
  <c r="H112" i="25"/>
  <c r="K112" i="25" s="1"/>
  <c r="L112" i="25" s="1"/>
  <c r="AC111" i="25"/>
  <c r="U111" i="25"/>
  <c r="S111" i="25"/>
  <c r="P111" i="25"/>
  <c r="M111" i="25"/>
  <c r="H111" i="25"/>
  <c r="K111" i="25" s="1"/>
  <c r="L111" i="25" s="1"/>
  <c r="AC110" i="25"/>
  <c r="U110" i="25"/>
  <c r="S110" i="25"/>
  <c r="P110" i="25"/>
  <c r="M110" i="25"/>
  <c r="H110" i="25"/>
  <c r="K110" i="25" s="1"/>
  <c r="L110" i="25" s="1"/>
  <c r="AC109" i="25"/>
  <c r="U109" i="25"/>
  <c r="S109" i="25"/>
  <c r="P109" i="25"/>
  <c r="M109" i="25"/>
  <c r="H109" i="25"/>
  <c r="K109" i="25" s="1"/>
  <c r="L109" i="25" s="1"/>
  <c r="AC108" i="25"/>
  <c r="U108" i="25"/>
  <c r="S108" i="25"/>
  <c r="P108" i="25"/>
  <c r="M108" i="25"/>
  <c r="H108" i="25"/>
  <c r="K108" i="25" s="1"/>
  <c r="L108" i="25" s="1"/>
  <c r="AC107" i="25"/>
  <c r="U107" i="25"/>
  <c r="S107" i="25"/>
  <c r="P107" i="25"/>
  <c r="M107" i="25"/>
  <c r="H107" i="25"/>
  <c r="K107" i="25" s="1"/>
  <c r="L107" i="25" s="1"/>
  <c r="AC106" i="25"/>
  <c r="U106" i="25"/>
  <c r="S106" i="25"/>
  <c r="P106" i="25"/>
  <c r="M106" i="25"/>
  <c r="H106" i="25"/>
  <c r="K106" i="25" s="1"/>
  <c r="L106" i="25" s="1"/>
  <c r="AC105" i="25"/>
  <c r="U105" i="25"/>
  <c r="S105" i="25"/>
  <c r="P105" i="25"/>
  <c r="M105" i="25"/>
  <c r="H105" i="25"/>
  <c r="K105" i="25" s="1"/>
  <c r="L105" i="25" s="1"/>
  <c r="AC104" i="25"/>
  <c r="U104" i="25"/>
  <c r="S104" i="25"/>
  <c r="P104" i="25"/>
  <c r="M104" i="25"/>
  <c r="H104" i="25"/>
  <c r="K104" i="25" s="1"/>
  <c r="L104" i="25" s="1"/>
  <c r="AC103" i="25"/>
  <c r="U103" i="25"/>
  <c r="S103" i="25"/>
  <c r="P103" i="25"/>
  <c r="M103" i="25"/>
  <c r="H103" i="25"/>
  <c r="K103" i="25" s="1"/>
  <c r="L103" i="25" s="1"/>
  <c r="AC287" i="25"/>
  <c r="U287" i="25"/>
  <c r="S287" i="25"/>
  <c r="P287" i="25"/>
  <c r="M287" i="25"/>
  <c r="H287" i="25"/>
  <c r="K287" i="25" s="1"/>
  <c r="L287" i="25" s="1"/>
  <c r="AC286" i="25"/>
  <c r="U286" i="25"/>
  <c r="S286" i="25"/>
  <c r="P286" i="25"/>
  <c r="M286" i="25"/>
  <c r="H286" i="25"/>
  <c r="K286" i="25" s="1"/>
  <c r="L286" i="25" s="1"/>
  <c r="AC285" i="25"/>
  <c r="U285" i="25"/>
  <c r="S285" i="25"/>
  <c r="P285" i="25"/>
  <c r="M285" i="25"/>
  <c r="H285" i="25"/>
  <c r="K285" i="25" s="1"/>
  <c r="L285" i="25" s="1"/>
  <c r="AC102" i="25"/>
  <c r="U102" i="25"/>
  <c r="S102" i="25"/>
  <c r="P102" i="25"/>
  <c r="M102" i="25"/>
  <c r="H102" i="25"/>
  <c r="K102" i="25" s="1"/>
  <c r="L102" i="25" s="1"/>
  <c r="V102" i="25" s="1"/>
  <c r="AC101" i="25"/>
  <c r="U101" i="25"/>
  <c r="S101" i="25"/>
  <c r="P101" i="25"/>
  <c r="M101" i="25"/>
  <c r="H101" i="25"/>
  <c r="K101" i="25" s="1"/>
  <c r="L101" i="25" s="1"/>
  <c r="AC100" i="25"/>
  <c r="U100" i="25"/>
  <c r="S100" i="25"/>
  <c r="P100" i="25"/>
  <c r="M100" i="25"/>
  <c r="H100" i="25"/>
  <c r="K100" i="25" s="1"/>
  <c r="L100" i="25" s="1"/>
  <c r="AC99" i="25"/>
  <c r="U99" i="25"/>
  <c r="S99" i="25"/>
  <c r="P99" i="25"/>
  <c r="M99" i="25"/>
  <c r="H99" i="25"/>
  <c r="K99" i="25" s="1"/>
  <c r="L99" i="25" s="1"/>
  <c r="AC98" i="25"/>
  <c r="U98" i="25"/>
  <c r="S98" i="25"/>
  <c r="P98" i="25"/>
  <c r="M98" i="25"/>
  <c r="H98" i="25"/>
  <c r="K98" i="25" s="1"/>
  <c r="L98" i="25" s="1"/>
  <c r="AC97" i="25"/>
  <c r="U97" i="25"/>
  <c r="S97" i="25"/>
  <c r="P97" i="25"/>
  <c r="M97" i="25"/>
  <c r="H97" i="25"/>
  <c r="K97" i="25" s="1"/>
  <c r="L97" i="25" s="1"/>
  <c r="AC96" i="25"/>
  <c r="U96" i="25"/>
  <c r="S96" i="25"/>
  <c r="P96" i="25"/>
  <c r="M96" i="25"/>
  <c r="H96" i="25"/>
  <c r="K96" i="25" s="1"/>
  <c r="L96" i="25" s="1"/>
  <c r="AC95" i="25"/>
  <c r="U95" i="25"/>
  <c r="S95" i="25"/>
  <c r="P95" i="25"/>
  <c r="M95" i="25"/>
  <c r="H95" i="25"/>
  <c r="K95" i="25" s="1"/>
  <c r="L95" i="25" s="1"/>
  <c r="AC94" i="25"/>
  <c r="U94" i="25"/>
  <c r="S94" i="25"/>
  <c r="P94" i="25"/>
  <c r="M94" i="25"/>
  <c r="H94" i="25"/>
  <c r="K94" i="25" s="1"/>
  <c r="L94" i="25" s="1"/>
  <c r="AC93" i="25"/>
  <c r="U93" i="25"/>
  <c r="S93" i="25"/>
  <c r="P93" i="25"/>
  <c r="M93" i="25"/>
  <c r="H93" i="25"/>
  <c r="K93" i="25" s="1"/>
  <c r="L93" i="25" s="1"/>
  <c r="AC92" i="25"/>
  <c r="U92" i="25"/>
  <c r="S92" i="25"/>
  <c r="P92" i="25"/>
  <c r="M92" i="25"/>
  <c r="K92" i="25"/>
  <c r="L92" i="25" s="1"/>
  <c r="H92" i="25"/>
  <c r="AC91" i="25"/>
  <c r="U91" i="25"/>
  <c r="S91" i="25"/>
  <c r="P91" i="25"/>
  <c r="M91" i="25"/>
  <c r="H91" i="25"/>
  <c r="K91" i="25" s="1"/>
  <c r="L91" i="25" s="1"/>
  <c r="AC90" i="25"/>
  <c r="U90" i="25"/>
  <c r="S90" i="25"/>
  <c r="P90" i="25"/>
  <c r="M90" i="25"/>
  <c r="H90" i="25"/>
  <c r="K90" i="25" s="1"/>
  <c r="L90" i="25" s="1"/>
  <c r="AC89" i="25"/>
  <c r="U89" i="25"/>
  <c r="S89" i="25"/>
  <c r="P89" i="25"/>
  <c r="M89" i="25"/>
  <c r="H89" i="25"/>
  <c r="K89" i="25" s="1"/>
  <c r="L89" i="25" s="1"/>
  <c r="AC88" i="25"/>
  <c r="U88" i="25"/>
  <c r="S88" i="25"/>
  <c r="P88" i="25"/>
  <c r="M88" i="25"/>
  <c r="H88" i="25"/>
  <c r="K88" i="25" s="1"/>
  <c r="L88" i="25" s="1"/>
  <c r="AC87" i="25"/>
  <c r="U87" i="25"/>
  <c r="S87" i="25"/>
  <c r="P87" i="25"/>
  <c r="M87" i="25"/>
  <c r="H87" i="25"/>
  <c r="K87" i="25" s="1"/>
  <c r="L87" i="25" s="1"/>
  <c r="AC86" i="25"/>
  <c r="U86" i="25"/>
  <c r="S86" i="25"/>
  <c r="P86" i="25"/>
  <c r="M86" i="25"/>
  <c r="H86" i="25"/>
  <c r="K86" i="25" s="1"/>
  <c r="L86" i="25" s="1"/>
  <c r="AC85" i="25"/>
  <c r="U85" i="25"/>
  <c r="S85" i="25"/>
  <c r="P85" i="25"/>
  <c r="M85" i="25"/>
  <c r="H85" i="25"/>
  <c r="K85" i="25" s="1"/>
  <c r="L85" i="25" s="1"/>
  <c r="AC84" i="25"/>
  <c r="U84" i="25"/>
  <c r="S84" i="25"/>
  <c r="P84" i="25"/>
  <c r="M84" i="25"/>
  <c r="H84" i="25"/>
  <c r="K84" i="25" s="1"/>
  <c r="L84" i="25" s="1"/>
  <c r="AC83" i="25"/>
  <c r="U83" i="25"/>
  <c r="S83" i="25"/>
  <c r="P83" i="25"/>
  <c r="M83" i="25"/>
  <c r="H83" i="25"/>
  <c r="K83" i="25" s="1"/>
  <c r="L83" i="25" s="1"/>
  <c r="AC82" i="25"/>
  <c r="U82" i="25"/>
  <c r="S82" i="25"/>
  <c r="P82" i="25"/>
  <c r="M82" i="25"/>
  <c r="H82" i="25"/>
  <c r="K82" i="25" s="1"/>
  <c r="L82" i="25" s="1"/>
  <c r="AC81" i="25"/>
  <c r="U81" i="25"/>
  <c r="S81" i="25"/>
  <c r="P81" i="25"/>
  <c r="M81" i="25"/>
  <c r="H81" i="25"/>
  <c r="K81" i="25" s="1"/>
  <c r="L81" i="25" s="1"/>
  <c r="AC80" i="25"/>
  <c r="U80" i="25"/>
  <c r="S80" i="25"/>
  <c r="P80" i="25"/>
  <c r="M80" i="25"/>
  <c r="H80" i="25"/>
  <c r="K80" i="25" s="1"/>
  <c r="L80" i="25" s="1"/>
  <c r="AC79" i="25"/>
  <c r="U79" i="25"/>
  <c r="S79" i="25"/>
  <c r="P79" i="25"/>
  <c r="M79" i="25"/>
  <c r="H79" i="25"/>
  <c r="K79" i="25" s="1"/>
  <c r="L79" i="25" s="1"/>
  <c r="AC78" i="25"/>
  <c r="U78" i="25"/>
  <c r="S78" i="25"/>
  <c r="P78" i="25"/>
  <c r="M78" i="25"/>
  <c r="H78" i="25"/>
  <c r="K78" i="25" s="1"/>
  <c r="L78" i="25" s="1"/>
  <c r="AC77" i="25"/>
  <c r="U77" i="25"/>
  <c r="S77" i="25"/>
  <c r="P77" i="25"/>
  <c r="M77" i="25"/>
  <c r="H77" i="25"/>
  <c r="K77" i="25" s="1"/>
  <c r="L77" i="25" s="1"/>
  <c r="AC76" i="25"/>
  <c r="U76" i="25"/>
  <c r="S76" i="25"/>
  <c r="P76" i="25"/>
  <c r="M76" i="25"/>
  <c r="H76" i="25"/>
  <c r="K76" i="25" s="1"/>
  <c r="L76" i="25" s="1"/>
  <c r="AC75" i="25"/>
  <c r="U75" i="25"/>
  <c r="S75" i="25"/>
  <c r="P75" i="25"/>
  <c r="M75" i="25"/>
  <c r="H75" i="25"/>
  <c r="K75" i="25" s="1"/>
  <c r="L75" i="25" s="1"/>
  <c r="AC74" i="25"/>
  <c r="U74" i="25"/>
  <c r="S74" i="25"/>
  <c r="P74" i="25"/>
  <c r="M74" i="25"/>
  <c r="H74" i="25"/>
  <c r="K74" i="25" s="1"/>
  <c r="L74" i="25" s="1"/>
  <c r="AC73" i="25"/>
  <c r="U73" i="25"/>
  <c r="S73" i="25"/>
  <c r="P73" i="25"/>
  <c r="M73" i="25"/>
  <c r="H73" i="25"/>
  <c r="K73" i="25" s="1"/>
  <c r="L73" i="25" s="1"/>
  <c r="AC72" i="25"/>
  <c r="U72" i="25"/>
  <c r="S72" i="25"/>
  <c r="P72" i="25"/>
  <c r="M72" i="25"/>
  <c r="H72" i="25"/>
  <c r="K72" i="25" s="1"/>
  <c r="L72" i="25" s="1"/>
  <c r="AC71" i="25"/>
  <c r="U71" i="25"/>
  <c r="S71" i="25"/>
  <c r="P71" i="25"/>
  <c r="M71" i="25"/>
  <c r="H71" i="25"/>
  <c r="K71" i="25" s="1"/>
  <c r="L71" i="25" s="1"/>
  <c r="AC70" i="25"/>
  <c r="U70" i="25"/>
  <c r="S70" i="25"/>
  <c r="P70" i="25"/>
  <c r="M70" i="25"/>
  <c r="H70" i="25"/>
  <c r="K70" i="25" s="1"/>
  <c r="L70" i="25" s="1"/>
  <c r="AC69" i="25"/>
  <c r="U69" i="25"/>
  <c r="S69" i="25"/>
  <c r="P69" i="25"/>
  <c r="M69" i="25"/>
  <c r="H69" i="25"/>
  <c r="K69" i="25" s="1"/>
  <c r="L69" i="25" s="1"/>
  <c r="AC68" i="25"/>
  <c r="U68" i="25"/>
  <c r="S68" i="25"/>
  <c r="P68" i="25"/>
  <c r="M68" i="25"/>
  <c r="H68" i="25"/>
  <c r="K68" i="25" s="1"/>
  <c r="L68" i="25" s="1"/>
  <c r="AC67" i="25"/>
  <c r="U67" i="25"/>
  <c r="P67" i="25"/>
  <c r="M67" i="25"/>
  <c r="H67" i="25"/>
  <c r="K67" i="25" s="1"/>
  <c r="L67" i="25" s="1"/>
  <c r="AC66" i="25"/>
  <c r="U66" i="25"/>
  <c r="S66" i="25"/>
  <c r="P66" i="25"/>
  <c r="M66" i="25"/>
  <c r="H66" i="25"/>
  <c r="K66" i="25" s="1"/>
  <c r="AC65" i="25"/>
  <c r="U65" i="25"/>
  <c r="S65" i="25"/>
  <c r="P65" i="25"/>
  <c r="M65" i="25"/>
  <c r="H65" i="25"/>
  <c r="K65" i="25" s="1"/>
  <c r="L65" i="25" s="1"/>
  <c r="AC64" i="25"/>
  <c r="U64" i="25"/>
  <c r="S64" i="25"/>
  <c r="P64" i="25"/>
  <c r="M64" i="25"/>
  <c r="H64" i="25"/>
  <c r="K64" i="25" s="1"/>
  <c r="AC63" i="25"/>
  <c r="U63" i="25"/>
  <c r="S63" i="25"/>
  <c r="P63" i="25"/>
  <c r="M63" i="25"/>
  <c r="H63" i="25"/>
  <c r="K63" i="25" s="1"/>
  <c r="L63" i="25" s="1"/>
  <c r="AC62" i="25"/>
  <c r="U62" i="25"/>
  <c r="S62" i="25"/>
  <c r="P62" i="25"/>
  <c r="M62" i="25"/>
  <c r="H62" i="25"/>
  <c r="K62" i="25" s="1"/>
  <c r="AC61" i="25"/>
  <c r="U61" i="25"/>
  <c r="S61" i="25"/>
  <c r="P61" i="25"/>
  <c r="M61" i="25"/>
  <c r="H61" i="25"/>
  <c r="K61" i="25" s="1"/>
  <c r="L61" i="25" s="1"/>
  <c r="AC60" i="25"/>
  <c r="U60" i="25"/>
  <c r="S60" i="25"/>
  <c r="P60" i="25"/>
  <c r="M60" i="25"/>
  <c r="H60" i="25"/>
  <c r="K60" i="25" s="1"/>
  <c r="AC59" i="25"/>
  <c r="U59" i="25"/>
  <c r="S59" i="25"/>
  <c r="P59" i="25"/>
  <c r="M59" i="25"/>
  <c r="H59" i="25"/>
  <c r="K59" i="25" s="1"/>
  <c r="L59" i="25" s="1"/>
  <c r="U58" i="25"/>
  <c r="S58" i="25"/>
  <c r="P58" i="25"/>
  <c r="M58" i="25"/>
  <c r="H58" i="25"/>
  <c r="K58" i="25" s="1"/>
  <c r="L58" i="25" s="1"/>
  <c r="AC57" i="25"/>
  <c r="U57" i="25"/>
  <c r="S57" i="25"/>
  <c r="P57" i="25"/>
  <c r="M57" i="25"/>
  <c r="H57" i="25"/>
  <c r="K57" i="25" s="1"/>
  <c r="L57" i="25" s="1"/>
  <c r="AC56" i="25"/>
  <c r="U56" i="25"/>
  <c r="S56" i="25"/>
  <c r="P56" i="25"/>
  <c r="M56" i="25"/>
  <c r="H56" i="25"/>
  <c r="K56" i="25" s="1"/>
  <c r="L56" i="25" s="1"/>
  <c r="AC55" i="25"/>
  <c r="U55" i="25"/>
  <c r="S55" i="25"/>
  <c r="P55" i="25"/>
  <c r="M55" i="25"/>
  <c r="H55" i="25"/>
  <c r="K55" i="25" s="1"/>
  <c r="L55" i="25" s="1"/>
  <c r="AC54" i="25"/>
  <c r="U54" i="25"/>
  <c r="S54" i="25"/>
  <c r="P54" i="25"/>
  <c r="M54" i="25"/>
  <c r="H54" i="25"/>
  <c r="K54" i="25" s="1"/>
  <c r="L54" i="25" s="1"/>
  <c r="AC53" i="25"/>
  <c r="U53" i="25"/>
  <c r="S53" i="25"/>
  <c r="P53" i="25"/>
  <c r="M53" i="25"/>
  <c r="H53" i="25"/>
  <c r="K53" i="25" s="1"/>
  <c r="L53" i="25" s="1"/>
  <c r="AC52" i="25"/>
  <c r="U52" i="25"/>
  <c r="S52" i="25"/>
  <c r="P52" i="25"/>
  <c r="M52" i="25"/>
  <c r="H52" i="25"/>
  <c r="K52" i="25" s="1"/>
  <c r="L52" i="25" s="1"/>
  <c r="AC51" i="25"/>
  <c r="U51" i="25"/>
  <c r="S51" i="25"/>
  <c r="P51" i="25"/>
  <c r="M51" i="25"/>
  <c r="H51" i="25"/>
  <c r="K51" i="25" s="1"/>
  <c r="AC50" i="25"/>
  <c r="U50" i="25"/>
  <c r="S50" i="25"/>
  <c r="P50" i="25"/>
  <c r="M50" i="25"/>
  <c r="H50" i="25"/>
  <c r="K50" i="25" s="1"/>
  <c r="L50" i="25" s="1"/>
  <c r="AC49" i="25"/>
  <c r="U49" i="25"/>
  <c r="S49" i="25"/>
  <c r="P49" i="25"/>
  <c r="M49" i="25"/>
  <c r="H49" i="25"/>
  <c r="K49" i="25" s="1"/>
  <c r="L49" i="25" s="1"/>
  <c r="AC48" i="25"/>
  <c r="U48" i="25"/>
  <c r="S48" i="25"/>
  <c r="P48" i="25"/>
  <c r="M48" i="25"/>
  <c r="H48" i="25"/>
  <c r="K48" i="25" s="1"/>
  <c r="L48" i="25" s="1"/>
  <c r="AC47" i="25"/>
  <c r="U47" i="25"/>
  <c r="S47" i="25"/>
  <c r="P47" i="25"/>
  <c r="M47" i="25"/>
  <c r="H47" i="25"/>
  <c r="K47" i="25" s="1"/>
  <c r="AC46" i="25"/>
  <c r="U46" i="25"/>
  <c r="S46" i="25"/>
  <c r="P46" i="25"/>
  <c r="M46" i="25"/>
  <c r="H46" i="25"/>
  <c r="K46" i="25" s="1"/>
  <c r="L46" i="25" s="1"/>
  <c r="AC45" i="25"/>
  <c r="U45" i="25"/>
  <c r="S45" i="25"/>
  <c r="P45" i="25"/>
  <c r="M45" i="25"/>
  <c r="H45" i="25"/>
  <c r="K45" i="25" s="1"/>
  <c r="L45" i="25" s="1"/>
  <c r="AC44" i="25"/>
  <c r="U44" i="25"/>
  <c r="S44" i="25"/>
  <c r="P44" i="25"/>
  <c r="M44" i="25"/>
  <c r="F44" i="25"/>
  <c r="F363" i="25" s="1"/>
  <c r="AC43" i="25"/>
  <c r="U43" i="25"/>
  <c r="S43" i="25"/>
  <c r="P43" i="25"/>
  <c r="M43" i="25"/>
  <c r="H43" i="25"/>
  <c r="K43" i="25" s="1"/>
  <c r="L43" i="25" s="1"/>
  <c r="AC42" i="25"/>
  <c r="U42" i="25"/>
  <c r="S42" i="25"/>
  <c r="P42" i="25"/>
  <c r="M42" i="25"/>
  <c r="H42" i="25"/>
  <c r="K42" i="25" s="1"/>
  <c r="AC41" i="25"/>
  <c r="U41" i="25"/>
  <c r="S41" i="25"/>
  <c r="P41" i="25"/>
  <c r="M41" i="25"/>
  <c r="H41" i="25"/>
  <c r="K41" i="25" s="1"/>
  <c r="L41" i="25" s="1"/>
  <c r="AC40" i="25"/>
  <c r="U40" i="25"/>
  <c r="S40" i="25"/>
  <c r="P40" i="25"/>
  <c r="M40" i="25"/>
  <c r="H40" i="25"/>
  <c r="K40" i="25" s="1"/>
  <c r="AC39" i="25"/>
  <c r="U39" i="25"/>
  <c r="S39" i="25"/>
  <c r="P39" i="25"/>
  <c r="M39" i="25"/>
  <c r="H39" i="25"/>
  <c r="K39" i="25" s="1"/>
  <c r="L39" i="25" s="1"/>
  <c r="AC38" i="25"/>
  <c r="U38" i="25"/>
  <c r="S38" i="25"/>
  <c r="P38" i="25"/>
  <c r="M38" i="25"/>
  <c r="H38" i="25"/>
  <c r="K38" i="25" s="1"/>
  <c r="AC37" i="25"/>
  <c r="U37" i="25"/>
  <c r="S37" i="25"/>
  <c r="P37" i="25"/>
  <c r="M37" i="25"/>
  <c r="H37" i="25"/>
  <c r="K37" i="25" s="1"/>
  <c r="L37" i="25" s="1"/>
  <c r="AE36" i="25"/>
  <c r="AC36" i="25"/>
  <c r="U36" i="25"/>
  <c r="S36" i="25"/>
  <c r="P36" i="25"/>
  <c r="M36" i="25"/>
  <c r="H36" i="25"/>
  <c r="K36" i="25" s="1"/>
  <c r="L36" i="25" s="1"/>
  <c r="AC35" i="25"/>
  <c r="U35" i="25"/>
  <c r="S35" i="25"/>
  <c r="P35" i="25"/>
  <c r="M35" i="25"/>
  <c r="H35" i="25"/>
  <c r="K35" i="25" s="1"/>
  <c r="L35" i="25" s="1"/>
  <c r="AC34" i="25"/>
  <c r="U34" i="25"/>
  <c r="S34" i="25"/>
  <c r="P34" i="25"/>
  <c r="M34" i="25"/>
  <c r="H34" i="25"/>
  <c r="K34" i="25" s="1"/>
  <c r="L34" i="25" s="1"/>
  <c r="AC33" i="25"/>
  <c r="U33" i="25"/>
  <c r="S33" i="25"/>
  <c r="P33" i="25"/>
  <c r="M33" i="25"/>
  <c r="H33" i="25"/>
  <c r="K33" i="25" s="1"/>
  <c r="L33" i="25" s="1"/>
  <c r="AC32" i="25"/>
  <c r="U32" i="25"/>
  <c r="S32" i="25"/>
  <c r="P32" i="25"/>
  <c r="M32" i="25"/>
  <c r="H32" i="25"/>
  <c r="K32" i="25" s="1"/>
  <c r="AC31" i="25"/>
  <c r="U31" i="25"/>
  <c r="S31" i="25"/>
  <c r="P31" i="25"/>
  <c r="M31" i="25"/>
  <c r="H31" i="25"/>
  <c r="K31" i="25" s="1"/>
  <c r="L31" i="25" s="1"/>
  <c r="AC30" i="25"/>
  <c r="U30" i="25"/>
  <c r="S30" i="25"/>
  <c r="P30" i="25"/>
  <c r="M30" i="25"/>
  <c r="H30" i="25"/>
  <c r="K30" i="25" s="1"/>
  <c r="L30" i="25" s="1"/>
  <c r="A30" i="25"/>
  <c r="V67" i="25" l="1"/>
  <c r="V267" i="25"/>
  <c r="V269" i="25"/>
  <c r="V271" i="25"/>
  <c r="V273" i="25"/>
  <c r="V275" i="25"/>
  <c r="V277" i="25"/>
  <c r="AB30" i="25"/>
  <c r="J224" i="28"/>
  <c r="E220" i="33" s="1"/>
  <c r="AA317" i="27"/>
  <c r="A318" i="27"/>
  <c r="V229" i="25"/>
  <c r="N137" i="25"/>
  <c r="M301" i="25"/>
  <c r="Q301" i="25" s="1"/>
  <c r="M305" i="25"/>
  <c r="Q305" i="25" s="1"/>
  <c r="M314" i="25"/>
  <c r="Q314" i="25" s="1"/>
  <c r="M322" i="25"/>
  <c r="P322" i="25" s="1"/>
  <c r="M333" i="25"/>
  <c r="P333" i="25" s="1"/>
  <c r="M337" i="25"/>
  <c r="P337" i="25" s="1"/>
  <c r="M343" i="25"/>
  <c r="Q343" i="25" s="1"/>
  <c r="M347" i="25"/>
  <c r="K351" i="25"/>
  <c r="N90" i="25"/>
  <c r="Q90" i="25" s="1"/>
  <c r="V37" i="25"/>
  <c r="V39" i="25"/>
  <c r="V41" i="25"/>
  <c r="V43" i="25"/>
  <c r="V46" i="25"/>
  <c r="V68" i="25"/>
  <c r="V70" i="25"/>
  <c r="V72" i="25"/>
  <c r="V74" i="25"/>
  <c r="N102" i="25"/>
  <c r="Q102" i="25" s="1"/>
  <c r="N285" i="25"/>
  <c r="Q285" i="25" s="1"/>
  <c r="N103" i="25"/>
  <c r="Q103" i="25" s="1"/>
  <c r="V123" i="25"/>
  <c r="V126" i="25"/>
  <c r="V127" i="25"/>
  <c r="V129" i="25"/>
  <c r="V296" i="25"/>
  <c r="V220" i="25"/>
  <c r="M307" i="25"/>
  <c r="P307" i="25" s="1"/>
  <c r="N86" i="25"/>
  <c r="Q86" i="25" s="1"/>
  <c r="V116" i="25"/>
  <c r="V119" i="25"/>
  <c r="V122" i="25"/>
  <c r="V31" i="25"/>
  <c r="V54" i="25"/>
  <c r="V80" i="25"/>
  <c r="V245" i="25"/>
  <c r="V193" i="25"/>
  <c r="V195" i="25"/>
  <c r="V197" i="25"/>
  <c r="K230" i="25"/>
  <c r="L230" i="25" s="1"/>
  <c r="N230" i="25" s="1"/>
  <c r="Q230" i="25" s="1"/>
  <c r="M302" i="25"/>
  <c r="P302" i="25" s="1"/>
  <c r="M306" i="25"/>
  <c r="P306" i="25" s="1"/>
  <c r="M311" i="25"/>
  <c r="Q311" i="25" s="1"/>
  <c r="M315" i="25"/>
  <c r="Q315" i="25" s="1"/>
  <c r="M319" i="25"/>
  <c r="P319" i="25" s="1"/>
  <c r="M323" i="25"/>
  <c r="P323" i="25" s="1"/>
  <c r="M327" i="25"/>
  <c r="Q327" i="25" s="1"/>
  <c r="M331" i="25"/>
  <c r="P331" i="25" s="1"/>
  <c r="M338" i="25"/>
  <c r="P338" i="25" s="1"/>
  <c r="M344" i="25"/>
  <c r="P344" i="25" s="1"/>
  <c r="M348" i="25"/>
  <c r="P348" i="25" s="1"/>
  <c r="N36" i="25"/>
  <c r="Q36" i="25" s="1"/>
  <c r="V82" i="25"/>
  <c r="V50" i="25"/>
  <c r="V58" i="25"/>
  <c r="N98" i="25"/>
  <c r="Q98" i="25" s="1"/>
  <c r="N112" i="25"/>
  <c r="Q112" i="25" s="1"/>
  <c r="N141" i="25"/>
  <c r="Q141" i="25" s="1"/>
  <c r="N151" i="25"/>
  <c r="Q151" i="25" s="1"/>
  <c r="N153" i="25"/>
  <c r="Q153" i="25" s="1"/>
  <c r="N173" i="25"/>
  <c r="Q173" i="25" s="1"/>
  <c r="V175" i="25"/>
  <c r="V177" i="25"/>
  <c r="V179" i="25"/>
  <c r="V181" i="25"/>
  <c r="V183" i="25"/>
  <c r="K205" i="25"/>
  <c r="L205" i="25" s="1"/>
  <c r="N236" i="25"/>
  <c r="Q236" i="25" s="1"/>
  <c r="V241" i="25"/>
  <c r="V249" i="25"/>
  <c r="M312" i="25"/>
  <c r="Q312" i="25" s="1"/>
  <c r="M316" i="25"/>
  <c r="P316" i="25" s="1"/>
  <c r="M320" i="25"/>
  <c r="P320" i="25" s="1"/>
  <c r="M324" i="25"/>
  <c r="P324" i="25" s="1"/>
  <c r="M332" i="25"/>
  <c r="P332" i="25" s="1"/>
  <c r="M335" i="25"/>
  <c r="Q335" i="25" s="1"/>
  <c r="M339" i="25"/>
  <c r="P339" i="25" s="1"/>
  <c r="V76" i="25"/>
  <c r="N85" i="25"/>
  <c r="N89" i="25"/>
  <c r="Q89" i="25" s="1"/>
  <c r="V34" i="25"/>
  <c r="V78" i="25"/>
  <c r="V124" i="25"/>
  <c r="I363" i="25"/>
  <c r="V216" i="25"/>
  <c r="M342" i="25"/>
  <c r="P342" i="25" s="1"/>
  <c r="M346" i="25"/>
  <c r="P346" i="25" s="1"/>
  <c r="M350" i="25"/>
  <c r="P350" i="25" s="1"/>
  <c r="M353" i="25"/>
  <c r="Q353" i="25" s="1"/>
  <c r="M358" i="25"/>
  <c r="Q358" i="25" s="1"/>
  <c r="M351" i="25"/>
  <c r="Q351" i="25" s="1"/>
  <c r="N87" i="25"/>
  <c r="Q87" i="25" s="1"/>
  <c r="N94" i="25"/>
  <c r="Q94" i="25" s="1"/>
  <c r="N97" i="25"/>
  <c r="Q97" i="25" s="1"/>
  <c r="N108" i="25"/>
  <c r="N111" i="25"/>
  <c r="Q111" i="25" s="1"/>
  <c r="N136" i="25"/>
  <c r="Q136" i="25" s="1"/>
  <c r="N201" i="25"/>
  <c r="Q201" i="25" s="1"/>
  <c r="N227" i="25"/>
  <c r="N93" i="25"/>
  <c r="Q93" i="25" s="1"/>
  <c r="N104" i="25"/>
  <c r="Q104" i="25" s="1"/>
  <c r="N107" i="25"/>
  <c r="Q107" i="25" s="1"/>
  <c r="N232" i="25"/>
  <c r="A31" i="25"/>
  <c r="AB31" i="25" s="1"/>
  <c r="N164" i="25"/>
  <c r="Q164" i="25" s="1"/>
  <c r="N169" i="25"/>
  <c r="Q169" i="25" s="1"/>
  <c r="N186" i="25"/>
  <c r="Q186" i="25" s="1"/>
  <c r="M321" i="25"/>
  <c r="P321" i="25" s="1"/>
  <c r="M340" i="25"/>
  <c r="Q340" i="25" s="1"/>
  <c r="V32" i="25"/>
  <c r="V47" i="25"/>
  <c r="M345" i="25"/>
  <c r="P345" i="25" s="1"/>
  <c r="Q359" i="25"/>
  <c r="Q361" i="25"/>
  <c r="Q227" i="25"/>
  <c r="N255" i="25"/>
  <c r="Q255" i="25" s="1"/>
  <c r="V260" i="25"/>
  <c r="N59" i="25"/>
  <c r="Q59" i="25" s="1"/>
  <c r="N61" i="25"/>
  <c r="Q61" i="25" s="1"/>
  <c r="N63" i="25"/>
  <c r="Q63" i="25" s="1"/>
  <c r="N65" i="25"/>
  <c r="Q65" i="25" s="1"/>
  <c r="N67" i="25"/>
  <c r="Q67" i="25" s="1"/>
  <c r="N77" i="25"/>
  <c r="Q77" i="25" s="1"/>
  <c r="N83" i="25"/>
  <c r="Q83" i="25" s="1"/>
  <c r="N101" i="25"/>
  <c r="Q101" i="25" s="1"/>
  <c r="M330" i="25"/>
  <c r="Q330" i="25" s="1"/>
  <c r="M336" i="25"/>
  <c r="P336" i="25" s="1"/>
  <c r="M349" i="25"/>
  <c r="P349" i="25" s="1"/>
  <c r="M356" i="25"/>
  <c r="P356" i="25" s="1"/>
  <c r="Q354" i="25"/>
  <c r="V51" i="25"/>
  <c r="Q174" i="25"/>
  <c r="N257" i="25"/>
  <c r="Q257" i="25" s="1"/>
  <c r="M303" i="25"/>
  <c r="P303" i="25" s="1"/>
  <c r="Q308" i="25"/>
  <c r="Q355" i="25"/>
  <c r="N79" i="25"/>
  <c r="Q79" i="25" s="1"/>
  <c r="V152" i="25"/>
  <c r="V198" i="25"/>
  <c r="N223" i="25"/>
  <c r="Q223" i="25" s="1"/>
  <c r="N225" i="25"/>
  <c r="Q225" i="25" s="1"/>
  <c r="V256" i="25"/>
  <c r="N259" i="25"/>
  <c r="Q259" i="25" s="1"/>
  <c r="N295" i="25"/>
  <c r="Q295" i="25" s="1"/>
  <c r="Q329" i="25"/>
  <c r="M352" i="25"/>
  <c r="P352" i="25" s="1"/>
  <c r="Q357" i="25"/>
  <c r="N69" i="25"/>
  <c r="Q69" i="25" s="1"/>
  <c r="N71" i="25"/>
  <c r="Q71" i="25" s="1"/>
  <c r="N73" i="25"/>
  <c r="Q73" i="25" s="1"/>
  <c r="N75" i="25"/>
  <c r="Q75" i="25" s="1"/>
  <c r="N81" i="25"/>
  <c r="Q81" i="25" s="1"/>
  <c r="N149" i="25"/>
  <c r="Q149" i="25" s="1"/>
  <c r="N198" i="25"/>
  <c r="Q198" i="25" s="1"/>
  <c r="N203" i="25"/>
  <c r="Q203" i="25" s="1"/>
  <c r="N229" i="25"/>
  <c r="Q229" i="25" s="1"/>
  <c r="N263" i="25"/>
  <c r="Q263" i="25" s="1"/>
  <c r="N265" i="25"/>
  <c r="Q265" i="25" s="1"/>
  <c r="M299" i="25"/>
  <c r="P299" i="25" s="1"/>
  <c r="M334" i="25"/>
  <c r="Q334" i="25" s="1"/>
  <c r="M341" i="25"/>
  <c r="P341" i="25" s="1"/>
  <c r="V36" i="25"/>
  <c r="P363" i="25"/>
  <c r="V35" i="25"/>
  <c r="V33" i="25"/>
  <c r="V48" i="25"/>
  <c r="V52" i="25"/>
  <c r="V56" i="25"/>
  <c r="V65" i="25"/>
  <c r="N84" i="25"/>
  <c r="Q84" i="25" s="1"/>
  <c r="N88" i="25"/>
  <c r="Q88" i="25" s="1"/>
  <c r="N92" i="25"/>
  <c r="Q92" i="25" s="1"/>
  <c r="N96" i="25"/>
  <c r="Q96" i="25" s="1"/>
  <c r="N100" i="25"/>
  <c r="Q100" i="25" s="1"/>
  <c r="N287" i="25"/>
  <c r="Q287" i="25" s="1"/>
  <c r="N106" i="25"/>
  <c r="Q106" i="25" s="1"/>
  <c r="N110" i="25"/>
  <c r="Q110" i="25" s="1"/>
  <c r="V118" i="25"/>
  <c r="V134" i="25"/>
  <c r="N143" i="25"/>
  <c r="Q143" i="25" s="1"/>
  <c r="V143" i="25"/>
  <c r="N147" i="25"/>
  <c r="Q147" i="25" s="1"/>
  <c r="N165" i="25"/>
  <c r="Q165" i="25" s="1"/>
  <c r="N172" i="25"/>
  <c r="Q172" i="25" s="1"/>
  <c r="N187" i="25"/>
  <c r="Q187" i="25" s="1"/>
  <c r="V202" i="25"/>
  <c r="L202" i="25"/>
  <c r="N202" i="25" s="1"/>
  <c r="Q202" i="25" s="1"/>
  <c r="N37" i="25"/>
  <c r="Q37" i="25" s="1"/>
  <c r="N39" i="25"/>
  <c r="Q39" i="25" s="1"/>
  <c r="N41" i="25"/>
  <c r="Q41" i="25" s="1"/>
  <c r="N43" i="25"/>
  <c r="Q43" i="25" s="1"/>
  <c r="V55" i="25"/>
  <c r="N91" i="25"/>
  <c r="Q91" i="25" s="1"/>
  <c r="N95" i="25"/>
  <c r="Q95" i="25" s="1"/>
  <c r="N99" i="25"/>
  <c r="Q99" i="25" s="1"/>
  <c r="N286" i="25"/>
  <c r="Q286" i="25" s="1"/>
  <c r="N105" i="25"/>
  <c r="Q105" i="25" s="1"/>
  <c r="N109" i="25"/>
  <c r="Q109" i="25" s="1"/>
  <c r="N113" i="25"/>
  <c r="Q113" i="25" s="1"/>
  <c r="N139" i="25"/>
  <c r="Q139" i="25" s="1"/>
  <c r="V148" i="25"/>
  <c r="N168" i="25"/>
  <c r="Q168" i="25" s="1"/>
  <c r="N199" i="25"/>
  <c r="Q199" i="25" s="1"/>
  <c r="V254" i="25"/>
  <c r="L254" i="25"/>
  <c r="N254" i="25" s="1"/>
  <c r="Q254" i="25" s="1"/>
  <c r="P300" i="25"/>
  <c r="Q300" i="25"/>
  <c r="V150" i="25"/>
  <c r="N155" i="25"/>
  <c r="Q155" i="25" s="1"/>
  <c r="N157" i="25"/>
  <c r="Q157" i="25" s="1"/>
  <c r="N159" i="25"/>
  <c r="Q159" i="25" s="1"/>
  <c r="N161" i="25"/>
  <c r="Q161" i="25" s="1"/>
  <c r="N163" i="25"/>
  <c r="Q163" i="25" s="1"/>
  <c r="N175" i="25"/>
  <c r="Q175" i="25" s="1"/>
  <c r="N177" i="25"/>
  <c r="Q177" i="25" s="1"/>
  <c r="N179" i="25"/>
  <c r="Q179" i="25" s="1"/>
  <c r="N181" i="25"/>
  <c r="Q181" i="25" s="1"/>
  <c r="N183" i="25"/>
  <c r="Q183" i="25" s="1"/>
  <c r="P304" i="25"/>
  <c r="Q304" i="25"/>
  <c r="V242" i="25"/>
  <c r="V246" i="25"/>
  <c r="V250" i="25"/>
  <c r="N258" i="25"/>
  <c r="Q258" i="25" s="1"/>
  <c r="N211" i="25"/>
  <c r="Q211" i="25" s="1"/>
  <c r="V211" i="25"/>
  <c r="L260" i="25"/>
  <c r="N260" i="25" s="1"/>
  <c r="Q260" i="25" s="1"/>
  <c r="N267" i="25"/>
  <c r="Q267" i="25" s="1"/>
  <c r="N269" i="25"/>
  <c r="Q269" i="25" s="1"/>
  <c r="N271" i="25"/>
  <c r="Q271" i="25" s="1"/>
  <c r="N273" i="25"/>
  <c r="Q273" i="25" s="1"/>
  <c r="N275" i="25"/>
  <c r="Q275" i="25" s="1"/>
  <c r="N277" i="25"/>
  <c r="Q277" i="25" s="1"/>
  <c r="N283" i="25"/>
  <c r="Q283" i="25" s="1"/>
  <c r="N290" i="25"/>
  <c r="Q290" i="25" s="1"/>
  <c r="N294" i="25"/>
  <c r="Q294" i="25" s="1"/>
  <c r="N296" i="25"/>
  <c r="Q296" i="25" s="1"/>
  <c r="M310" i="25"/>
  <c r="M313" i="25"/>
  <c r="Q313" i="25" s="1"/>
  <c r="Q317" i="25"/>
  <c r="M318" i="25"/>
  <c r="Q325" i="25"/>
  <c r="M326" i="25"/>
  <c r="Q326" i="25" s="1"/>
  <c r="M328" i="25"/>
  <c r="Q328" i="25" s="1"/>
  <c r="N185" i="25"/>
  <c r="Q185" i="25" s="1"/>
  <c r="N189" i="25"/>
  <c r="Q189" i="25" s="1"/>
  <c r="V200" i="25"/>
  <c r="N219" i="25"/>
  <c r="Q219" i="25" s="1"/>
  <c r="V244" i="25"/>
  <c r="V248" i="25"/>
  <c r="V252" i="25"/>
  <c r="L256" i="25"/>
  <c r="N256" i="25" s="1"/>
  <c r="Q256" i="25" s="1"/>
  <c r="N282" i="25"/>
  <c r="Q282" i="25" s="1"/>
  <c r="V289" i="25"/>
  <c r="V293" i="25"/>
  <c r="P301" i="25"/>
  <c r="Q309" i="25"/>
  <c r="P347" i="25"/>
  <c r="Q347" i="25"/>
  <c r="P360" i="25"/>
  <c r="Q360" i="25"/>
  <c r="V117" i="25"/>
  <c r="V121" i="25"/>
  <c r="V125" i="25"/>
  <c r="N128" i="25"/>
  <c r="Q128" i="25" s="1"/>
  <c r="V131" i="25"/>
  <c r="V154" i="25"/>
  <c r="L200" i="25"/>
  <c r="N200" i="25" s="1"/>
  <c r="Q200" i="25" s="1"/>
  <c r="V214" i="25"/>
  <c r="V218" i="25"/>
  <c r="N234" i="25"/>
  <c r="Q234" i="25" s="1"/>
  <c r="N238" i="25"/>
  <c r="Q238" i="25" s="1"/>
  <c r="V238" i="25"/>
  <c r="V243" i="25"/>
  <c r="V247" i="25"/>
  <c r="V251" i="25"/>
  <c r="V258" i="25"/>
  <c r="N261" i="25"/>
  <c r="Q261" i="25" s="1"/>
  <c r="N266" i="25"/>
  <c r="Q266" i="25" s="1"/>
  <c r="P361" i="25"/>
  <c r="L66" i="25"/>
  <c r="N66" i="25" s="1"/>
  <c r="Q66" i="25" s="1"/>
  <c r="V66" i="25"/>
  <c r="N34" i="25"/>
  <c r="Q34" i="25" s="1"/>
  <c r="L38" i="25"/>
  <c r="N38" i="25" s="1"/>
  <c r="Q38" i="25" s="1"/>
  <c r="V38" i="25"/>
  <c r="L40" i="25"/>
  <c r="N40" i="25" s="1"/>
  <c r="Q40" i="25" s="1"/>
  <c r="V40" i="25"/>
  <c r="L42" i="25"/>
  <c r="N42" i="25" s="1"/>
  <c r="Q42" i="25" s="1"/>
  <c r="V42" i="25"/>
  <c r="N45" i="25"/>
  <c r="Q45" i="25" s="1"/>
  <c r="N49" i="25"/>
  <c r="Q49" i="25" s="1"/>
  <c r="N53" i="25"/>
  <c r="Q53" i="25" s="1"/>
  <c r="N57" i="25"/>
  <c r="Q57" i="25" s="1"/>
  <c r="V59" i="25"/>
  <c r="V61" i="25"/>
  <c r="L60" i="25"/>
  <c r="N60" i="25" s="1"/>
  <c r="Q60" i="25" s="1"/>
  <c r="V60" i="25"/>
  <c r="L62" i="25"/>
  <c r="N62" i="25" s="1"/>
  <c r="Q62" i="25" s="1"/>
  <c r="V62" i="25"/>
  <c r="L64" i="25"/>
  <c r="N64" i="25" s="1"/>
  <c r="Q64" i="25" s="1"/>
  <c r="V64" i="25"/>
  <c r="V45" i="25"/>
  <c r="V49" i="25"/>
  <c r="V53" i="25"/>
  <c r="V57" i="25"/>
  <c r="V88" i="25"/>
  <c r="V92" i="25"/>
  <c r="N31" i="25"/>
  <c r="Q31" i="25" s="1"/>
  <c r="L32" i="25"/>
  <c r="N32" i="25" s="1"/>
  <c r="Q32" i="25" s="1"/>
  <c r="N33" i="25"/>
  <c r="Q33" i="25" s="1"/>
  <c r="N35" i="25"/>
  <c r="Q35" i="25" s="1"/>
  <c r="H44" i="25"/>
  <c r="K44" i="25" s="1"/>
  <c r="L44" i="25" s="1"/>
  <c r="N44" i="25" s="1"/>
  <c r="Q44" i="25" s="1"/>
  <c r="N46" i="25"/>
  <c r="Q46" i="25" s="1"/>
  <c r="L47" i="25"/>
  <c r="N47" i="25" s="1"/>
  <c r="Q47" i="25" s="1"/>
  <c r="N48" i="25"/>
  <c r="Q48" i="25" s="1"/>
  <c r="N50" i="25"/>
  <c r="Q50" i="25" s="1"/>
  <c r="L51" i="25"/>
  <c r="N51" i="25" s="1"/>
  <c r="Q51" i="25" s="1"/>
  <c r="N52" i="25"/>
  <c r="Q52" i="25" s="1"/>
  <c r="N54" i="25"/>
  <c r="Q54" i="25" s="1"/>
  <c r="N56" i="25"/>
  <c r="Q56" i="25" s="1"/>
  <c r="N58" i="25"/>
  <c r="Q58" i="25" s="1"/>
  <c r="V63" i="25"/>
  <c r="N68" i="25"/>
  <c r="Q68" i="25" s="1"/>
  <c r="N70" i="25"/>
  <c r="Q70" i="25" s="1"/>
  <c r="N72" i="25"/>
  <c r="Q72" i="25" s="1"/>
  <c r="N74" i="25"/>
  <c r="Q74" i="25" s="1"/>
  <c r="N76" i="25"/>
  <c r="Q76" i="25" s="1"/>
  <c r="N78" i="25"/>
  <c r="Q78" i="25" s="1"/>
  <c r="N80" i="25"/>
  <c r="Q80" i="25" s="1"/>
  <c r="N82" i="25"/>
  <c r="Q82" i="25" s="1"/>
  <c r="L133" i="25"/>
  <c r="N133" i="25" s="1"/>
  <c r="Q133" i="25" s="1"/>
  <c r="V133" i="25"/>
  <c r="V30" i="25"/>
  <c r="M373" i="25"/>
  <c r="M372" i="25"/>
  <c r="M371" i="25"/>
  <c r="M370" i="25"/>
  <c r="S363" i="25"/>
  <c r="V71" i="25"/>
  <c r="V75" i="25"/>
  <c r="V79" i="25"/>
  <c r="V83" i="25"/>
  <c r="V85" i="25"/>
  <c r="V87" i="25"/>
  <c r="V89" i="25"/>
  <c r="V91" i="25"/>
  <c r="V97" i="25"/>
  <c r="V99" i="25"/>
  <c r="V101" i="25"/>
  <c r="V285" i="25"/>
  <c r="V287" i="25"/>
  <c r="V104" i="25"/>
  <c r="V106" i="25"/>
  <c r="V108" i="25"/>
  <c r="V110" i="25"/>
  <c r="V112" i="25"/>
  <c r="N114" i="25"/>
  <c r="Q114" i="25" s="1"/>
  <c r="V114" i="25"/>
  <c r="V128" i="25"/>
  <c r="V69" i="25"/>
  <c r="V73" i="25"/>
  <c r="V77" i="25"/>
  <c r="V81" i="25"/>
  <c r="V93" i="25"/>
  <c r="V95" i="25"/>
  <c r="H363" i="25"/>
  <c r="N30" i="25"/>
  <c r="Q30" i="25" s="1"/>
  <c r="X30" i="25" s="1"/>
  <c r="U363" i="25"/>
  <c r="N55" i="25"/>
  <c r="Q55" i="25" s="1"/>
  <c r="Q85" i="25"/>
  <c r="Q108" i="25"/>
  <c r="L135" i="25"/>
  <c r="N135" i="25" s="1"/>
  <c r="Q135" i="25" s="1"/>
  <c r="V135" i="25"/>
  <c r="V84" i="25"/>
  <c r="V86" i="25"/>
  <c r="V90" i="25"/>
  <c r="V94" i="25"/>
  <c r="V96" i="25"/>
  <c r="V98" i="25"/>
  <c r="V100" i="25"/>
  <c r="V286" i="25"/>
  <c r="V103" i="25"/>
  <c r="V105" i="25"/>
  <c r="V107" i="25"/>
  <c r="V109" i="25"/>
  <c r="V111" i="25"/>
  <c r="V113" i="25"/>
  <c r="N116" i="25"/>
  <c r="Q116" i="25" s="1"/>
  <c r="N118" i="25"/>
  <c r="Q118" i="25" s="1"/>
  <c r="N120" i="25"/>
  <c r="Q120" i="25" s="1"/>
  <c r="N122" i="25"/>
  <c r="Q122" i="25" s="1"/>
  <c r="N124" i="25"/>
  <c r="Q124" i="25" s="1"/>
  <c r="N126" i="25"/>
  <c r="Q126" i="25" s="1"/>
  <c r="N130" i="25"/>
  <c r="Q130" i="25" s="1"/>
  <c r="N132" i="25"/>
  <c r="Q132" i="25" s="1"/>
  <c r="N134" i="25"/>
  <c r="Q134" i="25" s="1"/>
  <c r="V147" i="25"/>
  <c r="V149" i="25"/>
  <c r="V151" i="25"/>
  <c r="V153" i="25"/>
  <c r="L156" i="25"/>
  <c r="N156" i="25" s="1"/>
  <c r="Q156" i="25" s="1"/>
  <c r="V156" i="25"/>
  <c r="L158" i="25"/>
  <c r="N158" i="25" s="1"/>
  <c r="Q158" i="25" s="1"/>
  <c r="V158" i="25"/>
  <c r="L160" i="25"/>
  <c r="N160" i="25" s="1"/>
  <c r="Q160" i="25" s="1"/>
  <c r="V160" i="25"/>
  <c r="L162" i="25"/>
  <c r="N162" i="25" s="1"/>
  <c r="Q162" i="25" s="1"/>
  <c r="V162" i="25"/>
  <c r="N166" i="25"/>
  <c r="Q166" i="25" s="1"/>
  <c r="N170" i="25"/>
  <c r="Q170" i="25" s="1"/>
  <c r="N184" i="25"/>
  <c r="Q184" i="25" s="1"/>
  <c r="N188" i="25"/>
  <c r="Q188" i="25" s="1"/>
  <c r="V191" i="25"/>
  <c r="N129" i="25"/>
  <c r="Q129" i="25" s="1"/>
  <c r="V130" i="25"/>
  <c r="N131" i="25"/>
  <c r="Q131" i="25" s="1"/>
  <c r="V132" i="25"/>
  <c r="V137" i="25"/>
  <c r="V139" i="25"/>
  <c r="V141" i="25"/>
  <c r="N115" i="25"/>
  <c r="Q115" i="25" s="1"/>
  <c r="N117" i="25"/>
  <c r="Q117" i="25" s="1"/>
  <c r="N119" i="25"/>
  <c r="Q119" i="25" s="1"/>
  <c r="N121" i="25"/>
  <c r="Q121" i="25" s="1"/>
  <c r="N123" i="25"/>
  <c r="Q123" i="25" s="1"/>
  <c r="N125" i="25"/>
  <c r="Q125" i="25" s="1"/>
  <c r="N127" i="25"/>
  <c r="Q127" i="25" s="1"/>
  <c r="Q137" i="25"/>
  <c r="N144" i="25"/>
  <c r="Q144" i="25" s="1"/>
  <c r="V144" i="25"/>
  <c r="N145" i="25"/>
  <c r="Q145" i="25" s="1"/>
  <c r="V145" i="25"/>
  <c r="V136" i="25"/>
  <c r="N138" i="25"/>
  <c r="Q138" i="25" s="1"/>
  <c r="V138" i="25"/>
  <c r="N140" i="25"/>
  <c r="Q140" i="25" s="1"/>
  <c r="V140" i="25"/>
  <c r="N142" i="25"/>
  <c r="Q142" i="25" s="1"/>
  <c r="V142" i="25"/>
  <c r="L148" i="25"/>
  <c r="N148" i="25" s="1"/>
  <c r="Q148" i="25" s="1"/>
  <c r="L150" i="25"/>
  <c r="N150" i="25" s="1"/>
  <c r="Q150" i="25" s="1"/>
  <c r="L152" i="25"/>
  <c r="N152" i="25" s="1"/>
  <c r="Q152" i="25" s="1"/>
  <c r="L154" i="25"/>
  <c r="N154" i="25" s="1"/>
  <c r="Q154" i="25" s="1"/>
  <c r="V155" i="25"/>
  <c r="V157" i="25"/>
  <c r="V159" i="25"/>
  <c r="V161" i="25"/>
  <c r="N167" i="25"/>
  <c r="Q167" i="25" s="1"/>
  <c r="N171" i="25"/>
  <c r="Q171" i="25" s="1"/>
  <c r="L176" i="25"/>
  <c r="N176" i="25" s="1"/>
  <c r="Q176" i="25" s="1"/>
  <c r="V176" i="25"/>
  <c r="L178" i="25"/>
  <c r="N178" i="25" s="1"/>
  <c r="Q178" i="25" s="1"/>
  <c r="V178" i="25"/>
  <c r="L180" i="25"/>
  <c r="N180" i="25" s="1"/>
  <c r="Q180" i="25" s="1"/>
  <c r="V180" i="25"/>
  <c r="L182" i="25"/>
  <c r="N182" i="25" s="1"/>
  <c r="Q182" i="25" s="1"/>
  <c r="V182" i="25"/>
  <c r="V165" i="25"/>
  <c r="V167" i="25"/>
  <c r="V169" i="25"/>
  <c r="V171" i="25"/>
  <c r="V173" i="25"/>
  <c r="V184" i="25"/>
  <c r="V186" i="25"/>
  <c r="V188" i="25"/>
  <c r="V210" i="25"/>
  <c r="N210" i="25"/>
  <c r="Q210" i="25" s="1"/>
  <c r="L213" i="25"/>
  <c r="V213" i="25"/>
  <c r="N221" i="25"/>
  <c r="K146" i="25"/>
  <c r="N205" i="25"/>
  <c r="Q205" i="25" s="1"/>
  <c r="V205" i="25"/>
  <c r="V212" i="25"/>
  <c r="N212" i="25"/>
  <c r="Q212" i="25" s="1"/>
  <c r="N213" i="25"/>
  <c r="Q213" i="25" s="1"/>
  <c r="N217" i="25"/>
  <c r="Q221" i="25"/>
  <c r="L222" i="25"/>
  <c r="N222" i="25" s="1"/>
  <c r="Q222" i="25" s="1"/>
  <c r="V222" i="25"/>
  <c r="L224" i="25"/>
  <c r="N224" i="25" s="1"/>
  <c r="Q224" i="25" s="1"/>
  <c r="V224" i="25"/>
  <c r="V228" i="25"/>
  <c r="L228" i="25"/>
  <c r="N228" i="25" s="1"/>
  <c r="Q228" i="25" s="1"/>
  <c r="V164" i="25"/>
  <c r="V166" i="25"/>
  <c r="V168" i="25"/>
  <c r="V170" i="25"/>
  <c r="V172" i="25"/>
  <c r="V185" i="25"/>
  <c r="V187" i="25"/>
  <c r="V189" i="25"/>
  <c r="N190" i="25"/>
  <c r="Q190" i="25" s="1"/>
  <c r="N192" i="25"/>
  <c r="Q192" i="25" s="1"/>
  <c r="N194" i="25"/>
  <c r="Q194" i="25" s="1"/>
  <c r="N196" i="25"/>
  <c r="Q196" i="25" s="1"/>
  <c r="V206" i="25"/>
  <c r="N206" i="25"/>
  <c r="Q206" i="25" s="1"/>
  <c r="N207" i="25"/>
  <c r="Q207" i="25" s="1"/>
  <c r="V207" i="25"/>
  <c r="Q217" i="25"/>
  <c r="V190" i="25"/>
  <c r="N191" i="25"/>
  <c r="Q191" i="25" s="1"/>
  <c r="V192" i="25"/>
  <c r="N193" i="25"/>
  <c r="Q193" i="25" s="1"/>
  <c r="V194" i="25"/>
  <c r="N195" i="25"/>
  <c r="Q195" i="25" s="1"/>
  <c r="V196" i="25"/>
  <c r="N197" i="25"/>
  <c r="Q197" i="25" s="1"/>
  <c r="V199" i="25"/>
  <c r="V201" i="25"/>
  <c r="V203" i="25"/>
  <c r="L204" i="25"/>
  <c r="N204" i="25" s="1"/>
  <c r="Q204" i="25" s="1"/>
  <c r="V204" i="25"/>
  <c r="V208" i="25"/>
  <c r="N208" i="25"/>
  <c r="Q208" i="25" s="1"/>
  <c r="N209" i="25"/>
  <c r="Q209" i="25" s="1"/>
  <c r="V209" i="25"/>
  <c r="N215" i="25"/>
  <c r="Q215" i="25" s="1"/>
  <c r="L226" i="25"/>
  <c r="N226" i="25" s="1"/>
  <c r="Q226" i="25" s="1"/>
  <c r="V226" i="25"/>
  <c r="V215" i="25"/>
  <c r="V217" i="25"/>
  <c r="V219" i="25"/>
  <c r="V221" i="25"/>
  <c r="V232" i="25"/>
  <c r="V234" i="25"/>
  <c r="V236" i="25"/>
  <c r="N214" i="25"/>
  <c r="Q214" i="25" s="1"/>
  <c r="N216" i="25"/>
  <c r="Q216" i="25" s="1"/>
  <c r="N218" i="25"/>
  <c r="Q218" i="25" s="1"/>
  <c r="N220" i="25"/>
  <c r="Q220" i="25" s="1"/>
  <c r="Q232" i="25"/>
  <c r="V239" i="25"/>
  <c r="N239" i="25"/>
  <c r="Q239" i="25" s="1"/>
  <c r="N240" i="25"/>
  <c r="Q240" i="25" s="1"/>
  <c r="V240" i="25"/>
  <c r="N231" i="25"/>
  <c r="Q231" i="25" s="1"/>
  <c r="V231" i="25"/>
  <c r="N233" i="25"/>
  <c r="Q233" i="25" s="1"/>
  <c r="V233" i="25"/>
  <c r="N235" i="25"/>
  <c r="Q235" i="25" s="1"/>
  <c r="V235" i="25"/>
  <c r="N237" i="25"/>
  <c r="Q237" i="25" s="1"/>
  <c r="V237" i="25"/>
  <c r="N253" i="25"/>
  <c r="Q253" i="25" s="1"/>
  <c r="V223" i="25"/>
  <c r="V225" i="25"/>
  <c r="V227" i="25"/>
  <c r="N241" i="25"/>
  <c r="Q241" i="25" s="1"/>
  <c r="N243" i="25"/>
  <c r="Q243" i="25" s="1"/>
  <c r="N245" i="25"/>
  <c r="Q245" i="25" s="1"/>
  <c r="N247" i="25"/>
  <c r="Q247" i="25" s="1"/>
  <c r="N249" i="25"/>
  <c r="Q249" i="25" s="1"/>
  <c r="N251" i="25"/>
  <c r="Q251" i="25" s="1"/>
  <c r="V263" i="25"/>
  <c r="V265" i="25"/>
  <c r="V266" i="25"/>
  <c r="V268" i="25"/>
  <c r="L268" i="25"/>
  <c r="N268" i="25" s="1"/>
  <c r="Q268" i="25" s="1"/>
  <c r="V270" i="25"/>
  <c r="L270" i="25"/>
  <c r="N270" i="25" s="1"/>
  <c r="Q270" i="25" s="1"/>
  <c r="V272" i="25"/>
  <c r="L272" i="25"/>
  <c r="N272" i="25" s="1"/>
  <c r="Q272" i="25" s="1"/>
  <c r="V274" i="25"/>
  <c r="L274" i="25"/>
  <c r="N274" i="25" s="1"/>
  <c r="Q274" i="25" s="1"/>
  <c r="V276" i="25"/>
  <c r="L276" i="25"/>
  <c r="N276" i="25" s="1"/>
  <c r="Q276" i="25" s="1"/>
  <c r="V278" i="25"/>
  <c r="L278" i="25"/>
  <c r="N278" i="25" s="1"/>
  <c r="Q278" i="25" s="1"/>
  <c r="N281" i="25"/>
  <c r="Q281" i="25" s="1"/>
  <c r="N288" i="25"/>
  <c r="Q288" i="25" s="1"/>
  <c r="N292" i="25"/>
  <c r="Q292" i="25" s="1"/>
  <c r="N280" i="25"/>
  <c r="Q280" i="25" s="1"/>
  <c r="N284" i="25"/>
  <c r="Q284" i="25" s="1"/>
  <c r="N291" i="25"/>
  <c r="Q291" i="25" s="1"/>
  <c r="N242" i="25"/>
  <c r="Q242" i="25" s="1"/>
  <c r="N244" i="25"/>
  <c r="Q244" i="25" s="1"/>
  <c r="N246" i="25"/>
  <c r="Q246" i="25" s="1"/>
  <c r="N248" i="25"/>
  <c r="Q248" i="25" s="1"/>
  <c r="N250" i="25"/>
  <c r="Q250" i="25" s="1"/>
  <c r="N252" i="25"/>
  <c r="Q252" i="25" s="1"/>
  <c r="L279" i="25"/>
  <c r="N279" i="25" s="1"/>
  <c r="Q279" i="25" s="1"/>
  <c r="V279" i="25"/>
  <c r="V253" i="25"/>
  <c r="V255" i="25"/>
  <c r="V257" i="25"/>
  <c r="V259" i="25"/>
  <c r="V261" i="25"/>
  <c r="V262" i="25"/>
  <c r="L262" i="25"/>
  <c r="N262" i="25" s="1"/>
  <c r="Q262" i="25" s="1"/>
  <c r="V264" i="25"/>
  <c r="L264" i="25"/>
  <c r="N264" i="25" s="1"/>
  <c r="Q264" i="25" s="1"/>
  <c r="V281" i="25"/>
  <c r="V283" i="25"/>
  <c r="V288" i="25"/>
  <c r="V290" i="25"/>
  <c r="V292" i="25"/>
  <c r="V294" i="25"/>
  <c r="N289" i="25"/>
  <c r="Q289" i="25" s="1"/>
  <c r="N293" i="25"/>
  <c r="Q293" i="25" s="1"/>
  <c r="V280" i="25"/>
  <c r="V282" i="25"/>
  <c r="V284" i="25"/>
  <c r="V291" i="25"/>
  <c r="V295" i="25"/>
  <c r="Q322" i="25" l="1"/>
  <c r="Q333" i="25"/>
  <c r="A32" i="25"/>
  <c r="E225" i="35"/>
  <c r="Q323" i="25"/>
  <c r="Q342" i="25"/>
  <c r="X342" i="25" s="1"/>
  <c r="Y342" i="25" s="1"/>
  <c r="AA342" i="25" s="1"/>
  <c r="P305" i="25"/>
  <c r="E205" i="6"/>
  <c r="E215" i="34"/>
  <c r="P343" i="25"/>
  <c r="Q324" i="25"/>
  <c r="Q306" i="25"/>
  <c r="X306" i="25" s="1"/>
  <c r="Y306" i="25" s="1"/>
  <c r="AA306" i="25" s="1"/>
  <c r="X340" i="25"/>
  <c r="Y340" i="25" s="1"/>
  <c r="AA340" i="25" s="1"/>
  <c r="X262" i="25"/>
  <c r="Y262" i="25" s="1"/>
  <c r="AA262" i="25" s="1"/>
  <c r="X279" i="25"/>
  <c r="Y279" i="25" s="1"/>
  <c r="AA279" i="25" s="1"/>
  <c r="X246" i="25"/>
  <c r="Y246" i="25" s="1"/>
  <c r="AA246" i="25" s="1"/>
  <c r="X284" i="25"/>
  <c r="Y284" i="25" s="1"/>
  <c r="AA284" i="25" s="1"/>
  <c r="X288" i="25"/>
  <c r="Y288" i="25" s="1"/>
  <c r="AA288" i="25" s="1"/>
  <c r="X276" i="25"/>
  <c r="Y276" i="25" s="1"/>
  <c r="AA276" i="25" s="1"/>
  <c r="X272" i="25"/>
  <c r="Y272" i="25" s="1"/>
  <c r="AA272" i="25" s="1"/>
  <c r="X268" i="25"/>
  <c r="Y268" i="25" s="1"/>
  <c r="AA268" i="25" s="1"/>
  <c r="X245" i="25"/>
  <c r="Y245" i="25" s="1"/>
  <c r="AA245" i="25" s="1"/>
  <c r="X237" i="25"/>
  <c r="Y237" i="25" s="1"/>
  <c r="AA237" i="25" s="1"/>
  <c r="X233" i="25"/>
  <c r="Y233" i="25" s="1"/>
  <c r="AA233" i="25" s="1"/>
  <c r="X240" i="25"/>
  <c r="Y240" i="25" s="1"/>
  <c r="AA240" i="25" s="1"/>
  <c r="X220" i="25"/>
  <c r="Y220" i="25" s="1"/>
  <c r="AA220" i="25" s="1"/>
  <c r="X226" i="25"/>
  <c r="Y226" i="25" s="1"/>
  <c r="AA226" i="25" s="1"/>
  <c r="X206" i="25"/>
  <c r="Y206" i="25" s="1"/>
  <c r="AA206" i="25" s="1"/>
  <c r="X192" i="25"/>
  <c r="Y192" i="25" s="1"/>
  <c r="AA192" i="25" s="1"/>
  <c r="X221" i="25"/>
  <c r="Y221" i="25" s="1"/>
  <c r="AA221" i="25" s="1"/>
  <c r="X180" i="25"/>
  <c r="Y180" i="25" s="1"/>
  <c r="AA180" i="25" s="1"/>
  <c r="X176" i="25"/>
  <c r="Y176" i="25" s="1"/>
  <c r="AA176" i="25" s="1"/>
  <c r="X152" i="25"/>
  <c r="Y152" i="25" s="1"/>
  <c r="AA152" i="25" s="1"/>
  <c r="X142" i="25"/>
  <c r="Y142" i="25" s="1"/>
  <c r="AA142" i="25" s="1"/>
  <c r="X138" i="25"/>
  <c r="Y138" i="25" s="1"/>
  <c r="AA138" i="25" s="1"/>
  <c r="X125" i="25"/>
  <c r="Y125" i="25" s="1"/>
  <c r="AA125" i="25" s="1"/>
  <c r="X117" i="25"/>
  <c r="Y117" i="25" s="1"/>
  <c r="AA117" i="25" s="1"/>
  <c r="X129" i="25"/>
  <c r="Y129" i="25" s="1"/>
  <c r="AA129" i="25" s="1"/>
  <c r="X170" i="25"/>
  <c r="Y170" i="25" s="1"/>
  <c r="AA170" i="25" s="1"/>
  <c r="X130" i="25"/>
  <c r="Y130" i="25" s="1"/>
  <c r="AA130" i="25" s="1"/>
  <c r="X120" i="25"/>
  <c r="Y120" i="25" s="1"/>
  <c r="AA120" i="25" s="1"/>
  <c r="X85" i="25"/>
  <c r="Y85" i="25" s="1"/>
  <c r="AA85" i="25" s="1"/>
  <c r="X133" i="25"/>
  <c r="Y133" i="25" s="1"/>
  <c r="AA133" i="25" s="1"/>
  <c r="X76" i="25"/>
  <c r="Y76" i="25" s="1"/>
  <c r="AA76" i="25" s="1"/>
  <c r="X68" i="25"/>
  <c r="Y68" i="25" s="1"/>
  <c r="AA68" i="25" s="1"/>
  <c r="X54" i="25"/>
  <c r="Y54" i="25" s="1"/>
  <c r="AA54" i="25" s="1"/>
  <c r="X48" i="25"/>
  <c r="Y48" i="25" s="1"/>
  <c r="AA48" i="25" s="1"/>
  <c r="X35" i="25"/>
  <c r="Y35" i="25" s="1"/>
  <c r="AA35" i="25" s="1"/>
  <c r="X49" i="25"/>
  <c r="Y49" i="25" s="1"/>
  <c r="AA49" i="25" s="1"/>
  <c r="X34" i="25"/>
  <c r="Y34" i="25" s="1"/>
  <c r="AA34" i="25" s="1"/>
  <c r="X238" i="25"/>
  <c r="Y238" i="25" s="1"/>
  <c r="AA238" i="25" s="1"/>
  <c r="X200" i="25"/>
  <c r="Y200" i="25" s="1"/>
  <c r="AA200" i="25" s="1"/>
  <c r="X309" i="25"/>
  <c r="Y309" i="25" s="1"/>
  <c r="AA309" i="25" s="1"/>
  <c r="X282" i="25"/>
  <c r="Y282" i="25" s="1"/>
  <c r="AA282" i="25" s="1"/>
  <c r="X186" i="25"/>
  <c r="Y186" i="25" s="1"/>
  <c r="AA186" i="25" s="1"/>
  <c r="X325" i="25"/>
  <c r="Y325" i="25" s="1"/>
  <c r="AA325" i="25" s="1"/>
  <c r="X290" i="25"/>
  <c r="Y290" i="25" s="1"/>
  <c r="AA290" i="25" s="1"/>
  <c r="X273" i="25"/>
  <c r="Y273" i="25" s="1"/>
  <c r="AA273" i="25" s="1"/>
  <c r="X260" i="25"/>
  <c r="Y260" i="25" s="1"/>
  <c r="AA260" i="25" s="1"/>
  <c r="X304" i="25"/>
  <c r="Y304" i="25" s="1"/>
  <c r="AA304" i="25" s="1"/>
  <c r="X179" i="25"/>
  <c r="Y179" i="25" s="1"/>
  <c r="AA179" i="25" s="1"/>
  <c r="X161" i="25"/>
  <c r="Y161" i="25" s="1"/>
  <c r="AA161" i="25" s="1"/>
  <c r="X151" i="25"/>
  <c r="Y151" i="25" s="1"/>
  <c r="AA151" i="25" s="1"/>
  <c r="X168" i="25"/>
  <c r="Y168" i="25" s="1"/>
  <c r="AA168" i="25" s="1"/>
  <c r="X109" i="25"/>
  <c r="Y109" i="25" s="1"/>
  <c r="AA109" i="25" s="1"/>
  <c r="X95" i="25"/>
  <c r="Y95" i="25" s="1"/>
  <c r="AA95" i="25" s="1"/>
  <c r="X41" i="25"/>
  <c r="Y41" i="25" s="1"/>
  <c r="AA41" i="25" s="1"/>
  <c r="X147" i="25"/>
  <c r="Y147" i="25" s="1"/>
  <c r="AA147" i="25" s="1"/>
  <c r="X100" i="25"/>
  <c r="Y100" i="25" s="1"/>
  <c r="AA100" i="25" s="1"/>
  <c r="X84" i="25"/>
  <c r="Y84" i="25" s="1"/>
  <c r="AA84" i="25" s="1"/>
  <c r="X322" i="25"/>
  <c r="Y322" i="25" s="1"/>
  <c r="AA322" i="25" s="1"/>
  <c r="X229" i="25"/>
  <c r="Y229" i="25" s="1"/>
  <c r="AA229" i="25" s="1"/>
  <c r="X81" i="25"/>
  <c r="Y81" i="25" s="1"/>
  <c r="AA81" i="25" s="1"/>
  <c r="X69" i="25"/>
  <c r="Y69" i="25" s="1"/>
  <c r="AA69" i="25" s="1"/>
  <c r="X324" i="25"/>
  <c r="Y324" i="25" s="1"/>
  <c r="AA324" i="25" s="1"/>
  <c r="X225" i="25"/>
  <c r="Y225" i="25" s="1"/>
  <c r="AA225" i="25" s="1"/>
  <c r="X79" i="25"/>
  <c r="Y79" i="25" s="1"/>
  <c r="AA79" i="25" s="1"/>
  <c r="X257" i="25"/>
  <c r="Y257" i="25" s="1"/>
  <c r="AA257" i="25" s="1"/>
  <c r="X65" i="25"/>
  <c r="Y65" i="25" s="1"/>
  <c r="AA65" i="25" s="1"/>
  <c r="X359" i="25"/>
  <c r="Y359" i="25" s="1"/>
  <c r="AA359" i="25" s="1"/>
  <c r="X164" i="25"/>
  <c r="Y164" i="25" s="1"/>
  <c r="AA164" i="25" s="1"/>
  <c r="X104" i="25"/>
  <c r="Y104" i="25" s="1"/>
  <c r="AA104" i="25" s="1"/>
  <c r="X136" i="25"/>
  <c r="Y136" i="25" s="1"/>
  <c r="AA136" i="25" s="1"/>
  <c r="X94" i="25"/>
  <c r="Y94" i="25" s="1"/>
  <c r="AA94" i="25" s="1"/>
  <c r="X353" i="25"/>
  <c r="Y353" i="25" s="1"/>
  <c r="AA353" i="25" s="1"/>
  <c r="X173" i="25"/>
  <c r="Y173" i="25" s="1"/>
  <c r="AA173" i="25" s="1"/>
  <c r="X112" i="25"/>
  <c r="Y112" i="25" s="1"/>
  <c r="AA112" i="25" s="1"/>
  <c r="X86" i="25"/>
  <c r="Y86" i="25" s="1"/>
  <c r="AA86" i="25" s="1"/>
  <c r="X103" i="25"/>
  <c r="Y103" i="25" s="1"/>
  <c r="AA103" i="25" s="1"/>
  <c r="X90" i="25"/>
  <c r="Y90" i="25" s="1"/>
  <c r="AA90" i="25" s="1"/>
  <c r="X305" i="25"/>
  <c r="Y305" i="25" s="1"/>
  <c r="AA305" i="25" s="1"/>
  <c r="X252" i="25"/>
  <c r="Y252" i="25" s="1"/>
  <c r="AA252" i="25" s="1"/>
  <c r="X244" i="25"/>
  <c r="Y244" i="25" s="1"/>
  <c r="AA244" i="25" s="1"/>
  <c r="X281" i="25"/>
  <c r="Y281" i="25" s="1"/>
  <c r="AA281" i="25" s="1"/>
  <c r="X251" i="25"/>
  <c r="Y251" i="25" s="1"/>
  <c r="AA251" i="25" s="1"/>
  <c r="X243" i="25"/>
  <c r="Y243" i="25" s="1"/>
  <c r="AA243" i="25" s="1"/>
  <c r="X239" i="25"/>
  <c r="Y239" i="25" s="1"/>
  <c r="AA239" i="25" s="1"/>
  <c r="X218" i="25"/>
  <c r="Y218" i="25" s="1"/>
  <c r="AA218" i="25" s="1"/>
  <c r="X224" i="25"/>
  <c r="Y224" i="25" s="1"/>
  <c r="AA224" i="25" s="1"/>
  <c r="X209" i="25"/>
  <c r="Y209" i="25" s="1"/>
  <c r="AA209" i="25" s="1"/>
  <c r="X204" i="25"/>
  <c r="Y204" i="25" s="1"/>
  <c r="AA204" i="25" s="1"/>
  <c r="X197" i="25"/>
  <c r="Y197" i="25" s="1"/>
  <c r="AA197" i="25" s="1"/>
  <c r="X193" i="25"/>
  <c r="Y193" i="25" s="1"/>
  <c r="AA193" i="25" s="1"/>
  <c r="X217" i="25"/>
  <c r="Y217" i="25" s="1"/>
  <c r="AA217" i="25" s="1"/>
  <c r="X190" i="25"/>
  <c r="Y190" i="25" s="1"/>
  <c r="AA190" i="25" s="1"/>
  <c r="X171" i="25"/>
  <c r="Y171" i="25" s="1"/>
  <c r="AA171" i="25" s="1"/>
  <c r="X150" i="25"/>
  <c r="Y150" i="25" s="1"/>
  <c r="AA150" i="25" s="1"/>
  <c r="X144" i="25"/>
  <c r="Y144" i="25" s="1"/>
  <c r="AA144" i="25" s="1"/>
  <c r="X123" i="25"/>
  <c r="Y123" i="25" s="1"/>
  <c r="AA123" i="25" s="1"/>
  <c r="X115" i="25"/>
  <c r="Y115" i="25" s="1"/>
  <c r="AA115" i="25" s="1"/>
  <c r="X166" i="25"/>
  <c r="Y166" i="25" s="1"/>
  <c r="AA166" i="25" s="1"/>
  <c r="X160" i="25"/>
  <c r="Y160" i="25" s="1"/>
  <c r="AA160" i="25" s="1"/>
  <c r="X156" i="25"/>
  <c r="Y156" i="25" s="1"/>
  <c r="AA156" i="25" s="1"/>
  <c r="X126" i="25"/>
  <c r="Y126" i="25" s="1"/>
  <c r="AA126" i="25" s="1"/>
  <c r="X118" i="25"/>
  <c r="Y118" i="25" s="1"/>
  <c r="AA118" i="25" s="1"/>
  <c r="X71" i="25"/>
  <c r="Y71" i="25" s="1"/>
  <c r="AA71" i="25" s="1"/>
  <c r="X82" i="25"/>
  <c r="Y82" i="25" s="1"/>
  <c r="AA82" i="25" s="1"/>
  <c r="X74" i="25"/>
  <c r="Y74" i="25" s="1"/>
  <c r="AA74" i="25" s="1"/>
  <c r="X52" i="25"/>
  <c r="Y52" i="25" s="1"/>
  <c r="AA52" i="25" s="1"/>
  <c r="X47" i="25"/>
  <c r="Y47" i="25" s="1"/>
  <c r="AA47" i="25" s="1"/>
  <c r="X33" i="25"/>
  <c r="Y33" i="25" s="1"/>
  <c r="AA33" i="25" s="1"/>
  <c r="X62" i="25"/>
  <c r="Y62" i="25" s="1"/>
  <c r="AA62" i="25" s="1"/>
  <c r="X45" i="25"/>
  <c r="Y45" i="25" s="1"/>
  <c r="AA45" i="25" s="1"/>
  <c r="X40" i="25"/>
  <c r="Y40" i="25" s="1"/>
  <c r="AA40" i="25" s="1"/>
  <c r="X266" i="25"/>
  <c r="Y266" i="25" s="1"/>
  <c r="AA266" i="25" s="1"/>
  <c r="X234" i="25"/>
  <c r="Y234" i="25" s="1"/>
  <c r="AA234" i="25" s="1"/>
  <c r="X347" i="25"/>
  <c r="Y347" i="25" s="1"/>
  <c r="AA347" i="25" s="1"/>
  <c r="X256" i="25"/>
  <c r="Y256" i="25" s="1"/>
  <c r="AA256" i="25" s="1"/>
  <c r="X219" i="25"/>
  <c r="Y219" i="25" s="1"/>
  <c r="AA219" i="25" s="1"/>
  <c r="X185" i="25"/>
  <c r="Y185" i="25" s="1"/>
  <c r="AA185" i="25" s="1"/>
  <c r="X283" i="25"/>
  <c r="Y283" i="25" s="1"/>
  <c r="AA283" i="25" s="1"/>
  <c r="X271" i="25"/>
  <c r="Y271" i="25" s="1"/>
  <c r="AA271" i="25" s="1"/>
  <c r="X177" i="25"/>
  <c r="Y177" i="25" s="1"/>
  <c r="AA177" i="25" s="1"/>
  <c r="X159" i="25"/>
  <c r="Y159" i="25" s="1"/>
  <c r="AA159" i="25" s="1"/>
  <c r="X254" i="25"/>
  <c r="Y254" i="25" s="1"/>
  <c r="AA254" i="25" s="1"/>
  <c r="X105" i="25"/>
  <c r="Y105" i="25" s="1"/>
  <c r="AA105" i="25" s="1"/>
  <c r="X91" i="25"/>
  <c r="Y91" i="25" s="1"/>
  <c r="AA91" i="25" s="1"/>
  <c r="X39" i="25"/>
  <c r="Y39" i="25" s="1"/>
  <c r="AA39" i="25" s="1"/>
  <c r="X187" i="25"/>
  <c r="Y187" i="25" s="1"/>
  <c r="AA187" i="25" s="1"/>
  <c r="X110" i="25"/>
  <c r="Y110" i="25" s="1"/>
  <c r="AA110" i="25" s="1"/>
  <c r="X96" i="25"/>
  <c r="Y96" i="25" s="1"/>
  <c r="AA96" i="25" s="1"/>
  <c r="X203" i="25"/>
  <c r="Y203" i="25" s="1"/>
  <c r="AA203" i="25" s="1"/>
  <c r="X75" i="25"/>
  <c r="Y75" i="25" s="1"/>
  <c r="AA75" i="25" s="1"/>
  <c r="X357" i="25"/>
  <c r="Y357" i="25" s="1"/>
  <c r="AA357" i="25" s="1"/>
  <c r="X295" i="25"/>
  <c r="Y295" i="25" s="1"/>
  <c r="AA295" i="25" s="1"/>
  <c r="X223" i="25"/>
  <c r="Y223" i="25" s="1"/>
  <c r="AA223" i="25" s="1"/>
  <c r="X355" i="25"/>
  <c r="Y355" i="25" s="1"/>
  <c r="AA355" i="25" s="1"/>
  <c r="X174" i="25"/>
  <c r="Y174" i="25" s="1"/>
  <c r="AA174" i="25" s="1"/>
  <c r="X83" i="25"/>
  <c r="Y83" i="25" s="1"/>
  <c r="AA83" i="25" s="1"/>
  <c r="X63" i="25"/>
  <c r="Y63" i="25" s="1"/>
  <c r="AA63" i="25" s="1"/>
  <c r="X255" i="25"/>
  <c r="Y255" i="25" s="1"/>
  <c r="AA255" i="25" s="1"/>
  <c r="X93" i="25"/>
  <c r="Y93" i="25" s="1"/>
  <c r="AA93" i="25" s="1"/>
  <c r="X111" i="25"/>
  <c r="Y111" i="25" s="1"/>
  <c r="AA111" i="25" s="1"/>
  <c r="X87" i="25"/>
  <c r="Y87" i="25" s="1"/>
  <c r="AA87" i="25" s="1"/>
  <c r="X89" i="25"/>
  <c r="Y89" i="25" s="1"/>
  <c r="AA89" i="25" s="1"/>
  <c r="X335" i="25"/>
  <c r="Y335" i="25" s="1"/>
  <c r="AA335" i="25" s="1"/>
  <c r="X236" i="25"/>
  <c r="Y236" i="25" s="1"/>
  <c r="AA236" i="25" s="1"/>
  <c r="X153" i="25"/>
  <c r="Y153" i="25" s="1"/>
  <c r="AA153" i="25" s="1"/>
  <c r="X98" i="25"/>
  <c r="Y98" i="25" s="1"/>
  <c r="AA98" i="25" s="1"/>
  <c r="X36" i="25"/>
  <c r="Y36" i="25" s="1"/>
  <c r="AA36" i="25" s="1"/>
  <c r="X315" i="25"/>
  <c r="Y315" i="25" s="1"/>
  <c r="AA315" i="25" s="1"/>
  <c r="X230" i="25"/>
  <c r="Y230" i="25" s="1"/>
  <c r="AA230" i="25" s="1"/>
  <c r="X285" i="25"/>
  <c r="Y285" i="25" s="1"/>
  <c r="AA285" i="25" s="1"/>
  <c r="X301" i="25"/>
  <c r="Y301" i="25" s="1"/>
  <c r="AA301" i="25" s="1"/>
  <c r="X293" i="25"/>
  <c r="Y293" i="25" s="1"/>
  <c r="AA293" i="25" s="1"/>
  <c r="X264" i="25"/>
  <c r="Y264" i="25" s="1"/>
  <c r="AA264" i="25" s="1"/>
  <c r="X250" i="25"/>
  <c r="Y250" i="25" s="1"/>
  <c r="AA250" i="25" s="1"/>
  <c r="X242" i="25"/>
  <c r="Y242" i="25" s="1"/>
  <c r="AA242" i="25" s="1"/>
  <c r="X280" i="25"/>
  <c r="Y280" i="25" s="1"/>
  <c r="AA280" i="25" s="1"/>
  <c r="X278" i="25"/>
  <c r="Y278" i="25" s="1"/>
  <c r="AA278" i="25" s="1"/>
  <c r="X274" i="25"/>
  <c r="Y274" i="25" s="1"/>
  <c r="AA274" i="25" s="1"/>
  <c r="X270" i="25"/>
  <c r="Y270" i="25" s="1"/>
  <c r="AA270" i="25" s="1"/>
  <c r="X249" i="25"/>
  <c r="Y249" i="25" s="1"/>
  <c r="AA249" i="25" s="1"/>
  <c r="X241" i="25"/>
  <c r="Y241" i="25" s="1"/>
  <c r="AA241" i="25" s="1"/>
  <c r="X253" i="25"/>
  <c r="Y253" i="25" s="1"/>
  <c r="AA253" i="25" s="1"/>
  <c r="X235" i="25"/>
  <c r="Y235" i="25" s="1"/>
  <c r="AA235" i="25" s="1"/>
  <c r="X231" i="25"/>
  <c r="Y231" i="25" s="1"/>
  <c r="AA231" i="25" s="1"/>
  <c r="X216" i="25"/>
  <c r="Y216" i="25" s="1"/>
  <c r="AA216" i="25" s="1"/>
  <c r="X222" i="25"/>
  <c r="Y222" i="25" s="1"/>
  <c r="AA222" i="25" s="1"/>
  <c r="X208" i="25"/>
  <c r="Y208" i="25" s="1"/>
  <c r="AA208" i="25" s="1"/>
  <c r="X196" i="25"/>
  <c r="Y196" i="25" s="1"/>
  <c r="AA196" i="25" s="1"/>
  <c r="X228" i="25"/>
  <c r="Y228" i="25" s="1"/>
  <c r="AA228" i="25" s="1"/>
  <c r="X213" i="25"/>
  <c r="Y213" i="25" s="1"/>
  <c r="AA213" i="25" s="1"/>
  <c r="X205" i="25"/>
  <c r="Y205" i="25" s="1"/>
  <c r="AA205" i="25" s="1"/>
  <c r="X182" i="25"/>
  <c r="Y182" i="25" s="1"/>
  <c r="AA182" i="25" s="1"/>
  <c r="X178" i="25"/>
  <c r="Y178" i="25" s="1"/>
  <c r="AA178" i="25" s="1"/>
  <c r="X167" i="25"/>
  <c r="Y167" i="25" s="1"/>
  <c r="AA167" i="25" s="1"/>
  <c r="X148" i="25"/>
  <c r="Y148" i="25" s="1"/>
  <c r="AA148" i="25" s="1"/>
  <c r="X140" i="25"/>
  <c r="Y140" i="25" s="1"/>
  <c r="AA140" i="25" s="1"/>
  <c r="X137" i="25"/>
  <c r="Y137" i="25" s="1"/>
  <c r="AA137" i="25" s="1"/>
  <c r="X121" i="25"/>
  <c r="Y121" i="25" s="1"/>
  <c r="AA121" i="25" s="1"/>
  <c r="X131" i="25"/>
  <c r="Y131" i="25" s="1"/>
  <c r="AA131" i="25" s="1"/>
  <c r="X188" i="25"/>
  <c r="Y188" i="25" s="1"/>
  <c r="AA188" i="25" s="1"/>
  <c r="X134" i="25"/>
  <c r="Y134" i="25" s="1"/>
  <c r="AA134" i="25" s="1"/>
  <c r="X124" i="25"/>
  <c r="Y124" i="25" s="1"/>
  <c r="AA124" i="25" s="1"/>
  <c r="X116" i="25"/>
  <c r="Y116" i="25" s="1"/>
  <c r="AA116" i="25" s="1"/>
  <c r="X135" i="25"/>
  <c r="Y135" i="25" s="1"/>
  <c r="AA135" i="25" s="1"/>
  <c r="X55" i="25"/>
  <c r="Y55" i="25" s="1"/>
  <c r="AA55" i="25" s="1"/>
  <c r="X114" i="25"/>
  <c r="Y114" i="25" s="1"/>
  <c r="AA114" i="25" s="1"/>
  <c r="X80" i="25"/>
  <c r="Y80" i="25" s="1"/>
  <c r="AA80" i="25" s="1"/>
  <c r="X72" i="25"/>
  <c r="Y72" i="25" s="1"/>
  <c r="AA72" i="25" s="1"/>
  <c r="X58" i="25"/>
  <c r="Y58" i="25" s="1"/>
  <c r="AA58" i="25" s="1"/>
  <c r="X51" i="25"/>
  <c r="Y51" i="25" s="1"/>
  <c r="AA51" i="25" s="1"/>
  <c r="X46" i="25"/>
  <c r="Y46" i="25" s="1"/>
  <c r="AA46" i="25" s="1"/>
  <c r="X32" i="25"/>
  <c r="Y32" i="25" s="1"/>
  <c r="AA32" i="25" s="1"/>
  <c r="X57" i="25"/>
  <c r="Y57" i="25" s="1"/>
  <c r="AA57" i="25" s="1"/>
  <c r="X66" i="25"/>
  <c r="Y66" i="25" s="1"/>
  <c r="AA66" i="25" s="1"/>
  <c r="X261" i="25"/>
  <c r="Y261" i="25" s="1"/>
  <c r="AA261" i="25" s="1"/>
  <c r="X328" i="25"/>
  <c r="Y328" i="25" s="1"/>
  <c r="AA328" i="25" s="1"/>
  <c r="X317" i="25"/>
  <c r="Y317" i="25" s="1"/>
  <c r="AA317" i="25" s="1"/>
  <c r="X296" i="25"/>
  <c r="Y296" i="25" s="1"/>
  <c r="AA296" i="25" s="1"/>
  <c r="X277" i="25"/>
  <c r="Y277" i="25" s="1"/>
  <c r="AA277" i="25" s="1"/>
  <c r="X269" i="25"/>
  <c r="Y269" i="25" s="1"/>
  <c r="AA269" i="25" s="1"/>
  <c r="X211" i="25"/>
  <c r="Y211" i="25" s="1"/>
  <c r="AA211" i="25" s="1"/>
  <c r="X183" i="25"/>
  <c r="Y183" i="25" s="1"/>
  <c r="AA183" i="25" s="1"/>
  <c r="X175" i="25"/>
  <c r="Y175" i="25" s="1"/>
  <c r="AA175" i="25" s="1"/>
  <c r="X157" i="25"/>
  <c r="Y157" i="25" s="1"/>
  <c r="AA157" i="25" s="1"/>
  <c r="X139" i="25"/>
  <c r="Y139" i="25" s="1"/>
  <c r="AA139" i="25" s="1"/>
  <c r="X286" i="25"/>
  <c r="Y286" i="25" s="1"/>
  <c r="AA286" i="25" s="1"/>
  <c r="X37" i="25"/>
  <c r="Y37" i="25" s="1"/>
  <c r="AA37" i="25" s="1"/>
  <c r="X172" i="25"/>
  <c r="Y172" i="25" s="1"/>
  <c r="AA172" i="25" s="1"/>
  <c r="X143" i="25"/>
  <c r="Y143" i="25" s="1"/>
  <c r="AA143" i="25" s="1"/>
  <c r="X106" i="25"/>
  <c r="Y106" i="25" s="1"/>
  <c r="AA106" i="25" s="1"/>
  <c r="X92" i="25"/>
  <c r="Y92" i="25" s="1"/>
  <c r="AA92" i="25" s="1"/>
  <c r="X334" i="25"/>
  <c r="Y334" i="25" s="1"/>
  <c r="AA334" i="25" s="1"/>
  <c r="X265" i="25"/>
  <c r="Y265" i="25" s="1"/>
  <c r="AA265" i="25" s="1"/>
  <c r="X198" i="25"/>
  <c r="Y198" i="25" s="1"/>
  <c r="AA198" i="25" s="1"/>
  <c r="X73" i="25"/>
  <c r="Y73" i="25" s="1"/>
  <c r="AA73" i="25" s="1"/>
  <c r="X259" i="25"/>
  <c r="Y259" i="25" s="1"/>
  <c r="AA259" i="25" s="1"/>
  <c r="X308" i="25"/>
  <c r="Y308" i="25" s="1"/>
  <c r="AA308" i="25" s="1"/>
  <c r="X77" i="25"/>
  <c r="Y77" i="25" s="1"/>
  <c r="AA77" i="25" s="1"/>
  <c r="X61" i="25"/>
  <c r="Y61" i="25" s="1"/>
  <c r="AA61" i="25" s="1"/>
  <c r="X227" i="25"/>
  <c r="Y227" i="25" s="1"/>
  <c r="AA227" i="25" s="1"/>
  <c r="X351" i="25"/>
  <c r="Y351" i="25" s="1"/>
  <c r="AA351" i="25" s="1"/>
  <c r="X312" i="25"/>
  <c r="Y312" i="25" s="1"/>
  <c r="AA312" i="25" s="1"/>
  <c r="X327" i="25"/>
  <c r="Y327" i="25" s="1"/>
  <c r="AA327" i="25" s="1"/>
  <c r="X311" i="25"/>
  <c r="Y311" i="25" s="1"/>
  <c r="AA311" i="25" s="1"/>
  <c r="X102" i="25"/>
  <c r="Y102" i="25" s="1"/>
  <c r="AA102" i="25" s="1"/>
  <c r="X289" i="25"/>
  <c r="Y289" i="25" s="1"/>
  <c r="AA289" i="25" s="1"/>
  <c r="X248" i="25"/>
  <c r="Y248" i="25" s="1"/>
  <c r="AA248" i="25" s="1"/>
  <c r="X291" i="25"/>
  <c r="Y291" i="25" s="1"/>
  <c r="AA291" i="25" s="1"/>
  <c r="X292" i="25"/>
  <c r="Y292" i="25" s="1"/>
  <c r="AA292" i="25" s="1"/>
  <c r="X247" i="25"/>
  <c r="Y247" i="25" s="1"/>
  <c r="AA247" i="25" s="1"/>
  <c r="X232" i="25"/>
  <c r="Y232" i="25" s="1"/>
  <c r="AA232" i="25" s="1"/>
  <c r="X214" i="25"/>
  <c r="Y214" i="25" s="1"/>
  <c r="AA214" i="25" s="1"/>
  <c r="X215" i="25"/>
  <c r="Y215" i="25" s="1"/>
  <c r="AA215" i="25" s="1"/>
  <c r="X195" i="25"/>
  <c r="Y195" i="25" s="1"/>
  <c r="AA195" i="25" s="1"/>
  <c r="X191" i="25"/>
  <c r="Y191" i="25" s="1"/>
  <c r="AA191" i="25" s="1"/>
  <c r="X207" i="25"/>
  <c r="Y207" i="25" s="1"/>
  <c r="AA207" i="25" s="1"/>
  <c r="X194" i="25"/>
  <c r="Y194" i="25" s="1"/>
  <c r="AA194" i="25" s="1"/>
  <c r="X212" i="25"/>
  <c r="Y212" i="25" s="1"/>
  <c r="AA212" i="25" s="1"/>
  <c r="X210" i="25"/>
  <c r="Y210" i="25" s="1"/>
  <c r="AA210" i="25" s="1"/>
  <c r="X154" i="25"/>
  <c r="Y154" i="25" s="1"/>
  <c r="AA154" i="25" s="1"/>
  <c r="X145" i="25"/>
  <c r="Y145" i="25" s="1"/>
  <c r="AA145" i="25" s="1"/>
  <c r="X127" i="25"/>
  <c r="Y127" i="25" s="1"/>
  <c r="AA127" i="25" s="1"/>
  <c r="X119" i="25"/>
  <c r="Y119" i="25" s="1"/>
  <c r="AA119" i="25" s="1"/>
  <c r="X184" i="25"/>
  <c r="Y184" i="25" s="1"/>
  <c r="AA184" i="25" s="1"/>
  <c r="X162" i="25"/>
  <c r="Y162" i="25" s="1"/>
  <c r="AA162" i="25" s="1"/>
  <c r="X158" i="25"/>
  <c r="Y158" i="25" s="1"/>
  <c r="AA158" i="25" s="1"/>
  <c r="X132" i="25"/>
  <c r="Y132" i="25" s="1"/>
  <c r="AA132" i="25" s="1"/>
  <c r="X122" i="25"/>
  <c r="Y122" i="25" s="1"/>
  <c r="AA122" i="25" s="1"/>
  <c r="X108" i="25"/>
  <c r="Y108" i="25" s="1"/>
  <c r="AA108" i="25" s="1"/>
  <c r="X78" i="25"/>
  <c r="Y78" i="25" s="1"/>
  <c r="AA78" i="25" s="1"/>
  <c r="X70" i="25"/>
  <c r="Y70" i="25" s="1"/>
  <c r="AA70" i="25" s="1"/>
  <c r="X56" i="25"/>
  <c r="Y56" i="25" s="1"/>
  <c r="AA56" i="25" s="1"/>
  <c r="X50" i="25"/>
  <c r="Y50" i="25" s="1"/>
  <c r="AA50" i="25" s="1"/>
  <c r="X44" i="25"/>
  <c r="Y44" i="25" s="1"/>
  <c r="AA44" i="25" s="1"/>
  <c r="X31" i="25"/>
  <c r="Y31" i="25" s="1"/>
  <c r="AA31" i="25" s="1"/>
  <c r="X64" i="25"/>
  <c r="Y64" i="25" s="1"/>
  <c r="AA64" i="25" s="1"/>
  <c r="X60" i="25"/>
  <c r="Y60" i="25" s="1"/>
  <c r="AA60" i="25" s="1"/>
  <c r="X53" i="25"/>
  <c r="Y53" i="25" s="1"/>
  <c r="AA53" i="25" s="1"/>
  <c r="X42" i="25"/>
  <c r="Y42" i="25" s="1"/>
  <c r="AA42" i="25" s="1"/>
  <c r="X38" i="25"/>
  <c r="Y38" i="25" s="1"/>
  <c r="AA38" i="25" s="1"/>
  <c r="X128" i="25"/>
  <c r="Y128" i="25" s="1"/>
  <c r="AA128" i="25" s="1"/>
  <c r="X360" i="25"/>
  <c r="Y360" i="25" s="1"/>
  <c r="AA360" i="25" s="1"/>
  <c r="X189" i="25"/>
  <c r="Y189" i="25" s="1"/>
  <c r="AA189" i="25" s="1"/>
  <c r="X326" i="25"/>
  <c r="Y326" i="25" s="1"/>
  <c r="AA326" i="25" s="1"/>
  <c r="X313" i="25"/>
  <c r="Y313" i="25" s="1"/>
  <c r="AA313" i="25" s="1"/>
  <c r="X294" i="25"/>
  <c r="Y294" i="25" s="1"/>
  <c r="AA294" i="25" s="1"/>
  <c r="X275" i="25"/>
  <c r="Y275" i="25" s="1"/>
  <c r="AA275" i="25" s="1"/>
  <c r="X267" i="25"/>
  <c r="Y267" i="25" s="1"/>
  <c r="AA267" i="25" s="1"/>
  <c r="X258" i="25"/>
  <c r="Y258" i="25" s="1"/>
  <c r="AA258" i="25" s="1"/>
  <c r="X323" i="25"/>
  <c r="Y323" i="25" s="1"/>
  <c r="AA323" i="25" s="1"/>
  <c r="X181" i="25"/>
  <c r="Y181" i="25" s="1"/>
  <c r="AA181" i="25" s="1"/>
  <c r="X163" i="25"/>
  <c r="Y163" i="25" s="1"/>
  <c r="AA163" i="25" s="1"/>
  <c r="X155" i="25"/>
  <c r="Y155" i="25" s="1"/>
  <c r="AA155" i="25" s="1"/>
  <c r="X300" i="25"/>
  <c r="Y300" i="25" s="1"/>
  <c r="AA300" i="25" s="1"/>
  <c r="X199" i="25"/>
  <c r="Y199" i="25" s="1"/>
  <c r="AA199" i="25" s="1"/>
  <c r="X113" i="25"/>
  <c r="Y113" i="25" s="1"/>
  <c r="AA113" i="25" s="1"/>
  <c r="X99" i="25"/>
  <c r="Y99" i="25" s="1"/>
  <c r="AA99" i="25" s="1"/>
  <c r="X43" i="25"/>
  <c r="Y43" i="25" s="1"/>
  <c r="AA43" i="25" s="1"/>
  <c r="X202" i="25"/>
  <c r="Y202" i="25" s="1"/>
  <c r="AA202" i="25" s="1"/>
  <c r="X165" i="25"/>
  <c r="Y165" i="25" s="1"/>
  <c r="AA165" i="25" s="1"/>
  <c r="X287" i="25"/>
  <c r="Y287" i="25" s="1"/>
  <c r="AA287" i="25" s="1"/>
  <c r="X88" i="25"/>
  <c r="Y88" i="25" s="1"/>
  <c r="AA88" i="25" s="1"/>
  <c r="X333" i="25"/>
  <c r="Y333" i="25" s="1"/>
  <c r="AA333" i="25" s="1"/>
  <c r="X263" i="25"/>
  <c r="Y263" i="25" s="1"/>
  <c r="AA263" i="25" s="1"/>
  <c r="X149" i="25"/>
  <c r="Y149" i="25" s="1"/>
  <c r="AA149" i="25" s="1"/>
  <c r="X329" i="25"/>
  <c r="Y329" i="25" s="1"/>
  <c r="AA329" i="25" s="1"/>
  <c r="X354" i="25"/>
  <c r="Y354" i="25" s="1"/>
  <c r="AA354" i="25" s="1"/>
  <c r="X330" i="25"/>
  <c r="Y330" i="25" s="1"/>
  <c r="AA330" i="25" s="1"/>
  <c r="X67" i="25"/>
  <c r="Y67" i="25" s="1"/>
  <c r="AA67" i="25" s="1"/>
  <c r="X59" i="25"/>
  <c r="Y59" i="25" s="1"/>
  <c r="AA59" i="25" s="1"/>
  <c r="X361" i="25"/>
  <c r="Y361" i="25" s="1"/>
  <c r="AA361" i="25" s="1"/>
  <c r="X169" i="25"/>
  <c r="Y169" i="25" s="1"/>
  <c r="AA169" i="25" s="1"/>
  <c r="X107" i="25"/>
  <c r="Y107" i="25" s="1"/>
  <c r="AA107" i="25" s="1"/>
  <c r="X201" i="25"/>
  <c r="Y201" i="25" s="1"/>
  <c r="AA201" i="25" s="1"/>
  <c r="X97" i="25"/>
  <c r="Y97" i="25" s="1"/>
  <c r="AA97" i="25" s="1"/>
  <c r="X358" i="25"/>
  <c r="Y358" i="25" s="1"/>
  <c r="AA358" i="25" s="1"/>
  <c r="X141" i="25"/>
  <c r="Y141" i="25" s="1"/>
  <c r="AA141" i="25" s="1"/>
  <c r="X343" i="25"/>
  <c r="Y343" i="25" s="1"/>
  <c r="AA343" i="25" s="1"/>
  <c r="X314" i="25"/>
  <c r="Y314" i="25" s="1"/>
  <c r="AA314" i="25" s="1"/>
  <c r="X101" i="25"/>
  <c r="Y101" i="25" s="1"/>
  <c r="AA101" i="25" s="1"/>
  <c r="AA318" i="27"/>
  <c r="A319" i="27"/>
  <c r="Q344" i="25"/>
  <c r="Q339" i="25"/>
  <c r="Q319" i="25"/>
  <c r="Q337" i="25"/>
  <c r="Q345" i="25"/>
  <c r="Q320" i="25"/>
  <c r="Q321" i="25"/>
  <c r="Q338" i="25"/>
  <c r="Q352" i="25"/>
  <c r="Q302" i="25"/>
  <c r="Q307" i="25"/>
  <c r="Q356" i="25"/>
  <c r="Q341" i="25"/>
  <c r="P311" i="25"/>
  <c r="Q332" i="25"/>
  <c r="Q346" i="25"/>
  <c r="Q348" i="25"/>
  <c r="Q316" i="25"/>
  <c r="Q350" i="25"/>
  <c r="V230" i="25"/>
  <c r="Q331" i="25"/>
  <c r="Q299" i="25"/>
  <c r="Q303" i="25"/>
  <c r="Q336" i="25"/>
  <c r="Q349" i="25"/>
  <c r="P318" i="25"/>
  <c r="Q318" i="25"/>
  <c r="P310" i="25"/>
  <c r="Q310" i="25"/>
  <c r="Y30" i="25"/>
  <c r="K363" i="25"/>
  <c r="V146" i="25"/>
  <c r="L146" i="25"/>
  <c r="N146" i="25" s="1"/>
  <c r="Q146" i="25" s="1"/>
  <c r="V44" i="25"/>
  <c r="A33" i="25" l="1"/>
  <c r="AB32" i="25"/>
  <c r="A34" i="25"/>
  <c r="AB34" i="25" s="1"/>
  <c r="X332" i="25"/>
  <c r="Y332" i="25" s="1"/>
  <c r="AA332" i="25" s="1"/>
  <c r="X299" i="25"/>
  <c r="Y299" i="25" s="1"/>
  <c r="X302" i="25"/>
  <c r="Y302" i="25" s="1"/>
  <c r="AA302" i="25" s="1"/>
  <c r="X339" i="25"/>
  <c r="Y339" i="25" s="1"/>
  <c r="AA339" i="25" s="1"/>
  <c r="X310" i="25"/>
  <c r="Y310" i="25" s="1"/>
  <c r="AA310" i="25" s="1"/>
  <c r="X331" i="25"/>
  <c r="Y331" i="25" s="1"/>
  <c r="AA331" i="25" s="1"/>
  <c r="X341" i="25"/>
  <c r="Y341" i="25" s="1"/>
  <c r="AA341" i="25" s="1"/>
  <c r="X352" i="25"/>
  <c r="Y352" i="25" s="1"/>
  <c r="AA352" i="25" s="1"/>
  <c r="X344" i="25"/>
  <c r="Y344" i="25" s="1"/>
  <c r="AA344" i="25" s="1"/>
  <c r="X336" i="25"/>
  <c r="Y336" i="25" s="1"/>
  <c r="AA336" i="25" s="1"/>
  <c r="X346" i="25"/>
  <c r="Y346" i="25" s="1"/>
  <c r="AA346" i="25" s="1"/>
  <c r="X356" i="25"/>
  <c r="Y356" i="25" s="1"/>
  <c r="AA356" i="25" s="1"/>
  <c r="X338" i="25"/>
  <c r="Y338" i="25" s="1"/>
  <c r="AA338" i="25" s="1"/>
  <c r="X337" i="25"/>
  <c r="Y337" i="25" s="1"/>
  <c r="AA337" i="25" s="1"/>
  <c r="X318" i="25"/>
  <c r="Y318" i="25" s="1"/>
  <c r="AA318" i="25" s="1"/>
  <c r="X303" i="25"/>
  <c r="Y303" i="25" s="1"/>
  <c r="AA303" i="25" s="1"/>
  <c r="X350" i="25"/>
  <c r="Y350" i="25" s="1"/>
  <c r="AA350" i="25" s="1"/>
  <c r="X307" i="25"/>
  <c r="Y307" i="25" s="1"/>
  <c r="AA307" i="25" s="1"/>
  <c r="X321" i="25"/>
  <c r="Y321" i="25" s="1"/>
  <c r="AA321" i="25" s="1"/>
  <c r="X319" i="25"/>
  <c r="Y319" i="25" s="1"/>
  <c r="AA319" i="25" s="1"/>
  <c r="X316" i="25"/>
  <c r="Y316" i="25" s="1"/>
  <c r="AA316" i="25" s="1"/>
  <c r="X320" i="25"/>
  <c r="Y320" i="25" s="1"/>
  <c r="AA320" i="25" s="1"/>
  <c r="X146" i="25"/>
  <c r="Y146" i="25" s="1"/>
  <c r="X349" i="25"/>
  <c r="Y349" i="25" s="1"/>
  <c r="AA349" i="25" s="1"/>
  <c r="X348" i="25"/>
  <c r="Y348" i="25" s="1"/>
  <c r="AA348" i="25" s="1"/>
  <c r="X345" i="25"/>
  <c r="Y345" i="25" s="1"/>
  <c r="AA345" i="25" s="1"/>
  <c r="AA319" i="27"/>
  <c r="A320" i="27"/>
  <c r="AA30" i="25"/>
  <c r="V363" i="25"/>
  <c r="N363" i="25"/>
  <c r="L363" i="25"/>
  <c r="Q363" i="25"/>
  <c r="X363" i="25" l="1"/>
  <c r="AB33" i="25"/>
  <c r="A35" i="25"/>
  <c r="AA146" i="25"/>
  <c r="Y297" i="25"/>
  <c r="AA299" i="25"/>
  <c r="AA362" i="25" s="1"/>
  <c r="Y362" i="25"/>
  <c r="AA297" i="25"/>
  <c r="AA320" i="27"/>
  <c r="A321" i="27"/>
  <c r="AB35" i="25" l="1"/>
  <c r="A36" i="25"/>
  <c r="Y363" i="25"/>
  <c r="AA363" i="25"/>
  <c r="AA321" i="27"/>
  <c r="A322" i="27"/>
  <c r="AB36" i="25" l="1"/>
  <c r="A37" i="25"/>
  <c r="AA322" i="27"/>
  <c r="A323" i="27"/>
  <c r="AB37" i="25" l="1"/>
  <c r="A38" i="25"/>
  <c r="AA323" i="27"/>
  <c r="A324" i="27"/>
  <c r="AB38" i="25" l="1"/>
  <c r="A39" i="25"/>
  <c r="A40" i="25"/>
  <c r="AB40" i="25" s="1"/>
  <c r="AA324" i="27"/>
  <c r="A325" i="27"/>
  <c r="AB39" i="25" l="1"/>
  <c r="A41" i="25"/>
  <c r="AA325" i="27"/>
  <c r="A326" i="27"/>
  <c r="AB41" i="25" l="1"/>
  <c r="A42" i="25"/>
  <c r="A43" i="25" s="1"/>
  <c r="AB43" i="25" s="1"/>
  <c r="AA326" i="27"/>
  <c r="A327" i="27"/>
  <c r="A44" i="25" l="1"/>
  <c r="AB42" i="25"/>
  <c r="AA327" i="27"/>
  <c r="A328" i="27"/>
  <c r="AB44" i="25" l="1"/>
  <c r="A45" i="25"/>
  <c r="AA328" i="27"/>
  <c r="A329" i="27"/>
  <c r="AB45" i="25" l="1"/>
  <c r="A46" i="25"/>
  <c r="AA329" i="27"/>
  <c r="A330" i="27"/>
  <c r="AB46" i="25" l="1"/>
  <c r="A47" i="25"/>
  <c r="AA330" i="27"/>
  <c r="A331" i="27"/>
  <c r="AB47" i="25" l="1"/>
  <c r="A48" i="25"/>
  <c r="AA331" i="27"/>
  <c r="A332" i="27"/>
  <c r="AB48" i="25" l="1"/>
  <c r="A49" i="25"/>
  <c r="AA332" i="27"/>
  <c r="A333" i="27"/>
  <c r="AB49" i="25" l="1"/>
  <c r="A50" i="25"/>
  <c r="AA333" i="27"/>
  <c r="A334" i="27"/>
  <c r="AB50" i="25" l="1"/>
  <c r="A51" i="25"/>
  <c r="AB51" i="25" s="1"/>
  <c r="A52" i="25"/>
  <c r="AB52" i="25" s="1"/>
  <c r="AA334" i="27"/>
  <c r="A335" i="27"/>
  <c r="A53" i="25" l="1"/>
  <c r="AB53" i="25" s="1"/>
  <c r="AA335" i="27"/>
  <c r="A336" i="27"/>
  <c r="A54" i="25" l="1"/>
  <c r="AA336" i="27"/>
  <c r="A337" i="27"/>
  <c r="AB54" i="25" l="1"/>
  <c r="A55" i="25"/>
  <c r="AA337" i="27"/>
  <c r="A338" i="27"/>
  <c r="AB55" i="25" l="1"/>
  <c r="A56" i="25"/>
  <c r="AA338" i="27"/>
  <c r="A339" i="27"/>
  <c r="AB56" i="25" l="1"/>
  <c r="A57" i="25"/>
  <c r="AA339" i="27"/>
  <c r="A340" i="27"/>
  <c r="AB57" i="25" l="1"/>
  <c r="A58" i="25"/>
  <c r="A59" i="25"/>
  <c r="AB59" i="25" s="1"/>
  <c r="AA340" i="27"/>
  <c r="A341" i="27"/>
  <c r="AB58" i="25" l="1"/>
  <c r="A60" i="25"/>
  <c r="AA341" i="27"/>
  <c r="A342" i="27"/>
  <c r="AB60" i="25" l="1"/>
  <c r="A61" i="25"/>
  <c r="AB61" i="25" s="1"/>
  <c r="A62" i="25"/>
  <c r="AB62" i="25" s="1"/>
  <c r="A343" i="27"/>
  <c r="AA343" i="27" s="1"/>
  <c r="AA342" i="27"/>
  <c r="A63" i="25" l="1"/>
  <c r="AB63" i="25" s="1"/>
  <c r="A344" i="27"/>
  <c r="AA344" i="27" s="1"/>
  <c r="A64" i="25"/>
  <c r="A345" i="27"/>
  <c r="AB64" i="25" l="1"/>
  <c r="A65" i="25"/>
  <c r="A66" i="25"/>
  <c r="AB66" i="25" s="1"/>
  <c r="A346" i="27"/>
  <c r="AA346" i="27" s="1"/>
  <c r="AA345" i="27"/>
  <c r="A67" i="25" l="1"/>
  <c r="AB67" i="25" s="1"/>
  <c r="AB65" i="25"/>
  <c r="A68" i="25"/>
  <c r="A347" i="27"/>
  <c r="AA347" i="27" s="1"/>
  <c r="AB68" i="25" l="1"/>
  <c r="A69" i="25"/>
  <c r="A348" i="27"/>
  <c r="AA348" i="27" s="1"/>
  <c r="A70" i="25" l="1"/>
  <c r="AB70" i="25" s="1"/>
  <c r="AB69" i="25"/>
  <c r="A71" i="25"/>
  <c r="AB71" i="25" s="1"/>
  <c r="A349" i="27"/>
  <c r="AA349" i="27" s="1"/>
  <c r="A72" i="25" l="1"/>
  <c r="A350" i="27"/>
  <c r="AA350" i="27" s="1"/>
  <c r="AB72" i="25"/>
  <c r="A73" i="25"/>
  <c r="A351" i="27" l="1"/>
  <c r="AA351" i="27" s="1"/>
  <c r="AB73" i="25"/>
  <c r="A74" i="25"/>
  <c r="A352" i="27" l="1"/>
  <c r="AA352" i="27" s="1"/>
  <c r="AB74" i="25"/>
  <c r="A75" i="25"/>
  <c r="AB75" i="25" l="1"/>
  <c r="A76" i="25"/>
  <c r="AB76" i="25" l="1"/>
  <c r="A77" i="25"/>
  <c r="AB77" i="25" l="1"/>
  <c r="A78" i="25"/>
  <c r="AB78" i="25" l="1"/>
  <c r="A79" i="25"/>
  <c r="AB79" i="25" l="1"/>
  <c r="A80" i="25"/>
  <c r="AB80" i="25" l="1"/>
  <c r="A81" i="25"/>
  <c r="AB81" i="25" l="1"/>
  <c r="A82" i="25"/>
  <c r="AB82" i="25" l="1"/>
  <c r="A83" i="25"/>
  <c r="AB83" i="25" l="1"/>
  <c r="A84" i="25"/>
  <c r="AB84" i="25" l="1"/>
  <c r="A85" i="25"/>
  <c r="AB85" i="25" l="1"/>
  <c r="A86" i="25"/>
  <c r="AB86" i="25" l="1"/>
  <c r="A87" i="25"/>
  <c r="AB87" i="25" l="1"/>
  <c r="A88" i="25"/>
  <c r="AB88" i="25" l="1"/>
  <c r="A89" i="25"/>
  <c r="AB89" i="25" l="1"/>
  <c r="A90" i="25"/>
  <c r="AB90" i="25" l="1"/>
  <c r="A91" i="25"/>
  <c r="AB91" i="25" l="1"/>
  <c r="A92" i="25"/>
  <c r="AB92" i="25" l="1"/>
  <c r="A93" i="25"/>
  <c r="AB93" i="25" l="1"/>
  <c r="A94" i="25"/>
  <c r="AB94" i="25" l="1"/>
  <c r="A95" i="25"/>
  <c r="AB95" i="25" l="1"/>
  <c r="A96" i="25"/>
  <c r="AB96" i="25" l="1"/>
  <c r="A97" i="25"/>
  <c r="AB97" i="25" l="1"/>
  <c r="A98" i="25"/>
  <c r="AB98" i="25" l="1"/>
  <c r="A99" i="25"/>
  <c r="AB99" i="25" l="1"/>
  <c r="A100" i="25"/>
  <c r="AB100" i="25" l="1"/>
  <c r="A101" i="25"/>
  <c r="AB101" i="25" l="1"/>
  <c r="A102" i="25"/>
  <c r="AB102" i="25" l="1"/>
  <c r="A103" i="25"/>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A260" i="25" s="1"/>
  <c r="A261" i="25" s="1"/>
  <c r="A262" i="25" s="1"/>
  <c r="A263" i="25" s="1"/>
  <c r="A264" i="25" s="1"/>
  <c r="A265" i="25" s="1"/>
  <c r="A266" i="25" s="1"/>
  <c r="A267" i="25" s="1"/>
  <c r="A268" i="25" s="1"/>
  <c r="A269" i="25" s="1"/>
  <c r="A270" i="25" s="1"/>
  <c r="A271" i="25" s="1"/>
  <c r="A272" i="25" s="1"/>
  <c r="A273" i="25" s="1"/>
  <c r="A274" i="25" s="1"/>
  <c r="A275" i="25" s="1"/>
  <c r="A276" i="25" s="1"/>
  <c r="A277" i="25" s="1"/>
  <c r="A278" i="25" s="1"/>
  <c r="A279" i="25" s="1"/>
  <c r="A280" i="25" s="1"/>
  <c r="A281" i="25" s="1"/>
  <c r="A282" i="25" s="1"/>
  <c r="A283" i="25" s="1"/>
  <c r="A284" i="25" s="1"/>
  <c r="A285" i="25" s="1"/>
  <c r="AB285" i="25" l="1"/>
  <c r="A286" i="25"/>
  <c r="A287" i="25" s="1"/>
  <c r="A288" i="25" s="1"/>
  <c r="A289" i="25" s="1"/>
  <c r="A290" i="25" s="1"/>
  <c r="A291" i="25" s="1"/>
  <c r="A292" i="25" s="1"/>
  <c r="A293" i="25" s="1"/>
  <c r="A294" i="25" s="1"/>
  <c r="A295" i="25" s="1"/>
  <c r="A296" i="25" s="1"/>
  <c r="Z291" i="24" l="1"/>
  <c r="Z292" i="24"/>
  <c r="AB292" i="24" s="1"/>
  <c r="Z293" i="24"/>
  <c r="AB293" i="24" s="1"/>
  <c r="Z294" i="24"/>
  <c r="AB294" i="24" s="1"/>
  <c r="Z295" i="24"/>
  <c r="AB295" i="24" s="1"/>
  <c r="Z296" i="24"/>
  <c r="AB296" i="24" s="1"/>
  <c r="Z297" i="24"/>
  <c r="AB297" i="24" s="1"/>
  <c r="Z298" i="24"/>
  <c r="AB298" i="24" s="1"/>
  <c r="Z299" i="24"/>
  <c r="AB299" i="24" s="1"/>
  <c r="Z300" i="24"/>
  <c r="AB300" i="24" s="1"/>
  <c r="Z301" i="24"/>
  <c r="AB301" i="24" s="1"/>
  <c r="Z302" i="24"/>
  <c r="AB302" i="24" s="1"/>
  <c r="Z303" i="24"/>
  <c r="AB303" i="24" s="1"/>
  <c r="Z304" i="24"/>
  <c r="AB304" i="24" s="1"/>
  <c r="Z305" i="24"/>
  <c r="AB305" i="24" s="1"/>
  <c r="Z306" i="24"/>
  <c r="AB306" i="24" s="1"/>
  <c r="Z307" i="24"/>
  <c r="AB307" i="24" s="1"/>
  <c r="Z308" i="24"/>
  <c r="AB308" i="24" s="1"/>
  <c r="Z309" i="24"/>
  <c r="AB309" i="24" s="1"/>
  <c r="Z310" i="24"/>
  <c r="AB310" i="24" s="1"/>
  <c r="Z311" i="24"/>
  <c r="AB311" i="24" s="1"/>
  <c r="Z312" i="24"/>
  <c r="AB312" i="24" s="1"/>
  <c r="Z313" i="24"/>
  <c r="AB313" i="24" s="1"/>
  <c r="Z314" i="24"/>
  <c r="AB314" i="24" s="1"/>
  <c r="Z315" i="24"/>
  <c r="AB315" i="24" s="1"/>
  <c r="Z316" i="24"/>
  <c r="AB316" i="24" s="1"/>
  <c r="Z317" i="24"/>
  <c r="AB317" i="24" s="1"/>
  <c r="Z318" i="24"/>
  <c r="AB318" i="24" s="1"/>
  <c r="Z319" i="24"/>
  <c r="AB319" i="24" s="1"/>
  <c r="Z320" i="24"/>
  <c r="AB320" i="24" s="1"/>
  <c r="Z321" i="24"/>
  <c r="AB321" i="24" s="1"/>
  <c r="Z322" i="24"/>
  <c r="AB322" i="24" s="1"/>
  <c r="Z323" i="24"/>
  <c r="AB323" i="24" s="1"/>
  <c r="Z324" i="24"/>
  <c r="AB324" i="24" s="1"/>
  <c r="Z325" i="24"/>
  <c r="AB325" i="24" s="1"/>
  <c r="Z326" i="24"/>
  <c r="AB326" i="24" s="1"/>
  <c r="Z327" i="24"/>
  <c r="AB327" i="24" s="1"/>
  <c r="Z328" i="24"/>
  <c r="AB328" i="24" s="1"/>
  <c r="Z329" i="24"/>
  <c r="AB329" i="24" s="1"/>
  <c r="Z330" i="24"/>
  <c r="AB330" i="24" s="1"/>
  <c r="Z331" i="24"/>
  <c r="AB331" i="24" s="1"/>
  <c r="Z332" i="24"/>
  <c r="AB332" i="24" s="1"/>
  <c r="Z333" i="24"/>
  <c r="AB333" i="24" s="1"/>
  <c r="Z334" i="24"/>
  <c r="AB334" i="24" s="1"/>
  <c r="Z335" i="24"/>
  <c r="AB335" i="24" s="1"/>
  <c r="Z336" i="24"/>
  <c r="AB336" i="24" s="1"/>
  <c r="Z337" i="24"/>
  <c r="AB337" i="24" s="1"/>
  <c r="Z338" i="24"/>
  <c r="AB338" i="24" s="1"/>
  <c r="Z339" i="24"/>
  <c r="AB339" i="24" s="1"/>
  <c r="Z340" i="24"/>
  <c r="AB340" i="24" s="1"/>
  <c r="Z341" i="24"/>
  <c r="AB341" i="24" s="1"/>
  <c r="Z342" i="24"/>
  <c r="AB342" i="24" s="1"/>
  <c r="Z343" i="24"/>
  <c r="AB343" i="24" s="1"/>
  <c r="Z344" i="24"/>
  <c r="AB344" i="24" s="1"/>
  <c r="Z345" i="24"/>
  <c r="AB345" i="24" s="1"/>
  <c r="Z346" i="24"/>
  <c r="AB346" i="24" s="1"/>
  <c r="Z347" i="24"/>
  <c r="AB347" i="24" s="1"/>
  <c r="Z348" i="24"/>
  <c r="AB348" i="24" s="1"/>
  <c r="Z349" i="24"/>
  <c r="AB349" i="24" s="1"/>
  <c r="Z350" i="24"/>
  <c r="AB350" i="24" s="1"/>
  <c r="Z351" i="24"/>
  <c r="AB351" i="24" s="1"/>
  <c r="Z352" i="24"/>
  <c r="AB352" i="24" s="1"/>
  <c r="Z353" i="24"/>
  <c r="AB353" i="24" s="1"/>
  <c r="J291" i="24"/>
  <c r="J299" i="25" s="1"/>
  <c r="J288" i="26" s="1"/>
  <c r="F289" i="27" s="1"/>
  <c r="J292" i="24"/>
  <c r="J300" i="25" s="1"/>
  <c r="J289" i="26" s="1"/>
  <c r="F290" i="27" s="1"/>
  <c r="J293" i="24"/>
  <c r="J301" i="25" s="1"/>
  <c r="J290" i="26" s="1"/>
  <c r="F291" i="27" s="1"/>
  <c r="J294" i="24"/>
  <c r="J302" i="25" s="1"/>
  <c r="J291" i="26" s="1"/>
  <c r="F292" i="27" s="1"/>
  <c r="J295" i="24"/>
  <c r="J303" i="25" s="1"/>
  <c r="J292" i="26" s="1"/>
  <c r="F293" i="27" s="1"/>
  <c r="J296" i="24"/>
  <c r="J304" i="25" s="1"/>
  <c r="J293" i="26" s="1"/>
  <c r="F294" i="27" s="1"/>
  <c r="J297" i="24"/>
  <c r="J305" i="25" s="1"/>
  <c r="J294" i="26" s="1"/>
  <c r="F295" i="27" s="1"/>
  <c r="J298" i="24"/>
  <c r="J306" i="25" s="1"/>
  <c r="J295" i="26" s="1"/>
  <c r="F296" i="27" s="1"/>
  <c r="J299" i="24"/>
  <c r="J307" i="25" s="1"/>
  <c r="J296" i="26" s="1"/>
  <c r="F297" i="27" s="1"/>
  <c r="J300" i="24"/>
  <c r="J308" i="25" s="1"/>
  <c r="J297" i="26" s="1"/>
  <c r="F298" i="27" s="1"/>
  <c r="J301" i="24"/>
  <c r="J309" i="25" s="1"/>
  <c r="J298" i="26" s="1"/>
  <c r="F299" i="27" s="1"/>
  <c r="J302" i="24"/>
  <c r="J310" i="25" s="1"/>
  <c r="J299" i="26" s="1"/>
  <c r="F300" i="27" s="1"/>
  <c r="J303" i="24"/>
  <c r="J311" i="25" s="1"/>
  <c r="J300" i="26" s="1"/>
  <c r="F301" i="27" s="1"/>
  <c r="J304" i="24"/>
  <c r="J312" i="25" s="1"/>
  <c r="J301" i="26" s="1"/>
  <c r="F302" i="27" s="1"/>
  <c r="J305" i="24"/>
  <c r="J313" i="25" s="1"/>
  <c r="J302" i="26" s="1"/>
  <c r="F303" i="27" s="1"/>
  <c r="J306" i="24"/>
  <c r="J314" i="25" s="1"/>
  <c r="J303" i="26" s="1"/>
  <c r="F304" i="27" s="1"/>
  <c r="J307" i="24"/>
  <c r="J315" i="25" s="1"/>
  <c r="J304" i="26" s="1"/>
  <c r="F305" i="27" s="1"/>
  <c r="J308" i="24"/>
  <c r="J316" i="25" s="1"/>
  <c r="J305" i="26" s="1"/>
  <c r="F306" i="27" s="1"/>
  <c r="J309" i="24"/>
  <c r="J317" i="25" s="1"/>
  <c r="J306" i="26" s="1"/>
  <c r="F307" i="27" s="1"/>
  <c r="J310" i="24"/>
  <c r="J318" i="25" s="1"/>
  <c r="J307" i="26" s="1"/>
  <c r="F308" i="27" s="1"/>
  <c r="J311" i="24"/>
  <c r="J319" i="25" s="1"/>
  <c r="J308" i="26" s="1"/>
  <c r="F309" i="27" s="1"/>
  <c r="J312" i="24"/>
  <c r="J320" i="25" s="1"/>
  <c r="J309" i="26" s="1"/>
  <c r="F310" i="27" s="1"/>
  <c r="J313" i="24"/>
  <c r="J321" i="25" s="1"/>
  <c r="J310" i="26" s="1"/>
  <c r="F311" i="27" s="1"/>
  <c r="J314" i="24"/>
  <c r="J322" i="25" s="1"/>
  <c r="J311" i="26" s="1"/>
  <c r="F312" i="27" s="1"/>
  <c r="J315" i="24"/>
  <c r="J323" i="25" s="1"/>
  <c r="J312" i="26" s="1"/>
  <c r="F313" i="27" s="1"/>
  <c r="J316" i="24"/>
  <c r="J324" i="25" s="1"/>
  <c r="J313" i="26" s="1"/>
  <c r="F314" i="27" s="1"/>
  <c r="J317" i="24"/>
  <c r="J325" i="25" s="1"/>
  <c r="J314" i="26" s="1"/>
  <c r="F315" i="27" s="1"/>
  <c r="J318" i="24"/>
  <c r="J326" i="25" s="1"/>
  <c r="J315" i="26" s="1"/>
  <c r="F316" i="27" s="1"/>
  <c r="J319" i="24"/>
  <c r="J327" i="25" s="1"/>
  <c r="J316" i="26" s="1"/>
  <c r="F317" i="27" s="1"/>
  <c r="J320" i="24"/>
  <c r="J328" i="25" s="1"/>
  <c r="J317" i="26" s="1"/>
  <c r="F319" i="27" s="1"/>
  <c r="J321" i="24"/>
  <c r="J329" i="25" s="1"/>
  <c r="J318" i="26" s="1"/>
  <c r="F320" i="27" s="1"/>
  <c r="J322" i="24"/>
  <c r="J330" i="25" s="1"/>
  <c r="J319" i="26" s="1"/>
  <c r="F321" i="27" s="1"/>
  <c r="J323" i="24"/>
  <c r="J331" i="25" s="1"/>
  <c r="J320" i="26" s="1"/>
  <c r="F322" i="27" s="1"/>
  <c r="J324" i="24"/>
  <c r="J332" i="25" s="1"/>
  <c r="J321" i="26" s="1"/>
  <c r="F323" i="27" s="1"/>
  <c r="J325" i="24"/>
  <c r="J333" i="25" s="1"/>
  <c r="J322" i="26" s="1"/>
  <c r="F324" i="27" s="1"/>
  <c r="J326" i="24"/>
  <c r="J334" i="25" s="1"/>
  <c r="J323" i="26" s="1"/>
  <c r="F325" i="27" s="1"/>
  <c r="J327" i="24"/>
  <c r="J335" i="25" s="1"/>
  <c r="J324" i="26" s="1"/>
  <c r="F326" i="27" s="1"/>
  <c r="J328" i="24"/>
  <c r="J336" i="25" s="1"/>
  <c r="J325" i="26" s="1"/>
  <c r="F327" i="27" s="1"/>
  <c r="J329" i="24"/>
  <c r="J337" i="25" s="1"/>
  <c r="J326" i="26" s="1"/>
  <c r="F328" i="27" s="1"/>
  <c r="J330" i="24"/>
  <c r="J331" i="24"/>
  <c r="J332" i="24"/>
  <c r="J333" i="24"/>
  <c r="J334" i="24"/>
  <c r="J335" i="24"/>
  <c r="J343" i="25" s="1"/>
  <c r="J332" i="26" s="1"/>
  <c r="F334" i="27" s="1"/>
  <c r="J336" i="24"/>
  <c r="J344" i="25" s="1"/>
  <c r="J333" i="26" s="1"/>
  <c r="F335" i="27" s="1"/>
  <c r="J337" i="24"/>
  <c r="J338" i="24"/>
  <c r="J339" i="24"/>
  <c r="J347" i="25" s="1"/>
  <c r="J336" i="26" s="1"/>
  <c r="F338" i="27" s="1"/>
  <c r="J340" i="24"/>
  <c r="J348" i="25" s="1"/>
  <c r="J337" i="26" s="1"/>
  <c r="F339" i="27" s="1"/>
  <c r="J341" i="24"/>
  <c r="J349" i="25" s="1"/>
  <c r="J338" i="26" s="1"/>
  <c r="F340" i="27" s="1"/>
  <c r="J342" i="24"/>
  <c r="J350" i="25" s="1"/>
  <c r="J339" i="26" s="1"/>
  <c r="F341" i="27" s="1"/>
  <c r="J343" i="24"/>
  <c r="J351" i="25" s="1"/>
  <c r="J340" i="26" s="1"/>
  <c r="F342" i="27" s="1"/>
  <c r="J344" i="24"/>
  <c r="J352" i="25" s="1"/>
  <c r="J341" i="26" s="1"/>
  <c r="F343" i="27" s="1"/>
  <c r="J345" i="24"/>
  <c r="J353" i="25" s="1"/>
  <c r="J342" i="26" s="1"/>
  <c r="F344" i="27" s="1"/>
  <c r="J346" i="24"/>
  <c r="J354" i="25" s="1"/>
  <c r="J343" i="26" s="1"/>
  <c r="F345" i="27" s="1"/>
  <c r="J347" i="24"/>
  <c r="J355" i="25" s="1"/>
  <c r="J344" i="26" s="1"/>
  <c r="F346" i="27" s="1"/>
  <c r="J348" i="24"/>
  <c r="J356" i="25" s="1"/>
  <c r="J345" i="26" s="1"/>
  <c r="F347" i="27" s="1"/>
  <c r="J349" i="24"/>
  <c r="J357" i="25" s="1"/>
  <c r="J346" i="26" s="1"/>
  <c r="F348" i="27" s="1"/>
  <c r="J350" i="24"/>
  <c r="J358" i="25" s="1"/>
  <c r="J347" i="26" s="1"/>
  <c r="F349" i="27" s="1"/>
  <c r="J351" i="24"/>
  <c r="J359" i="25" s="1"/>
  <c r="J348" i="26" s="1"/>
  <c r="F350" i="27" s="1"/>
  <c r="J352" i="24"/>
  <c r="J360" i="25" s="1"/>
  <c r="J349" i="26" s="1"/>
  <c r="F351" i="27" s="1"/>
  <c r="J353" i="24"/>
  <c r="J361" i="25" s="1"/>
  <c r="J350" i="26" s="1"/>
  <c r="F352" i="27" s="1"/>
  <c r="J26" i="24"/>
  <c r="J35" i="25" s="1"/>
  <c r="J26" i="26" s="1"/>
  <c r="F28" i="27" s="1"/>
  <c r="J27" i="24"/>
  <c r="J36" i="25" s="1"/>
  <c r="J27" i="26" s="1"/>
  <c r="F29" i="27" s="1"/>
  <c r="J28" i="24"/>
  <c r="J37" i="25" s="1"/>
  <c r="J28" i="26" s="1"/>
  <c r="F30" i="27" s="1"/>
  <c r="J29" i="24"/>
  <c r="J38" i="25" s="1"/>
  <c r="J29" i="26" s="1"/>
  <c r="F31" i="27" s="1"/>
  <c r="J30" i="24"/>
  <c r="J39" i="25" s="1"/>
  <c r="J30" i="26" s="1"/>
  <c r="F32" i="27" s="1"/>
  <c r="J31" i="24"/>
  <c r="J40" i="25" s="1"/>
  <c r="J31" i="26" s="1"/>
  <c r="F33" i="27" s="1"/>
  <c r="J32" i="24"/>
  <c r="J41" i="25" s="1"/>
  <c r="J32" i="26" s="1"/>
  <c r="F34" i="27" s="1"/>
  <c r="J33" i="24"/>
  <c r="J42" i="25" s="1"/>
  <c r="J33" i="26" s="1"/>
  <c r="F35" i="27" s="1"/>
  <c r="J34" i="24"/>
  <c r="J43" i="25" s="1"/>
  <c r="J34" i="26" s="1"/>
  <c r="F36" i="27" s="1"/>
  <c r="J35" i="24"/>
  <c r="J44" i="25" s="1"/>
  <c r="J35" i="26" s="1"/>
  <c r="F37" i="27" s="1"/>
  <c r="J36" i="24"/>
  <c r="J45" i="25" s="1"/>
  <c r="J37" i="24"/>
  <c r="J46" i="25" s="1"/>
  <c r="J36" i="26" s="1"/>
  <c r="F38" i="27" s="1"/>
  <c r="J38" i="24"/>
  <c r="J47" i="25" s="1"/>
  <c r="J37" i="26" s="1"/>
  <c r="F39" i="27" s="1"/>
  <c r="J39" i="24"/>
  <c r="J48" i="25" s="1"/>
  <c r="J38" i="26" s="1"/>
  <c r="F40" i="27" s="1"/>
  <c r="J40" i="24"/>
  <c r="J49" i="25" s="1"/>
  <c r="J39" i="26" s="1"/>
  <c r="F41" i="27" s="1"/>
  <c r="J41" i="24"/>
  <c r="J50" i="25" s="1"/>
  <c r="J40" i="26" s="1"/>
  <c r="F42" i="27" s="1"/>
  <c r="J42" i="24"/>
  <c r="J51" i="25" s="1"/>
  <c r="J41" i="26" s="1"/>
  <c r="F43" i="27" s="1"/>
  <c r="J43" i="24"/>
  <c r="J52" i="25" s="1"/>
  <c r="J42" i="26" s="1"/>
  <c r="F44" i="27" s="1"/>
  <c r="J44" i="24"/>
  <c r="J53" i="25" s="1"/>
  <c r="J45" i="24"/>
  <c r="J54" i="25" s="1"/>
  <c r="J46" i="24"/>
  <c r="J55" i="25" s="1"/>
  <c r="J47" i="24"/>
  <c r="J56" i="25" s="1"/>
  <c r="J48" i="24"/>
  <c r="J57" i="25" s="1"/>
  <c r="J47" i="26" s="1"/>
  <c r="F49" i="27" s="1"/>
  <c r="J49" i="24"/>
  <c r="J58" i="25" s="1"/>
  <c r="J48" i="26" s="1"/>
  <c r="F50" i="27" s="1"/>
  <c r="J50" i="24"/>
  <c r="J59" i="25" s="1"/>
  <c r="J49" i="26" s="1"/>
  <c r="F51" i="27" s="1"/>
  <c r="J51" i="24"/>
  <c r="J60" i="25" s="1"/>
  <c r="J50" i="26" s="1"/>
  <c r="F52" i="27" s="1"/>
  <c r="J52" i="24"/>
  <c r="J61" i="25" s="1"/>
  <c r="J51" i="26" s="1"/>
  <c r="F53" i="27" s="1"/>
  <c r="J53" i="24"/>
  <c r="J62" i="25" s="1"/>
  <c r="J52" i="26" s="1"/>
  <c r="F54" i="27" s="1"/>
  <c r="J54" i="24"/>
  <c r="J63" i="25" s="1"/>
  <c r="J53" i="26" s="1"/>
  <c r="F55" i="27" s="1"/>
  <c r="J55" i="24"/>
  <c r="J64" i="25" s="1"/>
  <c r="J54" i="26" s="1"/>
  <c r="F56" i="27" s="1"/>
  <c r="J56" i="24"/>
  <c r="J65" i="25" s="1"/>
  <c r="J55" i="26" s="1"/>
  <c r="F57" i="27" s="1"/>
  <c r="J57" i="24"/>
  <c r="J66" i="25" s="1"/>
  <c r="J56" i="26" s="1"/>
  <c r="F58" i="27" s="1"/>
  <c r="J58" i="24"/>
  <c r="J59" i="24"/>
  <c r="J60" i="24"/>
  <c r="J61" i="24"/>
  <c r="J62" i="24"/>
  <c r="J63" i="24"/>
  <c r="J64" i="24"/>
  <c r="J65" i="24"/>
  <c r="J66" i="24"/>
  <c r="J67" i="24"/>
  <c r="J76" i="25" s="1"/>
  <c r="J66" i="26" s="1"/>
  <c r="F68" i="27" s="1"/>
  <c r="J68" i="24"/>
  <c r="J77" i="25" s="1"/>
  <c r="J67" i="26" s="1"/>
  <c r="F69" i="27" s="1"/>
  <c r="J69" i="24"/>
  <c r="J78" i="25" s="1"/>
  <c r="J68" i="26" s="1"/>
  <c r="F70" i="27" s="1"/>
  <c r="J70" i="24"/>
  <c r="J79" i="25" s="1"/>
  <c r="J69" i="26" s="1"/>
  <c r="F71" i="27" s="1"/>
  <c r="J71" i="24"/>
  <c r="J80" i="25" s="1"/>
  <c r="J70" i="26" s="1"/>
  <c r="F72" i="27" s="1"/>
  <c r="J72" i="24"/>
  <c r="J81" i="25" s="1"/>
  <c r="J71" i="26" s="1"/>
  <c r="F73" i="27" s="1"/>
  <c r="J73" i="24"/>
  <c r="J82" i="25" s="1"/>
  <c r="J72" i="26" s="1"/>
  <c r="F74" i="27" s="1"/>
  <c r="J74" i="24"/>
  <c r="J83" i="25" s="1"/>
  <c r="J73" i="26" s="1"/>
  <c r="F75" i="27" s="1"/>
  <c r="J75" i="24"/>
  <c r="J84" i="25" s="1"/>
  <c r="J74" i="26" s="1"/>
  <c r="F76" i="27" s="1"/>
  <c r="J76" i="24"/>
  <c r="J85" i="25" s="1"/>
  <c r="J75" i="26" s="1"/>
  <c r="F77" i="27" s="1"/>
  <c r="J77" i="24"/>
  <c r="J86" i="25" s="1"/>
  <c r="J76" i="26" s="1"/>
  <c r="F78" i="27" s="1"/>
  <c r="J78" i="24"/>
  <c r="J87" i="25" s="1"/>
  <c r="J77" i="26" s="1"/>
  <c r="F79" i="27" s="1"/>
  <c r="J79" i="24"/>
  <c r="J88" i="25" s="1"/>
  <c r="J78" i="26" s="1"/>
  <c r="F80" i="27" s="1"/>
  <c r="J80" i="24"/>
  <c r="J89" i="25" s="1"/>
  <c r="J79" i="26" s="1"/>
  <c r="F81" i="27" s="1"/>
  <c r="J81" i="24"/>
  <c r="J90" i="25" s="1"/>
  <c r="J80" i="26" s="1"/>
  <c r="F82" i="27" s="1"/>
  <c r="J82" i="24"/>
  <c r="J91" i="25" s="1"/>
  <c r="J81" i="26" s="1"/>
  <c r="F83" i="27" s="1"/>
  <c r="J83" i="24"/>
  <c r="J92" i="25" s="1"/>
  <c r="J82" i="26" s="1"/>
  <c r="F84" i="27" s="1"/>
  <c r="J84" i="24"/>
  <c r="J93" i="25" s="1"/>
  <c r="J83" i="26" s="1"/>
  <c r="F85" i="27" s="1"/>
  <c r="J85" i="24"/>
  <c r="J94" i="25" s="1"/>
  <c r="J84" i="26" s="1"/>
  <c r="F86" i="27" s="1"/>
  <c r="J86" i="24"/>
  <c r="J95" i="25" s="1"/>
  <c r="J85" i="26" s="1"/>
  <c r="F87" i="27" s="1"/>
  <c r="J87" i="24"/>
  <c r="J96" i="25" s="1"/>
  <c r="J86" i="26" s="1"/>
  <c r="F88" i="27" s="1"/>
  <c r="J88" i="24"/>
  <c r="J97" i="25" s="1"/>
  <c r="J87" i="26" s="1"/>
  <c r="F89" i="27" s="1"/>
  <c r="J89" i="24"/>
  <c r="J98" i="25" s="1"/>
  <c r="J88" i="26" s="1"/>
  <c r="F90" i="27" s="1"/>
  <c r="J90" i="24"/>
  <c r="J99" i="25" s="1"/>
  <c r="J89" i="26" s="1"/>
  <c r="F91" i="27" s="1"/>
  <c r="J91" i="24"/>
  <c r="J100" i="25" s="1"/>
  <c r="J90" i="26" s="1"/>
  <c r="F92" i="27" s="1"/>
  <c r="J92" i="24"/>
  <c r="J101" i="25" s="1"/>
  <c r="J93" i="24"/>
  <c r="J102" i="25" s="1"/>
  <c r="J94" i="24"/>
  <c r="J95" i="24"/>
  <c r="J96" i="24"/>
  <c r="J97" i="24"/>
  <c r="J98" i="24"/>
  <c r="J104" i="25" s="1"/>
  <c r="J98" i="26" s="1"/>
  <c r="F100" i="27" s="1"/>
  <c r="J99" i="24"/>
  <c r="J105" i="25" s="1"/>
  <c r="J99" i="26" s="1"/>
  <c r="F101" i="27" s="1"/>
  <c r="J100" i="24"/>
  <c r="J106" i="25" s="1"/>
  <c r="J100" i="26" s="1"/>
  <c r="F102" i="27" s="1"/>
  <c r="J101" i="24"/>
  <c r="J107" i="25" s="1"/>
  <c r="J101" i="26" s="1"/>
  <c r="J102" i="24"/>
  <c r="J108" i="25" s="1"/>
  <c r="J102" i="26" s="1"/>
  <c r="F104" i="27" s="1"/>
  <c r="J103" i="24"/>
  <c r="J109" i="25" s="1"/>
  <c r="J103" i="26" s="1"/>
  <c r="F105" i="27" s="1"/>
  <c r="J104" i="24"/>
  <c r="J110" i="25" s="1"/>
  <c r="J104" i="26" s="1"/>
  <c r="F106" i="27" s="1"/>
  <c r="J105" i="24"/>
  <c r="J111" i="25" s="1"/>
  <c r="J105" i="26" s="1"/>
  <c r="F107" i="27" s="1"/>
  <c r="J106" i="24"/>
  <c r="J112" i="25" s="1"/>
  <c r="J106" i="26" s="1"/>
  <c r="F108" i="27" s="1"/>
  <c r="J107" i="24"/>
  <c r="J113" i="25" s="1"/>
  <c r="J107" i="26" s="1"/>
  <c r="F109" i="27" s="1"/>
  <c r="J108" i="24"/>
  <c r="J114" i="25" s="1"/>
  <c r="J108" i="26" s="1"/>
  <c r="F110" i="27" s="1"/>
  <c r="J109" i="24"/>
  <c r="J115" i="25" s="1"/>
  <c r="J109" i="26" s="1"/>
  <c r="F111" i="27" s="1"/>
  <c r="J110" i="24"/>
  <c r="J116" i="25" s="1"/>
  <c r="J110" i="26" s="1"/>
  <c r="F112" i="27" s="1"/>
  <c r="J111" i="24"/>
  <c r="J117" i="25" s="1"/>
  <c r="J111" i="26" s="1"/>
  <c r="F113" i="27" s="1"/>
  <c r="J112" i="24"/>
  <c r="J118" i="25" s="1"/>
  <c r="J112" i="26" s="1"/>
  <c r="F114" i="27" s="1"/>
  <c r="J113" i="24"/>
  <c r="J119" i="25" s="1"/>
  <c r="J113" i="26" s="1"/>
  <c r="J114" i="24"/>
  <c r="J120" i="25" s="1"/>
  <c r="J114" i="26" s="1"/>
  <c r="F116" i="27" s="1"/>
  <c r="J115" i="24"/>
  <c r="J121" i="25" s="1"/>
  <c r="J115" i="26" s="1"/>
  <c r="F117" i="27" s="1"/>
  <c r="J116" i="24"/>
  <c r="J122" i="25" s="1"/>
  <c r="J116" i="26" s="1"/>
  <c r="F118" i="27" s="1"/>
  <c r="J117" i="24"/>
  <c r="J123" i="25" s="1"/>
  <c r="J117" i="26" s="1"/>
  <c r="F119" i="27" s="1"/>
  <c r="J118" i="24"/>
  <c r="J124" i="25" s="1"/>
  <c r="J118" i="26" s="1"/>
  <c r="F120" i="27" s="1"/>
  <c r="J119" i="24"/>
  <c r="J125" i="25" s="1"/>
  <c r="J119" i="26" s="1"/>
  <c r="F121" i="27" s="1"/>
  <c r="J120" i="24"/>
  <c r="J126" i="25" s="1"/>
  <c r="J120" i="26" s="1"/>
  <c r="F122" i="27" s="1"/>
  <c r="J121" i="24"/>
  <c r="J127" i="25" s="1"/>
  <c r="J121" i="26" s="1"/>
  <c r="F123" i="27" s="1"/>
  <c r="J122" i="24"/>
  <c r="J128" i="25" s="1"/>
  <c r="J122" i="26" s="1"/>
  <c r="F124" i="27" s="1"/>
  <c r="J123" i="24"/>
  <c r="J129" i="25" s="1"/>
  <c r="J123" i="26" s="1"/>
  <c r="F125" i="27" s="1"/>
  <c r="J124" i="24"/>
  <c r="J130" i="25" s="1"/>
  <c r="J124" i="26" s="1"/>
  <c r="F126" i="27" s="1"/>
  <c r="J125" i="24"/>
  <c r="J131" i="25" s="1"/>
  <c r="J125" i="26" s="1"/>
  <c r="F127" i="27" s="1"/>
  <c r="J126" i="24"/>
  <c r="J132" i="25" s="1"/>
  <c r="J126" i="26" s="1"/>
  <c r="F128" i="27" s="1"/>
  <c r="J127" i="24"/>
  <c r="J133" i="25" s="1"/>
  <c r="J127" i="26" s="1"/>
  <c r="F129" i="27" s="1"/>
  <c r="J128" i="24"/>
  <c r="J134" i="25" s="1"/>
  <c r="J128" i="26" s="1"/>
  <c r="F130" i="27" s="1"/>
  <c r="J129" i="24"/>
  <c r="J135" i="25" s="1"/>
  <c r="J129" i="26" s="1"/>
  <c r="F131" i="27" s="1"/>
  <c r="J130" i="24"/>
  <c r="J136" i="25" s="1"/>
  <c r="J130" i="26" s="1"/>
  <c r="F132" i="27" s="1"/>
  <c r="J131" i="24"/>
  <c r="J137" i="25" s="1"/>
  <c r="J131" i="26" s="1"/>
  <c r="F133" i="27" s="1"/>
  <c r="J132" i="24"/>
  <c r="J138" i="25" s="1"/>
  <c r="J132" i="26" s="1"/>
  <c r="F134" i="27" s="1"/>
  <c r="J133" i="24"/>
  <c r="J139" i="25" s="1"/>
  <c r="J133" i="26" s="1"/>
  <c r="F135" i="27" s="1"/>
  <c r="J134" i="24"/>
  <c r="J140" i="25" s="1"/>
  <c r="J134" i="26" s="1"/>
  <c r="F136" i="27" s="1"/>
  <c r="J135" i="24"/>
  <c r="J141" i="25" s="1"/>
  <c r="J135" i="26" s="1"/>
  <c r="F137" i="27" s="1"/>
  <c r="J136" i="24"/>
  <c r="J142" i="25" s="1"/>
  <c r="J136" i="26" s="1"/>
  <c r="F138" i="27" s="1"/>
  <c r="J137" i="24"/>
  <c r="J143" i="25" s="1"/>
  <c r="J137" i="26" s="1"/>
  <c r="F139" i="27" s="1"/>
  <c r="J138" i="24"/>
  <c r="J144" i="25" s="1"/>
  <c r="J138" i="26" s="1"/>
  <c r="F140" i="27" s="1"/>
  <c r="J139" i="24"/>
  <c r="J145" i="25" s="1"/>
  <c r="J139" i="26" s="1"/>
  <c r="F141" i="27" s="1"/>
  <c r="J140" i="24"/>
  <c r="J146" i="25" s="1"/>
  <c r="J140" i="26" s="1"/>
  <c r="F142" i="27" s="1"/>
  <c r="J141" i="24"/>
  <c r="J147" i="25" s="1"/>
  <c r="J141" i="26" s="1"/>
  <c r="F143" i="27" s="1"/>
  <c r="J142" i="24"/>
  <c r="J148" i="25" s="1"/>
  <c r="J142" i="26" s="1"/>
  <c r="F144" i="27" s="1"/>
  <c r="J143" i="24"/>
  <c r="J149" i="25" s="1"/>
  <c r="J143" i="26" s="1"/>
  <c r="F145" i="27" s="1"/>
  <c r="J144" i="24"/>
  <c r="J150" i="25" s="1"/>
  <c r="J144" i="26" s="1"/>
  <c r="F146" i="27" s="1"/>
  <c r="J145" i="24"/>
  <c r="J151" i="25" s="1"/>
  <c r="J145" i="26" s="1"/>
  <c r="F147" i="27" s="1"/>
  <c r="J146" i="24"/>
  <c r="J152" i="25" s="1"/>
  <c r="J146" i="26" s="1"/>
  <c r="F148" i="27" s="1"/>
  <c r="J147" i="24"/>
  <c r="J153" i="25" s="1"/>
  <c r="J147" i="26" s="1"/>
  <c r="F149" i="27" s="1"/>
  <c r="J148" i="24"/>
  <c r="J154" i="25" s="1"/>
  <c r="J148" i="26" s="1"/>
  <c r="F150" i="27" s="1"/>
  <c r="J149" i="24"/>
  <c r="J155" i="25" s="1"/>
  <c r="J149" i="26" s="1"/>
  <c r="F151" i="27" s="1"/>
  <c r="J150" i="24"/>
  <c r="J156" i="25" s="1"/>
  <c r="J150" i="26" s="1"/>
  <c r="F152" i="27" s="1"/>
  <c r="J151" i="24"/>
  <c r="J157" i="25" s="1"/>
  <c r="J151" i="26" s="1"/>
  <c r="F153" i="27" s="1"/>
  <c r="J152" i="24"/>
  <c r="J158" i="25" s="1"/>
  <c r="J152" i="26" s="1"/>
  <c r="F154" i="27" s="1"/>
  <c r="J153" i="24"/>
  <c r="J159" i="25" s="1"/>
  <c r="J153" i="26" s="1"/>
  <c r="F155" i="27" s="1"/>
  <c r="J154" i="24"/>
  <c r="J160" i="25" s="1"/>
  <c r="J154" i="26" s="1"/>
  <c r="F156" i="27" s="1"/>
  <c r="J155" i="24"/>
  <c r="J161" i="25" s="1"/>
  <c r="J155" i="26" s="1"/>
  <c r="F157" i="27" s="1"/>
  <c r="J156" i="24"/>
  <c r="J162" i="25" s="1"/>
  <c r="J156" i="26" s="1"/>
  <c r="F158" i="27" s="1"/>
  <c r="J157" i="24"/>
  <c r="J163" i="25" s="1"/>
  <c r="J157" i="26" s="1"/>
  <c r="F159" i="27" s="1"/>
  <c r="J158" i="24"/>
  <c r="J164" i="25" s="1"/>
  <c r="J158" i="26" s="1"/>
  <c r="F160" i="27" s="1"/>
  <c r="J159" i="24"/>
  <c r="J165" i="25" s="1"/>
  <c r="J159" i="26" s="1"/>
  <c r="F161" i="27" s="1"/>
  <c r="J160" i="24"/>
  <c r="J166" i="25" s="1"/>
  <c r="J160" i="26" s="1"/>
  <c r="F162" i="27" s="1"/>
  <c r="J161" i="24"/>
  <c r="J167" i="25" s="1"/>
  <c r="J161" i="26" s="1"/>
  <c r="F163" i="27" s="1"/>
  <c r="J162" i="24"/>
  <c r="J168" i="25" s="1"/>
  <c r="J162" i="26" s="1"/>
  <c r="F164" i="27" s="1"/>
  <c r="J163" i="24"/>
  <c r="J169" i="25" s="1"/>
  <c r="J163" i="26" s="1"/>
  <c r="F165" i="27" s="1"/>
  <c r="J164" i="24"/>
  <c r="J170" i="25" s="1"/>
  <c r="J164" i="26" s="1"/>
  <c r="F166" i="27" s="1"/>
  <c r="J165" i="24"/>
  <c r="J171" i="25" s="1"/>
  <c r="J165" i="26" s="1"/>
  <c r="F167" i="27" s="1"/>
  <c r="J166" i="24"/>
  <c r="J172" i="25" s="1"/>
  <c r="J166" i="26" s="1"/>
  <c r="F168" i="27" s="1"/>
  <c r="J167" i="24"/>
  <c r="J173" i="25" s="1"/>
  <c r="J167" i="26" s="1"/>
  <c r="F169" i="27" s="1"/>
  <c r="J168" i="24"/>
  <c r="J174" i="25" s="1"/>
  <c r="J168" i="26" s="1"/>
  <c r="F170" i="27" s="1"/>
  <c r="J169" i="24"/>
  <c r="J175" i="25" s="1"/>
  <c r="J169" i="26" s="1"/>
  <c r="F171" i="27" s="1"/>
  <c r="J170" i="24"/>
  <c r="J176" i="25" s="1"/>
  <c r="J170" i="26" s="1"/>
  <c r="F172" i="27" s="1"/>
  <c r="J171" i="24"/>
  <c r="J177" i="25" s="1"/>
  <c r="J171" i="26" s="1"/>
  <c r="F173" i="27" s="1"/>
  <c r="J172" i="24"/>
  <c r="J178" i="25" s="1"/>
  <c r="J172" i="26" s="1"/>
  <c r="F174" i="27" s="1"/>
  <c r="J173" i="24"/>
  <c r="J179" i="25" s="1"/>
  <c r="J173" i="26" s="1"/>
  <c r="F175" i="27" s="1"/>
  <c r="J174" i="24"/>
  <c r="J175" i="24"/>
  <c r="J180" i="25" s="1"/>
  <c r="J174" i="26" s="1"/>
  <c r="F176" i="27" s="1"/>
  <c r="J176" i="24"/>
  <c r="J181" i="25" s="1"/>
  <c r="J175" i="26" s="1"/>
  <c r="F177" i="27" s="1"/>
  <c r="J177" i="24"/>
  <c r="J182" i="25" s="1"/>
  <c r="J176" i="26" s="1"/>
  <c r="F178" i="27" s="1"/>
  <c r="J178" i="24"/>
  <c r="J183" i="25" s="1"/>
  <c r="J177" i="26" s="1"/>
  <c r="F179" i="27" s="1"/>
  <c r="J179" i="24"/>
  <c r="J184" i="25" s="1"/>
  <c r="J178" i="26" s="1"/>
  <c r="F180" i="27" s="1"/>
  <c r="J180" i="24"/>
  <c r="J185" i="25" s="1"/>
  <c r="J179" i="26" s="1"/>
  <c r="F181" i="27" s="1"/>
  <c r="J181" i="24"/>
  <c r="J186" i="25" s="1"/>
  <c r="J180" i="26" s="1"/>
  <c r="F182" i="27" s="1"/>
  <c r="J182" i="24"/>
  <c r="J187" i="25" s="1"/>
  <c r="J181" i="26" s="1"/>
  <c r="F183" i="27" s="1"/>
  <c r="J183" i="24"/>
  <c r="J188" i="25" s="1"/>
  <c r="J182" i="26" s="1"/>
  <c r="F184" i="27" s="1"/>
  <c r="J184" i="24"/>
  <c r="J189" i="25" s="1"/>
  <c r="J183" i="26" s="1"/>
  <c r="F185" i="27" s="1"/>
  <c r="J185" i="24"/>
  <c r="J190" i="25" s="1"/>
  <c r="J184" i="26" s="1"/>
  <c r="F186" i="27" s="1"/>
  <c r="J186" i="24"/>
  <c r="J191" i="25" s="1"/>
  <c r="J185" i="26" s="1"/>
  <c r="F187" i="27" s="1"/>
  <c r="J187" i="24"/>
  <c r="J192" i="25" s="1"/>
  <c r="J186" i="26" s="1"/>
  <c r="F188" i="27" s="1"/>
  <c r="J188" i="24"/>
  <c r="J193" i="25" s="1"/>
  <c r="J187" i="26" s="1"/>
  <c r="F189" i="27" s="1"/>
  <c r="J189" i="24"/>
  <c r="J194" i="25" s="1"/>
  <c r="J188" i="26" s="1"/>
  <c r="F190" i="27" s="1"/>
  <c r="J190" i="24"/>
  <c r="J195" i="25" s="1"/>
  <c r="J189" i="26" s="1"/>
  <c r="F191" i="27" s="1"/>
  <c r="J191" i="24"/>
  <c r="J196" i="25" s="1"/>
  <c r="J190" i="26" s="1"/>
  <c r="F192" i="27" s="1"/>
  <c r="J192" i="24"/>
  <c r="J197" i="25" s="1"/>
  <c r="J191" i="26" s="1"/>
  <c r="F193" i="27" s="1"/>
  <c r="J193" i="24"/>
  <c r="J198" i="25" s="1"/>
  <c r="J192" i="26" s="1"/>
  <c r="F194" i="27" s="1"/>
  <c r="J194" i="24"/>
  <c r="J199" i="25" s="1"/>
  <c r="J193" i="26" s="1"/>
  <c r="F195" i="27" s="1"/>
  <c r="J195" i="24"/>
  <c r="J200" i="25" s="1"/>
  <c r="J194" i="26" s="1"/>
  <c r="F196" i="27" s="1"/>
  <c r="J196" i="24"/>
  <c r="J201" i="25" s="1"/>
  <c r="J195" i="26" s="1"/>
  <c r="F197" i="27" s="1"/>
  <c r="J197" i="24"/>
  <c r="J202" i="25" s="1"/>
  <c r="J196" i="26" s="1"/>
  <c r="F198" i="27" s="1"/>
  <c r="J198" i="24"/>
  <c r="J203" i="25" s="1"/>
  <c r="J197" i="26" s="1"/>
  <c r="F199" i="27" s="1"/>
  <c r="J199" i="24"/>
  <c r="J204" i="25" s="1"/>
  <c r="J198" i="26" s="1"/>
  <c r="F200" i="27" s="1"/>
  <c r="J200" i="24"/>
  <c r="J205" i="25" s="1"/>
  <c r="J199" i="26" s="1"/>
  <c r="F201" i="27" s="1"/>
  <c r="J201" i="24"/>
  <c r="J206" i="25" s="1"/>
  <c r="J200" i="26" s="1"/>
  <c r="F202" i="27" s="1"/>
  <c r="J202" i="24"/>
  <c r="J207" i="25" s="1"/>
  <c r="J201" i="26" s="1"/>
  <c r="F203" i="27" s="1"/>
  <c r="J203" i="24"/>
  <c r="J208" i="25" s="1"/>
  <c r="J202" i="26" s="1"/>
  <c r="F204" i="27" s="1"/>
  <c r="J204" i="24"/>
  <c r="J209" i="25" s="1"/>
  <c r="J203" i="26" s="1"/>
  <c r="F205" i="27" s="1"/>
  <c r="J205" i="24"/>
  <c r="J210" i="25" s="1"/>
  <c r="J204" i="26" s="1"/>
  <c r="F206" i="27" s="1"/>
  <c r="J206" i="24"/>
  <c r="J211" i="25" s="1"/>
  <c r="J205" i="26" s="1"/>
  <c r="F207" i="27" s="1"/>
  <c r="J207" i="24"/>
  <c r="J212" i="25" s="1"/>
  <c r="J206" i="26" s="1"/>
  <c r="F208" i="27" s="1"/>
  <c r="J208" i="24"/>
  <c r="J213" i="25" s="1"/>
  <c r="J207" i="26" s="1"/>
  <c r="F209" i="27" s="1"/>
  <c r="J209" i="24"/>
  <c r="J214" i="25" s="1"/>
  <c r="J208" i="26" s="1"/>
  <c r="F210" i="27" s="1"/>
  <c r="J210" i="24"/>
  <c r="J215" i="25" s="1"/>
  <c r="J209" i="26" s="1"/>
  <c r="F211" i="27" s="1"/>
  <c r="J211" i="24"/>
  <c r="J216" i="25" s="1"/>
  <c r="J210" i="26" s="1"/>
  <c r="F212" i="27" s="1"/>
  <c r="J212" i="24"/>
  <c r="J217" i="25" s="1"/>
  <c r="J211" i="26" s="1"/>
  <c r="F213" i="27" s="1"/>
  <c r="J213" i="24"/>
  <c r="J218" i="25" s="1"/>
  <c r="J212" i="26" s="1"/>
  <c r="F214" i="27" s="1"/>
  <c r="J214" i="24"/>
  <c r="J219" i="25" s="1"/>
  <c r="J213" i="26" s="1"/>
  <c r="F215" i="27" s="1"/>
  <c r="J215" i="24"/>
  <c r="J220" i="25" s="1"/>
  <c r="J214" i="26" s="1"/>
  <c r="F216" i="27" s="1"/>
  <c r="J216" i="24"/>
  <c r="J221" i="25" s="1"/>
  <c r="J215" i="26" s="1"/>
  <c r="F217" i="27" s="1"/>
  <c r="J217" i="24"/>
  <c r="J222" i="25" s="1"/>
  <c r="J216" i="26" s="1"/>
  <c r="F218" i="27" s="1"/>
  <c r="J218" i="24"/>
  <c r="J223" i="25" s="1"/>
  <c r="J217" i="26" s="1"/>
  <c r="F219" i="27" s="1"/>
  <c r="J219" i="24"/>
  <c r="J224" i="25" s="1"/>
  <c r="J218" i="26" s="1"/>
  <c r="F220" i="27" s="1"/>
  <c r="J220" i="24"/>
  <c r="J225" i="25" s="1"/>
  <c r="J219" i="26" s="1"/>
  <c r="F221" i="27" s="1"/>
  <c r="J221" i="24"/>
  <c r="J226" i="25" s="1"/>
  <c r="J220" i="26" s="1"/>
  <c r="F222" i="27" s="1"/>
  <c r="J222" i="24"/>
  <c r="J227" i="25" s="1"/>
  <c r="J221" i="26" s="1"/>
  <c r="F223" i="27" s="1"/>
  <c r="J224" i="24"/>
  <c r="J229" i="25" s="1"/>
  <c r="J223" i="26" s="1"/>
  <c r="F225" i="27" s="1"/>
  <c r="J225" i="24"/>
  <c r="J230" i="25" s="1"/>
  <c r="J224" i="26" s="1"/>
  <c r="F226" i="27" s="1"/>
  <c r="J226" i="24"/>
  <c r="J231" i="25" s="1"/>
  <c r="J225" i="26" s="1"/>
  <c r="F227" i="27" s="1"/>
  <c r="J227" i="24"/>
  <c r="J232" i="25" s="1"/>
  <c r="J226" i="26" s="1"/>
  <c r="F228" i="27" s="1"/>
  <c r="J228" i="24"/>
  <c r="J233" i="25" s="1"/>
  <c r="J227" i="26" s="1"/>
  <c r="F229" i="27" s="1"/>
  <c r="J229" i="24"/>
  <c r="J234" i="25" s="1"/>
  <c r="J228" i="26" s="1"/>
  <c r="F230" i="27" s="1"/>
  <c r="J230" i="24"/>
  <c r="J235" i="25" s="1"/>
  <c r="J229" i="26" s="1"/>
  <c r="F231" i="27" s="1"/>
  <c r="J231" i="24"/>
  <c r="J236" i="25" s="1"/>
  <c r="J230" i="26" s="1"/>
  <c r="F232" i="27" s="1"/>
  <c r="J232" i="24"/>
  <c r="J237" i="25" s="1"/>
  <c r="J231" i="26" s="1"/>
  <c r="F233" i="27" s="1"/>
  <c r="J233" i="24"/>
  <c r="J238" i="25" s="1"/>
  <c r="J232" i="26" s="1"/>
  <c r="F234" i="27" s="1"/>
  <c r="J234" i="24"/>
  <c r="J239" i="25" s="1"/>
  <c r="J233" i="26" s="1"/>
  <c r="F235" i="27" s="1"/>
  <c r="J235" i="24"/>
  <c r="J240" i="25" s="1"/>
  <c r="J234" i="26" s="1"/>
  <c r="F236" i="27" s="1"/>
  <c r="J236" i="24"/>
  <c r="J241" i="25" s="1"/>
  <c r="J235" i="26" s="1"/>
  <c r="F237" i="27" s="1"/>
  <c r="J237" i="24"/>
  <c r="J242" i="25" s="1"/>
  <c r="J236" i="26" s="1"/>
  <c r="F238" i="27" s="1"/>
  <c r="J238" i="24"/>
  <c r="J243" i="25" s="1"/>
  <c r="J237" i="26" s="1"/>
  <c r="F239" i="27" s="1"/>
  <c r="J239" i="24"/>
  <c r="J244" i="25" s="1"/>
  <c r="J238" i="26" s="1"/>
  <c r="F240" i="27" s="1"/>
  <c r="J240" i="24"/>
  <c r="J245" i="25" s="1"/>
  <c r="J239" i="26" s="1"/>
  <c r="F241" i="27" s="1"/>
  <c r="J241" i="24"/>
  <c r="J246" i="25" s="1"/>
  <c r="J240" i="26" s="1"/>
  <c r="F242" i="27" s="1"/>
  <c r="J242" i="24"/>
  <c r="J247" i="25" s="1"/>
  <c r="J241" i="26" s="1"/>
  <c r="F243" i="27" s="1"/>
  <c r="J243" i="24"/>
  <c r="J248" i="25" s="1"/>
  <c r="J242" i="26" s="1"/>
  <c r="F244" i="27" s="1"/>
  <c r="J244" i="24"/>
  <c r="J249" i="25" s="1"/>
  <c r="J243" i="26" s="1"/>
  <c r="F245" i="27" s="1"/>
  <c r="J245" i="24"/>
  <c r="J250" i="25" s="1"/>
  <c r="J244" i="26" s="1"/>
  <c r="F246" i="27" s="1"/>
  <c r="J246" i="24"/>
  <c r="J251" i="25" s="1"/>
  <c r="J245" i="26" s="1"/>
  <c r="F247" i="27" s="1"/>
  <c r="J247" i="24"/>
  <c r="J252" i="25" s="1"/>
  <c r="J246" i="26" s="1"/>
  <c r="F248" i="27" s="1"/>
  <c r="J248" i="24"/>
  <c r="J253" i="25" s="1"/>
  <c r="J247" i="26" s="1"/>
  <c r="F249" i="27" s="1"/>
  <c r="J249" i="24"/>
  <c r="J254" i="25" s="1"/>
  <c r="J248" i="26" s="1"/>
  <c r="F250" i="27" s="1"/>
  <c r="J250" i="24"/>
  <c r="J255" i="25" s="1"/>
  <c r="J249" i="26" s="1"/>
  <c r="F251" i="27" s="1"/>
  <c r="J251" i="24"/>
  <c r="J256" i="25" s="1"/>
  <c r="J250" i="26" s="1"/>
  <c r="F252" i="27" s="1"/>
  <c r="J252" i="24"/>
  <c r="J257" i="25" s="1"/>
  <c r="J251" i="26" s="1"/>
  <c r="F253" i="27" s="1"/>
  <c r="J253" i="24"/>
  <c r="J258" i="25" s="1"/>
  <c r="J252" i="26" s="1"/>
  <c r="F254" i="27" s="1"/>
  <c r="J254" i="24"/>
  <c r="J259" i="25" s="1"/>
  <c r="J253" i="26" s="1"/>
  <c r="F255" i="27" s="1"/>
  <c r="J255" i="24"/>
  <c r="J260" i="25" s="1"/>
  <c r="J254" i="26" s="1"/>
  <c r="F256" i="27" s="1"/>
  <c r="J256" i="24"/>
  <c r="J261" i="25" s="1"/>
  <c r="J255" i="26" s="1"/>
  <c r="F257" i="27" s="1"/>
  <c r="J257" i="24"/>
  <c r="J262" i="25" s="1"/>
  <c r="J256" i="26" s="1"/>
  <c r="F258" i="27" s="1"/>
  <c r="J258" i="24"/>
  <c r="J263" i="25" s="1"/>
  <c r="J257" i="26" s="1"/>
  <c r="F259" i="27" s="1"/>
  <c r="J259" i="24"/>
  <c r="J264" i="25" s="1"/>
  <c r="J258" i="26" s="1"/>
  <c r="F260" i="27" s="1"/>
  <c r="J260" i="24"/>
  <c r="J265" i="25" s="1"/>
  <c r="J259" i="26" s="1"/>
  <c r="F261" i="27" s="1"/>
  <c r="J261" i="24"/>
  <c r="J266" i="25" s="1"/>
  <c r="J260" i="26" s="1"/>
  <c r="F262" i="27" s="1"/>
  <c r="J262" i="24"/>
  <c r="J267" i="25" s="1"/>
  <c r="J261" i="26" s="1"/>
  <c r="F263" i="27" s="1"/>
  <c r="J263" i="24"/>
  <c r="J268" i="25" s="1"/>
  <c r="J262" i="26" s="1"/>
  <c r="F264" i="27" s="1"/>
  <c r="J264" i="24"/>
  <c r="J269" i="25" s="1"/>
  <c r="J263" i="26" s="1"/>
  <c r="F265" i="27" s="1"/>
  <c r="J265" i="24"/>
  <c r="J270" i="25" s="1"/>
  <c r="J264" i="26" s="1"/>
  <c r="F266" i="27" s="1"/>
  <c r="J266" i="24"/>
  <c r="J271" i="25" s="1"/>
  <c r="J265" i="26" s="1"/>
  <c r="F267" i="27" s="1"/>
  <c r="J267" i="24"/>
  <c r="J272" i="25" s="1"/>
  <c r="J266" i="26" s="1"/>
  <c r="F268" i="27" s="1"/>
  <c r="J268" i="24"/>
  <c r="J273" i="25" s="1"/>
  <c r="J267" i="26" s="1"/>
  <c r="F269" i="27" s="1"/>
  <c r="J269" i="24"/>
  <c r="J274" i="25" s="1"/>
  <c r="J268" i="26" s="1"/>
  <c r="F270" i="27" s="1"/>
  <c r="J270" i="24"/>
  <c r="J275" i="25" s="1"/>
  <c r="J269" i="26" s="1"/>
  <c r="F271" i="27" s="1"/>
  <c r="J271" i="24"/>
  <c r="J276" i="25" s="1"/>
  <c r="J270" i="26" s="1"/>
  <c r="F272" i="27" s="1"/>
  <c r="J272" i="24"/>
  <c r="J277" i="25" s="1"/>
  <c r="J271" i="26" s="1"/>
  <c r="F273" i="27" s="1"/>
  <c r="J273" i="24"/>
  <c r="J278" i="25" s="1"/>
  <c r="J272" i="26" s="1"/>
  <c r="F274" i="27" s="1"/>
  <c r="J274" i="24"/>
  <c r="J279" i="25" s="1"/>
  <c r="J273" i="26" s="1"/>
  <c r="J275" i="24"/>
  <c r="J280" i="25" s="1"/>
  <c r="J274" i="26" s="1"/>
  <c r="F275" i="27" s="1"/>
  <c r="J276" i="24"/>
  <c r="J281" i="25" s="1"/>
  <c r="J275" i="26" s="1"/>
  <c r="F276" i="27" s="1"/>
  <c r="J277" i="24"/>
  <c r="J282" i="25" s="1"/>
  <c r="J276" i="26" s="1"/>
  <c r="F277" i="27" s="1"/>
  <c r="J278" i="24"/>
  <c r="J283" i="25" s="1"/>
  <c r="J277" i="26" s="1"/>
  <c r="F278" i="27" s="1"/>
  <c r="J279" i="24"/>
  <c r="J284" i="25" s="1"/>
  <c r="J278" i="26" s="1"/>
  <c r="F279" i="27" s="1"/>
  <c r="J280" i="24"/>
  <c r="J281" i="24"/>
  <c r="J282" i="24"/>
  <c r="J283" i="24"/>
  <c r="J284" i="24"/>
  <c r="J285" i="24"/>
  <c r="J286" i="24"/>
  <c r="J287" i="24"/>
  <c r="J288" i="24"/>
  <c r="J22" i="24"/>
  <c r="J31" i="25" s="1"/>
  <c r="J22" i="26" s="1"/>
  <c r="F24" i="27" s="1"/>
  <c r="J23" i="24"/>
  <c r="J32" i="25" s="1"/>
  <c r="J23" i="26" s="1"/>
  <c r="F25" i="27" s="1"/>
  <c r="J24" i="24"/>
  <c r="J33" i="25" s="1"/>
  <c r="J24" i="26" s="1"/>
  <c r="F26" i="27" s="1"/>
  <c r="J25" i="24"/>
  <c r="J34" i="25" s="1"/>
  <c r="J25" i="26" s="1"/>
  <c r="F27" i="27" s="1"/>
  <c r="J21" i="24"/>
  <c r="J30" i="25" s="1"/>
  <c r="J21" i="26" s="1"/>
  <c r="F23" i="27" s="1"/>
  <c r="Z354" i="24" l="1"/>
  <c r="AB291" i="24"/>
  <c r="AB354" i="24" s="1"/>
  <c r="J34" i="28"/>
  <c r="E29" i="33" s="1"/>
  <c r="J30" i="28"/>
  <c r="E25" i="33" s="1"/>
  <c r="J352" i="28"/>
  <c r="E348" i="33" s="1"/>
  <c r="J348" i="28"/>
  <c r="E344" i="33" s="1"/>
  <c r="J344" i="28"/>
  <c r="E340" i="33" s="1"/>
  <c r="J340" i="28"/>
  <c r="E335" i="33" s="1"/>
  <c r="J336" i="28"/>
  <c r="E331" i="33" s="1"/>
  <c r="J328" i="28"/>
  <c r="E323" i="33" s="1"/>
  <c r="J324" i="28"/>
  <c r="E319" i="33" s="1"/>
  <c r="J320" i="28"/>
  <c r="E315" i="33" s="1"/>
  <c r="J314" i="28"/>
  <c r="E309" i="33" s="1"/>
  <c r="J310" i="28"/>
  <c r="E305" i="33" s="1"/>
  <c r="J306" i="28"/>
  <c r="E301" i="33" s="1"/>
  <c r="J302" i="28"/>
  <c r="E297" i="33" s="1"/>
  <c r="J298" i="28"/>
  <c r="E293" i="33" s="1"/>
  <c r="J294" i="28"/>
  <c r="E289" i="33" s="1"/>
  <c r="J290" i="28"/>
  <c r="J270" i="28"/>
  <c r="E266" i="33" s="1"/>
  <c r="J258" i="28"/>
  <c r="E254" i="33" s="1"/>
  <c r="J246" i="28"/>
  <c r="E242" i="33" s="1"/>
  <c r="J234" i="28"/>
  <c r="E230" i="33" s="1"/>
  <c r="J221" i="28"/>
  <c r="E217" i="33" s="1"/>
  <c r="J205" i="28"/>
  <c r="E201" i="33" s="1"/>
  <c r="J197" i="28"/>
  <c r="E193" i="33" s="1"/>
  <c r="J185" i="28"/>
  <c r="E181" i="33" s="1"/>
  <c r="J174" i="28"/>
  <c r="E170" i="33" s="1"/>
  <c r="J162" i="28"/>
  <c r="E158" i="33" s="1"/>
  <c r="J150" i="28"/>
  <c r="E145" i="33" s="1"/>
  <c r="J142" i="28"/>
  <c r="E137" i="33" s="1"/>
  <c r="J134" i="28"/>
  <c r="E129" i="33" s="1"/>
  <c r="J126" i="28"/>
  <c r="E121" i="33" s="1"/>
  <c r="J118" i="28"/>
  <c r="E113" i="33" s="1"/>
  <c r="J110" i="28"/>
  <c r="E105" i="33" s="1"/>
  <c r="J102" i="28"/>
  <c r="E97" i="33" s="1"/>
  <c r="J85" i="28"/>
  <c r="E80" i="33" s="1"/>
  <c r="J77" i="28"/>
  <c r="E72" i="33" s="1"/>
  <c r="J69" i="28"/>
  <c r="E64" i="33" s="1"/>
  <c r="J53" i="28"/>
  <c r="E48" i="33" s="1"/>
  <c r="J276" i="28"/>
  <c r="E272" i="33" s="1"/>
  <c r="J273" i="28"/>
  <c r="E269" i="33" s="1"/>
  <c r="J269" i="28"/>
  <c r="E265" i="33" s="1"/>
  <c r="J265" i="28"/>
  <c r="E261" i="33" s="1"/>
  <c r="J261" i="28"/>
  <c r="E257" i="33" s="1"/>
  <c r="J257" i="28"/>
  <c r="E253" i="33" s="1"/>
  <c r="J253" i="28"/>
  <c r="E249" i="33" s="1"/>
  <c r="J249" i="28"/>
  <c r="E245" i="33" s="1"/>
  <c r="J245" i="28"/>
  <c r="E241" i="33" s="1"/>
  <c r="J241" i="28"/>
  <c r="E237" i="33" s="1"/>
  <c r="J237" i="28"/>
  <c r="E233" i="33" s="1"/>
  <c r="J233" i="28"/>
  <c r="E229" i="33" s="1"/>
  <c r="J229" i="28"/>
  <c r="E225" i="33" s="1"/>
  <c r="J225" i="28"/>
  <c r="E221" i="33" s="1"/>
  <c r="J220" i="28"/>
  <c r="E216" i="33" s="1"/>
  <c r="J216" i="28"/>
  <c r="E212" i="33" s="1"/>
  <c r="J212" i="28"/>
  <c r="E208" i="33" s="1"/>
  <c r="J208" i="28"/>
  <c r="E204" i="33" s="1"/>
  <c r="J204" i="28"/>
  <c r="E200" i="33" s="1"/>
  <c r="J200" i="28"/>
  <c r="E196" i="33" s="1"/>
  <c r="J196" i="28"/>
  <c r="E192" i="33" s="1"/>
  <c r="J192" i="28"/>
  <c r="E188" i="33" s="1"/>
  <c r="J188" i="28"/>
  <c r="E184" i="33" s="1"/>
  <c r="J184" i="28"/>
  <c r="E180" i="33" s="1"/>
  <c r="J180" i="28"/>
  <c r="E176" i="33" s="1"/>
  <c r="J176" i="28"/>
  <c r="E172" i="33" s="1"/>
  <c r="J173" i="28"/>
  <c r="E169" i="33" s="1"/>
  <c r="J169" i="28"/>
  <c r="J165" i="28"/>
  <c r="E161" i="33" s="1"/>
  <c r="J161" i="28"/>
  <c r="E157" i="33" s="1"/>
  <c r="J157" i="28"/>
  <c r="E152" i="33" s="1"/>
  <c r="J153" i="28"/>
  <c r="E148" i="33" s="1"/>
  <c r="J149" i="28"/>
  <c r="E144" i="33" s="1"/>
  <c r="J145" i="28"/>
  <c r="E140" i="33" s="1"/>
  <c r="J141" i="28"/>
  <c r="E136" i="33" s="1"/>
  <c r="J137" i="28"/>
  <c r="E132" i="33" s="1"/>
  <c r="J133" i="28"/>
  <c r="E128" i="33" s="1"/>
  <c r="J129" i="28"/>
  <c r="E124" i="33" s="1"/>
  <c r="J125" i="28"/>
  <c r="E120" i="33" s="1"/>
  <c r="J121" i="28"/>
  <c r="E116" i="33" s="1"/>
  <c r="J117" i="28"/>
  <c r="E112" i="33" s="1"/>
  <c r="J113" i="28"/>
  <c r="E108" i="33" s="1"/>
  <c r="J109" i="28"/>
  <c r="E104" i="33" s="1"/>
  <c r="J105" i="28"/>
  <c r="E100" i="33" s="1"/>
  <c r="J101" i="28"/>
  <c r="E96" i="33" s="1"/>
  <c r="J92" i="28"/>
  <c r="E87" i="33" s="1"/>
  <c r="J88" i="28"/>
  <c r="E83" i="33" s="1"/>
  <c r="J84" i="28"/>
  <c r="E79" i="33" s="1"/>
  <c r="J80" i="28"/>
  <c r="E75" i="33" s="1"/>
  <c r="J76" i="28"/>
  <c r="E71" i="33" s="1"/>
  <c r="J72" i="28"/>
  <c r="E67" i="33" s="1"/>
  <c r="J68" i="28"/>
  <c r="E63" i="33" s="1"/>
  <c r="J56" i="28"/>
  <c r="E51" i="33" s="1"/>
  <c r="J52" i="28"/>
  <c r="E47" i="33" s="1"/>
  <c r="J44" i="28"/>
  <c r="E39" i="33" s="1"/>
  <c r="J40" i="28"/>
  <c r="E35" i="33" s="1"/>
  <c r="J37" i="28"/>
  <c r="E32" i="33" s="1"/>
  <c r="J33" i="28"/>
  <c r="E28" i="33" s="1"/>
  <c r="J29" i="28"/>
  <c r="E24" i="33" s="1"/>
  <c r="J351" i="28"/>
  <c r="E347" i="33" s="1"/>
  <c r="J347" i="28"/>
  <c r="E343" i="33" s="1"/>
  <c r="J343" i="28"/>
  <c r="E338" i="33" s="1"/>
  <c r="J339" i="28"/>
  <c r="E334" i="33" s="1"/>
  <c r="J335" i="28"/>
  <c r="E330" i="33" s="1"/>
  <c r="J327" i="28"/>
  <c r="E322" i="33" s="1"/>
  <c r="J323" i="28"/>
  <c r="E318" i="33" s="1"/>
  <c r="J317" i="28"/>
  <c r="E312" i="33" s="1"/>
  <c r="J313" i="28"/>
  <c r="E308" i="33" s="1"/>
  <c r="J309" i="28"/>
  <c r="E304" i="33" s="1"/>
  <c r="J305" i="28"/>
  <c r="E300" i="33" s="1"/>
  <c r="J301" i="28"/>
  <c r="E296" i="33" s="1"/>
  <c r="J297" i="28"/>
  <c r="E292" i="33" s="1"/>
  <c r="J293" i="28"/>
  <c r="E288" i="33" s="1"/>
  <c r="J289" i="28"/>
  <c r="E285" i="33" s="1"/>
  <c r="J274" i="28"/>
  <c r="E270" i="33" s="1"/>
  <c r="J262" i="28"/>
  <c r="E258" i="33" s="1"/>
  <c r="J254" i="28"/>
  <c r="E250" i="33" s="1"/>
  <c r="J242" i="28"/>
  <c r="E238" i="33" s="1"/>
  <c r="J230" i="28"/>
  <c r="E226" i="33" s="1"/>
  <c r="J217" i="28"/>
  <c r="E213" i="33" s="1"/>
  <c r="J209" i="28"/>
  <c r="E205" i="33" s="1"/>
  <c r="J193" i="28"/>
  <c r="E189" i="33" s="1"/>
  <c r="J177" i="28"/>
  <c r="E173" i="33" s="1"/>
  <c r="J170" i="28"/>
  <c r="E166" i="33" s="1"/>
  <c r="J158" i="28"/>
  <c r="E153" i="33" s="1"/>
  <c r="J146" i="28"/>
  <c r="E141" i="33" s="1"/>
  <c r="J138" i="28"/>
  <c r="E133" i="33" s="1"/>
  <c r="J130" i="28"/>
  <c r="E125" i="33" s="1"/>
  <c r="J122" i="28"/>
  <c r="E117" i="33" s="1"/>
  <c r="J114" i="28"/>
  <c r="E109" i="33" s="1"/>
  <c r="J106" i="28"/>
  <c r="E101" i="33" s="1"/>
  <c r="J89" i="28"/>
  <c r="E84" i="33" s="1"/>
  <c r="J81" i="28"/>
  <c r="E76" i="33" s="1"/>
  <c r="J73" i="28"/>
  <c r="E68" i="33" s="1"/>
  <c r="J57" i="28"/>
  <c r="E52" i="33" s="1"/>
  <c r="J49" i="28"/>
  <c r="E44" i="33" s="1"/>
  <c r="J41" i="28"/>
  <c r="E36" i="33" s="1"/>
  <c r="J27" i="28"/>
  <c r="E22" i="33" s="1"/>
  <c r="J26" i="28"/>
  <c r="E21" i="33" s="1"/>
  <c r="J279" i="28"/>
  <c r="E275" i="33" s="1"/>
  <c r="J275" i="28"/>
  <c r="E271" i="33" s="1"/>
  <c r="J272" i="28"/>
  <c r="E268" i="33" s="1"/>
  <c r="J268" i="28"/>
  <c r="E264" i="33" s="1"/>
  <c r="J264" i="28"/>
  <c r="E260" i="33" s="1"/>
  <c r="J260" i="28"/>
  <c r="E256" i="33" s="1"/>
  <c r="J256" i="28"/>
  <c r="E252" i="33" s="1"/>
  <c r="J252" i="28"/>
  <c r="E248" i="33" s="1"/>
  <c r="J248" i="28"/>
  <c r="E244" i="33" s="1"/>
  <c r="J244" i="28"/>
  <c r="E240" i="33" s="1"/>
  <c r="J240" i="28"/>
  <c r="E236" i="33" s="1"/>
  <c r="J236" i="28"/>
  <c r="E232" i="33" s="1"/>
  <c r="J232" i="28"/>
  <c r="E228" i="33" s="1"/>
  <c r="J228" i="28"/>
  <c r="E224" i="33" s="1"/>
  <c r="J223" i="28"/>
  <c r="E219" i="33" s="1"/>
  <c r="J219" i="28"/>
  <c r="E215" i="33" s="1"/>
  <c r="J215" i="28"/>
  <c r="E211" i="33" s="1"/>
  <c r="J211" i="28"/>
  <c r="E207" i="33" s="1"/>
  <c r="J207" i="28"/>
  <c r="E203" i="33" s="1"/>
  <c r="J203" i="28"/>
  <c r="E199" i="33" s="1"/>
  <c r="J199" i="28"/>
  <c r="E195" i="33" s="1"/>
  <c r="J195" i="28"/>
  <c r="E191" i="33" s="1"/>
  <c r="J191" i="28"/>
  <c r="E187" i="33" s="1"/>
  <c r="J187" i="28"/>
  <c r="E183" i="33" s="1"/>
  <c r="J183" i="28"/>
  <c r="E179" i="33" s="1"/>
  <c r="J179" i="28"/>
  <c r="E175" i="33" s="1"/>
  <c r="J172" i="28"/>
  <c r="E168" i="33" s="1"/>
  <c r="J168" i="28"/>
  <c r="E164" i="33" s="1"/>
  <c r="J164" i="28"/>
  <c r="E160" i="33" s="1"/>
  <c r="J160" i="28"/>
  <c r="E155" i="33" s="1"/>
  <c r="J156" i="28"/>
  <c r="E151" i="33" s="1"/>
  <c r="J152" i="28"/>
  <c r="E147" i="33" s="1"/>
  <c r="J148" i="28"/>
  <c r="E143" i="33" s="1"/>
  <c r="J144" i="28"/>
  <c r="E139" i="33" s="1"/>
  <c r="J140" i="28"/>
  <c r="E135" i="33" s="1"/>
  <c r="J136" i="28"/>
  <c r="E131" i="33" s="1"/>
  <c r="J132" i="28"/>
  <c r="E127" i="33" s="1"/>
  <c r="J128" i="28"/>
  <c r="E123" i="33" s="1"/>
  <c r="J124" i="28"/>
  <c r="E119" i="33" s="1"/>
  <c r="J120" i="28"/>
  <c r="E115" i="33" s="1"/>
  <c r="J116" i="28"/>
  <c r="E111" i="33" s="1"/>
  <c r="E117" i="35" s="1"/>
  <c r="J112" i="28"/>
  <c r="E107" i="33" s="1"/>
  <c r="J108" i="28"/>
  <c r="E103" i="33" s="1"/>
  <c r="J104" i="28"/>
  <c r="E99" i="33" s="1"/>
  <c r="J100" i="28"/>
  <c r="E95" i="33" s="1"/>
  <c r="J91" i="28"/>
  <c r="E86" i="33" s="1"/>
  <c r="J87" i="28"/>
  <c r="E82" i="33" s="1"/>
  <c r="J83" i="28"/>
  <c r="E78" i="33" s="1"/>
  <c r="J79" i="28"/>
  <c r="E74" i="33" s="1"/>
  <c r="J75" i="28"/>
  <c r="E70" i="33" s="1"/>
  <c r="J71" i="28"/>
  <c r="E66" i="33" s="1"/>
  <c r="J55" i="28"/>
  <c r="E50" i="33" s="1"/>
  <c r="J51" i="28"/>
  <c r="E46" i="33" s="1"/>
  <c r="J43" i="28"/>
  <c r="E38" i="33" s="1"/>
  <c r="J39" i="28"/>
  <c r="E34" i="33" s="1"/>
  <c r="J36" i="28"/>
  <c r="E31" i="33" s="1"/>
  <c r="J32" i="28"/>
  <c r="E27" i="33" s="1"/>
  <c r="J28" i="28"/>
  <c r="E23" i="33" s="1"/>
  <c r="J350" i="28"/>
  <c r="J346" i="28"/>
  <c r="E342" i="33" s="1"/>
  <c r="J342" i="28"/>
  <c r="E337" i="33" s="1"/>
  <c r="J326" i="28"/>
  <c r="E321" i="33" s="1"/>
  <c r="J322" i="28"/>
  <c r="E317" i="33" s="1"/>
  <c r="J316" i="28"/>
  <c r="E311" i="33" s="1"/>
  <c r="J312" i="28"/>
  <c r="E307" i="33" s="1"/>
  <c r="J308" i="28"/>
  <c r="E303" i="33" s="1"/>
  <c r="J304" i="28"/>
  <c r="E299" i="33" s="1"/>
  <c r="J300" i="28"/>
  <c r="E295" i="33" s="1"/>
  <c r="J296" i="28"/>
  <c r="E291" i="33" s="1"/>
  <c r="J292" i="28"/>
  <c r="E287" i="33" s="1"/>
  <c r="J23" i="28"/>
  <c r="E18" i="33" s="1"/>
  <c r="J24" i="28"/>
  <c r="E19" i="33" s="1"/>
  <c r="J277" i="28"/>
  <c r="E273" i="33" s="1"/>
  <c r="J266" i="28"/>
  <c r="E262" i="33" s="1"/>
  <c r="J250" i="28"/>
  <c r="E246" i="33" s="1"/>
  <c r="J238" i="28"/>
  <c r="E234" i="33" s="1"/>
  <c r="J226" i="28"/>
  <c r="E222" i="33" s="1"/>
  <c r="J213" i="28"/>
  <c r="E209" i="33" s="1"/>
  <c r="J201" i="28"/>
  <c r="E197" i="33" s="1"/>
  <c r="J189" i="28"/>
  <c r="E185" i="33" s="1"/>
  <c r="J181" i="28"/>
  <c r="E177" i="33" s="1"/>
  <c r="J166" i="28"/>
  <c r="E162" i="33" s="1"/>
  <c r="J154" i="28"/>
  <c r="E149" i="33" s="1"/>
  <c r="J25" i="28"/>
  <c r="E20" i="33" s="1"/>
  <c r="J278" i="28"/>
  <c r="E274" i="33" s="1"/>
  <c r="J271" i="28"/>
  <c r="E267" i="33" s="1"/>
  <c r="J267" i="28"/>
  <c r="E263" i="33" s="1"/>
  <c r="J263" i="28"/>
  <c r="E259" i="33" s="1"/>
  <c r="J259" i="28"/>
  <c r="E255" i="33" s="1"/>
  <c r="J255" i="28"/>
  <c r="E251" i="33" s="1"/>
  <c r="J251" i="28"/>
  <c r="E247" i="33" s="1"/>
  <c r="J247" i="28"/>
  <c r="E243" i="33" s="1"/>
  <c r="J243" i="28"/>
  <c r="E239" i="33" s="1"/>
  <c r="J239" i="28"/>
  <c r="E235" i="33" s="1"/>
  <c r="J235" i="28"/>
  <c r="E231" i="33" s="1"/>
  <c r="J231" i="28"/>
  <c r="E227" i="33" s="1"/>
  <c r="J227" i="28"/>
  <c r="E223" i="33" s="1"/>
  <c r="J222" i="28"/>
  <c r="E218" i="33" s="1"/>
  <c r="J218" i="28"/>
  <c r="E214" i="33" s="1"/>
  <c r="J214" i="28"/>
  <c r="E210" i="33" s="1"/>
  <c r="J210" i="28"/>
  <c r="E206" i="33" s="1"/>
  <c r="J206" i="28"/>
  <c r="E202" i="33" s="1"/>
  <c r="J202" i="28"/>
  <c r="E198" i="33" s="1"/>
  <c r="J198" i="28"/>
  <c r="E194" i="33" s="1"/>
  <c r="J194" i="28"/>
  <c r="E190" i="33" s="1"/>
  <c r="J190" i="28"/>
  <c r="E186" i="33" s="1"/>
  <c r="J186" i="28"/>
  <c r="E182" i="33" s="1"/>
  <c r="J182" i="28"/>
  <c r="E178" i="33" s="1"/>
  <c r="J178" i="28"/>
  <c r="E174" i="33" s="1"/>
  <c r="J175" i="28"/>
  <c r="E171" i="33" s="1"/>
  <c r="J171" i="28"/>
  <c r="E167" i="33" s="1"/>
  <c r="J167" i="28"/>
  <c r="E163" i="33" s="1"/>
  <c r="J163" i="28"/>
  <c r="E159" i="33" s="1"/>
  <c r="J159" i="28"/>
  <c r="E154" i="33" s="1"/>
  <c r="J155" i="28"/>
  <c r="E150" i="33" s="1"/>
  <c r="J151" i="28"/>
  <c r="E146" i="33" s="1"/>
  <c r="J147" i="28"/>
  <c r="E142" i="33" s="1"/>
  <c r="J143" i="28"/>
  <c r="E138" i="33" s="1"/>
  <c r="J139" i="28"/>
  <c r="E134" i="33" s="1"/>
  <c r="J135" i="28"/>
  <c r="E130" i="33" s="1"/>
  <c r="J131" i="28"/>
  <c r="E126" i="33" s="1"/>
  <c r="J127" i="28"/>
  <c r="E122" i="33" s="1"/>
  <c r="J123" i="28"/>
  <c r="E118" i="33" s="1"/>
  <c r="J119" i="28"/>
  <c r="E114" i="33" s="1"/>
  <c r="J111" i="28"/>
  <c r="E106" i="33" s="1"/>
  <c r="J107" i="28"/>
  <c r="E102" i="33" s="1"/>
  <c r="J90" i="28"/>
  <c r="E85" i="33" s="1"/>
  <c r="J86" i="28"/>
  <c r="E81" i="33" s="1"/>
  <c r="J82" i="28"/>
  <c r="E77" i="33" s="1"/>
  <c r="J78" i="28"/>
  <c r="E73" i="33" s="1"/>
  <c r="J74" i="28"/>
  <c r="E69" i="33" s="1"/>
  <c r="J70" i="28"/>
  <c r="E65" i="33" s="1"/>
  <c r="J58" i="28"/>
  <c r="E53" i="33" s="1"/>
  <c r="J54" i="28"/>
  <c r="E49" i="33" s="1"/>
  <c r="J50" i="28"/>
  <c r="E45" i="33" s="1"/>
  <c r="J42" i="28"/>
  <c r="E37" i="33" s="1"/>
  <c r="J38" i="28"/>
  <c r="E33" i="33" s="1"/>
  <c r="J35" i="28"/>
  <c r="E30" i="33" s="1"/>
  <c r="J31" i="28"/>
  <c r="E26" i="33" s="1"/>
  <c r="J353" i="28"/>
  <c r="E349" i="33" s="1"/>
  <c r="J349" i="28"/>
  <c r="J345" i="28"/>
  <c r="E341" i="33" s="1"/>
  <c r="J341" i="28"/>
  <c r="E336" i="33" s="1"/>
  <c r="J329" i="28"/>
  <c r="E324" i="33" s="1"/>
  <c r="J325" i="28"/>
  <c r="E320" i="33" s="1"/>
  <c r="J321" i="28"/>
  <c r="E316" i="33" s="1"/>
  <c r="J315" i="28"/>
  <c r="E310" i="33" s="1"/>
  <c r="J311" i="28"/>
  <c r="E306" i="33" s="1"/>
  <c r="J307" i="28"/>
  <c r="E302" i="33" s="1"/>
  <c r="J303" i="28"/>
  <c r="E298" i="33" s="1"/>
  <c r="J299" i="28"/>
  <c r="E294" i="33" s="1"/>
  <c r="J295" i="28"/>
  <c r="E290" i="33" s="1"/>
  <c r="J291" i="28"/>
  <c r="E286" i="33" s="1"/>
  <c r="X22" i="24"/>
  <c r="X23" i="24"/>
  <c r="X24" i="24"/>
  <c r="X25" i="24"/>
  <c r="X26" i="24"/>
  <c r="X27" i="24"/>
  <c r="X28" i="24"/>
  <c r="X29" i="24"/>
  <c r="X30" i="24"/>
  <c r="X31" i="24"/>
  <c r="X32" i="24"/>
  <c r="X33" i="24"/>
  <c r="X34" i="24"/>
  <c r="X35" i="24"/>
  <c r="X36" i="24"/>
  <c r="X37" i="24"/>
  <c r="X38" i="24"/>
  <c r="X39" i="24"/>
  <c r="X40" i="24"/>
  <c r="X41" i="24"/>
  <c r="X42" i="24"/>
  <c r="X43" i="24"/>
  <c r="X44" i="24"/>
  <c r="X45" i="24"/>
  <c r="X46" i="24"/>
  <c r="X47" i="24"/>
  <c r="X48" i="24"/>
  <c r="X49" i="24"/>
  <c r="X50" i="24"/>
  <c r="X51" i="24"/>
  <c r="X52" i="24"/>
  <c r="X53" i="24"/>
  <c r="X54" i="24"/>
  <c r="X55" i="24"/>
  <c r="X56" i="24"/>
  <c r="X57" i="24"/>
  <c r="X58" i="24"/>
  <c r="X59" i="24"/>
  <c r="X60" i="24"/>
  <c r="X61" i="24"/>
  <c r="X62" i="24"/>
  <c r="X63" i="24"/>
  <c r="X64" i="24"/>
  <c r="X65" i="24"/>
  <c r="X66" i="24"/>
  <c r="X67" i="24"/>
  <c r="X68" i="24"/>
  <c r="X69" i="24"/>
  <c r="X70" i="24"/>
  <c r="X71" i="24"/>
  <c r="X72" i="24"/>
  <c r="X73" i="24"/>
  <c r="X74" i="24"/>
  <c r="X75" i="24"/>
  <c r="X76" i="24"/>
  <c r="X77" i="24"/>
  <c r="X78" i="24"/>
  <c r="X79" i="24"/>
  <c r="X80" i="24"/>
  <c r="X81" i="24"/>
  <c r="X82" i="24"/>
  <c r="X83" i="24"/>
  <c r="X84" i="24"/>
  <c r="X85" i="24"/>
  <c r="X86" i="24"/>
  <c r="X87" i="24"/>
  <c r="X88" i="24"/>
  <c r="X89" i="24"/>
  <c r="X90" i="24"/>
  <c r="X91" i="24"/>
  <c r="X92" i="24"/>
  <c r="X93" i="24"/>
  <c r="X107" i="24"/>
  <c r="X109" i="24"/>
  <c r="X158" i="24"/>
  <c r="X168" i="24"/>
  <c r="X195" i="24"/>
  <c r="X238" i="24"/>
  <c r="X21" i="24"/>
  <c r="E32" i="35" l="1"/>
  <c r="E51" i="35"/>
  <c r="E75" i="35"/>
  <c r="E90" i="35"/>
  <c r="E124" i="35"/>
  <c r="E140" i="35"/>
  <c r="E156" i="35"/>
  <c r="E174" i="35"/>
  <c r="E188" i="35"/>
  <c r="E204" i="35"/>
  <c r="E219" i="35"/>
  <c r="E236" i="35"/>
  <c r="E252" i="35"/>
  <c r="E268" i="35"/>
  <c r="E155" i="35"/>
  <c r="E203" i="35"/>
  <c r="E251" i="35"/>
  <c r="E40" i="35"/>
  <c r="E72" i="35"/>
  <c r="E87" i="35"/>
  <c r="E108" i="35"/>
  <c r="E125" i="35"/>
  <c r="E141" i="35"/>
  <c r="E157" i="35"/>
  <c r="E175" i="35"/>
  <c r="E193" i="35"/>
  <c r="E209" i="35"/>
  <c r="E224" i="35"/>
  <c r="E241" i="35"/>
  <c r="E257" i="35"/>
  <c r="E273" i="35"/>
  <c r="E28" i="35"/>
  <c r="E74" i="35"/>
  <c r="E114" i="35"/>
  <c r="E147" i="35"/>
  <c r="E195" i="35"/>
  <c r="E243" i="35"/>
  <c r="E34" i="35"/>
  <c r="E53" i="35"/>
  <c r="E77" i="35"/>
  <c r="E92" i="35"/>
  <c r="E113" i="35"/>
  <c r="E130" i="35"/>
  <c r="E146" i="35"/>
  <c r="E164" i="35"/>
  <c r="E179" i="35"/>
  <c r="E194" i="35"/>
  <c r="E210" i="35"/>
  <c r="E226" i="35"/>
  <c r="E242" i="35"/>
  <c r="E258" i="35"/>
  <c r="E274" i="35"/>
  <c r="E78" i="35"/>
  <c r="E119" i="35"/>
  <c r="E151" i="35"/>
  <c r="E199" i="35"/>
  <c r="E247" i="35"/>
  <c r="E36" i="35"/>
  <c r="E55" i="35"/>
  <c r="E79" i="35"/>
  <c r="E107" i="35"/>
  <c r="E128" i="35"/>
  <c r="E144" i="35"/>
  <c r="E160" i="35"/>
  <c r="E178" i="35"/>
  <c r="E192" i="35"/>
  <c r="E208" i="35"/>
  <c r="E223" i="35"/>
  <c r="E240" i="35"/>
  <c r="E256" i="35"/>
  <c r="E272" i="35"/>
  <c r="E169" i="35"/>
  <c r="E215" i="35"/>
  <c r="E267" i="35"/>
  <c r="E29" i="35"/>
  <c r="E44" i="35"/>
  <c r="E76" i="35"/>
  <c r="E91" i="35"/>
  <c r="E112" i="35"/>
  <c r="E129" i="35"/>
  <c r="E145" i="35"/>
  <c r="E161" i="35"/>
  <c r="E197" i="35"/>
  <c r="E213" i="35"/>
  <c r="E229" i="35"/>
  <c r="E245" i="35"/>
  <c r="E261" i="35"/>
  <c r="E276" i="35"/>
  <c r="E42" i="35"/>
  <c r="E81" i="35"/>
  <c r="E123" i="35"/>
  <c r="E159" i="35"/>
  <c r="E211" i="35"/>
  <c r="E255" i="35"/>
  <c r="E38" i="35"/>
  <c r="E57" i="35"/>
  <c r="E101" i="35"/>
  <c r="E118" i="35"/>
  <c r="E134" i="35"/>
  <c r="E150" i="35"/>
  <c r="E168" i="35"/>
  <c r="E182" i="35"/>
  <c r="E198" i="35"/>
  <c r="E214" i="35"/>
  <c r="E230" i="35"/>
  <c r="E246" i="35"/>
  <c r="E262" i="35"/>
  <c r="E85" i="35"/>
  <c r="E127" i="35"/>
  <c r="E165" i="35"/>
  <c r="E207" i="35"/>
  <c r="E116" i="35"/>
  <c r="E39" i="35"/>
  <c r="E59" i="35"/>
  <c r="E82" i="35"/>
  <c r="E111" i="35"/>
  <c r="E132" i="35"/>
  <c r="E148" i="35"/>
  <c r="E166" i="35"/>
  <c r="E181" i="35"/>
  <c r="E196" i="35"/>
  <c r="E212" i="35"/>
  <c r="E228" i="35"/>
  <c r="E244" i="35"/>
  <c r="E260" i="35"/>
  <c r="E278" i="35"/>
  <c r="E183" i="35"/>
  <c r="E227" i="35"/>
  <c r="E277" i="35"/>
  <c r="E33" i="35"/>
  <c r="E52" i="35"/>
  <c r="E80" i="35"/>
  <c r="E100" i="35"/>
  <c r="E133" i="35"/>
  <c r="E149" i="35"/>
  <c r="E167" i="35"/>
  <c r="E185" i="35"/>
  <c r="E201" i="35"/>
  <c r="E233" i="35"/>
  <c r="E249" i="35"/>
  <c r="E265" i="35"/>
  <c r="E279" i="35"/>
  <c r="E50" i="35"/>
  <c r="E89" i="35"/>
  <c r="E131" i="35"/>
  <c r="E173" i="35"/>
  <c r="E218" i="35"/>
  <c r="E263" i="35"/>
  <c r="E41" i="35"/>
  <c r="E69" i="35"/>
  <c r="E105" i="35"/>
  <c r="E122" i="35"/>
  <c r="E138" i="35"/>
  <c r="E154" i="35"/>
  <c r="E186" i="35"/>
  <c r="E202" i="35"/>
  <c r="E217" i="35"/>
  <c r="E234" i="35"/>
  <c r="E250" i="35"/>
  <c r="E266" i="35"/>
  <c r="E54" i="35"/>
  <c r="E102" i="35"/>
  <c r="E135" i="35"/>
  <c r="E177" i="35"/>
  <c r="E222" i="35"/>
  <c r="E271" i="35"/>
  <c r="E31" i="35"/>
  <c r="E43" i="35"/>
  <c r="E71" i="35"/>
  <c r="E86" i="35"/>
  <c r="E120" i="35"/>
  <c r="E136" i="35"/>
  <c r="E152" i="35"/>
  <c r="E170" i="35"/>
  <c r="E184" i="35"/>
  <c r="E200" i="35"/>
  <c r="E216" i="35"/>
  <c r="E232" i="35"/>
  <c r="E248" i="35"/>
  <c r="E264" i="35"/>
  <c r="E26" i="35"/>
  <c r="E191" i="35"/>
  <c r="E239" i="35"/>
  <c r="E25" i="35"/>
  <c r="E37" i="35"/>
  <c r="E56" i="35"/>
  <c r="E83" i="35"/>
  <c r="E104" i="35"/>
  <c r="E121" i="35"/>
  <c r="E137" i="35"/>
  <c r="E153" i="35"/>
  <c r="E171" i="35"/>
  <c r="E189" i="35"/>
  <c r="E205" i="35"/>
  <c r="E220" i="35"/>
  <c r="E237" i="35"/>
  <c r="E253" i="35"/>
  <c r="E269" i="35"/>
  <c r="E27" i="35"/>
  <c r="E58" i="35"/>
  <c r="E106" i="35"/>
  <c r="E139" i="35"/>
  <c r="E180" i="35"/>
  <c r="E231" i="35"/>
  <c r="E275" i="35"/>
  <c r="E30" i="35"/>
  <c r="E45" i="35"/>
  <c r="E73" i="35"/>
  <c r="E88" i="35"/>
  <c r="E109" i="35"/>
  <c r="E126" i="35"/>
  <c r="E142" i="35"/>
  <c r="E158" i="35"/>
  <c r="E176" i="35"/>
  <c r="E190" i="35"/>
  <c r="E206" i="35"/>
  <c r="E221" i="35"/>
  <c r="E238" i="35"/>
  <c r="E254" i="35"/>
  <c r="E270" i="35"/>
  <c r="E70" i="35"/>
  <c r="E110" i="35"/>
  <c r="E143" i="35"/>
  <c r="E187" i="35"/>
  <c r="E235" i="35"/>
  <c r="E35" i="35"/>
  <c r="E288" i="34"/>
  <c r="E298" i="35"/>
  <c r="E304" i="34"/>
  <c r="E314" i="35"/>
  <c r="E329" i="34"/>
  <c r="E339" i="35"/>
  <c r="E293" i="34"/>
  <c r="E303" i="35"/>
  <c r="E311" i="34"/>
  <c r="E321" i="35"/>
  <c r="E279" i="34"/>
  <c r="E289" i="35"/>
  <c r="E294" i="34"/>
  <c r="E304" i="35"/>
  <c r="E312" i="34"/>
  <c r="E322" i="35"/>
  <c r="E331" i="34"/>
  <c r="E341" i="35"/>
  <c r="E283" i="34"/>
  <c r="E293" i="35"/>
  <c r="E299" i="34"/>
  <c r="E309" i="35"/>
  <c r="E316" i="34"/>
  <c r="E326" i="35"/>
  <c r="E337" i="34"/>
  <c r="E347" i="35"/>
  <c r="E292" i="34"/>
  <c r="E302" i="35"/>
  <c r="E310" i="34"/>
  <c r="E320" i="35"/>
  <c r="E334" i="34"/>
  <c r="E344" i="35"/>
  <c r="E281" i="34"/>
  <c r="E291" i="35"/>
  <c r="E297" i="34"/>
  <c r="E307" i="35"/>
  <c r="E314" i="34"/>
  <c r="E324" i="35"/>
  <c r="E282" i="34"/>
  <c r="E292" i="35"/>
  <c r="E298" i="34"/>
  <c r="E308" i="35"/>
  <c r="E315" i="34"/>
  <c r="E325" i="35"/>
  <c r="E336" i="34"/>
  <c r="E346" i="35"/>
  <c r="E287" i="34"/>
  <c r="E297" i="35"/>
  <c r="E303" i="34"/>
  <c r="E313" i="35"/>
  <c r="E324" i="34"/>
  <c r="E334" i="35"/>
  <c r="E341" i="34"/>
  <c r="E351" i="35"/>
  <c r="E280" i="34"/>
  <c r="E290" i="35"/>
  <c r="E296" i="34"/>
  <c r="E306" i="35"/>
  <c r="E285" i="34"/>
  <c r="E295" i="35"/>
  <c r="E301" i="34"/>
  <c r="E311" i="35"/>
  <c r="E330" i="34"/>
  <c r="E340" i="35"/>
  <c r="E286" i="34"/>
  <c r="E296" i="35"/>
  <c r="E302" i="34"/>
  <c r="E312" i="35"/>
  <c r="E323" i="34"/>
  <c r="E333" i="35"/>
  <c r="E340" i="34"/>
  <c r="E350" i="35"/>
  <c r="E291" i="34"/>
  <c r="E301" i="35"/>
  <c r="E309" i="34"/>
  <c r="E319" i="35"/>
  <c r="E328" i="34"/>
  <c r="E338" i="35"/>
  <c r="E284" i="34"/>
  <c r="E294" i="35"/>
  <c r="E300" i="34"/>
  <c r="E310" i="35"/>
  <c r="E317" i="34"/>
  <c r="E327" i="35"/>
  <c r="E342" i="34"/>
  <c r="E352" i="35"/>
  <c r="E289" i="34"/>
  <c r="E299" i="35"/>
  <c r="E305" i="34"/>
  <c r="E315" i="35"/>
  <c r="E335" i="34"/>
  <c r="E345" i="35"/>
  <c r="E290" i="34"/>
  <c r="E300" i="35"/>
  <c r="E306" i="34"/>
  <c r="E316" i="35"/>
  <c r="E327" i="34"/>
  <c r="E337" i="35"/>
  <c r="E295" i="34"/>
  <c r="E305" i="35"/>
  <c r="E313" i="34"/>
  <c r="E323" i="35"/>
  <c r="E333" i="34"/>
  <c r="E343" i="35"/>
  <c r="E21" i="34"/>
  <c r="E33" i="6"/>
  <c r="E40" i="34"/>
  <c r="E64" i="34"/>
  <c r="E80" i="34"/>
  <c r="E105" i="6"/>
  <c r="E114" i="34"/>
  <c r="E130" i="34"/>
  <c r="E150" i="6"/>
  <c r="E146" i="34"/>
  <c r="E164" i="34"/>
  <c r="E168" i="6"/>
  <c r="E178" i="34"/>
  <c r="E184" i="6"/>
  <c r="E194" i="34"/>
  <c r="E199" i="6"/>
  <c r="E209" i="34"/>
  <c r="E216" i="6"/>
  <c r="E226" i="34"/>
  <c r="E232" i="6"/>
  <c r="E242" i="34"/>
  <c r="E249" i="6"/>
  <c r="E258" i="34"/>
  <c r="E149" i="6"/>
  <c r="E145" i="34"/>
  <c r="E183" i="6"/>
  <c r="E193" i="34"/>
  <c r="E231" i="6"/>
  <c r="E241" i="34"/>
  <c r="E13" i="34"/>
  <c r="E29" i="34"/>
  <c r="E61" i="34"/>
  <c r="E77" i="34"/>
  <c r="E91" i="6"/>
  <c r="E98" i="34"/>
  <c r="E106" i="6"/>
  <c r="E115" i="34"/>
  <c r="E131" i="34"/>
  <c r="E151" i="6"/>
  <c r="E147" i="34"/>
  <c r="E165" i="34"/>
  <c r="E173" i="6"/>
  <c r="E183" i="34"/>
  <c r="E189" i="6"/>
  <c r="E199" i="34"/>
  <c r="E204" i="6"/>
  <c r="E214" i="34"/>
  <c r="E221" i="6"/>
  <c r="E231" i="34"/>
  <c r="E247" i="34"/>
  <c r="E254" i="6"/>
  <c r="E263" i="34"/>
  <c r="E17" i="34"/>
  <c r="E63" i="34"/>
  <c r="E104" i="34"/>
  <c r="E137" i="34"/>
  <c r="E175" i="6"/>
  <c r="E185" i="34"/>
  <c r="E223" i="6"/>
  <c r="E233" i="34"/>
  <c r="E23" i="34"/>
  <c r="E42" i="34"/>
  <c r="E66" i="34"/>
  <c r="E82" i="34"/>
  <c r="E94" i="6"/>
  <c r="E103" i="34"/>
  <c r="E120" i="34"/>
  <c r="E136" i="34"/>
  <c r="E154" i="34"/>
  <c r="E159" i="6"/>
  <c r="E169" i="34"/>
  <c r="E174" i="6"/>
  <c r="E184" i="34"/>
  <c r="E190" i="6"/>
  <c r="E200" i="34"/>
  <c r="E206" i="6"/>
  <c r="E216" i="34"/>
  <c r="E222" i="6"/>
  <c r="E232" i="34"/>
  <c r="E248" i="34"/>
  <c r="E255" i="6"/>
  <c r="E264" i="34"/>
  <c r="E67" i="34"/>
  <c r="E100" i="6"/>
  <c r="E109" i="34"/>
  <c r="E146" i="6"/>
  <c r="E141" i="34"/>
  <c r="E179" i="6"/>
  <c r="E189" i="34"/>
  <c r="E227" i="6"/>
  <c r="E237" i="34"/>
  <c r="E25" i="34"/>
  <c r="E34" i="6"/>
  <c r="E44" i="34"/>
  <c r="E68" i="34"/>
  <c r="E90" i="6"/>
  <c r="E97" i="34"/>
  <c r="E118" i="34"/>
  <c r="E134" i="34"/>
  <c r="E154" i="6"/>
  <c r="E150" i="34"/>
  <c r="E168" i="34"/>
  <c r="E172" i="6"/>
  <c r="E182" i="34"/>
  <c r="E188" i="6"/>
  <c r="E198" i="34"/>
  <c r="E203" i="6"/>
  <c r="E213" i="34"/>
  <c r="E220" i="6"/>
  <c r="E230" i="34"/>
  <c r="E237" i="6"/>
  <c r="E246" i="34"/>
  <c r="E253" i="6"/>
  <c r="E262" i="34"/>
  <c r="E159" i="34"/>
  <c r="E195" i="6"/>
  <c r="E205" i="34"/>
  <c r="E248" i="6"/>
  <c r="E257" i="34"/>
  <c r="E18" i="34"/>
  <c r="E33" i="34"/>
  <c r="E65" i="34"/>
  <c r="E81" i="34"/>
  <c r="E93" i="6"/>
  <c r="E102" i="34"/>
  <c r="E119" i="34"/>
  <c r="E135" i="34"/>
  <c r="E155" i="6"/>
  <c r="E151" i="34"/>
  <c r="E177" i="6"/>
  <c r="E187" i="34"/>
  <c r="E193" i="6"/>
  <c r="E203" i="34"/>
  <c r="E209" i="6"/>
  <c r="E219" i="34"/>
  <c r="E225" i="6"/>
  <c r="E235" i="34"/>
  <c r="E242" i="6"/>
  <c r="E251" i="34"/>
  <c r="E257" i="6"/>
  <c r="E266" i="34"/>
  <c r="E31" i="34"/>
  <c r="E71" i="34"/>
  <c r="E104" i="6"/>
  <c r="E113" i="34"/>
  <c r="E153" i="6"/>
  <c r="E149" i="34"/>
  <c r="E191" i="6"/>
  <c r="E201" i="34"/>
  <c r="E235" i="6"/>
  <c r="E245" i="34"/>
  <c r="E27" i="34"/>
  <c r="E46" i="34"/>
  <c r="E70" i="34"/>
  <c r="E85" i="6"/>
  <c r="E91" i="34"/>
  <c r="E99" i="6"/>
  <c r="E108" i="34"/>
  <c r="E124" i="34"/>
  <c r="E145" i="6"/>
  <c r="E140" i="34"/>
  <c r="E158" i="34"/>
  <c r="E162" i="6"/>
  <c r="E172" i="34"/>
  <c r="E178" i="6"/>
  <c r="E188" i="34"/>
  <c r="E194" i="6"/>
  <c r="E204" i="34"/>
  <c r="E210" i="6"/>
  <c r="E220" i="34"/>
  <c r="E226" i="6"/>
  <c r="E236" i="34"/>
  <c r="E243" i="6"/>
  <c r="E252" i="34"/>
  <c r="E75" i="34"/>
  <c r="E117" i="34"/>
  <c r="E155" i="34"/>
  <c r="E187" i="6"/>
  <c r="E197" i="34"/>
  <c r="E249" i="34"/>
  <c r="E106" i="34"/>
  <c r="E28" i="34"/>
  <c r="E38" i="6"/>
  <c r="E48" i="34"/>
  <c r="E72" i="34"/>
  <c r="E101" i="34"/>
  <c r="E122" i="34"/>
  <c r="E143" i="6"/>
  <c r="E138" i="34"/>
  <c r="E156" i="34"/>
  <c r="E161" i="6"/>
  <c r="E171" i="34"/>
  <c r="E176" i="6"/>
  <c r="E186" i="34"/>
  <c r="E192" i="6"/>
  <c r="E202" i="34"/>
  <c r="E208" i="6"/>
  <c r="E218" i="34"/>
  <c r="E224" i="6"/>
  <c r="E234" i="34"/>
  <c r="E250" i="34"/>
  <c r="E259" i="6"/>
  <c r="E268" i="34"/>
  <c r="E163" i="6"/>
  <c r="E173" i="34"/>
  <c r="E207" i="6"/>
  <c r="E217" i="34"/>
  <c r="E258" i="6"/>
  <c r="E267" i="34"/>
  <c r="E22" i="34"/>
  <c r="E41" i="34"/>
  <c r="E69" i="34"/>
  <c r="E84" i="6"/>
  <c r="E90" i="34"/>
  <c r="E107" i="34"/>
  <c r="E123" i="34"/>
  <c r="E144" i="6"/>
  <c r="E139" i="34"/>
  <c r="E157" i="34"/>
  <c r="E165" i="6"/>
  <c r="E175" i="34"/>
  <c r="E181" i="6"/>
  <c r="E191" i="34"/>
  <c r="E213" i="6"/>
  <c r="E223" i="34"/>
  <c r="E229" i="6"/>
  <c r="E239" i="34"/>
  <c r="E246" i="6"/>
  <c r="E255" i="34"/>
  <c r="E260" i="6"/>
  <c r="E269" i="34"/>
  <c r="E39" i="34"/>
  <c r="E79" i="34"/>
  <c r="E121" i="34"/>
  <c r="E163" i="34"/>
  <c r="E198" i="6"/>
  <c r="E208" i="34"/>
  <c r="E244" i="6"/>
  <c r="E253" i="34"/>
  <c r="E30" i="34"/>
  <c r="E58" i="34"/>
  <c r="E88" i="6"/>
  <c r="E95" i="34"/>
  <c r="E103" i="6"/>
  <c r="E112" i="34"/>
  <c r="E128" i="34"/>
  <c r="E144" i="34"/>
  <c r="E166" i="6"/>
  <c r="E176" i="34"/>
  <c r="E182" i="6"/>
  <c r="E192" i="34"/>
  <c r="E197" i="6"/>
  <c r="E207" i="34"/>
  <c r="E214" i="6"/>
  <c r="E224" i="34"/>
  <c r="E230" i="6"/>
  <c r="E240" i="34"/>
  <c r="E247" i="6"/>
  <c r="E256" i="34"/>
  <c r="E43" i="34"/>
  <c r="E92" i="34"/>
  <c r="E125" i="34"/>
  <c r="E167" i="34"/>
  <c r="E202" i="6"/>
  <c r="E212" i="34"/>
  <c r="E252" i="6"/>
  <c r="E261" i="34"/>
  <c r="E20" i="34"/>
  <c r="E32" i="34"/>
  <c r="E60" i="34"/>
  <c r="E76" i="34"/>
  <c r="E101" i="6"/>
  <c r="E110" i="34"/>
  <c r="E126" i="34"/>
  <c r="E147" i="6"/>
  <c r="E142" i="34"/>
  <c r="E160" i="34"/>
  <c r="E164" i="6"/>
  <c r="E174" i="34"/>
  <c r="E180" i="6"/>
  <c r="E190" i="34"/>
  <c r="E196" i="6"/>
  <c r="E206" i="34"/>
  <c r="E212" i="6"/>
  <c r="E222" i="34"/>
  <c r="E228" i="6"/>
  <c r="E238" i="34"/>
  <c r="E245" i="6"/>
  <c r="E254" i="34"/>
  <c r="E14" i="6"/>
  <c r="E15" i="34"/>
  <c r="E171" i="6"/>
  <c r="E181" i="34"/>
  <c r="E219" i="6"/>
  <c r="E229" i="34"/>
  <c r="E13" i="6"/>
  <c r="E14" i="34"/>
  <c r="E26" i="34"/>
  <c r="E45" i="34"/>
  <c r="E73" i="34"/>
  <c r="E87" i="6"/>
  <c r="E94" i="34"/>
  <c r="E102" i="6"/>
  <c r="E111" i="34"/>
  <c r="E127" i="34"/>
  <c r="E148" i="6"/>
  <c r="E143" i="34"/>
  <c r="E161" i="34"/>
  <c r="E169" i="6"/>
  <c r="E179" i="34"/>
  <c r="E185" i="6"/>
  <c r="E195" i="34"/>
  <c r="E200" i="6"/>
  <c r="E210" i="34"/>
  <c r="E217" i="6"/>
  <c r="E227" i="34"/>
  <c r="E233" i="6"/>
  <c r="E243" i="34"/>
  <c r="E250" i="6"/>
  <c r="E259" i="34"/>
  <c r="E15" i="6"/>
  <c r="E16" i="34"/>
  <c r="E47" i="34"/>
  <c r="E89" i="6"/>
  <c r="E96" i="34"/>
  <c r="E129" i="34"/>
  <c r="E160" i="6"/>
  <c r="E170" i="34"/>
  <c r="E211" i="6"/>
  <c r="E221" i="34"/>
  <c r="E256" i="6"/>
  <c r="E265" i="34"/>
  <c r="E19" i="34"/>
  <c r="E34" i="34"/>
  <c r="E62" i="34"/>
  <c r="E78" i="34"/>
  <c r="E99" i="34"/>
  <c r="E107" i="6"/>
  <c r="E116" i="34"/>
  <c r="E132" i="34"/>
  <c r="E152" i="6"/>
  <c r="E148" i="34"/>
  <c r="E166" i="34"/>
  <c r="E170" i="6"/>
  <c r="E180" i="34"/>
  <c r="E186" i="6"/>
  <c r="E196" i="34"/>
  <c r="E201" i="6"/>
  <c r="E211" i="34"/>
  <c r="E218" i="6"/>
  <c r="E228" i="34"/>
  <c r="E234" i="6"/>
  <c r="E244" i="34"/>
  <c r="E251" i="6"/>
  <c r="E260" i="34"/>
  <c r="E59" i="34"/>
  <c r="E92" i="6"/>
  <c r="E100" i="34"/>
  <c r="E133" i="34"/>
  <c r="E167" i="6"/>
  <c r="E177" i="34"/>
  <c r="E215" i="6"/>
  <c r="E225" i="34"/>
  <c r="E24" i="34"/>
  <c r="X223" i="24"/>
  <c r="X157" i="24" l="1"/>
  <c r="X114" i="24" l="1"/>
  <c r="X207" i="24" l="1"/>
  <c r="X208" i="24" l="1"/>
  <c r="X203" i="24" l="1"/>
  <c r="X186" i="24"/>
  <c r="X171" i="24"/>
  <c r="X153" i="24"/>
  <c r="X137" i="24"/>
  <c r="X121" i="24"/>
  <c r="X105" i="24"/>
  <c r="X193" i="24"/>
  <c r="X177" i="24"/>
  <c r="X162" i="24"/>
  <c r="X144" i="24"/>
  <c r="X128" i="24"/>
  <c r="X112" i="24"/>
  <c r="X96" i="24"/>
  <c r="X197" i="24"/>
  <c r="X180" i="24"/>
  <c r="X165" i="24"/>
  <c r="X147" i="24"/>
  <c r="X131" i="24"/>
  <c r="X115" i="24"/>
  <c r="X99" i="24"/>
  <c r="X191" i="24"/>
  <c r="X175" i="24"/>
  <c r="X154" i="24"/>
  <c r="X138" i="24"/>
  <c r="X122" i="24"/>
  <c r="X102" i="24"/>
  <c r="X156" i="24"/>
  <c r="X199" i="24"/>
  <c r="X182" i="24"/>
  <c r="X167" i="24"/>
  <c r="X149" i="24"/>
  <c r="X133" i="24"/>
  <c r="X117" i="24"/>
  <c r="X101" i="24"/>
  <c r="X206" i="24"/>
  <c r="X189" i="24"/>
  <c r="X173" i="24"/>
  <c r="X140" i="24"/>
  <c r="X124" i="24"/>
  <c r="X108" i="24"/>
  <c r="X192" i="24"/>
  <c r="X176" i="24"/>
  <c r="X161" i="24"/>
  <c r="X143" i="24"/>
  <c r="X127" i="24"/>
  <c r="X111" i="24"/>
  <c r="X95" i="24"/>
  <c r="X204" i="24"/>
  <c r="X187" i="24"/>
  <c r="X150" i="24"/>
  <c r="X134" i="24"/>
  <c r="X118" i="24"/>
  <c r="X98" i="24"/>
  <c r="X194" i="24"/>
  <c r="X178" i="24"/>
  <c r="X163" i="24"/>
  <c r="X145" i="24"/>
  <c r="X129" i="24"/>
  <c r="X113" i="24"/>
  <c r="X97" i="24"/>
  <c r="X202" i="24"/>
  <c r="X185" i="24"/>
  <c r="X170" i="24"/>
  <c r="X152" i="24"/>
  <c r="X136" i="24"/>
  <c r="X120" i="24"/>
  <c r="X104" i="24"/>
  <c r="X205" i="24"/>
  <c r="X188" i="24"/>
  <c r="X172" i="24"/>
  <c r="X155" i="24"/>
  <c r="X139" i="24"/>
  <c r="X123" i="24"/>
  <c r="X200" i="24"/>
  <c r="X183" i="24"/>
  <c r="X164" i="24"/>
  <c r="X146" i="24"/>
  <c r="X130" i="24"/>
  <c r="X110" i="24"/>
  <c r="X190" i="24"/>
  <c r="X174" i="24"/>
  <c r="X159" i="24"/>
  <c r="X141" i="24"/>
  <c r="X125" i="24"/>
  <c r="X198" i="24"/>
  <c r="X181" i="24"/>
  <c r="X166" i="24"/>
  <c r="X148" i="24"/>
  <c r="X132" i="24"/>
  <c r="X116" i="24"/>
  <c r="X100" i="24"/>
  <c r="X201" i="24"/>
  <c r="X184" i="24"/>
  <c r="X169" i="24"/>
  <c r="X151" i="24"/>
  <c r="X135" i="24"/>
  <c r="X119" i="24"/>
  <c r="X103" i="24"/>
  <c r="X196" i="24"/>
  <c r="X179" i="24"/>
  <c r="X160" i="24"/>
  <c r="X142" i="24"/>
  <c r="X126" i="24"/>
  <c r="X106" i="24"/>
  <c r="X261" i="24" l="1"/>
  <c r="X241" i="24"/>
  <c r="X232" i="24"/>
  <c r="X253" i="24"/>
  <c r="X281" i="24"/>
  <c r="X254" i="24"/>
  <c r="X249" i="24"/>
  <c r="X225" i="24"/>
  <c r="X276" i="24"/>
  <c r="X260" i="24"/>
  <c r="X244" i="24"/>
  <c r="X228" i="24"/>
  <c r="X211" i="24"/>
  <c r="X233" i="24"/>
  <c r="X279" i="24"/>
  <c r="X263" i="24"/>
  <c r="X247" i="24"/>
  <c r="X231" i="24"/>
  <c r="X214" i="24"/>
  <c r="X245" i="24"/>
  <c r="X282" i="24"/>
  <c r="X266" i="24"/>
  <c r="X250" i="24"/>
  <c r="X234" i="24"/>
  <c r="X217" i="24"/>
  <c r="X285" i="24"/>
  <c r="X264" i="24"/>
  <c r="X283" i="24"/>
  <c r="X251" i="24"/>
  <c r="X218" i="24"/>
  <c r="X270" i="24"/>
  <c r="X221" i="24"/>
  <c r="X237" i="24"/>
  <c r="X288" i="24"/>
  <c r="X272" i="24"/>
  <c r="X256" i="24"/>
  <c r="X240" i="24"/>
  <c r="X224" i="24"/>
  <c r="X273" i="24"/>
  <c r="X216" i="24"/>
  <c r="X275" i="24"/>
  <c r="X259" i="24"/>
  <c r="X243" i="24"/>
  <c r="X227" i="24"/>
  <c r="X210" i="24"/>
  <c r="X229" i="24"/>
  <c r="X278" i="24"/>
  <c r="X262" i="24"/>
  <c r="X246" i="24"/>
  <c r="X230" i="24"/>
  <c r="X213" i="24"/>
  <c r="X94" i="24"/>
  <c r="X280" i="24"/>
  <c r="X248" i="24"/>
  <c r="X215" i="24"/>
  <c r="X267" i="24"/>
  <c r="X235" i="24"/>
  <c r="X286" i="24"/>
  <c r="X277" i="24"/>
  <c r="X269" i="24"/>
  <c r="X220" i="24"/>
  <c r="X257" i="24"/>
  <c r="X284" i="24"/>
  <c r="X268" i="24"/>
  <c r="X252" i="24"/>
  <c r="X236" i="24"/>
  <c r="X219" i="24"/>
  <c r="X265" i="24"/>
  <c r="X287" i="24"/>
  <c r="X271" i="24"/>
  <c r="X255" i="24"/>
  <c r="X239" i="24"/>
  <c r="X222" i="24"/>
  <c r="X212" i="24"/>
  <c r="X274" i="24"/>
  <c r="X258" i="24"/>
  <c r="X242" i="24"/>
  <c r="X226" i="24"/>
  <c r="X209" i="24" l="1"/>
  <c r="X354" i="24" s="1"/>
  <c r="T354" i="24" l="1"/>
  <c r="R354" i="24"/>
  <c r="O354" i="24"/>
  <c r="G354" i="24"/>
  <c r="F354" i="24"/>
  <c r="AD288" i="24"/>
  <c r="U288" i="24"/>
  <c r="S288" i="24"/>
  <c r="P288" i="24"/>
  <c r="M288" i="24"/>
  <c r="H288" i="24"/>
  <c r="K288" i="24" s="1"/>
  <c r="L288" i="24" s="1"/>
  <c r="AD287" i="24"/>
  <c r="U287" i="24"/>
  <c r="S287" i="24"/>
  <c r="P287" i="24"/>
  <c r="M287" i="24"/>
  <c r="H287" i="24"/>
  <c r="K287" i="24" s="1"/>
  <c r="L287" i="24" s="1"/>
  <c r="AD286" i="24"/>
  <c r="U286" i="24"/>
  <c r="S286" i="24"/>
  <c r="P286" i="24"/>
  <c r="M286" i="24"/>
  <c r="H286" i="24"/>
  <c r="K286" i="24" s="1"/>
  <c r="L286" i="24" s="1"/>
  <c r="AD285" i="24"/>
  <c r="U285" i="24"/>
  <c r="S285" i="24"/>
  <c r="P285" i="24"/>
  <c r="M285" i="24"/>
  <c r="H285" i="24"/>
  <c r="K285" i="24" s="1"/>
  <c r="L285" i="24" s="1"/>
  <c r="AD284" i="24"/>
  <c r="U284" i="24"/>
  <c r="S284" i="24"/>
  <c r="P284" i="24"/>
  <c r="M284" i="24"/>
  <c r="H284" i="24"/>
  <c r="K284" i="24" s="1"/>
  <c r="L284" i="24" s="1"/>
  <c r="AD283" i="24"/>
  <c r="U283" i="24"/>
  <c r="S283" i="24"/>
  <c r="P283" i="24"/>
  <c r="M283" i="24"/>
  <c r="H283" i="24"/>
  <c r="K283" i="24" s="1"/>
  <c r="L283" i="24" s="1"/>
  <c r="AD282" i="24"/>
  <c r="U282" i="24"/>
  <c r="S282" i="24"/>
  <c r="P282" i="24"/>
  <c r="M282" i="24"/>
  <c r="H282" i="24"/>
  <c r="K282" i="24" s="1"/>
  <c r="L282" i="24" s="1"/>
  <c r="AD281" i="24"/>
  <c r="U281" i="24"/>
  <c r="S281" i="24"/>
  <c r="P281" i="24"/>
  <c r="M281" i="24"/>
  <c r="H281" i="24"/>
  <c r="K281" i="24" s="1"/>
  <c r="L281" i="24" s="1"/>
  <c r="AD280" i="24"/>
  <c r="U280" i="24"/>
  <c r="S280" i="24"/>
  <c r="P280" i="24"/>
  <c r="M280" i="24"/>
  <c r="H280" i="24"/>
  <c r="K280" i="24" s="1"/>
  <c r="L280" i="24" s="1"/>
  <c r="AD279" i="24"/>
  <c r="U279" i="24"/>
  <c r="S279" i="24"/>
  <c r="P279" i="24"/>
  <c r="M279" i="24"/>
  <c r="H279" i="24"/>
  <c r="K279" i="24" s="1"/>
  <c r="L279" i="24" s="1"/>
  <c r="AD278" i="24"/>
  <c r="U278" i="24"/>
  <c r="S278" i="24"/>
  <c r="P278" i="24"/>
  <c r="M278" i="24"/>
  <c r="H278" i="24"/>
  <c r="K278" i="24" s="1"/>
  <c r="L278" i="24" s="1"/>
  <c r="AD277" i="24"/>
  <c r="U277" i="24"/>
  <c r="S277" i="24"/>
  <c r="P277" i="24"/>
  <c r="M277" i="24"/>
  <c r="H277" i="24"/>
  <c r="K277" i="24" s="1"/>
  <c r="L277" i="24" s="1"/>
  <c r="AD276" i="24"/>
  <c r="U276" i="24"/>
  <c r="S276" i="24"/>
  <c r="P276" i="24"/>
  <c r="M276" i="24"/>
  <c r="H276" i="24"/>
  <c r="K276" i="24" s="1"/>
  <c r="L276" i="24" s="1"/>
  <c r="AD275" i="24"/>
  <c r="U275" i="24"/>
  <c r="S275" i="24"/>
  <c r="P275" i="24"/>
  <c r="M275" i="24"/>
  <c r="H275" i="24"/>
  <c r="K275" i="24" s="1"/>
  <c r="L275" i="24" s="1"/>
  <c r="AD274" i="24"/>
  <c r="U274" i="24"/>
  <c r="S274" i="24"/>
  <c r="P274" i="24"/>
  <c r="M274" i="24"/>
  <c r="H274" i="24"/>
  <c r="K274" i="24" s="1"/>
  <c r="L274" i="24" s="1"/>
  <c r="AD273" i="24"/>
  <c r="U273" i="24"/>
  <c r="S273" i="24"/>
  <c r="P273" i="24"/>
  <c r="M273" i="24"/>
  <c r="H273" i="24"/>
  <c r="K273" i="24" s="1"/>
  <c r="L273" i="24" s="1"/>
  <c r="AD272" i="24"/>
  <c r="U272" i="24"/>
  <c r="S272" i="24"/>
  <c r="P272" i="24"/>
  <c r="M272" i="24"/>
  <c r="H272" i="24"/>
  <c r="K272" i="24" s="1"/>
  <c r="L272" i="24" s="1"/>
  <c r="AD271" i="24"/>
  <c r="U271" i="24"/>
  <c r="S271" i="24"/>
  <c r="P271" i="24"/>
  <c r="M271" i="24"/>
  <c r="H271" i="24"/>
  <c r="K271" i="24" s="1"/>
  <c r="L271" i="24" s="1"/>
  <c r="AD270" i="24"/>
  <c r="U270" i="24"/>
  <c r="S270" i="24"/>
  <c r="P270" i="24"/>
  <c r="M270" i="24"/>
  <c r="H270" i="24"/>
  <c r="K270" i="24" s="1"/>
  <c r="L270" i="24" s="1"/>
  <c r="AD269" i="24"/>
  <c r="U269" i="24"/>
  <c r="S269" i="24"/>
  <c r="P269" i="24"/>
  <c r="M269" i="24"/>
  <c r="H269" i="24"/>
  <c r="K269" i="24" s="1"/>
  <c r="L269" i="24" s="1"/>
  <c r="AD268" i="24"/>
  <c r="U268" i="24"/>
  <c r="S268" i="24"/>
  <c r="P268" i="24"/>
  <c r="M268" i="24"/>
  <c r="H268" i="24"/>
  <c r="K268" i="24" s="1"/>
  <c r="L268" i="24" s="1"/>
  <c r="AD267" i="24"/>
  <c r="U267" i="24"/>
  <c r="S267" i="24"/>
  <c r="P267" i="24"/>
  <c r="M267" i="24"/>
  <c r="H267" i="24"/>
  <c r="K267" i="24" s="1"/>
  <c r="L267" i="24" s="1"/>
  <c r="AD266" i="24"/>
  <c r="U266" i="24"/>
  <c r="S266" i="24"/>
  <c r="P266" i="24"/>
  <c r="M266" i="24"/>
  <c r="H266" i="24"/>
  <c r="K266" i="24" s="1"/>
  <c r="L266" i="24" s="1"/>
  <c r="AD265" i="24"/>
  <c r="U265" i="24"/>
  <c r="S265" i="24"/>
  <c r="P265" i="24"/>
  <c r="M265" i="24"/>
  <c r="H265" i="24"/>
  <c r="K265" i="24" s="1"/>
  <c r="L265" i="24" s="1"/>
  <c r="AD264" i="24"/>
  <c r="U264" i="24"/>
  <c r="S264" i="24"/>
  <c r="P264" i="24"/>
  <c r="M264" i="24"/>
  <c r="H264" i="24"/>
  <c r="K264" i="24" s="1"/>
  <c r="L264" i="24" s="1"/>
  <c r="AD263" i="24"/>
  <c r="U263" i="24"/>
  <c r="S263" i="24"/>
  <c r="P263" i="24"/>
  <c r="M263" i="24"/>
  <c r="H263" i="24"/>
  <c r="K263" i="24" s="1"/>
  <c r="L263" i="24" s="1"/>
  <c r="AD262" i="24"/>
  <c r="U262" i="24"/>
  <c r="S262" i="24"/>
  <c r="P262" i="24"/>
  <c r="M262" i="24"/>
  <c r="H262" i="24"/>
  <c r="K262" i="24" s="1"/>
  <c r="L262" i="24" s="1"/>
  <c r="AD261" i="24"/>
  <c r="U261" i="24"/>
  <c r="S261" i="24"/>
  <c r="P261" i="24"/>
  <c r="M261" i="24"/>
  <c r="H261" i="24"/>
  <c r="K261" i="24" s="1"/>
  <c r="L261" i="24" s="1"/>
  <c r="AD260" i="24"/>
  <c r="U260" i="24"/>
  <c r="S260" i="24"/>
  <c r="P260" i="24"/>
  <c r="M260" i="24"/>
  <c r="H260" i="24"/>
  <c r="K260" i="24" s="1"/>
  <c r="L260" i="24" s="1"/>
  <c r="AD259" i="24"/>
  <c r="U259" i="24"/>
  <c r="S259" i="24"/>
  <c r="P259" i="24"/>
  <c r="M259" i="24"/>
  <c r="H259" i="24"/>
  <c r="K259" i="24" s="1"/>
  <c r="L259" i="24" s="1"/>
  <c r="AD258" i="24"/>
  <c r="U258" i="24"/>
  <c r="S258" i="24"/>
  <c r="P258" i="24"/>
  <c r="M258" i="24"/>
  <c r="H258" i="24"/>
  <c r="K258" i="24" s="1"/>
  <c r="L258" i="24" s="1"/>
  <c r="AD257" i="24"/>
  <c r="U257" i="24"/>
  <c r="S257" i="24"/>
  <c r="P257" i="24"/>
  <c r="M257" i="24"/>
  <c r="H257" i="24"/>
  <c r="K257" i="24" s="1"/>
  <c r="L257" i="24" s="1"/>
  <c r="AD256" i="24"/>
  <c r="U256" i="24"/>
  <c r="S256" i="24"/>
  <c r="P256" i="24"/>
  <c r="M256" i="24"/>
  <c r="H256" i="24"/>
  <c r="K256" i="24" s="1"/>
  <c r="L256" i="24" s="1"/>
  <c r="AD255" i="24"/>
  <c r="U255" i="24"/>
  <c r="S255" i="24"/>
  <c r="P255" i="24"/>
  <c r="M255" i="24"/>
  <c r="H255" i="24"/>
  <c r="K255" i="24" s="1"/>
  <c r="L255" i="24" s="1"/>
  <c r="AD254" i="24"/>
  <c r="U254" i="24"/>
  <c r="S254" i="24"/>
  <c r="P254" i="24"/>
  <c r="M254" i="24"/>
  <c r="H254" i="24"/>
  <c r="K254" i="24" s="1"/>
  <c r="L254" i="24" s="1"/>
  <c r="AD253" i="24"/>
  <c r="U253" i="24"/>
  <c r="S253" i="24"/>
  <c r="P253" i="24"/>
  <c r="M253" i="24"/>
  <c r="H253" i="24"/>
  <c r="K253" i="24" s="1"/>
  <c r="L253" i="24" s="1"/>
  <c r="AD252" i="24"/>
  <c r="U252" i="24"/>
  <c r="S252" i="24"/>
  <c r="P252" i="24"/>
  <c r="M252" i="24"/>
  <c r="H252" i="24"/>
  <c r="K252" i="24" s="1"/>
  <c r="L252" i="24" s="1"/>
  <c r="AD251" i="24"/>
  <c r="U251" i="24"/>
  <c r="S251" i="24"/>
  <c r="P251" i="24"/>
  <c r="M251" i="24"/>
  <c r="H251" i="24"/>
  <c r="K251" i="24" s="1"/>
  <c r="L251" i="24" s="1"/>
  <c r="AD250" i="24"/>
  <c r="U250" i="24"/>
  <c r="S250" i="24"/>
  <c r="P250" i="24"/>
  <c r="M250" i="24"/>
  <c r="H250" i="24"/>
  <c r="K250" i="24" s="1"/>
  <c r="L250" i="24" s="1"/>
  <c r="AD249" i="24"/>
  <c r="U249" i="24"/>
  <c r="S249" i="24"/>
  <c r="P249" i="24"/>
  <c r="M249" i="24"/>
  <c r="H249" i="24"/>
  <c r="K249" i="24" s="1"/>
  <c r="L249" i="24" s="1"/>
  <c r="AD248" i="24"/>
  <c r="U248" i="24"/>
  <c r="S248" i="24"/>
  <c r="P248" i="24"/>
  <c r="M248" i="24"/>
  <c r="H248" i="24"/>
  <c r="K248" i="24" s="1"/>
  <c r="L248" i="24" s="1"/>
  <c r="AD247" i="24"/>
  <c r="U247" i="24"/>
  <c r="S247" i="24"/>
  <c r="P247" i="24"/>
  <c r="M247" i="24"/>
  <c r="H247" i="24"/>
  <c r="K247" i="24" s="1"/>
  <c r="L247" i="24" s="1"/>
  <c r="AD246" i="24"/>
  <c r="U246" i="24"/>
  <c r="S246" i="24"/>
  <c r="P246" i="24"/>
  <c r="M246" i="24"/>
  <c r="H246" i="24"/>
  <c r="K246" i="24" s="1"/>
  <c r="L246" i="24" s="1"/>
  <c r="AD245" i="24"/>
  <c r="U245" i="24"/>
  <c r="S245" i="24"/>
  <c r="P245" i="24"/>
  <c r="M245" i="24"/>
  <c r="H245" i="24"/>
  <c r="K245" i="24" s="1"/>
  <c r="L245" i="24" s="1"/>
  <c r="AD244" i="24"/>
  <c r="U244" i="24"/>
  <c r="S244" i="24"/>
  <c r="P244" i="24"/>
  <c r="M244" i="24"/>
  <c r="H244" i="24"/>
  <c r="K244" i="24" s="1"/>
  <c r="L244" i="24" s="1"/>
  <c r="AD243" i="24"/>
  <c r="U243" i="24"/>
  <c r="S243" i="24"/>
  <c r="P243" i="24"/>
  <c r="M243" i="24"/>
  <c r="H243" i="24"/>
  <c r="K243" i="24" s="1"/>
  <c r="L243" i="24" s="1"/>
  <c r="AD242" i="24"/>
  <c r="U242" i="24"/>
  <c r="S242" i="24"/>
  <c r="P242" i="24"/>
  <c r="M242" i="24"/>
  <c r="H242" i="24"/>
  <c r="K242" i="24" s="1"/>
  <c r="L242" i="24" s="1"/>
  <c r="AD241" i="24"/>
  <c r="U241" i="24"/>
  <c r="S241" i="24"/>
  <c r="P241" i="24"/>
  <c r="M241" i="24"/>
  <c r="H241" i="24"/>
  <c r="K241" i="24" s="1"/>
  <c r="AD240" i="24"/>
  <c r="U240" i="24"/>
  <c r="S240" i="24"/>
  <c r="P240" i="24"/>
  <c r="M240" i="24"/>
  <c r="H240" i="24"/>
  <c r="K240" i="24" s="1"/>
  <c r="L240" i="24" s="1"/>
  <c r="AD239" i="24"/>
  <c r="U239" i="24"/>
  <c r="S239" i="24"/>
  <c r="P239" i="24"/>
  <c r="M239" i="24"/>
  <c r="H239" i="24"/>
  <c r="K239" i="24" s="1"/>
  <c r="AD238" i="24"/>
  <c r="U238" i="24"/>
  <c r="S238" i="24"/>
  <c r="P238" i="24"/>
  <c r="M238" i="24"/>
  <c r="H238" i="24"/>
  <c r="K238" i="24" s="1"/>
  <c r="L238" i="24" s="1"/>
  <c r="AD237" i="24"/>
  <c r="U237" i="24"/>
  <c r="S237" i="24"/>
  <c r="P237" i="24"/>
  <c r="M237" i="24"/>
  <c r="H237" i="24"/>
  <c r="K237" i="24" s="1"/>
  <c r="AD236" i="24"/>
  <c r="U236" i="24"/>
  <c r="S236" i="24"/>
  <c r="P236" i="24"/>
  <c r="M236" i="24"/>
  <c r="H236" i="24"/>
  <c r="K236" i="24" s="1"/>
  <c r="L236" i="24" s="1"/>
  <c r="AD235" i="24"/>
  <c r="U235" i="24"/>
  <c r="S235" i="24"/>
  <c r="P235" i="24"/>
  <c r="M235" i="24"/>
  <c r="H235" i="24"/>
  <c r="K235" i="24" s="1"/>
  <c r="L235" i="24" s="1"/>
  <c r="AD234" i="24"/>
  <c r="U234" i="24"/>
  <c r="S234" i="24"/>
  <c r="P234" i="24"/>
  <c r="M234" i="24"/>
  <c r="H234" i="24"/>
  <c r="K234" i="24" s="1"/>
  <c r="L234" i="24" s="1"/>
  <c r="AD233" i="24"/>
  <c r="U233" i="24"/>
  <c r="S233" i="24"/>
  <c r="P233" i="24"/>
  <c r="M233" i="24"/>
  <c r="H233" i="24"/>
  <c r="K233" i="24" s="1"/>
  <c r="L233" i="24" s="1"/>
  <c r="AD232" i="24"/>
  <c r="U232" i="24"/>
  <c r="S232" i="24"/>
  <c r="P232" i="24"/>
  <c r="M232" i="24"/>
  <c r="H232" i="24"/>
  <c r="K232" i="24" s="1"/>
  <c r="L232" i="24" s="1"/>
  <c r="AD231" i="24"/>
  <c r="U231" i="24"/>
  <c r="S231" i="24"/>
  <c r="P231" i="24"/>
  <c r="M231" i="24"/>
  <c r="H231" i="24"/>
  <c r="K231" i="24" s="1"/>
  <c r="L231" i="24" s="1"/>
  <c r="AD230" i="24"/>
  <c r="U230" i="24"/>
  <c r="S230" i="24"/>
  <c r="P230" i="24"/>
  <c r="M230" i="24"/>
  <c r="H230" i="24"/>
  <c r="K230" i="24" s="1"/>
  <c r="L230" i="24" s="1"/>
  <c r="AD229" i="24"/>
  <c r="U229" i="24"/>
  <c r="S229" i="24"/>
  <c r="P229" i="24"/>
  <c r="M229" i="24"/>
  <c r="H229" i="24"/>
  <c r="K229" i="24" s="1"/>
  <c r="L229" i="24" s="1"/>
  <c r="AD228" i="24"/>
  <c r="U228" i="24"/>
  <c r="S228" i="24"/>
  <c r="P228" i="24"/>
  <c r="M228" i="24"/>
  <c r="H228" i="24"/>
  <c r="K228" i="24" s="1"/>
  <c r="L228" i="24" s="1"/>
  <c r="AD227" i="24"/>
  <c r="U227" i="24"/>
  <c r="S227" i="24"/>
  <c r="P227" i="24"/>
  <c r="M227" i="24"/>
  <c r="H227" i="24"/>
  <c r="K227" i="24" s="1"/>
  <c r="AD226" i="24"/>
  <c r="U226" i="24"/>
  <c r="S226" i="24"/>
  <c r="P226" i="24"/>
  <c r="M226" i="24"/>
  <c r="H226" i="24"/>
  <c r="K226" i="24" s="1"/>
  <c r="L226" i="24" s="1"/>
  <c r="AD225" i="24"/>
  <c r="U225" i="24"/>
  <c r="S225" i="24"/>
  <c r="P225" i="24"/>
  <c r="M225" i="24"/>
  <c r="I225" i="24"/>
  <c r="H225" i="24"/>
  <c r="AD224" i="24"/>
  <c r="U224" i="24"/>
  <c r="S224" i="24"/>
  <c r="P224" i="24"/>
  <c r="M224" i="24"/>
  <c r="K224" i="24"/>
  <c r="L224" i="24" s="1"/>
  <c r="H224" i="24"/>
  <c r="AD223" i="24"/>
  <c r="U223" i="24"/>
  <c r="S223" i="24"/>
  <c r="P223" i="24"/>
  <c r="M223" i="24"/>
  <c r="H223" i="24"/>
  <c r="K223" i="24" s="1"/>
  <c r="L223" i="24" s="1"/>
  <c r="AD222" i="24"/>
  <c r="U222" i="24"/>
  <c r="S222" i="24"/>
  <c r="P222" i="24"/>
  <c r="M222" i="24"/>
  <c r="H222" i="24"/>
  <c r="K222" i="24" s="1"/>
  <c r="L222" i="24" s="1"/>
  <c r="AD221" i="24"/>
  <c r="U221" i="24"/>
  <c r="S221" i="24"/>
  <c r="P221" i="24"/>
  <c r="M221" i="24"/>
  <c r="H221" i="24"/>
  <c r="K221" i="24" s="1"/>
  <c r="L221" i="24" s="1"/>
  <c r="AD220" i="24"/>
  <c r="U220" i="24"/>
  <c r="S220" i="24"/>
  <c r="P220" i="24"/>
  <c r="M220" i="24"/>
  <c r="H220" i="24"/>
  <c r="K220" i="24" s="1"/>
  <c r="L220" i="24" s="1"/>
  <c r="AD219" i="24"/>
  <c r="U219" i="24"/>
  <c r="S219" i="24"/>
  <c r="P219" i="24"/>
  <c r="M219" i="24"/>
  <c r="H219" i="24"/>
  <c r="K219" i="24" s="1"/>
  <c r="L219" i="24" s="1"/>
  <c r="AD218" i="24"/>
  <c r="U218" i="24"/>
  <c r="S218" i="24"/>
  <c r="P218" i="24"/>
  <c r="M218" i="24"/>
  <c r="H218" i="24"/>
  <c r="K218" i="24" s="1"/>
  <c r="L218" i="24" s="1"/>
  <c r="AD217" i="24"/>
  <c r="U217" i="24"/>
  <c r="S217" i="24"/>
  <c r="P217" i="24"/>
  <c r="M217" i="24"/>
  <c r="H217" i="24"/>
  <c r="K217" i="24" s="1"/>
  <c r="L217" i="24" s="1"/>
  <c r="AD216" i="24"/>
  <c r="U216" i="24"/>
  <c r="S216" i="24"/>
  <c r="P216" i="24"/>
  <c r="M216" i="24"/>
  <c r="H216" i="24"/>
  <c r="K216" i="24" s="1"/>
  <c r="L216" i="24" s="1"/>
  <c r="AD215" i="24"/>
  <c r="U215" i="24"/>
  <c r="S215" i="24"/>
  <c r="P215" i="24"/>
  <c r="M215" i="24"/>
  <c r="H215" i="24"/>
  <c r="K215" i="24" s="1"/>
  <c r="L215" i="24" s="1"/>
  <c r="AD214" i="24"/>
  <c r="U214" i="24"/>
  <c r="S214" i="24"/>
  <c r="P214" i="24"/>
  <c r="M214" i="24"/>
  <c r="H214" i="24"/>
  <c r="K214" i="24" s="1"/>
  <c r="L214" i="24" s="1"/>
  <c r="AD213" i="24"/>
  <c r="U213" i="24"/>
  <c r="S213" i="24"/>
  <c r="P213" i="24"/>
  <c r="M213" i="24"/>
  <c r="H213" i="24"/>
  <c r="K213" i="24" s="1"/>
  <c r="L213" i="24" s="1"/>
  <c r="AD212" i="24"/>
  <c r="U212" i="24"/>
  <c r="S212" i="24"/>
  <c r="P212" i="24"/>
  <c r="M212" i="24"/>
  <c r="H212" i="24"/>
  <c r="K212" i="24" s="1"/>
  <c r="L212" i="24" s="1"/>
  <c r="AD211" i="24"/>
  <c r="U211" i="24"/>
  <c r="S211" i="24"/>
  <c r="P211" i="24"/>
  <c r="M211" i="24"/>
  <c r="H211" i="24"/>
  <c r="K211" i="24" s="1"/>
  <c r="L211" i="24" s="1"/>
  <c r="AD210" i="24"/>
  <c r="U210" i="24"/>
  <c r="S210" i="24"/>
  <c r="P210" i="24"/>
  <c r="M210" i="24"/>
  <c r="H210" i="24"/>
  <c r="K210" i="24" s="1"/>
  <c r="L210" i="24" s="1"/>
  <c r="AD209" i="24"/>
  <c r="U209" i="24"/>
  <c r="S209" i="24"/>
  <c r="P209" i="24"/>
  <c r="M209" i="24"/>
  <c r="H209" i="24"/>
  <c r="K209" i="24" s="1"/>
  <c r="L209" i="24" s="1"/>
  <c r="AD208" i="24"/>
  <c r="U208" i="24"/>
  <c r="S208" i="24"/>
  <c r="P208" i="24"/>
  <c r="M208" i="24"/>
  <c r="H208" i="24"/>
  <c r="K208" i="24" s="1"/>
  <c r="L208" i="24" s="1"/>
  <c r="AD207" i="24"/>
  <c r="U207" i="24"/>
  <c r="S207" i="24"/>
  <c r="P207" i="24"/>
  <c r="M207" i="24"/>
  <c r="H207" i="24"/>
  <c r="K207" i="24" s="1"/>
  <c r="L207" i="24" s="1"/>
  <c r="AD206" i="24"/>
  <c r="U206" i="24"/>
  <c r="S206" i="24"/>
  <c r="P206" i="24"/>
  <c r="M206" i="24"/>
  <c r="H206" i="24"/>
  <c r="K206" i="24" s="1"/>
  <c r="L206" i="24" s="1"/>
  <c r="AD205" i="24"/>
  <c r="U205" i="24"/>
  <c r="S205" i="24"/>
  <c r="P205" i="24"/>
  <c r="M205" i="24"/>
  <c r="H205" i="24"/>
  <c r="K205" i="24" s="1"/>
  <c r="L205" i="24" s="1"/>
  <c r="AD204" i="24"/>
  <c r="U204" i="24"/>
  <c r="S204" i="24"/>
  <c r="P204" i="24"/>
  <c r="M204" i="24"/>
  <c r="H204" i="24"/>
  <c r="K204" i="24" s="1"/>
  <c r="L204" i="24" s="1"/>
  <c r="AD203" i="24"/>
  <c r="U203" i="24"/>
  <c r="S203" i="24"/>
  <c r="P203" i="24"/>
  <c r="M203" i="24"/>
  <c r="H203" i="24"/>
  <c r="K203" i="24" s="1"/>
  <c r="L203" i="24" s="1"/>
  <c r="AD202" i="24"/>
  <c r="U202" i="24"/>
  <c r="S202" i="24"/>
  <c r="P202" i="24"/>
  <c r="M202" i="24"/>
  <c r="H202" i="24"/>
  <c r="K202" i="24" s="1"/>
  <c r="L202" i="24" s="1"/>
  <c r="AD201" i="24"/>
  <c r="U201" i="24"/>
  <c r="S201" i="24"/>
  <c r="P201" i="24"/>
  <c r="M201" i="24"/>
  <c r="H201" i="24"/>
  <c r="K201" i="24" s="1"/>
  <c r="L201" i="24" s="1"/>
  <c r="AD200" i="24"/>
  <c r="U200" i="24"/>
  <c r="S200" i="24"/>
  <c r="P200" i="24"/>
  <c r="M200" i="24"/>
  <c r="I200" i="24"/>
  <c r="H200" i="24"/>
  <c r="AD199" i="24"/>
  <c r="U199" i="24"/>
  <c r="S199" i="24"/>
  <c r="P199" i="24"/>
  <c r="M199" i="24"/>
  <c r="H199" i="24"/>
  <c r="K199" i="24" s="1"/>
  <c r="L199" i="24" s="1"/>
  <c r="AD198" i="24"/>
  <c r="U198" i="24"/>
  <c r="S198" i="24"/>
  <c r="P198" i="24"/>
  <c r="M198" i="24"/>
  <c r="H198" i="24"/>
  <c r="K198" i="24" s="1"/>
  <c r="L198" i="24" s="1"/>
  <c r="AD197" i="24"/>
  <c r="U197" i="24"/>
  <c r="S197" i="24"/>
  <c r="P197" i="24"/>
  <c r="M197" i="24"/>
  <c r="H197" i="24"/>
  <c r="K197" i="24" s="1"/>
  <c r="AD196" i="24"/>
  <c r="U196" i="24"/>
  <c r="S196" i="24"/>
  <c r="P196" i="24"/>
  <c r="M196" i="24"/>
  <c r="H196" i="24"/>
  <c r="K196" i="24" s="1"/>
  <c r="L196" i="24" s="1"/>
  <c r="AD195" i="24"/>
  <c r="U195" i="24"/>
  <c r="S195" i="24"/>
  <c r="P195" i="24"/>
  <c r="M195" i="24"/>
  <c r="H195" i="24"/>
  <c r="K195" i="24" s="1"/>
  <c r="AD194" i="24"/>
  <c r="U194" i="24"/>
  <c r="S194" i="24"/>
  <c r="P194" i="24"/>
  <c r="M194" i="24"/>
  <c r="H194" i="24"/>
  <c r="K194" i="24" s="1"/>
  <c r="L194" i="24" s="1"/>
  <c r="AD193" i="24"/>
  <c r="U193" i="24"/>
  <c r="S193" i="24"/>
  <c r="P193" i="24"/>
  <c r="M193" i="24"/>
  <c r="H193" i="24"/>
  <c r="K193" i="24" s="1"/>
  <c r="AH192" i="24"/>
  <c r="AD192" i="24"/>
  <c r="U192" i="24"/>
  <c r="S192" i="24"/>
  <c r="P192" i="24"/>
  <c r="M192" i="24"/>
  <c r="H192" i="24"/>
  <c r="K192" i="24" s="1"/>
  <c r="L192" i="24" s="1"/>
  <c r="AD191" i="24"/>
  <c r="U191" i="24"/>
  <c r="S191" i="24"/>
  <c r="P191" i="24"/>
  <c r="M191" i="24"/>
  <c r="H191" i="24"/>
  <c r="K191" i="24" s="1"/>
  <c r="AD190" i="24"/>
  <c r="U190" i="24"/>
  <c r="S190" i="24"/>
  <c r="P190" i="24"/>
  <c r="M190" i="24"/>
  <c r="H190" i="24"/>
  <c r="K190" i="24" s="1"/>
  <c r="L190" i="24" s="1"/>
  <c r="AD189" i="24"/>
  <c r="U189" i="24"/>
  <c r="S189" i="24"/>
  <c r="P189" i="24"/>
  <c r="M189" i="24"/>
  <c r="H189" i="24"/>
  <c r="K189" i="24" s="1"/>
  <c r="AD188" i="24"/>
  <c r="U188" i="24"/>
  <c r="S188" i="24"/>
  <c r="P188" i="24"/>
  <c r="M188" i="24"/>
  <c r="H188" i="24"/>
  <c r="K188" i="24" s="1"/>
  <c r="L188" i="24" s="1"/>
  <c r="AD187" i="24"/>
  <c r="U187" i="24"/>
  <c r="S187" i="24"/>
  <c r="P187" i="24"/>
  <c r="M187" i="24"/>
  <c r="H187" i="24"/>
  <c r="K187" i="24" s="1"/>
  <c r="L187" i="24" s="1"/>
  <c r="AD186" i="24"/>
  <c r="U186" i="24"/>
  <c r="S186" i="24"/>
  <c r="P186" i="24"/>
  <c r="M186" i="24"/>
  <c r="H186" i="24"/>
  <c r="K186" i="24" s="1"/>
  <c r="L186" i="24" s="1"/>
  <c r="AD185" i="24"/>
  <c r="U185" i="24"/>
  <c r="S185" i="24"/>
  <c r="P185" i="24"/>
  <c r="M185" i="24"/>
  <c r="H185" i="24"/>
  <c r="K185" i="24" s="1"/>
  <c r="L185" i="24" s="1"/>
  <c r="AD184" i="24"/>
  <c r="U184" i="24"/>
  <c r="S184" i="24"/>
  <c r="P184" i="24"/>
  <c r="M184" i="24"/>
  <c r="H184" i="24"/>
  <c r="K184" i="24" s="1"/>
  <c r="L184" i="24" s="1"/>
  <c r="AD183" i="24"/>
  <c r="U183" i="24"/>
  <c r="S183" i="24"/>
  <c r="P183" i="24"/>
  <c r="M183" i="24"/>
  <c r="H183" i="24"/>
  <c r="K183" i="24" s="1"/>
  <c r="L183" i="24" s="1"/>
  <c r="AD182" i="24"/>
  <c r="U182" i="24"/>
  <c r="S182" i="24"/>
  <c r="P182" i="24"/>
  <c r="M182" i="24"/>
  <c r="H182" i="24"/>
  <c r="K182" i="24" s="1"/>
  <c r="L182" i="24" s="1"/>
  <c r="AD181" i="24"/>
  <c r="U181" i="24"/>
  <c r="S181" i="24"/>
  <c r="P181" i="24"/>
  <c r="M181" i="24"/>
  <c r="H181" i="24"/>
  <c r="K181" i="24" s="1"/>
  <c r="L181" i="24" s="1"/>
  <c r="AD180" i="24"/>
  <c r="U180" i="24"/>
  <c r="S180" i="24"/>
  <c r="P180" i="24"/>
  <c r="M180" i="24"/>
  <c r="H180" i="24"/>
  <c r="K180" i="24" s="1"/>
  <c r="L180" i="24" s="1"/>
  <c r="AD179" i="24"/>
  <c r="U179" i="24"/>
  <c r="S179" i="24"/>
  <c r="P179" i="24"/>
  <c r="M179" i="24"/>
  <c r="H179" i="24"/>
  <c r="K179" i="24" s="1"/>
  <c r="L179" i="24" s="1"/>
  <c r="AD178" i="24"/>
  <c r="U178" i="24"/>
  <c r="S178" i="24"/>
  <c r="P178" i="24"/>
  <c r="M178" i="24"/>
  <c r="H178" i="24"/>
  <c r="K178" i="24" s="1"/>
  <c r="L178" i="24" s="1"/>
  <c r="AD177" i="24"/>
  <c r="U177" i="24"/>
  <c r="S177" i="24"/>
  <c r="P177" i="24"/>
  <c r="M177" i="24"/>
  <c r="H177" i="24"/>
  <c r="K177" i="24" s="1"/>
  <c r="L177" i="24" s="1"/>
  <c r="AD176" i="24"/>
  <c r="U176" i="24"/>
  <c r="S176" i="24"/>
  <c r="P176" i="24"/>
  <c r="M176" i="24"/>
  <c r="H176" i="24"/>
  <c r="K176" i="24" s="1"/>
  <c r="L176" i="24" s="1"/>
  <c r="AD175" i="24"/>
  <c r="U175" i="24"/>
  <c r="S175" i="24"/>
  <c r="P175" i="24"/>
  <c r="M175" i="24"/>
  <c r="H175" i="24"/>
  <c r="K175" i="24" s="1"/>
  <c r="L175" i="24" s="1"/>
  <c r="AD174" i="24"/>
  <c r="V174" i="24"/>
  <c r="U174" i="24"/>
  <c r="S174" i="24"/>
  <c r="P174" i="24"/>
  <c r="N174" i="24"/>
  <c r="H174" i="24"/>
  <c r="K174" i="24" s="1"/>
  <c r="L174" i="24" s="1"/>
  <c r="AD173" i="24"/>
  <c r="U173" i="24"/>
  <c r="S173" i="24"/>
  <c r="P173" i="24"/>
  <c r="M173" i="24"/>
  <c r="H173" i="24"/>
  <c r="K173" i="24" s="1"/>
  <c r="L173" i="24" s="1"/>
  <c r="AD172" i="24"/>
  <c r="U172" i="24"/>
  <c r="S172" i="24"/>
  <c r="P172" i="24"/>
  <c r="M172" i="24"/>
  <c r="H172" i="24"/>
  <c r="K172" i="24" s="1"/>
  <c r="AD171" i="24"/>
  <c r="U171" i="24"/>
  <c r="S171" i="24"/>
  <c r="P171" i="24"/>
  <c r="M171" i="24"/>
  <c r="H171" i="24"/>
  <c r="K171" i="24" s="1"/>
  <c r="L171" i="24" s="1"/>
  <c r="AD170" i="24"/>
  <c r="U170" i="24"/>
  <c r="S170" i="24"/>
  <c r="P170" i="24"/>
  <c r="M170" i="24"/>
  <c r="H170" i="24"/>
  <c r="K170" i="24" s="1"/>
  <c r="L170" i="24" s="1"/>
  <c r="AD169" i="24"/>
  <c r="U169" i="24"/>
  <c r="S169" i="24"/>
  <c r="P169" i="24"/>
  <c r="M169" i="24"/>
  <c r="H169" i="24"/>
  <c r="K169" i="24" s="1"/>
  <c r="L169" i="24" s="1"/>
  <c r="AD168" i="24"/>
  <c r="U168" i="24"/>
  <c r="S168" i="24"/>
  <c r="P168" i="24"/>
  <c r="M168" i="24"/>
  <c r="N168" i="24" s="1"/>
  <c r="H168" i="24"/>
  <c r="K168" i="24" s="1"/>
  <c r="L168" i="24" s="1"/>
  <c r="AD167" i="24"/>
  <c r="U167" i="24"/>
  <c r="S167" i="24"/>
  <c r="P167" i="24"/>
  <c r="M167" i="24"/>
  <c r="H167" i="24"/>
  <c r="K167" i="24" s="1"/>
  <c r="L167" i="24" s="1"/>
  <c r="AD166" i="24"/>
  <c r="U166" i="24"/>
  <c r="S166" i="24"/>
  <c r="P166" i="24"/>
  <c r="M166" i="24"/>
  <c r="H166" i="24"/>
  <c r="K166" i="24" s="1"/>
  <c r="L166" i="24" s="1"/>
  <c r="AD165" i="24"/>
  <c r="U165" i="24"/>
  <c r="S165" i="24"/>
  <c r="P165" i="24"/>
  <c r="M165" i="24"/>
  <c r="H165" i="24"/>
  <c r="K165" i="24" s="1"/>
  <c r="L165" i="24" s="1"/>
  <c r="AD164" i="24"/>
  <c r="U164" i="24"/>
  <c r="S164" i="24"/>
  <c r="P164" i="24"/>
  <c r="M164" i="24"/>
  <c r="H164" i="24"/>
  <c r="K164" i="24" s="1"/>
  <c r="L164" i="24" s="1"/>
  <c r="AD163" i="24"/>
  <c r="U163" i="24"/>
  <c r="S163" i="24"/>
  <c r="P163" i="24"/>
  <c r="M163" i="24"/>
  <c r="H163" i="24"/>
  <c r="K163" i="24" s="1"/>
  <c r="L163" i="24" s="1"/>
  <c r="AD162" i="24"/>
  <c r="U162" i="24"/>
  <c r="S162" i="24"/>
  <c r="P162" i="24"/>
  <c r="M162" i="24"/>
  <c r="H162" i="24"/>
  <c r="K162" i="24" s="1"/>
  <c r="L162" i="24" s="1"/>
  <c r="AD161" i="24"/>
  <c r="U161" i="24"/>
  <c r="S161" i="24"/>
  <c r="P161" i="24"/>
  <c r="M161" i="24"/>
  <c r="H161" i="24"/>
  <c r="K161" i="24" s="1"/>
  <c r="L161" i="24" s="1"/>
  <c r="AD160" i="24"/>
  <c r="U160" i="24"/>
  <c r="S160" i="24"/>
  <c r="P160" i="24"/>
  <c r="M160" i="24"/>
  <c r="H160" i="24"/>
  <c r="K160" i="24" s="1"/>
  <c r="L160" i="24" s="1"/>
  <c r="AD159" i="24"/>
  <c r="U159" i="24"/>
  <c r="S159" i="24"/>
  <c r="P159" i="24"/>
  <c r="M159" i="24"/>
  <c r="H159" i="24"/>
  <c r="K159" i="24" s="1"/>
  <c r="L159" i="24" s="1"/>
  <c r="AD158" i="24"/>
  <c r="U158" i="24"/>
  <c r="S158" i="24"/>
  <c r="P158" i="24"/>
  <c r="M158" i="24"/>
  <c r="N158" i="24" s="1"/>
  <c r="H158" i="24"/>
  <c r="K158" i="24" s="1"/>
  <c r="L158" i="24" s="1"/>
  <c r="AD157" i="24"/>
  <c r="U157" i="24"/>
  <c r="S157" i="24"/>
  <c r="P157" i="24"/>
  <c r="M157" i="24"/>
  <c r="L157" i="24"/>
  <c r="AD156" i="24"/>
  <c r="U156" i="24"/>
  <c r="S156" i="24"/>
  <c r="P156" i="24"/>
  <c r="M156" i="24"/>
  <c r="H156" i="24"/>
  <c r="K156" i="24" s="1"/>
  <c r="AD155" i="24"/>
  <c r="U155" i="24"/>
  <c r="S155" i="24"/>
  <c r="P155" i="24"/>
  <c r="M155" i="24"/>
  <c r="H155" i="24"/>
  <c r="K155" i="24" s="1"/>
  <c r="L155" i="24" s="1"/>
  <c r="AD154" i="24"/>
  <c r="U154" i="24"/>
  <c r="S154" i="24"/>
  <c r="P154" i="24"/>
  <c r="M154" i="24"/>
  <c r="H154" i="24"/>
  <c r="K154" i="24" s="1"/>
  <c r="AD153" i="24"/>
  <c r="U153" i="24"/>
  <c r="S153" i="24"/>
  <c r="P153" i="24"/>
  <c r="M153" i="24"/>
  <c r="H153" i="24"/>
  <c r="K153" i="24" s="1"/>
  <c r="L153" i="24" s="1"/>
  <c r="AD152" i="24"/>
  <c r="U152" i="24"/>
  <c r="S152" i="24"/>
  <c r="P152" i="24"/>
  <c r="M152" i="24"/>
  <c r="H152" i="24"/>
  <c r="K152" i="24" s="1"/>
  <c r="AD151" i="24"/>
  <c r="U151" i="24"/>
  <c r="S151" i="24"/>
  <c r="P151" i="24"/>
  <c r="M151" i="24"/>
  <c r="H151" i="24"/>
  <c r="K151" i="24" s="1"/>
  <c r="L151" i="24" s="1"/>
  <c r="AD150" i="24"/>
  <c r="U150" i="24"/>
  <c r="S150" i="24"/>
  <c r="P150" i="24"/>
  <c r="M150" i="24"/>
  <c r="H150" i="24"/>
  <c r="K150" i="24" s="1"/>
  <c r="AD149" i="24"/>
  <c r="U149" i="24"/>
  <c r="S149" i="24"/>
  <c r="P149" i="24"/>
  <c r="M149" i="24"/>
  <c r="H149" i="24"/>
  <c r="K149" i="24" s="1"/>
  <c r="L149" i="24" s="1"/>
  <c r="AD148" i="24"/>
  <c r="U148" i="24"/>
  <c r="S148" i="24"/>
  <c r="P148" i="24"/>
  <c r="M148" i="24"/>
  <c r="H148" i="24"/>
  <c r="K148" i="24" s="1"/>
  <c r="AD147" i="24"/>
  <c r="U147" i="24"/>
  <c r="S147" i="24"/>
  <c r="P147" i="24"/>
  <c r="M147" i="24"/>
  <c r="H147" i="24"/>
  <c r="K147" i="24" s="1"/>
  <c r="L147" i="24" s="1"/>
  <c r="AD146" i="24"/>
  <c r="U146" i="24"/>
  <c r="S146" i="24"/>
  <c r="P146" i="24"/>
  <c r="M146" i="24"/>
  <c r="H146" i="24"/>
  <c r="K146" i="24" s="1"/>
  <c r="L146" i="24" s="1"/>
  <c r="AD145" i="24"/>
  <c r="U145" i="24"/>
  <c r="S145" i="24"/>
  <c r="P145" i="24"/>
  <c r="M145" i="24"/>
  <c r="H145" i="24"/>
  <c r="K145" i="24" s="1"/>
  <c r="L145" i="24" s="1"/>
  <c r="AD144" i="24"/>
  <c r="U144" i="24"/>
  <c r="S144" i="24"/>
  <c r="P144" i="24"/>
  <c r="M144" i="24"/>
  <c r="H144" i="24"/>
  <c r="K144" i="24" s="1"/>
  <c r="AD143" i="24"/>
  <c r="U143" i="24"/>
  <c r="S143" i="24"/>
  <c r="P143" i="24"/>
  <c r="M143" i="24"/>
  <c r="H143" i="24"/>
  <c r="K143" i="24" s="1"/>
  <c r="L143" i="24" s="1"/>
  <c r="AD142" i="24"/>
  <c r="U142" i="24"/>
  <c r="S142" i="24"/>
  <c r="P142" i="24"/>
  <c r="M142" i="24"/>
  <c r="H142" i="24"/>
  <c r="K142" i="24" s="1"/>
  <c r="L142" i="24" s="1"/>
  <c r="AD141" i="24"/>
  <c r="U141" i="24"/>
  <c r="S141" i="24"/>
  <c r="P141" i="24"/>
  <c r="M141" i="24"/>
  <c r="H141" i="24"/>
  <c r="K141" i="24" s="1"/>
  <c r="L141" i="24" s="1"/>
  <c r="AD140" i="24"/>
  <c r="U140" i="24"/>
  <c r="S140" i="24"/>
  <c r="P140" i="24"/>
  <c r="M140" i="24"/>
  <c r="I140" i="24"/>
  <c r="I354" i="24" s="1"/>
  <c r="H140" i="24"/>
  <c r="AD139" i="24"/>
  <c r="U139" i="24"/>
  <c r="S139" i="24"/>
  <c r="P139" i="24"/>
  <c r="M139" i="24"/>
  <c r="H139" i="24"/>
  <c r="K139" i="24" s="1"/>
  <c r="L139" i="24" s="1"/>
  <c r="AD138" i="24"/>
  <c r="U138" i="24"/>
  <c r="S138" i="24"/>
  <c r="P138" i="24"/>
  <c r="M138" i="24"/>
  <c r="H138" i="24"/>
  <c r="K138" i="24" s="1"/>
  <c r="L138" i="24" s="1"/>
  <c r="AD137" i="24"/>
  <c r="U137" i="24"/>
  <c r="S137" i="24"/>
  <c r="P137" i="24"/>
  <c r="M137" i="24"/>
  <c r="H137" i="24"/>
  <c r="K137" i="24" s="1"/>
  <c r="L137" i="24" s="1"/>
  <c r="AD136" i="24"/>
  <c r="U136" i="24"/>
  <c r="S136" i="24"/>
  <c r="P136" i="24"/>
  <c r="M136" i="24"/>
  <c r="H136" i="24"/>
  <c r="K136" i="24" s="1"/>
  <c r="L136" i="24" s="1"/>
  <c r="AD135" i="24"/>
  <c r="U135" i="24"/>
  <c r="S135" i="24"/>
  <c r="P135" i="24"/>
  <c r="M135" i="24"/>
  <c r="H135" i="24"/>
  <c r="K135" i="24" s="1"/>
  <c r="L135" i="24" s="1"/>
  <c r="AD134" i="24"/>
  <c r="U134" i="24"/>
  <c r="S134" i="24"/>
  <c r="P134" i="24"/>
  <c r="M134" i="24"/>
  <c r="H134" i="24"/>
  <c r="K134" i="24" s="1"/>
  <c r="L134" i="24" s="1"/>
  <c r="AD133" i="24"/>
  <c r="U133" i="24"/>
  <c r="S133" i="24"/>
  <c r="P133" i="24"/>
  <c r="M133" i="24"/>
  <c r="H133" i="24"/>
  <c r="K133" i="24" s="1"/>
  <c r="L133" i="24" s="1"/>
  <c r="AD132" i="24"/>
  <c r="U132" i="24"/>
  <c r="S132" i="24"/>
  <c r="P132" i="24"/>
  <c r="M132" i="24"/>
  <c r="H132" i="24"/>
  <c r="K132" i="24" s="1"/>
  <c r="L132" i="24" s="1"/>
  <c r="AD131" i="24"/>
  <c r="U131" i="24"/>
  <c r="S131" i="24"/>
  <c r="P131" i="24"/>
  <c r="M131" i="24"/>
  <c r="H131" i="24"/>
  <c r="K131" i="24" s="1"/>
  <c r="L131" i="24" s="1"/>
  <c r="AD130" i="24"/>
  <c r="U130" i="24"/>
  <c r="S130" i="24"/>
  <c r="P130" i="24"/>
  <c r="M130" i="24"/>
  <c r="H130" i="24"/>
  <c r="K130" i="24" s="1"/>
  <c r="L130" i="24" s="1"/>
  <c r="AD129" i="24"/>
  <c r="U129" i="24"/>
  <c r="S129" i="24"/>
  <c r="P129" i="24"/>
  <c r="M129" i="24"/>
  <c r="H129" i="24"/>
  <c r="K129" i="24" s="1"/>
  <c r="L129" i="24" s="1"/>
  <c r="AD128" i="24"/>
  <c r="U128" i="24"/>
  <c r="S128" i="24"/>
  <c r="P128" i="24"/>
  <c r="M128" i="24"/>
  <c r="H128" i="24"/>
  <c r="K128" i="24" s="1"/>
  <c r="L128" i="24" s="1"/>
  <c r="AD127" i="24"/>
  <c r="U127" i="24"/>
  <c r="S127" i="24"/>
  <c r="P127" i="24"/>
  <c r="M127" i="24"/>
  <c r="H127" i="24"/>
  <c r="K127" i="24" s="1"/>
  <c r="L127" i="24" s="1"/>
  <c r="AD126" i="24"/>
  <c r="U126" i="24"/>
  <c r="S126" i="24"/>
  <c r="P126" i="24"/>
  <c r="M126" i="24"/>
  <c r="H126" i="24"/>
  <c r="K126" i="24" s="1"/>
  <c r="L126" i="24" s="1"/>
  <c r="AD125" i="24"/>
  <c r="U125" i="24"/>
  <c r="S125" i="24"/>
  <c r="P125" i="24"/>
  <c r="M125" i="24"/>
  <c r="H125" i="24"/>
  <c r="K125" i="24" s="1"/>
  <c r="L125" i="24" s="1"/>
  <c r="AD124" i="24"/>
  <c r="U124" i="24"/>
  <c r="S124" i="24"/>
  <c r="P124" i="24"/>
  <c r="M124" i="24"/>
  <c r="H124" i="24"/>
  <c r="K124" i="24" s="1"/>
  <c r="L124" i="24" s="1"/>
  <c r="AD123" i="24"/>
  <c r="U123" i="24"/>
  <c r="S123" i="24"/>
  <c r="P123" i="24"/>
  <c r="M123" i="24"/>
  <c r="H123" i="24"/>
  <c r="K123" i="24" s="1"/>
  <c r="L123" i="24" s="1"/>
  <c r="AD122" i="24"/>
  <c r="U122" i="24"/>
  <c r="S122" i="24"/>
  <c r="P122" i="24"/>
  <c r="M122" i="24"/>
  <c r="H122" i="24"/>
  <c r="K122" i="24" s="1"/>
  <c r="L122" i="24" s="1"/>
  <c r="AD121" i="24"/>
  <c r="U121" i="24"/>
  <c r="S121" i="24"/>
  <c r="P121" i="24"/>
  <c r="M121" i="24"/>
  <c r="H121" i="24"/>
  <c r="K121" i="24" s="1"/>
  <c r="L121" i="24" s="1"/>
  <c r="AD120" i="24"/>
  <c r="U120" i="24"/>
  <c r="S120" i="24"/>
  <c r="P120" i="24"/>
  <c r="M120" i="24"/>
  <c r="H120" i="24"/>
  <c r="K120" i="24" s="1"/>
  <c r="L120" i="24" s="1"/>
  <c r="AD119" i="24"/>
  <c r="U119" i="24"/>
  <c r="S119" i="24"/>
  <c r="P119" i="24"/>
  <c r="M119" i="24"/>
  <c r="H119" i="24"/>
  <c r="K119" i="24" s="1"/>
  <c r="L119" i="24" s="1"/>
  <c r="AD118" i="24"/>
  <c r="U118" i="24"/>
  <c r="S118" i="24"/>
  <c r="P118" i="24"/>
  <c r="M118" i="24"/>
  <c r="H118" i="24"/>
  <c r="K118" i="24" s="1"/>
  <c r="L118" i="24" s="1"/>
  <c r="AD117" i="24"/>
  <c r="U117" i="24"/>
  <c r="S117" i="24"/>
  <c r="P117" i="24"/>
  <c r="M117" i="24"/>
  <c r="H117" i="24"/>
  <c r="K117" i="24" s="1"/>
  <c r="L117" i="24" s="1"/>
  <c r="AD116" i="24"/>
  <c r="U116" i="24"/>
  <c r="S116" i="24"/>
  <c r="P116" i="24"/>
  <c r="M116" i="24"/>
  <c r="H116" i="24"/>
  <c r="K116" i="24" s="1"/>
  <c r="L116" i="24" s="1"/>
  <c r="AD115" i="24"/>
  <c r="U115" i="24"/>
  <c r="S115" i="24"/>
  <c r="P115" i="24"/>
  <c r="M115" i="24"/>
  <c r="H115" i="24"/>
  <c r="K115" i="24" s="1"/>
  <c r="L115" i="24" s="1"/>
  <c r="AD114" i="24"/>
  <c r="U114" i="24"/>
  <c r="S114" i="24"/>
  <c r="P114" i="24"/>
  <c r="M114" i="24"/>
  <c r="H114" i="24"/>
  <c r="K114" i="24" s="1"/>
  <c r="L114" i="24" s="1"/>
  <c r="AD113" i="24"/>
  <c r="U113" i="24"/>
  <c r="S113" i="24"/>
  <c r="P113" i="24"/>
  <c r="M113" i="24"/>
  <c r="H113" i="24"/>
  <c r="K113" i="24" s="1"/>
  <c r="L113" i="24" s="1"/>
  <c r="AD112" i="24"/>
  <c r="U112" i="24"/>
  <c r="S112" i="24"/>
  <c r="P112" i="24"/>
  <c r="M112" i="24"/>
  <c r="H112" i="24"/>
  <c r="K112" i="24" s="1"/>
  <c r="L112" i="24" s="1"/>
  <c r="AD111" i="24"/>
  <c r="U111" i="24"/>
  <c r="S111" i="24"/>
  <c r="P111" i="24"/>
  <c r="M111" i="24"/>
  <c r="H111" i="24"/>
  <c r="K111" i="24" s="1"/>
  <c r="L111" i="24" s="1"/>
  <c r="AD110" i="24"/>
  <c r="U110" i="24"/>
  <c r="S110" i="24"/>
  <c r="P110" i="24"/>
  <c r="M110" i="24"/>
  <c r="H110" i="24"/>
  <c r="K110" i="24" s="1"/>
  <c r="L110" i="24" s="1"/>
  <c r="AD109" i="24"/>
  <c r="U109" i="24"/>
  <c r="S109" i="24"/>
  <c r="P109" i="24"/>
  <c r="M109" i="24"/>
  <c r="N109" i="24" s="1"/>
  <c r="H109" i="24"/>
  <c r="K109" i="24" s="1"/>
  <c r="L109" i="24" s="1"/>
  <c r="AD108" i="24"/>
  <c r="U108" i="24"/>
  <c r="S108" i="24"/>
  <c r="P108" i="24"/>
  <c r="M108" i="24"/>
  <c r="H108" i="24"/>
  <c r="K108" i="24" s="1"/>
  <c r="L108" i="24" s="1"/>
  <c r="AD107" i="24"/>
  <c r="U107" i="24"/>
  <c r="S107" i="24"/>
  <c r="P107" i="24"/>
  <c r="M107" i="24"/>
  <c r="H107" i="24"/>
  <c r="K107" i="24" s="1"/>
  <c r="L107" i="24" s="1"/>
  <c r="AD106" i="24"/>
  <c r="U106" i="24"/>
  <c r="S106" i="24"/>
  <c r="P106" i="24"/>
  <c r="M106" i="24"/>
  <c r="H106" i="24"/>
  <c r="K106" i="24" s="1"/>
  <c r="L106" i="24" s="1"/>
  <c r="AD105" i="24"/>
  <c r="U105" i="24"/>
  <c r="S105" i="24"/>
  <c r="P105" i="24"/>
  <c r="M105" i="24"/>
  <c r="H105" i="24"/>
  <c r="K105" i="24" s="1"/>
  <c r="L105" i="24" s="1"/>
  <c r="AD104" i="24"/>
  <c r="U104" i="24"/>
  <c r="S104" i="24"/>
  <c r="P104" i="24"/>
  <c r="M104" i="24"/>
  <c r="H104" i="24"/>
  <c r="K104" i="24" s="1"/>
  <c r="L104" i="24" s="1"/>
  <c r="AD103" i="24"/>
  <c r="U103" i="24"/>
  <c r="S103" i="24"/>
  <c r="P103" i="24"/>
  <c r="M103" i="24"/>
  <c r="H103" i="24"/>
  <c r="K103" i="24" s="1"/>
  <c r="L103" i="24" s="1"/>
  <c r="AD102" i="24"/>
  <c r="U102" i="24"/>
  <c r="S102" i="24"/>
  <c r="P102" i="24"/>
  <c r="M102" i="24"/>
  <c r="H102" i="24"/>
  <c r="K102" i="24" s="1"/>
  <c r="L102" i="24" s="1"/>
  <c r="AD101" i="24"/>
  <c r="U101" i="24"/>
  <c r="S101" i="24"/>
  <c r="P101" i="24"/>
  <c r="M101" i="24"/>
  <c r="H101" i="24"/>
  <c r="K101" i="24" s="1"/>
  <c r="L101" i="24" s="1"/>
  <c r="AD100" i="24"/>
  <c r="U100" i="24"/>
  <c r="S100" i="24"/>
  <c r="P100" i="24"/>
  <c r="M100" i="24"/>
  <c r="H100" i="24"/>
  <c r="K100" i="24" s="1"/>
  <c r="L100" i="24" s="1"/>
  <c r="AD99" i="24"/>
  <c r="U99" i="24"/>
  <c r="S99" i="24"/>
  <c r="P99" i="24"/>
  <c r="M99" i="24"/>
  <c r="H99" i="24"/>
  <c r="K99" i="24" s="1"/>
  <c r="L99" i="24" s="1"/>
  <c r="AD98" i="24"/>
  <c r="U98" i="24"/>
  <c r="S98" i="24"/>
  <c r="P98" i="24"/>
  <c r="M98" i="24"/>
  <c r="H98" i="24"/>
  <c r="K98" i="24" s="1"/>
  <c r="L98" i="24" s="1"/>
  <c r="AD97" i="24"/>
  <c r="U97" i="24"/>
  <c r="S97" i="24"/>
  <c r="P97" i="24"/>
  <c r="M97" i="24"/>
  <c r="H97" i="24"/>
  <c r="K97" i="24" s="1"/>
  <c r="L97" i="24" s="1"/>
  <c r="AD96" i="24"/>
  <c r="U96" i="24"/>
  <c r="S96" i="24"/>
  <c r="P96" i="24"/>
  <c r="M96" i="24"/>
  <c r="H96" i="24"/>
  <c r="K96" i="24" s="1"/>
  <c r="L96" i="24" s="1"/>
  <c r="AD95" i="24"/>
  <c r="U95" i="24"/>
  <c r="S95" i="24"/>
  <c r="P95" i="24"/>
  <c r="M95" i="24"/>
  <c r="H95" i="24"/>
  <c r="K95" i="24" s="1"/>
  <c r="L95" i="24" s="1"/>
  <c r="AD94" i="24"/>
  <c r="U94" i="24"/>
  <c r="S94" i="24"/>
  <c r="P94" i="24"/>
  <c r="M94" i="24"/>
  <c r="H94" i="24"/>
  <c r="K94" i="24" s="1"/>
  <c r="L94" i="24" s="1"/>
  <c r="AD93" i="24"/>
  <c r="U93" i="24"/>
  <c r="S93" i="24"/>
  <c r="P93" i="24"/>
  <c r="M93" i="24"/>
  <c r="H93" i="24"/>
  <c r="K93" i="24" s="1"/>
  <c r="L93" i="24" s="1"/>
  <c r="V93" i="24" s="1"/>
  <c r="AD92" i="24"/>
  <c r="U92" i="24"/>
  <c r="S92" i="24"/>
  <c r="P92" i="24"/>
  <c r="M92" i="24"/>
  <c r="H92" i="24"/>
  <c r="K92" i="24" s="1"/>
  <c r="L92" i="24" s="1"/>
  <c r="AD91" i="24"/>
  <c r="U91" i="24"/>
  <c r="S91" i="24"/>
  <c r="P91" i="24"/>
  <c r="M91" i="24"/>
  <c r="H91" i="24"/>
  <c r="K91" i="24" s="1"/>
  <c r="L91" i="24" s="1"/>
  <c r="AD90" i="24"/>
  <c r="U90" i="24"/>
  <c r="S90" i="24"/>
  <c r="P90" i="24"/>
  <c r="M90" i="24"/>
  <c r="H90" i="24"/>
  <c r="K90" i="24" s="1"/>
  <c r="L90" i="24" s="1"/>
  <c r="AD89" i="24"/>
  <c r="U89" i="24"/>
  <c r="S89" i="24"/>
  <c r="P89" i="24"/>
  <c r="M89" i="24"/>
  <c r="H89" i="24"/>
  <c r="K89" i="24" s="1"/>
  <c r="L89" i="24" s="1"/>
  <c r="AD88" i="24"/>
  <c r="U88" i="24"/>
  <c r="S88" i="24"/>
  <c r="P88" i="24"/>
  <c r="M88" i="24"/>
  <c r="H88" i="24"/>
  <c r="K88" i="24" s="1"/>
  <c r="L88" i="24" s="1"/>
  <c r="AD87" i="24"/>
  <c r="U87" i="24"/>
  <c r="S87" i="24"/>
  <c r="P87" i="24"/>
  <c r="M87" i="24"/>
  <c r="H87" i="24"/>
  <c r="K87" i="24" s="1"/>
  <c r="L87" i="24" s="1"/>
  <c r="AD86" i="24"/>
  <c r="U86" i="24"/>
  <c r="S86" i="24"/>
  <c r="P86" i="24"/>
  <c r="M86" i="24"/>
  <c r="H86" i="24"/>
  <c r="K86" i="24" s="1"/>
  <c r="L86" i="24" s="1"/>
  <c r="AD85" i="24"/>
  <c r="U85" i="24"/>
  <c r="S85" i="24"/>
  <c r="P85" i="24"/>
  <c r="M85" i="24"/>
  <c r="H85" i="24"/>
  <c r="K85" i="24" s="1"/>
  <c r="L85" i="24" s="1"/>
  <c r="AD84" i="24"/>
  <c r="U84" i="24"/>
  <c r="S84" i="24"/>
  <c r="P84" i="24"/>
  <c r="M84" i="24"/>
  <c r="H84" i="24"/>
  <c r="K84" i="24" s="1"/>
  <c r="L84" i="24" s="1"/>
  <c r="AD83" i="24"/>
  <c r="U83" i="24"/>
  <c r="S83" i="24"/>
  <c r="P83" i="24"/>
  <c r="M83" i="24"/>
  <c r="H83" i="24"/>
  <c r="K83" i="24" s="1"/>
  <c r="L83" i="24" s="1"/>
  <c r="AD82" i="24"/>
  <c r="U82" i="24"/>
  <c r="S82" i="24"/>
  <c r="P82" i="24"/>
  <c r="M82" i="24"/>
  <c r="H82" i="24"/>
  <c r="K82" i="24" s="1"/>
  <c r="L82" i="24" s="1"/>
  <c r="AD81" i="24"/>
  <c r="U81" i="24"/>
  <c r="S81" i="24"/>
  <c r="P81" i="24"/>
  <c r="M81" i="24"/>
  <c r="H81" i="24"/>
  <c r="K81" i="24" s="1"/>
  <c r="L81" i="24" s="1"/>
  <c r="AD80" i="24"/>
  <c r="U80" i="24"/>
  <c r="S80" i="24"/>
  <c r="P80" i="24"/>
  <c r="M80" i="24"/>
  <c r="H80" i="24"/>
  <c r="K80" i="24" s="1"/>
  <c r="L80" i="24" s="1"/>
  <c r="AD79" i="24"/>
  <c r="U79" i="24"/>
  <c r="S79" i="24"/>
  <c r="P79" i="24"/>
  <c r="M79" i="24"/>
  <c r="H79" i="24"/>
  <c r="K79" i="24" s="1"/>
  <c r="L79" i="24" s="1"/>
  <c r="AD78" i="24"/>
  <c r="U78" i="24"/>
  <c r="S78" i="24"/>
  <c r="P78" i="24"/>
  <c r="M78" i="24"/>
  <c r="H78" i="24"/>
  <c r="K78" i="24" s="1"/>
  <c r="L78" i="24" s="1"/>
  <c r="AD77" i="24"/>
  <c r="U77" i="24"/>
  <c r="S77" i="24"/>
  <c r="P77" i="24"/>
  <c r="M77" i="24"/>
  <c r="H77" i="24"/>
  <c r="K77" i="24" s="1"/>
  <c r="L77" i="24" s="1"/>
  <c r="AD76" i="24"/>
  <c r="U76" i="24"/>
  <c r="S76" i="24"/>
  <c r="P76" i="24"/>
  <c r="M76" i="24"/>
  <c r="H76" i="24"/>
  <c r="K76" i="24" s="1"/>
  <c r="L76" i="24" s="1"/>
  <c r="AD75" i="24"/>
  <c r="U75" i="24"/>
  <c r="S75" i="24"/>
  <c r="P75" i="24"/>
  <c r="M75" i="24"/>
  <c r="H75" i="24"/>
  <c r="K75" i="24" s="1"/>
  <c r="L75" i="24" s="1"/>
  <c r="AD74" i="24"/>
  <c r="U74" i="24"/>
  <c r="S74" i="24"/>
  <c r="P74" i="24"/>
  <c r="M74" i="24"/>
  <c r="H74" i="24"/>
  <c r="K74" i="24" s="1"/>
  <c r="L74" i="24" s="1"/>
  <c r="AD73" i="24"/>
  <c r="U73" i="24"/>
  <c r="S73" i="24"/>
  <c r="P73" i="24"/>
  <c r="M73" i="24"/>
  <c r="H73" i="24"/>
  <c r="K73" i="24" s="1"/>
  <c r="L73" i="24" s="1"/>
  <c r="AD72" i="24"/>
  <c r="U72" i="24"/>
  <c r="S72" i="24"/>
  <c r="P72" i="24"/>
  <c r="M72" i="24"/>
  <c r="H72" i="24"/>
  <c r="K72" i="24" s="1"/>
  <c r="L72" i="24" s="1"/>
  <c r="AD71" i="24"/>
  <c r="U71" i="24"/>
  <c r="S71" i="24"/>
  <c r="P71" i="24"/>
  <c r="M71" i="24"/>
  <c r="H71" i="24"/>
  <c r="K71" i="24" s="1"/>
  <c r="L71" i="24" s="1"/>
  <c r="AD70" i="24"/>
  <c r="U70" i="24"/>
  <c r="S70" i="24"/>
  <c r="P70" i="24"/>
  <c r="M70" i="24"/>
  <c r="H70" i="24"/>
  <c r="K70" i="24" s="1"/>
  <c r="L70" i="24" s="1"/>
  <c r="AD69" i="24"/>
  <c r="U69" i="24"/>
  <c r="S69" i="24"/>
  <c r="P69" i="24"/>
  <c r="M69" i="24"/>
  <c r="H69" i="24"/>
  <c r="K69" i="24" s="1"/>
  <c r="L69" i="24" s="1"/>
  <c r="AD68" i="24"/>
  <c r="U68" i="24"/>
  <c r="S68" i="24"/>
  <c r="P68" i="24"/>
  <c r="M68" i="24"/>
  <c r="H68" i="24"/>
  <c r="K68" i="24" s="1"/>
  <c r="L68" i="24" s="1"/>
  <c r="AD67" i="24"/>
  <c r="U67" i="24"/>
  <c r="S67" i="24"/>
  <c r="P67" i="24"/>
  <c r="M67" i="24"/>
  <c r="H67" i="24"/>
  <c r="K67" i="24" s="1"/>
  <c r="L67" i="24" s="1"/>
  <c r="AD66" i="24"/>
  <c r="U66" i="24"/>
  <c r="S66" i="24"/>
  <c r="P66" i="24"/>
  <c r="M66" i="24"/>
  <c r="H66" i="24"/>
  <c r="K66" i="24" s="1"/>
  <c r="L66" i="24" s="1"/>
  <c r="AD65" i="24"/>
  <c r="U65" i="24"/>
  <c r="S65" i="24"/>
  <c r="P65" i="24"/>
  <c r="M65" i="24"/>
  <c r="H65" i="24"/>
  <c r="K65" i="24" s="1"/>
  <c r="L65" i="24" s="1"/>
  <c r="AD64" i="24"/>
  <c r="U64" i="24"/>
  <c r="S64" i="24"/>
  <c r="P64" i="24"/>
  <c r="M64" i="24"/>
  <c r="H64" i="24"/>
  <c r="K64" i="24" s="1"/>
  <c r="L64" i="24" s="1"/>
  <c r="AD63" i="24"/>
  <c r="U63" i="24"/>
  <c r="S63" i="24"/>
  <c r="P63" i="24"/>
  <c r="M63" i="24"/>
  <c r="H63" i="24"/>
  <c r="K63" i="24" s="1"/>
  <c r="L63" i="24" s="1"/>
  <c r="AD62" i="24"/>
  <c r="U62" i="24"/>
  <c r="S62" i="24"/>
  <c r="P62" i="24"/>
  <c r="M62" i="24"/>
  <c r="H62" i="24"/>
  <c r="K62" i="24" s="1"/>
  <c r="L62" i="24" s="1"/>
  <c r="AD61" i="24"/>
  <c r="U61" i="24"/>
  <c r="S61" i="24"/>
  <c r="P61" i="24"/>
  <c r="M61" i="24"/>
  <c r="H61" i="24"/>
  <c r="K61" i="24" s="1"/>
  <c r="L61" i="24" s="1"/>
  <c r="AD60" i="24"/>
  <c r="U60" i="24"/>
  <c r="S60" i="24"/>
  <c r="P60" i="24"/>
  <c r="M60" i="24"/>
  <c r="H60" i="24"/>
  <c r="K60" i="24" s="1"/>
  <c r="AD59" i="24"/>
  <c r="U59" i="24"/>
  <c r="S59" i="24"/>
  <c r="P59" i="24"/>
  <c r="M59" i="24"/>
  <c r="H59" i="24"/>
  <c r="K59" i="24" s="1"/>
  <c r="L59" i="24" s="1"/>
  <c r="AD58" i="24"/>
  <c r="U58" i="24"/>
  <c r="P58" i="24"/>
  <c r="M58" i="24"/>
  <c r="H58" i="24"/>
  <c r="K58" i="24" s="1"/>
  <c r="L58" i="24" s="1"/>
  <c r="AD57" i="24"/>
  <c r="U57" i="24"/>
  <c r="S57" i="24"/>
  <c r="P57" i="24"/>
  <c r="M57" i="24"/>
  <c r="H57" i="24"/>
  <c r="K57" i="24" s="1"/>
  <c r="L57" i="24" s="1"/>
  <c r="AD56" i="24"/>
  <c r="U56" i="24"/>
  <c r="S56" i="24"/>
  <c r="P56" i="24"/>
  <c r="M56" i="24"/>
  <c r="H56" i="24"/>
  <c r="K56" i="24" s="1"/>
  <c r="L56" i="24" s="1"/>
  <c r="AD55" i="24"/>
  <c r="U55" i="24"/>
  <c r="S55" i="24"/>
  <c r="P55" i="24"/>
  <c r="M55" i="24"/>
  <c r="H55" i="24"/>
  <c r="K55" i="24" s="1"/>
  <c r="L55" i="24" s="1"/>
  <c r="AD54" i="24"/>
  <c r="U54" i="24"/>
  <c r="S54" i="24"/>
  <c r="P54" i="24"/>
  <c r="M54" i="24"/>
  <c r="H54" i="24"/>
  <c r="K54" i="24" s="1"/>
  <c r="L54" i="24" s="1"/>
  <c r="AD53" i="24"/>
  <c r="U53" i="24"/>
  <c r="S53" i="24"/>
  <c r="P53" i="24"/>
  <c r="M53" i="24"/>
  <c r="H53" i="24"/>
  <c r="K53" i="24" s="1"/>
  <c r="L53" i="24" s="1"/>
  <c r="AD52" i="24"/>
  <c r="U52" i="24"/>
  <c r="S52" i="24"/>
  <c r="P52" i="24"/>
  <c r="M52" i="24"/>
  <c r="H52" i="24"/>
  <c r="K52" i="24" s="1"/>
  <c r="L52" i="24" s="1"/>
  <c r="AD51" i="24"/>
  <c r="U51" i="24"/>
  <c r="S51" i="24"/>
  <c r="P51" i="24"/>
  <c r="M51" i="24"/>
  <c r="H51" i="24"/>
  <c r="K51" i="24" s="1"/>
  <c r="L51" i="24" s="1"/>
  <c r="AD50" i="24"/>
  <c r="U50" i="24"/>
  <c r="S50" i="24"/>
  <c r="P50" i="24"/>
  <c r="M50" i="24"/>
  <c r="H50" i="24"/>
  <c r="K50" i="24" s="1"/>
  <c r="L50" i="24" s="1"/>
  <c r="AD49" i="24"/>
  <c r="U49" i="24"/>
  <c r="S49" i="24"/>
  <c r="P49" i="24"/>
  <c r="M49" i="24"/>
  <c r="H49" i="24"/>
  <c r="K49" i="24" s="1"/>
  <c r="L49" i="24" s="1"/>
  <c r="AD48" i="24"/>
  <c r="U48" i="24"/>
  <c r="S48" i="24"/>
  <c r="P48" i="24"/>
  <c r="M48" i="24"/>
  <c r="H48" i="24"/>
  <c r="K48" i="24" s="1"/>
  <c r="L48" i="24" s="1"/>
  <c r="AD47" i="24"/>
  <c r="U47" i="24"/>
  <c r="S47" i="24"/>
  <c r="P47" i="24"/>
  <c r="M47" i="24"/>
  <c r="H47" i="24"/>
  <c r="K47" i="24" s="1"/>
  <c r="L47" i="24" s="1"/>
  <c r="AD46" i="24"/>
  <c r="U46" i="24"/>
  <c r="S46" i="24"/>
  <c r="P46" i="24"/>
  <c r="M46" i="24"/>
  <c r="H46" i="24"/>
  <c r="K46" i="24" s="1"/>
  <c r="L46" i="24" s="1"/>
  <c r="AD45" i="24"/>
  <c r="U45" i="24"/>
  <c r="S45" i="24"/>
  <c r="P45" i="24"/>
  <c r="M45" i="24"/>
  <c r="H45" i="24"/>
  <c r="K45" i="24" s="1"/>
  <c r="L45" i="24" s="1"/>
  <c r="AD44" i="24"/>
  <c r="U44" i="24"/>
  <c r="S44" i="24"/>
  <c r="P44" i="24"/>
  <c r="M44" i="24"/>
  <c r="H44" i="24"/>
  <c r="K44" i="24" s="1"/>
  <c r="L44" i="24" s="1"/>
  <c r="AD43" i="24"/>
  <c r="U43" i="24"/>
  <c r="S43" i="24"/>
  <c r="P43" i="24"/>
  <c r="M43" i="24"/>
  <c r="H43" i="24"/>
  <c r="K43" i="24" s="1"/>
  <c r="L43" i="24" s="1"/>
  <c r="AD42" i="24"/>
  <c r="U42" i="24"/>
  <c r="S42" i="24"/>
  <c r="P42" i="24"/>
  <c r="M42" i="24"/>
  <c r="H42" i="24"/>
  <c r="K42" i="24" s="1"/>
  <c r="L42" i="24" s="1"/>
  <c r="AD41" i="24"/>
  <c r="U41" i="24"/>
  <c r="S41" i="24"/>
  <c r="P41" i="24"/>
  <c r="M41" i="24"/>
  <c r="H41" i="24"/>
  <c r="K41" i="24" s="1"/>
  <c r="L41" i="24" s="1"/>
  <c r="AD40" i="24"/>
  <c r="U40" i="24"/>
  <c r="S40" i="24"/>
  <c r="P40" i="24"/>
  <c r="M40" i="24"/>
  <c r="H40" i="24"/>
  <c r="K40" i="24" s="1"/>
  <c r="L40" i="24" s="1"/>
  <c r="AD39" i="24"/>
  <c r="U39" i="24"/>
  <c r="S39" i="24"/>
  <c r="P39" i="24"/>
  <c r="M39" i="24"/>
  <c r="H39" i="24"/>
  <c r="K39" i="24" s="1"/>
  <c r="L39" i="24" s="1"/>
  <c r="AD38" i="24"/>
  <c r="U38" i="24"/>
  <c r="S38" i="24"/>
  <c r="P38" i="24"/>
  <c r="M38" i="24"/>
  <c r="H38" i="24"/>
  <c r="K38" i="24" s="1"/>
  <c r="L38" i="24" s="1"/>
  <c r="AD37" i="24"/>
  <c r="U37" i="24"/>
  <c r="S37" i="24"/>
  <c r="P37" i="24"/>
  <c r="M37" i="24"/>
  <c r="H37" i="24"/>
  <c r="K37" i="24" s="1"/>
  <c r="L37" i="24" s="1"/>
  <c r="AD36" i="24"/>
  <c r="U36" i="24"/>
  <c r="S36" i="24"/>
  <c r="P36" i="24"/>
  <c r="M36" i="24"/>
  <c r="H36" i="24"/>
  <c r="K36" i="24" s="1"/>
  <c r="L36" i="24" s="1"/>
  <c r="AD35" i="24"/>
  <c r="U35" i="24"/>
  <c r="S35" i="24"/>
  <c r="P35" i="24"/>
  <c r="M35" i="24"/>
  <c r="H35" i="24"/>
  <c r="K35" i="24" s="1"/>
  <c r="L35" i="24" s="1"/>
  <c r="AD34" i="24"/>
  <c r="U34" i="24"/>
  <c r="S34" i="24"/>
  <c r="P34" i="24"/>
  <c r="M34" i="24"/>
  <c r="H34" i="24"/>
  <c r="K34" i="24" s="1"/>
  <c r="L34" i="24" s="1"/>
  <c r="AD33" i="24"/>
  <c r="U33" i="24"/>
  <c r="S33" i="24"/>
  <c r="P33" i="24"/>
  <c r="M33" i="24"/>
  <c r="H33" i="24"/>
  <c r="K33" i="24" s="1"/>
  <c r="L33" i="24" s="1"/>
  <c r="AD32" i="24"/>
  <c r="U32" i="24"/>
  <c r="S32" i="24"/>
  <c r="P32" i="24"/>
  <c r="M32" i="24"/>
  <c r="H32" i="24"/>
  <c r="K32" i="24" s="1"/>
  <c r="L32" i="24" s="1"/>
  <c r="AD31" i="24"/>
  <c r="U31" i="24"/>
  <c r="S31" i="24"/>
  <c r="P31" i="24"/>
  <c r="M31" i="24"/>
  <c r="H31" i="24"/>
  <c r="K31" i="24" s="1"/>
  <c r="L31" i="24" s="1"/>
  <c r="AD30" i="24"/>
  <c r="U30" i="24"/>
  <c r="S30" i="24"/>
  <c r="P30" i="24"/>
  <c r="M30" i="24"/>
  <c r="H30" i="24"/>
  <c r="K30" i="24" s="1"/>
  <c r="L30" i="24" s="1"/>
  <c r="AD29" i="24"/>
  <c r="U29" i="24"/>
  <c r="S29" i="24"/>
  <c r="P29" i="24"/>
  <c r="M29" i="24"/>
  <c r="H29" i="24"/>
  <c r="K29" i="24" s="1"/>
  <c r="L29" i="24" s="1"/>
  <c r="AD28" i="24"/>
  <c r="U28" i="24"/>
  <c r="S28" i="24"/>
  <c r="P28" i="24"/>
  <c r="M28" i="24"/>
  <c r="H28" i="24"/>
  <c r="K28" i="24" s="1"/>
  <c r="L28" i="24" s="1"/>
  <c r="AF27" i="24"/>
  <c r="AD27" i="24"/>
  <c r="U27" i="24"/>
  <c r="S27" i="24"/>
  <c r="P27" i="24"/>
  <c r="M27" i="24"/>
  <c r="H27" i="24"/>
  <c r="K27" i="24" s="1"/>
  <c r="L27" i="24" s="1"/>
  <c r="AD26" i="24"/>
  <c r="U26" i="24"/>
  <c r="S26" i="24"/>
  <c r="P26" i="24"/>
  <c r="M26" i="24"/>
  <c r="H26" i="24"/>
  <c r="K26" i="24" s="1"/>
  <c r="AD25" i="24"/>
  <c r="U25" i="24"/>
  <c r="S25" i="24"/>
  <c r="P25" i="24"/>
  <c r="M25" i="24"/>
  <c r="H25" i="24"/>
  <c r="K25" i="24" s="1"/>
  <c r="L25" i="24" s="1"/>
  <c r="AD24" i="24"/>
  <c r="U24" i="24"/>
  <c r="S24" i="24"/>
  <c r="P24" i="24"/>
  <c r="M24" i="24"/>
  <c r="H24" i="24"/>
  <c r="K24" i="24" s="1"/>
  <c r="L24" i="24" s="1"/>
  <c r="AD23" i="24"/>
  <c r="U23" i="24"/>
  <c r="S23" i="24"/>
  <c r="P23" i="24"/>
  <c r="M23" i="24"/>
  <c r="H23" i="24"/>
  <c r="K23" i="24" s="1"/>
  <c r="L23" i="24" s="1"/>
  <c r="AD22" i="24"/>
  <c r="U22" i="24"/>
  <c r="S22" i="24"/>
  <c r="P22" i="24"/>
  <c r="M22" i="24"/>
  <c r="H22" i="24"/>
  <c r="K22" i="24" s="1"/>
  <c r="L22" i="24" s="1"/>
  <c r="AD21" i="24"/>
  <c r="U21" i="24"/>
  <c r="S21" i="24"/>
  <c r="P21" i="24"/>
  <c r="M21" i="24"/>
  <c r="H21" i="24"/>
  <c r="K21" i="24" s="1"/>
  <c r="A21" i="24"/>
  <c r="A22" i="24" s="1"/>
  <c r="K140" i="24" l="1"/>
  <c r="L140" i="24" s="1"/>
  <c r="V194" i="24"/>
  <c r="V242" i="24"/>
  <c r="V244" i="24"/>
  <c r="V246" i="24"/>
  <c r="V248" i="24"/>
  <c r="V65" i="24"/>
  <c r="V196" i="24"/>
  <c r="V243" i="24"/>
  <c r="V245" i="24"/>
  <c r="N163" i="24"/>
  <c r="Q163" i="24" s="1"/>
  <c r="W163" i="24" s="1"/>
  <c r="Y163" i="24" s="1"/>
  <c r="Z163" i="24" s="1"/>
  <c r="AB163" i="24" s="1"/>
  <c r="N188" i="24"/>
  <c r="Q188" i="24" s="1"/>
  <c r="W188" i="24" s="1"/>
  <c r="Y188" i="24" s="1"/>
  <c r="Z188" i="24" s="1"/>
  <c r="AB188" i="24" s="1"/>
  <c r="N190" i="24"/>
  <c r="Q190" i="24" s="1"/>
  <c r="W190" i="24" s="1"/>
  <c r="Y190" i="24" s="1"/>
  <c r="Z190" i="24" s="1"/>
  <c r="AB190" i="24" s="1"/>
  <c r="N192" i="24"/>
  <c r="Q192" i="24" s="1"/>
  <c r="W192" i="24" s="1"/>
  <c r="Y192" i="24" s="1"/>
  <c r="Z192" i="24" s="1"/>
  <c r="AB192" i="24" s="1"/>
  <c r="V229" i="24"/>
  <c r="N223" i="24"/>
  <c r="Q223" i="24" s="1"/>
  <c r="W223" i="24" s="1"/>
  <c r="Y223" i="24" s="1"/>
  <c r="Z223" i="24" s="1"/>
  <c r="AB223" i="24" s="1"/>
  <c r="V240" i="24"/>
  <c r="V36" i="24"/>
  <c r="V72" i="24"/>
  <c r="V25" i="24"/>
  <c r="V27" i="24"/>
  <c r="V169" i="24"/>
  <c r="N206" i="24"/>
  <c r="Q206" i="24" s="1"/>
  <c r="W206" i="24" s="1"/>
  <c r="Y206" i="24" s="1"/>
  <c r="Z206" i="24" s="1"/>
  <c r="AB206" i="24" s="1"/>
  <c r="K225" i="24"/>
  <c r="V226" i="24"/>
  <c r="V231" i="24"/>
  <c r="V233" i="24"/>
  <c r="V44" i="24"/>
  <c r="V71" i="24"/>
  <c r="V122" i="24"/>
  <c r="V171" i="24"/>
  <c r="V173" i="24"/>
  <c r="K200" i="24"/>
  <c r="L200" i="24" s="1"/>
  <c r="N202" i="24"/>
  <c r="Q202" i="24" s="1"/>
  <c r="W202" i="24" s="1"/>
  <c r="Y202" i="24" s="1"/>
  <c r="Z202" i="24" s="1"/>
  <c r="AB202" i="24" s="1"/>
  <c r="V228" i="24"/>
  <c r="V247" i="24"/>
  <c r="V52" i="24"/>
  <c r="V61" i="24"/>
  <c r="V69" i="24"/>
  <c r="V73" i="24"/>
  <c r="N268" i="24"/>
  <c r="Q268" i="24" s="1"/>
  <c r="W268" i="24" s="1"/>
  <c r="Y268" i="24" s="1"/>
  <c r="Z268" i="24" s="1"/>
  <c r="AB268" i="24" s="1"/>
  <c r="N284" i="24"/>
  <c r="Q284" i="24" s="1"/>
  <c r="W284" i="24" s="1"/>
  <c r="Y284" i="24" s="1"/>
  <c r="Z284" i="24" s="1"/>
  <c r="AB284" i="24" s="1"/>
  <c r="V287" i="24"/>
  <c r="V28" i="24"/>
  <c r="V118" i="24"/>
  <c r="V126" i="24"/>
  <c r="N167" i="24"/>
  <c r="Q167" i="24" s="1"/>
  <c r="W167" i="24" s="1"/>
  <c r="Y167" i="24" s="1"/>
  <c r="Z167" i="24" s="1"/>
  <c r="AB167" i="24" s="1"/>
  <c r="V34" i="24"/>
  <c r="V29" i="24"/>
  <c r="V45" i="24"/>
  <c r="V50" i="24"/>
  <c r="V70" i="24"/>
  <c r="V30" i="24"/>
  <c r="V38" i="24"/>
  <c r="V46" i="24"/>
  <c r="V54" i="24"/>
  <c r="V59" i="24"/>
  <c r="V66" i="24"/>
  <c r="V67" i="24"/>
  <c r="V74" i="24"/>
  <c r="V75" i="24"/>
  <c r="N115" i="24"/>
  <c r="Q115" i="24" s="1"/>
  <c r="W115" i="24" s="1"/>
  <c r="Y115" i="24" s="1"/>
  <c r="Z115" i="24" s="1"/>
  <c r="AB115" i="24" s="1"/>
  <c r="N178" i="24"/>
  <c r="Q178" i="24" s="1"/>
  <c r="W178" i="24" s="1"/>
  <c r="Y178" i="24" s="1"/>
  <c r="Z178" i="24" s="1"/>
  <c r="AB178" i="24" s="1"/>
  <c r="N129" i="24"/>
  <c r="Q129" i="24" s="1"/>
  <c r="W129" i="24" s="1"/>
  <c r="Y129" i="24" s="1"/>
  <c r="Z129" i="24" s="1"/>
  <c r="AB129" i="24" s="1"/>
  <c r="V134" i="24"/>
  <c r="V141" i="24"/>
  <c r="V235" i="24"/>
  <c r="V42" i="24"/>
  <c r="V24" i="24"/>
  <c r="V32" i="24"/>
  <c r="V40" i="24"/>
  <c r="V48" i="24"/>
  <c r="V49" i="24"/>
  <c r="V56" i="24"/>
  <c r="V63" i="24"/>
  <c r="V68" i="24"/>
  <c r="V76" i="24"/>
  <c r="N80" i="24"/>
  <c r="Q80" i="24" s="1"/>
  <c r="W80" i="24" s="1"/>
  <c r="Y80" i="24" s="1"/>
  <c r="Z80" i="24" s="1"/>
  <c r="AB80" i="24" s="1"/>
  <c r="N84" i="24"/>
  <c r="Q84" i="24" s="1"/>
  <c r="W84" i="24" s="1"/>
  <c r="Y84" i="24" s="1"/>
  <c r="Z84" i="24" s="1"/>
  <c r="AB84" i="24" s="1"/>
  <c r="N88" i="24"/>
  <c r="Q88" i="24" s="1"/>
  <c r="W88" i="24" s="1"/>
  <c r="Y88" i="24" s="1"/>
  <c r="Z88" i="24" s="1"/>
  <c r="AB88" i="24" s="1"/>
  <c r="N96" i="24"/>
  <c r="Q96" i="24" s="1"/>
  <c r="W96" i="24" s="1"/>
  <c r="Y96" i="24" s="1"/>
  <c r="Z96" i="24" s="1"/>
  <c r="AB96" i="24" s="1"/>
  <c r="N100" i="24"/>
  <c r="Q100" i="24" s="1"/>
  <c r="W100" i="24" s="1"/>
  <c r="Y100" i="24" s="1"/>
  <c r="Z100" i="24" s="1"/>
  <c r="AB100" i="24" s="1"/>
  <c r="N104" i="24"/>
  <c r="Q104" i="24" s="1"/>
  <c r="W104" i="24" s="1"/>
  <c r="Y104" i="24" s="1"/>
  <c r="Z104" i="24" s="1"/>
  <c r="AB104" i="24" s="1"/>
  <c r="N108" i="24"/>
  <c r="N112" i="24"/>
  <c r="Q112" i="24" s="1"/>
  <c r="W112" i="24" s="1"/>
  <c r="Y112" i="24" s="1"/>
  <c r="Z112" i="24" s="1"/>
  <c r="AB112" i="24" s="1"/>
  <c r="V120" i="24"/>
  <c r="V124" i="24"/>
  <c r="V128" i="24"/>
  <c r="N131" i="24"/>
  <c r="Q131" i="24" s="1"/>
  <c r="W131" i="24" s="1"/>
  <c r="Y131" i="24" s="1"/>
  <c r="Z131" i="24" s="1"/>
  <c r="AB131" i="24" s="1"/>
  <c r="V136" i="24"/>
  <c r="V137" i="24"/>
  <c r="V139" i="24"/>
  <c r="V143" i="24"/>
  <c r="N160" i="24"/>
  <c r="Q160" i="24" s="1"/>
  <c r="W160" i="24" s="1"/>
  <c r="Y160" i="24" s="1"/>
  <c r="Z160" i="24" s="1"/>
  <c r="AB160" i="24" s="1"/>
  <c r="N180" i="24"/>
  <c r="Q180" i="24" s="1"/>
  <c r="W180" i="24" s="1"/>
  <c r="Y180" i="24" s="1"/>
  <c r="Z180" i="24" s="1"/>
  <c r="AB180" i="24" s="1"/>
  <c r="N211" i="24"/>
  <c r="Q211" i="24" s="1"/>
  <c r="W211" i="24" s="1"/>
  <c r="Y211" i="24" s="1"/>
  <c r="Z211" i="24" s="1"/>
  <c r="AB211" i="24" s="1"/>
  <c r="N215" i="24"/>
  <c r="Q215" i="24" s="1"/>
  <c r="W215" i="24" s="1"/>
  <c r="Y215" i="24" s="1"/>
  <c r="Z215" i="24" s="1"/>
  <c r="AB215" i="24" s="1"/>
  <c r="N219" i="24"/>
  <c r="Q219" i="24" s="1"/>
  <c r="W219" i="24" s="1"/>
  <c r="Y219" i="24" s="1"/>
  <c r="Z219" i="24" s="1"/>
  <c r="AB219" i="24" s="1"/>
  <c r="V238" i="24"/>
  <c r="N79" i="24"/>
  <c r="Q79" i="24" s="1"/>
  <c r="W79" i="24" s="1"/>
  <c r="Y79" i="24" s="1"/>
  <c r="Z79" i="24" s="1"/>
  <c r="AB79" i="24" s="1"/>
  <c r="N87" i="24"/>
  <c r="N91" i="24"/>
  <c r="Q91" i="24" s="1"/>
  <c r="W91" i="24" s="1"/>
  <c r="Y91" i="24" s="1"/>
  <c r="Z91" i="24" s="1"/>
  <c r="AB91" i="24" s="1"/>
  <c r="N95" i="24"/>
  <c r="Q95" i="24" s="1"/>
  <c r="W95" i="24" s="1"/>
  <c r="Y95" i="24" s="1"/>
  <c r="Z95" i="24" s="1"/>
  <c r="AB95" i="24" s="1"/>
  <c r="N103" i="24"/>
  <c r="Q103" i="24" s="1"/>
  <c r="W103" i="24" s="1"/>
  <c r="Y103" i="24" s="1"/>
  <c r="Z103" i="24" s="1"/>
  <c r="AB103" i="24" s="1"/>
  <c r="N78" i="24"/>
  <c r="Q78" i="24" s="1"/>
  <c r="W78" i="24" s="1"/>
  <c r="Y78" i="24" s="1"/>
  <c r="Z78" i="24" s="1"/>
  <c r="AB78" i="24" s="1"/>
  <c r="N82" i="24"/>
  <c r="Q82" i="24" s="1"/>
  <c r="W82" i="24" s="1"/>
  <c r="Y82" i="24" s="1"/>
  <c r="Z82" i="24" s="1"/>
  <c r="AB82" i="24" s="1"/>
  <c r="N86" i="24"/>
  <c r="Q86" i="24" s="1"/>
  <c r="W86" i="24" s="1"/>
  <c r="Y86" i="24" s="1"/>
  <c r="Z86" i="24" s="1"/>
  <c r="AB86" i="24" s="1"/>
  <c r="N90" i="24"/>
  <c r="Q90" i="24" s="1"/>
  <c r="W90" i="24" s="1"/>
  <c r="Y90" i="24" s="1"/>
  <c r="Z90" i="24" s="1"/>
  <c r="AB90" i="24" s="1"/>
  <c r="N98" i="24"/>
  <c r="N102" i="24"/>
  <c r="Q102" i="24" s="1"/>
  <c r="W102" i="24" s="1"/>
  <c r="Y102" i="24" s="1"/>
  <c r="Z102" i="24" s="1"/>
  <c r="AB102" i="24" s="1"/>
  <c r="N106" i="24"/>
  <c r="Q106" i="24" s="1"/>
  <c r="W106" i="24" s="1"/>
  <c r="Y106" i="24" s="1"/>
  <c r="Z106" i="24" s="1"/>
  <c r="AB106" i="24" s="1"/>
  <c r="N110" i="24"/>
  <c r="Q110" i="24" s="1"/>
  <c r="W110" i="24" s="1"/>
  <c r="Y110" i="24" s="1"/>
  <c r="Z110" i="24" s="1"/>
  <c r="AB110" i="24" s="1"/>
  <c r="N114" i="24"/>
  <c r="N162" i="24"/>
  <c r="Q162" i="24" s="1"/>
  <c r="W162" i="24" s="1"/>
  <c r="Y162" i="24" s="1"/>
  <c r="Z162" i="24" s="1"/>
  <c r="AB162" i="24" s="1"/>
  <c r="N166" i="24"/>
  <c r="Q166" i="24" s="1"/>
  <c r="W166" i="24" s="1"/>
  <c r="Y166" i="24" s="1"/>
  <c r="Z166" i="24" s="1"/>
  <c r="AB166" i="24" s="1"/>
  <c r="N176" i="24"/>
  <c r="Q176" i="24" s="1"/>
  <c r="W176" i="24" s="1"/>
  <c r="Y176" i="24" s="1"/>
  <c r="Z176" i="24" s="1"/>
  <c r="AB176" i="24" s="1"/>
  <c r="N184" i="24"/>
  <c r="Q184" i="24" s="1"/>
  <c r="W184" i="24" s="1"/>
  <c r="Y184" i="24" s="1"/>
  <c r="Z184" i="24" s="1"/>
  <c r="AB184" i="24" s="1"/>
  <c r="N209" i="24"/>
  <c r="Q209" i="24" s="1"/>
  <c r="W209" i="24" s="1"/>
  <c r="Y209" i="24" s="1"/>
  <c r="Z209" i="24" s="1"/>
  <c r="AB209" i="24" s="1"/>
  <c r="N217" i="24"/>
  <c r="Q217" i="24" s="1"/>
  <c r="W217" i="24" s="1"/>
  <c r="Y217" i="24" s="1"/>
  <c r="Z217" i="24" s="1"/>
  <c r="AB217" i="24" s="1"/>
  <c r="N62" i="24"/>
  <c r="Q62" i="24" s="1"/>
  <c r="W62" i="24" s="1"/>
  <c r="Y62" i="24" s="1"/>
  <c r="Z62" i="24" s="1"/>
  <c r="AB62" i="24" s="1"/>
  <c r="N83" i="24"/>
  <c r="Q83" i="24" s="1"/>
  <c r="W83" i="24" s="1"/>
  <c r="Y83" i="24" s="1"/>
  <c r="Z83" i="24" s="1"/>
  <c r="AB83" i="24" s="1"/>
  <c r="N99" i="24"/>
  <c r="Q99" i="24" s="1"/>
  <c r="W99" i="24" s="1"/>
  <c r="Y99" i="24" s="1"/>
  <c r="Z99" i="24" s="1"/>
  <c r="AB99" i="24" s="1"/>
  <c r="N107" i="24"/>
  <c r="Q107" i="24" s="1"/>
  <c r="W107" i="24" s="1"/>
  <c r="Y107" i="24" s="1"/>
  <c r="Z107" i="24" s="1"/>
  <c r="AB107" i="24" s="1"/>
  <c r="N111" i="24"/>
  <c r="Q111" i="24" s="1"/>
  <c r="W111" i="24" s="1"/>
  <c r="Y111" i="24" s="1"/>
  <c r="Z111" i="24" s="1"/>
  <c r="AB111" i="24" s="1"/>
  <c r="N23" i="24"/>
  <c r="Q23" i="24" s="1"/>
  <c r="W23" i="24" s="1"/>
  <c r="Y23" i="24" s="1"/>
  <c r="Z23" i="24" s="1"/>
  <c r="AB23" i="24" s="1"/>
  <c r="N58" i="24"/>
  <c r="Q58" i="24" s="1"/>
  <c r="W58" i="24" s="1"/>
  <c r="Y58" i="24" s="1"/>
  <c r="Z58" i="24" s="1"/>
  <c r="AB58" i="24" s="1"/>
  <c r="N64" i="24"/>
  <c r="Q64" i="24" s="1"/>
  <c r="W64" i="24" s="1"/>
  <c r="Y64" i="24" s="1"/>
  <c r="Z64" i="24" s="1"/>
  <c r="AB64" i="24" s="1"/>
  <c r="N77" i="24"/>
  <c r="Q77" i="24" s="1"/>
  <c r="W77" i="24" s="1"/>
  <c r="Y77" i="24" s="1"/>
  <c r="Z77" i="24" s="1"/>
  <c r="AB77" i="24" s="1"/>
  <c r="N81" i="24"/>
  <c r="Q81" i="24" s="1"/>
  <c r="W81" i="24" s="1"/>
  <c r="Y81" i="24" s="1"/>
  <c r="Z81" i="24" s="1"/>
  <c r="AB81" i="24" s="1"/>
  <c r="N85" i="24"/>
  <c r="Q85" i="24" s="1"/>
  <c r="W85" i="24" s="1"/>
  <c r="Y85" i="24" s="1"/>
  <c r="Z85" i="24" s="1"/>
  <c r="AB85" i="24" s="1"/>
  <c r="N89" i="24"/>
  <c r="Q89" i="24" s="1"/>
  <c r="W89" i="24" s="1"/>
  <c r="Y89" i="24" s="1"/>
  <c r="Z89" i="24" s="1"/>
  <c r="AB89" i="24" s="1"/>
  <c r="N97" i="24"/>
  <c r="Q97" i="24" s="1"/>
  <c r="W97" i="24" s="1"/>
  <c r="Y97" i="24" s="1"/>
  <c r="Z97" i="24" s="1"/>
  <c r="AB97" i="24" s="1"/>
  <c r="N101" i="24"/>
  <c r="Q101" i="24" s="1"/>
  <c r="W101" i="24" s="1"/>
  <c r="Y101" i="24" s="1"/>
  <c r="Z101" i="24" s="1"/>
  <c r="AB101" i="24" s="1"/>
  <c r="N105" i="24"/>
  <c r="Q105" i="24" s="1"/>
  <c r="W105" i="24" s="1"/>
  <c r="Y105" i="24" s="1"/>
  <c r="Z105" i="24" s="1"/>
  <c r="AB105" i="24" s="1"/>
  <c r="N113" i="24"/>
  <c r="Q113" i="24" s="1"/>
  <c r="W113" i="24" s="1"/>
  <c r="Y113" i="24" s="1"/>
  <c r="Z113" i="24" s="1"/>
  <c r="AB113" i="24" s="1"/>
  <c r="N121" i="24"/>
  <c r="Q121" i="24" s="1"/>
  <c r="W121" i="24" s="1"/>
  <c r="Y121" i="24" s="1"/>
  <c r="Z121" i="24" s="1"/>
  <c r="AB121" i="24" s="1"/>
  <c r="N125" i="24"/>
  <c r="Q125" i="24" s="1"/>
  <c r="W125" i="24" s="1"/>
  <c r="Y125" i="24" s="1"/>
  <c r="Z125" i="24" s="1"/>
  <c r="AB125" i="24" s="1"/>
  <c r="N147" i="24"/>
  <c r="Q147" i="24" s="1"/>
  <c r="W147" i="24" s="1"/>
  <c r="Y147" i="24" s="1"/>
  <c r="Z147" i="24" s="1"/>
  <c r="AB147" i="24" s="1"/>
  <c r="N149" i="24"/>
  <c r="Q149" i="24" s="1"/>
  <c r="W149" i="24" s="1"/>
  <c r="Y149" i="24" s="1"/>
  <c r="Z149" i="24" s="1"/>
  <c r="AB149" i="24" s="1"/>
  <c r="N151" i="24"/>
  <c r="Q151" i="24" s="1"/>
  <c r="W151" i="24" s="1"/>
  <c r="Y151" i="24" s="1"/>
  <c r="Z151" i="24" s="1"/>
  <c r="AB151" i="24" s="1"/>
  <c r="N153" i="24"/>
  <c r="Q153" i="24" s="1"/>
  <c r="W153" i="24" s="1"/>
  <c r="Y153" i="24" s="1"/>
  <c r="Z153" i="24" s="1"/>
  <c r="AB153" i="24" s="1"/>
  <c r="N155" i="24"/>
  <c r="Q155" i="24" s="1"/>
  <c r="W155" i="24" s="1"/>
  <c r="Y155" i="24" s="1"/>
  <c r="Z155" i="24" s="1"/>
  <c r="AB155" i="24" s="1"/>
  <c r="Q174" i="24"/>
  <c r="W174" i="24" s="1"/>
  <c r="Y174" i="24" s="1"/>
  <c r="Z174" i="24" s="1"/>
  <c r="AB174" i="24" s="1"/>
  <c r="N182" i="24"/>
  <c r="Q182" i="24" s="1"/>
  <c r="W182" i="24" s="1"/>
  <c r="Y182" i="24" s="1"/>
  <c r="Z182" i="24" s="1"/>
  <c r="AB182" i="24" s="1"/>
  <c r="N204" i="24"/>
  <c r="Q204" i="24" s="1"/>
  <c r="W204" i="24" s="1"/>
  <c r="Y204" i="24" s="1"/>
  <c r="Z204" i="24" s="1"/>
  <c r="AB204" i="24" s="1"/>
  <c r="N262" i="24"/>
  <c r="Q262" i="24" s="1"/>
  <c r="W262" i="24" s="1"/>
  <c r="Y262" i="24" s="1"/>
  <c r="Z262" i="24" s="1"/>
  <c r="AB262" i="24" s="1"/>
  <c r="N266" i="24"/>
  <c r="Q266" i="24" s="1"/>
  <c r="W266" i="24" s="1"/>
  <c r="Y266" i="24" s="1"/>
  <c r="Z266" i="24" s="1"/>
  <c r="AB266" i="24" s="1"/>
  <c r="N270" i="24"/>
  <c r="Q270" i="24" s="1"/>
  <c r="W270" i="24" s="1"/>
  <c r="Y270" i="24" s="1"/>
  <c r="Z270" i="24" s="1"/>
  <c r="AB270" i="24" s="1"/>
  <c r="N274" i="24"/>
  <c r="Q274" i="24" s="1"/>
  <c r="W274" i="24" s="1"/>
  <c r="Y274" i="24" s="1"/>
  <c r="Z274" i="24" s="1"/>
  <c r="AB274" i="24" s="1"/>
  <c r="N278" i="24"/>
  <c r="Q278" i="24" s="1"/>
  <c r="W278" i="24" s="1"/>
  <c r="Y278" i="24" s="1"/>
  <c r="Z278" i="24" s="1"/>
  <c r="AB278" i="24" s="1"/>
  <c r="N63" i="24"/>
  <c r="Q63" i="24" s="1"/>
  <c r="W63" i="24" s="1"/>
  <c r="Y63" i="24" s="1"/>
  <c r="Z63" i="24" s="1"/>
  <c r="AB63" i="24" s="1"/>
  <c r="N226" i="24"/>
  <c r="Q226" i="24" s="1"/>
  <c r="W226" i="24" s="1"/>
  <c r="Y226" i="24" s="1"/>
  <c r="Z226" i="24" s="1"/>
  <c r="AB226" i="24" s="1"/>
  <c r="V148" i="24"/>
  <c r="V152" i="24"/>
  <c r="V154" i="24"/>
  <c r="V156" i="24"/>
  <c r="N247" i="24"/>
  <c r="Q247" i="24" s="1"/>
  <c r="W247" i="24" s="1"/>
  <c r="Y247" i="24" s="1"/>
  <c r="Z247" i="24" s="1"/>
  <c r="AB247" i="24" s="1"/>
  <c r="N138" i="24"/>
  <c r="Q138" i="24" s="1"/>
  <c r="W138" i="24" s="1"/>
  <c r="Y138" i="24" s="1"/>
  <c r="Z138" i="24" s="1"/>
  <c r="AB138" i="24" s="1"/>
  <c r="N142" i="24"/>
  <c r="Q142" i="24" s="1"/>
  <c r="W142" i="24" s="1"/>
  <c r="Y142" i="24" s="1"/>
  <c r="Z142" i="24" s="1"/>
  <c r="AB142" i="24" s="1"/>
  <c r="N245" i="24"/>
  <c r="Q245" i="24" s="1"/>
  <c r="W245" i="24" s="1"/>
  <c r="Y245" i="24" s="1"/>
  <c r="Z245" i="24" s="1"/>
  <c r="AB245" i="24" s="1"/>
  <c r="N246" i="24"/>
  <c r="Q246" i="24" s="1"/>
  <c r="W246" i="24" s="1"/>
  <c r="Y246" i="24" s="1"/>
  <c r="Z246" i="24" s="1"/>
  <c r="AB246" i="24" s="1"/>
  <c r="N68" i="24"/>
  <c r="Q68" i="24" s="1"/>
  <c r="W68" i="24" s="1"/>
  <c r="Y68" i="24" s="1"/>
  <c r="Z68" i="24" s="1"/>
  <c r="AB68" i="24" s="1"/>
  <c r="N72" i="24"/>
  <c r="Q72" i="24" s="1"/>
  <c r="W72" i="24" s="1"/>
  <c r="Y72" i="24" s="1"/>
  <c r="Z72" i="24" s="1"/>
  <c r="AB72" i="24" s="1"/>
  <c r="N76" i="24"/>
  <c r="Q76" i="24" s="1"/>
  <c r="W76" i="24" s="1"/>
  <c r="Y76" i="24" s="1"/>
  <c r="Z76" i="24" s="1"/>
  <c r="AB76" i="24" s="1"/>
  <c r="N93" i="24"/>
  <c r="N94" i="24"/>
  <c r="Q94" i="24" s="1"/>
  <c r="W94" i="24" s="1"/>
  <c r="Y94" i="24" s="1"/>
  <c r="Z94" i="24" s="1"/>
  <c r="AB94" i="24" s="1"/>
  <c r="V144" i="24"/>
  <c r="N243" i="24"/>
  <c r="Q243" i="24" s="1"/>
  <c r="W243" i="24" s="1"/>
  <c r="Y243" i="24" s="1"/>
  <c r="Z243" i="24" s="1"/>
  <c r="AB243" i="24" s="1"/>
  <c r="V62" i="24"/>
  <c r="N157" i="24"/>
  <c r="Q157" i="24" s="1"/>
  <c r="W157" i="24" s="1"/>
  <c r="Y157" i="24" s="1"/>
  <c r="Z157" i="24" s="1"/>
  <c r="AB157" i="24" s="1"/>
  <c r="N181" i="24"/>
  <c r="Q181" i="24" s="1"/>
  <c r="W181" i="24" s="1"/>
  <c r="Y181" i="24" s="1"/>
  <c r="Z181" i="24" s="1"/>
  <c r="AB181" i="24" s="1"/>
  <c r="N92" i="24"/>
  <c r="Q92" i="24" s="1"/>
  <c r="W92" i="24" s="1"/>
  <c r="Y92" i="24" s="1"/>
  <c r="Z92" i="24" s="1"/>
  <c r="AB92" i="24" s="1"/>
  <c r="V64" i="24"/>
  <c r="V115" i="24"/>
  <c r="N140" i="24"/>
  <c r="Q140" i="24" s="1"/>
  <c r="W140" i="24" s="1"/>
  <c r="Y140" i="24" s="1"/>
  <c r="Z140" i="24" s="1"/>
  <c r="AB140" i="24" s="1"/>
  <c r="N145" i="24"/>
  <c r="Q145" i="24" s="1"/>
  <c r="W145" i="24" s="1"/>
  <c r="Y145" i="24" s="1"/>
  <c r="Z145" i="24" s="1"/>
  <c r="AB145" i="24" s="1"/>
  <c r="N146" i="24"/>
  <c r="Q146" i="24" s="1"/>
  <c r="W146" i="24" s="1"/>
  <c r="Y146" i="24" s="1"/>
  <c r="Z146" i="24" s="1"/>
  <c r="AB146" i="24" s="1"/>
  <c r="V150" i="24"/>
  <c r="Q168" i="24"/>
  <c r="W168" i="24" s="1"/>
  <c r="Y168" i="24" s="1"/>
  <c r="Z168" i="24" s="1"/>
  <c r="AB168" i="24" s="1"/>
  <c r="N169" i="24"/>
  <c r="Q169" i="24" s="1"/>
  <c r="W169" i="24" s="1"/>
  <c r="Y169" i="24" s="1"/>
  <c r="Z169" i="24" s="1"/>
  <c r="AB169" i="24" s="1"/>
  <c r="N170" i="24"/>
  <c r="Q170" i="24" s="1"/>
  <c r="W170" i="24" s="1"/>
  <c r="Y170" i="24" s="1"/>
  <c r="Z170" i="24" s="1"/>
  <c r="AB170" i="24" s="1"/>
  <c r="N175" i="24"/>
  <c r="Q175" i="24" s="1"/>
  <c r="W175" i="24" s="1"/>
  <c r="Y175" i="24" s="1"/>
  <c r="Z175" i="24" s="1"/>
  <c r="AB175" i="24" s="1"/>
  <c r="N183" i="24"/>
  <c r="Q183" i="24" s="1"/>
  <c r="W183" i="24" s="1"/>
  <c r="Y183" i="24" s="1"/>
  <c r="Z183" i="24" s="1"/>
  <c r="AB183" i="24" s="1"/>
  <c r="N187" i="24"/>
  <c r="Q187" i="24" s="1"/>
  <c r="W187" i="24" s="1"/>
  <c r="Y187" i="24" s="1"/>
  <c r="Z187" i="24" s="1"/>
  <c r="AB187" i="24" s="1"/>
  <c r="V211" i="24"/>
  <c r="V217" i="24"/>
  <c r="V223" i="24"/>
  <c r="V278" i="24"/>
  <c r="V160" i="24"/>
  <c r="V199" i="24"/>
  <c r="V209" i="24"/>
  <c r="V215" i="24"/>
  <c r="N248" i="24"/>
  <c r="Q248" i="24" s="1"/>
  <c r="W248" i="24" s="1"/>
  <c r="Y248" i="24" s="1"/>
  <c r="Z248" i="24" s="1"/>
  <c r="AB248" i="24" s="1"/>
  <c r="V158" i="24"/>
  <c r="N171" i="24"/>
  <c r="Q171" i="24" s="1"/>
  <c r="W171" i="24" s="1"/>
  <c r="Y171" i="24" s="1"/>
  <c r="Z171" i="24" s="1"/>
  <c r="AB171" i="24" s="1"/>
  <c r="N173" i="24"/>
  <c r="Q173" i="24" s="1"/>
  <c r="W173" i="24" s="1"/>
  <c r="Y173" i="24" s="1"/>
  <c r="Z173" i="24" s="1"/>
  <c r="AB173" i="24" s="1"/>
  <c r="N179" i="24"/>
  <c r="Q179" i="24" s="1"/>
  <c r="W179" i="24" s="1"/>
  <c r="Y179" i="24" s="1"/>
  <c r="Z179" i="24" s="1"/>
  <c r="AB179" i="24" s="1"/>
  <c r="N199" i="24"/>
  <c r="Q199" i="24" s="1"/>
  <c r="W199" i="24" s="1"/>
  <c r="Y199" i="24" s="1"/>
  <c r="Z199" i="24" s="1"/>
  <c r="AB199" i="24" s="1"/>
  <c r="N228" i="24"/>
  <c r="Q228" i="24" s="1"/>
  <c r="W228" i="24" s="1"/>
  <c r="Y228" i="24" s="1"/>
  <c r="Z228" i="24" s="1"/>
  <c r="AB228" i="24" s="1"/>
  <c r="P354" i="24"/>
  <c r="N59" i="24"/>
  <c r="Q59" i="24" s="1"/>
  <c r="W59" i="24" s="1"/>
  <c r="Y59" i="24" s="1"/>
  <c r="Z59" i="24" s="1"/>
  <c r="AB59" i="24" s="1"/>
  <c r="N61" i="24"/>
  <c r="Q61" i="24" s="1"/>
  <c r="W61" i="24" s="1"/>
  <c r="Y61" i="24" s="1"/>
  <c r="Z61" i="24" s="1"/>
  <c r="AB61" i="24" s="1"/>
  <c r="N66" i="24"/>
  <c r="Q66" i="24" s="1"/>
  <c r="W66" i="24" s="1"/>
  <c r="Y66" i="24" s="1"/>
  <c r="Z66" i="24" s="1"/>
  <c r="AB66" i="24" s="1"/>
  <c r="N70" i="24"/>
  <c r="Q70" i="24" s="1"/>
  <c r="W70" i="24" s="1"/>
  <c r="Y70" i="24" s="1"/>
  <c r="Z70" i="24" s="1"/>
  <c r="AB70" i="24" s="1"/>
  <c r="N74" i="24"/>
  <c r="Q74" i="24" s="1"/>
  <c r="W74" i="24" s="1"/>
  <c r="Y74" i="24" s="1"/>
  <c r="Z74" i="24" s="1"/>
  <c r="AB74" i="24" s="1"/>
  <c r="N136" i="24"/>
  <c r="Q136" i="24" s="1"/>
  <c r="W136" i="24" s="1"/>
  <c r="Y136" i="24" s="1"/>
  <c r="Z136" i="24" s="1"/>
  <c r="AB136" i="24" s="1"/>
  <c r="V140" i="24"/>
  <c r="V146" i="24"/>
  <c r="Q158" i="24"/>
  <c r="W158" i="24" s="1"/>
  <c r="Y158" i="24" s="1"/>
  <c r="Z158" i="24" s="1"/>
  <c r="AB158" i="24" s="1"/>
  <c r="V170" i="24"/>
  <c r="N177" i="24"/>
  <c r="Q177" i="24" s="1"/>
  <c r="W177" i="24" s="1"/>
  <c r="Y177" i="24" s="1"/>
  <c r="Z177" i="24" s="1"/>
  <c r="AB177" i="24" s="1"/>
  <c r="N185" i="24"/>
  <c r="Q185" i="24" s="1"/>
  <c r="W185" i="24" s="1"/>
  <c r="Y185" i="24" s="1"/>
  <c r="Z185" i="24" s="1"/>
  <c r="AB185" i="24" s="1"/>
  <c r="N198" i="24"/>
  <c r="Q198" i="24" s="1"/>
  <c r="W198" i="24" s="1"/>
  <c r="Y198" i="24" s="1"/>
  <c r="Z198" i="24" s="1"/>
  <c r="AB198" i="24" s="1"/>
  <c r="V219" i="24"/>
  <c r="V274" i="24"/>
  <c r="V284" i="24"/>
  <c r="N288" i="24"/>
  <c r="Q288" i="24" s="1"/>
  <c r="W288" i="24" s="1"/>
  <c r="Y288" i="24" s="1"/>
  <c r="Z288" i="24" s="1"/>
  <c r="AB288" i="24" s="1"/>
  <c r="V22" i="24"/>
  <c r="L26" i="24"/>
  <c r="N26" i="24" s="1"/>
  <c r="Q26" i="24" s="1"/>
  <c r="W26" i="24" s="1"/>
  <c r="Y26" i="24" s="1"/>
  <c r="Z26" i="24" s="1"/>
  <c r="AB26" i="24" s="1"/>
  <c r="V26" i="24"/>
  <c r="V60" i="24"/>
  <c r="L60" i="24"/>
  <c r="N60" i="24" s="1"/>
  <c r="Q60" i="24" s="1"/>
  <c r="W60" i="24" s="1"/>
  <c r="Y60" i="24" s="1"/>
  <c r="Z60" i="24" s="1"/>
  <c r="AB60" i="24" s="1"/>
  <c r="V78" i="24"/>
  <c r="V83" i="24"/>
  <c r="V86" i="24"/>
  <c r="V90" i="24"/>
  <c r="V91" i="24"/>
  <c r="V92" i="24"/>
  <c r="V94" i="24"/>
  <c r="V95" i="24"/>
  <c r="V96" i="24"/>
  <c r="V79" i="24"/>
  <c r="V85" i="24"/>
  <c r="N24" i="24"/>
  <c r="Q24" i="24" s="1"/>
  <c r="W24" i="24" s="1"/>
  <c r="Y24" i="24" s="1"/>
  <c r="Z24" i="24" s="1"/>
  <c r="AB24" i="24" s="1"/>
  <c r="N25" i="24"/>
  <c r="Q25" i="24" s="1"/>
  <c r="W25" i="24" s="1"/>
  <c r="Y25" i="24" s="1"/>
  <c r="Z25" i="24" s="1"/>
  <c r="AB25" i="24" s="1"/>
  <c r="N27" i="24"/>
  <c r="Q27" i="24" s="1"/>
  <c r="W27" i="24" s="1"/>
  <c r="Y27" i="24" s="1"/>
  <c r="Z27" i="24" s="1"/>
  <c r="AB27" i="24" s="1"/>
  <c r="N33" i="24"/>
  <c r="Q33" i="24" s="1"/>
  <c r="W33" i="24" s="1"/>
  <c r="Y33" i="24" s="1"/>
  <c r="Z33" i="24" s="1"/>
  <c r="AB33" i="24" s="1"/>
  <c r="N37" i="24"/>
  <c r="Q37" i="24" s="1"/>
  <c r="W37" i="24" s="1"/>
  <c r="Y37" i="24" s="1"/>
  <c r="Z37" i="24" s="1"/>
  <c r="AB37" i="24" s="1"/>
  <c r="N39" i="24"/>
  <c r="Q39" i="24" s="1"/>
  <c r="W39" i="24" s="1"/>
  <c r="Y39" i="24" s="1"/>
  <c r="Z39" i="24" s="1"/>
  <c r="AB39" i="24" s="1"/>
  <c r="N41" i="24"/>
  <c r="Q41" i="24" s="1"/>
  <c r="W41" i="24" s="1"/>
  <c r="Y41" i="24" s="1"/>
  <c r="Z41" i="24" s="1"/>
  <c r="AB41" i="24" s="1"/>
  <c r="N43" i="24"/>
  <c r="Q43" i="24" s="1"/>
  <c r="W43" i="24" s="1"/>
  <c r="Y43" i="24" s="1"/>
  <c r="Z43" i="24" s="1"/>
  <c r="AB43" i="24" s="1"/>
  <c r="N47" i="24"/>
  <c r="Q47" i="24" s="1"/>
  <c r="W47" i="24" s="1"/>
  <c r="Y47" i="24" s="1"/>
  <c r="Z47" i="24" s="1"/>
  <c r="AB47" i="24" s="1"/>
  <c r="N51" i="24"/>
  <c r="Q51" i="24" s="1"/>
  <c r="W51" i="24" s="1"/>
  <c r="Y51" i="24" s="1"/>
  <c r="Z51" i="24" s="1"/>
  <c r="AB51" i="24" s="1"/>
  <c r="N53" i="24"/>
  <c r="Q53" i="24" s="1"/>
  <c r="W53" i="24" s="1"/>
  <c r="Y53" i="24" s="1"/>
  <c r="Z53" i="24" s="1"/>
  <c r="AB53" i="24" s="1"/>
  <c r="N55" i="24"/>
  <c r="Q55" i="24" s="1"/>
  <c r="W55" i="24" s="1"/>
  <c r="Y55" i="24" s="1"/>
  <c r="Z55" i="24" s="1"/>
  <c r="AB55" i="24" s="1"/>
  <c r="N57" i="24"/>
  <c r="Q57" i="24" s="1"/>
  <c r="W57" i="24" s="1"/>
  <c r="Y57" i="24" s="1"/>
  <c r="Z57" i="24" s="1"/>
  <c r="AB57" i="24" s="1"/>
  <c r="V58" i="24"/>
  <c r="AC22" i="24"/>
  <c r="V81" i="24"/>
  <c r="V84" i="24"/>
  <c r="V87" i="24"/>
  <c r="N31" i="24"/>
  <c r="Q31" i="24" s="1"/>
  <c r="W31" i="24" s="1"/>
  <c r="Y31" i="24" s="1"/>
  <c r="Z31" i="24" s="1"/>
  <c r="AB31" i="24" s="1"/>
  <c r="N35" i="24"/>
  <c r="Q35" i="24" s="1"/>
  <c r="W35" i="24" s="1"/>
  <c r="Y35" i="24" s="1"/>
  <c r="Z35" i="24" s="1"/>
  <c r="AB35" i="24" s="1"/>
  <c r="S354" i="24"/>
  <c r="AC21" i="24"/>
  <c r="N28" i="24"/>
  <c r="Q28" i="24" s="1"/>
  <c r="W28" i="24" s="1"/>
  <c r="Y28" i="24" s="1"/>
  <c r="Z28" i="24" s="1"/>
  <c r="AB28" i="24" s="1"/>
  <c r="V31" i="24"/>
  <c r="N32" i="24"/>
  <c r="Q32" i="24" s="1"/>
  <c r="W32" i="24" s="1"/>
  <c r="Y32" i="24" s="1"/>
  <c r="Z32" i="24" s="1"/>
  <c r="AB32" i="24" s="1"/>
  <c r="V35" i="24"/>
  <c r="N36" i="24"/>
  <c r="Q36" i="24" s="1"/>
  <c r="W36" i="24" s="1"/>
  <c r="Y36" i="24" s="1"/>
  <c r="Z36" i="24" s="1"/>
  <c r="AB36" i="24" s="1"/>
  <c r="V37" i="24"/>
  <c r="N38" i="24"/>
  <c r="Q38" i="24" s="1"/>
  <c r="W38" i="24" s="1"/>
  <c r="Y38" i="24" s="1"/>
  <c r="Z38" i="24" s="1"/>
  <c r="AB38" i="24" s="1"/>
  <c r="V39" i="24"/>
  <c r="N40" i="24"/>
  <c r="Q40" i="24" s="1"/>
  <c r="W40" i="24" s="1"/>
  <c r="Y40" i="24" s="1"/>
  <c r="Z40" i="24" s="1"/>
  <c r="AB40" i="24" s="1"/>
  <c r="V41" i="24"/>
  <c r="N42" i="24"/>
  <c r="Q42" i="24" s="1"/>
  <c r="W42" i="24" s="1"/>
  <c r="Y42" i="24" s="1"/>
  <c r="Z42" i="24" s="1"/>
  <c r="AB42" i="24" s="1"/>
  <c r="V43" i="24"/>
  <c r="N44" i="24"/>
  <c r="Q44" i="24" s="1"/>
  <c r="W44" i="24" s="1"/>
  <c r="Y44" i="24" s="1"/>
  <c r="Z44" i="24" s="1"/>
  <c r="AB44" i="24" s="1"/>
  <c r="N46" i="24"/>
  <c r="Q46" i="24" s="1"/>
  <c r="W46" i="24" s="1"/>
  <c r="Y46" i="24" s="1"/>
  <c r="Z46" i="24" s="1"/>
  <c r="AB46" i="24" s="1"/>
  <c r="V47" i="24"/>
  <c r="N48" i="24"/>
  <c r="Q48" i="24" s="1"/>
  <c r="W48" i="24" s="1"/>
  <c r="Y48" i="24" s="1"/>
  <c r="Z48" i="24" s="1"/>
  <c r="AB48" i="24" s="1"/>
  <c r="N50" i="24"/>
  <c r="Q50" i="24" s="1"/>
  <c r="W50" i="24" s="1"/>
  <c r="Y50" i="24" s="1"/>
  <c r="Z50" i="24" s="1"/>
  <c r="AB50" i="24" s="1"/>
  <c r="V51" i="24"/>
  <c r="N52" i="24"/>
  <c r="Q52" i="24" s="1"/>
  <c r="W52" i="24" s="1"/>
  <c r="Y52" i="24" s="1"/>
  <c r="Z52" i="24" s="1"/>
  <c r="AB52" i="24" s="1"/>
  <c r="V53" i="24"/>
  <c r="N54" i="24"/>
  <c r="Q54" i="24" s="1"/>
  <c r="W54" i="24" s="1"/>
  <c r="Y54" i="24" s="1"/>
  <c r="Z54" i="24" s="1"/>
  <c r="AB54" i="24" s="1"/>
  <c r="V55" i="24"/>
  <c r="N56" i="24"/>
  <c r="Q56" i="24" s="1"/>
  <c r="W56" i="24" s="1"/>
  <c r="Y56" i="24" s="1"/>
  <c r="Z56" i="24" s="1"/>
  <c r="AB56" i="24" s="1"/>
  <c r="V57" i="24"/>
  <c r="K354" i="24"/>
  <c r="V21" i="24"/>
  <c r="V23" i="24"/>
  <c r="V77" i="24"/>
  <c r="V80" i="24"/>
  <c r="V82" i="24"/>
  <c r="V88" i="24"/>
  <c r="V89" i="24"/>
  <c r="L21" i="24"/>
  <c r="N21" i="24" s="1"/>
  <c r="N22" i="24"/>
  <c r="Q22" i="24" s="1"/>
  <c r="W22" i="24" s="1"/>
  <c r="Y22" i="24" s="1"/>
  <c r="Z22" i="24" s="1"/>
  <c r="AB22" i="24" s="1"/>
  <c r="N29" i="24"/>
  <c r="Q29" i="24" s="1"/>
  <c r="W29" i="24" s="1"/>
  <c r="Y29" i="24" s="1"/>
  <c r="Z29" i="24" s="1"/>
  <c r="AB29" i="24" s="1"/>
  <c r="N45" i="24"/>
  <c r="Q45" i="24" s="1"/>
  <c r="W45" i="24" s="1"/>
  <c r="Y45" i="24" s="1"/>
  <c r="Z45" i="24" s="1"/>
  <c r="AB45" i="24" s="1"/>
  <c r="N49" i="24"/>
  <c r="Q49" i="24" s="1"/>
  <c r="W49" i="24" s="1"/>
  <c r="Y49" i="24" s="1"/>
  <c r="Z49" i="24" s="1"/>
  <c r="AB49" i="24" s="1"/>
  <c r="A23" i="24"/>
  <c r="AC23" i="24" s="1"/>
  <c r="N30" i="24"/>
  <c r="Q30" i="24" s="1"/>
  <c r="W30" i="24" s="1"/>
  <c r="Y30" i="24" s="1"/>
  <c r="Z30" i="24" s="1"/>
  <c r="AB30" i="24" s="1"/>
  <c r="V33" i="24"/>
  <c r="N34" i="24"/>
  <c r="Q34" i="24" s="1"/>
  <c r="W34" i="24" s="1"/>
  <c r="Y34" i="24" s="1"/>
  <c r="Z34" i="24" s="1"/>
  <c r="AB34" i="24" s="1"/>
  <c r="H354" i="24"/>
  <c r="U354" i="24"/>
  <c r="V98" i="24"/>
  <c r="V100" i="24"/>
  <c r="V102" i="24"/>
  <c r="V104" i="24"/>
  <c r="V106" i="24"/>
  <c r="V108" i="24"/>
  <c r="V110" i="24"/>
  <c r="V112" i="24"/>
  <c r="V114" i="24"/>
  <c r="V132" i="24"/>
  <c r="N135" i="24"/>
  <c r="Q135" i="24" s="1"/>
  <c r="W135" i="24" s="1"/>
  <c r="Y135" i="24" s="1"/>
  <c r="Z135" i="24" s="1"/>
  <c r="AB135" i="24" s="1"/>
  <c r="V138" i="24"/>
  <c r="Q98" i="24"/>
  <c r="W98" i="24" s="1"/>
  <c r="Y98" i="24" s="1"/>
  <c r="Z98" i="24" s="1"/>
  <c r="AB98" i="24" s="1"/>
  <c r="Q108" i="24"/>
  <c r="W108" i="24" s="1"/>
  <c r="Y108" i="24" s="1"/>
  <c r="Z108" i="24" s="1"/>
  <c r="AB108" i="24" s="1"/>
  <c r="Q114" i="24"/>
  <c r="W114" i="24" s="1"/>
  <c r="Y114" i="24" s="1"/>
  <c r="Z114" i="24" s="1"/>
  <c r="AB114" i="24" s="1"/>
  <c r="V97" i="24"/>
  <c r="V99" i="24"/>
  <c r="V101" i="24"/>
  <c r="V103" i="24"/>
  <c r="V105" i="24"/>
  <c r="V107" i="24"/>
  <c r="V109" i="24"/>
  <c r="V111" i="24"/>
  <c r="V113" i="24"/>
  <c r="N65" i="24"/>
  <c r="Q65" i="24" s="1"/>
  <c r="W65" i="24" s="1"/>
  <c r="Y65" i="24" s="1"/>
  <c r="Z65" i="24" s="1"/>
  <c r="AB65" i="24" s="1"/>
  <c r="N67" i="24"/>
  <c r="Q67" i="24" s="1"/>
  <c r="W67" i="24" s="1"/>
  <c r="Y67" i="24" s="1"/>
  <c r="Z67" i="24" s="1"/>
  <c r="AB67" i="24" s="1"/>
  <c r="N69" i="24"/>
  <c r="Q69" i="24" s="1"/>
  <c r="W69" i="24" s="1"/>
  <c r="Y69" i="24" s="1"/>
  <c r="Z69" i="24" s="1"/>
  <c r="AB69" i="24" s="1"/>
  <c r="N71" i="24"/>
  <c r="Q71" i="24" s="1"/>
  <c r="W71" i="24" s="1"/>
  <c r="Y71" i="24" s="1"/>
  <c r="Z71" i="24" s="1"/>
  <c r="AB71" i="24" s="1"/>
  <c r="N73" i="24"/>
  <c r="Q73" i="24" s="1"/>
  <c r="W73" i="24" s="1"/>
  <c r="Y73" i="24" s="1"/>
  <c r="Z73" i="24" s="1"/>
  <c r="AB73" i="24" s="1"/>
  <c r="N75" i="24"/>
  <c r="Q75" i="24" s="1"/>
  <c r="W75" i="24" s="1"/>
  <c r="Y75" i="24" s="1"/>
  <c r="Z75" i="24" s="1"/>
  <c r="AB75" i="24" s="1"/>
  <c r="Q87" i="24"/>
  <c r="W87" i="24" s="1"/>
  <c r="Y87" i="24" s="1"/>
  <c r="Z87" i="24" s="1"/>
  <c r="AB87" i="24" s="1"/>
  <c r="Q93" i="24"/>
  <c r="W93" i="24" s="1"/>
  <c r="Y93" i="24" s="1"/>
  <c r="Z93" i="24" s="1"/>
  <c r="AB93" i="24" s="1"/>
  <c r="Q109" i="24"/>
  <c r="W109" i="24" s="1"/>
  <c r="Y109" i="24" s="1"/>
  <c r="Z109" i="24" s="1"/>
  <c r="AB109" i="24" s="1"/>
  <c r="V116" i="24"/>
  <c r="N116" i="24"/>
  <c r="Q116" i="24" s="1"/>
  <c r="W116" i="24" s="1"/>
  <c r="Y116" i="24" s="1"/>
  <c r="Z116" i="24" s="1"/>
  <c r="AB116" i="24" s="1"/>
  <c r="N117" i="24"/>
  <c r="Q117" i="24" s="1"/>
  <c r="W117" i="24" s="1"/>
  <c r="Y117" i="24" s="1"/>
  <c r="Z117" i="24" s="1"/>
  <c r="AB117" i="24" s="1"/>
  <c r="V117" i="24"/>
  <c r="N119" i="24"/>
  <c r="Q119" i="24" s="1"/>
  <c r="W119" i="24" s="1"/>
  <c r="Y119" i="24" s="1"/>
  <c r="Z119" i="24" s="1"/>
  <c r="AB119" i="24" s="1"/>
  <c r="N123" i="24"/>
  <c r="Q123" i="24" s="1"/>
  <c r="W123" i="24" s="1"/>
  <c r="Y123" i="24" s="1"/>
  <c r="Z123" i="24" s="1"/>
  <c r="AB123" i="24" s="1"/>
  <c r="N127" i="24"/>
  <c r="Q127" i="24" s="1"/>
  <c r="W127" i="24" s="1"/>
  <c r="Y127" i="24" s="1"/>
  <c r="Z127" i="24" s="1"/>
  <c r="AB127" i="24" s="1"/>
  <c r="V130" i="24"/>
  <c r="N133" i="24"/>
  <c r="Q133" i="24" s="1"/>
  <c r="W133" i="24" s="1"/>
  <c r="Y133" i="24" s="1"/>
  <c r="Z133" i="24" s="1"/>
  <c r="AB133" i="24" s="1"/>
  <c r="N137" i="24"/>
  <c r="Q137" i="24" s="1"/>
  <c r="W137" i="24" s="1"/>
  <c r="Y137" i="24" s="1"/>
  <c r="Z137" i="24" s="1"/>
  <c r="AB137" i="24" s="1"/>
  <c r="V145" i="24"/>
  <c r="L148" i="24"/>
  <c r="N148" i="24" s="1"/>
  <c r="Q148" i="24" s="1"/>
  <c r="W148" i="24" s="1"/>
  <c r="Y148" i="24" s="1"/>
  <c r="Z148" i="24" s="1"/>
  <c r="AB148" i="24" s="1"/>
  <c r="L150" i="24"/>
  <c r="N150" i="24" s="1"/>
  <c r="Q150" i="24" s="1"/>
  <c r="W150" i="24" s="1"/>
  <c r="Y150" i="24" s="1"/>
  <c r="Z150" i="24" s="1"/>
  <c r="AB150" i="24" s="1"/>
  <c r="L152" i="24"/>
  <c r="N152" i="24" s="1"/>
  <c r="Q152" i="24" s="1"/>
  <c r="W152" i="24" s="1"/>
  <c r="Y152" i="24" s="1"/>
  <c r="Z152" i="24" s="1"/>
  <c r="AB152" i="24" s="1"/>
  <c r="L154" i="24"/>
  <c r="N154" i="24" s="1"/>
  <c r="Q154" i="24" s="1"/>
  <c r="W154" i="24" s="1"/>
  <c r="Y154" i="24" s="1"/>
  <c r="Z154" i="24" s="1"/>
  <c r="AB154" i="24" s="1"/>
  <c r="L156" i="24"/>
  <c r="N156" i="24" s="1"/>
  <c r="Q156" i="24" s="1"/>
  <c r="W156" i="24" s="1"/>
  <c r="Y156" i="24" s="1"/>
  <c r="Z156" i="24" s="1"/>
  <c r="AB156" i="24" s="1"/>
  <c r="N164" i="24"/>
  <c r="Q164" i="24" s="1"/>
  <c r="W164" i="24" s="1"/>
  <c r="Y164" i="24" s="1"/>
  <c r="Z164" i="24" s="1"/>
  <c r="AB164" i="24" s="1"/>
  <c r="N186" i="24"/>
  <c r="Q186" i="24" s="1"/>
  <c r="W186" i="24" s="1"/>
  <c r="Y186" i="24" s="1"/>
  <c r="Z186" i="24" s="1"/>
  <c r="AB186" i="24" s="1"/>
  <c r="V119" i="24"/>
  <c r="V121" i="24"/>
  <c r="V123" i="24"/>
  <c r="V125" i="24"/>
  <c r="V127" i="24"/>
  <c r="V129" i="24"/>
  <c r="V131" i="24"/>
  <c r="V133" i="24"/>
  <c r="V135" i="24"/>
  <c r="V142" i="24"/>
  <c r="V147" i="24"/>
  <c r="V149" i="24"/>
  <c r="V151" i="24"/>
  <c r="V153" i="24"/>
  <c r="V155" i="24"/>
  <c r="N118" i="24"/>
  <c r="Q118" i="24" s="1"/>
  <c r="W118" i="24" s="1"/>
  <c r="Y118" i="24" s="1"/>
  <c r="Z118" i="24" s="1"/>
  <c r="AB118" i="24" s="1"/>
  <c r="N120" i="24"/>
  <c r="Q120" i="24" s="1"/>
  <c r="W120" i="24" s="1"/>
  <c r="Y120" i="24" s="1"/>
  <c r="Z120" i="24" s="1"/>
  <c r="AB120" i="24" s="1"/>
  <c r="N122" i="24"/>
  <c r="Q122" i="24" s="1"/>
  <c r="W122" i="24" s="1"/>
  <c r="Y122" i="24" s="1"/>
  <c r="Z122" i="24" s="1"/>
  <c r="AB122" i="24" s="1"/>
  <c r="N124" i="24"/>
  <c r="Q124" i="24" s="1"/>
  <c r="W124" i="24" s="1"/>
  <c r="Y124" i="24" s="1"/>
  <c r="Z124" i="24" s="1"/>
  <c r="AB124" i="24" s="1"/>
  <c r="N126" i="24"/>
  <c r="Q126" i="24" s="1"/>
  <c r="W126" i="24" s="1"/>
  <c r="Y126" i="24" s="1"/>
  <c r="Z126" i="24" s="1"/>
  <c r="AB126" i="24" s="1"/>
  <c r="N128" i="24"/>
  <c r="Q128" i="24" s="1"/>
  <c r="W128" i="24" s="1"/>
  <c r="Y128" i="24" s="1"/>
  <c r="Z128" i="24" s="1"/>
  <c r="AB128" i="24" s="1"/>
  <c r="N130" i="24"/>
  <c r="Q130" i="24" s="1"/>
  <c r="W130" i="24" s="1"/>
  <c r="Y130" i="24" s="1"/>
  <c r="Z130" i="24" s="1"/>
  <c r="AB130" i="24" s="1"/>
  <c r="N132" i="24"/>
  <c r="Q132" i="24" s="1"/>
  <c r="W132" i="24" s="1"/>
  <c r="Y132" i="24" s="1"/>
  <c r="Z132" i="24" s="1"/>
  <c r="AB132" i="24" s="1"/>
  <c r="N134" i="24"/>
  <c r="Q134" i="24" s="1"/>
  <c r="W134" i="24" s="1"/>
  <c r="Y134" i="24" s="1"/>
  <c r="Z134" i="24" s="1"/>
  <c r="AB134" i="24" s="1"/>
  <c r="L172" i="24"/>
  <c r="N172" i="24" s="1"/>
  <c r="Q172" i="24" s="1"/>
  <c r="W172" i="24" s="1"/>
  <c r="Y172" i="24" s="1"/>
  <c r="Z172" i="24" s="1"/>
  <c r="AB172" i="24" s="1"/>
  <c r="V172" i="24"/>
  <c r="L189" i="24"/>
  <c r="N189" i="24" s="1"/>
  <c r="Q189" i="24" s="1"/>
  <c r="W189" i="24" s="1"/>
  <c r="Y189" i="24" s="1"/>
  <c r="Z189" i="24" s="1"/>
  <c r="AB189" i="24" s="1"/>
  <c r="V189" i="24"/>
  <c r="L191" i="24"/>
  <c r="N191" i="24" s="1"/>
  <c r="Q191" i="24" s="1"/>
  <c r="W191" i="24" s="1"/>
  <c r="Y191" i="24" s="1"/>
  <c r="Z191" i="24" s="1"/>
  <c r="AB191" i="24" s="1"/>
  <c r="V191" i="24"/>
  <c r="N139" i="24"/>
  <c r="Q139" i="24" s="1"/>
  <c r="W139" i="24" s="1"/>
  <c r="Y139" i="24" s="1"/>
  <c r="Z139" i="24" s="1"/>
  <c r="AB139" i="24" s="1"/>
  <c r="N141" i="24"/>
  <c r="Q141" i="24" s="1"/>
  <c r="W141" i="24" s="1"/>
  <c r="Y141" i="24" s="1"/>
  <c r="Z141" i="24" s="1"/>
  <c r="AB141" i="24" s="1"/>
  <c r="N143" i="24"/>
  <c r="Q143" i="24" s="1"/>
  <c r="W143" i="24" s="1"/>
  <c r="Y143" i="24" s="1"/>
  <c r="Z143" i="24" s="1"/>
  <c r="AB143" i="24" s="1"/>
  <c r="L144" i="24"/>
  <c r="N144" i="24" s="1"/>
  <c r="Q144" i="24" s="1"/>
  <c r="W144" i="24" s="1"/>
  <c r="Y144" i="24" s="1"/>
  <c r="Z144" i="24" s="1"/>
  <c r="AB144" i="24" s="1"/>
  <c r="N159" i="24"/>
  <c r="Q159" i="24" s="1"/>
  <c r="W159" i="24" s="1"/>
  <c r="Y159" i="24" s="1"/>
  <c r="Z159" i="24" s="1"/>
  <c r="AB159" i="24" s="1"/>
  <c r="V159" i="24"/>
  <c r="N161" i="24"/>
  <c r="Q161" i="24" s="1"/>
  <c r="W161" i="24" s="1"/>
  <c r="Y161" i="24" s="1"/>
  <c r="Z161" i="24" s="1"/>
  <c r="AB161" i="24" s="1"/>
  <c r="N165" i="24"/>
  <c r="Q165" i="24" s="1"/>
  <c r="W165" i="24" s="1"/>
  <c r="Y165" i="24" s="1"/>
  <c r="Z165" i="24" s="1"/>
  <c r="AB165" i="24" s="1"/>
  <c r="V193" i="24"/>
  <c r="L193" i="24"/>
  <c r="N193" i="24" s="1"/>
  <c r="Q193" i="24" s="1"/>
  <c r="W193" i="24" s="1"/>
  <c r="Y193" i="24" s="1"/>
  <c r="Z193" i="24" s="1"/>
  <c r="AB193" i="24" s="1"/>
  <c r="V195" i="24"/>
  <c r="L195" i="24"/>
  <c r="N195" i="24" s="1"/>
  <c r="Q195" i="24" s="1"/>
  <c r="W195" i="24" s="1"/>
  <c r="Y195" i="24" s="1"/>
  <c r="Z195" i="24" s="1"/>
  <c r="AB195" i="24" s="1"/>
  <c r="V197" i="24"/>
  <c r="L197" i="24"/>
  <c r="N197" i="24" s="1"/>
  <c r="Q197" i="24" s="1"/>
  <c r="W197" i="24" s="1"/>
  <c r="Y197" i="24" s="1"/>
  <c r="Z197" i="24" s="1"/>
  <c r="AB197" i="24" s="1"/>
  <c r="V161" i="24"/>
  <c r="V163" i="24"/>
  <c r="V165" i="24"/>
  <c r="V167" i="24"/>
  <c r="V176" i="24"/>
  <c r="V178" i="24"/>
  <c r="V180" i="24"/>
  <c r="V182" i="24"/>
  <c r="V184" i="24"/>
  <c r="V186" i="24"/>
  <c r="V188" i="24"/>
  <c r="V190" i="24"/>
  <c r="V192" i="24"/>
  <c r="V198" i="24"/>
  <c r="V214" i="24"/>
  <c r="N214" i="24"/>
  <c r="Q214" i="24" s="1"/>
  <c r="W214" i="24" s="1"/>
  <c r="Y214" i="24" s="1"/>
  <c r="Z214" i="24" s="1"/>
  <c r="AB214" i="24" s="1"/>
  <c r="V222" i="24"/>
  <c r="N222" i="24"/>
  <c r="Q222" i="24" s="1"/>
  <c r="W222" i="24" s="1"/>
  <c r="Y222" i="24" s="1"/>
  <c r="Z222" i="24" s="1"/>
  <c r="AB222" i="24" s="1"/>
  <c r="L225" i="24"/>
  <c r="N225" i="24" s="1"/>
  <c r="Q225" i="24" s="1"/>
  <c r="W225" i="24" s="1"/>
  <c r="Y225" i="24" s="1"/>
  <c r="Z225" i="24" s="1"/>
  <c r="AB225" i="24" s="1"/>
  <c r="V225" i="24"/>
  <c r="L227" i="24"/>
  <c r="N227" i="24" s="1"/>
  <c r="Q227" i="24" s="1"/>
  <c r="W227" i="24" s="1"/>
  <c r="Y227" i="24" s="1"/>
  <c r="Z227" i="24" s="1"/>
  <c r="AB227" i="24" s="1"/>
  <c r="V227" i="24"/>
  <c r="N200" i="24"/>
  <c r="Q200" i="24" s="1"/>
  <c r="W200" i="24" s="1"/>
  <c r="Y200" i="24" s="1"/>
  <c r="Z200" i="24" s="1"/>
  <c r="AB200" i="24" s="1"/>
  <c r="V200" i="24"/>
  <c r="V202" i="24"/>
  <c r="V204" i="24"/>
  <c r="V206" i="24"/>
  <c r="V208" i="24"/>
  <c r="N208" i="24"/>
  <c r="Q208" i="24" s="1"/>
  <c r="W208" i="24" s="1"/>
  <c r="Y208" i="24" s="1"/>
  <c r="Z208" i="24" s="1"/>
  <c r="AB208" i="24" s="1"/>
  <c r="V216" i="24"/>
  <c r="N216" i="24"/>
  <c r="Q216" i="24" s="1"/>
  <c r="W216" i="24" s="1"/>
  <c r="Y216" i="24" s="1"/>
  <c r="Z216" i="24" s="1"/>
  <c r="AB216" i="24" s="1"/>
  <c r="V224" i="24"/>
  <c r="N224" i="24"/>
  <c r="Q224" i="24" s="1"/>
  <c r="W224" i="24" s="1"/>
  <c r="Y224" i="24" s="1"/>
  <c r="Z224" i="24" s="1"/>
  <c r="AB224" i="24" s="1"/>
  <c r="V162" i="24"/>
  <c r="V164" i="24"/>
  <c r="V166" i="24"/>
  <c r="V175" i="24"/>
  <c r="V177" i="24"/>
  <c r="V179" i="24"/>
  <c r="V181" i="24"/>
  <c r="V183" i="24"/>
  <c r="V185" i="24"/>
  <c r="V187" i="24"/>
  <c r="N194" i="24"/>
  <c r="Q194" i="24" s="1"/>
  <c r="W194" i="24" s="1"/>
  <c r="Y194" i="24" s="1"/>
  <c r="Z194" i="24" s="1"/>
  <c r="AB194" i="24" s="1"/>
  <c r="N196" i="24"/>
  <c r="Q196" i="24" s="1"/>
  <c r="W196" i="24" s="1"/>
  <c r="Y196" i="24" s="1"/>
  <c r="Z196" i="24" s="1"/>
  <c r="AB196" i="24" s="1"/>
  <c r="V210" i="24"/>
  <c r="N210" i="24"/>
  <c r="Q210" i="24" s="1"/>
  <c r="W210" i="24" s="1"/>
  <c r="Y210" i="24" s="1"/>
  <c r="Z210" i="24" s="1"/>
  <c r="AB210" i="24" s="1"/>
  <c r="V218" i="24"/>
  <c r="N218" i="24"/>
  <c r="Q218" i="24" s="1"/>
  <c r="W218" i="24" s="1"/>
  <c r="Y218" i="24" s="1"/>
  <c r="Z218" i="24" s="1"/>
  <c r="AB218" i="24" s="1"/>
  <c r="N201" i="24"/>
  <c r="Q201" i="24" s="1"/>
  <c r="W201" i="24" s="1"/>
  <c r="Y201" i="24" s="1"/>
  <c r="Z201" i="24" s="1"/>
  <c r="AB201" i="24" s="1"/>
  <c r="V201" i="24"/>
  <c r="N203" i="24"/>
  <c r="Q203" i="24" s="1"/>
  <c r="W203" i="24" s="1"/>
  <c r="Y203" i="24" s="1"/>
  <c r="Z203" i="24" s="1"/>
  <c r="AB203" i="24" s="1"/>
  <c r="V203" i="24"/>
  <c r="N205" i="24"/>
  <c r="Q205" i="24" s="1"/>
  <c r="W205" i="24" s="1"/>
  <c r="Y205" i="24" s="1"/>
  <c r="Z205" i="24" s="1"/>
  <c r="AB205" i="24" s="1"/>
  <c r="V205" i="24"/>
  <c r="N207" i="24"/>
  <c r="Q207" i="24" s="1"/>
  <c r="W207" i="24" s="1"/>
  <c r="Y207" i="24" s="1"/>
  <c r="Z207" i="24" s="1"/>
  <c r="AB207" i="24" s="1"/>
  <c r="V207" i="24"/>
  <c r="V212" i="24"/>
  <c r="N212" i="24"/>
  <c r="Q212" i="24" s="1"/>
  <c r="W212" i="24" s="1"/>
  <c r="Y212" i="24" s="1"/>
  <c r="Z212" i="24" s="1"/>
  <c r="AB212" i="24" s="1"/>
  <c r="N213" i="24"/>
  <c r="Q213" i="24" s="1"/>
  <c r="W213" i="24" s="1"/>
  <c r="Y213" i="24" s="1"/>
  <c r="Z213" i="24" s="1"/>
  <c r="AB213" i="24" s="1"/>
  <c r="V213" i="24"/>
  <c r="V220" i="24"/>
  <c r="N220" i="24"/>
  <c r="Q220" i="24" s="1"/>
  <c r="W220" i="24" s="1"/>
  <c r="Y220" i="24" s="1"/>
  <c r="Z220" i="24" s="1"/>
  <c r="AB220" i="24" s="1"/>
  <c r="N221" i="24"/>
  <c r="Q221" i="24" s="1"/>
  <c r="W221" i="24" s="1"/>
  <c r="Y221" i="24" s="1"/>
  <c r="Z221" i="24" s="1"/>
  <c r="AB221" i="24" s="1"/>
  <c r="V221" i="24"/>
  <c r="V237" i="24"/>
  <c r="L237" i="24"/>
  <c r="N237" i="24" s="1"/>
  <c r="Q237" i="24" s="1"/>
  <c r="W237" i="24" s="1"/>
  <c r="Y237" i="24" s="1"/>
  <c r="Z237" i="24" s="1"/>
  <c r="AB237" i="24" s="1"/>
  <c r="V250" i="24"/>
  <c r="N230" i="24"/>
  <c r="Q230" i="24" s="1"/>
  <c r="W230" i="24" s="1"/>
  <c r="Y230" i="24" s="1"/>
  <c r="Z230" i="24" s="1"/>
  <c r="AB230" i="24" s="1"/>
  <c r="N232" i="24"/>
  <c r="Q232" i="24" s="1"/>
  <c r="W232" i="24" s="1"/>
  <c r="Y232" i="24" s="1"/>
  <c r="Z232" i="24" s="1"/>
  <c r="AB232" i="24" s="1"/>
  <c r="N234" i="24"/>
  <c r="Q234" i="24" s="1"/>
  <c r="W234" i="24" s="1"/>
  <c r="Y234" i="24" s="1"/>
  <c r="Z234" i="24" s="1"/>
  <c r="AB234" i="24" s="1"/>
  <c r="V236" i="24"/>
  <c r="V239" i="24"/>
  <c r="L239" i="24"/>
  <c r="N239" i="24" s="1"/>
  <c r="Q239" i="24" s="1"/>
  <c r="W239" i="24" s="1"/>
  <c r="Y239" i="24" s="1"/>
  <c r="Z239" i="24" s="1"/>
  <c r="AB239" i="24" s="1"/>
  <c r="N229" i="24"/>
  <c r="Q229" i="24" s="1"/>
  <c r="W229" i="24" s="1"/>
  <c r="Y229" i="24" s="1"/>
  <c r="Z229" i="24" s="1"/>
  <c r="AB229" i="24" s="1"/>
  <c r="V230" i="24"/>
  <c r="N231" i="24"/>
  <c r="Q231" i="24" s="1"/>
  <c r="W231" i="24" s="1"/>
  <c r="Y231" i="24" s="1"/>
  <c r="Z231" i="24" s="1"/>
  <c r="AB231" i="24" s="1"/>
  <c r="V232" i="24"/>
  <c r="N233" i="24"/>
  <c r="Q233" i="24" s="1"/>
  <c r="W233" i="24" s="1"/>
  <c r="Y233" i="24" s="1"/>
  <c r="Z233" i="24" s="1"/>
  <c r="AB233" i="24" s="1"/>
  <c r="V234" i="24"/>
  <c r="N235" i="24"/>
  <c r="Q235" i="24" s="1"/>
  <c r="W235" i="24" s="1"/>
  <c r="Y235" i="24" s="1"/>
  <c r="Z235" i="24" s="1"/>
  <c r="AB235" i="24" s="1"/>
  <c r="V241" i="24"/>
  <c r="L241" i="24"/>
  <c r="N241" i="24" s="1"/>
  <c r="Q241" i="24" s="1"/>
  <c r="W241" i="24" s="1"/>
  <c r="Y241" i="24" s="1"/>
  <c r="Z241" i="24" s="1"/>
  <c r="AB241" i="24" s="1"/>
  <c r="N236" i="24"/>
  <c r="Q236" i="24" s="1"/>
  <c r="W236" i="24" s="1"/>
  <c r="Y236" i="24" s="1"/>
  <c r="Z236" i="24" s="1"/>
  <c r="AB236" i="24" s="1"/>
  <c r="N238" i="24"/>
  <c r="Q238" i="24" s="1"/>
  <c r="W238" i="24" s="1"/>
  <c r="Y238" i="24" s="1"/>
  <c r="Z238" i="24" s="1"/>
  <c r="AB238" i="24" s="1"/>
  <c r="N240" i="24"/>
  <c r="Q240" i="24" s="1"/>
  <c r="W240" i="24" s="1"/>
  <c r="Y240" i="24" s="1"/>
  <c r="Z240" i="24" s="1"/>
  <c r="AB240" i="24" s="1"/>
  <c r="N242" i="24"/>
  <c r="Q242" i="24" s="1"/>
  <c r="W242" i="24" s="1"/>
  <c r="Y242" i="24" s="1"/>
  <c r="Z242" i="24" s="1"/>
  <c r="AB242" i="24" s="1"/>
  <c r="N244" i="24"/>
  <c r="Q244" i="24" s="1"/>
  <c r="W244" i="24" s="1"/>
  <c r="Y244" i="24" s="1"/>
  <c r="Z244" i="24" s="1"/>
  <c r="AB244" i="24" s="1"/>
  <c r="N249" i="24"/>
  <c r="Q249" i="24" s="1"/>
  <c r="W249" i="24" s="1"/>
  <c r="Y249" i="24" s="1"/>
  <c r="Z249" i="24" s="1"/>
  <c r="AB249" i="24" s="1"/>
  <c r="V273" i="24"/>
  <c r="N273" i="24"/>
  <c r="Q273" i="24" s="1"/>
  <c r="W273" i="24" s="1"/>
  <c r="Y273" i="24" s="1"/>
  <c r="Z273" i="24" s="1"/>
  <c r="AB273" i="24" s="1"/>
  <c r="V281" i="24"/>
  <c r="N281" i="24"/>
  <c r="Q281" i="24" s="1"/>
  <c r="W281" i="24" s="1"/>
  <c r="Y281" i="24" s="1"/>
  <c r="Z281" i="24" s="1"/>
  <c r="AB281" i="24" s="1"/>
  <c r="N282" i="24"/>
  <c r="Q282" i="24" s="1"/>
  <c r="W282" i="24" s="1"/>
  <c r="Y282" i="24" s="1"/>
  <c r="Z282" i="24" s="1"/>
  <c r="AB282" i="24" s="1"/>
  <c r="V282" i="24"/>
  <c r="V249" i="24"/>
  <c r="N250" i="24"/>
  <c r="Q250" i="24" s="1"/>
  <c r="W250" i="24" s="1"/>
  <c r="Y250" i="24" s="1"/>
  <c r="Z250" i="24" s="1"/>
  <c r="AB250" i="24" s="1"/>
  <c r="N252" i="24"/>
  <c r="Q252" i="24" s="1"/>
  <c r="W252" i="24" s="1"/>
  <c r="Y252" i="24" s="1"/>
  <c r="Z252" i="24" s="1"/>
  <c r="AB252" i="24" s="1"/>
  <c r="V252" i="24"/>
  <c r="N254" i="24"/>
  <c r="Q254" i="24" s="1"/>
  <c r="W254" i="24" s="1"/>
  <c r="Y254" i="24" s="1"/>
  <c r="Z254" i="24" s="1"/>
  <c r="AB254" i="24" s="1"/>
  <c r="V254" i="24"/>
  <c r="N256" i="24"/>
  <c r="Q256" i="24" s="1"/>
  <c r="W256" i="24" s="1"/>
  <c r="Y256" i="24" s="1"/>
  <c r="Z256" i="24" s="1"/>
  <c r="AB256" i="24" s="1"/>
  <c r="V256" i="24"/>
  <c r="N258" i="24"/>
  <c r="Q258" i="24" s="1"/>
  <c r="W258" i="24" s="1"/>
  <c r="Y258" i="24" s="1"/>
  <c r="Z258" i="24" s="1"/>
  <c r="AB258" i="24" s="1"/>
  <c r="V258" i="24"/>
  <c r="N260" i="24"/>
  <c r="Q260" i="24" s="1"/>
  <c r="W260" i="24" s="1"/>
  <c r="Y260" i="24" s="1"/>
  <c r="Z260" i="24" s="1"/>
  <c r="AB260" i="24" s="1"/>
  <c r="V260" i="24"/>
  <c r="V262" i="24"/>
  <c r="N264" i="24"/>
  <c r="Q264" i="24" s="1"/>
  <c r="W264" i="24" s="1"/>
  <c r="Y264" i="24" s="1"/>
  <c r="Z264" i="24" s="1"/>
  <c r="AB264" i="24" s="1"/>
  <c r="V264" i="24"/>
  <c r="V266" i="24"/>
  <c r="V268" i="24"/>
  <c r="V270" i="24"/>
  <c r="V275" i="24"/>
  <c r="N275" i="24"/>
  <c r="Q275" i="24" s="1"/>
  <c r="W275" i="24" s="1"/>
  <c r="Y275" i="24" s="1"/>
  <c r="Z275" i="24" s="1"/>
  <c r="AB275" i="24" s="1"/>
  <c r="N276" i="24"/>
  <c r="Q276" i="24" s="1"/>
  <c r="W276" i="24" s="1"/>
  <c r="Y276" i="24" s="1"/>
  <c r="Z276" i="24" s="1"/>
  <c r="AB276" i="24" s="1"/>
  <c r="V276" i="24"/>
  <c r="V283" i="24"/>
  <c r="N283" i="24"/>
  <c r="Q283" i="24" s="1"/>
  <c r="W283" i="24" s="1"/>
  <c r="Y283" i="24" s="1"/>
  <c r="Z283" i="24" s="1"/>
  <c r="AB283" i="24" s="1"/>
  <c r="V277" i="24"/>
  <c r="N277" i="24"/>
  <c r="Q277" i="24" s="1"/>
  <c r="W277" i="24" s="1"/>
  <c r="Y277" i="24" s="1"/>
  <c r="Z277" i="24" s="1"/>
  <c r="AB277" i="24" s="1"/>
  <c r="V285" i="24"/>
  <c r="N285" i="24"/>
  <c r="Q285" i="24" s="1"/>
  <c r="W285" i="24" s="1"/>
  <c r="Y285" i="24" s="1"/>
  <c r="Z285" i="24" s="1"/>
  <c r="AB285" i="24" s="1"/>
  <c r="N286" i="24"/>
  <c r="Q286" i="24" s="1"/>
  <c r="W286" i="24" s="1"/>
  <c r="Y286" i="24" s="1"/>
  <c r="Z286" i="24" s="1"/>
  <c r="AB286" i="24" s="1"/>
  <c r="V286" i="24"/>
  <c r="N251" i="24"/>
  <c r="Q251" i="24" s="1"/>
  <c r="W251" i="24" s="1"/>
  <c r="Y251" i="24" s="1"/>
  <c r="Z251" i="24" s="1"/>
  <c r="AB251" i="24" s="1"/>
  <c r="V251" i="24"/>
  <c r="N253" i="24"/>
  <c r="Q253" i="24" s="1"/>
  <c r="W253" i="24" s="1"/>
  <c r="Y253" i="24" s="1"/>
  <c r="Z253" i="24" s="1"/>
  <c r="AB253" i="24" s="1"/>
  <c r="V253" i="24"/>
  <c r="N255" i="24"/>
  <c r="Q255" i="24" s="1"/>
  <c r="W255" i="24" s="1"/>
  <c r="Y255" i="24" s="1"/>
  <c r="Z255" i="24" s="1"/>
  <c r="AB255" i="24" s="1"/>
  <c r="V255" i="24"/>
  <c r="N257" i="24"/>
  <c r="Q257" i="24" s="1"/>
  <c r="W257" i="24" s="1"/>
  <c r="Y257" i="24" s="1"/>
  <c r="Z257" i="24" s="1"/>
  <c r="AB257" i="24" s="1"/>
  <c r="V257" i="24"/>
  <c r="N259" i="24"/>
  <c r="Q259" i="24" s="1"/>
  <c r="W259" i="24" s="1"/>
  <c r="Y259" i="24" s="1"/>
  <c r="Z259" i="24" s="1"/>
  <c r="AB259" i="24" s="1"/>
  <c r="V259" i="24"/>
  <c r="N261" i="24"/>
  <c r="Q261" i="24" s="1"/>
  <c r="W261" i="24" s="1"/>
  <c r="Y261" i="24" s="1"/>
  <c r="Z261" i="24" s="1"/>
  <c r="AB261" i="24" s="1"/>
  <c r="V261" i="24"/>
  <c r="N263" i="24"/>
  <c r="Q263" i="24" s="1"/>
  <c r="W263" i="24" s="1"/>
  <c r="Y263" i="24" s="1"/>
  <c r="Z263" i="24" s="1"/>
  <c r="AB263" i="24" s="1"/>
  <c r="V263" i="24"/>
  <c r="N265" i="24"/>
  <c r="Q265" i="24" s="1"/>
  <c r="W265" i="24" s="1"/>
  <c r="Y265" i="24" s="1"/>
  <c r="Z265" i="24" s="1"/>
  <c r="AB265" i="24" s="1"/>
  <c r="V265" i="24"/>
  <c r="N267" i="24"/>
  <c r="Q267" i="24" s="1"/>
  <c r="W267" i="24" s="1"/>
  <c r="Y267" i="24" s="1"/>
  <c r="Z267" i="24" s="1"/>
  <c r="AB267" i="24" s="1"/>
  <c r="V267" i="24"/>
  <c r="N269" i="24"/>
  <c r="Q269" i="24" s="1"/>
  <c r="W269" i="24" s="1"/>
  <c r="Y269" i="24" s="1"/>
  <c r="Z269" i="24" s="1"/>
  <c r="AB269" i="24" s="1"/>
  <c r="V269" i="24"/>
  <c r="V271" i="24"/>
  <c r="N271" i="24"/>
  <c r="Q271" i="24" s="1"/>
  <c r="W271" i="24" s="1"/>
  <c r="Y271" i="24" s="1"/>
  <c r="Z271" i="24" s="1"/>
  <c r="AB271" i="24" s="1"/>
  <c r="N272" i="24"/>
  <c r="Q272" i="24" s="1"/>
  <c r="W272" i="24" s="1"/>
  <c r="Y272" i="24" s="1"/>
  <c r="Z272" i="24" s="1"/>
  <c r="AB272" i="24" s="1"/>
  <c r="V272" i="24"/>
  <c r="V279" i="24"/>
  <c r="N279" i="24"/>
  <c r="Q279" i="24" s="1"/>
  <c r="W279" i="24" s="1"/>
  <c r="Y279" i="24" s="1"/>
  <c r="Z279" i="24" s="1"/>
  <c r="AB279" i="24" s="1"/>
  <c r="N280" i="24"/>
  <c r="Q280" i="24" s="1"/>
  <c r="W280" i="24" s="1"/>
  <c r="Y280" i="24" s="1"/>
  <c r="Z280" i="24" s="1"/>
  <c r="AB280" i="24" s="1"/>
  <c r="V280" i="24"/>
  <c r="V288" i="24"/>
  <c r="N287" i="24"/>
  <c r="Q287" i="24" s="1"/>
  <c r="W287" i="24" s="1"/>
  <c r="Y287" i="24" s="1"/>
  <c r="Z287" i="24" s="1"/>
  <c r="AB287" i="24" s="1"/>
  <c r="N354" i="24" l="1"/>
  <c r="L354" i="24"/>
  <c r="V354" i="24"/>
  <c r="Q21" i="24"/>
  <c r="A24" i="24"/>
  <c r="Q354" i="24" l="1"/>
  <c r="W21" i="24"/>
  <c r="A25" i="24"/>
  <c r="AC24" i="24"/>
  <c r="W354" i="24" l="1"/>
  <c r="Y21" i="24"/>
  <c r="Y354" i="24" s="1"/>
  <c r="A26" i="24"/>
  <c r="AC25" i="24"/>
  <c r="Z21" i="24" l="1"/>
  <c r="A27" i="24"/>
  <c r="AC26" i="24"/>
  <c r="Z289" i="24" l="1"/>
  <c r="Z355" i="24" s="1"/>
  <c r="A28" i="24"/>
  <c r="AC28" i="24" s="1"/>
  <c r="AB21" i="24"/>
  <c r="A29" i="24"/>
  <c r="AC29" i="24" s="1"/>
  <c r="AC27" i="24"/>
  <c r="AB289" i="24" l="1"/>
  <c r="AB355" i="24" s="1"/>
  <c r="A30" i="24"/>
  <c r="AC30" i="24" l="1"/>
  <c r="A31" i="24"/>
  <c r="AC31" i="24" s="1"/>
  <c r="A32" i="24"/>
  <c r="AC32" i="24" s="1"/>
  <c r="A33" i="24" l="1"/>
  <c r="AC33" i="24" s="1"/>
  <c r="A34" i="24"/>
  <c r="AC34" i="24" l="1"/>
  <c r="A35" i="24"/>
  <c r="AC35" i="24" l="1"/>
  <c r="A36" i="24"/>
  <c r="AC36" i="24" l="1"/>
  <c r="A37" i="24"/>
  <c r="AC37" i="24" l="1"/>
  <c r="A38" i="24"/>
  <c r="AC38" i="24" l="1"/>
  <c r="A39" i="24"/>
  <c r="AC39" i="24" l="1"/>
  <c r="A40" i="24"/>
  <c r="AC40" i="24" l="1"/>
  <c r="A41" i="24"/>
  <c r="AC41" i="24" l="1"/>
  <c r="A42" i="24"/>
  <c r="AC42" i="24" l="1"/>
  <c r="A43" i="24"/>
  <c r="AC43" i="24" l="1"/>
  <c r="A44" i="24"/>
  <c r="AC44" i="24" l="1"/>
  <c r="A45" i="24"/>
  <c r="AC45" i="24" l="1"/>
  <c r="A46" i="24"/>
  <c r="AC46" i="24" l="1"/>
  <c r="A47" i="24"/>
  <c r="AC47" i="24" l="1"/>
  <c r="A48" i="24"/>
  <c r="AC48" i="24" l="1"/>
  <c r="A49" i="24"/>
  <c r="AC49" i="24" l="1"/>
  <c r="A50" i="24"/>
  <c r="AC50" i="24" l="1"/>
  <c r="A51" i="24"/>
  <c r="AC51" i="24" l="1"/>
  <c r="A52" i="24"/>
  <c r="AC52" i="24" l="1"/>
  <c r="A53" i="24"/>
  <c r="AC53" i="24" l="1"/>
  <c r="A54" i="24"/>
  <c r="AC54" i="24" l="1"/>
  <c r="A55" i="24"/>
  <c r="AC55" i="24" l="1"/>
  <c r="A56" i="24"/>
  <c r="AC56" i="24" l="1"/>
  <c r="A57" i="24"/>
  <c r="AC57" i="24" l="1"/>
  <c r="A58" i="24"/>
  <c r="AC58" i="24" l="1"/>
  <c r="A59" i="24"/>
  <c r="AC59" i="24" l="1"/>
  <c r="A60" i="24"/>
  <c r="AC60" i="24" l="1"/>
  <c r="A61" i="24"/>
  <c r="AC61" i="24" l="1"/>
  <c r="A62" i="24"/>
  <c r="AC62" i="24" l="1"/>
  <c r="A63" i="24"/>
  <c r="AC63" i="24" l="1"/>
  <c r="A64" i="24"/>
  <c r="AC64" i="24" l="1"/>
  <c r="A65" i="24"/>
  <c r="S200" i="23"/>
  <c r="Q200" i="23"/>
  <c r="N200" i="23"/>
  <c r="G200" i="23"/>
  <c r="F200" i="23"/>
  <c r="Z199" i="23"/>
  <c r="T199" i="23"/>
  <c r="R199" i="23"/>
  <c r="O199" i="23"/>
  <c r="L199" i="23"/>
  <c r="H199" i="23"/>
  <c r="J199" i="23" s="1"/>
  <c r="K199" i="23" s="1"/>
  <c r="Z198" i="23"/>
  <c r="T198" i="23"/>
  <c r="R198" i="23"/>
  <c r="O198" i="23"/>
  <c r="L198" i="23"/>
  <c r="H198" i="23"/>
  <c r="J198" i="23" s="1"/>
  <c r="K198" i="23" s="1"/>
  <c r="Z197" i="23"/>
  <c r="T197" i="23"/>
  <c r="R197" i="23"/>
  <c r="O197" i="23"/>
  <c r="L197" i="23"/>
  <c r="H197" i="23"/>
  <c r="J197" i="23" s="1"/>
  <c r="K197" i="23" s="1"/>
  <c r="Z196" i="23"/>
  <c r="T196" i="23"/>
  <c r="R196" i="23"/>
  <c r="O196" i="23"/>
  <c r="L196" i="23"/>
  <c r="H196" i="23"/>
  <c r="J196" i="23" s="1"/>
  <c r="K196" i="23" s="1"/>
  <c r="Z195" i="23"/>
  <c r="T195" i="23"/>
  <c r="R195" i="23"/>
  <c r="O195" i="23"/>
  <c r="L195" i="23"/>
  <c r="H195" i="23"/>
  <c r="J195" i="23" s="1"/>
  <c r="K195" i="23" s="1"/>
  <c r="T194" i="23"/>
  <c r="R194" i="23"/>
  <c r="O194" i="23"/>
  <c r="L194" i="23"/>
  <c r="H194" i="23"/>
  <c r="J194" i="23" s="1"/>
  <c r="K194" i="23" s="1"/>
  <c r="Z193" i="23"/>
  <c r="T193" i="23"/>
  <c r="R193" i="23"/>
  <c r="O193" i="23"/>
  <c r="L193" i="23"/>
  <c r="H193" i="23"/>
  <c r="J193" i="23" s="1"/>
  <c r="K193" i="23" s="1"/>
  <c r="Z192" i="23"/>
  <c r="T192" i="23"/>
  <c r="R192" i="23"/>
  <c r="O192" i="23"/>
  <c r="L192" i="23"/>
  <c r="H192" i="23"/>
  <c r="J192" i="23" s="1"/>
  <c r="K192" i="23" s="1"/>
  <c r="Z191" i="23"/>
  <c r="T191" i="23"/>
  <c r="R191" i="23"/>
  <c r="O191" i="23"/>
  <c r="L191" i="23"/>
  <c r="H191" i="23"/>
  <c r="J191" i="23" s="1"/>
  <c r="K191" i="23" s="1"/>
  <c r="Z190" i="23"/>
  <c r="T190" i="23"/>
  <c r="R190" i="23"/>
  <c r="O190" i="23"/>
  <c r="L190" i="23"/>
  <c r="H190" i="23"/>
  <c r="J190" i="23" s="1"/>
  <c r="K190" i="23" s="1"/>
  <c r="Z189" i="23"/>
  <c r="T189" i="23"/>
  <c r="R189" i="23"/>
  <c r="O189" i="23"/>
  <c r="L189" i="23"/>
  <c r="H189" i="23"/>
  <c r="J189" i="23" s="1"/>
  <c r="K189" i="23" s="1"/>
  <c r="Z188" i="23"/>
  <c r="T188" i="23"/>
  <c r="R188" i="23"/>
  <c r="O188" i="23"/>
  <c r="L188" i="23"/>
  <c r="H188" i="23"/>
  <c r="J188" i="23" s="1"/>
  <c r="K188" i="23" s="1"/>
  <c r="Z187" i="23"/>
  <c r="T187" i="23"/>
  <c r="R187" i="23"/>
  <c r="O187" i="23"/>
  <c r="L187" i="23"/>
  <c r="H187" i="23"/>
  <c r="J187" i="23" s="1"/>
  <c r="K187" i="23" s="1"/>
  <c r="Z186" i="23"/>
  <c r="T186" i="23"/>
  <c r="R186" i="23"/>
  <c r="O186" i="23"/>
  <c r="L186" i="23"/>
  <c r="H186" i="23"/>
  <c r="J186" i="23" s="1"/>
  <c r="K186" i="23" s="1"/>
  <c r="Z185" i="23"/>
  <c r="T185" i="23"/>
  <c r="R185" i="23"/>
  <c r="O185" i="23"/>
  <c r="L185" i="23"/>
  <c r="H185" i="23"/>
  <c r="J185" i="23" s="1"/>
  <c r="K185" i="23" s="1"/>
  <c r="Z184" i="23"/>
  <c r="T184" i="23"/>
  <c r="R184" i="23"/>
  <c r="O184" i="23"/>
  <c r="L184" i="23"/>
  <c r="H184" i="23"/>
  <c r="J184" i="23" s="1"/>
  <c r="K184" i="23" s="1"/>
  <c r="Z183" i="23"/>
  <c r="T183" i="23"/>
  <c r="R183" i="23"/>
  <c r="O183" i="23"/>
  <c r="L183" i="23"/>
  <c r="H183" i="23"/>
  <c r="J183" i="23" s="1"/>
  <c r="K183" i="23" s="1"/>
  <c r="Z182" i="23"/>
  <c r="T182" i="23"/>
  <c r="R182" i="23"/>
  <c r="O182" i="23"/>
  <c r="L182" i="23"/>
  <c r="H182" i="23"/>
  <c r="J182" i="23" s="1"/>
  <c r="K182" i="23" s="1"/>
  <c r="Z181" i="23"/>
  <c r="T181" i="23"/>
  <c r="R181" i="23"/>
  <c r="O181" i="23"/>
  <c r="L181" i="23"/>
  <c r="H181" i="23"/>
  <c r="J181" i="23" s="1"/>
  <c r="K181" i="23" s="1"/>
  <c r="Z180" i="23"/>
  <c r="T180" i="23"/>
  <c r="R180" i="23"/>
  <c r="O180" i="23"/>
  <c r="L180" i="23"/>
  <c r="H180" i="23"/>
  <c r="J180" i="23" s="1"/>
  <c r="K180" i="23" s="1"/>
  <c r="Z179" i="23"/>
  <c r="T179" i="23"/>
  <c r="R179" i="23"/>
  <c r="O179" i="23"/>
  <c r="L179" i="23"/>
  <c r="H179" i="23"/>
  <c r="J179" i="23" s="1"/>
  <c r="K179" i="23" s="1"/>
  <c r="Z178" i="23"/>
  <c r="T178" i="23"/>
  <c r="R178" i="23"/>
  <c r="O178" i="23"/>
  <c r="L178" i="23"/>
  <c r="H178" i="23"/>
  <c r="J178" i="23" s="1"/>
  <c r="K178" i="23" s="1"/>
  <c r="Z177" i="23"/>
  <c r="T177" i="23"/>
  <c r="R177" i="23"/>
  <c r="O177" i="23"/>
  <c r="L177" i="23"/>
  <c r="H177" i="23"/>
  <c r="J177" i="23" s="1"/>
  <c r="K177" i="23" s="1"/>
  <c r="Z176" i="23"/>
  <c r="T176" i="23"/>
  <c r="R176" i="23"/>
  <c r="O176" i="23"/>
  <c r="L176" i="23"/>
  <c r="H176" i="23"/>
  <c r="J176" i="23" s="1"/>
  <c r="K176" i="23" s="1"/>
  <c r="Z175" i="23"/>
  <c r="T175" i="23"/>
  <c r="R175" i="23"/>
  <c r="O175" i="23"/>
  <c r="L175" i="23"/>
  <c r="H175" i="23"/>
  <c r="J175" i="23" s="1"/>
  <c r="K175" i="23" s="1"/>
  <c r="Z174" i="23"/>
  <c r="T174" i="23"/>
  <c r="R174" i="23"/>
  <c r="O174" i="23"/>
  <c r="L174" i="23"/>
  <c r="H174" i="23"/>
  <c r="J174" i="23" s="1"/>
  <c r="K174" i="23" s="1"/>
  <c r="Z173" i="23"/>
  <c r="T173" i="23"/>
  <c r="R173" i="23"/>
  <c r="O173" i="23"/>
  <c r="L173" i="23"/>
  <c r="H173" i="23"/>
  <c r="J173" i="23" s="1"/>
  <c r="K173" i="23" s="1"/>
  <c r="Z172" i="23"/>
  <c r="T172" i="23"/>
  <c r="R172" i="23"/>
  <c r="O172" i="23"/>
  <c r="L172" i="23"/>
  <c r="H172" i="23"/>
  <c r="J172" i="23" s="1"/>
  <c r="K172" i="23" s="1"/>
  <c r="Z171" i="23"/>
  <c r="T171" i="23"/>
  <c r="R171" i="23"/>
  <c r="O171" i="23"/>
  <c r="L171" i="23"/>
  <c r="H171" i="23"/>
  <c r="J171" i="23" s="1"/>
  <c r="K171" i="23" s="1"/>
  <c r="Z170" i="23"/>
  <c r="T170" i="23"/>
  <c r="R170" i="23"/>
  <c r="O170" i="23"/>
  <c r="L170" i="23"/>
  <c r="H170" i="23"/>
  <c r="J170" i="23" s="1"/>
  <c r="K170" i="23" s="1"/>
  <c r="Z169" i="23"/>
  <c r="T169" i="23"/>
  <c r="R169" i="23"/>
  <c r="O169" i="23"/>
  <c r="L169" i="23"/>
  <c r="H169" i="23"/>
  <c r="J169" i="23" s="1"/>
  <c r="Z168" i="23"/>
  <c r="T168" i="23"/>
  <c r="R168" i="23"/>
  <c r="O168" i="23"/>
  <c r="L168" i="23"/>
  <c r="H168" i="23"/>
  <c r="J168" i="23" s="1"/>
  <c r="K168" i="23" s="1"/>
  <c r="Z167" i="23"/>
  <c r="T167" i="23"/>
  <c r="R167" i="23"/>
  <c r="O167" i="23"/>
  <c r="L167" i="23"/>
  <c r="H167" i="23"/>
  <c r="J167" i="23" s="1"/>
  <c r="Z166" i="23"/>
  <c r="T166" i="23"/>
  <c r="R166" i="23"/>
  <c r="O166" i="23"/>
  <c r="L166" i="23"/>
  <c r="H166" i="23"/>
  <c r="J166" i="23" s="1"/>
  <c r="K166" i="23" s="1"/>
  <c r="Z165" i="23"/>
  <c r="T165" i="23"/>
  <c r="R165" i="23"/>
  <c r="O165" i="23"/>
  <c r="L165" i="23"/>
  <c r="H165" i="23"/>
  <c r="J165" i="23" s="1"/>
  <c r="Z164" i="23"/>
  <c r="T164" i="23"/>
  <c r="R164" i="23"/>
  <c r="O164" i="23"/>
  <c r="L164" i="23"/>
  <c r="H164" i="23"/>
  <c r="J164" i="23" s="1"/>
  <c r="K164" i="23" s="1"/>
  <c r="Z163" i="23"/>
  <c r="T163" i="23"/>
  <c r="R163" i="23"/>
  <c r="O163" i="23"/>
  <c r="L163" i="23"/>
  <c r="H163" i="23"/>
  <c r="J163" i="23" s="1"/>
  <c r="Z162" i="23"/>
  <c r="T162" i="23"/>
  <c r="R162" i="23"/>
  <c r="O162" i="23"/>
  <c r="L162" i="23"/>
  <c r="H162" i="23"/>
  <c r="J162" i="23" s="1"/>
  <c r="K162" i="23" s="1"/>
  <c r="Z161" i="23"/>
  <c r="T161" i="23"/>
  <c r="R161" i="23"/>
  <c r="O161" i="23"/>
  <c r="L161" i="23"/>
  <c r="H161" i="23"/>
  <c r="J161" i="23" s="1"/>
  <c r="Z160" i="23"/>
  <c r="T160" i="23"/>
  <c r="R160" i="23"/>
  <c r="O160" i="23"/>
  <c r="L160" i="23"/>
  <c r="H160" i="23"/>
  <c r="J160" i="23" s="1"/>
  <c r="K160" i="23" s="1"/>
  <c r="Z159" i="23"/>
  <c r="T159" i="23"/>
  <c r="R159" i="23"/>
  <c r="O159" i="23"/>
  <c r="L159" i="23"/>
  <c r="H159" i="23"/>
  <c r="J159" i="23" s="1"/>
  <c r="K159" i="23" s="1"/>
  <c r="Z158" i="23"/>
  <c r="T158" i="23"/>
  <c r="R158" i="23"/>
  <c r="O158" i="23"/>
  <c r="L158" i="23"/>
  <c r="H158" i="23"/>
  <c r="J158" i="23" s="1"/>
  <c r="K158" i="23" s="1"/>
  <c r="Z157" i="23"/>
  <c r="T157" i="23"/>
  <c r="R157" i="23"/>
  <c r="O157" i="23"/>
  <c r="L157" i="23"/>
  <c r="H157" i="23"/>
  <c r="J157" i="23" s="1"/>
  <c r="K157" i="23" s="1"/>
  <c r="Z156" i="23"/>
  <c r="T156" i="23"/>
  <c r="R156" i="23"/>
  <c r="O156" i="23"/>
  <c r="L156" i="23"/>
  <c r="H156" i="23"/>
  <c r="J156" i="23" s="1"/>
  <c r="K156" i="23" s="1"/>
  <c r="Z155" i="23"/>
  <c r="T155" i="23"/>
  <c r="R155" i="23"/>
  <c r="O155" i="23"/>
  <c r="L155" i="23"/>
  <c r="H155" i="23"/>
  <c r="J155" i="23" s="1"/>
  <c r="K155" i="23" s="1"/>
  <c r="Z154" i="23"/>
  <c r="T154" i="23"/>
  <c r="R154" i="23"/>
  <c r="O154" i="23"/>
  <c r="L154" i="23"/>
  <c r="H154" i="23"/>
  <c r="J154" i="23" s="1"/>
  <c r="K154" i="23" s="1"/>
  <c r="Z153" i="23"/>
  <c r="T153" i="23"/>
  <c r="R153" i="23"/>
  <c r="O153" i="23"/>
  <c r="L153" i="23"/>
  <c r="H153" i="23"/>
  <c r="J153" i="23" s="1"/>
  <c r="K153" i="23" s="1"/>
  <c r="Z152" i="23"/>
  <c r="T152" i="23"/>
  <c r="R152" i="23"/>
  <c r="O152" i="23"/>
  <c r="L152" i="23"/>
  <c r="H152" i="23"/>
  <c r="J152" i="23" s="1"/>
  <c r="K152" i="23" s="1"/>
  <c r="Z151" i="23"/>
  <c r="T151" i="23"/>
  <c r="R151" i="23"/>
  <c r="O151" i="23"/>
  <c r="L151" i="23"/>
  <c r="H151" i="23"/>
  <c r="J151" i="23" s="1"/>
  <c r="K151" i="23" s="1"/>
  <c r="Z150" i="23"/>
  <c r="T150" i="23"/>
  <c r="R150" i="23"/>
  <c r="O150" i="23"/>
  <c r="L150" i="23"/>
  <c r="H150" i="23"/>
  <c r="J150" i="23" s="1"/>
  <c r="K150" i="23" s="1"/>
  <c r="Z149" i="23"/>
  <c r="T149" i="23"/>
  <c r="R149" i="23"/>
  <c r="O149" i="23"/>
  <c r="L149" i="23"/>
  <c r="H149" i="23"/>
  <c r="J149" i="23" s="1"/>
  <c r="K149" i="23" s="1"/>
  <c r="Z148" i="23"/>
  <c r="T148" i="23"/>
  <c r="R148" i="23"/>
  <c r="O148" i="23"/>
  <c r="L148" i="23"/>
  <c r="H148" i="23"/>
  <c r="J148" i="23" s="1"/>
  <c r="K148" i="23" s="1"/>
  <c r="Z147" i="23"/>
  <c r="T147" i="23"/>
  <c r="R147" i="23"/>
  <c r="O147" i="23"/>
  <c r="L147" i="23"/>
  <c r="H147" i="23"/>
  <c r="J147" i="23" s="1"/>
  <c r="K147" i="23" s="1"/>
  <c r="Z146" i="23"/>
  <c r="T146" i="23"/>
  <c r="R146" i="23"/>
  <c r="O146" i="23"/>
  <c r="L146" i="23"/>
  <c r="H146" i="23"/>
  <c r="J146" i="23" s="1"/>
  <c r="K146" i="23" s="1"/>
  <c r="Z145" i="23"/>
  <c r="T145" i="23"/>
  <c r="R145" i="23"/>
  <c r="O145" i="23"/>
  <c r="L145" i="23"/>
  <c r="H145" i="23"/>
  <c r="J145" i="23" s="1"/>
  <c r="K145" i="23" s="1"/>
  <c r="Z144" i="23"/>
  <c r="T144" i="23"/>
  <c r="R144" i="23"/>
  <c r="O144" i="23"/>
  <c r="L144" i="23"/>
  <c r="H144" i="23"/>
  <c r="J144" i="23" s="1"/>
  <c r="K144" i="23" s="1"/>
  <c r="Z143" i="23"/>
  <c r="T143" i="23"/>
  <c r="R143" i="23"/>
  <c r="O143" i="23"/>
  <c r="L143" i="23"/>
  <c r="H143" i="23"/>
  <c r="J143" i="23" s="1"/>
  <c r="K143" i="23" s="1"/>
  <c r="Z142" i="23"/>
  <c r="T142" i="23"/>
  <c r="R142" i="23"/>
  <c r="O142" i="23"/>
  <c r="L142" i="23"/>
  <c r="H142" i="23"/>
  <c r="J142" i="23" s="1"/>
  <c r="K142" i="23" s="1"/>
  <c r="Z141" i="23"/>
  <c r="T141" i="23"/>
  <c r="R141" i="23"/>
  <c r="O141" i="23"/>
  <c r="L141" i="23"/>
  <c r="H141" i="23"/>
  <c r="J141" i="23" s="1"/>
  <c r="K141" i="23" s="1"/>
  <c r="Z140" i="23"/>
  <c r="T140" i="23"/>
  <c r="R140" i="23"/>
  <c r="O140" i="23"/>
  <c r="L140" i="23"/>
  <c r="H140" i="23"/>
  <c r="J140" i="23" s="1"/>
  <c r="K140" i="23" s="1"/>
  <c r="Z139" i="23"/>
  <c r="T139" i="23"/>
  <c r="R139" i="23"/>
  <c r="O139" i="23"/>
  <c r="L139" i="23"/>
  <c r="H139" i="23"/>
  <c r="J139" i="23" s="1"/>
  <c r="K139" i="23" s="1"/>
  <c r="Z138" i="23"/>
  <c r="T138" i="23"/>
  <c r="R138" i="23"/>
  <c r="O138" i="23"/>
  <c r="L138" i="23"/>
  <c r="H138" i="23"/>
  <c r="J138" i="23" s="1"/>
  <c r="K138" i="23" s="1"/>
  <c r="Z137" i="23"/>
  <c r="T137" i="23"/>
  <c r="R137" i="23"/>
  <c r="O137" i="23"/>
  <c r="L137" i="23"/>
  <c r="I137" i="23"/>
  <c r="H137" i="23"/>
  <c r="Z136" i="23"/>
  <c r="T136" i="23"/>
  <c r="R136" i="23"/>
  <c r="O136" i="23"/>
  <c r="L136" i="23"/>
  <c r="H136" i="23"/>
  <c r="J136" i="23" s="1"/>
  <c r="K136" i="23" s="1"/>
  <c r="Z135" i="23"/>
  <c r="T135" i="23"/>
  <c r="R135" i="23"/>
  <c r="O135" i="23"/>
  <c r="L135" i="23"/>
  <c r="H135" i="23"/>
  <c r="J135" i="23" s="1"/>
  <c r="K135" i="23" s="1"/>
  <c r="Z134" i="23"/>
  <c r="T134" i="23"/>
  <c r="R134" i="23"/>
  <c r="O134" i="23"/>
  <c r="L134" i="23"/>
  <c r="H134" i="23"/>
  <c r="J134" i="23" s="1"/>
  <c r="Z133" i="23"/>
  <c r="T133" i="23"/>
  <c r="R133" i="23"/>
  <c r="O133" i="23"/>
  <c r="L133" i="23"/>
  <c r="H133" i="23"/>
  <c r="J133" i="23" s="1"/>
  <c r="K133" i="23" s="1"/>
  <c r="Z132" i="23"/>
  <c r="T132" i="23"/>
  <c r="R132" i="23"/>
  <c r="O132" i="23"/>
  <c r="L132" i="23"/>
  <c r="H132" i="23"/>
  <c r="J132" i="23" s="1"/>
  <c r="K132" i="23" s="1"/>
  <c r="Z131" i="23"/>
  <c r="T131" i="23"/>
  <c r="R131" i="23"/>
  <c r="O131" i="23"/>
  <c r="L131" i="23"/>
  <c r="H131" i="23"/>
  <c r="J131" i="23" s="1"/>
  <c r="K131" i="23" s="1"/>
  <c r="Z130" i="23"/>
  <c r="T130" i="23"/>
  <c r="R130" i="23"/>
  <c r="O130" i="23"/>
  <c r="L130" i="23"/>
  <c r="H130" i="23"/>
  <c r="J130" i="23" s="1"/>
  <c r="K130" i="23" s="1"/>
  <c r="Z129" i="23"/>
  <c r="T129" i="23"/>
  <c r="R129" i="23"/>
  <c r="O129" i="23"/>
  <c r="L129" i="23"/>
  <c r="H129" i="23"/>
  <c r="J129" i="23" s="1"/>
  <c r="K129" i="23" s="1"/>
  <c r="Z128" i="23"/>
  <c r="T128" i="23"/>
  <c r="R128" i="23"/>
  <c r="O128" i="23"/>
  <c r="L128" i="23"/>
  <c r="H128" i="23"/>
  <c r="J128" i="23" s="1"/>
  <c r="K128" i="23" s="1"/>
  <c r="Z127" i="23"/>
  <c r="T127" i="23"/>
  <c r="R127" i="23"/>
  <c r="O127" i="23"/>
  <c r="L127" i="23"/>
  <c r="H127" i="23"/>
  <c r="J127" i="23" s="1"/>
  <c r="K127" i="23" s="1"/>
  <c r="Z126" i="23"/>
  <c r="T126" i="23"/>
  <c r="R126" i="23"/>
  <c r="O126" i="23"/>
  <c r="L126" i="23"/>
  <c r="H126" i="23"/>
  <c r="J126" i="23" s="1"/>
  <c r="K126" i="23" s="1"/>
  <c r="Z125" i="23"/>
  <c r="T125" i="23"/>
  <c r="R125" i="23"/>
  <c r="O125" i="23"/>
  <c r="L125" i="23"/>
  <c r="H125" i="23"/>
  <c r="J125" i="23" s="1"/>
  <c r="K125" i="23" s="1"/>
  <c r="Z124" i="23"/>
  <c r="T124" i="23"/>
  <c r="R124" i="23"/>
  <c r="O124" i="23"/>
  <c r="L124" i="23"/>
  <c r="H124" i="23"/>
  <c r="J124" i="23" s="1"/>
  <c r="K124" i="23" s="1"/>
  <c r="Z123" i="23"/>
  <c r="T123" i="23"/>
  <c r="R123" i="23"/>
  <c r="O123" i="23"/>
  <c r="L123" i="23"/>
  <c r="H123" i="23"/>
  <c r="J123" i="23" s="1"/>
  <c r="K123" i="23" s="1"/>
  <c r="Z122" i="23"/>
  <c r="T122" i="23"/>
  <c r="R122" i="23"/>
  <c r="O122" i="23"/>
  <c r="L122" i="23"/>
  <c r="H122" i="23"/>
  <c r="J122" i="23" s="1"/>
  <c r="K122" i="23" s="1"/>
  <c r="T121" i="23"/>
  <c r="R121" i="23"/>
  <c r="O121" i="23"/>
  <c r="L121" i="23"/>
  <c r="H121" i="23"/>
  <c r="J121" i="23" s="1"/>
  <c r="K121" i="23" s="1"/>
  <c r="Z120" i="23"/>
  <c r="T120" i="23"/>
  <c r="R120" i="23"/>
  <c r="O120" i="23"/>
  <c r="L120" i="23"/>
  <c r="H120" i="23"/>
  <c r="J120" i="23" s="1"/>
  <c r="K120" i="23" s="1"/>
  <c r="Z119" i="23"/>
  <c r="T119" i="23"/>
  <c r="R119" i="23"/>
  <c r="O119" i="23"/>
  <c r="L119" i="23"/>
  <c r="H119" i="23"/>
  <c r="J119" i="23" s="1"/>
  <c r="K119" i="23" s="1"/>
  <c r="Z118" i="23"/>
  <c r="T118" i="23"/>
  <c r="R118" i="23"/>
  <c r="O118" i="23"/>
  <c r="L118" i="23"/>
  <c r="H118" i="23"/>
  <c r="J118" i="23" s="1"/>
  <c r="K118" i="23" s="1"/>
  <c r="Z117" i="23"/>
  <c r="T117" i="23"/>
  <c r="R117" i="23"/>
  <c r="O117" i="23"/>
  <c r="L117" i="23"/>
  <c r="H117" i="23"/>
  <c r="J117" i="23" s="1"/>
  <c r="K117" i="23" s="1"/>
  <c r="Z116" i="23"/>
  <c r="T116" i="23"/>
  <c r="R116" i="23"/>
  <c r="O116" i="23"/>
  <c r="L116" i="23"/>
  <c r="H116" i="23"/>
  <c r="J116" i="23" s="1"/>
  <c r="K116" i="23" s="1"/>
  <c r="Z115" i="23"/>
  <c r="T115" i="23"/>
  <c r="R115" i="23"/>
  <c r="O115" i="23"/>
  <c r="L115" i="23"/>
  <c r="H115" i="23"/>
  <c r="J115" i="23" s="1"/>
  <c r="K115" i="23" s="1"/>
  <c r="Z114" i="23"/>
  <c r="T114" i="23"/>
  <c r="R114" i="23"/>
  <c r="O114" i="23"/>
  <c r="L114" i="23"/>
  <c r="H114" i="23"/>
  <c r="J114" i="23" s="1"/>
  <c r="K114" i="23" s="1"/>
  <c r="Z113" i="23"/>
  <c r="T113" i="23"/>
  <c r="R113" i="23"/>
  <c r="O113" i="23"/>
  <c r="L113" i="23"/>
  <c r="I113" i="23"/>
  <c r="H113" i="23"/>
  <c r="Z112" i="23"/>
  <c r="T112" i="23"/>
  <c r="R112" i="23"/>
  <c r="O112" i="23"/>
  <c r="L112" i="23"/>
  <c r="H112" i="23"/>
  <c r="J112" i="23" s="1"/>
  <c r="K112" i="23" s="1"/>
  <c r="Z111" i="23"/>
  <c r="T111" i="23"/>
  <c r="R111" i="23"/>
  <c r="O111" i="23"/>
  <c r="L111" i="23"/>
  <c r="H111" i="23"/>
  <c r="J111" i="23" s="1"/>
  <c r="Z110" i="23"/>
  <c r="T110" i="23"/>
  <c r="R110" i="23"/>
  <c r="O110" i="23"/>
  <c r="L110" i="23"/>
  <c r="H110" i="23"/>
  <c r="J110" i="23" s="1"/>
  <c r="K110" i="23" s="1"/>
  <c r="Z109" i="23"/>
  <c r="T109" i="23"/>
  <c r="R109" i="23"/>
  <c r="O109" i="23"/>
  <c r="L109" i="23"/>
  <c r="H109" i="23"/>
  <c r="J109" i="23" s="1"/>
  <c r="K109" i="23" s="1"/>
  <c r="Z108" i="23"/>
  <c r="T108" i="23"/>
  <c r="R108" i="23"/>
  <c r="O108" i="23"/>
  <c r="L108" i="23"/>
  <c r="H108" i="23"/>
  <c r="J108" i="23" s="1"/>
  <c r="K108" i="23" s="1"/>
  <c r="Z107" i="23"/>
  <c r="T107" i="23"/>
  <c r="R107" i="23"/>
  <c r="O107" i="23"/>
  <c r="L107" i="23"/>
  <c r="H107" i="23"/>
  <c r="J107" i="23" s="1"/>
  <c r="K107" i="23" s="1"/>
  <c r="AD106" i="23"/>
  <c r="Z106" i="23"/>
  <c r="T106" i="23"/>
  <c r="R106" i="23"/>
  <c r="O106" i="23"/>
  <c r="L106" i="23"/>
  <c r="H106" i="23"/>
  <c r="J106" i="23" s="1"/>
  <c r="T105" i="23"/>
  <c r="R105" i="23"/>
  <c r="O105" i="23"/>
  <c r="L105" i="23"/>
  <c r="H105" i="23"/>
  <c r="J105" i="23" s="1"/>
  <c r="K105" i="23" s="1"/>
  <c r="Z104" i="23"/>
  <c r="T104" i="23"/>
  <c r="R104" i="23"/>
  <c r="O104" i="23"/>
  <c r="L104" i="23"/>
  <c r="H104" i="23"/>
  <c r="J104" i="23" s="1"/>
  <c r="K104" i="23" s="1"/>
  <c r="Z103" i="23"/>
  <c r="T103" i="23"/>
  <c r="R103" i="23"/>
  <c r="O103" i="23"/>
  <c r="L103" i="23"/>
  <c r="H103" i="23"/>
  <c r="J103" i="23" s="1"/>
  <c r="K103" i="23" s="1"/>
  <c r="Z102" i="23"/>
  <c r="T102" i="23"/>
  <c r="R102" i="23"/>
  <c r="O102" i="23"/>
  <c r="L102" i="23"/>
  <c r="H102" i="23"/>
  <c r="J102" i="23" s="1"/>
  <c r="K102" i="23" s="1"/>
  <c r="Z101" i="23"/>
  <c r="T101" i="23"/>
  <c r="R101" i="23"/>
  <c r="O101" i="23"/>
  <c r="L101" i="23"/>
  <c r="H101" i="23"/>
  <c r="J101" i="23" s="1"/>
  <c r="K101" i="23" s="1"/>
  <c r="Z100" i="23"/>
  <c r="T100" i="23"/>
  <c r="R100" i="23"/>
  <c r="O100" i="23"/>
  <c r="L100" i="23"/>
  <c r="H100" i="23"/>
  <c r="J100" i="23" s="1"/>
  <c r="K100" i="23" s="1"/>
  <c r="Z99" i="23"/>
  <c r="T99" i="23"/>
  <c r="R99" i="23"/>
  <c r="O99" i="23"/>
  <c r="L99" i="23"/>
  <c r="H99" i="23"/>
  <c r="J99" i="23" s="1"/>
  <c r="K99" i="23" s="1"/>
  <c r="Z98" i="23"/>
  <c r="T98" i="23"/>
  <c r="R98" i="23"/>
  <c r="O98" i="23"/>
  <c r="L98" i="23"/>
  <c r="H98" i="23"/>
  <c r="J98" i="23" s="1"/>
  <c r="K98" i="23" s="1"/>
  <c r="Z97" i="23"/>
  <c r="T97" i="23"/>
  <c r="R97" i="23"/>
  <c r="O97" i="23"/>
  <c r="L97" i="23"/>
  <c r="H97" i="23"/>
  <c r="J97" i="23" s="1"/>
  <c r="K97" i="23" s="1"/>
  <c r="Z96" i="23"/>
  <c r="T96" i="23"/>
  <c r="R96" i="23"/>
  <c r="O96" i="23"/>
  <c r="L96" i="23"/>
  <c r="H96" i="23"/>
  <c r="J96" i="23" s="1"/>
  <c r="K96" i="23" s="1"/>
  <c r="Z95" i="23"/>
  <c r="T95" i="23"/>
  <c r="R95" i="23"/>
  <c r="O95" i="23"/>
  <c r="L95" i="23"/>
  <c r="H95" i="23"/>
  <c r="J95" i="23" s="1"/>
  <c r="K95" i="23" s="1"/>
  <c r="Z94" i="23"/>
  <c r="T94" i="23"/>
  <c r="R94" i="23"/>
  <c r="O94" i="23"/>
  <c r="L94" i="23"/>
  <c r="H94" i="23"/>
  <c r="J94" i="23" s="1"/>
  <c r="K94" i="23" s="1"/>
  <c r="Z93" i="23"/>
  <c r="T93" i="23"/>
  <c r="R93" i="23"/>
  <c r="O93" i="23"/>
  <c r="L93" i="23"/>
  <c r="H93" i="23"/>
  <c r="J93" i="23" s="1"/>
  <c r="K93" i="23" s="1"/>
  <c r="Z92" i="23"/>
  <c r="T92" i="23"/>
  <c r="R92" i="23"/>
  <c r="O92" i="23"/>
  <c r="L92" i="23"/>
  <c r="H92" i="23"/>
  <c r="J92" i="23" s="1"/>
  <c r="K92" i="23" s="1"/>
  <c r="Z91" i="23"/>
  <c r="T91" i="23"/>
  <c r="R91" i="23"/>
  <c r="O91" i="23"/>
  <c r="L91" i="23"/>
  <c r="H91" i="23"/>
  <c r="J91" i="23" s="1"/>
  <c r="K91" i="23" s="1"/>
  <c r="Z90" i="23"/>
  <c r="T90" i="23"/>
  <c r="R90" i="23"/>
  <c r="O90" i="23"/>
  <c r="L90" i="23"/>
  <c r="H90" i="23"/>
  <c r="J90" i="23" s="1"/>
  <c r="K90" i="23" s="1"/>
  <c r="Z89" i="23"/>
  <c r="T89" i="23"/>
  <c r="R89" i="23"/>
  <c r="O89" i="23"/>
  <c r="L89" i="23"/>
  <c r="H89" i="23"/>
  <c r="J89" i="23" s="1"/>
  <c r="K89" i="23" s="1"/>
  <c r="Z88" i="23"/>
  <c r="T88" i="23"/>
  <c r="R88" i="23"/>
  <c r="O88" i="23"/>
  <c r="L88" i="23"/>
  <c r="H88" i="23"/>
  <c r="J88" i="23" s="1"/>
  <c r="K88" i="23" s="1"/>
  <c r="Z87" i="23"/>
  <c r="T87" i="23"/>
  <c r="R87" i="23"/>
  <c r="O87" i="23"/>
  <c r="L87" i="23"/>
  <c r="H87" i="23"/>
  <c r="J87" i="23" s="1"/>
  <c r="K87" i="23" s="1"/>
  <c r="Z86" i="23"/>
  <c r="T86" i="23"/>
  <c r="R86" i="23"/>
  <c r="O86" i="23"/>
  <c r="L86" i="23"/>
  <c r="H86" i="23"/>
  <c r="J86" i="23" s="1"/>
  <c r="K86" i="23" s="1"/>
  <c r="Z85" i="23"/>
  <c r="T85" i="23"/>
  <c r="R85" i="23"/>
  <c r="O85" i="23"/>
  <c r="L85" i="23"/>
  <c r="H85" i="23"/>
  <c r="J85" i="23" s="1"/>
  <c r="K85" i="23" s="1"/>
  <c r="Z84" i="23"/>
  <c r="T84" i="23"/>
  <c r="R84" i="23"/>
  <c r="O84" i="23"/>
  <c r="L84" i="23"/>
  <c r="H84" i="23"/>
  <c r="J84" i="23" s="1"/>
  <c r="K84" i="23" s="1"/>
  <c r="Z83" i="23"/>
  <c r="T83" i="23"/>
  <c r="R83" i="23"/>
  <c r="O83" i="23"/>
  <c r="L83" i="23"/>
  <c r="H83" i="23"/>
  <c r="J83" i="23" s="1"/>
  <c r="K83" i="23" s="1"/>
  <c r="Z82" i="23"/>
  <c r="T82" i="23"/>
  <c r="R82" i="23"/>
  <c r="O82" i="23"/>
  <c r="L82" i="23"/>
  <c r="H82" i="23"/>
  <c r="J82" i="23" s="1"/>
  <c r="K82" i="23" s="1"/>
  <c r="Z81" i="23"/>
  <c r="T81" i="23"/>
  <c r="R81" i="23"/>
  <c r="O81" i="23"/>
  <c r="L81" i="23"/>
  <c r="H81" i="23"/>
  <c r="J81" i="23" s="1"/>
  <c r="K81" i="23" s="1"/>
  <c r="Z80" i="23"/>
  <c r="T80" i="23"/>
  <c r="R80" i="23"/>
  <c r="O80" i="23"/>
  <c r="L80" i="23"/>
  <c r="H80" i="23"/>
  <c r="J80" i="23" s="1"/>
  <c r="K80" i="23" s="1"/>
  <c r="Z79" i="23"/>
  <c r="T79" i="23"/>
  <c r="R79" i="23"/>
  <c r="O79" i="23"/>
  <c r="L79" i="23"/>
  <c r="H79" i="23"/>
  <c r="J79" i="23" s="1"/>
  <c r="K79" i="23" s="1"/>
  <c r="Z78" i="23"/>
  <c r="T78" i="23"/>
  <c r="R78" i="23"/>
  <c r="O78" i="23"/>
  <c r="L78" i="23"/>
  <c r="H78" i="23"/>
  <c r="J78" i="23" s="1"/>
  <c r="K78" i="23" s="1"/>
  <c r="Z77" i="23"/>
  <c r="T77" i="23"/>
  <c r="R77" i="23"/>
  <c r="O77" i="23"/>
  <c r="L77" i="23"/>
  <c r="H77" i="23"/>
  <c r="J77" i="23" s="1"/>
  <c r="K77" i="23" s="1"/>
  <c r="Z76" i="23"/>
  <c r="T76" i="23"/>
  <c r="R76" i="23"/>
  <c r="O76" i="23"/>
  <c r="L76" i="23"/>
  <c r="H76" i="23"/>
  <c r="J76" i="23" s="1"/>
  <c r="K76" i="23" s="1"/>
  <c r="Z75" i="23"/>
  <c r="T75" i="23"/>
  <c r="R75" i="23"/>
  <c r="O75" i="23"/>
  <c r="L75" i="23"/>
  <c r="H75" i="23"/>
  <c r="J75" i="23" s="1"/>
  <c r="K75" i="23" s="1"/>
  <c r="Z74" i="23"/>
  <c r="T74" i="23"/>
  <c r="R74" i="23"/>
  <c r="O74" i="23"/>
  <c r="L74" i="23"/>
  <c r="H74" i="23"/>
  <c r="J74" i="23" s="1"/>
  <c r="K74" i="23" s="1"/>
  <c r="T73" i="23"/>
  <c r="R73" i="23"/>
  <c r="O73" i="23"/>
  <c r="L73" i="23"/>
  <c r="K73" i="23"/>
  <c r="Z72" i="23"/>
  <c r="T72" i="23"/>
  <c r="R72" i="23"/>
  <c r="O72" i="23"/>
  <c r="L72" i="23"/>
  <c r="H72" i="23"/>
  <c r="J72" i="23" s="1"/>
  <c r="K72" i="23" s="1"/>
  <c r="Z71" i="23"/>
  <c r="T71" i="23"/>
  <c r="R71" i="23"/>
  <c r="O71" i="23"/>
  <c r="L71" i="23"/>
  <c r="H71" i="23"/>
  <c r="J71" i="23" s="1"/>
  <c r="K71" i="23" s="1"/>
  <c r="Z70" i="23"/>
  <c r="T70" i="23"/>
  <c r="R70" i="23"/>
  <c r="O70" i="23"/>
  <c r="L70" i="23"/>
  <c r="H70" i="23"/>
  <c r="J70" i="23" s="1"/>
  <c r="K70" i="23" s="1"/>
  <c r="Z69" i="23"/>
  <c r="T69" i="23"/>
  <c r="R69" i="23"/>
  <c r="O69" i="23"/>
  <c r="L69" i="23"/>
  <c r="H69" i="23"/>
  <c r="J69" i="23" s="1"/>
  <c r="Z68" i="23"/>
  <c r="T68" i="23"/>
  <c r="R68" i="23"/>
  <c r="O68" i="23"/>
  <c r="L68" i="23"/>
  <c r="H68" i="23"/>
  <c r="J68" i="23" s="1"/>
  <c r="K68" i="23" s="1"/>
  <c r="Z67" i="23"/>
  <c r="T67" i="23"/>
  <c r="R67" i="23"/>
  <c r="O67" i="23"/>
  <c r="L67" i="23"/>
  <c r="H67" i="23"/>
  <c r="J67" i="23" s="1"/>
  <c r="K67" i="23" s="1"/>
  <c r="Z66" i="23"/>
  <c r="T66" i="23"/>
  <c r="R66" i="23"/>
  <c r="O66" i="23"/>
  <c r="L66" i="23"/>
  <c r="H66" i="23"/>
  <c r="J66" i="23" s="1"/>
  <c r="K66" i="23" s="1"/>
  <c r="Z65" i="23"/>
  <c r="T65" i="23"/>
  <c r="R65" i="23"/>
  <c r="O65" i="23"/>
  <c r="L65" i="23"/>
  <c r="H65" i="23"/>
  <c r="J65" i="23" s="1"/>
  <c r="K65" i="23" s="1"/>
  <c r="Z64" i="23"/>
  <c r="T64" i="23"/>
  <c r="R64" i="23"/>
  <c r="O64" i="23"/>
  <c r="L64" i="23"/>
  <c r="H64" i="23"/>
  <c r="J64" i="23" s="1"/>
  <c r="K64" i="23" s="1"/>
  <c r="Z63" i="23"/>
  <c r="T63" i="23"/>
  <c r="R63" i="23"/>
  <c r="O63" i="23"/>
  <c r="L63" i="23"/>
  <c r="H63" i="23"/>
  <c r="J63" i="23" s="1"/>
  <c r="K63" i="23" s="1"/>
  <c r="Z62" i="23"/>
  <c r="T62" i="23"/>
  <c r="R62" i="23"/>
  <c r="O62" i="23"/>
  <c r="L62" i="23"/>
  <c r="H62" i="23"/>
  <c r="J62" i="23" s="1"/>
  <c r="K62" i="23" s="1"/>
  <c r="Z61" i="23"/>
  <c r="T61" i="23"/>
  <c r="R61" i="23"/>
  <c r="O61" i="23"/>
  <c r="L61" i="23"/>
  <c r="H61" i="23"/>
  <c r="J61" i="23" s="1"/>
  <c r="K61" i="23" s="1"/>
  <c r="T60" i="23"/>
  <c r="R60" i="23"/>
  <c r="O60" i="23"/>
  <c r="L60" i="23"/>
  <c r="H60" i="23"/>
  <c r="J60" i="23" s="1"/>
  <c r="K60" i="23" s="1"/>
  <c r="Z59" i="23"/>
  <c r="T59" i="23"/>
  <c r="R59" i="23"/>
  <c r="O59" i="23"/>
  <c r="L59" i="23"/>
  <c r="H59" i="23"/>
  <c r="J59" i="23" s="1"/>
  <c r="K59" i="23" s="1"/>
  <c r="Z58" i="23"/>
  <c r="T58" i="23"/>
  <c r="R58" i="23"/>
  <c r="O58" i="23"/>
  <c r="L58" i="23"/>
  <c r="H58" i="23"/>
  <c r="J58" i="23" s="1"/>
  <c r="K58" i="23" s="1"/>
  <c r="Z57" i="23"/>
  <c r="T57" i="23"/>
  <c r="R57" i="23"/>
  <c r="O57" i="23"/>
  <c r="L57" i="23"/>
  <c r="H57" i="23"/>
  <c r="J57" i="23" s="1"/>
  <c r="K57" i="23" s="1"/>
  <c r="Z56" i="23"/>
  <c r="T56" i="23"/>
  <c r="R56" i="23"/>
  <c r="O56" i="23"/>
  <c r="L56" i="23"/>
  <c r="I56" i="23"/>
  <c r="H56" i="23"/>
  <c r="Z55" i="23"/>
  <c r="T55" i="23"/>
  <c r="R55" i="23"/>
  <c r="O55" i="23"/>
  <c r="L55" i="23"/>
  <c r="H55" i="23"/>
  <c r="J55" i="23" s="1"/>
  <c r="K55" i="23" s="1"/>
  <c r="Z54" i="23"/>
  <c r="T54" i="23"/>
  <c r="R54" i="23"/>
  <c r="O54" i="23"/>
  <c r="L54" i="23"/>
  <c r="H54" i="23"/>
  <c r="J54" i="23" s="1"/>
  <c r="Z53" i="23"/>
  <c r="T53" i="23"/>
  <c r="R53" i="23"/>
  <c r="O53" i="23"/>
  <c r="L53" i="23"/>
  <c r="H53" i="23"/>
  <c r="J53" i="23" s="1"/>
  <c r="K53" i="23" s="1"/>
  <c r="Z52" i="23"/>
  <c r="T52" i="23"/>
  <c r="R52" i="23"/>
  <c r="O52" i="23"/>
  <c r="L52" i="23"/>
  <c r="H52" i="23"/>
  <c r="J52" i="23" s="1"/>
  <c r="K52" i="23" s="1"/>
  <c r="Z51" i="23"/>
  <c r="T51" i="23"/>
  <c r="R51" i="23"/>
  <c r="O51" i="23"/>
  <c r="L51" i="23"/>
  <c r="H51" i="23"/>
  <c r="J51" i="23" s="1"/>
  <c r="K51" i="23" s="1"/>
  <c r="Z50" i="23"/>
  <c r="T50" i="23"/>
  <c r="R50" i="23"/>
  <c r="O50" i="23"/>
  <c r="L50" i="23"/>
  <c r="H50" i="23"/>
  <c r="J50" i="23" s="1"/>
  <c r="Z49" i="23"/>
  <c r="T49" i="23"/>
  <c r="R49" i="23"/>
  <c r="O49" i="23"/>
  <c r="L49" i="23"/>
  <c r="H49" i="23"/>
  <c r="J49" i="23" s="1"/>
  <c r="K49" i="23" s="1"/>
  <c r="T48" i="23"/>
  <c r="R48" i="23"/>
  <c r="O48" i="23"/>
  <c r="L48" i="23"/>
  <c r="H48" i="23"/>
  <c r="J48" i="23" s="1"/>
  <c r="K48" i="23" s="1"/>
  <c r="Z47" i="23"/>
  <c r="T47" i="23"/>
  <c r="R47" i="23"/>
  <c r="O47" i="23"/>
  <c r="L47" i="23"/>
  <c r="H47" i="23"/>
  <c r="J47" i="23" s="1"/>
  <c r="K47" i="23" s="1"/>
  <c r="Z46" i="23"/>
  <c r="T46" i="23"/>
  <c r="R46" i="23"/>
  <c r="O46" i="23"/>
  <c r="L46" i="23"/>
  <c r="H46" i="23"/>
  <c r="J46" i="23" s="1"/>
  <c r="K46" i="23" s="1"/>
  <c r="Z45" i="23"/>
  <c r="T45" i="23"/>
  <c r="R45" i="23"/>
  <c r="O45" i="23"/>
  <c r="L45" i="23"/>
  <c r="H45" i="23"/>
  <c r="J45" i="23" s="1"/>
  <c r="K45" i="23" s="1"/>
  <c r="Z44" i="23"/>
  <c r="T44" i="23"/>
  <c r="R44" i="23"/>
  <c r="O44" i="23"/>
  <c r="L44" i="23"/>
  <c r="H44" i="23"/>
  <c r="J44" i="23" s="1"/>
  <c r="K44" i="23" s="1"/>
  <c r="Z43" i="23"/>
  <c r="T43" i="23"/>
  <c r="R43" i="23"/>
  <c r="O43" i="23"/>
  <c r="L43" i="23"/>
  <c r="H43" i="23"/>
  <c r="J43" i="23" s="1"/>
  <c r="K43" i="23" s="1"/>
  <c r="Z42" i="23"/>
  <c r="T42" i="23"/>
  <c r="R42" i="23"/>
  <c r="O42" i="23"/>
  <c r="L42" i="23"/>
  <c r="H42" i="23"/>
  <c r="J42" i="23" s="1"/>
  <c r="K42" i="23" s="1"/>
  <c r="Z41" i="23"/>
  <c r="T41" i="23"/>
  <c r="R41" i="23"/>
  <c r="O41" i="23"/>
  <c r="L41" i="23"/>
  <c r="H41" i="23"/>
  <c r="J41" i="23" s="1"/>
  <c r="K41" i="23" s="1"/>
  <c r="Z40" i="23"/>
  <c r="T40" i="23"/>
  <c r="R40" i="23"/>
  <c r="O40" i="23"/>
  <c r="L40" i="23"/>
  <c r="H40" i="23"/>
  <c r="J40" i="23" s="1"/>
  <c r="K40" i="23" s="1"/>
  <c r="Z39" i="23"/>
  <c r="T39" i="23"/>
  <c r="R39" i="23"/>
  <c r="O39" i="23"/>
  <c r="L39" i="23"/>
  <c r="H39" i="23"/>
  <c r="J39" i="23" s="1"/>
  <c r="K39" i="23" s="1"/>
  <c r="Z38" i="23"/>
  <c r="T38" i="23"/>
  <c r="R38" i="23"/>
  <c r="O38" i="23"/>
  <c r="L38" i="23"/>
  <c r="H38" i="23"/>
  <c r="J38" i="23" s="1"/>
  <c r="K38" i="23" s="1"/>
  <c r="Z37" i="23"/>
  <c r="T37" i="23"/>
  <c r="R37" i="23"/>
  <c r="O37" i="23"/>
  <c r="L37" i="23"/>
  <c r="H37" i="23"/>
  <c r="J37" i="23" s="1"/>
  <c r="K37" i="23" s="1"/>
  <c r="Z36" i="23"/>
  <c r="T36" i="23"/>
  <c r="R36" i="23"/>
  <c r="O36" i="23"/>
  <c r="L36" i="23"/>
  <c r="H36" i="23"/>
  <c r="J36" i="23" s="1"/>
  <c r="K36" i="23" s="1"/>
  <c r="Z35" i="23"/>
  <c r="T35" i="23"/>
  <c r="R35" i="23"/>
  <c r="O35" i="23"/>
  <c r="L35" i="23"/>
  <c r="H35" i="23"/>
  <c r="J35" i="23" s="1"/>
  <c r="K35" i="23" s="1"/>
  <c r="Z34" i="23"/>
  <c r="T34" i="23"/>
  <c r="R34" i="23"/>
  <c r="O34" i="23"/>
  <c r="L34" i="23"/>
  <c r="H34" i="23"/>
  <c r="J34" i="23" s="1"/>
  <c r="K34" i="23" s="1"/>
  <c r="Z33" i="23"/>
  <c r="T33" i="23"/>
  <c r="R33" i="23"/>
  <c r="O33" i="23"/>
  <c r="L33" i="23"/>
  <c r="H33" i="23"/>
  <c r="J33" i="23" s="1"/>
  <c r="K33" i="23" s="1"/>
  <c r="Z32" i="23"/>
  <c r="T32" i="23"/>
  <c r="R32" i="23"/>
  <c r="O32" i="23"/>
  <c r="L32" i="23"/>
  <c r="H32" i="23"/>
  <c r="J32" i="23" s="1"/>
  <c r="K32" i="23" s="1"/>
  <c r="Z31" i="23"/>
  <c r="T31" i="23"/>
  <c r="R31" i="23"/>
  <c r="O31" i="23"/>
  <c r="L31" i="23"/>
  <c r="H31" i="23"/>
  <c r="J31" i="23" s="1"/>
  <c r="K31" i="23" s="1"/>
  <c r="Z30" i="23"/>
  <c r="T30" i="23"/>
  <c r="R30" i="23"/>
  <c r="O30" i="23"/>
  <c r="L30" i="23"/>
  <c r="H30" i="23"/>
  <c r="J30" i="23" s="1"/>
  <c r="K30" i="23" s="1"/>
  <c r="Z29" i="23"/>
  <c r="T29" i="23"/>
  <c r="R29" i="23"/>
  <c r="O29" i="23"/>
  <c r="L29" i="23"/>
  <c r="H29" i="23"/>
  <c r="J29" i="23" s="1"/>
  <c r="K29" i="23" s="1"/>
  <c r="Z28" i="23"/>
  <c r="T28" i="23"/>
  <c r="R28" i="23"/>
  <c r="O28" i="23"/>
  <c r="L28" i="23"/>
  <c r="H28" i="23"/>
  <c r="J28" i="23" s="1"/>
  <c r="K28" i="23" s="1"/>
  <c r="Z27" i="23"/>
  <c r="T27" i="23"/>
  <c r="R27" i="23"/>
  <c r="O27" i="23"/>
  <c r="L27" i="23"/>
  <c r="H27" i="23"/>
  <c r="J27" i="23" s="1"/>
  <c r="K27" i="23" s="1"/>
  <c r="Z26" i="23"/>
  <c r="T26" i="23"/>
  <c r="R26" i="23"/>
  <c r="O26" i="23"/>
  <c r="L26" i="23"/>
  <c r="H26" i="23"/>
  <c r="J26" i="23" s="1"/>
  <c r="K26" i="23" s="1"/>
  <c r="Z25" i="23"/>
  <c r="T25" i="23"/>
  <c r="R25" i="23"/>
  <c r="O25" i="23"/>
  <c r="L25" i="23"/>
  <c r="H25" i="23"/>
  <c r="J25" i="23" s="1"/>
  <c r="K25" i="23" s="1"/>
  <c r="Z24" i="23"/>
  <c r="T24" i="23"/>
  <c r="R24" i="23"/>
  <c r="O24" i="23"/>
  <c r="L24" i="23"/>
  <c r="H24" i="23"/>
  <c r="J24" i="23" s="1"/>
  <c r="K24" i="23" s="1"/>
  <c r="Z23" i="23"/>
  <c r="T23" i="23"/>
  <c r="R23" i="23"/>
  <c r="O23" i="23"/>
  <c r="L23" i="23"/>
  <c r="H23" i="23"/>
  <c r="J23" i="23" s="1"/>
  <c r="K23" i="23" s="1"/>
  <c r="Z22" i="23"/>
  <c r="T22" i="23"/>
  <c r="R22" i="23"/>
  <c r="O22" i="23"/>
  <c r="L22" i="23"/>
  <c r="H22" i="23"/>
  <c r="J22" i="23" s="1"/>
  <c r="K22" i="23" s="1"/>
  <c r="Z21" i="23"/>
  <c r="T21" i="23"/>
  <c r="R21" i="23"/>
  <c r="O21" i="23"/>
  <c r="L21" i="23"/>
  <c r="H21" i="23"/>
  <c r="J21" i="23" s="1"/>
  <c r="K21" i="23" s="1"/>
  <c r="Z20" i="23"/>
  <c r="T20" i="23"/>
  <c r="R20" i="23"/>
  <c r="O20" i="23"/>
  <c r="L20" i="23"/>
  <c r="H20" i="23"/>
  <c r="J20" i="23" s="1"/>
  <c r="K20" i="23" s="1"/>
  <c r="Z19" i="23"/>
  <c r="T19" i="23"/>
  <c r="R19" i="23"/>
  <c r="O19" i="23"/>
  <c r="L19" i="23"/>
  <c r="H19" i="23"/>
  <c r="J19" i="23" s="1"/>
  <c r="K19" i="23" s="1"/>
  <c r="Z18" i="23"/>
  <c r="T18" i="23"/>
  <c r="R18" i="23"/>
  <c r="O18" i="23"/>
  <c r="L18" i="23"/>
  <c r="H18" i="23"/>
  <c r="J18" i="23" s="1"/>
  <c r="K18" i="23" s="1"/>
  <c r="Z17" i="23"/>
  <c r="T17" i="23"/>
  <c r="R17" i="23"/>
  <c r="O17" i="23"/>
  <c r="L17" i="23"/>
  <c r="H17" i="23"/>
  <c r="J17" i="23" s="1"/>
  <c r="K17" i="23" s="1"/>
  <c r="Z16" i="23"/>
  <c r="T16" i="23"/>
  <c r="R16" i="23"/>
  <c r="O16" i="23"/>
  <c r="L16" i="23"/>
  <c r="H16" i="23"/>
  <c r="J16" i="23" s="1"/>
  <c r="K16" i="23" s="1"/>
  <c r="Z15" i="23"/>
  <c r="T15" i="23"/>
  <c r="R15" i="23"/>
  <c r="O15" i="23"/>
  <c r="L15" i="23"/>
  <c r="H15" i="23"/>
  <c r="J15" i="23" s="1"/>
  <c r="K15" i="23" s="1"/>
  <c r="Z14" i="23"/>
  <c r="T14" i="23"/>
  <c r="R14" i="23"/>
  <c r="O14" i="23"/>
  <c r="L14" i="23"/>
  <c r="H14" i="23"/>
  <c r="J14" i="23" s="1"/>
  <c r="K14" i="23" s="1"/>
  <c r="Z13" i="23"/>
  <c r="T13" i="23"/>
  <c r="R13" i="23"/>
  <c r="O13" i="23"/>
  <c r="L13" i="23"/>
  <c r="H13" i="23"/>
  <c r="J13" i="23" s="1"/>
  <c r="K13" i="23" s="1"/>
  <c r="Z12" i="23"/>
  <c r="T12" i="23"/>
  <c r="R12" i="23"/>
  <c r="O12" i="23"/>
  <c r="L12" i="23"/>
  <c r="H12" i="23"/>
  <c r="J12" i="23" s="1"/>
  <c r="K12" i="23" s="1"/>
  <c r="AC65" i="24" l="1"/>
  <c r="A66" i="24"/>
  <c r="M116" i="23"/>
  <c r="P116" i="23" s="1"/>
  <c r="V116" i="23" s="1"/>
  <c r="I200" i="23"/>
  <c r="M120" i="23"/>
  <c r="P120" i="23" s="1"/>
  <c r="V120" i="23" s="1"/>
  <c r="M177" i="23"/>
  <c r="P177" i="23" s="1"/>
  <c r="V177" i="23" s="1"/>
  <c r="M191" i="23"/>
  <c r="P191" i="23" s="1"/>
  <c r="V191" i="23" s="1"/>
  <c r="M49" i="23"/>
  <c r="P49" i="23" s="1"/>
  <c r="V49" i="23" s="1"/>
  <c r="M187" i="23"/>
  <c r="M123" i="23"/>
  <c r="P123" i="23" s="1"/>
  <c r="V123" i="23" s="1"/>
  <c r="U173" i="23"/>
  <c r="M185" i="23"/>
  <c r="P185" i="23" s="1"/>
  <c r="V185" i="23" s="1"/>
  <c r="U75" i="23"/>
  <c r="U77" i="23"/>
  <c r="U81" i="23"/>
  <c r="U101" i="23"/>
  <c r="U178" i="23"/>
  <c r="M190" i="23"/>
  <c r="P190" i="23" s="1"/>
  <c r="V190" i="23" s="1"/>
  <c r="M193" i="23"/>
  <c r="P193" i="23" s="1"/>
  <c r="V193" i="23" s="1"/>
  <c r="U79" i="23"/>
  <c r="M53" i="23"/>
  <c r="P53" i="23" s="1"/>
  <c r="V53" i="23" s="1"/>
  <c r="M109" i="23"/>
  <c r="P109" i="23" s="1"/>
  <c r="V109" i="23" s="1"/>
  <c r="U154" i="23"/>
  <c r="U170" i="23"/>
  <c r="M181" i="23"/>
  <c r="P181" i="23" s="1"/>
  <c r="V181" i="23" s="1"/>
  <c r="M37" i="23"/>
  <c r="P37" i="23" s="1"/>
  <c r="V37" i="23" s="1"/>
  <c r="U164" i="23"/>
  <c r="U172" i="23"/>
  <c r="U118" i="23"/>
  <c r="M51" i="23"/>
  <c r="P51" i="23" s="1"/>
  <c r="V51" i="23" s="1"/>
  <c r="J56" i="23"/>
  <c r="K56" i="23" s="1"/>
  <c r="M56" i="23" s="1"/>
  <c r="P56" i="23" s="1"/>
  <c r="V56" i="23" s="1"/>
  <c r="J113" i="23"/>
  <c r="K113" i="23" s="1"/>
  <c r="M113" i="23" s="1"/>
  <c r="P113" i="23" s="1"/>
  <c r="V113" i="23" s="1"/>
  <c r="U120" i="23"/>
  <c r="U127" i="23"/>
  <c r="U136" i="23"/>
  <c r="U143" i="23"/>
  <c r="U156" i="23"/>
  <c r="U179" i="23"/>
  <c r="U184" i="23"/>
  <c r="U107" i="23"/>
  <c r="U168" i="23"/>
  <c r="M18" i="23"/>
  <c r="P18" i="23" s="1"/>
  <c r="V18" i="23" s="1"/>
  <c r="M55" i="23"/>
  <c r="P55" i="23" s="1"/>
  <c r="V55" i="23" s="1"/>
  <c r="U89" i="23"/>
  <c r="U97" i="23"/>
  <c r="U116" i="23"/>
  <c r="M126" i="23"/>
  <c r="P126" i="23" s="1"/>
  <c r="V126" i="23" s="1"/>
  <c r="U131" i="23"/>
  <c r="U133" i="23"/>
  <c r="U135" i="23"/>
  <c r="J137" i="23"/>
  <c r="K137" i="23" s="1"/>
  <c r="U162" i="23"/>
  <c r="M189" i="23"/>
  <c r="P189" i="23" s="1"/>
  <c r="V189" i="23" s="1"/>
  <c r="M52" i="23"/>
  <c r="P52" i="23" s="1"/>
  <c r="V52" i="23" s="1"/>
  <c r="M175" i="23"/>
  <c r="P175" i="23" s="1"/>
  <c r="V175" i="23" s="1"/>
  <c r="M194" i="23"/>
  <c r="P194" i="23" s="1"/>
  <c r="V194" i="23" s="1"/>
  <c r="M102" i="23"/>
  <c r="P102" i="23" s="1"/>
  <c r="V102" i="23" s="1"/>
  <c r="M104" i="23"/>
  <c r="P104" i="23" s="1"/>
  <c r="V104" i="23" s="1"/>
  <c r="M112" i="23"/>
  <c r="P112" i="23" s="1"/>
  <c r="V112" i="23" s="1"/>
  <c r="M118" i="23"/>
  <c r="P118" i="23" s="1"/>
  <c r="V118" i="23" s="1"/>
  <c r="M12" i="23"/>
  <c r="P12" i="23" s="1"/>
  <c r="V12" i="23" s="1"/>
  <c r="O200" i="23"/>
  <c r="M130" i="23"/>
  <c r="P130" i="23" s="1"/>
  <c r="V130" i="23" s="1"/>
  <c r="U166" i="23"/>
  <c r="M14" i="23"/>
  <c r="P14" i="23" s="1"/>
  <c r="V14" i="23" s="1"/>
  <c r="U32" i="23"/>
  <c r="M59" i="23"/>
  <c r="P59" i="23" s="1"/>
  <c r="V59" i="23" s="1"/>
  <c r="U59" i="23"/>
  <c r="U85" i="23"/>
  <c r="U93" i="23"/>
  <c r="M100" i="23"/>
  <c r="P100" i="23" s="1"/>
  <c r="V100" i="23" s="1"/>
  <c r="U106" i="23"/>
  <c r="K106" i="23"/>
  <c r="M106" i="23" s="1"/>
  <c r="P106" i="23" s="1"/>
  <c r="V106" i="23" s="1"/>
  <c r="M20" i="23"/>
  <c r="P20" i="23" s="1"/>
  <c r="V20" i="23" s="1"/>
  <c r="U36" i="23"/>
  <c r="M22" i="23"/>
  <c r="P22" i="23" s="1"/>
  <c r="V22" i="23" s="1"/>
  <c r="M16" i="23"/>
  <c r="P16" i="23" s="1"/>
  <c r="V16" i="23" s="1"/>
  <c r="U50" i="23"/>
  <c r="K50" i="23"/>
  <c r="M50" i="23" s="1"/>
  <c r="P50" i="23" s="1"/>
  <c r="V50" i="23" s="1"/>
  <c r="M15" i="23"/>
  <c r="P15" i="23" s="1"/>
  <c r="V15" i="23" s="1"/>
  <c r="M19" i="23"/>
  <c r="P19" i="23" s="1"/>
  <c r="V19" i="23" s="1"/>
  <c r="M23" i="23"/>
  <c r="P23" i="23" s="1"/>
  <c r="V23" i="23" s="1"/>
  <c r="U23" i="23"/>
  <c r="U34" i="23"/>
  <c r="M35" i="23"/>
  <c r="P35" i="23" s="1"/>
  <c r="V35" i="23" s="1"/>
  <c r="U72" i="23"/>
  <c r="M75" i="23"/>
  <c r="P75" i="23" s="1"/>
  <c r="V75" i="23" s="1"/>
  <c r="M77" i="23"/>
  <c r="P77" i="23" s="1"/>
  <c r="V77" i="23" s="1"/>
  <c r="M79" i="23"/>
  <c r="P79" i="23" s="1"/>
  <c r="V79" i="23" s="1"/>
  <c r="M81" i="23"/>
  <c r="P81" i="23" s="1"/>
  <c r="V81" i="23" s="1"/>
  <c r="M92" i="23"/>
  <c r="P92" i="23" s="1"/>
  <c r="V92" i="23" s="1"/>
  <c r="M96" i="23"/>
  <c r="P96" i="23" s="1"/>
  <c r="V96" i="23" s="1"/>
  <c r="U99" i="23"/>
  <c r="M108" i="23"/>
  <c r="P108" i="23" s="1"/>
  <c r="V108" i="23" s="1"/>
  <c r="M114" i="23"/>
  <c r="P114" i="23" s="1"/>
  <c r="V114" i="23" s="1"/>
  <c r="U114" i="23"/>
  <c r="M122" i="23"/>
  <c r="P122" i="23" s="1"/>
  <c r="V122" i="23" s="1"/>
  <c r="U123" i="23"/>
  <c r="M127" i="23"/>
  <c r="P127" i="23" s="1"/>
  <c r="V127" i="23" s="1"/>
  <c r="M131" i="23"/>
  <c r="P131" i="23" s="1"/>
  <c r="V131" i="23" s="1"/>
  <c r="M133" i="23"/>
  <c r="P133" i="23" s="1"/>
  <c r="V133" i="23" s="1"/>
  <c r="M135" i="23"/>
  <c r="P135" i="23" s="1"/>
  <c r="V135" i="23" s="1"/>
  <c r="U141" i="23"/>
  <c r="U149" i="23"/>
  <c r="M157" i="23"/>
  <c r="P157" i="23" s="1"/>
  <c r="V157" i="23" s="1"/>
  <c r="U159" i="23"/>
  <c r="U176" i="23"/>
  <c r="U181" i="23"/>
  <c r="M192" i="23"/>
  <c r="P192" i="23" s="1"/>
  <c r="V192" i="23" s="1"/>
  <c r="M199" i="23"/>
  <c r="P199" i="23" s="1"/>
  <c r="V199" i="23" s="1"/>
  <c r="U199" i="23"/>
  <c r="M39" i="23"/>
  <c r="P39" i="23" s="1"/>
  <c r="V39" i="23" s="1"/>
  <c r="M57" i="23"/>
  <c r="P57" i="23" s="1"/>
  <c r="V57" i="23" s="1"/>
  <c r="M71" i="23"/>
  <c r="P71" i="23" s="1"/>
  <c r="V71" i="23" s="1"/>
  <c r="U83" i="23"/>
  <c r="U87" i="23"/>
  <c r="U91" i="23"/>
  <c r="M124" i="23"/>
  <c r="P124" i="23" s="1"/>
  <c r="V124" i="23" s="1"/>
  <c r="M128" i="23"/>
  <c r="P128" i="23" s="1"/>
  <c r="V128" i="23" s="1"/>
  <c r="U182" i="23"/>
  <c r="M33" i="23"/>
  <c r="P33" i="23" s="1"/>
  <c r="V33" i="23" s="1"/>
  <c r="U54" i="23"/>
  <c r="U95" i="23"/>
  <c r="M13" i="23"/>
  <c r="P13" i="23" s="1"/>
  <c r="V13" i="23" s="1"/>
  <c r="M17" i="23"/>
  <c r="P17" i="23" s="1"/>
  <c r="V17" i="23" s="1"/>
  <c r="M21" i="23"/>
  <c r="P21" i="23" s="1"/>
  <c r="V21" i="23" s="1"/>
  <c r="M31" i="23"/>
  <c r="P31" i="23" s="1"/>
  <c r="V31" i="23" s="1"/>
  <c r="U38" i="23"/>
  <c r="U52" i="23"/>
  <c r="K54" i="23"/>
  <c r="M54" i="23" s="1"/>
  <c r="P54" i="23" s="1"/>
  <c r="V54" i="23" s="1"/>
  <c r="M65" i="23"/>
  <c r="P65" i="23" s="1"/>
  <c r="V65" i="23" s="1"/>
  <c r="U65" i="23"/>
  <c r="U70" i="23"/>
  <c r="M73" i="23"/>
  <c r="P73" i="23" s="1"/>
  <c r="V73" i="23" s="1"/>
  <c r="M74" i="23"/>
  <c r="P74" i="23" s="1"/>
  <c r="V74" i="23" s="1"/>
  <c r="M76" i="23"/>
  <c r="P76" i="23" s="1"/>
  <c r="V76" i="23" s="1"/>
  <c r="M78" i="23"/>
  <c r="P78" i="23" s="1"/>
  <c r="V78" i="23" s="1"/>
  <c r="M80" i="23"/>
  <c r="P80" i="23" s="1"/>
  <c r="V80" i="23" s="1"/>
  <c r="M82" i="23"/>
  <c r="P82" i="23" s="1"/>
  <c r="V82" i="23" s="1"/>
  <c r="U103" i="23"/>
  <c r="M125" i="23"/>
  <c r="P125" i="23" s="1"/>
  <c r="V125" i="23" s="1"/>
  <c r="M129" i="23"/>
  <c r="P129" i="23" s="1"/>
  <c r="V129" i="23" s="1"/>
  <c r="M132" i="23"/>
  <c r="P132" i="23" s="1"/>
  <c r="V132" i="23" s="1"/>
  <c r="U145" i="23"/>
  <c r="U152" i="23"/>
  <c r="M155" i="23"/>
  <c r="P155" i="23" s="1"/>
  <c r="V155" i="23" s="1"/>
  <c r="U155" i="23"/>
  <c r="M171" i="23"/>
  <c r="P171" i="23" s="1"/>
  <c r="V171" i="23" s="1"/>
  <c r="M173" i="23"/>
  <c r="P173" i="23" s="1"/>
  <c r="V173" i="23" s="1"/>
  <c r="U174" i="23"/>
  <c r="M179" i="23"/>
  <c r="P179" i="23" s="1"/>
  <c r="V179" i="23" s="1"/>
  <c r="U180" i="23"/>
  <c r="M183" i="23"/>
  <c r="P183" i="23" s="1"/>
  <c r="V183" i="23" s="1"/>
  <c r="U186" i="23"/>
  <c r="M188" i="23"/>
  <c r="P188" i="23" s="1"/>
  <c r="V188" i="23" s="1"/>
  <c r="J200" i="23"/>
  <c r="R200" i="23"/>
  <c r="L210" i="23"/>
  <c r="L209" i="23"/>
  <c r="L208" i="23"/>
  <c r="L207" i="23"/>
  <c r="H200" i="23"/>
  <c r="T200" i="23"/>
  <c r="U14" i="23"/>
  <c r="U12" i="23"/>
  <c r="U13" i="23"/>
  <c r="U15" i="23"/>
  <c r="U17" i="23"/>
  <c r="U19" i="23"/>
  <c r="U21" i="23"/>
  <c r="U28" i="23"/>
  <c r="M28" i="23"/>
  <c r="P28" i="23" s="1"/>
  <c r="V28" i="23" s="1"/>
  <c r="M29" i="23"/>
  <c r="P29" i="23" s="1"/>
  <c r="V29" i="23" s="1"/>
  <c r="U29" i="23"/>
  <c r="U24" i="23"/>
  <c r="M24" i="23"/>
  <c r="P24" i="23" s="1"/>
  <c r="V24" i="23" s="1"/>
  <c r="U16" i="23"/>
  <c r="U18" i="23"/>
  <c r="U20" i="23"/>
  <c r="U22" i="23"/>
  <c r="U25" i="23"/>
  <c r="M25" i="23"/>
  <c r="P25" i="23" s="1"/>
  <c r="V25" i="23" s="1"/>
  <c r="U30" i="23"/>
  <c r="M30" i="23"/>
  <c r="P30" i="23" s="1"/>
  <c r="V30" i="23" s="1"/>
  <c r="U26" i="23"/>
  <c r="M26" i="23"/>
  <c r="P26" i="23" s="1"/>
  <c r="V26" i="23" s="1"/>
  <c r="M27" i="23"/>
  <c r="P27" i="23" s="1"/>
  <c r="V27" i="23" s="1"/>
  <c r="U27" i="23"/>
  <c r="U39" i="23"/>
  <c r="M41" i="23"/>
  <c r="P41" i="23" s="1"/>
  <c r="V41" i="23" s="1"/>
  <c r="U41" i="23"/>
  <c r="M43" i="23"/>
  <c r="P43" i="23" s="1"/>
  <c r="V43" i="23" s="1"/>
  <c r="U43" i="23"/>
  <c r="M45" i="23"/>
  <c r="P45" i="23" s="1"/>
  <c r="V45" i="23" s="1"/>
  <c r="U45" i="23"/>
  <c r="M47" i="23"/>
  <c r="P47" i="23" s="1"/>
  <c r="V47" i="23" s="1"/>
  <c r="U47" i="23"/>
  <c r="U60" i="23"/>
  <c r="M60" i="23"/>
  <c r="P60" i="23" s="1"/>
  <c r="V60" i="23" s="1"/>
  <c r="M61" i="23"/>
  <c r="P61" i="23" s="1"/>
  <c r="V61" i="23" s="1"/>
  <c r="U61" i="23"/>
  <c r="U68" i="23"/>
  <c r="M68" i="23"/>
  <c r="P68" i="23" s="1"/>
  <c r="V68" i="23" s="1"/>
  <c r="U74" i="23"/>
  <c r="U76" i="23"/>
  <c r="U78" i="23"/>
  <c r="U80" i="23"/>
  <c r="U82" i="23"/>
  <c r="U105" i="23"/>
  <c r="U56" i="23"/>
  <c r="M58" i="23"/>
  <c r="P58" i="23" s="1"/>
  <c r="V58" i="23" s="1"/>
  <c r="U58" i="23"/>
  <c r="U62" i="23"/>
  <c r="M62" i="23"/>
  <c r="P62" i="23" s="1"/>
  <c r="V62" i="23" s="1"/>
  <c r="M63" i="23"/>
  <c r="P63" i="23" s="1"/>
  <c r="V63" i="23" s="1"/>
  <c r="U63" i="23"/>
  <c r="M84" i="23"/>
  <c r="P84" i="23" s="1"/>
  <c r="V84" i="23" s="1"/>
  <c r="M88" i="23"/>
  <c r="P88" i="23" s="1"/>
  <c r="V88" i="23" s="1"/>
  <c r="U31" i="23"/>
  <c r="M32" i="23"/>
  <c r="P32" i="23" s="1"/>
  <c r="V32" i="23" s="1"/>
  <c r="U33" i="23"/>
  <c r="M34" i="23"/>
  <c r="P34" i="23" s="1"/>
  <c r="V34" i="23" s="1"/>
  <c r="U35" i="23"/>
  <c r="M36" i="23"/>
  <c r="P36" i="23" s="1"/>
  <c r="V36" i="23" s="1"/>
  <c r="U37" i="23"/>
  <c r="M38" i="23"/>
  <c r="P38" i="23" s="1"/>
  <c r="V38" i="23" s="1"/>
  <c r="M40" i="23"/>
  <c r="P40" i="23" s="1"/>
  <c r="V40" i="23" s="1"/>
  <c r="U40" i="23"/>
  <c r="M42" i="23"/>
  <c r="P42" i="23" s="1"/>
  <c r="V42" i="23" s="1"/>
  <c r="U42" i="23"/>
  <c r="M44" i="23"/>
  <c r="P44" i="23" s="1"/>
  <c r="V44" i="23" s="1"/>
  <c r="U44" i="23"/>
  <c r="M46" i="23"/>
  <c r="P46" i="23" s="1"/>
  <c r="V46" i="23" s="1"/>
  <c r="U46" i="23"/>
  <c r="M48" i="23"/>
  <c r="P48" i="23" s="1"/>
  <c r="V48" i="23" s="1"/>
  <c r="U48" i="23"/>
  <c r="U49" i="23"/>
  <c r="U51" i="23"/>
  <c r="U53" i="23"/>
  <c r="U55" i="23"/>
  <c r="U64" i="23"/>
  <c r="M64" i="23"/>
  <c r="P64" i="23" s="1"/>
  <c r="V64" i="23" s="1"/>
  <c r="U57" i="23"/>
  <c r="U66" i="23"/>
  <c r="M66" i="23"/>
  <c r="P66" i="23" s="1"/>
  <c r="V66" i="23" s="1"/>
  <c r="M67" i="23"/>
  <c r="P67" i="23" s="1"/>
  <c r="V67" i="23" s="1"/>
  <c r="U67" i="23"/>
  <c r="K69" i="23"/>
  <c r="M69" i="23" s="1"/>
  <c r="P69" i="23" s="1"/>
  <c r="V69" i="23" s="1"/>
  <c r="U69" i="23"/>
  <c r="M86" i="23"/>
  <c r="P86" i="23" s="1"/>
  <c r="V86" i="23" s="1"/>
  <c r="M90" i="23"/>
  <c r="P90" i="23" s="1"/>
  <c r="V90" i="23" s="1"/>
  <c r="M94" i="23"/>
  <c r="P94" i="23" s="1"/>
  <c r="V94" i="23" s="1"/>
  <c r="M98" i="23"/>
  <c r="P98" i="23" s="1"/>
  <c r="V98" i="23" s="1"/>
  <c r="M107" i="23"/>
  <c r="P107" i="23" s="1"/>
  <c r="V107" i="23" s="1"/>
  <c r="U109" i="23"/>
  <c r="M110" i="23"/>
  <c r="P110" i="23" s="1"/>
  <c r="V110" i="23" s="1"/>
  <c r="U112" i="23"/>
  <c r="U125" i="23"/>
  <c r="U129" i="23"/>
  <c r="U132" i="23"/>
  <c r="U139" i="23"/>
  <c r="U147" i="23"/>
  <c r="U71" i="23"/>
  <c r="U84" i="23"/>
  <c r="U86" i="23"/>
  <c r="U88" i="23"/>
  <c r="U90" i="23"/>
  <c r="U92" i="23"/>
  <c r="U94" i="23"/>
  <c r="U96" i="23"/>
  <c r="U98" i="23"/>
  <c r="U100" i="23"/>
  <c r="U102" i="23"/>
  <c r="U104" i="23"/>
  <c r="U113" i="23"/>
  <c r="U115" i="23"/>
  <c r="M115" i="23"/>
  <c r="P115" i="23" s="1"/>
  <c r="V115" i="23" s="1"/>
  <c r="U117" i="23"/>
  <c r="M117" i="23"/>
  <c r="P117" i="23" s="1"/>
  <c r="V117" i="23" s="1"/>
  <c r="U119" i="23"/>
  <c r="M119" i="23"/>
  <c r="P119" i="23" s="1"/>
  <c r="V119" i="23" s="1"/>
  <c r="U121" i="23"/>
  <c r="M121" i="23"/>
  <c r="P121" i="23" s="1"/>
  <c r="V121" i="23" s="1"/>
  <c r="M70" i="23"/>
  <c r="P70" i="23" s="1"/>
  <c r="V70" i="23" s="1"/>
  <c r="M72" i="23"/>
  <c r="P72" i="23" s="1"/>
  <c r="V72" i="23" s="1"/>
  <c r="M83" i="23"/>
  <c r="P83" i="23" s="1"/>
  <c r="V83" i="23" s="1"/>
  <c r="M85" i="23"/>
  <c r="P85" i="23" s="1"/>
  <c r="V85" i="23" s="1"/>
  <c r="M87" i="23"/>
  <c r="P87" i="23" s="1"/>
  <c r="V87" i="23" s="1"/>
  <c r="M89" i="23"/>
  <c r="P89" i="23" s="1"/>
  <c r="V89" i="23" s="1"/>
  <c r="M91" i="23"/>
  <c r="P91" i="23" s="1"/>
  <c r="V91" i="23" s="1"/>
  <c r="M93" i="23"/>
  <c r="P93" i="23" s="1"/>
  <c r="V93" i="23" s="1"/>
  <c r="M95" i="23"/>
  <c r="P95" i="23" s="1"/>
  <c r="V95" i="23" s="1"/>
  <c r="M97" i="23"/>
  <c r="P97" i="23" s="1"/>
  <c r="V97" i="23" s="1"/>
  <c r="M99" i="23"/>
  <c r="P99" i="23" s="1"/>
  <c r="V99" i="23" s="1"/>
  <c r="M101" i="23"/>
  <c r="P101" i="23" s="1"/>
  <c r="V101" i="23" s="1"/>
  <c r="M103" i="23"/>
  <c r="P103" i="23" s="1"/>
  <c r="V103" i="23" s="1"/>
  <c r="M105" i="23"/>
  <c r="P105" i="23" s="1"/>
  <c r="V105" i="23" s="1"/>
  <c r="U108" i="23"/>
  <c r="K111" i="23"/>
  <c r="M111" i="23" s="1"/>
  <c r="P111" i="23" s="1"/>
  <c r="V111" i="23" s="1"/>
  <c r="U111" i="23"/>
  <c r="K134" i="23"/>
  <c r="M134" i="23" s="1"/>
  <c r="P134" i="23" s="1"/>
  <c r="V134" i="23" s="1"/>
  <c r="U134" i="23"/>
  <c r="U110" i="23"/>
  <c r="U122" i="23"/>
  <c r="U124" i="23"/>
  <c r="U126" i="23"/>
  <c r="U128" i="23"/>
  <c r="U130" i="23"/>
  <c r="U151" i="23"/>
  <c r="U153" i="23"/>
  <c r="M138" i="23"/>
  <c r="P138" i="23" s="1"/>
  <c r="V138" i="23" s="1"/>
  <c r="M140" i="23"/>
  <c r="P140" i="23" s="1"/>
  <c r="V140" i="23" s="1"/>
  <c r="M142" i="23"/>
  <c r="P142" i="23" s="1"/>
  <c r="V142" i="23" s="1"/>
  <c r="M144" i="23"/>
  <c r="P144" i="23" s="1"/>
  <c r="V144" i="23" s="1"/>
  <c r="M146" i="23"/>
  <c r="P146" i="23" s="1"/>
  <c r="V146" i="23" s="1"/>
  <c r="M148" i="23"/>
  <c r="P148" i="23" s="1"/>
  <c r="V148" i="23" s="1"/>
  <c r="U150" i="23"/>
  <c r="K161" i="23"/>
  <c r="M161" i="23" s="1"/>
  <c r="P161" i="23" s="1"/>
  <c r="V161" i="23" s="1"/>
  <c r="U161" i="23"/>
  <c r="K165" i="23"/>
  <c r="M165" i="23" s="1"/>
  <c r="P165" i="23" s="1"/>
  <c r="V165" i="23" s="1"/>
  <c r="U165" i="23"/>
  <c r="K169" i="23"/>
  <c r="M169" i="23" s="1"/>
  <c r="P169" i="23" s="1"/>
  <c r="V169" i="23" s="1"/>
  <c r="U169" i="23"/>
  <c r="M136" i="23"/>
  <c r="P136" i="23" s="1"/>
  <c r="V136" i="23" s="1"/>
  <c r="M137" i="23"/>
  <c r="P137" i="23" s="1"/>
  <c r="V137" i="23" s="1"/>
  <c r="U138" i="23"/>
  <c r="M139" i="23"/>
  <c r="P139" i="23" s="1"/>
  <c r="V139" i="23" s="1"/>
  <c r="U140" i="23"/>
  <c r="M141" i="23"/>
  <c r="P141" i="23" s="1"/>
  <c r="V141" i="23" s="1"/>
  <c r="U142" i="23"/>
  <c r="M143" i="23"/>
  <c r="P143" i="23" s="1"/>
  <c r="V143" i="23" s="1"/>
  <c r="U144" i="23"/>
  <c r="M145" i="23"/>
  <c r="P145" i="23" s="1"/>
  <c r="V145" i="23" s="1"/>
  <c r="U146" i="23"/>
  <c r="M147" i="23"/>
  <c r="P147" i="23" s="1"/>
  <c r="V147" i="23" s="1"/>
  <c r="U148" i="23"/>
  <c r="M149" i="23"/>
  <c r="P149" i="23" s="1"/>
  <c r="V149" i="23" s="1"/>
  <c r="M150" i="23"/>
  <c r="P150" i="23" s="1"/>
  <c r="V150" i="23" s="1"/>
  <c r="M152" i="23"/>
  <c r="P152" i="23" s="1"/>
  <c r="V152" i="23" s="1"/>
  <c r="M154" i="23"/>
  <c r="P154" i="23" s="1"/>
  <c r="V154" i="23" s="1"/>
  <c r="M151" i="23"/>
  <c r="P151" i="23" s="1"/>
  <c r="V151" i="23" s="1"/>
  <c r="M153" i="23"/>
  <c r="P153" i="23" s="1"/>
  <c r="V153" i="23" s="1"/>
  <c r="K163" i="23"/>
  <c r="M163" i="23" s="1"/>
  <c r="P163" i="23" s="1"/>
  <c r="V163" i="23" s="1"/>
  <c r="U163" i="23"/>
  <c r="K167" i="23"/>
  <c r="M167" i="23" s="1"/>
  <c r="P167" i="23" s="1"/>
  <c r="V167" i="23" s="1"/>
  <c r="U167" i="23"/>
  <c r="U157" i="23"/>
  <c r="M158" i="23"/>
  <c r="P158" i="23" s="1"/>
  <c r="V158" i="23" s="1"/>
  <c r="M160" i="23"/>
  <c r="P160" i="23" s="1"/>
  <c r="V160" i="23" s="1"/>
  <c r="M162" i="23"/>
  <c r="P162" i="23" s="1"/>
  <c r="V162" i="23" s="1"/>
  <c r="M164" i="23"/>
  <c r="P164" i="23" s="1"/>
  <c r="V164" i="23" s="1"/>
  <c r="M166" i="23"/>
  <c r="P166" i="23" s="1"/>
  <c r="V166" i="23" s="1"/>
  <c r="M168" i="23"/>
  <c r="P168" i="23" s="1"/>
  <c r="V168" i="23" s="1"/>
  <c r="M170" i="23"/>
  <c r="P170" i="23" s="1"/>
  <c r="V170" i="23" s="1"/>
  <c r="U171" i="23"/>
  <c r="U187" i="23"/>
  <c r="U188" i="23"/>
  <c r="U189" i="23"/>
  <c r="U190" i="23"/>
  <c r="U191" i="23"/>
  <c r="U192" i="23"/>
  <c r="U193" i="23"/>
  <c r="U194" i="23"/>
  <c r="M195" i="23"/>
  <c r="P195" i="23" s="1"/>
  <c r="V195" i="23" s="1"/>
  <c r="U195" i="23"/>
  <c r="M156" i="23"/>
  <c r="P156" i="23" s="1"/>
  <c r="V156" i="23" s="1"/>
  <c r="U158" i="23"/>
  <c r="M159" i="23"/>
  <c r="P159" i="23" s="1"/>
  <c r="V159" i="23" s="1"/>
  <c r="U160" i="23"/>
  <c r="U196" i="23"/>
  <c r="M196" i="23"/>
  <c r="P196" i="23" s="1"/>
  <c r="V196" i="23" s="1"/>
  <c r="M197" i="23"/>
  <c r="P197" i="23" s="1"/>
  <c r="V197" i="23" s="1"/>
  <c r="U197" i="23"/>
  <c r="U175" i="23"/>
  <c r="U183" i="23"/>
  <c r="P187" i="23"/>
  <c r="V187" i="23" s="1"/>
  <c r="U198" i="23"/>
  <c r="M198" i="23"/>
  <c r="P198" i="23" s="1"/>
  <c r="V198" i="23" s="1"/>
  <c r="U177" i="23"/>
  <c r="U185" i="23"/>
  <c r="M172" i="23"/>
  <c r="P172" i="23" s="1"/>
  <c r="V172" i="23" s="1"/>
  <c r="M174" i="23"/>
  <c r="P174" i="23" s="1"/>
  <c r="V174" i="23" s="1"/>
  <c r="M176" i="23"/>
  <c r="P176" i="23" s="1"/>
  <c r="V176" i="23" s="1"/>
  <c r="M178" i="23"/>
  <c r="P178" i="23" s="1"/>
  <c r="V178" i="23" s="1"/>
  <c r="M180" i="23"/>
  <c r="P180" i="23" s="1"/>
  <c r="V180" i="23" s="1"/>
  <c r="M182" i="23"/>
  <c r="P182" i="23" s="1"/>
  <c r="V182" i="23" s="1"/>
  <c r="M184" i="23"/>
  <c r="P184" i="23" s="1"/>
  <c r="V184" i="23" s="1"/>
  <c r="M186" i="23"/>
  <c r="P186" i="23" s="1"/>
  <c r="V186" i="23" s="1"/>
  <c r="AC66" i="24" l="1"/>
  <c r="A67" i="24"/>
  <c r="U137" i="23"/>
  <c r="U200" i="23" s="1"/>
  <c r="M200" i="23"/>
  <c r="K200" i="23"/>
  <c r="AC67" i="24" l="1"/>
  <c r="A68" i="24"/>
  <c r="P200" i="23"/>
  <c r="V200" i="23"/>
  <c r="AC68" i="24" l="1"/>
  <c r="A69" i="24"/>
  <c r="AC69" i="24" l="1"/>
  <c r="A70" i="24"/>
  <c r="A13" i="22"/>
  <c r="AC70" i="24" l="1"/>
  <c r="A71" i="24"/>
  <c r="W13" i="22"/>
  <c r="A14" i="22"/>
  <c r="AC71" i="24" l="1"/>
  <c r="A72" i="24"/>
  <c r="W14" i="22"/>
  <c r="AC72" i="24" l="1"/>
  <c r="A73" i="24"/>
  <c r="AC73" i="24" l="1"/>
  <c r="A74" i="24"/>
  <c r="AC74" i="24" l="1"/>
  <c r="A75" i="24"/>
  <c r="AC75" i="24" l="1"/>
  <c r="A76" i="24"/>
  <c r="AC76" i="24" l="1"/>
  <c r="A77" i="24"/>
  <c r="AC77" i="24" l="1"/>
  <c r="A78" i="24"/>
  <c r="AC78" i="24" l="1"/>
  <c r="A79" i="24"/>
  <c r="AC79" i="24" l="1"/>
  <c r="A80" i="24"/>
  <c r="AC80" i="24" l="1"/>
  <c r="A81" i="24"/>
  <c r="AC81" i="24" l="1"/>
  <c r="A82" i="24"/>
  <c r="AC82" i="24" l="1"/>
  <c r="A83" i="24"/>
  <c r="AC83" i="24" l="1"/>
  <c r="A84" i="24"/>
  <c r="AC84" i="24" l="1"/>
  <c r="A85" i="24"/>
  <c r="AC85" i="24" l="1"/>
  <c r="A86" i="24"/>
  <c r="AC86" i="24" l="1"/>
  <c r="A87" i="24"/>
  <c r="AC87" i="24" l="1"/>
  <c r="A88" i="24"/>
  <c r="AC88" i="24" l="1"/>
  <c r="A89" i="24"/>
  <c r="AC89" i="24" l="1"/>
  <c r="A90" i="24"/>
  <c r="AC90" i="24" l="1"/>
  <c r="A91" i="24"/>
  <c r="AC91" i="24" l="1"/>
  <c r="A92" i="24"/>
  <c r="AC92" i="24" l="1"/>
  <c r="A93" i="24"/>
  <c r="A12" i="23"/>
  <c r="AC93" i="24" l="1"/>
  <c r="A94" i="24"/>
  <c r="Y12" i="23"/>
  <c r="A13" i="23"/>
  <c r="AC94" i="24" l="1"/>
  <c r="A95" i="24"/>
  <c r="Y13" i="23"/>
  <c r="A14" i="23"/>
  <c r="AC95" i="24" l="1"/>
  <c r="A96" i="24"/>
  <c r="Y14" i="23"/>
  <c r="A15" i="23"/>
  <c r="AC96" i="24" l="1"/>
  <c r="A97" i="24"/>
  <c r="Y15" i="23"/>
  <c r="A16" i="23"/>
  <c r="AC97" i="24" l="1"/>
  <c r="A98" i="24"/>
  <c r="Y16" i="23"/>
  <c r="A17" i="23"/>
  <c r="AC98" i="24" l="1"/>
  <c r="A99" i="24"/>
  <c r="Y17" i="23"/>
  <c r="A18" i="23"/>
  <c r="AC99" i="24" l="1"/>
  <c r="A100" i="24"/>
  <c r="Y18" i="23"/>
  <c r="A19" i="23"/>
  <c r="AC100" i="24" l="1"/>
  <c r="A101" i="24"/>
  <c r="Y19" i="23"/>
  <c r="A20" i="23"/>
  <c r="AC101" i="24" l="1"/>
  <c r="A102" i="24"/>
  <c r="Y20" i="23"/>
  <c r="A21" i="23"/>
  <c r="AC102" i="24" l="1"/>
  <c r="A103" i="24"/>
  <c r="Y21" i="23"/>
  <c r="A22" i="23"/>
  <c r="AC103" i="24" l="1"/>
  <c r="A104" i="24"/>
  <c r="Y22" i="23"/>
  <c r="A23" i="23"/>
  <c r="AC104" i="24" l="1"/>
  <c r="A105" i="24"/>
  <c r="W73" i="23"/>
  <c r="X73" i="23" s="1"/>
  <c r="Y23" i="23"/>
  <c r="A24" i="23"/>
  <c r="AC105" i="24" l="1"/>
  <c r="A106" i="24"/>
  <c r="Y24" i="23"/>
  <c r="AC106" i="24" l="1"/>
  <c r="A107" i="24"/>
  <c r="A25" i="23"/>
  <c r="AC107" i="24" l="1"/>
  <c r="A108" i="24"/>
  <c r="Y25" i="23"/>
  <c r="AC108" i="24" l="1"/>
  <c r="A109" i="24"/>
  <c r="A26" i="23"/>
  <c r="AC109" i="24" l="1"/>
  <c r="A110" i="24"/>
  <c r="Y26" i="23"/>
  <c r="A27" i="23"/>
  <c r="AC110" i="24" l="1"/>
  <c r="A111" i="24"/>
  <c r="Y27" i="23"/>
  <c r="A28" i="23"/>
  <c r="AC111" i="24" l="1"/>
  <c r="A112" i="24"/>
  <c r="Y28" i="23"/>
  <c r="A29" i="23"/>
  <c r="AC112" i="24" l="1"/>
  <c r="A113" i="24"/>
  <c r="Y29" i="23"/>
  <c r="A30" i="23"/>
  <c r="AC113" i="24" l="1"/>
  <c r="A114" i="24"/>
  <c r="Y30" i="23"/>
  <c r="A31" i="23"/>
  <c r="AC114" i="24" l="1"/>
  <c r="A115" i="24"/>
  <c r="Y31" i="23"/>
  <c r="A32" i="23"/>
  <c r="AC115" i="24" l="1"/>
  <c r="A116" i="24"/>
  <c r="Y32" i="23"/>
  <c r="A33" i="23"/>
  <c r="AC116" i="24" l="1"/>
  <c r="A117" i="24"/>
  <c r="Y33" i="23"/>
  <c r="A34" i="23"/>
  <c r="AC117" i="24" l="1"/>
  <c r="A118" i="24"/>
  <c r="Y34" i="23"/>
  <c r="A35" i="23"/>
  <c r="AC118" i="24" l="1"/>
  <c r="A119" i="24"/>
  <c r="Y35" i="23"/>
  <c r="A36" i="23"/>
  <c r="AC119" i="24" l="1"/>
  <c r="A120" i="24"/>
  <c r="Y36" i="23"/>
  <c r="A37" i="23"/>
  <c r="AC120" i="24" l="1"/>
  <c r="A121" i="24"/>
  <c r="Y37" i="23"/>
  <c r="A38" i="23"/>
  <c r="AC121" i="24" l="1"/>
  <c r="A122" i="24"/>
  <c r="Y38" i="23"/>
  <c r="A39" i="23"/>
  <c r="AC122" i="24" l="1"/>
  <c r="A123" i="24"/>
  <c r="Y39" i="23"/>
  <c r="A40" i="23"/>
  <c r="AC123" i="24" l="1"/>
  <c r="A124" i="24"/>
  <c r="Y40" i="23"/>
  <c r="A41" i="23"/>
  <c r="AC124" i="24" l="1"/>
  <c r="A125" i="24"/>
  <c r="Y41" i="23"/>
  <c r="A42" i="23"/>
  <c r="AC125" i="24" l="1"/>
  <c r="A126" i="24"/>
  <c r="Y42" i="23"/>
  <c r="A43" i="23"/>
  <c r="AC126" i="24" l="1"/>
  <c r="A127" i="24"/>
  <c r="Y43" i="23"/>
  <c r="A44" i="23"/>
  <c r="AC127" i="24" l="1"/>
  <c r="A128" i="24"/>
  <c r="Y44" i="23"/>
  <c r="A45" i="23"/>
  <c r="AC128" i="24" l="1"/>
  <c r="A129" i="24"/>
  <c r="A13" i="6"/>
  <c r="Y45" i="23"/>
  <c r="A46" i="23"/>
  <c r="A14" i="6" l="1"/>
  <c r="A15" i="6" s="1"/>
  <c r="A16" i="6" s="1"/>
  <c r="AC129" i="24"/>
  <c r="A130" i="24"/>
  <c r="Y46" i="23"/>
  <c r="A47" i="23"/>
  <c r="A17" i="6" l="1"/>
  <c r="AC130" i="24"/>
  <c r="A131" i="24"/>
  <c r="Y47" i="23"/>
  <c r="A48" i="23"/>
  <c r="A20" i="6" l="1"/>
  <c r="A22" i="6" s="1"/>
  <c r="A19" i="6"/>
  <c r="A18" i="6"/>
  <c r="A21" i="6"/>
  <c r="AC131" i="24"/>
  <c r="A132" i="24"/>
  <c r="Y48" i="23"/>
  <c r="A49" i="23"/>
  <c r="A26" i="6" l="1"/>
  <c r="A27" i="6" s="1"/>
  <c r="A28" i="6" s="1"/>
  <c r="A29" i="6" s="1"/>
  <c r="A30" i="6" s="1"/>
  <c r="A23" i="6"/>
  <c r="A24" i="6"/>
  <c r="A31" i="6" s="1"/>
  <c r="A25" i="6"/>
  <c r="AC132" i="24"/>
  <c r="A133" i="24"/>
  <c r="Y49" i="23"/>
  <c r="A50" i="23"/>
  <c r="A32" i="6" l="1"/>
  <c r="A33" i="6" s="1"/>
  <c r="A34" i="6" s="1"/>
  <c r="A35" i="6" s="1"/>
  <c r="A36" i="6" s="1"/>
  <c r="A37" i="6" s="1"/>
  <c r="A38" i="6" s="1"/>
  <c r="A39" i="6" s="1"/>
  <c r="A40" i="6" s="1"/>
  <c r="A41" i="6" s="1"/>
  <c r="A42" i="6" s="1"/>
  <c r="A43" i="6" s="1"/>
  <c r="A44" i="6" s="1"/>
  <c r="A45" i="6" s="1"/>
  <c r="A46" i="6" s="1"/>
  <c r="A47" i="6" s="1"/>
  <c r="A48" i="6" s="1"/>
  <c r="A49" i="6" s="1"/>
  <c r="A50" i="6" s="1"/>
  <c r="A51" i="6" s="1"/>
  <c r="A52" i="6" s="1"/>
  <c r="A53" i="6" s="1"/>
  <c r="A54" i="6" s="1"/>
  <c r="A55" i="6" s="1"/>
  <c r="A56" i="6" s="1"/>
  <c r="A57" i="6" s="1"/>
  <c r="A58" i="6" s="1"/>
  <c r="A59" i="6" s="1"/>
  <c r="A60" i="6" s="1"/>
  <c r="A61" i="6" s="1"/>
  <c r="A62" i="6" s="1"/>
  <c r="A63" i="6" s="1"/>
  <c r="A64" i="6" s="1"/>
  <c r="A65" i="6" s="1"/>
  <c r="A66" i="6" s="1"/>
  <c r="A67" i="6" s="1"/>
  <c r="A68" i="6" s="1"/>
  <c r="A69" i="6" s="1"/>
  <c r="A70" i="6" s="1"/>
  <c r="A71" i="6" s="1"/>
  <c r="A72" i="6" s="1"/>
  <c r="A73" i="6" s="1"/>
  <c r="A74" i="6" s="1"/>
  <c r="A75" i="6" s="1"/>
  <c r="A76" i="6" s="1"/>
  <c r="A77" i="6" s="1"/>
  <c r="A78" i="6" s="1"/>
  <c r="A79" i="6" s="1"/>
  <c r="A80" i="6" s="1"/>
  <c r="A81" i="6" s="1"/>
  <c r="A82" i="6" s="1"/>
  <c r="A83" i="6" s="1"/>
  <c r="A84" i="6" s="1"/>
  <c r="A85" i="6" s="1"/>
  <c r="A86" i="6" s="1"/>
  <c r="A87" i="6" s="1"/>
  <c r="A88" i="6" s="1"/>
  <c r="A89" i="6" s="1"/>
  <c r="A90" i="6" s="1"/>
  <c r="A91" i="6" s="1"/>
  <c r="A92" i="6" s="1"/>
  <c r="A93" i="6" s="1"/>
  <c r="A94" i="6" s="1"/>
  <c r="A95" i="6" s="1"/>
  <c r="A96" i="6" s="1"/>
  <c r="A97" i="6" s="1"/>
  <c r="A98" i="6" s="1"/>
  <c r="A99" i="6" s="1"/>
  <c r="A100" i="6" s="1"/>
  <c r="A101" i="6" s="1"/>
  <c r="A102" i="6" s="1"/>
  <c r="A103" i="6" s="1"/>
  <c r="A104" i="6" s="1"/>
  <c r="A105" i="6" s="1"/>
  <c r="A106" i="6" s="1"/>
  <c r="A107" i="6" s="1"/>
  <c r="A108" i="6" s="1"/>
  <c r="A109" i="6" s="1"/>
  <c r="A110" i="6" s="1"/>
  <c r="A111" i="6" s="1"/>
  <c r="A112" i="6" s="1"/>
  <c r="A113" i="6" s="1"/>
  <c r="A114" i="6" s="1"/>
  <c r="A115" i="6" s="1"/>
  <c r="A116" i="6" s="1"/>
  <c r="A117" i="6" s="1"/>
  <c r="A118" i="6" s="1"/>
  <c r="A119" i="6" s="1"/>
  <c r="A120" i="6" s="1"/>
  <c r="A121" i="6" s="1"/>
  <c r="A122" i="6" s="1"/>
  <c r="A123" i="6" s="1"/>
  <c r="A124" i="6" s="1"/>
  <c r="A125" i="6" s="1"/>
  <c r="A126" i="6" s="1"/>
  <c r="A127" i="6" s="1"/>
  <c r="A128" i="6" s="1"/>
  <c r="A129" i="6" s="1"/>
  <c r="A130" i="6" s="1"/>
  <c r="A131" i="6" s="1"/>
  <c r="A132" i="6" s="1"/>
  <c r="A133" i="6" s="1"/>
  <c r="A134" i="6" s="1"/>
  <c r="A135" i="6" s="1"/>
  <c r="A136" i="6" s="1"/>
  <c r="A137" i="6" s="1"/>
  <c r="A138" i="6" s="1"/>
  <c r="A139" i="6" s="1"/>
  <c r="A140" i="6" s="1"/>
  <c r="A141" i="6" s="1"/>
  <c r="A142" i="6" s="1"/>
  <c r="A143" i="6" s="1"/>
  <c r="A144" i="6" s="1"/>
  <c r="A145" i="6" s="1"/>
  <c r="A146" i="6" s="1"/>
  <c r="A147" i="6" s="1"/>
  <c r="A148" i="6" s="1"/>
  <c r="A149" i="6" s="1"/>
  <c r="A150" i="6" s="1"/>
  <c r="A151" i="6" s="1"/>
  <c r="A152" i="6" s="1"/>
  <c r="A153" i="6" s="1"/>
  <c r="A154" i="6" s="1"/>
  <c r="A155" i="6" s="1"/>
  <c r="A156" i="6" s="1"/>
  <c r="A157" i="6" s="1"/>
  <c r="A158" i="6" s="1"/>
  <c r="A159" i="6" s="1"/>
  <c r="A160" i="6" s="1"/>
  <c r="A161" i="6" s="1"/>
  <c r="A162" i="6" s="1"/>
  <c r="A163" i="6" s="1"/>
  <c r="A164" i="6" s="1"/>
  <c r="A165" i="6" s="1"/>
  <c r="A166" i="6" s="1"/>
  <c r="A167" i="6" s="1"/>
  <c r="A168" i="6" s="1"/>
  <c r="A169" i="6" s="1"/>
  <c r="A170" i="6" s="1"/>
  <c r="A171" i="6" s="1"/>
  <c r="A172" i="6" s="1"/>
  <c r="A173" i="6" s="1"/>
  <c r="A174" i="6" s="1"/>
  <c r="A175" i="6" s="1"/>
  <c r="A176" i="6" s="1"/>
  <c r="A177" i="6" s="1"/>
  <c r="A178" i="6" s="1"/>
  <c r="A179" i="6" s="1"/>
  <c r="A180" i="6" s="1"/>
  <c r="A181" i="6" s="1"/>
  <c r="A182" i="6" s="1"/>
  <c r="A183" i="6" s="1"/>
  <c r="A184" i="6" s="1"/>
  <c r="A185" i="6" s="1"/>
  <c r="A186" i="6" s="1"/>
  <c r="A187" i="6" s="1"/>
  <c r="A188" i="6" s="1"/>
  <c r="A189" i="6" s="1"/>
  <c r="A190" i="6" s="1"/>
  <c r="A191" i="6" s="1"/>
  <c r="A192" i="6" s="1"/>
  <c r="A193" i="6" s="1"/>
  <c r="A194" i="6" s="1"/>
  <c r="A195" i="6" s="1"/>
  <c r="A196" i="6" s="1"/>
  <c r="A197" i="6" s="1"/>
  <c r="A198" i="6" s="1"/>
  <c r="A199" i="6" s="1"/>
  <c r="A200" i="6" s="1"/>
  <c r="A201" i="6" s="1"/>
  <c r="A202" i="6" s="1"/>
  <c r="A203" i="6" s="1"/>
  <c r="A204" i="6" s="1"/>
  <c r="A205" i="6" s="1"/>
  <c r="A206" i="6" s="1"/>
  <c r="A207" i="6" s="1"/>
  <c r="A208" i="6" s="1"/>
  <c r="A209" i="6" s="1"/>
  <c r="A210" i="6" s="1"/>
  <c r="A211" i="6" s="1"/>
  <c r="A212" i="6" s="1"/>
  <c r="A213" i="6" s="1"/>
  <c r="A214" i="6" s="1"/>
  <c r="A215" i="6" s="1"/>
  <c r="A216" i="6" s="1"/>
  <c r="A217" i="6" s="1"/>
  <c r="A218" i="6" s="1"/>
  <c r="A219" i="6" s="1"/>
  <c r="A220" i="6" s="1"/>
  <c r="A221" i="6" s="1"/>
  <c r="A222" i="6" s="1"/>
  <c r="A223" i="6" s="1"/>
  <c r="A224" i="6" s="1"/>
  <c r="A225" i="6" s="1"/>
  <c r="A226" i="6" s="1"/>
  <c r="A227" i="6" s="1"/>
  <c r="A228" i="6" s="1"/>
  <c r="A229" i="6" s="1"/>
  <c r="A230" i="6" s="1"/>
  <c r="A231" i="6" s="1"/>
  <c r="A232" i="6" s="1"/>
  <c r="A233" i="6" s="1"/>
  <c r="A234" i="6" s="1"/>
  <c r="A235" i="6" s="1"/>
  <c r="A236" i="6" s="1"/>
  <c r="A237" i="6" s="1"/>
  <c r="A238" i="6" s="1"/>
  <c r="A239" i="6" s="1"/>
  <c r="A240" i="6" s="1"/>
  <c r="A241" i="6" s="1"/>
  <c r="A242" i="6" s="1"/>
  <c r="A243" i="6" s="1"/>
  <c r="A244" i="6" s="1"/>
  <c r="A245" i="6" s="1"/>
  <c r="A246" i="6" s="1"/>
  <c r="A247" i="6" s="1"/>
  <c r="A248" i="6" s="1"/>
  <c r="A249" i="6" s="1"/>
  <c r="A250" i="6" s="1"/>
  <c r="A251" i="6" s="1"/>
  <c r="A252" i="6" s="1"/>
  <c r="A253" i="6" s="1"/>
  <c r="A254" i="6" s="1"/>
  <c r="A255" i="6" s="1"/>
  <c r="A256" i="6" s="1"/>
  <c r="A257" i="6" s="1"/>
  <c r="A258" i="6" s="1"/>
  <c r="A259" i="6" s="1"/>
  <c r="A260" i="6" s="1"/>
  <c r="A261" i="6" s="1"/>
  <c r="A262" i="6" s="1"/>
  <c r="A263" i="6" s="1"/>
  <c r="A264" i="6" s="1"/>
  <c r="A265" i="6" s="1"/>
  <c r="A266" i="6" s="1"/>
  <c r="A267" i="6" s="1"/>
  <c r="A268" i="6" s="1"/>
  <c r="A269" i="6" s="1"/>
  <c r="A270" i="6" s="1"/>
  <c r="AC133" i="24"/>
  <c r="A134" i="24"/>
  <c r="Y50" i="23"/>
  <c r="A51" i="23"/>
  <c r="AC134" i="24" l="1"/>
  <c r="A135" i="24"/>
  <c r="Y51" i="23"/>
  <c r="A52" i="23"/>
  <c r="AC135" i="24" l="1"/>
  <c r="A136" i="24"/>
  <c r="Y52" i="23"/>
  <c r="A53" i="23"/>
  <c r="AC136" i="24" l="1"/>
  <c r="A137" i="24"/>
  <c r="Y53" i="23"/>
  <c r="A54" i="23"/>
  <c r="AC137" i="24" l="1"/>
  <c r="A138" i="24"/>
  <c r="Y54" i="23"/>
  <c r="A55" i="23"/>
  <c r="AC138" i="24" l="1"/>
  <c r="A139" i="24"/>
  <c r="Y55" i="23"/>
  <c r="A56" i="23"/>
  <c r="AC139" i="24" l="1"/>
  <c r="A140" i="24"/>
  <c r="Y56" i="23"/>
  <c r="A57" i="23"/>
  <c r="AC140" i="24" l="1"/>
  <c r="A141" i="24"/>
  <c r="Y57" i="23"/>
  <c r="A58" i="23"/>
  <c r="AC141" i="24" l="1"/>
  <c r="A142" i="24"/>
  <c r="Y58" i="23"/>
  <c r="A59" i="23"/>
  <c r="AC142" i="24" l="1"/>
  <c r="A143" i="24"/>
  <c r="Y59" i="23"/>
  <c r="A60" i="23"/>
  <c r="AC143" i="24" l="1"/>
  <c r="A144" i="24"/>
  <c r="W30" i="23"/>
  <c r="X30" i="23" s="1"/>
  <c r="Y60" i="23"/>
  <c r="A61" i="23"/>
  <c r="AC144" i="24" l="1"/>
  <c r="A145" i="24"/>
  <c r="Y61" i="23"/>
  <c r="A62" i="23"/>
  <c r="AC145" i="24" l="1"/>
  <c r="A146" i="24"/>
  <c r="Y62" i="23"/>
  <c r="A63" i="23"/>
  <c r="AC146" i="24" l="1"/>
  <c r="A147" i="24"/>
  <c r="Y63" i="23"/>
  <c r="A64" i="23"/>
  <c r="AC147" i="24" l="1"/>
  <c r="A148" i="24"/>
  <c r="Y64" i="23"/>
  <c r="A65" i="23"/>
  <c r="AC148" i="24" l="1"/>
  <c r="A149" i="24"/>
  <c r="Y65" i="23"/>
  <c r="A66" i="23"/>
  <c r="AC149" i="24" l="1"/>
  <c r="A150" i="24"/>
  <c r="Y66" i="23"/>
  <c r="A67" i="23"/>
  <c r="AC150" i="24" l="1"/>
  <c r="A151" i="24"/>
  <c r="Y67" i="23"/>
  <c r="A68" i="23"/>
  <c r="AC151" i="24" l="1"/>
  <c r="A152" i="24"/>
  <c r="Y68" i="23"/>
  <c r="A69" i="23"/>
  <c r="AC152" i="24" l="1"/>
  <c r="A153" i="24"/>
  <c r="Y69" i="23"/>
  <c r="A70" i="23"/>
  <c r="AC153" i="24" l="1"/>
  <c r="A154" i="24"/>
  <c r="Y70" i="23"/>
  <c r="A71" i="23"/>
  <c r="AC154" i="24" l="1"/>
  <c r="A155" i="24"/>
  <c r="Y71" i="23"/>
  <c r="A72" i="23"/>
  <c r="AC155" i="24" l="1"/>
  <c r="A156" i="24"/>
  <c r="Y72" i="23"/>
  <c r="A73" i="23"/>
  <c r="AC156" i="24" l="1"/>
  <c r="A157" i="24"/>
  <c r="A74" i="23"/>
  <c r="AC157" i="24" l="1"/>
  <c r="A158" i="24"/>
  <c r="Y74" i="23"/>
  <c r="A75" i="23"/>
  <c r="AC158" i="24" l="1"/>
  <c r="A159" i="24"/>
  <c r="Y75" i="23"/>
  <c r="A76" i="23"/>
  <c r="AC159" i="24" l="1"/>
  <c r="A160" i="24"/>
  <c r="Y76" i="23"/>
  <c r="A77" i="23"/>
  <c r="O15" i="2"/>
  <c r="N15" i="2"/>
  <c r="X13" i="2"/>
  <c r="T13" i="2"/>
  <c r="R13" i="2"/>
  <c r="H13" i="2"/>
  <c r="J13" i="2" s="1"/>
  <c r="R13" i="6"/>
  <c r="R14" i="6"/>
  <c r="R15" i="6"/>
  <c r="L271" i="6"/>
  <c r="H14" i="2"/>
  <c r="R14" i="2"/>
  <c r="T14" i="2"/>
  <c r="X14" i="2"/>
  <c r="F15" i="2"/>
  <c r="G15" i="2"/>
  <c r="I15" i="2"/>
  <c r="Q15" i="2"/>
  <c r="S15" i="2"/>
  <c r="I11" i="9"/>
  <c r="K11" i="9" s="1"/>
  <c r="O11" i="9"/>
  <c r="U11" i="9"/>
  <c r="W11" i="9"/>
  <c r="Z11" i="9"/>
  <c r="I12" i="9"/>
  <c r="K12" i="9" s="1"/>
  <c r="O12" i="9"/>
  <c r="U12" i="9"/>
  <c r="W12" i="9"/>
  <c r="Z12" i="9"/>
  <c r="I13" i="9"/>
  <c r="K13" i="9" s="1"/>
  <c r="O13" i="9"/>
  <c r="U13" i="9"/>
  <c r="W13" i="9"/>
  <c r="Z13" i="9"/>
  <c r="I14" i="9"/>
  <c r="K14" i="9" s="1"/>
  <c r="X14" i="9" s="1"/>
  <c r="O14" i="9"/>
  <c r="U14" i="9"/>
  <c r="W14" i="9"/>
  <c r="Z14" i="9"/>
  <c r="I15" i="9"/>
  <c r="K15" i="9" s="1"/>
  <c r="L15" i="9" s="1"/>
  <c r="N15" i="9"/>
  <c r="O15" i="9"/>
  <c r="U15" i="9"/>
  <c r="W15" i="9"/>
  <c r="Z15" i="9"/>
  <c r="I16" i="9"/>
  <c r="K16" i="9" s="1"/>
  <c r="X16" i="9" s="1"/>
  <c r="O16" i="9"/>
  <c r="U16" i="9"/>
  <c r="W16" i="9"/>
  <c r="Z16" i="9"/>
  <c r="I17" i="9"/>
  <c r="K17" i="9" s="1"/>
  <c r="X17" i="9" s="1"/>
  <c r="O17" i="9"/>
  <c r="U17" i="9"/>
  <c r="W17" i="9"/>
  <c r="Z17" i="9"/>
  <c r="I18" i="9"/>
  <c r="K18" i="9"/>
  <c r="X18" i="9" s="1"/>
  <c r="O18" i="9"/>
  <c r="U18" i="9"/>
  <c r="W18" i="9"/>
  <c r="Z18" i="9"/>
  <c r="I19" i="9"/>
  <c r="K19" i="9" s="1"/>
  <c r="O19" i="9"/>
  <c r="U19" i="9"/>
  <c r="W19" i="9"/>
  <c r="Z19" i="9"/>
  <c r="I20" i="9"/>
  <c r="K20" i="9" s="1"/>
  <c r="O20" i="9"/>
  <c r="U20" i="9"/>
  <c r="W20" i="9"/>
  <c r="Z20" i="9"/>
  <c r="I21" i="9"/>
  <c r="K21" i="9" s="1"/>
  <c r="O21" i="9"/>
  <c r="U21" i="9"/>
  <c r="W21" i="9"/>
  <c r="Z21" i="9"/>
  <c r="I22" i="9"/>
  <c r="K22" i="9" s="1"/>
  <c r="O22" i="9"/>
  <c r="U22" i="9"/>
  <c r="W22" i="9"/>
  <c r="Z22" i="9"/>
  <c r="I23" i="9"/>
  <c r="K23" i="9" s="1"/>
  <c r="L23" i="9" s="1"/>
  <c r="N23" i="9"/>
  <c r="R23" i="9" s="1"/>
  <c r="S23" i="9" s="1"/>
  <c r="Y23" i="9" s="1"/>
  <c r="O23" i="9"/>
  <c r="U23" i="9"/>
  <c r="W23" i="9"/>
  <c r="Z23" i="9"/>
  <c r="I24" i="9"/>
  <c r="K24" i="9" s="1"/>
  <c r="L24" i="9" s="1"/>
  <c r="N24" i="9" s="1"/>
  <c r="O24" i="9"/>
  <c r="U24" i="9"/>
  <c r="W24" i="9"/>
  <c r="Z24" i="9"/>
  <c r="I25" i="9"/>
  <c r="K25" i="9" s="1"/>
  <c r="X25" i="9" s="1"/>
  <c r="O25" i="9"/>
  <c r="U25" i="9"/>
  <c r="W25" i="9"/>
  <c r="Z25" i="9"/>
  <c r="I26" i="9"/>
  <c r="K26" i="9" s="1"/>
  <c r="L26" i="9" s="1"/>
  <c r="N26" i="9" s="1"/>
  <c r="O26" i="9"/>
  <c r="U26" i="9"/>
  <c r="W26" i="9"/>
  <c r="Z26" i="9"/>
  <c r="I27" i="9"/>
  <c r="K27" i="9" s="1"/>
  <c r="O27" i="9"/>
  <c r="U27" i="9"/>
  <c r="W27" i="9"/>
  <c r="Z27" i="9"/>
  <c r="I28" i="9"/>
  <c r="K28" i="9" s="1"/>
  <c r="L28" i="9" s="1"/>
  <c r="N28" i="9" s="1"/>
  <c r="O28" i="9"/>
  <c r="U28" i="9"/>
  <c r="W28" i="9"/>
  <c r="Z28" i="9"/>
  <c r="I29" i="9"/>
  <c r="K29" i="9" s="1"/>
  <c r="X29" i="9" s="1"/>
  <c r="O29" i="9"/>
  <c r="U29" i="9"/>
  <c r="W29" i="9"/>
  <c r="Z29" i="9"/>
  <c r="I30" i="9"/>
  <c r="K30" i="9" s="1"/>
  <c r="L30" i="9" s="1"/>
  <c r="N30" i="9" s="1"/>
  <c r="O30" i="9"/>
  <c r="U30" i="9"/>
  <c r="W30" i="9"/>
  <c r="Z30" i="9"/>
  <c r="I31" i="9"/>
  <c r="K31" i="9" s="1"/>
  <c r="O31" i="9"/>
  <c r="U31" i="9"/>
  <c r="W31" i="9"/>
  <c r="Z31" i="9"/>
  <c r="I32" i="9"/>
  <c r="K32" i="9" s="1"/>
  <c r="L32" i="9" s="1"/>
  <c r="N32" i="9" s="1"/>
  <c r="O32" i="9"/>
  <c r="U32" i="9"/>
  <c r="W32" i="9"/>
  <c r="Z32" i="9"/>
  <c r="I33" i="9"/>
  <c r="K33" i="9" s="1"/>
  <c r="X33" i="9" s="1"/>
  <c r="O33" i="9"/>
  <c r="U33" i="9"/>
  <c r="W33" i="9"/>
  <c r="Z33" i="9"/>
  <c r="I34" i="9"/>
  <c r="K34" i="9" s="1"/>
  <c r="X34" i="9" s="1"/>
  <c r="O34" i="9"/>
  <c r="U34" i="9"/>
  <c r="W34" i="9"/>
  <c r="Z34" i="9"/>
  <c r="I35" i="9"/>
  <c r="K35" i="9" s="1"/>
  <c r="O35" i="9"/>
  <c r="U35" i="9"/>
  <c r="W35" i="9"/>
  <c r="Z35" i="9"/>
  <c r="I36" i="9"/>
  <c r="K36" i="9" s="1"/>
  <c r="O36" i="9"/>
  <c r="U36" i="9"/>
  <c r="W36" i="9"/>
  <c r="Z36" i="9"/>
  <c r="I37" i="9"/>
  <c r="K37" i="9" s="1"/>
  <c r="O37" i="9"/>
  <c r="U37" i="9"/>
  <c r="W37" i="9"/>
  <c r="Z37" i="9"/>
  <c r="I38" i="9"/>
  <c r="K38" i="9" s="1"/>
  <c r="O38" i="9"/>
  <c r="U38" i="9"/>
  <c r="W38" i="9"/>
  <c r="Z38" i="9"/>
  <c r="I39" i="9"/>
  <c r="K39" i="9" s="1"/>
  <c r="O39" i="9"/>
  <c r="U39" i="9"/>
  <c r="W39" i="9"/>
  <c r="Z39" i="9"/>
  <c r="AD39" i="9"/>
  <c r="AD37" i="9" s="1"/>
  <c r="I40" i="9"/>
  <c r="K40" i="9" s="1"/>
  <c r="O40" i="9"/>
  <c r="U40" i="9"/>
  <c r="W40" i="9"/>
  <c r="Z40" i="9"/>
  <c r="I41" i="9"/>
  <c r="K41" i="9" s="1"/>
  <c r="O41" i="9"/>
  <c r="U41" i="9"/>
  <c r="W41" i="9"/>
  <c r="Z41" i="9"/>
  <c r="I42" i="9"/>
  <c r="K42" i="9" s="1"/>
  <c r="O42" i="9"/>
  <c r="U42" i="9"/>
  <c r="W42" i="9"/>
  <c r="Z42" i="9"/>
  <c r="I43" i="9"/>
  <c r="K43" i="9" s="1"/>
  <c r="O43" i="9"/>
  <c r="U43" i="9"/>
  <c r="W43" i="9"/>
  <c r="Z43" i="9"/>
  <c r="I44" i="9"/>
  <c r="K44" i="9" s="1"/>
  <c r="O44" i="9"/>
  <c r="U44" i="9"/>
  <c r="W44" i="9"/>
  <c r="Z44" i="9"/>
  <c r="I45" i="9"/>
  <c r="K45" i="9" s="1"/>
  <c r="O45" i="9"/>
  <c r="U45" i="9"/>
  <c r="W45" i="9"/>
  <c r="Z45" i="9"/>
  <c r="I46" i="9"/>
  <c r="K46" i="9" s="1"/>
  <c r="O46" i="9"/>
  <c r="U46" i="9"/>
  <c r="W46" i="9"/>
  <c r="Z46" i="9"/>
  <c r="I47" i="9"/>
  <c r="K47" i="9" s="1"/>
  <c r="O47" i="9"/>
  <c r="U47" i="9"/>
  <c r="W47" i="9"/>
  <c r="Z47" i="9"/>
  <c r="I48" i="9"/>
  <c r="K48" i="9" s="1"/>
  <c r="O48" i="9"/>
  <c r="U48" i="9"/>
  <c r="W48" i="9"/>
  <c r="Z48" i="9"/>
  <c r="I49" i="9"/>
  <c r="K49" i="9" s="1"/>
  <c r="L49" i="9" s="1"/>
  <c r="N49" i="9" s="1"/>
  <c r="O49" i="9"/>
  <c r="U49" i="9"/>
  <c r="W49" i="9"/>
  <c r="Z49" i="9"/>
  <c r="I50" i="9"/>
  <c r="K50" i="9" s="1"/>
  <c r="O50" i="9"/>
  <c r="U50" i="9"/>
  <c r="W50" i="9"/>
  <c r="Z50" i="9"/>
  <c r="I51" i="9"/>
  <c r="K51" i="9" s="1"/>
  <c r="O51" i="9"/>
  <c r="U51" i="9"/>
  <c r="W51" i="9"/>
  <c r="Z51" i="9"/>
  <c r="I52" i="9"/>
  <c r="K52" i="9" s="1"/>
  <c r="O52" i="9"/>
  <c r="U52" i="9"/>
  <c r="W52" i="9"/>
  <c r="Z52" i="9"/>
  <c r="I53" i="9"/>
  <c r="K53" i="9" s="1"/>
  <c r="O53" i="9"/>
  <c r="U53" i="9"/>
  <c r="W53" i="9"/>
  <c r="Z53" i="9"/>
  <c r="I54" i="9"/>
  <c r="K54" i="9" s="1"/>
  <c r="O54" i="9"/>
  <c r="U54" i="9"/>
  <c r="W54" i="9"/>
  <c r="Z54" i="9"/>
  <c r="I55" i="9"/>
  <c r="K55" i="9" s="1"/>
  <c r="L55" i="9" s="1"/>
  <c r="N55" i="9"/>
  <c r="O55" i="9"/>
  <c r="U55" i="9"/>
  <c r="W55" i="9"/>
  <c r="Z55" i="9"/>
  <c r="I56" i="9"/>
  <c r="K56" i="9" s="1"/>
  <c r="O56" i="9"/>
  <c r="U56" i="9"/>
  <c r="W56" i="9"/>
  <c r="Z56" i="9"/>
  <c r="I57" i="9"/>
  <c r="K57" i="9" s="1"/>
  <c r="O57" i="9"/>
  <c r="U57" i="9"/>
  <c r="W57" i="9"/>
  <c r="Z57" i="9"/>
  <c r="I58" i="9"/>
  <c r="K58" i="9" s="1"/>
  <c r="O58" i="9"/>
  <c r="U58" i="9"/>
  <c r="W58" i="9"/>
  <c r="Z58" i="9"/>
  <c r="I59" i="9"/>
  <c r="K59" i="9" s="1"/>
  <c r="O59" i="9"/>
  <c r="U59" i="9"/>
  <c r="W59" i="9"/>
  <c r="Z59" i="9"/>
  <c r="I60" i="9"/>
  <c r="K60" i="9" s="1"/>
  <c r="O60" i="9"/>
  <c r="U60" i="9"/>
  <c r="W60" i="9"/>
  <c r="Z60" i="9"/>
  <c r="I61" i="9"/>
  <c r="K61" i="9" s="1"/>
  <c r="O61" i="9"/>
  <c r="U61" i="9"/>
  <c r="W61" i="9"/>
  <c r="Z61" i="9"/>
  <c r="I62" i="9"/>
  <c r="K62" i="9" s="1"/>
  <c r="O62" i="9"/>
  <c r="U62" i="9"/>
  <c r="W62" i="9"/>
  <c r="Z62" i="9"/>
  <c r="I63" i="9"/>
  <c r="K63" i="9" s="1"/>
  <c r="O63" i="9"/>
  <c r="U63" i="9"/>
  <c r="W63" i="9"/>
  <c r="Z63" i="9"/>
  <c r="I64" i="9"/>
  <c r="K64" i="9" s="1"/>
  <c r="O64" i="9"/>
  <c r="U64" i="9"/>
  <c r="W64" i="9"/>
  <c r="Z64" i="9"/>
  <c r="I65" i="9"/>
  <c r="K65" i="9" s="1"/>
  <c r="O65" i="9"/>
  <c r="U65" i="9"/>
  <c r="W65" i="9"/>
  <c r="Z65" i="9"/>
  <c r="I66" i="9"/>
  <c r="K66" i="9" s="1"/>
  <c r="O66" i="9"/>
  <c r="U66" i="9"/>
  <c r="W66" i="9"/>
  <c r="Z66" i="9"/>
  <c r="I67" i="9"/>
  <c r="K67" i="9" s="1"/>
  <c r="O67" i="9"/>
  <c r="U67" i="9"/>
  <c r="W67" i="9"/>
  <c r="Z67" i="9"/>
  <c r="I68" i="9"/>
  <c r="K68" i="9" s="1"/>
  <c r="L68" i="9" s="1"/>
  <c r="N68" i="9" s="1"/>
  <c r="O68" i="9"/>
  <c r="U68" i="9"/>
  <c r="W68" i="9"/>
  <c r="Z68" i="9"/>
  <c r="I69" i="9"/>
  <c r="K69" i="9" s="1"/>
  <c r="L69" i="9" s="1"/>
  <c r="N69" i="9" s="1"/>
  <c r="O69" i="9"/>
  <c r="U69" i="9"/>
  <c r="W69" i="9"/>
  <c r="Z69" i="9"/>
  <c r="I70" i="9"/>
  <c r="K70" i="9" s="1"/>
  <c r="L70" i="9" s="1"/>
  <c r="N70" i="9" s="1"/>
  <c r="O70" i="9"/>
  <c r="U70" i="9"/>
  <c r="W70" i="9"/>
  <c r="Z70" i="9"/>
  <c r="I71" i="9"/>
  <c r="K71" i="9" s="1"/>
  <c r="O71" i="9"/>
  <c r="U71" i="9"/>
  <c r="W71" i="9"/>
  <c r="Z71" i="9"/>
  <c r="I72" i="9"/>
  <c r="K72" i="9" s="1"/>
  <c r="O72" i="9"/>
  <c r="U72" i="9"/>
  <c r="W72" i="9"/>
  <c r="Z72" i="9"/>
  <c r="I73" i="9"/>
  <c r="K73" i="9" s="1"/>
  <c r="L73" i="9" s="1"/>
  <c r="N73" i="9" s="1"/>
  <c r="O73" i="9"/>
  <c r="U73" i="9"/>
  <c r="W73" i="9"/>
  <c r="Z73" i="9"/>
  <c r="I74" i="9"/>
  <c r="K74" i="9" s="1"/>
  <c r="O74" i="9"/>
  <c r="U74" i="9"/>
  <c r="W74" i="9"/>
  <c r="Z74" i="9"/>
  <c r="I75" i="9"/>
  <c r="K75" i="9" s="1"/>
  <c r="O75" i="9"/>
  <c r="U75" i="9"/>
  <c r="W75" i="9"/>
  <c r="Z75" i="9"/>
  <c r="I76" i="9"/>
  <c r="K76" i="9" s="1"/>
  <c r="L76" i="9" s="1"/>
  <c r="N76" i="9" s="1"/>
  <c r="O76" i="9"/>
  <c r="U76" i="9"/>
  <c r="W76" i="9"/>
  <c r="Z76" i="9"/>
  <c r="I77" i="9"/>
  <c r="K77" i="9" s="1"/>
  <c r="L77" i="9" s="1"/>
  <c r="N77" i="9"/>
  <c r="O77" i="9"/>
  <c r="U77" i="9"/>
  <c r="W77" i="9"/>
  <c r="Z77" i="9"/>
  <c r="I78" i="9"/>
  <c r="K78" i="9" s="1"/>
  <c r="O78" i="9"/>
  <c r="U78" i="9"/>
  <c r="W78" i="9"/>
  <c r="Z78" i="9"/>
  <c r="I79" i="9"/>
  <c r="K79" i="9" s="1"/>
  <c r="O79" i="9"/>
  <c r="U79" i="9"/>
  <c r="W79" i="9"/>
  <c r="Z79" i="9"/>
  <c r="I80" i="9"/>
  <c r="K80" i="9" s="1"/>
  <c r="O80" i="9"/>
  <c r="U80" i="9"/>
  <c r="W80" i="9"/>
  <c r="Z80" i="9"/>
  <c r="G81" i="9"/>
  <c r="I81" i="9" s="1"/>
  <c r="K81" i="9" s="1"/>
  <c r="O81" i="9"/>
  <c r="U81" i="9"/>
  <c r="W81" i="9"/>
  <c r="Z81" i="9"/>
  <c r="G82" i="9"/>
  <c r="I82" i="9" s="1"/>
  <c r="K82" i="9" s="1"/>
  <c r="L82" i="9" s="1"/>
  <c r="N82" i="9" s="1"/>
  <c r="O82" i="9"/>
  <c r="U82" i="9"/>
  <c r="W82" i="9"/>
  <c r="Z82" i="9"/>
  <c r="G83" i="9"/>
  <c r="I83" i="9" s="1"/>
  <c r="K83" i="9" s="1"/>
  <c r="O83" i="9"/>
  <c r="U83" i="9"/>
  <c r="W83" i="9"/>
  <c r="Z83" i="9"/>
  <c r="I84" i="9"/>
  <c r="K84" i="9" s="1"/>
  <c r="O84" i="9"/>
  <c r="U84" i="9"/>
  <c r="W84" i="9"/>
  <c r="Z84" i="9"/>
  <c r="I85" i="9"/>
  <c r="K85" i="9" s="1"/>
  <c r="O85" i="9"/>
  <c r="U85" i="9"/>
  <c r="W85" i="9"/>
  <c r="Z85" i="9"/>
  <c r="I86" i="9"/>
  <c r="K86" i="9" s="1"/>
  <c r="O86" i="9"/>
  <c r="U86" i="9"/>
  <c r="W86" i="9"/>
  <c r="Z86" i="9"/>
  <c r="I87" i="9"/>
  <c r="K87" i="9" s="1"/>
  <c r="O87" i="9"/>
  <c r="U87" i="9"/>
  <c r="W87" i="9"/>
  <c r="Z87" i="9"/>
  <c r="I88" i="9"/>
  <c r="K88" i="9" s="1"/>
  <c r="O88" i="9"/>
  <c r="U88" i="9"/>
  <c r="W88" i="9"/>
  <c r="Z88" i="9"/>
  <c r="I89" i="9"/>
  <c r="K89" i="9" s="1"/>
  <c r="O89" i="9"/>
  <c r="U89" i="9"/>
  <c r="W89" i="9"/>
  <c r="Z89" i="9"/>
  <c r="I90" i="9"/>
  <c r="K90" i="9" s="1"/>
  <c r="O90" i="9"/>
  <c r="U90" i="9"/>
  <c r="W90" i="9"/>
  <c r="Z90" i="9"/>
  <c r="I91" i="9"/>
  <c r="K91" i="9" s="1"/>
  <c r="O91" i="9"/>
  <c r="U91" i="9"/>
  <c r="W91" i="9"/>
  <c r="Z91" i="9"/>
  <c r="G92" i="9"/>
  <c r="I92" i="9" s="1"/>
  <c r="K92" i="9" s="1"/>
  <c r="L92" i="9" s="1"/>
  <c r="N92" i="9" s="1"/>
  <c r="O92" i="9"/>
  <c r="U92" i="9"/>
  <c r="W92" i="9"/>
  <c r="Z92" i="9"/>
  <c r="I93" i="9"/>
  <c r="K93" i="9" s="1"/>
  <c r="X93" i="9" s="1"/>
  <c r="O93" i="9"/>
  <c r="U93" i="9"/>
  <c r="W93" i="9"/>
  <c r="Z93" i="9"/>
  <c r="I94" i="9"/>
  <c r="K94" i="9" s="1"/>
  <c r="X94" i="9" s="1"/>
  <c r="O94" i="9"/>
  <c r="U94" i="9"/>
  <c r="W94" i="9"/>
  <c r="Z94" i="9"/>
  <c r="I95" i="9"/>
  <c r="K95" i="9" s="1"/>
  <c r="X95" i="9" s="1"/>
  <c r="O95" i="9"/>
  <c r="U95" i="9"/>
  <c r="W95" i="9"/>
  <c r="Z95" i="9"/>
  <c r="I96" i="9"/>
  <c r="K96" i="9" s="1"/>
  <c r="X96" i="9" s="1"/>
  <c r="O96" i="9"/>
  <c r="U96" i="9"/>
  <c r="W96" i="9"/>
  <c r="Z96" i="9"/>
  <c r="I97" i="9"/>
  <c r="K97" i="9" s="1"/>
  <c r="X97" i="9" s="1"/>
  <c r="O97" i="9"/>
  <c r="U97" i="9"/>
  <c r="W97" i="9"/>
  <c r="Z97" i="9"/>
  <c r="I98" i="9"/>
  <c r="K98" i="9" s="1"/>
  <c r="X98" i="9" s="1"/>
  <c r="O98" i="9"/>
  <c r="U98" i="9"/>
  <c r="W98" i="9"/>
  <c r="Z98" i="9"/>
  <c r="I99" i="9"/>
  <c r="K99" i="9" s="1"/>
  <c r="X99" i="9" s="1"/>
  <c r="O99" i="9"/>
  <c r="U99" i="9"/>
  <c r="W99" i="9"/>
  <c r="Z99" i="9"/>
  <c r="I100" i="9"/>
  <c r="K100" i="9" s="1"/>
  <c r="X100" i="9" s="1"/>
  <c r="O100" i="9"/>
  <c r="U100" i="9"/>
  <c r="W100" i="9"/>
  <c r="Z100" i="9"/>
  <c r="I101" i="9"/>
  <c r="K101" i="9" s="1"/>
  <c r="X101" i="9" s="1"/>
  <c r="O101" i="9"/>
  <c r="U101" i="9"/>
  <c r="W101" i="9"/>
  <c r="Z101" i="9"/>
  <c r="I102" i="9"/>
  <c r="K102" i="9" s="1"/>
  <c r="X102" i="9" s="1"/>
  <c r="L102" i="9"/>
  <c r="N102" i="9" s="1"/>
  <c r="R102" i="9" s="1"/>
  <c r="S102" i="9" s="1"/>
  <c r="O102" i="9"/>
  <c r="U102" i="9"/>
  <c r="W102" i="9"/>
  <c r="Z102" i="9"/>
  <c r="I103" i="9"/>
  <c r="K103" i="9" s="1"/>
  <c r="X103" i="9" s="1"/>
  <c r="O103" i="9"/>
  <c r="U103" i="9"/>
  <c r="W103" i="9"/>
  <c r="Z103" i="9"/>
  <c r="I104" i="9"/>
  <c r="K104" i="9" s="1"/>
  <c r="X104" i="9" s="1"/>
  <c r="O104" i="9"/>
  <c r="U104" i="9"/>
  <c r="W104" i="9"/>
  <c r="Z104" i="9"/>
  <c r="I105" i="9"/>
  <c r="K105" i="9" s="1"/>
  <c r="X105" i="9" s="1"/>
  <c r="O105" i="9"/>
  <c r="U105" i="9"/>
  <c r="W105" i="9"/>
  <c r="Z105" i="9"/>
  <c r="I106" i="9"/>
  <c r="K106" i="9" s="1"/>
  <c r="X106" i="9" s="1"/>
  <c r="O106" i="9"/>
  <c r="U106" i="9"/>
  <c r="W106" i="9"/>
  <c r="Z106" i="9"/>
  <c r="I107" i="9"/>
  <c r="K107" i="9" s="1"/>
  <c r="X107" i="9" s="1"/>
  <c r="O107" i="9"/>
  <c r="U107" i="9"/>
  <c r="W107" i="9"/>
  <c r="Z107" i="9"/>
  <c r="I108" i="9"/>
  <c r="K108" i="9" s="1"/>
  <c r="X108" i="9" s="1"/>
  <c r="O108" i="9"/>
  <c r="U108" i="9"/>
  <c r="W108" i="9"/>
  <c r="Z108" i="9"/>
  <c r="I109" i="9"/>
  <c r="K109" i="9" s="1"/>
  <c r="X109" i="9" s="1"/>
  <c r="O109" i="9"/>
  <c r="U109" i="9"/>
  <c r="W109" i="9"/>
  <c r="Z109" i="9"/>
  <c r="I110" i="9"/>
  <c r="K110" i="9" s="1"/>
  <c r="O110" i="9"/>
  <c r="U110" i="9"/>
  <c r="W110" i="9"/>
  <c r="Z110" i="9"/>
  <c r="I111" i="9"/>
  <c r="K111" i="9" s="1"/>
  <c r="L111" i="9" s="1"/>
  <c r="N111" i="9"/>
  <c r="O111" i="9"/>
  <c r="U111" i="9"/>
  <c r="W111" i="9"/>
  <c r="Z111" i="9"/>
  <c r="I112" i="9"/>
  <c r="K112" i="9" s="1"/>
  <c r="L112" i="9" s="1"/>
  <c r="N112" i="9"/>
  <c r="O112" i="9"/>
  <c r="U112" i="9"/>
  <c r="W112" i="9"/>
  <c r="Z112" i="9"/>
  <c r="I113" i="9"/>
  <c r="K113" i="9" s="1"/>
  <c r="O113" i="9"/>
  <c r="U113" i="9"/>
  <c r="W113" i="9"/>
  <c r="Z113" i="9"/>
  <c r="I114" i="9"/>
  <c r="K114" i="9" s="1"/>
  <c r="L114" i="9" s="1"/>
  <c r="N114" i="9" s="1"/>
  <c r="R114" i="9" s="1"/>
  <c r="S114" i="9" s="1"/>
  <c r="O114" i="9"/>
  <c r="U114" i="9"/>
  <c r="W114" i="9"/>
  <c r="Z114" i="9"/>
  <c r="I115" i="9"/>
  <c r="K115" i="9" s="1"/>
  <c r="O115" i="9"/>
  <c r="U115" i="9"/>
  <c r="W115" i="9"/>
  <c r="Z115" i="9"/>
  <c r="I116" i="9"/>
  <c r="K116" i="9" s="1"/>
  <c r="O116" i="9"/>
  <c r="U116" i="9"/>
  <c r="W116" i="9"/>
  <c r="Z116" i="9"/>
  <c r="I117" i="9"/>
  <c r="K117" i="9"/>
  <c r="L117" i="9" s="1"/>
  <c r="N117" i="9" s="1"/>
  <c r="R117" i="9" s="1"/>
  <c r="S117" i="9" s="1"/>
  <c r="O117" i="9"/>
  <c r="U117" i="9"/>
  <c r="W117" i="9"/>
  <c r="Z117" i="9"/>
  <c r="I118" i="9"/>
  <c r="K118" i="9" s="1"/>
  <c r="L118" i="9" s="1"/>
  <c r="N118" i="9" s="1"/>
  <c r="O118" i="9"/>
  <c r="U118" i="9"/>
  <c r="W118" i="9"/>
  <c r="Z118" i="9"/>
  <c r="I119" i="9"/>
  <c r="K119" i="9" s="1"/>
  <c r="O119" i="9"/>
  <c r="U119" i="9"/>
  <c r="W119" i="9"/>
  <c r="Z119" i="9"/>
  <c r="I120" i="9"/>
  <c r="K120" i="9" s="1"/>
  <c r="O120" i="9"/>
  <c r="U120" i="9"/>
  <c r="W120" i="9"/>
  <c r="Z120" i="9"/>
  <c r="I121" i="9"/>
  <c r="K121" i="9" s="1"/>
  <c r="O121" i="9"/>
  <c r="U121" i="9"/>
  <c r="W121" i="9"/>
  <c r="Z121" i="9"/>
  <c r="I122" i="9"/>
  <c r="K122" i="9" s="1"/>
  <c r="L122" i="9" s="1"/>
  <c r="N122" i="9" s="1"/>
  <c r="O122" i="9"/>
  <c r="U122" i="9"/>
  <c r="W122" i="9"/>
  <c r="Z122" i="9"/>
  <c r="I123" i="9"/>
  <c r="K123" i="9" s="1"/>
  <c r="O123" i="9"/>
  <c r="U123" i="9"/>
  <c r="W123" i="9"/>
  <c r="Z123" i="9"/>
  <c r="I124" i="9"/>
  <c r="K124" i="9" s="1"/>
  <c r="O124" i="9"/>
  <c r="U124" i="9"/>
  <c r="W124" i="9"/>
  <c r="Z124" i="9"/>
  <c r="I125" i="9"/>
  <c r="K125" i="9" s="1"/>
  <c r="O125" i="9"/>
  <c r="U125" i="9"/>
  <c r="W125" i="9"/>
  <c r="Z125" i="9"/>
  <c r="I126" i="9"/>
  <c r="K126" i="9" s="1"/>
  <c r="L126" i="9" s="1"/>
  <c r="N126" i="9" s="1"/>
  <c r="O126" i="9"/>
  <c r="U126" i="9"/>
  <c r="W126" i="9"/>
  <c r="Z126" i="9"/>
  <c r="I127" i="9"/>
  <c r="K127" i="9" s="1"/>
  <c r="O127" i="9"/>
  <c r="U127" i="9"/>
  <c r="W127" i="9"/>
  <c r="Z127" i="9"/>
  <c r="I128" i="9"/>
  <c r="K128" i="9" s="1"/>
  <c r="O128" i="9"/>
  <c r="U128" i="9"/>
  <c r="W128" i="9"/>
  <c r="Z128" i="9"/>
  <c r="I129" i="9"/>
  <c r="K129" i="9" s="1"/>
  <c r="O129" i="9"/>
  <c r="U129" i="9"/>
  <c r="W129" i="9"/>
  <c r="Z129" i="9"/>
  <c r="I130" i="9"/>
  <c r="K130" i="9" s="1"/>
  <c r="L130" i="9" s="1"/>
  <c r="N130" i="9" s="1"/>
  <c r="R130" i="9" s="1"/>
  <c r="S130" i="9" s="1"/>
  <c r="O130" i="9"/>
  <c r="U130" i="9"/>
  <c r="W130" i="9"/>
  <c r="Z130" i="9"/>
  <c r="AD130" i="9"/>
  <c r="I131" i="9"/>
  <c r="K131" i="9" s="1"/>
  <c r="O131" i="9"/>
  <c r="U131" i="9"/>
  <c r="W131" i="9"/>
  <c r="Z131" i="9"/>
  <c r="I132" i="9"/>
  <c r="K132" i="9" s="1"/>
  <c r="O132" i="9"/>
  <c r="U132" i="9"/>
  <c r="W132" i="9"/>
  <c r="Z132" i="9"/>
  <c r="AE132" i="9"/>
  <c r="I133" i="9"/>
  <c r="K133" i="9" s="1"/>
  <c r="O133" i="9"/>
  <c r="U133" i="9"/>
  <c r="W133" i="9"/>
  <c r="Z133" i="9"/>
  <c r="I134" i="9"/>
  <c r="K134" i="9" s="1"/>
  <c r="O134" i="9"/>
  <c r="U134" i="9"/>
  <c r="W134" i="9"/>
  <c r="Z134" i="9"/>
  <c r="G135" i="9"/>
  <c r="I135" i="9" s="1"/>
  <c r="O135" i="9"/>
  <c r="U135" i="9"/>
  <c r="W135" i="9"/>
  <c r="Z135" i="9"/>
  <c r="I136" i="9"/>
  <c r="K136" i="9" s="1"/>
  <c r="X136" i="9" s="1"/>
  <c r="O136" i="9"/>
  <c r="U136" i="9"/>
  <c r="W136" i="9"/>
  <c r="Z136" i="9"/>
  <c r="I137" i="9"/>
  <c r="K137" i="9" s="1"/>
  <c r="O137" i="9"/>
  <c r="U137" i="9"/>
  <c r="W137" i="9"/>
  <c r="Z137" i="9"/>
  <c r="I138" i="9"/>
  <c r="K138" i="9" s="1"/>
  <c r="O138" i="9"/>
  <c r="U138" i="9"/>
  <c r="W138" i="9"/>
  <c r="Z138" i="9"/>
  <c r="I139" i="9"/>
  <c r="K139" i="9" s="1"/>
  <c r="O139" i="9"/>
  <c r="U139" i="9"/>
  <c r="W139" i="9"/>
  <c r="Z139" i="9"/>
  <c r="I140" i="9"/>
  <c r="K140" i="9" s="1"/>
  <c r="O140" i="9"/>
  <c r="U140" i="9"/>
  <c r="W140" i="9"/>
  <c r="Z140" i="9"/>
  <c r="I141" i="9"/>
  <c r="K141" i="9" s="1"/>
  <c r="O141" i="9"/>
  <c r="U141" i="9"/>
  <c r="W141" i="9"/>
  <c r="Z141" i="9"/>
  <c r="I142" i="9"/>
  <c r="K142" i="9" s="1"/>
  <c r="X142" i="9" s="1"/>
  <c r="O142" i="9"/>
  <c r="U142" i="9"/>
  <c r="W142" i="9"/>
  <c r="Z142" i="9"/>
  <c r="I143" i="9"/>
  <c r="K143" i="9" s="1"/>
  <c r="O143" i="9"/>
  <c r="U143" i="9"/>
  <c r="W143" i="9"/>
  <c r="Z143" i="9"/>
  <c r="I144" i="9"/>
  <c r="K144" i="9" s="1"/>
  <c r="O144" i="9"/>
  <c r="U144" i="9"/>
  <c r="W144" i="9"/>
  <c r="Z144" i="9"/>
  <c r="I145" i="9"/>
  <c r="K145" i="9" s="1"/>
  <c r="O145" i="9"/>
  <c r="U145" i="9"/>
  <c r="W145" i="9"/>
  <c r="Z145" i="9"/>
  <c r="I146" i="9"/>
  <c r="K146" i="9" s="1"/>
  <c r="X146" i="9" s="1"/>
  <c r="O146" i="9"/>
  <c r="U146" i="9"/>
  <c r="W146" i="9"/>
  <c r="Z146" i="9"/>
  <c r="I147" i="9"/>
  <c r="K147" i="9" s="1"/>
  <c r="O147" i="9"/>
  <c r="U147" i="9"/>
  <c r="W147" i="9"/>
  <c r="Z147" i="9"/>
  <c r="I148" i="9"/>
  <c r="K148" i="9" s="1"/>
  <c r="O148" i="9"/>
  <c r="U148" i="9"/>
  <c r="W148" i="9"/>
  <c r="Z148" i="9"/>
  <c r="I149" i="9"/>
  <c r="K149" i="9" s="1"/>
  <c r="O149" i="9"/>
  <c r="U149" i="9"/>
  <c r="W149" i="9"/>
  <c r="Z149" i="9"/>
  <c r="I150" i="9"/>
  <c r="K150" i="9" s="1"/>
  <c r="O150" i="9"/>
  <c r="U150" i="9"/>
  <c r="W150" i="9"/>
  <c r="Z150" i="9"/>
  <c r="I151" i="9"/>
  <c r="K151" i="9" s="1"/>
  <c r="L151" i="9" s="1"/>
  <c r="N151" i="9" s="1"/>
  <c r="O151" i="9"/>
  <c r="U151" i="9"/>
  <c r="W151" i="9"/>
  <c r="Z151" i="9"/>
  <c r="I152" i="9"/>
  <c r="K152" i="9" s="1"/>
  <c r="X152" i="9" s="1"/>
  <c r="O152" i="9"/>
  <c r="U152" i="9"/>
  <c r="W152" i="9"/>
  <c r="Z152" i="9"/>
  <c r="I153" i="9"/>
  <c r="K153" i="9" s="1"/>
  <c r="O153" i="9"/>
  <c r="U153" i="9"/>
  <c r="W153" i="9"/>
  <c r="Z153" i="9"/>
  <c r="I154" i="9"/>
  <c r="K154" i="9" s="1"/>
  <c r="X154" i="9" s="1"/>
  <c r="O154" i="9"/>
  <c r="U154" i="9"/>
  <c r="W154" i="9"/>
  <c r="Z154" i="9"/>
  <c r="G155" i="9"/>
  <c r="I155" i="9" s="1"/>
  <c r="K155" i="9" s="1"/>
  <c r="O155" i="9"/>
  <c r="U155" i="9"/>
  <c r="W155" i="9"/>
  <c r="Z155" i="9"/>
  <c r="I156" i="9"/>
  <c r="K156" i="9" s="1"/>
  <c r="O156" i="9"/>
  <c r="U156" i="9"/>
  <c r="W156" i="9"/>
  <c r="Z156" i="9"/>
  <c r="I157" i="9"/>
  <c r="K157" i="9" s="1"/>
  <c r="L157" i="9" s="1"/>
  <c r="N157" i="9" s="1"/>
  <c r="O157" i="9"/>
  <c r="U157" i="9"/>
  <c r="W157" i="9"/>
  <c r="X157" i="9"/>
  <c r="Z157" i="9"/>
  <c r="I158" i="9"/>
  <c r="K158" i="9" s="1"/>
  <c r="O158" i="9"/>
  <c r="U158" i="9"/>
  <c r="W158" i="9"/>
  <c r="Z158" i="9"/>
  <c r="G159" i="9"/>
  <c r="I159" i="9" s="1"/>
  <c r="K159" i="9"/>
  <c r="O159" i="9"/>
  <c r="U159" i="9"/>
  <c r="W159" i="9"/>
  <c r="Z159" i="9"/>
  <c r="G160" i="9"/>
  <c r="I160" i="9" s="1"/>
  <c r="K160" i="9" s="1"/>
  <c r="X160" i="9" s="1"/>
  <c r="O160" i="9"/>
  <c r="U160" i="9"/>
  <c r="W160" i="9"/>
  <c r="Z160" i="9"/>
  <c r="I161" i="9"/>
  <c r="K161" i="9" s="1"/>
  <c r="O161" i="9"/>
  <c r="U161" i="9"/>
  <c r="W161" i="9"/>
  <c r="Z161" i="9"/>
  <c r="I162" i="9"/>
  <c r="K162" i="9" s="1"/>
  <c r="O162" i="9"/>
  <c r="U162" i="9"/>
  <c r="W162" i="9"/>
  <c r="Z162" i="9"/>
  <c r="I163" i="9"/>
  <c r="K163" i="9" s="1"/>
  <c r="O163" i="9"/>
  <c r="U163" i="9"/>
  <c r="W163" i="9"/>
  <c r="Z163" i="9"/>
  <c r="I164" i="9"/>
  <c r="K164" i="9" s="1"/>
  <c r="O164" i="9"/>
  <c r="U164" i="9"/>
  <c r="W164" i="9"/>
  <c r="Z164" i="9"/>
  <c r="I165" i="9"/>
  <c r="K165" i="9" s="1"/>
  <c r="O165" i="9"/>
  <c r="U165" i="9"/>
  <c r="W165" i="9"/>
  <c r="Z165" i="9"/>
  <c r="I166" i="9"/>
  <c r="K166" i="9" s="1"/>
  <c r="O166" i="9"/>
  <c r="U166" i="9"/>
  <c r="W166" i="9"/>
  <c r="Z166" i="9"/>
  <c r="I167" i="9"/>
  <c r="K167" i="9" s="1"/>
  <c r="O167" i="9"/>
  <c r="U167" i="9"/>
  <c r="W167" i="9"/>
  <c r="Z167" i="9"/>
  <c r="I168" i="9"/>
  <c r="K168" i="9" s="1"/>
  <c r="O168" i="9"/>
  <c r="U168" i="9"/>
  <c r="W168" i="9"/>
  <c r="Z168" i="9"/>
  <c r="I169" i="9"/>
  <c r="K169" i="9" s="1"/>
  <c r="O169" i="9"/>
  <c r="U169" i="9"/>
  <c r="W169" i="9"/>
  <c r="Z169" i="9"/>
  <c r="I170" i="9"/>
  <c r="K170" i="9" s="1"/>
  <c r="O170" i="9"/>
  <c r="U170" i="9"/>
  <c r="W170" i="9"/>
  <c r="Z170" i="9"/>
  <c r="I171" i="9"/>
  <c r="K171" i="9" s="1"/>
  <c r="O171" i="9"/>
  <c r="U171" i="9"/>
  <c r="W171" i="9"/>
  <c r="Z171" i="9"/>
  <c r="I172" i="9"/>
  <c r="K172" i="9" s="1"/>
  <c r="O172" i="9"/>
  <c r="U172" i="9"/>
  <c r="W172" i="9"/>
  <c r="Z172" i="9"/>
  <c r="I173" i="9"/>
  <c r="K173" i="9" s="1"/>
  <c r="O173" i="9"/>
  <c r="U173" i="9"/>
  <c r="W173" i="9"/>
  <c r="Z173" i="9"/>
  <c r="I174" i="9"/>
  <c r="K174" i="9" s="1"/>
  <c r="O174" i="9"/>
  <c r="U174" i="9"/>
  <c r="W174" i="9"/>
  <c r="Z174" i="9"/>
  <c r="I175" i="9"/>
  <c r="K175" i="9" s="1"/>
  <c r="O175" i="9"/>
  <c r="U175" i="9"/>
  <c r="W175" i="9"/>
  <c r="Z175" i="9"/>
  <c r="I176" i="9"/>
  <c r="K176" i="9" s="1"/>
  <c r="O176" i="9"/>
  <c r="U176" i="9"/>
  <c r="W176" i="9"/>
  <c r="Z176" i="9"/>
  <c r="I177" i="9"/>
  <c r="K177" i="9" s="1"/>
  <c r="O177" i="9"/>
  <c r="U177" i="9"/>
  <c r="W177" i="9"/>
  <c r="Z177" i="9"/>
  <c r="I178" i="9"/>
  <c r="K178" i="9" s="1"/>
  <c r="O178" i="9"/>
  <c r="U178" i="9"/>
  <c r="W178" i="9"/>
  <c r="Z178" i="9"/>
  <c r="I179" i="9"/>
  <c r="K179" i="9" s="1"/>
  <c r="O179" i="9"/>
  <c r="U179" i="9"/>
  <c r="W179" i="9"/>
  <c r="Z179" i="9"/>
  <c r="I180" i="9"/>
  <c r="K180" i="9" s="1"/>
  <c r="O180" i="9"/>
  <c r="U180" i="9"/>
  <c r="W180" i="9"/>
  <c r="Z180" i="9"/>
  <c r="I181" i="9"/>
  <c r="K181" i="9" s="1"/>
  <c r="O181" i="9"/>
  <c r="U181" i="9"/>
  <c r="W181" i="9"/>
  <c r="Z181" i="9"/>
  <c r="G182" i="9"/>
  <c r="I182" i="9" s="1"/>
  <c r="K182" i="9" s="1"/>
  <c r="X182" i="9" s="1"/>
  <c r="L182" i="9"/>
  <c r="N182" i="9" s="1"/>
  <c r="R182" i="9" s="1"/>
  <c r="S182" i="9" s="1"/>
  <c r="O182" i="9"/>
  <c r="U182" i="9"/>
  <c r="W182" i="9"/>
  <c r="Z182" i="9"/>
  <c r="I183" i="9"/>
  <c r="K183" i="9" s="1"/>
  <c r="L183" i="9" s="1"/>
  <c r="N183" i="9" s="1"/>
  <c r="O183" i="9"/>
  <c r="U183" i="9"/>
  <c r="W183" i="9"/>
  <c r="X183" i="9"/>
  <c r="Z183" i="9"/>
  <c r="G184" i="9"/>
  <c r="I184" i="9" s="1"/>
  <c r="K184" i="9" s="1"/>
  <c r="O184" i="9"/>
  <c r="U184" i="9"/>
  <c r="W184" i="9"/>
  <c r="Z184" i="9"/>
  <c r="G185" i="9"/>
  <c r="I185" i="9" s="1"/>
  <c r="O185" i="9"/>
  <c r="U185" i="9"/>
  <c r="W185" i="9"/>
  <c r="Z185" i="9"/>
  <c r="G186" i="9"/>
  <c r="I186" i="9" s="1"/>
  <c r="K186" i="9" s="1"/>
  <c r="X186" i="9" s="1"/>
  <c r="O186" i="9"/>
  <c r="U186" i="9"/>
  <c r="W186" i="9"/>
  <c r="Z186" i="9"/>
  <c r="I187" i="9"/>
  <c r="K187" i="9" s="1"/>
  <c r="L187" i="9" s="1"/>
  <c r="N187" i="9" s="1"/>
  <c r="O187" i="9"/>
  <c r="U187" i="9"/>
  <c r="W187" i="9"/>
  <c r="Z187" i="9"/>
  <c r="I188" i="9"/>
  <c r="K188" i="9" s="1"/>
  <c r="L188" i="9" s="1"/>
  <c r="N188" i="9" s="1"/>
  <c r="O188" i="9"/>
  <c r="U188" i="9"/>
  <c r="W188" i="9"/>
  <c r="X188" i="9"/>
  <c r="Z188" i="9"/>
  <c r="I189" i="9"/>
  <c r="K189" i="9" s="1"/>
  <c r="X189" i="9" s="1"/>
  <c r="O189" i="9"/>
  <c r="U189" i="9"/>
  <c r="W189" i="9"/>
  <c r="Z189" i="9"/>
  <c r="I190" i="9"/>
  <c r="K190" i="9" s="1"/>
  <c r="O190" i="9"/>
  <c r="U190" i="9"/>
  <c r="W190" i="9"/>
  <c r="Z190" i="9"/>
  <c r="I191" i="9"/>
  <c r="K191" i="9" s="1"/>
  <c r="O191" i="9"/>
  <c r="U191" i="9"/>
  <c r="W191" i="9"/>
  <c r="Z191" i="9"/>
  <c r="I192" i="9"/>
  <c r="K192" i="9" s="1"/>
  <c r="O192" i="9"/>
  <c r="U192" i="9"/>
  <c r="W192" i="9"/>
  <c r="Z192" i="9"/>
  <c r="I193" i="9"/>
  <c r="K193" i="9" s="1"/>
  <c r="O193" i="9"/>
  <c r="U193" i="9"/>
  <c r="W193" i="9"/>
  <c r="Z193" i="9"/>
  <c r="I194" i="9"/>
  <c r="K194" i="9" s="1"/>
  <c r="O194" i="9"/>
  <c r="U194" i="9"/>
  <c r="W194" i="9"/>
  <c r="Z194" i="9"/>
  <c r="I195" i="9"/>
  <c r="K195" i="9" s="1"/>
  <c r="O195" i="9"/>
  <c r="U195" i="9"/>
  <c r="W195" i="9"/>
  <c r="Z195" i="9"/>
  <c r="I196" i="9"/>
  <c r="K196" i="9" s="1"/>
  <c r="O196" i="9"/>
  <c r="U196" i="9"/>
  <c r="W196" i="9"/>
  <c r="Z196" i="9"/>
  <c r="I197" i="9"/>
  <c r="K197" i="9" s="1"/>
  <c r="O197" i="9"/>
  <c r="U197" i="9"/>
  <c r="W197" i="9"/>
  <c r="Z197" i="9"/>
  <c r="I198" i="9"/>
  <c r="K198" i="9"/>
  <c r="O198" i="9"/>
  <c r="U198" i="9"/>
  <c r="W198" i="9"/>
  <c r="Z198" i="9"/>
  <c r="I199" i="9"/>
  <c r="K199" i="9" s="1"/>
  <c r="O199" i="9"/>
  <c r="U199" i="9"/>
  <c r="W199" i="9"/>
  <c r="Z199" i="9"/>
  <c r="I200" i="9"/>
  <c r="K200" i="9" s="1"/>
  <c r="X200" i="9" s="1"/>
  <c r="O200" i="9"/>
  <c r="U200" i="9"/>
  <c r="W200" i="9"/>
  <c r="Z200" i="9"/>
  <c r="I201" i="9"/>
  <c r="K201" i="9" s="1"/>
  <c r="O201" i="9"/>
  <c r="U201" i="9"/>
  <c r="W201" i="9"/>
  <c r="Z201" i="9"/>
  <c r="I202" i="9"/>
  <c r="K202" i="9" s="1"/>
  <c r="X202" i="9" s="1"/>
  <c r="O202" i="9"/>
  <c r="U202" i="9"/>
  <c r="W202" i="9"/>
  <c r="Z202" i="9"/>
  <c r="I203" i="9"/>
  <c r="K203" i="9" s="1"/>
  <c r="X203" i="9" s="1"/>
  <c r="O203" i="9"/>
  <c r="U203" i="9"/>
  <c r="W203" i="9"/>
  <c r="Z203" i="9"/>
  <c r="I204" i="9"/>
  <c r="K204" i="9" s="1"/>
  <c r="O204" i="9"/>
  <c r="U204" i="9"/>
  <c r="W204" i="9"/>
  <c r="Z204" i="9"/>
  <c r="I205" i="9"/>
  <c r="K205" i="9" s="1"/>
  <c r="L205" i="9" s="1"/>
  <c r="N205" i="9" s="1"/>
  <c r="O205" i="9"/>
  <c r="U205" i="9"/>
  <c r="W205" i="9"/>
  <c r="X205" i="9"/>
  <c r="Z205" i="9"/>
  <c r="G206" i="9"/>
  <c r="I206" i="9" s="1"/>
  <c r="K206" i="9" s="1"/>
  <c r="O206" i="9"/>
  <c r="U206" i="9"/>
  <c r="W206" i="9"/>
  <c r="Z206" i="9"/>
  <c r="I207" i="9"/>
  <c r="K207" i="9" s="1"/>
  <c r="O207" i="9"/>
  <c r="U207" i="9"/>
  <c r="W207" i="9"/>
  <c r="Z207" i="9"/>
  <c r="I208" i="9"/>
  <c r="K208" i="9" s="1"/>
  <c r="O208" i="9"/>
  <c r="U208" i="9"/>
  <c r="W208" i="9"/>
  <c r="Z208" i="9"/>
  <c r="I209" i="9"/>
  <c r="K209" i="9" s="1"/>
  <c r="O209" i="9"/>
  <c r="U209" i="9"/>
  <c r="W209" i="9"/>
  <c r="Z209" i="9"/>
  <c r="I210" i="9"/>
  <c r="K210" i="9" s="1"/>
  <c r="L210" i="9" s="1"/>
  <c r="N210" i="9" s="1"/>
  <c r="R210" i="9" s="1"/>
  <c r="S210" i="9" s="1"/>
  <c r="O210" i="9"/>
  <c r="U210" i="9"/>
  <c r="W210" i="9"/>
  <c r="Z210" i="9"/>
  <c r="I211" i="9"/>
  <c r="K211" i="9" s="1"/>
  <c r="O211" i="9"/>
  <c r="U211" i="9"/>
  <c r="W211" i="9"/>
  <c r="Z211" i="9"/>
  <c r="I212" i="9"/>
  <c r="K212" i="9" s="1"/>
  <c r="O212" i="9"/>
  <c r="U212" i="9"/>
  <c r="W212" i="9"/>
  <c r="Z212" i="9"/>
  <c r="I213" i="9"/>
  <c r="K213" i="9" s="1"/>
  <c r="X213" i="9" s="1"/>
  <c r="O213" i="9"/>
  <c r="U213" i="9"/>
  <c r="W213" i="9"/>
  <c r="Z213" i="9"/>
  <c r="I214" i="9"/>
  <c r="K214" i="9" s="1"/>
  <c r="L214" i="9" s="1"/>
  <c r="N214" i="9" s="1"/>
  <c r="O214" i="9"/>
  <c r="U214" i="9"/>
  <c r="W214" i="9"/>
  <c r="Z214" i="9"/>
  <c r="I215" i="9"/>
  <c r="K215" i="9" s="1"/>
  <c r="O215" i="9"/>
  <c r="U215" i="9"/>
  <c r="W215" i="9"/>
  <c r="Z215" i="9"/>
  <c r="I216" i="9"/>
  <c r="K216" i="9" s="1"/>
  <c r="O216" i="9"/>
  <c r="U216" i="9"/>
  <c r="W216" i="9"/>
  <c r="Z216" i="9"/>
  <c r="I217" i="9"/>
  <c r="K217" i="9"/>
  <c r="L217" i="9" s="1"/>
  <c r="N217" i="9"/>
  <c r="O217" i="9"/>
  <c r="R217" i="9" s="1"/>
  <c r="S217" i="9" s="1"/>
  <c r="U217" i="9"/>
  <c r="W217" i="9"/>
  <c r="Z217" i="9"/>
  <c r="I218" i="9"/>
  <c r="K218" i="9" s="1"/>
  <c r="X218" i="9" s="1"/>
  <c r="O218" i="9"/>
  <c r="U218" i="9"/>
  <c r="W218" i="9"/>
  <c r="Z218" i="9"/>
  <c r="I219" i="9"/>
  <c r="K219" i="9" s="1"/>
  <c r="X219" i="9" s="1"/>
  <c r="O219" i="9"/>
  <c r="U219" i="9"/>
  <c r="W219" i="9"/>
  <c r="Z219" i="9"/>
  <c r="I220" i="9"/>
  <c r="K220" i="9" s="1"/>
  <c r="L220" i="9" s="1"/>
  <c r="N220" i="9"/>
  <c r="O220" i="9"/>
  <c r="U220" i="9"/>
  <c r="W220" i="9"/>
  <c r="Z220" i="9"/>
  <c r="I221" i="9"/>
  <c r="K221" i="9" s="1"/>
  <c r="X221" i="9" s="1"/>
  <c r="O221" i="9"/>
  <c r="U221" i="9"/>
  <c r="W221" i="9"/>
  <c r="Z221" i="9"/>
  <c r="I222" i="9"/>
  <c r="K222" i="9" s="1"/>
  <c r="O222" i="9"/>
  <c r="U222" i="9"/>
  <c r="W222" i="9"/>
  <c r="Z222" i="9"/>
  <c r="I223" i="9"/>
  <c r="K223" i="9" s="1"/>
  <c r="O223" i="9"/>
  <c r="U223" i="9"/>
  <c r="W223" i="9"/>
  <c r="Z223" i="9"/>
  <c r="I224" i="9"/>
  <c r="K224" i="9" s="1"/>
  <c r="O224" i="9"/>
  <c r="U224" i="9"/>
  <c r="W224" i="9"/>
  <c r="Z224" i="9"/>
  <c r="I225" i="9"/>
  <c r="K225" i="9" s="1"/>
  <c r="L225" i="9" s="1"/>
  <c r="N225" i="9" s="1"/>
  <c r="R225" i="9" s="1"/>
  <c r="S225" i="9" s="1"/>
  <c r="Y225" i="9" s="1"/>
  <c r="O225" i="9"/>
  <c r="U225" i="9"/>
  <c r="W225" i="9"/>
  <c r="Z225" i="9"/>
  <c r="I226" i="9"/>
  <c r="K226" i="9"/>
  <c r="X226" i="9" s="1"/>
  <c r="O226" i="9"/>
  <c r="U226" i="9"/>
  <c r="W226" i="9"/>
  <c r="Z226" i="9"/>
  <c r="I227" i="9"/>
  <c r="K227" i="9" s="1"/>
  <c r="O227" i="9"/>
  <c r="U227" i="9"/>
  <c r="W227" i="9"/>
  <c r="Z227" i="9"/>
  <c r="I228" i="9"/>
  <c r="K228" i="9" s="1"/>
  <c r="X228" i="9" s="1"/>
  <c r="O228" i="9"/>
  <c r="U228" i="9"/>
  <c r="W228" i="9"/>
  <c r="Z228" i="9"/>
  <c r="I229" i="9"/>
  <c r="K229" i="9" s="1"/>
  <c r="O229" i="9"/>
  <c r="U229" i="9"/>
  <c r="W229" i="9"/>
  <c r="Z229" i="9"/>
  <c r="I230" i="9"/>
  <c r="K230" i="9" s="1"/>
  <c r="X230" i="9" s="1"/>
  <c r="O230" i="9"/>
  <c r="U230" i="9"/>
  <c r="W230" i="9"/>
  <c r="Z230" i="9"/>
  <c r="I231" i="9"/>
  <c r="K231" i="9" s="1"/>
  <c r="X231" i="9" s="1"/>
  <c r="O231" i="9"/>
  <c r="U231" i="9"/>
  <c r="W231" i="9"/>
  <c r="Z231" i="9"/>
  <c r="I232" i="9"/>
  <c r="K232" i="9" s="1"/>
  <c r="X232" i="9" s="1"/>
  <c r="O232" i="9"/>
  <c r="U232" i="9"/>
  <c r="W232" i="9"/>
  <c r="Z232" i="9"/>
  <c r="I233" i="9"/>
  <c r="K233" i="9" s="1"/>
  <c r="O233" i="9"/>
  <c r="U233" i="9"/>
  <c r="W233" i="9"/>
  <c r="Z233" i="9"/>
  <c r="I234" i="9"/>
  <c r="K234" i="9" s="1"/>
  <c r="O234" i="9"/>
  <c r="U234" i="9"/>
  <c r="W234" i="9"/>
  <c r="Z234" i="9"/>
  <c r="I235" i="9"/>
  <c r="K235" i="9" s="1"/>
  <c r="X235" i="9" s="1"/>
  <c r="O235" i="9"/>
  <c r="U235" i="9"/>
  <c r="W235" i="9"/>
  <c r="Z235" i="9"/>
  <c r="I236" i="9"/>
  <c r="K236" i="9" s="1"/>
  <c r="O236" i="9"/>
  <c r="U236" i="9"/>
  <c r="W236" i="9"/>
  <c r="Z236" i="9"/>
  <c r="I237" i="9"/>
  <c r="K237" i="9" s="1"/>
  <c r="O237" i="9"/>
  <c r="U237" i="9"/>
  <c r="W237" i="9"/>
  <c r="Z237" i="9"/>
  <c r="I238" i="9"/>
  <c r="K238" i="9" s="1"/>
  <c r="L238" i="9" s="1"/>
  <c r="N238" i="9"/>
  <c r="R238" i="9" s="1"/>
  <c r="S238" i="9" s="1"/>
  <c r="Y238" i="9" s="1"/>
  <c r="O238" i="9"/>
  <c r="U238" i="9"/>
  <c r="W238" i="9"/>
  <c r="Z238" i="9"/>
  <c r="I239" i="9"/>
  <c r="K239" i="9" s="1"/>
  <c r="L239" i="9" s="1"/>
  <c r="N239" i="9" s="1"/>
  <c r="O239" i="9"/>
  <c r="U239" i="9"/>
  <c r="W239" i="9"/>
  <c r="Z239" i="9"/>
  <c r="I240" i="9"/>
  <c r="K240" i="9" s="1"/>
  <c r="O240" i="9"/>
  <c r="U240" i="9"/>
  <c r="W240" i="9"/>
  <c r="Z240" i="9"/>
  <c r="I241" i="9"/>
  <c r="K241" i="9" s="1"/>
  <c r="L241" i="9" s="1"/>
  <c r="N241" i="9" s="1"/>
  <c r="O241" i="9"/>
  <c r="U241" i="9"/>
  <c r="W241" i="9"/>
  <c r="Z241" i="9"/>
  <c r="I242" i="9"/>
  <c r="K242" i="9" s="1"/>
  <c r="O242" i="9"/>
  <c r="U242" i="9"/>
  <c r="W242" i="9"/>
  <c r="Z242" i="9"/>
  <c r="I243" i="9"/>
  <c r="K243" i="9" s="1"/>
  <c r="L243" i="9" s="1"/>
  <c r="N243" i="9" s="1"/>
  <c r="O243" i="9"/>
  <c r="U243" i="9"/>
  <c r="W243" i="9"/>
  <c r="Z243" i="9"/>
  <c r="I244" i="9"/>
  <c r="K244" i="9" s="1"/>
  <c r="O244" i="9"/>
  <c r="U244" i="9"/>
  <c r="W244" i="9"/>
  <c r="Z244" i="9"/>
  <c r="I245" i="9"/>
  <c r="K245" i="9" s="1"/>
  <c r="O245" i="9"/>
  <c r="U245" i="9"/>
  <c r="W245" i="9"/>
  <c r="Z245" i="9"/>
  <c r="I246" i="9"/>
  <c r="K246" i="9" s="1"/>
  <c r="O246" i="9"/>
  <c r="U246" i="9"/>
  <c r="W246" i="9"/>
  <c r="Z246" i="9"/>
  <c r="I247" i="9"/>
  <c r="K247" i="9" s="1"/>
  <c r="O247" i="9"/>
  <c r="U247" i="9"/>
  <c r="W247" i="9"/>
  <c r="Z247" i="9"/>
  <c r="I248" i="9"/>
  <c r="K248" i="9" s="1"/>
  <c r="O248" i="9"/>
  <c r="U248" i="9"/>
  <c r="W248" i="9"/>
  <c r="Z248" i="9"/>
  <c r="I249" i="9"/>
  <c r="K249" i="9" s="1"/>
  <c r="O249" i="9"/>
  <c r="U249" i="9"/>
  <c r="W249" i="9"/>
  <c r="Z249" i="9"/>
  <c r="I250" i="9"/>
  <c r="K250" i="9" s="1"/>
  <c r="O250" i="9"/>
  <c r="U250" i="9"/>
  <c r="W250" i="9"/>
  <c r="Z250" i="9"/>
  <c r="G251" i="9"/>
  <c r="I251" i="9" s="1"/>
  <c r="K251" i="9" s="1"/>
  <c r="O251" i="9"/>
  <c r="U251" i="9"/>
  <c r="W251" i="9"/>
  <c r="Z251" i="9"/>
  <c r="G252" i="9"/>
  <c r="I252" i="9" s="1"/>
  <c r="K252" i="9" s="1"/>
  <c r="L252" i="9" s="1"/>
  <c r="N252" i="9" s="1"/>
  <c r="O252" i="9"/>
  <c r="U252" i="9"/>
  <c r="W252" i="9"/>
  <c r="Z252" i="9"/>
  <c r="G253" i="9"/>
  <c r="I253" i="9" s="1"/>
  <c r="K253" i="9" s="1"/>
  <c r="X253" i="9" s="1"/>
  <c r="O253" i="9"/>
  <c r="U253" i="9"/>
  <c r="W253" i="9"/>
  <c r="Z253" i="9"/>
  <c r="H254" i="9"/>
  <c r="J254" i="9"/>
  <c r="P254" i="9"/>
  <c r="Q254" i="9"/>
  <c r="T254" i="9"/>
  <c r="V254" i="9"/>
  <c r="AB255" i="9"/>
  <c r="H12" i="10"/>
  <c r="J12" i="10" s="1"/>
  <c r="N12" i="10"/>
  <c r="T12" i="10"/>
  <c r="V12" i="10"/>
  <c r="Y12" i="10"/>
  <c r="H13" i="10"/>
  <c r="N13" i="10"/>
  <c r="T13" i="10"/>
  <c r="V13" i="10"/>
  <c r="Y13" i="10"/>
  <c r="H14" i="10"/>
  <c r="J14" i="10" s="1"/>
  <c r="N14" i="10"/>
  <c r="T14" i="10"/>
  <c r="V14" i="10"/>
  <c r="Y14" i="10"/>
  <c r="H15" i="10"/>
  <c r="J15" i="10" s="1"/>
  <c r="N15" i="10"/>
  <c r="T15" i="10"/>
  <c r="V15" i="10"/>
  <c r="Y15" i="10"/>
  <c r="H16" i="10"/>
  <c r="J16" i="10" s="1"/>
  <c r="N16" i="10"/>
  <c r="T16" i="10"/>
  <c r="V16" i="10"/>
  <c r="Y16" i="10"/>
  <c r="H17" i="10"/>
  <c r="J17" i="10" s="1"/>
  <c r="N17" i="10"/>
  <c r="T17" i="10"/>
  <c r="V17" i="10"/>
  <c r="Y17" i="10"/>
  <c r="H18" i="10"/>
  <c r="J18" i="10" s="1"/>
  <c r="N18" i="10"/>
  <c r="T18" i="10"/>
  <c r="V18" i="10"/>
  <c r="Y18" i="10"/>
  <c r="H19" i="10"/>
  <c r="J19" i="10" s="1"/>
  <c r="N19" i="10"/>
  <c r="T19" i="10"/>
  <c r="V19" i="10"/>
  <c r="Y19" i="10"/>
  <c r="H20" i="10"/>
  <c r="J20" i="10" s="1"/>
  <c r="K20" i="10" s="1"/>
  <c r="M20" i="10" s="1"/>
  <c r="N20" i="10"/>
  <c r="T20" i="10"/>
  <c r="V20" i="10"/>
  <c r="Y20" i="10"/>
  <c r="H21" i="10"/>
  <c r="J21" i="10" s="1"/>
  <c r="N21" i="10"/>
  <c r="T21" i="10"/>
  <c r="V21" i="10"/>
  <c r="Y21" i="10"/>
  <c r="H22" i="10"/>
  <c r="J22" i="10" s="1"/>
  <c r="W22" i="10" s="1"/>
  <c r="N22" i="10"/>
  <c r="T22" i="10"/>
  <c r="V22" i="10"/>
  <c r="Y22" i="10"/>
  <c r="H23" i="10"/>
  <c r="J23" i="10" s="1"/>
  <c r="N23" i="10"/>
  <c r="T23" i="10"/>
  <c r="V23" i="10"/>
  <c r="Y23" i="10"/>
  <c r="H24" i="10"/>
  <c r="J24" i="10" s="1"/>
  <c r="K24" i="10" s="1"/>
  <c r="M24" i="10" s="1"/>
  <c r="N24" i="10"/>
  <c r="T24" i="10"/>
  <c r="V24" i="10"/>
  <c r="Y24" i="10"/>
  <c r="H25" i="10"/>
  <c r="J25" i="10" s="1"/>
  <c r="N25" i="10"/>
  <c r="T25" i="10"/>
  <c r="V25" i="10"/>
  <c r="Y25" i="10"/>
  <c r="H26" i="10"/>
  <c r="J26" i="10" s="1"/>
  <c r="K26" i="10" s="1"/>
  <c r="M26" i="10"/>
  <c r="N26" i="10"/>
  <c r="T26" i="10"/>
  <c r="V26" i="10"/>
  <c r="Y26" i="10"/>
  <c r="H27" i="10"/>
  <c r="J27" i="10" s="1"/>
  <c r="W27" i="10" s="1"/>
  <c r="N27" i="10"/>
  <c r="T27" i="10"/>
  <c r="V27" i="10"/>
  <c r="Y27" i="10"/>
  <c r="H28" i="10"/>
  <c r="J28" i="10" s="1"/>
  <c r="W28" i="10" s="1"/>
  <c r="N28" i="10"/>
  <c r="T28" i="10"/>
  <c r="V28" i="10"/>
  <c r="Y28" i="10"/>
  <c r="H29" i="10"/>
  <c r="J29" i="10" s="1"/>
  <c r="N29" i="10"/>
  <c r="T29" i="10"/>
  <c r="V29" i="10"/>
  <c r="Y29" i="10"/>
  <c r="H30" i="10"/>
  <c r="J30" i="10" s="1"/>
  <c r="N30" i="10"/>
  <c r="T30" i="10"/>
  <c r="V30" i="10"/>
  <c r="Y30" i="10"/>
  <c r="H31" i="10"/>
  <c r="J31" i="10" s="1"/>
  <c r="N31" i="10"/>
  <c r="T31" i="10"/>
  <c r="V31" i="10"/>
  <c r="Y31" i="10"/>
  <c r="H32" i="10"/>
  <c r="J32" i="10" s="1"/>
  <c r="N32" i="10"/>
  <c r="T32" i="10"/>
  <c r="V32" i="10"/>
  <c r="Y32" i="10"/>
  <c r="H33" i="10"/>
  <c r="J33" i="10" s="1"/>
  <c r="N33" i="10"/>
  <c r="T33" i="10"/>
  <c r="V33" i="10"/>
  <c r="Y33" i="10"/>
  <c r="H34" i="10"/>
  <c r="J34" i="10" s="1"/>
  <c r="N34" i="10"/>
  <c r="T34" i="10"/>
  <c r="V34" i="10"/>
  <c r="Y34" i="10"/>
  <c r="H35" i="10"/>
  <c r="J35" i="10" s="1"/>
  <c r="N35" i="10"/>
  <c r="T35" i="10"/>
  <c r="V35" i="10"/>
  <c r="Y35" i="10"/>
  <c r="H36" i="10"/>
  <c r="J36" i="10"/>
  <c r="N36" i="10"/>
  <c r="T36" i="10"/>
  <c r="V36" i="10"/>
  <c r="Y36" i="10"/>
  <c r="H37" i="10"/>
  <c r="J37" i="10" s="1"/>
  <c r="N37" i="10"/>
  <c r="T37" i="10"/>
  <c r="V37" i="10"/>
  <c r="Y37" i="10"/>
  <c r="H38" i="10"/>
  <c r="J38" i="10" s="1"/>
  <c r="K38" i="10" s="1"/>
  <c r="M38" i="10"/>
  <c r="N38" i="10"/>
  <c r="Q38" i="10" s="1"/>
  <c r="R38" i="10" s="1"/>
  <c r="T38" i="10"/>
  <c r="V38" i="10"/>
  <c r="Y38" i="10"/>
  <c r="H39" i="10"/>
  <c r="J39" i="10" s="1"/>
  <c r="N39" i="10"/>
  <c r="T39" i="10"/>
  <c r="V39" i="10"/>
  <c r="Y39" i="10"/>
  <c r="H40" i="10"/>
  <c r="J40" i="10" s="1"/>
  <c r="K40" i="10" s="1"/>
  <c r="M40" i="10" s="1"/>
  <c r="N40" i="10"/>
  <c r="T40" i="10"/>
  <c r="V40" i="10"/>
  <c r="Y40" i="10"/>
  <c r="H41" i="10"/>
  <c r="J41" i="10" s="1"/>
  <c r="K41" i="10" s="1"/>
  <c r="M41" i="10" s="1"/>
  <c r="Q41" i="10" s="1"/>
  <c r="R41" i="10" s="1"/>
  <c r="N41" i="10"/>
  <c r="T41" i="10"/>
  <c r="V41" i="10"/>
  <c r="Y41" i="10"/>
  <c r="H42" i="10"/>
  <c r="J42" i="10" s="1"/>
  <c r="K42" i="10" s="1"/>
  <c r="M42" i="10" s="1"/>
  <c r="N42" i="10"/>
  <c r="T42" i="10"/>
  <c r="V42" i="10"/>
  <c r="Y42" i="10"/>
  <c r="H43" i="10"/>
  <c r="J43" i="10" s="1"/>
  <c r="K43" i="10" s="1"/>
  <c r="M43" i="10" s="1"/>
  <c r="Q43" i="10" s="1"/>
  <c r="R43" i="10" s="1"/>
  <c r="N43" i="10"/>
  <c r="T43" i="10"/>
  <c r="V43" i="10"/>
  <c r="Y43" i="10"/>
  <c r="H44" i="10"/>
  <c r="J44" i="10"/>
  <c r="K44" i="10" s="1"/>
  <c r="M44" i="10" s="1"/>
  <c r="Q44" i="10" s="1"/>
  <c r="R44" i="10" s="1"/>
  <c r="N44" i="10"/>
  <c r="T44" i="10"/>
  <c r="V44" i="10"/>
  <c r="Y44" i="10"/>
  <c r="H45" i="10"/>
  <c r="J45" i="10"/>
  <c r="K45" i="10" s="1"/>
  <c r="M45" i="10" s="1"/>
  <c r="Q45" i="10" s="1"/>
  <c r="R45" i="10" s="1"/>
  <c r="N45" i="10"/>
  <c r="T45" i="10"/>
  <c r="V45" i="10"/>
  <c r="Y45" i="10"/>
  <c r="H46" i="10"/>
  <c r="J46" i="10"/>
  <c r="K46" i="10" s="1"/>
  <c r="M46" i="10" s="1"/>
  <c r="Q46" i="10" s="1"/>
  <c r="R46" i="10" s="1"/>
  <c r="N46" i="10"/>
  <c r="T46" i="10"/>
  <c r="V46" i="10"/>
  <c r="Y46" i="10"/>
  <c r="H47" i="10"/>
  <c r="J47" i="10" s="1"/>
  <c r="N47" i="10"/>
  <c r="T47" i="10"/>
  <c r="V47" i="10"/>
  <c r="Y47" i="10"/>
  <c r="H48" i="10"/>
  <c r="J48" i="10" s="1"/>
  <c r="K48" i="10" s="1"/>
  <c r="M48" i="10" s="1"/>
  <c r="Q48" i="10" s="1"/>
  <c r="R48" i="10" s="1"/>
  <c r="N48" i="10"/>
  <c r="T48" i="10"/>
  <c r="V48" i="10"/>
  <c r="Y48" i="10"/>
  <c r="H49" i="10"/>
  <c r="J49" i="10" s="1"/>
  <c r="K49" i="10" s="1"/>
  <c r="M49" i="10" s="1"/>
  <c r="N49" i="10"/>
  <c r="T49" i="10"/>
  <c r="V49" i="10"/>
  <c r="Y49" i="10"/>
  <c r="H50" i="10"/>
  <c r="J50" i="10" s="1"/>
  <c r="K50" i="10" s="1"/>
  <c r="M50" i="10" s="1"/>
  <c r="Q50" i="10" s="1"/>
  <c r="R50" i="10" s="1"/>
  <c r="N50" i="10"/>
  <c r="T50" i="10"/>
  <c r="V50" i="10"/>
  <c r="Y50" i="10"/>
  <c r="H51" i="10"/>
  <c r="J51" i="10"/>
  <c r="K51" i="10" s="1"/>
  <c r="M51" i="10" s="1"/>
  <c r="Q51" i="10" s="1"/>
  <c r="R51" i="10" s="1"/>
  <c r="N51" i="10"/>
  <c r="T51" i="10"/>
  <c r="V51" i="10"/>
  <c r="Y51" i="10"/>
  <c r="H52" i="10"/>
  <c r="J52" i="10"/>
  <c r="K52" i="10" s="1"/>
  <c r="M52" i="10" s="1"/>
  <c r="Q52" i="10" s="1"/>
  <c r="R52" i="10" s="1"/>
  <c r="N52" i="10"/>
  <c r="T52" i="10"/>
  <c r="V52" i="10"/>
  <c r="Y52" i="10"/>
  <c r="H53" i="10"/>
  <c r="J53" i="10"/>
  <c r="K53" i="10" s="1"/>
  <c r="M53" i="10" s="1"/>
  <c r="Q53" i="10" s="1"/>
  <c r="R53" i="10" s="1"/>
  <c r="N53" i="10"/>
  <c r="T53" i="10"/>
  <c r="V53" i="10"/>
  <c r="Y53" i="10"/>
  <c r="H54" i="10"/>
  <c r="J54" i="10"/>
  <c r="K54" i="10" s="1"/>
  <c r="M54" i="10" s="1"/>
  <c r="Q54" i="10" s="1"/>
  <c r="R54" i="10" s="1"/>
  <c r="N54" i="10"/>
  <c r="T54" i="10"/>
  <c r="V54" i="10"/>
  <c r="Y54" i="10"/>
  <c r="H55" i="10"/>
  <c r="J55" i="10" s="1"/>
  <c r="N55" i="10"/>
  <c r="T55" i="10"/>
  <c r="V55" i="10"/>
  <c r="Y55" i="10"/>
  <c r="H56" i="10"/>
  <c r="J56" i="10" s="1"/>
  <c r="K56" i="10" s="1"/>
  <c r="M56" i="10" s="1"/>
  <c r="Q56" i="10" s="1"/>
  <c r="R56" i="10" s="1"/>
  <c r="N56" i="10"/>
  <c r="T56" i="10"/>
  <c r="V56" i="10"/>
  <c r="Y56" i="10"/>
  <c r="H57" i="10"/>
  <c r="J57" i="10" s="1"/>
  <c r="K57" i="10" s="1"/>
  <c r="M57" i="10" s="1"/>
  <c r="N57" i="10"/>
  <c r="T57" i="10"/>
  <c r="V57" i="10"/>
  <c r="Y57" i="10"/>
  <c r="H58" i="10"/>
  <c r="J58" i="10" s="1"/>
  <c r="K58" i="10" s="1"/>
  <c r="M58" i="10" s="1"/>
  <c r="Q58" i="10" s="1"/>
  <c r="R58" i="10" s="1"/>
  <c r="N58" i="10"/>
  <c r="T58" i="10"/>
  <c r="V58" i="10"/>
  <c r="Y58" i="10"/>
  <c r="H59" i="10"/>
  <c r="J59" i="10"/>
  <c r="K59" i="10" s="1"/>
  <c r="M59" i="10" s="1"/>
  <c r="Q59" i="10" s="1"/>
  <c r="R59" i="10" s="1"/>
  <c r="N59" i="10"/>
  <c r="T59" i="10"/>
  <c r="V59" i="10"/>
  <c r="Y59" i="10"/>
  <c r="H60" i="10"/>
  <c r="J60" i="10" s="1"/>
  <c r="K60" i="10" s="1"/>
  <c r="M60" i="10" s="1"/>
  <c r="N60" i="10"/>
  <c r="T60" i="10"/>
  <c r="V60" i="10"/>
  <c r="Y60" i="10"/>
  <c r="H61" i="10"/>
  <c r="J61" i="10" s="1"/>
  <c r="K61" i="10" s="1"/>
  <c r="M61" i="10" s="1"/>
  <c r="Q61" i="10" s="1"/>
  <c r="R61" i="10" s="1"/>
  <c r="N61" i="10"/>
  <c r="T61" i="10"/>
  <c r="V61" i="10"/>
  <c r="Y61" i="10"/>
  <c r="H62" i="10"/>
  <c r="J62" i="10" s="1"/>
  <c r="N62" i="10"/>
  <c r="T62" i="10"/>
  <c r="V62" i="10"/>
  <c r="Y62" i="10"/>
  <c r="H63" i="10"/>
  <c r="J63" i="10" s="1"/>
  <c r="N63" i="10"/>
  <c r="T63" i="10"/>
  <c r="V63" i="10"/>
  <c r="Y63" i="10"/>
  <c r="F64" i="10"/>
  <c r="N64" i="10"/>
  <c r="T64" i="10"/>
  <c r="V64" i="10"/>
  <c r="Y64" i="10"/>
  <c r="F65" i="10"/>
  <c r="H65" i="10" s="1"/>
  <c r="J65" i="10" s="1"/>
  <c r="N65" i="10"/>
  <c r="T65" i="10"/>
  <c r="V65" i="10"/>
  <c r="Y65" i="10"/>
  <c r="H66" i="10"/>
  <c r="J66" i="10" s="1"/>
  <c r="N66" i="10"/>
  <c r="T66" i="10"/>
  <c r="V66" i="10"/>
  <c r="Y66" i="10"/>
  <c r="F67" i="10"/>
  <c r="H67" i="10" s="1"/>
  <c r="J67" i="10" s="1"/>
  <c r="N67" i="10"/>
  <c r="T67" i="10"/>
  <c r="V67" i="10"/>
  <c r="Y67" i="10"/>
  <c r="F68" i="10"/>
  <c r="H68" i="10" s="1"/>
  <c r="J68" i="10" s="1"/>
  <c r="N68" i="10"/>
  <c r="T68" i="10"/>
  <c r="V68" i="10"/>
  <c r="Y68" i="10"/>
  <c r="F69" i="10"/>
  <c r="H69" i="10" s="1"/>
  <c r="J69" i="10" s="1"/>
  <c r="N69" i="10"/>
  <c r="T69" i="10"/>
  <c r="V69" i="10"/>
  <c r="Y69" i="10"/>
  <c r="F70" i="10"/>
  <c r="H70" i="10" s="1"/>
  <c r="J70" i="10" s="1"/>
  <c r="N70" i="10"/>
  <c r="T70" i="10"/>
  <c r="V70" i="10"/>
  <c r="Y70" i="10"/>
  <c r="F71" i="10"/>
  <c r="H71" i="10" s="1"/>
  <c r="J71" i="10" s="1"/>
  <c r="N71" i="10"/>
  <c r="T71" i="10"/>
  <c r="V71" i="10"/>
  <c r="Y71" i="10"/>
  <c r="G72" i="10"/>
  <c r="I72" i="10"/>
  <c r="O72" i="10"/>
  <c r="P72" i="10"/>
  <c r="S72" i="10"/>
  <c r="U72" i="10"/>
  <c r="I13" i="11"/>
  <c r="K13" i="11" s="1"/>
  <c r="O13" i="11"/>
  <c r="U13" i="11"/>
  <c r="W13" i="11"/>
  <c r="Z13" i="11"/>
  <c r="I14" i="11"/>
  <c r="K14" i="11" s="1"/>
  <c r="L14" i="11" s="1"/>
  <c r="N14" i="11" s="1"/>
  <c r="O14" i="11"/>
  <c r="U14" i="11"/>
  <c r="W14" i="11"/>
  <c r="Z14" i="11"/>
  <c r="I15" i="11"/>
  <c r="K15" i="11" s="1"/>
  <c r="L15" i="11" s="1"/>
  <c r="N15" i="11" s="1"/>
  <c r="O15" i="11"/>
  <c r="U15" i="11"/>
  <c r="W15" i="11"/>
  <c r="Z15" i="11"/>
  <c r="I16" i="11"/>
  <c r="L16" i="11"/>
  <c r="N16" i="11" s="1"/>
  <c r="O16" i="11"/>
  <c r="U16" i="11"/>
  <c r="W16" i="11"/>
  <c r="X16" i="11"/>
  <c r="Z16" i="11"/>
  <c r="G17" i="11"/>
  <c r="H17" i="11"/>
  <c r="J17" i="11"/>
  <c r="P17" i="11"/>
  <c r="Q17" i="11"/>
  <c r="T17" i="11"/>
  <c r="V17" i="11"/>
  <c r="H15" i="2"/>
  <c r="J14" i="2"/>
  <c r="K14" i="2" s="1"/>
  <c r="K12" i="10"/>
  <c r="M12" i="10" s="1"/>
  <c r="Q12" i="10" s="1"/>
  <c r="W12" i="10"/>
  <c r="X237" i="9"/>
  <c r="L237" i="9"/>
  <c r="N237" i="9" s="1"/>
  <c r="R237" i="9" s="1"/>
  <c r="S237" i="9" s="1"/>
  <c r="K185" i="9"/>
  <c r="L185" i="9" s="1"/>
  <c r="N185" i="9" s="1"/>
  <c r="R185" i="9" s="1"/>
  <c r="S185" i="9" s="1"/>
  <c r="X233" i="9"/>
  <c r="L233" i="9"/>
  <c r="N233" i="9" s="1"/>
  <c r="R233" i="9" s="1"/>
  <c r="S233" i="9" s="1"/>
  <c r="K16" i="10"/>
  <c r="M16" i="10" s="1"/>
  <c r="W16" i="10"/>
  <c r="J13" i="10"/>
  <c r="K13" i="10" s="1"/>
  <c r="H64" i="10"/>
  <c r="J64" i="10" s="1"/>
  <c r="L253" i="9"/>
  <c r="N253" i="9" s="1"/>
  <c r="R253" i="9" s="1"/>
  <c r="S253" i="9" s="1"/>
  <c r="Y253" i="9" s="1"/>
  <c r="X243" i="9"/>
  <c r="L230" i="9"/>
  <c r="N230" i="9" s="1"/>
  <c r="R230" i="9" s="1"/>
  <c r="S230" i="9" s="1"/>
  <c r="R157" i="9"/>
  <c r="S157" i="9" s="1"/>
  <c r="L75" i="9"/>
  <c r="N75" i="9" s="1"/>
  <c r="R75" i="9" s="1"/>
  <c r="S75" i="9" s="1"/>
  <c r="Y75" i="9" s="1"/>
  <c r="X75" i="9"/>
  <c r="L149" i="9"/>
  <c r="N149" i="9" s="1"/>
  <c r="R149" i="9" s="1"/>
  <c r="S149" i="9" s="1"/>
  <c r="X149" i="9"/>
  <c r="X241" i="9"/>
  <c r="L153" i="9"/>
  <c r="N153" i="9" s="1"/>
  <c r="R153" i="9" s="1"/>
  <c r="S153" i="9" s="1"/>
  <c r="X153" i="9"/>
  <c r="L59" i="9"/>
  <c r="N59" i="9" s="1"/>
  <c r="R59" i="9" s="1"/>
  <c r="S59" i="9" s="1"/>
  <c r="X59" i="9"/>
  <c r="X159" i="9"/>
  <c r="L159" i="9"/>
  <c r="N159" i="9" s="1"/>
  <c r="R159" i="9" s="1"/>
  <c r="S159" i="9" s="1"/>
  <c r="Y159" i="9" s="1"/>
  <c r="X132" i="9"/>
  <c r="L132" i="9"/>
  <c r="N132" i="9" s="1"/>
  <c r="R112" i="9"/>
  <c r="S112" i="9" s="1"/>
  <c r="Y112" i="9" s="1"/>
  <c r="L63" i="9"/>
  <c r="N63" i="9" s="1"/>
  <c r="R63" i="9" s="1"/>
  <c r="S63" i="9" s="1"/>
  <c r="X63" i="9"/>
  <c r="L17" i="9"/>
  <c r="N17" i="9" s="1"/>
  <c r="R17" i="9" s="1"/>
  <c r="S17" i="9" s="1"/>
  <c r="Y17" i="9" s="1"/>
  <c r="L235" i="9"/>
  <c r="N235" i="9" s="1"/>
  <c r="X229" i="9"/>
  <c r="L229" i="9"/>
  <c r="N229" i="9" s="1"/>
  <c r="R229" i="9" s="1"/>
  <c r="S229" i="9" s="1"/>
  <c r="X227" i="9"/>
  <c r="L227" i="9"/>
  <c r="N227" i="9" s="1"/>
  <c r="X225" i="9"/>
  <c r="X223" i="9"/>
  <c r="L223" i="9"/>
  <c r="N223" i="9" s="1"/>
  <c r="R223" i="9" s="1"/>
  <c r="S223" i="9" s="1"/>
  <c r="L160" i="9"/>
  <c r="N160" i="9" s="1"/>
  <c r="R160" i="9" s="1"/>
  <c r="S160" i="9" s="1"/>
  <c r="Y160" i="9" s="1"/>
  <c r="X126" i="9"/>
  <c r="X118" i="9"/>
  <c r="X117" i="9"/>
  <c r="X114" i="9"/>
  <c r="R82" i="9"/>
  <c r="S82" i="9" s="1"/>
  <c r="L67" i="9"/>
  <c r="N67" i="9" s="1"/>
  <c r="R67" i="9" s="1"/>
  <c r="S67" i="9" s="1"/>
  <c r="X67" i="9"/>
  <c r="X131" i="9"/>
  <c r="L131" i="9"/>
  <c r="N131" i="9" s="1"/>
  <c r="R131" i="9" s="1"/>
  <c r="S131" i="9" s="1"/>
  <c r="Y131" i="9" s="1"/>
  <c r="X83" i="9"/>
  <c r="L83" i="9"/>
  <c r="N83" i="9" s="1"/>
  <c r="R83" i="9" s="1"/>
  <c r="S83" i="9" s="1"/>
  <c r="M13" i="10"/>
  <c r="Q13" i="10" s="1"/>
  <c r="R13" i="10" s="1"/>
  <c r="B19" i="11"/>
  <c r="B74" i="10"/>
  <c r="W17" i="10" l="1"/>
  <c r="K17" i="10"/>
  <c r="M17" i="10" s="1"/>
  <c r="Q17" i="10" s="1"/>
  <c r="R17" i="10" s="1"/>
  <c r="X141" i="9"/>
  <c r="L141" i="9"/>
  <c r="N141" i="9" s="1"/>
  <c r="R141" i="9" s="1"/>
  <c r="S141" i="9" s="1"/>
  <c r="L137" i="9"/>
  <c r="N137" i="9" s="1"/>
  <c r="R137" i="9" s="1"/>
  <c r="S137" i="9" s="1"/>
  <c r="Y137" i="9" s="1"/>
  <c r="X137" i="9"/>
  <c r="L121" i="9"/>
  <c r="N121" i="9" s="1"/>
  <c r="R121" i="9" s="1"/>
  <c r="S121" i="9" s="1"/>
  <c r="X121" i="9"/>
  <c r="X187" i="9"/>
  <c r="X122" i="9"/>
  <c r="Y223" i="9"/>
  <c r="R227" i="9"/>
  <c r="S227" i="9" s="1"/>
  <c r="Y227" i="9" s="1"/>
  <c r="R235" i="9"/>
  <c r="S235" i="9" s="1"/>
  <c r="Y235" i="9" s="1"/>
  <c r="Y63" i="9"/>
  <c r="Y59" i="9"/>
  <c r="Y153" i="9"/>
  <c r="Y149" i="9"/>
  <c r="Y157" i="9"/>
  <c r="W24" i="10"/>
  <c r="Y237" i="9"/>
  <c r="R15" i="11"/>
  <c r="S15" i="11" s="1"/>
  <c r="Q60" i="10"/>
  <c r="R60" i="10" s="1"/>
  <c r="L218" i="9"/>
  <c r="N218" i="9" s="1"/>
  <c r="R218" i="9" s="1"/>
  <c r="S218" i="9" s="1"/>
  <c r="Y218" i="9" s="1"/>
  <c r="R183" i="9"/>
  <c r="S183" i="9" s="1"/>
  <c r="R118" i="9"/>
  <c r="S118" i="9" s="1"/>
  <c r="L94" i="9"/>
  <c r="N94" i="9" s="1"/>
  <c r="R94" i="9" s="1"/>
  <c r="S94" i="9" s="1"/>
  <c r="R76" i="9"/>
  <c r="S76" i="9" s="1"/>
  <c r="R30" i="9"/>
  <c r="S30" i="9" s="1"/>
  <c r="Y230" i="9"/>
  <c r="X210" i="9"/>
  <c r="Y210" i="9" s="1"/>
  <c r="Q16" i="10"/>
  <c r="R16" i="10" s="1"/>
  <c r="W20" i="10"/>
  <c r="X185" i="9"/>
  <c r="Y118" i="9"/>
  <c r="X130" i="9"/>
  <c r="Y229" i="9"/>
  <c r="R132" i="9"/>
  <c r="S132" i="9" s="1"/>
  <c r="Y132" i="9" s="1"/>
  <c r="R239" i="9"/>
  <c r="S239" i="9" s="1"/>
  <c r="L219" i="9"/>
  <c r="N219" i="9" s="1"/>
  <c r="R219" i="9" s="1"/>
  <c r="S219" i="9" s="1"/>
  <c r="L136" i="9"/>
  <c r="N136" i="9" s="1"/>
  <c r="R77" i="9"/>
  <c r="S77" i="9" s="1"/>
  <c r="Y77" i="9" s="1"/>
  <c r="R70" i="9"/>
  <c r="S70" i="9" s="1"/>
  <c r="L206" i="9"/>
  <c r="N206" i="9" s="1"/>
  <c r="R206" i="9" s="1"/>
  <c r="S206" i="9" s="1"/>
  <c r="X206" i="9"/>
  <c r="L158" i="9"/>
  <c r="N158" i="9" s="1"/>
  <c r="R158" i="9" s="1"/>
  <c r="S158" i="9" s="1"/>
  <c r="X158" i="9"/>
  <c r="X88" i="9"/>
  <c r="L88" i="9"/>
  <c r="N88" i="9" s="1"/>
  <c r="R88" i="9" s="1"/>
  <c r="S88" i="9" s="1"/>
  <c r="L84" i="9"/>
  <c r="N84" i="9" s="1"/>
  <c r="R84" i="9" s="1"/>
  <c r="S84" i="9" s="1"/>
  <c r="X84" i="9"/>
  <c r="L224" i="9"/>
  <c r="N224" i="9" s="1"/>
  <c r="R224" i="9" s="1"/>
  <c r="S224" i="9" s="1"/>
  <c r="X224" i="9"/>
  <c r="L129" i="9"/>
  <c r="N129" i="9" s="1"/>
  <c r="R129" i="9" s="1"/>
  <c r="S129" i="9" s="1"/>
  <c r="X129" i="9"/>
  <c r="L125" i="9"/>
  <c r="N125" i="9" s="1"/>
  <c r="R125" i="9" s="1"/>
  <c r="S125" i="9" s="1"/>
  <c r="X125" i="9"/>
  <c r="X91" i="9"/>
  <c r="L91" i="9"/>
  <c r="N91" i="9" s="1"/>
  <c r="R91" i="9" s="1"/>
  <c r="S91" i="9" s="1"/>
  <c r="L87" i="9"/>
  <c r="N87" i="9" s="1"/>
  <c r="R87" i="9" s="1"/>
  <c r="S87" i="9" s="1"/>
  <c r="X87" i="9"/>
  <c r="X90" i="9"/>
  <c r="L90" i="9"/>
  <c r="N90" i="9" s="1"/>
  <c r="R90" i="9" s="1"/>
  <c r="S90" i="9" s="1"/>
  <c r="L86" i="9"/>
  <c r="N86" i="9" s="1"/>
  <c r="R86" i="9" s="1"/>
  <c r="S86" i="9" s="1"/>
  <c r="X86" i="9"/>
  <c r="L201" i="9"/>
  <c r="N201" i="9" s="1"/>
  <c r="X201" i="9"/>
  <c r="L113" i="9"/>
  <c r="N113" i="9" s="1"/>
  <c r="R113" i="9" s="1"/>
  <c r="S113" i="9" s="1"/>
  <c r="X113" i="9"/>
  <c r="X89" i="9"/>
  <c r="L89" i="9"/>
  <c r="N89" i="9" s="1"/>
  <c r="R89" i="9" s="1"/>
  <c r="S89" i="9" s="1"/>
  <c r="L85" i="9"/>
  <c r="N85" i="9" s="1"/>
  <c r="R85" i="9" s="1"/>
  <c r="S85" i="9" s="1"/>
  <c r="X85" i="9"/>
  <c r="F72" i="10"/>
  <c r="W254" i="9"/>
  <c r="R188" i="9"/>
  <c r="S188" i="9" s="1"/>
  <c r="Y188" i="9" s="1"/>
  <c r="R151" i="9"/>
  <c r="S151" i="9" s="1"/>
  <c r="R122" i="9"/>
  <c r="S122" i="9" s="1"/>
  <c r="L98" i="9"/>
  <c r="N98" i="9" s="1"/>
  <c r="R98" i="9" s="1"/>
  <c r="S98" i="9" s="1"/>
  <c r="Y98" i="9" s="1"/>
  <c r="R55" i="9"/>
  <c r="S55" i="9" s="1"/>
  <c r="Y55" i="9" s="1"/>
  <c r="Y67" i="9"/>
  <c r="Y117" i="9"/>
  <c r="X16" i="10"/>
  <c r="R14" i="11"/>
  <c r="S14" i="11" s="1"/>
  <c r="Q40" i="10"/>
  <c r="R40" i="10" s="1"/>
  <c r="Q26" i="10"/>
  <c r="R26" i="10" s="1"/>
  <c r="R241" i="9"/>
  <c r="S241" i="9" s="1"/>
  <c r="R26" i="9"/>
  <c r="S26" i="9" s="1"/>
  <c r="T72" i="10"/>
  <c r="R252" i="9"/>
  <c r="S252" i="9" s="1"/>
  <c r="L202" i="9"/>
  <c r="N202" i="9" s="1"/>
  <c r="R126" i="9"/>
  <c r="S126" i="9" s="1"/>
  <c r="L106" i="9"/>
  <c r="N106" i="9" s="1"/>
  <c r="R106" i="9" s="1"/>
  <c r="S106" i="9" s="1"/>
  <c r="Y106" i="9" s="1"/>
  <c r="R15" i="9"/>
  <c r="S15" i="9" s="1"/>
  <c r="Y126" i="9"/>
  <c r="W17" i="11"/>
  <c r="Q57" i="10"/>
  <c r="R57" i="10" s="1"/>
  <c r="Q49" i="10"/>
  <c r="R49" i="10" s="1"/>
  <c r="Q42" i="10"/>
  <c r="R42" i="10" s="1"/>
  <c r="Y183" i="9"/>
  <c r="X68" i="9"/>
  <c r="R32" i="9"/>
  <c r="S32" i="9" s="1"/>
  <c r="R28" i="9"/>
  <c r="S28" i="9" s="1"/>
  <c r="R24" i="9"/>
  <c r="S24" i="9" s="1"/>
  <c r="AC160" i="24"/>
  <c r="A161" i="24"/>
  <c r="Y77" i="23"/>
  <c r="A78" i="23"/>
  <c r="Y185" i="9"/>
  <c r="W64" i="10"/>
  <c r="K64" i="10"/>
  <c r="M64" i="10" s="1"/>
  <c r="Q64" i="10" s="1"/>
  <c r="R64" i="10" s="1"/>
  <c r="X17" i="10"/>
  <c r="X242" i="9"/>
  <c r="L242" i="9"/>
  <c r="N242" i="9" s="1"/>
  <c r="R242" i="9" s="1"/>
  <c r="S242" i="9" s="1"/>
  <c r="Y242" i="9" s="1"/>
  <c r="L128" i="9"/>
  <c r="N128" i="9" s="1"/>
  <c r="R128" i="9" s="1"/>
  <c r="S128" i="9" s="1"/>
  <c r="Y128" i="9" s="1"/>
  <c r="X128" i="9"/>
  <c r="L119" i="9"/>
  <c r="N119" i="9" s="1"/>
  <c r="R119" i="9" s="1"/>
  <c r="S119" i="9" s="1"/>
  <c r="X119" i="9"/>
  <c r="L71" i="9"/>
  <c r="N71" i="9" s="1"/>
  <c r="R71" i="9" s="1"/>
  <c r="S71" i="9" s="1"/>
  <c r="Y71" i="9" s="1"/>
  <c r="X71" i="9"/>
  <c r="X56" i="9"/>
  <c r="L56" i="9"/>
  <c r="N56" i="9" s="1"/>
  <c r="K55" i="10"/>
  <c r="M55" i="10" s="1"/>
  <c r="Q55" i="10" s="1"/>
  <c r="R55" i="10" s="1"/>
  <c r="X55" i="10" s="1"/>
  <c r="W55" i="10"/>
  <c r="K47" i="10"/>
  <c r="M47" i="10" s="1"/>
  <c r="Q47" i="10" s="1"/>
  <c r="R47" i="10" s="1"/>
  <c r="W47" i="10"/>
  <c r="X245" i="9"/>
  <c r="L245" i="9"/>
  <c r="N245" i="9" s="1"/>
  <c r="R245" i="9" s="1"/>
  <c r="S245" i="9" s="1"/>
  <c r="X222" i="9"/>
  <c r="L222" i="9"/>
  <c r="N222" i="9" s="1"/>
  <c r="R222" i="9" s="1"/>
  <c r="S222" i="9" s="1"/>
  <c r="X216" i="9"/>
  <c r="L216" i="9"/>
  <c r="N216" i="9" s="1"/>
  <c r="R216" i="9" s="1"/>
  <c r="S216" i="9" s="1"/>
  <c r="L184" i="9"/>
  <c r="N184" i="9" s="1"/>
  <c r="R184" i="9" s="1"/>
  <c r="S184" i="9" s="1"/>
  <c r="X184" i="9"/>
  <c r="K135" i="9"/>
  <c r="I254" i="9"/>
  <c r="L127" i="9"/>
  <c r="N127" i="9" s="1"/>
  <c r="R127" i="9" s="1"/>
  <c r="S127" i="9" s="1"/>
  <c r="X127" i="9"/>
  <c r="L116" i="9"/>
  <c r="N116" i="9" s="1"/>
  <c r="R116" i="9" s="1"/>
  <c r="S116" i="9" s="1"/>
  <c r="X116" i="9"/>
  <c r="L74" i="9"/>
  <c r="N74" i="9" s="1"/>
  <c r="R74" i="9" s="1"/>
  <c r="S74" i="9" s="1"/>
  <c r="X74" i="9"/>
  <c r="X38" i="9"/>
  <c r="L38" i="9"/>
  <c r="N38" i="9" s="1"/>
  <c r="R38" i="9" s="1"/>
  <c r="S38" i="9" s="1"/>
  <c r="X13" i="9"/>
  <c r="L13" i="9"/>
  <c r="N13" i="9" s="1"/>
  <c r="R13" i="9" s="1"/>
  <c r="S13" i="9" s="1"/>
  <c r="X13" i="11"/>
  <c r="K17" i="11"/>
  <c r="L17" i="11" s="1"/>
  <c r="K39" i="10"/>
  <c r="M39" i="10" s="1"/>
  <c r="Q39" i="10" s="1"/>
  <c r="R39" i="10" s="1"/>
  <c r="W39" i="10"/>
  <c r="K15" i="10"/>
  <c r="M15" i="10" s="1"/>
  <c r="Q15" i="10" s="1"/>
  <c r="R15" i="10" s="1"/>
  <c r="W15" i="10"/>
  <c r="L244" i="9"/>
  <c r="N244" i="9" s="1"/>
  <c r="R244" i="9" s="1"/>
  <c r="S244" i="9" s="1"/>
  <c r="X244" i="9"/>
  <c r="X234" i="9"/>
  <c r="L234" i="9"/>
  <c r="N234" i="9" s="1"/>
  <c r="R234" i="9" s="1"/>
  <c r="S234" i="9" s="1"/>
  <c r="L215" i="9"/>
  <c r="N215" i="9" s="1"/>
  <c r="R215" i="9" s="1"/>
  <c r="S215" i="9" s="1"/>
  <c r="X215" i="9"/>
  <c r="L199" i="9"/>
  <c r="N199" i="9" s="1"/>
  <c r="R199" i="9" s="1"/>
  <c r="S199" i="9" s="1"/>
  <c r="X199" i="9"/>
  <c r="L156" i="9"/>
  <c r="N156" i="9" s="1"/>
  <c r="R156" i="9" s="1"/>
  <c r="S156" i="9" s="1"/>
  <c r="X156" i="9"/>
  <c r="L124" i="9"/>
  <c r="N124" i="9" s="1"/>
  <c r="R124" i="9" s="1"/>
  <c r="S124" i="9" s="1"/>
  <c r="X124" i="9"/>
  <c r="L115" i="9"/>
  <c r="N115" i="9" s="1"/>
  <c r="R115" i="9" s="1"/>
  <c r="S115" i="9" s="1"/>
  <c r="X115" i="9"/>
  <c r="L58" i="9"/>
  <c r="N58" i="9" s="1"/>
  <c r="R58" i="9" s="1"/>
  <c r="S58" i="9" s="1"/>
  <c r="X58" i="9"/>
  <c r="L37" i="9"/>
  <c r="N37" i="9" s="1"/>
  <c r="R37" i="9" s="1"/>
  <c r="S37" i="9" s="1"/>
  <c r="X37" i="9"/>
  <c r="L145" i="9"/>
  <c r="N145" i="9" s="1"/>
  <c r="R145" i="9" s="1"/>
  <c r="S145" i="9" s="1"/>
  <c r="Y145" i="9" s="1"/>
  <c r="X145" i="9"/>
  <c r="L123" i="9"/>
  <c r="N123" i="9" s="1"/>
  <c r="R123" i="9" s="1"/>
  <c r="S123" i="9" s="1"/>
  <c r="X123" i="9"/>
  <c r="L120" i="9"/>
  <c r="N120" i="9" s="1"/>
  <c r="R120" i="9" s="1"/>
  <c r="S120" i="9" s="1"/>
  <c r="Y120" i="9" s="1"/>
  <c r="X120" i="9"/>
  <c r="L21" i="9"/>
  <c r="N21" i="9" s="1"/>
  <c r="R21" i="9" s="1"/>
  <c r="S21" i="9" s="1"/>
  <c r="X21" i="9"/>
  <c r="X11" i="9"/>
  <c r="L11" i="9"/>
  <c r="N11" i="9" s="1"/>
  <c r="R11" i="9" s="1"/>
  <c r="S11" i="9" s="1"/>
  <c r="V72" i="10"/>
  <c r="Y85" i="9"/>
  <c r="Y233" i="9"/>
  <c r="Y141" i="9"/>
  <c r="I17" i="11"/>
  <c r="R16" i="11"/>
  <c r="S16" i="11" s="1"/>
  <c r="Y16" i="11" s="1"/>
  <c r="U17" i="11"/>
  <c r="W59" i="10"/>
  <c r="X59" i="10" s="1"/>
  <c r="W43" i="10"/>
  <c r="Y241" i="9"/>
  <c r="X43" i="10"/>
  <c r="Q20" i="10"/>
  <c r="R20" i="10" s="1"/>
  <c r="X20" i="10" s="1"/>
  <c r="X38" i="10"/>
  <c r="X26" i="10"/>
  <c r="Y217" i="9"/>
  <c r="R214" i="9"/>
  <c r="S214" i="9" s="1"/>
  <c r="R205" i="9"/>
  <c r="S205" i="9" s="1"/>
  <c r="Y205" i="9" s="1"/>
  <c r="R202" i="9"/>
  <c r="S202" i="9" s="1"/>
  <c r="Y202" i="9" s="1"/>
  <c r="R201" i="9"/>
  <c r="S201" i="9" s="1"/>
  <c r="Y201" i="9" s="1"/>
  <c r="O254" i="9"/>
  <c r="R187" i="9"/>
  <c r="S187" i="9" s="1"/>
  <c r="Y187" i="9" s="1"/>
  <c r="R111" i="9"/>
  <c r="S111" i="9" s="1"/>
  <c r="Y111" i="9" s="1"/>
  <c r="L108" i="9"/>
  <c r="N108" i="9" s="1"/>
  <c r="R108" i="9" s="1"/>
  <c r="S108" i="9" s="1"/>
  <c r="Y108" i="9" s="1"/>
  <c r="L100" i="9"/>
  <c r="N100" i="9" s="1"/>
  <c r="R100" i="9" s="1"/>
  <c r="S100" i="9" s="1"/>
  <c r="Y100" i="9" s="1"/>
  <c r="X92" i="9"/>
  <c r="R68" i="9"/>
  <c r="S68" i="9" s="1"/>
  <c r="R49" i="9"/>
  <c r="S49" i="9" s="1"/>
  <c r="L34" i="9"/>
  <c r="N34" i="9" s="1"/>
  <c r="R34" i="9" s="1"/>
  <c r="S34" i="9" s="1"/>
  <c r="Y34" i="9" s="1"/>
  <c r="X32" i="9"/>
  <c r="Y32" i="9" s="1"/>
  <c r="X30" i="9"/>
  <c r="X28" i="9"/>
  <c r="Y28" i="9" s="1"/>
  <c r="X26" i="9"/>
  <c r="Y26" i="9" s="1"/>
  <c r="X24" i="9"/>
  <c r="Y24" i="9" s="1"/>
  <c r="U254" i="9"/>
  <c r="L16" i="9"/>
  <c r="N16" i="9" s="1"/>
  <c r="R16" i="9" s="1"/>
  <c r="S16" i="9" s="1"/>
  <c r="Y16" i="9" s="1"/>
  <c r="X15" i="9"/>
  <c r="Y15" i="9" s="1"/>
  <c r="Y87" i="9"/>
  <c r="Y113" i="9"/>
  <c r="Y121" i="9"/>
  <c r="Y129" i="9"/>
  <c r="K28" i="10"/>
  <c r="M28" i="10" s="1"/>
  <c r="Q28" i="10" s="1"/>
  <c r="R28" i="10" s="1"/>
  <c r="X28" i="10" s="1"/>
  <c r="Q24" i="10"/>
  <c r="R24" i="10" s="1"/>
  <c r="X24" i="10" s="1"/>
  <c r="W51" i="10"/>
  <c r="X51" i="10" s="1"/>
  <c r="L189" i="9"/>
  <c r="N189" i="9" s="1"/>
  <c r="R189" i="9" s="1"/>
  <c r="S189" i="9" s="1"/>
  <c r="L154" i="9"/>
  <c r="N154" i="9" s="1"/>
  <c r="X151" i="9"/>
  <c r="Y151" i="9" s="1"/>
  <c r="Y102" i="9"/>
  <c r="Y94" i="9"/>
  <c r="R92" i="9"/>
  <c r="S92" i="9" s="1"/>
  <c r="R73" i="9"/>
  <c r="S73" i="9" s="1"/>
  <c r="R69" i="9"/>
  <c r="S69" i="9" s="1"/>
  <c r="L232" i="9"/>
  <c r="N232" i="9" s="1"/>
  <c r="R232" i="9" s="1"/>
  <c r="S232" i="9" s="1"/>
  <c r="Y232" i="9" s="1"/>
  <c r="L203" i="9"/>
  <c r="N203" i="9" s="1"/>
  <c r="R203" i="9" s="1"/>
  <c r="S203" i="9" s="1"/>
  <c r="Y203" i="9" s="1"/>
  <c r="L200" i="9"/>
  <c r="N200" i="9" s="1"/>
  <c r="R200" i="9" s="1"/>
  <c r="S200" i="9" s="1"/>
  <c r="L152" i="9"/>
  <c r="N152" i="9" s="1"/>
  <c r="R152" i="9" s="1"/>
  <c r="S152" i="9" s="1"/>
  <c r="Y152" i="9" s="1"/>
  <c r="L104" i="9"/>
  <c r="N104" i="9" s="1"/>
  <c r="R104" i="9" s="1"/>
  <c r="S104" i="9" s="1"/>
  <c r="Y104" i="9" s="1"/>
  <c r="L96" i="9"/>
  <c r="N96" i="9" s="1"/>
  <c r="R96" i="9" s="1"/>
  <c r="S96" i="9" s="1"/>
  <c r="Y96" i="9" s="1"/>
  <c r="L18" i="9"/>
  <c r="N18" i="9" s="1"/>
  <c r="R18" i="9" s="1"/>
  <c r="S18" i="9" s="1"/>
  <c r="Y83" i="9"/>
  <c r="Y89" i="9"/>
  <c r="W71" i="10"/>
  <c r="K71" i="10"/>
  <c r="M71" i="10" s="1"/>
  <c r="Q71" i="10" s="1"/>
  <c r="R71" i="10" s="1"/>
  <c r="W68" i="10"/>
  <c r="K68" i="10"/>
  <c r="M68" i="10" s="1"/>
  <c r="Q68" i="10" s="1"/>
  <c r="R68" i="10" s="1"/>
  <c r="W65" i="10"/>
  <c r="K65" i="10"/>
  <c r="M65" i="10" s="1"/>
  <c r="Q65" i="10" s="1"/>
  <c r="R65" i="10" s="1"/>
  <c r="K62" i="10"/>
  <c r="M62" i="10" s="1"/>
  <c r="Q62" i="10" s="1"/>
  <c r="R62" i="10" s="1"/>
  <c r="W62" i="10"/>
  <c r="K29" i="10"/>
  <c r="M29" i="10" s="1"/>
  <c r="Q29" i="10" s="1"/>
  <c r="R29" i="10" s="1"/>
  <c r="W29" i="10"/>
  <c r="R12" i="10"/>
  <c r="K63" i="10"/>
  <c r="M63" i="10" s="1"/>
  <c r="Q63" i="10" s="1"/>
  <c r="R63" i="10" s="1"/>
  <c r="W63" i="10"/>
  <c r="K30" i="10"/>
  <c r="M30" i="10" s="1"/>
  <c r="Q30" i="10" s="1"/>
  <c r="R30" i="10" s="1"/>
  <c r="W30" i="10"/>
  <c r="W19" i="10"/>
  <c r="K19" i="10"/>
  <c r="M19" i="10" s="1"/>
  <c r="Q19" i="10" s="1"/>
  <c r="R19" i="10" s="1"/>
  <c r="Y130" i="9"/>
  <c r="Y122" i="9"/>
  <c r="Y114" i="9"/>
  <c r="W70" i="10"/>
  <c r="K70" i="10"/>
  <c r="M70" i="10" s="1"/>
  <c r="Q70" i="10" s="1"/>
  <c r="R70" i="10" s="1"/>
  <c r="K35" i="10"/>
  <c r="M35" i="10" s="1"/>
  <c r="Q35" i="10" s="1"/>
  <c r="R35" i="10" s="1"/>
  <c r="W35" i="10"/>
  <c r="K25" i="10"/>
  <c r="M25" i="10" s="1"/>
  <c r="Q25" i="10" s="1"/>
  <c r="R25" i="10" s="1"/>
  <c r="W25" i="10"/>
  <c r="K21" i="10"/>
  <c r="M21" i="10" s="1"/>
  <c r="Q21" i="10" s="1"/>
  <c r="R21" i="10" s="1"/>
  <c r="W21" i="10"/>
  <c r="W66" i="10"/>
  <c r="K66" i="10"/>
  <c r="M66" i="10" s="1"/>
  <c r="Q66" i="10" s="1"/>
  <c r="R66" i="10" s="1"/>
  <c r="K33" i="10"/>
  <c r="M33" i="10" s="1"/>
  <c r="Q33" i="10" s="1"/>
  <c r="R33" i="10" s="1"/>
  <c r="W33" i="10"/>
  <c r="K23" i="10"/>
  <c r="M23" i="10" s="1"/>
  <c r="Q23" i="10" s="1"/>
  <c r="R23" i="10" s="1"/>
  <c r="W23" i="10"/>
  <c r="M14" i="2"/>
  <c r="P14" i="2" s="1"/>
  <c r="V14" i="2" s="1"/>
  <c r="Y13" i="9"/>
  <c r="K69" i="10"/>
  <c r="M69" i="10" s="1"/>
  <c r="Q69" i="10" s="1"/>
  <c r="R69" i="10" s="1"/>
  <c r="W69" i="10"/>
  <c r="K67" i="10"/>
  <c r="M67" i="10" s="1"/>
  <c r="Q67" i="10" s="1"/>
  <c r="R67" i="10" s="1"/>
  <c r="W67" i="10"/>
  <c r="K37" i="10"/>
  <c r="M37" i="10" s="1"/>
  <c r="Q37" i="10" s="1"/>
  <c r="R37" i="10" s="1"/>
  <c r="W37" i="10"/>
  <c r="K34" i="10"/>
  <c r="M34" i="10" s="1"/>
  <c r="Q34" i="10" s="1"/>
  <c r="R34" i="10" s="1"/>
  <c r="W34" i="10"/>
  <c r="K31" i="10"/>
  <c r="M31" i="10" s="1"/>
  <c r="Q31" i="10" s="1"/>
  <c r="R31" i="10" s="1"/>
  <c r="W31" i="10"/>
  <c r="K14" i="10"/>
  <c r="M14" i="10" s="1"/>
  <c r="Q14" i="10" s="1"/>
  <c r="R14" i="10" s="1"/>
  <c r="J72" i="10"/>
  <c r="W14" i="10"/>
  <c r="K36" i="10"/>
  <c r="M36" i="10" s="1"/>
  <c r="Q36" i="10" s="1"/>
  <c r="R36" i="10" s="1"/>
  <c r="W36" i="10"/>
  <c r="K32" i="10"/>
  <c r="M32" i="10" s="1"/>
  <c r="Q32" i="10" s="1"/>
  <c r="R32" i="10" s="1"/>
  <c r="W32" i="10"/>
  <c r="N72" i="10"/>
  <c r="L250" i="9"/>
  <c r="N250" i="9" s="1"/>
  <c r="R250" i="9" s="1"/>
  <c r="S250" i="9" s="1"/>
  <c r="X250" i="9"/>
  <c r="L248" i="9"/>
  <c r="N248" i="9" s="1"/>
  <c r="R248" i="9" s="1"/>
  <c r="S248" i="9" s="1"/>
  <c r="X248" i="9"/>
  <c r="X246" i="9"/>
  <c r="L246" i="9"/>
  <c r="N246" i="9" s="1"/>
  <c r="R246" i="9" s="1"/>
  <c r="S246" i="9" s="1"/>
  <c r="L208" i="9"/>
  <c r="N208" i="9" s="1"/>
  <c r="R208" i="9" s="1"/>
  <c r="S208" i="9" s="1"/>
  <c r="X208" i="9"/>
  <c r="L198" i="9"/>
  <c r="N198" i="9" s="1"/>
  <c r="R198" i="9" s="1"/>
  <c r="S198" i="9" s="1"/>
  <c r="X198" i="9"/>
  <c r="L196" i="9"/>
  <c r="N196" i="9" s="1"/>
  <c r="R196" i="9" s="1"/>
  <c r="S196" i="9" s="1"/>
  <c r="X196" i="9"/>
  <c r="X194" i="9"/>
  <c r="L194" i="9"/>
  <c r="N194" i="9" s="1"/>
  <c r="R194" i="9" s="1"/>
  <c r="S194" i="9" s="1"/>
  <c r="L143" i="9"/>
  <c r="N143" i="9" s="1"/>
  <c r="R143" i="9" s="1"/>
  <c r="S143" i="9" s="1"/>
  <c r="X143" i="9"/>
  <c r="X80" i="9"/>
  <c r="L80" i="9"/>
  <c r="N80" i="9" s="1"/>
  <c r="R80" i="9" s="1"/>
  <c r="S80" i="9" s="1"/>
  <c r="X19" i="9"/>
  <c r="L19" i="9"/>
  <c r="N19" i="9" s="1"/>
  <c r="R19" i="9" s="1"/>
  <c r="S19" i="9" s="1"/>
  <c r="W13" i="10"/>
  <c r="L221" i="9"/>
  <c r="N221" i="9" s="1"/>
  <c r="R221" i="9" s="1"/>
  <c r="S221" i="9" s="1"/>
  <c r="Y221" i="9" s="1"/>
  <c r="L231" i="9"/>
  <c r="N231" i="9" s="1"/>
  <c r="R231" i="9" s="1"/>
  <c r="S231" i="9" s="1"/>
  <c r="Y231" i="9" s="1"/>
  <c r="X214" i="9"/>
  <c r="Y214" i="9" s="1"/>
  <c r="W58" i="10"/>
  <c r="X58" i="10" s="1"/>
  <c r="W54" i="10"/>
  <c r="X54" i="10" s="1"/>
  <c r="W50" i="10"/>
  <c r="X50" i="10" s="1"/>
  <c r="W46" i="10"/>
  <c r="X46" i="10" s="1"/>
  <c r="W42" i="10"/>
  <c r="X42" i="10" s="1"/>
  <c r="K22" i="10"/>
  <c r="M22" i="10" s="1"/>
  <c r="Q22" i="10" s="1"/>
  <c r="R22" i="10" s="1"/>
  <c r="X22" i="10" s="1"/>
  <c r="R243" i="9"/>
  <c r="S243" i="9" s="1"/>
  <c r="Y243" i="9" s="1"/>
  <c r="Y216" i="9"/>
  <c r="X207" i="9"/>
  <c r="L207" i="9"/>
  <c r="N207" i="9" s="1"/>
  <c r="R207" i="9" s="1"/>
  <c r="S207" i="9" s="1"/>
  <c r="Y200" i="9"/>
  <c r="L179" i="9"/>
  <c r="N179" i="9" s="1"/>
  <c r="R179" i="9" s="1"/>
  <c r="S179" i="9" s="1"/>
  <c r="X179" i="9"/>
  <c r="L171" i="9"/>
  <c r="N171" i="9" s="1"/>
  <c r="R171" i="9" s="1"/>
  <c r="S171" i="9" s="1"/>
  <c r="X171" i="9"/>
  <c r="L163" i="9"/>
  <c r="N163" i="9" s="1"/>
  <c r="R163" i="9" s="1"/>
  <c r="S163" i="9" s="1"/>
  <c r="X163" i="9"/>
  <c r="L186" i="9"/>
  <c r="N186" i="9" s="1"/>
  <c r="R186" i="9" s="1"/>
  <c r="S186" i="9" s="1"/>
  <c r="Y186" i="9" s="1"/>
  <c r="L226" i="9"/>
  <c r="N226" i="9" s="1"/>
  <c r="R226" i="9" s="1"/>
  <c r="S226" i="9" s="1"/>
  <c r="Y226" i="9" s="1"/>
  <c r="L254" i="9"/>
  <c r="L13" i="11"/>
  <c r="N13" i="11" s="1"/>
  <c r="L228" i="9"/>
  <c r="N228" i="9" s="1"/>
  <c r="R228" i="9" s="1"/>
  <c r="S228" i="9" s="1"/>
  <c r="Y228" i="9" s="1"/>
  <c r="X252" i="9"/>
  <c r="Y252" i="9" s="1"/>
  <c r="W61" i="10"/>
  <c r="X61" i="10" s="1"/>
  <c r="W57" i="10"/>
  <c r="X57" i="10" s="1"/>
  <c r="W53" i="10"/>
  <c r="X53" i="10" s="1"/>
  <c r="W49" i="10"/>
  <c r="X49" i="10" s="1"/>
  <c r="W45" i="10"/>
  <c r="X45" i="10" s="1"/>
  <c r="W41" i="10"/>
  <c r="X41" i="10" s="1"/>
  <c r="K27" i="10"/>
  <c r="M27" i="10" s="1"/>
  <c r="Q27" i="10" s="1"/>
  <c r="R27" i="10" s="1"/>
  <c r="X27" i="10" s="1"/>
  <c r="W18" i="10"/>
  <c r="K18" i="10"/>
  <c r="M18" i="10" s="1"/>
  <c r="Q18" i="10" s="1"/>
  <c r="R18" i="10" s="1"/>
  <c r="X18" i="10" s="1"/>
  <c r="G254" i="9"/>
  <c r="L251" i="9"/>
  <c r="N251" i="9" s="1"/>
  <c r="R251" i="9" s="1"/>
  <c r="S251" i="9" s="1"/>
  <c r="Y251" i="9" s="1"/>
  <c r="X251" i="9"/>
  <c r="L249" i="9"/>
  <c r="N249" i="9" s="1"/>
  <c r="R249" i="9" s="1"/>
  <c r="S249" i="9" s="1"/>
  <c r="Y249" i="9" s="1"/>
  <c r="X249" i="9"/>
  <c r="L247" i="9"/>
  <c r="N247" i="9" s="1"/>
  <c r="R247" i="9" s="1"/>
  <c r="S247" i="9" s="1"/>
  <c r="Y247" i="9" s="1"/>
  <c r="X247" i="9"/>
  <c r="X240" i="9"/>
  <c r="L240" i="9"/>
  <c r="N240" i="9" s="1"/>
  <c r="R240" i="9" s="1"/>
  <c r="S240" i="9" s="1"/>
  <c r="L212" i="9"/>
  <c r="N212" i="9" s="1"/>
  <c r="R212" i="9" s="1"/>
  <c r="S212" i="9" s="1"/>
  <c r="Y212" i="9" s="1"/>
  <c r="X212" i="9"/>
  <c r="L197" i="9"/>
  <c r="N197" i="9" s="1"/>
  <c r="R197" i="9" s="1"/>
  <c r="S197" i="9" s="1"/>
  <c r="Y197" i="9" s="1"/>
  <c r="X197" i="9"/>
  <c r="L195" i="9"/>
  <c r="N195" i="9" s="1"/>
  <c r="R195" i="9" s="1"/>
  <c r="S195" i="9" s="1"/>
  <c r="Y195" i="9" s="1"/>
  <c r="X195" i="9"/>
  <c r="X190" i="9"/>
  <c r="L190" i="9"/>
  <c r="N190" i="9" s="1"/>
  <c r="R190" i="9" s="1"/>
  <c r="S190" i="9" s="1"/>
  <c r="Y182" i="9"/>
  <c r="L155" i="9"/>
  <c r="N155" i="9" s="1"/>
  <c r="R155" i="9" s="1"/>
  <c r="S155" i="9" s="1"/>
  <c r="X155" i="9"/>
  <c r="L110" i="9"/>
  <c r="N110" i="9" s="1"/>
  <c r="R110" i="9" s="1"/>
  <c r="S110" i="9" s="1"/>
  <c r="X110" i="9"/>
  <c r="H72" i="10"/>
  <c r="X239" i="9"/>
  <c r="Y239" i="9" s="1"/>
  <c r="X15" i="11"/>
  <c r="Y15" i="11" s="1"/>
  <c r="X14" i="11"/>
  <c r="Y14" i="11" s="1"/>
  <c r="W60" i="10"/>
  <c r="X60" i="10" s="1"/>
  <c r="W56" i="10"/>
  <c r="X56" i="10" s="1"/>
  <c r="W52" i="10"/>
  <c r="X52" i="10" s="1"/>
  <c r="W48" i="10"/>
  <c r="X48" i="10" s="1"/>
  <c r="W44" i="10"/>
  <c r="X44" i="10" s="1"/>
  <c r="W40" i="10"/>
  <c r="X40" i="10" s="1"/>
  <c r="X236" i="9"/>
  <c r="L236" i="9"/>
  <c r="N236" i="9" s="1"/>
  <c r="R236" i="9" s="1"/>
  <c r="S236" i="9" s="1"/>
  <c r="Y219" i="9"/>
  <c r="L211" i="9"/>
  <c r="N211" i="9" s="1"/>
  <c r="R211" i="9" s="1"/>
  <c r="S211" i="9" s="1"/>
  <c r="X211" i="9"/>
  <c r="L204" i="9"/>
  <c r="N204" i="9" s="1"/>
  <c r="R204" i="9" s="1"/>
  <c r="S204" i="9" s="1"/>
  <c r="X204" i="9"/>
  <c r="Y189" i="9"/>
  <c r="L175" i="9"/>
  <c r="N175" i="9" s="1"/>
  <c r="R175" i="9" s="1"/>
  <c r="S175" i="9" s="1"/>
  <c r="X175" i="9"/>
  <c r="L167" i="9"/>
  <c r="N167" i="9" s="1"/>
  <c r="R167" i="9" s="1"/>
  <c r="S167" i="9" s="1"/>
  <c r="X167" i="9"/>
  <c r="L147" i="9"/>
  <c r="N147" i="9" s="1"/>
  <c r="R147" i="9" s="1"/>
  <c r="S147" i="9" s="1"/>
  <c r="X147" i="9"/>
  <c r="X144" i="9"/>
  <c r="L144" i="9"/>
  <c r="N144" i="9" s="1"/>
  <c r="R144" i="9" s="1"/>
  <c r="S144" i="9" s="1"/>
  <c r="L209" i="9"/>
  <c r="N209" i="9" s="1"/>
  <c r="R209" i="9" s="1"/>
  <c r="S209" i="9" s="1"/>
  <c r="X209" i="9"/>
  <c r="L191" i="9"/>
  <c r="N191" i="9" s="1"/>
  <c r="R191" i="9" s="1"/>
  <c r="S191" i="9" s="1"/>
  <c r="X191" i="9"/>
  <c r="X180" i="9"/>
  <c r="L180" i="9"/>
  <c r="N180" i="9" s="1"/>
  <c r="R180" i="9" s="1"/>
  <c r="S180" i="9" s="1"/>
  <c r="X176" i="9"/>
  <c r="L176" i="9"/>
  <c r="N176" i="9" s="1"/>
  <c r="R176" i="9" s="1"/>
  <c r="S176" i="9" s="1"/>
  <c r="X172" i="9"/>
  <c r="L172" i="9"/>
  <c r="N172" i="9" s="1"/>
  <c r="R172" i="9" s="1"/>
  <c r="S172" i="9" s="1"/>
  <c r="X168" i="9"/>
  <c r="L168" i="9"/>
  <c r="N168" i="9" s="1"/>
  <c r="R168" i="9" s="1"/>
  <c r="S168" i="9" s="1"/>
  <c r="X164" i="9"/>
  <c r="L164" i="9"/>
  <c r="N164" i="9" s="1"/>
  <c r="R164" i="9" s="1"/>
  <c r="S164" i="9" s="1"/>
  <c r="X150" i="9"/>
  <c r="L150" i="9"/>
  <c r="N150" i="9" s="1"/>
  <c r="R150" i="9" s="1"/>
  <c r="S150" i="9" s="1"/>
  <c r="L148" i="9"/>
  <c r="N148" i="9" s="1"/>
  <c r="R148" i="9" s="1"/>
  <c r="S148" i="9" s="1"/>
  <c r="X148" i="9"/>
  <c r="Y92" i="9"/>
  <c r="X72" i="9"/>
  <c r="L72" i="9"/>
  <c r="N72" i="9" s="1"/>
  <c r="R72" i="9" s="1"/>
  <c r="S72" i="9" s="1"/>
  <c r="X64" i="9"/>
  <c r="L64" i="9"/>
  <c r="N64" i="9" s="1"/>
  <c r="R64" i="9" s="1"/>
  <c r="S64" i="9" s="1"/>
  <c r="L53" i="9"/>
  <c r="N53" i="9" s="1"/>
  <c r="R53" i="9" s="1"/>
  <c r="S53" i="9" s="1"/>
  <c r="X53" i="9"/>
  <c r="L51" i="9"/>
  <c r="N51" i="9" s="1"/>
  <c r="R51" i="9" s="1"/>
  <c r="S51" i="9" s="1"/>
  <c r="X51" i="9"/>
  <c r="X22" i="9"/>
  <c r="L22" i="9"/>
  <c r="N22" i="9" s="1"/>
  <c r="R22" i="9" s="1"/>
  <c r="S22" i="9" s="1"/>
  <c r="R220" i="9"/>
  <c r="S220" i="9" s="1"/>
  <c r="Y220" i="9" s="1"/>
  <c r="L213" i="9"/>
  <c r="N213" i="9" s="1"/>
  <c r="R213" i="9" s="1"/>
  <c r="S213" i="9" s="1"/>
  <c r="Y213" i="9" s="1"/>
  <c r="L192" i="9"/>
  <c r="N192" i="9" s="1"/>
  <c r="R192" i="9" s="1"/>
  <c r="S192" i="9" s="1"/>
  <c r="X192" i="9"/>
  <c r="L181" i="9"/>
  <c r="N181" i="9" s="1"/>
  <c r="R181" i="9" s="1"/>
  <c r="S181" i="9" s="1"/>
  <c r="X181" i="9"/>
  <c r="L177" i="9"/>
  <c r="N177" i="9" s="1"/>
  <c r="R177" i="9" s="1"/>
  <c r="S177" i="9" s="1"/>
  <c r="X177" i="9"/>
  <c r="L173" i="9"/>
  <c r="N173" i="9" s="1"/>
  <c r="R173" i="9" s="1"/>
  <c r="S173" i="9" s="1"/>
  <c r="X173" i="9"/>
  <c r="L169" i="9"/>
  <c r="N169" i="9" s="1"/>
  <c r="R169" i="9" s="1"/>
  <c r="S169" i="9" s="1"/>
  <c r="X169" i="9"/>
  <c r="L165" i="9"/>
  <c r="N165" i="9" s="1"/>
  <c r="R165" i="9" s="1"/>
  <c r="S165" i="9" s="1"/>
  <c r="Y165" i="9" s="1"/>
  <c r="X165" i="9"/>
  <c r="L161" i="9"/>
  <c r="N161" i="9" s="1"/>
  <c r="R161" i="9" s="1"/>
  <c r="S161" i="9" s="1"/>
  <c r="X161" i="9"/>
  <c r="R154" i="9"/>
  <c r="S154" i="9" s="1"/>
  <c r="Y154" i="9" s="1"/>
  <c r="L146" i="9"/>
  <c r="N146" i="9" s="1"/>
  <c r="R146" i="9" s="1"/>
  <c r="S146" i="9" s="1"/>
  <c r="Y146" i="9" s="1"/>
  <c r="L142" i="9"/>
  <c r="N142" i="9" s="1"/>
  <c r="R142" i="9" s="1"/>
  <c r="S142" i="9" s="1"/>
  <c r="Y142" i="9" s="1"/>
  <c r="X138" i="9"/>
  <c r="L138" i="9"/>
  <c r="N138" i="9" s="1"/>
  <c r="R138" i="9" s="1"/>
  <c r="S138" i="9" s="1"/>
  <c r="R136" i="9"/>
  <c r="S136" i="9" s="1"/>
  <c r="Y136" i="9" s="1"/>
  <c r="L109" i="9"/>
  <c r="N109" i="9" s="1"/>
  <c r="R109" i="9" s="1"/>
  <c r="S109" i="9" s="1"/>
  <c r="Y109" i="9" s="1"/>
  <c r="L107" i="9"/>
  <c r="N107" i="9" s="1"/>
  <c r="R107" i="9" s="1"/>
  <c r="S107" i="9" s="1"/>
  <c r="Y107" i="9" s="1"/>
  <c r="L105" i="9"/>
  <c r="N105" i="9" s="1"/>
  <c r="R105" i="9" s="1"/>
  <c r="S105" i="9" s="1"/>
  <c r="Y105" i="9" s="1"/>
  <c r="L103" i="9"/>
  <c r="N103" i="9" s="1"/>
  <c r="R103" i="9" s="1"/>
  <c r="S103" i="9" s="1"/>
  <c r="Y103" i="9" s="1"/>
  <c r="L101" i="9"/>
  <c r="N101" i="9" s="1"/>
  <c r="R101" i="9" s="1"/>
  <c r="S101" i="9" s="1"/>
  <c r="Y101" i="9" s="1"/>
  <c r="L99" i="9"/>
  <c r="N99" i="9" s="1"/>
  <c r="R99" i="9" s="1"/>
  <c r="S99" i="9" s="1"/>
  <c r="Y99" i="9" s="1"/>
  <c r="L97" i="9"/>
  <c r="N97" i="9" s="1"/>
  <c r="R97" i="9" s="1"/>
  <c r="S97" i="9" s="1"/>
  <c r="Y97" i="9" s="1"/>
  <c r="L95" i="9"/>
  <c r="N95" i="9" s="1"/>
  <c r="R95" i="9" s="1"/>
  <c r="S95" i="9" s="1"/>
  <c r="Y95" i="9" s="1"/>
  <c r="L93" i="9"/>
  <c r="N93" i="9" s="1"/>
  <c r="R93" i="9" s="1"/>
  <c r="S93" i="9" s="1"/>
  <c r="Y93" i="9" s="1"/>
  <c r="X81" i="9"/>
  <c r="L81" i="9"/>
  <c r="N81" i="9" s="1"/>
  <c r="R81" i="9" s="1"/>
  <c r="S81" i="9" s="1"/>
  <c r="Y68" i="9"/>
  <c r="L66" i="9"/>
  <c r="N66" i="9" s="1"/>
  <c r="R66" i="9" s="1"/>
  <c r="S66" i="9" s="1"/>
  <c r="X66" i="9"/>
  <c r="L48" i="9"/>
  <c r="N48" i="9" s="1"/>
  <c r="R48" i="9" s="1"/>
  <c r="S48" i="9" s="1"/>
  <c r="Y48" i="9" s="1"/>
  <c r="X48" i="9"/>
  <c r="L44" i="9"/>
  <c r="N44" i="9" s="1"/>
  <c r="R44" i="9" s="1"/>
  <c r="S44" i="9" s="1"/>
  <c r="X44" i="9"/>
  <c r="L40" i="9"/>
  <c r="N40" i="9" s="1"/>
  <c r="R40" i="9" s="1"/>
  <c r="S40" i="9" s="1"/>
  <c r="Y40" i="9" s="1"/>
  <c r="X40" i="9"/>
  <c r="Y37" i="9"/>
  <c r="L193" i="9"/>
  <c r="N193" i="9" s="1"/>
  <c r="R193" i="9" s="1"/>
  <c r="S193" i="9" s="1"/>
  <c r="X193" i="9"/>
  <c r="L178" i="9"/>
  <c r="N178" i="9" s="1"/>
  <c r="R178" i="9" s="1"/>
  <c r="S178" i="9" s="1"/>
  <c r="X178" i="9"/>
  <c r="L174" i="9"/>
  <c r="N174" i="9" s="1"/>
  <c r="R174" i="9" s="1"/>
  <c r="S174" i="9" s="1"/>
  <c r="X174" i="9"/>
  <c r="L170" i="9"/>
  <c r="N170" i="9" s="1"/>
  <c r="R170" i="9" s="1"/>
  <c r="S170" i="9" s="1"/>
  <c r="X170" i="9"/>
  <c r="L166" i="9"/>
  <c r="N166" i="9" s="1"/>
  <c r="R166" i="9" s="1"/>
  <c r="S166" i="9" s="1"/>
  <c r="X166" i="9"/>
  <c r="L162" i="9"/>
  <c r="N162" i="9" s="1"/>
  <c r="R162" i="9" s="1"/>
  <c r="S162" i="9" s="1"/>
  <c r="X162" i="9"/>
  <c r="L78" i="9"/>
  <c r="N78" i="9" s="1"/>
  <c r="R78" i="9" s="1"/>
  <c r="S78" i="9" s="1"/>
  <c r="X78" i="9"/>
  <c r="L62" i="9"/>
  <c r="N62" i="9" s="1"/>
  <c r="R62" i="9" s="1"/>
  <c r="S62" i="9" s="1"/>
  <c r="X62" i="9"/>
  <c r="X57" i="9"/>
  <c r="L57" i="9"/>
  <c r="N57" i="9" s="1"/>
  <c r="R57" i="9" s="1"/>
  <c r="S57" i="9" s="1"/>
  <c r="L54" i="9"/>
  <c r="N54" i="9" s="1"/>
  <c r="R54" i="9" s="1"/>
  <c r="S54" i="9" s="1"/>
  <c r="X54" i="9"/>
  <c r="L52" i="9"/>
  <c r="N52" i="9" s="1"/>
  <c r="R52" i="9" s="1"/>
  <c r="S52" i="9" s="1"/>
  <c r="X52" i="9"/>
  <c r="L50" i="9"/>
  <c r="N50" i="9" s="1"/>
  <c r="R50" i="9" s="1"/>
  <c r="S50" i="9" s="1"/>
  <c r="X50" i="9"/>
  <c r="L47" i="9"/>
  <c r="N47" i="9" s="1"/>
  <c r="R47" i="9" s="1"/>
  <c r="S47" i="9" s="1"/>
  <c r="X47" i="9"/>
  <c r="L43" i="9"/>
  <c r="N43" i="9" s="1"/>
  <c r="R43" i="9" s="1"/>
  <c r="S43" i="9" s="1"/>
  <c r="X43" i="9"/>
  <c r="L31" i="9"/>
  <c r="N31" i="9" s="1"/>
  <c r="R31" i="9" s="1"/>
  <c r="S31" i="9" s="1"/>
  <c r="X31" i="9"/>
  <c r="X82" i="9"/>
  <c r="Y82" i="9" s="1"/>
  <c r="X79" i="9"/>
  <c r="L79" i="9"/>
  <c r="N79" i="9" s="1"/>
  <c r="R79" i="9" s="1"/>
  <c r="S79" i="9" s="1"/>
  <c r="X76" i="9"/>
  <c r="Y76" i="9" s="1"/>
  <c r="X73" i="9"/>
  <c r="Y73" i="9" s="1"/>
  <c r="X69" i="9"/>
  <c r="Y69" i="9" s="1"/>
  <c r="X65" i="9"/>
  <c r="L65" i="9"/>
  <c r="N65" i="9" s="1"/>
  <c r="R65" i="9" s="1"/>
  <c r="S65" i="9" s="1"/>
  <c r="X60" i="9"/>
  <c r="L60" i="9"/>
  <c r="N60" i="9" s="1"/>
  <c r="R60" i="9" s="1"/>
  <c r="S60" i="9" s="1"/>
  <c r="R56" i="9"/>
  <c r="S56" i="9" s="1"/>
  <c r="Y56" i="9" s="1"/>
  <c r="X49" i="9"/>
  <c r="Y49" i="9" s="1"/>
  <c r="L46" i="9"/>
  <c r="N46" i="9" s="1"/>
  <c r="R46" i="9" s="1"/>
  <c r="S46" i="9" s="1"/>
  <c r="X46" i="9"/>
  <c r="L42" i="9"/>
  <c r="N42" i="9" s="1"/>
  <c r="R42" i="9" s="1"/>
  <c r="S42" i="9" s="1"/>
  <c r="X42" i="9"/>
  <c r="X39" i="9"/>
  <c r="L39" i="9"/>
  <c r="N39" i="9" s="1"/>
  <c r="R39" i="9" s="1"/>
  <c r="S39" i="9" s="1"/>
  <c r="Y18" i="9"/>
  <c r="L140" i="9"/>
  <c r="N140" i="9" s="1"/>
  <c r="R140" i="9" s="1"/>
  <c r="S140" i="9" s="1"/>
  <c r="Y140" i="9" s="1"/>
  <c r="X140" i="9"/>
  <c r="L139" i="9"/>
  <c r="N139" i="9" s="1"/>
  <c r="R139" i="9" s="1"/>
  <c r="S139" i="9" s="1"/>
  <c r="X139" i="9"/>
  <c r="L134" i="9"/>
  <c r="N134" i="9" s="1"/>
  <c r="R134" i="9" s="1"/>
  <c r="S134" i="9" s="1"/>
  <c r="Y134" i="9" s="1"/>
  <c r="X134" i="9"/>
  <c r="L133" i="9"/>
  <c r="N133" i="9" s="1"/>
  <c r="R133" i="9" s="1"/>
  <c r="S133" i="9" s="1"/>
  <c r="X133" i="9"/>
  <c r="X61" i="9"/>
  <c r="L61" i="9"/>
  <c r="N61" i="9" s="1"/>
  <c r="R61" i="9" s="1"/>
  <c r="S61" i="9" s="1"/>
  <c r="L45" i="9"/>
  <c r="N45" i="9" s="1"/>
  <c r="R45" i="9" s="1"/>
  <c r="S45" i="9" s="1"/>
  <c r="X45" i="9"/>
  <c r="L41" i="9"/>
  <c r="N41" i="9" s="1"/>
  <c r="R41" i="9" s="1"/>
  <c r="S41" i="9" s="1"/>
  <c r="Y41" i="9" s="1"/>
  <c r="X41" i="9"/>
  <c r="Y30" i="9"/>
  <c r="L27" i="9"/>
  <c r="N27" i="9" s="1"/>
  <c r="R27" i="9" s="1"/>
  <c r="S27" i="9" s="1"/>
  <c r="X27" i="9"/>
  <c r="X12" i="9"/>
  <c r="L12" i="9"/>
  <c r="X70" i="9"/>
  <c r="Y70" i="9" s="1"/>
  <c r="L36" i="9"/>
  <c r="N36" i="9" s="1"/>
  <c r="R36" i="9" s="1"/>
  <c r="S36" i="9" s="1"/>
  <c r="X36" i="9"/>
  <c r="L35" i="9"/>
  <c r="N35" i="9" s="1"/>
  <c r="R35" i="9" s="1"/>
  <c r="S35" i="9" s="1"/>
  <c r="X35" i="9"/>
  <c r="L33" i="9"/>
  <c r="N33" i="9" s="1"/>
  <c r="R33" i="9" s="1"/>
  <c r="S33" i="9" s="1"/>
  <c r="Y33" i="9" s="1"/>
  <c r="L29" i="9"/>
  <c r="N29" i="9" s="1"/>
  <c r="R29" i="9" s="1"/>
  <c r="S29" i="9" s="1"/>
  <c r="Y29" i="9" s="1"/>
  <c r="L25" i="9"/>
  <c r="N25" i="9" s="1"/>
  <c r="R25" i="9" s="1"/>
  <c r="S25" i="9" s="1"/>
  <c r="Y25" i="9" s="1"/>
  <c r="L14" i="9"/>
  <c r="N14" i="9" s="1"/>
  <c r="R14" i="9" s="1"/>
  <c r="S14" i="9" s="1"/>
  <c r="Y14" i="9" s="1"/>
  <c r="T15" i="2"/>
  <c r="J15" i="2"/>
  <c r="K15" i="2" s="1"/>
  <c r="U13" i="2"/>
  <c r="K13" i="2"/>
  <c r="M13" i="2" s="1"/>
  <c r="L20" i="9"/>
  <c r="N20" i="9" s="1"/>
  <c r="R20" i="9" s="1"/>
  <c r="S20" i="9" s="1"/>
  <c r="X20" i="9"/>
  <c r="R15" i="2"/>
  <c r="Y42" i="9" l="1"/>
  <c r="Y31" i="9"/>
  <c r="X33" i="10"/>
  <c r="X64" i="10"/>
  <c r="Y90" i="9"/>
  <c r="Y91" i="9"/>
  <c r="X31" i="10"/>
  <c r="X37" i="10"/>
  <c r="X69" i="10"/>
  <c r="X23" i="10"/>
  <c r="X25" i="10"/>
  <c r="Y123" i="9"/>
  <c r="Y125" i="9"/>
  <c r="Y88" i="9"/>
  <c r="Y35" i="9"/>
  <c r="Y163" i="9"/>
  <c r="Y179" i="9"/>
  <c r="Y84" i="9"/>
  <c r="Y158" i="9"/>
  <c r="Y74" i="9"/>
  <c r="Y127" i="9"/>
  <c r="Y184" i="9"/>
  <c r="X47" i="10"/>
  <c r="Y119" i="9"/>
  <c r="Y171" i="9"/>
  <c r="Y207" i="9"/>
  <c r="Y11" i="9"/>
  <c r="Y124" i="9"/>
  <c r="Y234" i="9"/>
  <c r="Y86" i="9"/>
  <c r="Y224" i="9"/>
  <c r="Y206" i="9"/>
  <c r="AC161" i="24"/>
  <c r="A162" i="24"/>
  <c r="Y78" i="23"/>
  <c r="A79" i="23"/>
  <c r="Y27" i="9"/>
  <c r="Y64" i="9"/>
  <c r="Y191" i="9"/>
  <c r="Y167" i="9"/>
  <c r="Y80" i="9"/>
  <c r="Y194" i="9"/>
  <c r="Y246" i="9"/>
  <c r="X32" i="10"/>
  <c r="X63" i="10"/>
  <c r="X68" i="10"/>
  <c r="Y21" i="9"/>
  <c r="Y115" i="9"/>
  <c r="Y156" i="9"/>
  <c r="Y215" i="9"/>
  <c r="Y244" i="9"/>
  <c r="X39" i="10"/>
  <c r="Y222" i="9"/>
  <c r="Y39" i="9"/>
  <c r="Y60" i="9"/>
  <c r="Y52" i="9"/>
  <c r="Y78" i="9"/>
  <c r="Y166" i="9"/>
  <c r="Y174" i="9"/>
  <c r="Y193" i="9"/>
  <c r="Y22" i="9"/>
  <c r="Y72" i="9"/>
  <c r="Y148" i="9"/>
  <c r="Y209" i="9"/>
  <c r="Y147" i="9"/>
  <c r="Y175" i="9"/>
  <c r="Y19" i="9"/>
  <c r="X66" i="10"/>
  <c r="X30" i="10"/>
  <c r="X65" i="10"/>
  <c r="X71" i="10"/>
  <c r="Y58" i="9"/>
  <c r="Y199" i="9"/>
  <c r="X15" i="10"/>
  <c r="Y38" i="9"/>
  <c r="Y116" i="9"/>
  <c r="Y245" i="9"/>
  <c r="L135" i="9"/>
  <c r="N135" i="9" s="1"/>
  <c r="R135" i="9" s="1"/>
  <c r="S135" i="9" s="1"/>
  <c r="X135" i="9"/>
  <c r="K254" i="9"/>
  <c r="U15" i="2"/>
  <c r="N12" i="9"/>
  <c r="R12" i="9" s="1"/>
  <c r="N254" i="9"/>
  <c r="Y45" i="9"/>
  <c r="Y133" i="9"/>
  <c r="Y139" i="9"/>
  <c r="Y46" i="9"/>
  <c r="Y43" i="9"/>
  <c r="Y44" i="9"/>
  <c r="Y66" i="9"/>
  <c r="Y161" i="9"/>
  <c r="Y169" i="9"/>
  <c r="Y177" i="9"/>
  <c r="Y192" i="9"/>
  <c r="Y53" i="9"/>
  <c r="Y150" i="9"/>
  <c r="Y168" i="9"/>
  <c r="Y176" i="9"/>
  <c r="Y144" i="9"/>
  <c r="Y211" i="9"/>
  <c r="Y155" i="9"/>
  <c r="Y143" i="9"/>
  <c r="Y196" i="9"/>
  <c r="Y208" i="9"/>
  <c r="Y248" i="9"/>
  <c r="M72" i="10"/>
  <c r="R72" i="10"/>
  <c r="X12" i="10"/>
  <c r="X17" i="11"/>
  <c r="Y20" i="9"/>
  <c r="Y36" i="9"/>
  <c r="X254" i="9"/>
  <c r="Y61" i="9"/>
  <c r="Y65" i="9"/>
  <c r="Y50" i="9"/>
  <c r="Y54" i="9"/>
  <c r="Y62" i="9"/>
  <c r="Y162" i="9"/>
  <c r="Y170" i="9"/>
  <c r="Y178" i="9"/>
  <c r="W72" i="10"/>
  <c r="X70" i="10"/>
  <c r="X62" i="10"/>
  <c r="M15" i="2"/>
  <c r="P13" i="2"/>
  <c r="Y79" i="9"/>
  <c r="Y47" i="9"/>
  <c r="Y57" i="9"/>
  <c r="Y81" i="9"/>
  <c r="Y138" i="9"/>
  <c r="Y173" i="9"/>
  <c r="Y181" i="9"/>
  <c r="Y51" i="9"/>
  <c r="Y164" i="9"/>
  <c r="Y172" i="9"/>
  <c r="Y180" i="9"/>
  <c r="Y204" i="9"/>
  <c r="Y236" i="9"/>
  <c r="Y110" i="9"/>
  <c r="Y190" i="9"/>
  <c r="Y240" i="9"/>
  <c r="N17" i="11"/>
  <c r="R13" i="11"/>
  <c r="S13" i="11" s="1"/>
  <c r="K72" i="10"/>
  <c r="Y198" i="9"/>
  <c r="Y250" i="9"/>
  <c r="X36" i="10"/>
  <c r="X14" i="10"/>
  <c r="X34" i="10"/>
  <c r="X67" i="10"/>
  <c r="X13" i="10"/>
  <c r="X21" i="10"/>
  <c r="X35" i="10"/>
  <c r="X19" i="10"/>
  <c r="Q72" i="10"/>
  <c r="X29" i="10"/>
  <c r="AC162" i="24" l="1"/>
  <c r="A163" i="24"/>
  <c r="Y79" i="23"/>
  <c r="A80" i="23"/>
  <c r="Y135" i="9"/>
  <c r="Y13" i="11"/>
  <c r="Y17" i="11" s="1"/>
  <c r="S17" i="11"/>
  <c r="P15" i="2"/>
  <c r="V13" i="2"/>
  <c r="V15" i="2" s="1"/>
  <c r="X72" i="10"/>
  <c r="S12" i="9"/>
  <c r="R254" i="9"/>
  <c r="AC163" i="24" l="1"/>
  <c r="A164" i="24"/>
  <c r="Y80" i="23"/>
  <c r="A81" i="23"/>
  <c r="Y12" i="9"/>
  <c r="Y254" i="9" s="1"/>
  <c r="S254" i="9"/>
  <c r="AC164" i="24" l="1"/>
  <c r="A165" i="24"/>
  <c r="Y81" i="23"/>
  <c r="A82" i="23"/>
  <c r="W120" i="23"/>
  <c r="X120" i="23" s="1"/>
  <c r="AC165" i="24" l="1"/>
  <c r="A166" i="24"/>
  <c r="Y82" i="23"/>
  <c r="AC166" i="24" l="1"/>
  <c r="A167" i="24"/>
  <c r="A83" i="23"/>
  <c r="AC167" i="24" l="1"/>
  <c r="A168" i="24"/>
  <c r="Y83" i="23"/>
  <c r="A84" i="23"/>
  <c r="AC168" i="24" l="1"/>
  <c r="A169" i="24"/>
  <c r="W116" i="23"/>
  <c r="X116" i="23" s="1"/>
  <c r="W69" i="23"/>
  <c r="X69" i="23" s="1"/>
  <c r="W37" i="23"/>
  <c r="X37" i="23" s="1"/>
  <c r="W77" i="23"/>
  <c r="X77" i="23" s="1"/>
  <c r="W28" i="23"/>
  <c r="X28" i="23" s="1"/>
  <c r="W110" i="23"/>
  <c r="X110" i="23" s="1"/>
  <c r="W63" i="23"/>
  <c r="X63" i="23" s="1"/>
  <c r="W17" i="23"/>
  <c r="X17" i="23" s="1"/>
  <c r="W89" i="23"/>
  <c r="X89" i="23" s="1"/>
  <c r="W54" i="23"/>
  <c r="X54" i="23" s="1"/>
  <c r="W72" i="23"/>
  <c r="X72" i="23" s="1"/>
  <c r="W112" i="23"/>
  <c r="X112" i="23" s="1"/>
  <c r="W96" i="23"/>
  <c r="X96" i="23" s="1"/>
  <c r="W82" i="23"/>
  <c r="X82" i="23" s="1"/>
  <c r="W65" i="23"/>
  <c r="X65" i="23" s="1"/>
  <c r="W49" i="23"/>
  <c r="X49" i="23" s="1"/>
  <c r="W33" i="23"/>
  <c r="X33" i="23" s="1"/>
  <c r="W19" i="23"/>
  <c r="X19" i="23" s="1"/>
  <c r="W119" i="23"/>
  <c r="X119" i="23" s="1"/>
  <c r="W103" i="23"/>
  <c r="X103" i="23" s="1"/>
  <c r="W87" i="23"/>
  <c r="X87" i="23" s="1"/>
  <c r="W56" i="23"/>
  <c r="X56" i="23" s="1"/>
  <c r="W40" i="23"/>
  <c r="X40" i="23" s="1"/>
  <c r="W25" i="23"/>
  <c r="X25" i="23" s="1"/>
  <c r="W106" i="23"/>
  <c r="X106" i="23" s="1"/>
  <c r="W90" i="23"/>
  <c r="X90" i="23" s="1"/>
  <c r="W76" i="23"/>
  <c r="X76" i="23" s="1"/>
  <c r="W59" i="23"/>
  <c r="X59" i="23" s="1"/>
  <c r="W43" i="23"/>
  <c r="X43" i="23" s="1"/>
  <c r="W27" i="23"/>
  <c r="X27" i="23" s="1"/>
  <c r="W13" i="23"/>
  <c r="X13" i="23" s="1"/>
  <c r="W117" i="23"/>
  <c r="X117" i="23" s="1"/>
  <c r="W101" i="23"/>
  <c r="X101" i="23" s="1"/>
  <c r="W66" i="23"/>
  <c r="X66" i="23" s="1"/>
  <c r="W50" i="23"/>
  <c r="X50" i="23" s="1"/>
  <c r="W34" i="23"/>
  <c r="X34" i="23" s="1"/>
  <c r="W16" i="23"/>
  <c r="X16" i="23" s="1"/>
  <c r="W108" i="23"/>
  <c r="X108" i="23" s="1"/>
  <c r="W100" i="23"/>
  <c r="X100" i="23" s="1"/>
  <c r="W23" i="23"/>
  <c r="X23" i="23" s="1"/>
  <c r="W91" i="23"/>
  <c r="X91" i="23" s="1"/>
  <c r="W44" i="23"/>
  <c r="X44" i="23" s="1"/>
  <c r="W94" i="23"/>
  <c r="X94" i="23" s="1"/>
  <c r="W47" i="23"/>
  <c r="X47" i="23" s="1"/>
  <c r="W38" i="23"/>
  <c r="X38" i="23" s="1"/>
  <c r="W92" i="23"/>
  <c r="X92" i="23" s="1"/>
  <c r="W78" i="23"/>
  <c r="X78" i="23" s="1"/>
  <c r="W61" i="23"/>
  <c r="X61" i="23" s="1"/>
  <c r="W45" i="23"/>
  <c r="X45" i="23" s="1"/>
  <c r="W29" i="23"/>
  <c r="X29" i="23" s="1"/>
  <c r="W15" i="23"/>
  <c r="X15" i="23" s="1"/>
  <c r="W115" i="23"/>
  <c r="X115" i="23" s="1"/>
  <c r="W99" i="23"/>
  <c r="X99" i="23" s="1"/>
  <c r="W84" i="23"/>
  <c r="X84" i="23" s="1"/>
  <c r="W68" i="23"/>
  <c r="X68" i="23" s="1"/>
  <c r="W52" i="23"/>
  <c r="X52" i="23" s="1"/>
  <c r="W36" i="23"/>
  <c r="X36" i="23" s="1"/>
  <c r="W22" i="23"/>
  <c r="X22" i="23" s="1"/>
  <c r="W118" i="23"/>
  <c r="X118" i="23" s="1"/>
  <c r="W102" i="23"/>
  <c r="X102" i="23" s="1"/>
  <c r="W86" i="23"/>
  <c r="X86" i="23" s="1"/>
  <c r="W71" i="23"/>
  <c r="X71" i="23" s="1"/>
  <c r="W55" i="23"/>
  <c r="X55" i="23" s="1"/>
  <c r="W39" i="23"/>
  <c r="X39" i="23" s="1"/>
  <c r="W113" i="23"/>
  <c r="X113" i="23" s="1"/>
  <c r="W97" i="23"/>
  <c r="X97" i="23" s="1"/>
  <c r="W79" i="23"/>
  <c r="X79" i="23" s="1"/>
  <c r="W62" i="23"/>
  <c r="X62" i="23" s="1"/>
  <c r="W46" i="23"/>
  <c r="X46" i="23" s="1"/>
  <c r="W26" i="23"/>
  <c r="X26" i="23" s="1"/>
  <c r="W85" i="23"/>
  <c r="X85" i="23" s="1"/>
  <c r="W53" i="23"/>
  <c r="X53" i="23" s="1"/>
  <c r="W107" i="23"/>
  <c r="X107" i="23" s="1"/>
  <c r="W60" i="23"/>
  <c r="X60" i="23" s="1"/>
  <c r="W14" i="23"/>
  <c r="X14" i="23" s="1"/>
  <c r="W80" i="23"/>
  <c r="X80" i="23" s="1"/>
  <c r="W31" i="23"/>
  <c r="X31" i="23" s="1"/>
  <c r="W105" i="23"/>
  <c r="X105" i="23" s="1"/>
  <c r="W70" i="23"/>
  <c r="X70" i="23" s="1"/>
  <c r="W20" i="23"/>
  <c r="X20" i="23" s="1"/>
  <c r="W104" i="23"/>
  <c r="X104" i="23" s="1"/>
  <c r="W74" i="23"/>
  <c r="X74" i="23" s="1"/>
  <c r="W57" i="23"/>
  <c r="X57" i="23" s="1"/>
  <c r="W41" i="23"/>
  <c r="X41" i="23" s="1"/>
  <c r="W111" i="23"/>
  <c r="X111" i="23" s="1"/>
  <c r="W95" i="23"/>
  <c r="X95" i="23" s="1"/>
  <c r="W81" i="23"/>
  <c r="X81" i="23" s="1"/>
  <c r="W64" i="23"/>
  <c r="X64" i="23" s="1"/>
  <c r="W48" i="23"/>
  <c r="X48" i="23" s="1"/>
  <c r="W32" i="23"/>
  <c r="X32" i="23" s="1"/>
  <c r="W18" i="23"/>
  <c r="X18" i="23" s="1"/>
  <c r="W114" i="23"/>
  <c r="X114" i="23" s="1"/>
  <c r="W98" i="23"/>
  <c r="X98" i="23" s="1"/>
  <c r="W83" i="23"/>
  <c r="X83" i="23" s="1"/>
  <c r="W67" i="23"/>
  <c r="X67" i="23" s="1"/>
  <c r="W51" i="23"/>
  <c r="X51" i="23" s="1"/>
  <c r="W35" i="23"/>
  <c r="X35" i="23" s="1"/>
  <c r="W21" i="23"/>
  <c r="X21" i="23" s="1"/>
  <c r="W109" i="23"/>
  <c r="X109" i="23" s="1"/>
  <c r="W93" i="23"/>
  <c r="X93" i="23" s="1"/>
  <c r="W75" i="23"/>
  <c r="X75" i="23" s="1"/>
  <c r="W58" i="23"/>
  <c r="X58" i="23" s="1"/>
  <c r="W42" i="23"/>
  <c r="X42" i="23" s="1"/>
  <c r="W24" i="23"/>
  <c r="X24" i="23" s="1"/>
  <c r="W12" i="23"/>
  <c r="Y84" i="23"/>
  <c r="A85" i="23"/>
  <c r="AC169" i="24" l="1"/>
  <c r="A170" i="24"/>
  <c r="X12" i="23"/>
  <c r="Y85" i="23"/>
  <c r="A86" i="23"/>
  <c r="AC170" i="24" l="1"/>
  <c r="A171" i="24"/>
  <c r="Y86" i="23"/>
  <c r="A87" i="23"/>
  <c r="AC171" i="24" l="1"/>
  <c r="A172" i="24"/>
  <c r="Y87" i="23"/>
  <c r="A88" i="23"/>
  <c r="AC172" i="24" l="1"/>
  <c r="A173" i="24"/>
  <c r="Y88" i="23"/>
  <c r="A89" i="23"/>
  <c r="AC173" i="24" l="1"/>
  <c r="A174" i="24"/>
  <c r="Y89" i="23"/>
  <c r="A90" i="23"/>
  <c r="AC174" i="24" l="1"/>
  <c r="A175" i="24"/>
  <c r="Y90" i="23"/>
  <c r="A91" i="23"/>
  <c r="AC175" i="24" l="1"/>
  <c r="A176" i="24"/>
  <c r="Y91" i="23"/>
  <c r="A92" i="23"/>
  <c r="AC176" i="24" l="1"/>
  <c r="A177" i="24"/>
  <c r="Y92" i="23"/>
  <c r="A93" i="23"/>
  <c r="AC177" i="24" l="1"/>
  <c r="A178" i="24"/>
  <c r="Y93" i="23"/>
  <c r="A94" i="23"/>
  <c r="AC178" i="24" l="1"/>
  <c r="A179" i="24"/>
  <c r="Y94" i="23"/>
  <c r="A95" i="23"/>
  <c r="AC179" i="24" l="1"/>
  <c r="A180" i="24"/>
  <c r="Y95" i="23"/>
  <c r="A96" i="23"/>
  <c r="AC180" i="24" l="1"/>
  <c r="A181" i="24"/>
  <c r="Y96" i="23"/>
  <c r="A97" i="23"/>
  <c r="AC181" i="24" l="1"/>
  <c r="A182" i="24"/>
  <c r="Y97" i="23"/>
  <c r="A98" i="23"/>
  <c r="AC182" i="24" l="1"/>
  <c r="A183" i="24"/>
  <c r="Y98" i="23"/>
  <c r="A99" i="23"/>
  <c r="AC183" i="24" l="1"/>
  <c r="A184" i="24"/>
  <c r="Y99" i="23"/>
  <c r="A100" i="23"/>
  <c r="AC184" i="24" l="1"/>
  <c r="A185" i="24"/>
  <c r="Y100" i="23"/>
  <c r="A101" i="23"/>
  <c r="AC185" i="24" l="1"/>
  <c r="A186" i="24"/>
  <c r="Y101" i="23"/>
  <c r="A102" i="23"/>
  <c r="AC186" i="24" l="1"/>
  <c r="A187" i="24"/>
  <c r="Y102" i="23"/>
  <c r="A103" i="23"/>
  <c r="AC187" i="24" l="1"/>
  <c r="A188" i="24"/>
  <c r="Y103" i="23"/>
  <c r="A104" i="23"/>
  <c r="AC188" i="24" l="1"/>
  <c r="A189" i="24"/>
  <c r="Y104" i="23"/>
  <c r="A105" i="23"/>
  <c r="AC189" i="24" l="1"/>
  <c r="A190" i="24"/>
  <c r="Y105" i="23"/>
  <c r="A106" i="23"/>
  <c r="AC190" i="24" l="1"/>
  <c r="A191" i="24"/>
  <c r="Y106" i="23"/>
  <c r="A107" i="23"/>
  <c r="AC191" i="24" l="1"/>
  <c r="A192" i="24"/>
  <c r="Y107" i="23"/>
  <c r="A108" i="23"/>
  <c r="AC192" i="24" l="1"/>
  <c r="A193" i="24"/>
  <c r="Y108" i="23"/>
  <c r="AC193" i="24" l="1"/>
  <c r="A194" i="24"/>
  <c r="A109" i="23"/>
  <c r="AC194" i="24" l="1"/>
  <c r="A195" i="24"/>
  <c r="Y109" i="23"/>
  <c r="A110" i="23"/>
  <c r="AC195" i="24" l="1"/>
  <c r="A196" i="24"/>
  <c r="Y110" i="23"/>
  <c r="A111" i="23"/>
  <c r="AC196" i="24" l="1"/>
  <c r="A197" i="24"/>
  <c r="Y111" i="23"/>
  <c r="A112" i="23"/>
  <c r="AC197" i="24" l="1"/>
  <c r="A198" i="24"/>
  <c r="Y112" i="23"/>
  <c r="A113" i="23"/>
  <c r="AC198" i="24" l="1"/>
  <c r="A199" i="24"/>
  <c r="Y113" i="23"/>
  <c r="A114" i="23"/>
  <c r="AC199" i="24" l="1"/>
  <c r="A200" i="24"/>
  <c r="Y114" i="23"/>
  <c r="A115" i="23"/>
  <c r="AC200" i="24" l="1"/>
  <c r="A201" i="24"/>
  <c r="Y115" i="23"/>
  <c r="A116" i="23"/>
  <c r="AC201" i="24" l="1"/>
  <c r="A202" i="24"/>
  <c r="Y116" i="23"/>
  <c r="A117" i="23"/>
  <c r="AC202" i="24" l="1"/>
  <c r="A203" i="24"/>
  <c r="Y117" i="23"/>
  <c r="A118" i="23"/>
  <c r="AC203" i="24" l="1"/>
  <c r="A204" i="24"/>
  <c r="Y118" i="23"/>
  <c r="A119" i="23"/>
  <c r="AC204" i="24" l="1"/>
  <c r="A205" i="24"/>
  <c r="Y119" i="23"/>
  <c r="A120" i="23"/>
  <c r="AC205" i="24" l="1"/>
  <c r="A206" i="24"/>
  <c r="Y120" i="23"/>
  <c r="A121" i="23"/>
  <c r="AC206" i="24" l="1"/>
  <c r="A207" i="24"/>
  <c r="Y121" i="23"/>
  <c r="A122" i="23"/>
  <c r="AC207" i="24" l="1"/>
  <c r="A208" i="24"/>
  <c r="Y122" i="23"/>
  <c r="A123" i="23"/>
  <c r="AC208" i="24" l="1"/>
  <c r="A209" i="24"/>
  <c r="Y123" i="23"/>
  <c r="A124" i="23"/>
  <c r="AC209" i="24" l="1"/>
  <c r="A210" i="24"/>
  <c r="Y124" i="23"/>
  <c r="A125" i="23"/>
  <c r="AC210" i="24" l="1"/>
  <c r="A211" i="24"/>
  <c r="Y125" i="23"/>
  <c r="A126" i="23"/>
  <c r="AC211" i="24" l="1"/>
  <c r="A212" i="24"/>
  <c r="Y126" i="23"/>
  <c r="A127" i="23"/>
  <c r="AC212" i="24" l="1"/>
  <c r="A213" i="24"/>
  <c r="Y127" i="23"/>
  <c r="A128" i="23"/>
  <c r="AC213" i="24" l="1"/>
  <c r="A214" i="24"/>
  <c r="Y128" i="23"/>
  <c r="A129" i="23"/>
  <c r="AC214" i="24" l="1"/>
  <c r="A215" i="24"/>
  <c r="Y129" i="23"/>
  <c r="A130" i="23"/>
  <c r="AC215" i="24" l="1"/>
  <c r="A216" i="24"/>
  <c r="Y130" i="23"/>
  <c r="A131" i="23"/>
  <c r="AC216" i="24" l="1"/>
  <c r="A217" i="24"/>
  <c r="Y131" i="23"/>
  <c r="A132" i="23"/>
  <c r="AC217" i="24" l="1"/>
  <c r="A218" i="24"/>
  <c r="Y132" i="23"/>
  <c r="A133" i="23"/>
  <c r="AC218" i="24" l="1"/>
  <c r="A219" i="24"/>
  <c r="Y133" i="23"/>
  <c r="A134" i="23"/>
  <c r="AC219" i="24" l="1"/>
  <c r="A220" i="24"/>
  <c r="Y134" i="23"/>
  <c r="A135" i="23"/>
  <c r="AC220" i="24" l="1"/>
  <c r="A221" i="24"/>
  <c r="Y135" i="23"/>
  <c r="A136" i="23"/>
  <c r="AC221" i="24" l="1"/>
  <c r="A222" i="24"/>
  <c r="Y136" i="23"/>
  <c r="A137" i="23"/>
  <c r="AC222" i="24" l="1"/>
  <c r="A223" i="24"/>
  <c r="Y137" i="23"/>
  <c r="A138" i="23"/>
  <c r="AC223" i="24" l="1"/>
  <c r="A224" i="24"/>
  <c r="Y138" i="23"/>
  <c r="A139" i="23"/>
  <c r="AC224" i="24" l="1"/>
  <c r="A225" i="24"/>
  <c r="Y139" i="23"/>
  <c r="A140" i="23"/>
  <c r="AC225" i="24" l="1"/>
  <c r="A226" i="24"/>
  <c r="Y140" i="23"/>
  <c r="A141" i="23"/>
  <c r="AC226" i="24" l="1"/>
  <c r="A227" i="24"/>
  <c r="Y141" i="23"/>
  <c r="A142" i="23"/>
  <c r="AC227" i="24" l="1"/>
  <c r="A228" i="24"/>
  <c r="Y142" i="23"/>
  <c r="A143" i="23"/>
  <c r="AC228" i="24" l="1"/>
  <c r="A229" i="24"/>
  <c r="Y143" i="23"/>
  <c r="A144" i="23"/>
  <c r="AC229" i="24" l="1"/>
  <c r="A230" i="24"/>
  <c r="Y144" i="23"/>
  <c r="A145" i="23"/>
  <c r="AC230" i="24" l="1"/>
  <c r="A231" i="24"/>
  <c r="Y145" i="23"/>
  <c r="A146" i="23"/>
  <c r="AC231" i="24" l="1"/>
  <c r="A232" i="24"/>
  <c r="Y146" i="23"/>
  <c r="A147" i="23"/>
  <c r="AC232" i="24" l="1"/>
  <c r="A233" i="24"/>
  <c r="Y147" i="23"/>
  <c r="A148" i="23"/>
  <c r="AC233" i="24" l="1"/>
  <c r="A234" i="24"/>
  <c r="Y148" i="23"/>
  <c r="A149" i="23"/>
  <c r="AC234" i="24" l="1"/>
  <c r="A235" i="24"/>
  <c r="Y149" i="23"/>
  <c r="AC235" i="24" l="1"/>
  <c r="A236" i="24"/>
  <c r="A150" i="23"/>
  <c r="AC236" i="24" l="1"/>
  <c r="A237" i="24"/>
  <c r="Y150" i="23"/>
  <c r="A151" i="23"/>
  <c r="AC237" i="24" l="1"/>
  <c r="A238" i="24"/>
  <c r="Y151" i="23"/>
  <c r="A152" i="23"/>
  <c r="AC238" i="24" l="1"/>
  <c r="A239" i="24"/>
  <c r="Y152" i="23"/>
  <c r="A153" i="23"/>
  <c r="AC239" i="24" l="1"/>
  <c r="A240" i="24"/>
  <c r="Y153" i="23"/>
  <c r="A154" i="23"/>
  <c r="AC240" i="24" l="1"/>
  <c r="A241" i="24"/>
  <c r="Y154" i="23"/>
  <c r="A155" i="23"/>
  <c r="AC241" i="24" l="1"/>
  <c r="A242" i="24"/>
  <c r="Y155" i="23"/>
  <c r="A156" i="23"/>
  <c r="AC242" i="24" l="1"/>
  <c r="A243" i="24"/>
  <c r="Y156" i="23"/>
  <c r="A157" i="23"/>
  <c r="AC243" i="24" l="1"/>
  <c r="A244" i="24"/>
  <c r="Y157" i="23"/>
  <c r="A158" i="23"/>
  <c r="AC244" i="24" l="1"/>
  <c r="A245" i="24"/>
  <c r="Y158" i="23"/>
  <c r="A159" i="23"/>
  <c r="AC245" i="24" l="1"/>
  <c r="A246" i="24"/>
  <c r="Y159" i="23"/>
  <c r="A160" i="23"/>
  <c r="AC246" i="24" l="1"/>
  <c r="A247" i="24"/>
  <c r="Y160" i="23"/>
  <c r="A161" i="23"/>
  <c r="AC247" i="24" l="1"/>
  <c r="A248" i="24"/>
  <c r="Y161" i="23"/>
  <c r="A162" i="23"/>
  <c r="AC248" i="24" l="1"/>
  <c r="A249" i="24"/>
  <c r="Y162" i="23"/>
  <c r="A163" i="23"/>
  <c r="AC249" i="24" l="1"/>
  <c r="A250" i="24"/>
  <c r="Y163" i="23"/>
  <c r="A164" i="23"/>
  <c r="AC250" i="24" l="1"/>
  <c r="A251" i="24"/>
  <c r="Y164" i="23"/>
  <c r="A165" i="23"/>
  <c r="AC251" i="24" l="1"/>
  <c r="A252" i="24"/>
  <c r="Y165" i="23"/>
  <c r="A166" i="23"/>
  <c r="AC252" i="24" l="1"/>
  <c r="A253" i="24"/>
  <c r="Y166" i="23"/>
  <c r="A167" i="23"/>
  <c r="AC253" i="24" l="1"/>
  <c r="A254" i="24"/>
  <c r="Y167" i="23"/>
  <c r="A168" i="23"/>
  <c r="AC254" i="24" l="1"/>
  <c r="A255" i="24"/>
  <c r="Y168" i="23"/>
  <c r="A169" i="23"/>
  <c r="AC255" i="24" l="1"/>
  <c r="A256" i="24"/>
  <c r="Y169" i="23"/>
  <c r="A170" i="23"/>
  <c r="AC256" i="24" l="1"/>
  <c r="A257" i="24"/>
  <c r="Y170" i="23"/>
  <c r="A171" i="23"/>
  <c r="AC257" i="24" l="1"/>
  <c r="A258" i="24"/>
  <c r="Y171" i="23"/>
  <c r="A172" i="23"/>
  <c r="AC258" i="24" l="1"/>
  <c r="A259" i="24"/>
  <c r="Y172" i="23"/>
  <c r="A173" i="23"/>
  <c r="AC259" i="24" l="1"/>
  <c r="A260" i="24"/>
  <c r="Y173" i="23"/>
  <c r="A174" i="23"/>
  <c r="AC260" i="24" l="1"/>
  <c r="A261" i="24"/>
  <c r="Y174" i="23"/>
  <c r="A175" i="23"/>
  <c r="AC261" i="24" l="1"/>
  <c r="A262" i="24"/>
  <c r="Y175" i="23"/>
  <c r="A176" i="23"/>
  <c r="AC262" i="24" l="1"/>
  <c r="A263" i="24"/>
  <c r="Y176" i="23"/>
  <c r="A177" i="23"/>
  <c r="AC263" i="24" l="1"/>
  <c r="A264" i="24"/>
  <c r="Y177" i="23"/>
  <c r="A178" i="23"/>
  <c r="AC264" i="24" l="1"/>
  <c r="A265" i="24"/>
  <c r="Y178" i="23"/>
  <c r="A179" i="23"/>
  <c r="AC265" i="24" l="1"/>
  <c r="A266" i="24"/>
  <c r="Y179" i="23"/>
  <c r="A180" i="23"/>
  <c r="AC266" i="24" l="1"/>
  <c r="A267" i="24"/>
  <c r="Y180" i="23"/>
  <c r="A181" i="23"/>
  <c r="AC267" i="24" l="1"/>
  <c r="A268" i="24"/>
  <c r="Y181" i="23"/>
  <c r="A182" i="23"/>
  <c r="AC268" i="24" l="1"/>
  <c r="A269" i="24"/>
  <c r="Y182" i="23"/>
  <c r="A183" i="23"/>
  <c r="AC269" i="24" l="1"/>
  <c r="A270" i="24"/>
  <c r="Y183" i="23"/>
  <c r="A184" i="23"/>
  <c r="AC270" i="24" l="1"/>
  <c r="A271" i="24"/>
  <c r="Y184" i="23"/>
  <c r="A185" i="23"/>
  <c r="AC271" i="24" l="1"/>
  <c r="A272" i="24"/>
  <c r="Y185" i="23"/>
  <c r="A186" i="23"/>
  <c r="AC272" i="24" l="1"/>
  <c r="A273" i="24"/>
  <c r="Y186" i="23"/>
  <c r="A187" i="23"/>
  <c r="AC273" i="24" l="1"/>
  <c r="A274" i="24"/>
  <c r="Y187" i="23"/>
  <c r="A188" i="23"/>
  <c r="AC274" i="24" l="1"/>
  <c r="A275" i="24"/>
  <c r="Y188" i="23"/>
  <c r="A189" i="23"/>
  <c r="AC275" i="24" l="1"/>
  <c r="A276" i="24"/>
  <c r="Y189" i="23"/>
  <c r="A190" i="23"/>
  <c r="AC276" i="24" l="1"/>
  <c r="A277" i="24"/>
  <c r="Y190" i="23"/>
  <c r="A191" i="23"/>
  <c r="AC277" i="24" l="1"/>
  <c r="A278" i="24"/>
  <c r="Y191" i="23"/>
  <c r="A192" i="23"/>
  <c r="AC278" i="24" l="1"/>
  <c r="A279" i="24"/>
  <c r="Y192" i="23"/>
  <c r="A193" i="23"/>
  <c r="AC279" i="24" l="1"/>
  <c r="A280" i="24"/>
  <c r="Y193" i="23"/>
  <c r="A194" i="23"/>
  <c r="AC280" i="24" l="1"/>
  <c r="A281" i="24"/>
  <c r="Y194" i="23"/>
  <c r="A195" i="23"/>
  <c r="AC281" i="24" l="1"/>
  <c r="A282" i="24"/>
  <c r="Y195" i="23"/>
  <c r="A196" i="23"/>
  <c r="AC282" i="24" l="1"/>
  <c r="A283" i="24"/>
  <c r="Y196" i="23"/>
  <c r="A197" i="23"/>
  <c r="AC283" i="24" l="1"/>
  <c r="A284" i="24"/>
  <c r="Y197" i="23"/>
  <c r="A198" i="23"/>
  <c r="AC284" i="24" l="1"/>
  <c r="A285" i="24"/>
  <c r="Y198" i="23"/>
  <c r="A199" i="23"/>
  <c r="Y199" i="23" s="1"/>
  <c r="AC285" i="24" l="1"/>
  <c r="A286" i="24"/>
  <c r="AC286" i="24" l="1"/>
  <c r="A287" i="24"/>
  <c r="A288" i="24" s="1"/>
  <c r="A291" i="24" s="1"/>
  <c r="AC291" i="24" l="1"/>
  <c r="A292" i="24"/>
  <c r="AC287" i="24"/>
  <c r="AC288" i="24"/>
  <c r="AC292" i="24" l="1"/>
  <c r="A293" i="24"/>
  <c r="AC293" i="24" s="1"/>
  <c r="A294" i="24" l="1"/>
  <c r="AC294" i="24" l="1"/>
  <c r="A295" i="24"/>
  <c r="AC295" i="24" l="1"/>
  <c r="A296" i="24"/>
  <c r="AC296" i="24" l="1"/>
  <c r="A297" i="24"/>
  <c r="AC297" i="24" l="1"/>
  <c r="A298" i="24"/>
  <c r="AC298" i="24" l="1"/>
  <c r="A299" i="24"/>
  <c r="AC299" i="24" l="1"/>
  <c r="A300" i="24"/>
  <c r="AC300" i="24" l="1"/>
  <c r="A301" i="24"/>
  <c r="AC301" i="24" l="1"/>
  <c r="A302" i="24"/>
  <c r="AC302" i="24" l="1"/>
  <c r="A303" i="24"/>
  <c r="A304" i="24" l="1"/>
  <c r="AC303" i="24"/>
  <c r="A305" i="24" l="1"/>
  <c r="AC304" i="24"/>
  <c r="AC305" i="24" l="1"/>
  <c r="A306" i="24"/>
  <c r="A307" i="24" l="1"/>
  <c r="AC306" i="24"/>
  <c r="A308" i="24" l="1"/>
  <c r="AC307" i="24"/>
  <c r="A309" i="24" l="1"/>
  <c r="AC308" i="24"/>
  <c r="AC309" i="24" l="1"/>
  <c r="A310" i="24"/>
  <c r="A311" i="24" l="1"/>
  <c r="AC310" i="24"/>
  <c r="A312" i="24" l="1"/>
  <c r="AC311" i="24"/>
  <c r="A313" i="24" l="1"/>
  <c r="AC312" i="24"/>
  <c r="A314" i="24" l="1"/>
  <c r="AC313" i="24"/>
  <c r="AC314" i="24" l="1"/>
  <c r="A315" i="24"/>
  <c r="A316" i="24" l="1"/>
  <c r="AC315" i="24"/>
  <c r="A317" i="24" l="1"/>
  <c r="AC316" i="24"/>
  <c r="A318" i="24" l="1"/>
  <c r="AC317" i="24"/>
  <c r="A319" i="24" l="1"/>
  <c r="AC318" i="24"/>
  <c r="A320" i="24" l="1"/>
  <c r="AC319" i="24"/>
  <c r="A321" i="24" l="1"/>
  <c r="AC320" i="24"/>
  <c r="A322" i="24" l="1"/>
  <c r="AC321" i="24"/>
  <c r="A323" i="24" l="1"/>
  <c r="AC322" i="24"/>
  <c r="A324" i="24" l="1"/>
  <c r="AC323" i="24"/>
  <c r="A325" i="24" l="1"/>
  <c r="AC324" i="24"/>
  <c r="A326" i="24" l="1"/>
  <c r="AC325" i="24"/>
  <c r="A327" i="24" l="1"/>
  <c r="AC326" i="24"/>
  <c r="A328" i="24" l="1"/>
  <c r="AC327" i="24"/>
  <c r="A329" i="24" l="1"/>
  <c r="AC328" i="24"/>
  <c r="A330" i="24" l="1"/>
  <c r="AC329" i="24"/>
  <c r="A331" i="24" l="1"/>
  <c r="AC330" i="24"/>
  <c r="A332" i="24" l="1"/>
  <c r="AC331" i="24"/>
  <c r="A333" i="24" l="1"/>
  <c r="AC332" i="24"/>
  <c r="A334" i="24" l="1"/>
  <c r="AC333" i="24"/>
  <c r="A335" i="24" l="1"/>
  <c r="AC334" i="24"/>
  <c r="A336" i="24" l="1"/>
  <c r="AC335" i="24"/>
  <c r="W188" i="23"/>
  <c r="X188" i="23" s="1"/>
  <c r="W156" i="23"/>
  <c r="X156" i="23" s="1"/>
  <c r="W141" i="23"/>
  <c r="X141" i="23" s="1"/>
  <c r="W126" i="23"/>
  <c r="X126" i="23" s="1"/>
  <c r="W191" i="23"/>
  <c r="X191" i="23" s="1"/>
  <c r="W175" i="23"/>
  <c r="X175" i="23" s="1"/>
  <c r="W159" i="23"/>
  <c r="X159" i="23" s="1"/>
  <c r="W144" i="23"/>
  <c r="X144" i="23" s="1"/>
  <c r="W129" i="23"/>
  <c r="X129" i="23" s="1"/>
  <c r="W190" i="23"/>
  <c r="X190" i="23" s="1"/>
  <c r="W174" i="23"/>
  <c r="X174" i="23" s="1"/>
  <c r="W158" i="23"/>
  <c r="X158" i="23" s="1"/>
  <c r="W143" i="23"/>
  <c r="X143" i="23" s="1"/>
  <c r="W128" i="23"/>
  <c r="X128" i="23" s="1"/>
  <c r="W185" i="23"/>
  <c r="X185" i="23" s="1"/>
  <c r="W169" i="23"/>
  <c r="X169" i="23" s="1"/>
  <c r="W153" i="23"/>
  <c r="X153" i="23" s="1"/>
  <c r="W138" i="23"/>
  <c r="X138" i="23" s="1"/>
  <c r="W123" i="23"/>
  <c r="X123" i="23" s="1"/>
  <c r="W172" i="23"/>
  <c r="X172" i="23" s="1"/>
  <c r="W184" i="23"/>
  <c r="X184" i="23" s="1"/>
  <c r="W168" i="23"/>
  <c r="X168" i="23" s="1"/>
  <c r="W152" i="23"/>
  <c r="X152" i="23" s="1"/>
  <c r="W137" i="23"/>
  <c r="X137" i="23" s="1"/>
  <c r="W122" i="23"/>
  <c r="X122" i="23" s="1"/>
  <c r="W187" i="23"/>
  <c r="X187" i="23" s="1"/>
  <c r="W171" i="23"/>
  <c r="X171" i="23" s="1"/>
  <c r="W155" i="23"/>
  <c r="X155" i="23" s="1"/>
  <c r="W140" i="23"/>
  <c r="X140" i="23" s="1"/>
  <c r="W125" i="23"/>
  <c r="X125" i="23" s="1"/>
  <c r="W186" i="23"/>
  <c r="X186" i="23" s="1"/>
  <c r="W170" i="23"/>
  <c r="X170" i="23" s="1"/>
  <c r="W154" i="23"/>
  <c r="X154" i="23" s="1"/>
  <c r="W139" i="23"/>
  <c r="X139" i="23" s="1"/>
  <c r="W124" i="23"/>
  <c r="X124" i="23" s="1"/>
  <c r="W197" i="23"/>
  <c r="X197" i="23" s="1"/>
  <c r="W181" i="23"/>
  <c r="X181" i="23" s="1"/>
  <c r="W165" i="23"/>
  <c r="X165" i="23" s="1"/>
  <c r="W135" i="23"/>
  <c r="X135" i="23" s="1"/>
  <c r="W196" i="23"/>
  <c r="X196" i="23" s="1"/>
  <c r="W180" i="23"/>
  <c r="X180" i="23" s="1"/>
  <c r="W164" i="23"/>
  <c r="X164" i="23" s="1"/>
  <c r="W149" i="23"/>
  <c r="X149" i="23" s="1"/>
  <c r="W134" i="23"/>
  <c r="X134" i="23" s="1"/>
  <c r="W199" i="23"/>
  <c r="X199" i="23" s="1"/>
  <c r="W183" i="23"/>
  <c r="X183" i="23" s="1"/>
  <c r="W167" i="23"/>
  <c r="X167" i="23" s="1"/>
  <c r="W151" i="23"/>
  <c r="X151" i="23" s="1"/>
  <c r="W136" i="23"/>
  <c r="X136" i="23" s="1"/>
  <c r="W121" i="23"/>
  <c r="X121" i="23" s="1"/>
  <c r="W198" i="23"/>
  <c r="X198" i="23" s="1"/>
  <c r="W182" i="23"/>
  <c r="X182" i="23" s="1"/>
  <c r="W166" i="23"/>
  <c r="X166" i="23" s="1"/>
  <c r="W150" i="23"/>
  <c r="X150" i="23" s="1"/>
  <c r="W193" i="23"/>
  <c r="X193" i="23" s="1"/>
  <c r="W177" i="23"/>
  <c r="X177" i="23" s="1"/>
  <c r="W161" i="23"/>
  <c r="X161" i="23" s="1"/>
  <c r="W146" i="23"/>
  <c r="X146" i="23" s="1"/>
  <c r="W131" i="23"/>
  <c r="X131" i="23" s="1"/>
  <c r="W192" i="23"/>
  <c r="X192" i="23" s="1"/>
  <c r="W176" i="23"/>
  <c r="X176" i="23" s="1"/>
  <c r="W160" i="23"/>
  <c r="X160" i="23" s="1"/>
  <c r="W145" i="23"/>
  <c r="X145" i="23" s="1"/>
  <c r="W130" i="23"/>
  <c r="X130" i="23" s="1"/>
  <c r="W195" i="23"/>
  <c r="X195" i="23" s="1"/>
  <c r="W179" i="23"/>
  <c r="X179" i="23" s="1"/>
  <c r="W163" i="23"/>
  <c r="X163" i="23" s="1"/>
  <c r="W148" i="23"/>
  <c r="X148" i="23" s="1"/>
  <c r="W133" i="23"/>
  <c r="X133" i="23" s="1"/>
  <c r="W194" i="23"/>
  <c r="X194" i="23" s="1"/>
  <c r="W178" i="23"/>
  <c r="X178" i="23" s="1"/>
  <c r="W162" i="23"/>
  <c r="X162" i="23" s="1"/>
  <c r="W147" i="23"/>
  <c r="X147" i="23" s="1"/>
  <c r="W132" i="23"/>
  <c r="X132" i="23" s="1"/>
  <c r="W189" i="23"/>
  <c r="X189" i="23" s="1"/>
  <c r="W173" i="23"/>
  <c r="X173" i="23" s="1"/>
  <c r="W157" i="23"/>
  <c r="X157" i="23" s="1"/>
  <c r="W142" i="23"/>
  <c r="X142" i="23" s="1"/>
  <c r="W127" i="23"/>
  <c r="X127" i="23" s="1"/>
  <c r="A337" i="24" l="1"/>
  <c r="AC336" i="24"/>
  <c r="P271" i="6"/>
  <c r="W88" i="23"/>
  <c r="A338" i="24" l="1"/>
  <c r="AC337" i="24"/>
  <c r="X88" i="23"/>
  <c r="X200" i="23" s="1"/>
  <c r="W200" i="23"/>
  <c r="A339" i="24" l="1"/>
  <c r="AC338" i="24"/>
  <c r="A340" i="24" l="1"/>
  <c r="AC339" i="24"/>
  <c r="A341" i="24" l="1"/>
  <c r="AC340" i="24"/>
  <c r="A342" i="24" l="1"/>
  <c r="AC341" i="24"/>
  <c r="A343" i="24" l="1"/>
  <c r="AC342" i="24"/>
  <c r="A344" i="24" l="1"/>
  <c r="AC343" i="24"/>
  <c r="A345" i="24" l="1"/>
  <c r="AC344" i="24"/>
  <c r="A346" i="24" l="1"/>
  <c r="AC345" i="24"/>
  <c r="A347" i="24" l="1"/>
  <c r="AC346" i="24"/>
  <c r="A348" i="24" l="1"/>
  <c r="AC347" i="24"/>
  <c r="A349" i="24" l="1"/>
  <c r="AC348" i="24"/>
  <c r="A350" i="24" l="1"/>
  <c r="AC349" i="24"/>
  <c r="A351" i="24" l="1"/>
  <c r="AC350" i="24"/>
  <c r="A352" i="24" l="1"/>
  <c r="AC351" i="24"/>
  <c r="A353" i="24" l="1"/>
  <c r="AC353" i="24" s="1"/>
  <c r="AC352" i="24"/>
  <c r="AB106" i="25" l="1"/>
  <c r="AB103" i="25"/>
  <c r="AB105" i="25"/>
  <c r="AB155" i="25"/>
  <c r="AB283" i="25"/>
  <c r="AB220" i="25"/>
  <c r="AB281" i="25"/>
  <c r="AB270" i="25"/>
  <c r="AB279" i="25"/>
  <c r="AB280" i="25"/>
  <c r="AB112" i="25"/>
  <c r="AB266" i="25"/>
  <c r="AB211" i="25"/>
  <c r="AB148" i="25"/>
  <c r="AB209" i="25"/>
  <c r="AB227" i="25"/>
  <c r="AB164" i="25"/>
  <c r="AB261" i="25"/>
  <c r="AB158" i="25"/>
  <c r="AB135" i="25"/>
  <c r="AB252" i="25"/>
  <c r="AB150" i="25"/>
  <c r="AB218" i="25"/>
  <c r="AB190" i="25"/>
  <c r="AB167" i="25"/>
  <c r="AB149" i="25"/>
  <c r="AB214" i="25"/>
  <c r="AB282" i="25"/>
  <c r="AB171" i="25"/>
  <c r="AB108" i="25"/>
  <c r="AB236" i="25"/>
  <c r="AB173" i="25"/>
  <c r="AB114" i="25"/>
  <c r="AB152" i="25"/>
  <c r="AB249" i="25"/>
  <c r="AB176" i="25"/>
  <c r="AB134" i="25"/>
  <c r="AB123" i="25"/>
  <c r="AB251" i="25"/>
  <c r="AB188" i="25"/>
  <c r="AB137" i="25"/>
  <c r="AB206" i="25"/>
  <c r="AB183" i="25"/>
  <c r="AB181" i="25"/>
  <c r="AB246" i="25"/>
  <c r="AB202" i="25"/>
  <c r="AB179" i="25"/>
  <c r="AB116" i="25"/>
  <c r="AB244" i="25"/>
  <c r="AB195" i="25"/>
  <c r="AB132" i="25"/>
  <c r="AB145" i="25"/>
  <c r="AB292" i="25"/>
  <c r="AB210" i="25"/>
  <c r="AB248" i="25"/>
  <c r="AB260" i="25"/>
  <c r="AB194" i="25"/>
  <c r="AB193" i="25"/>
  <c r="AB126" i="25"/>
  <c r="AB274" i="25"/>
  <c r="AB121" i="25"/>
  <c r="AB111" i="25"/>
  <c r="AB154" i="25"/>
  <c r="AB139" i="25"/>
  <c r="AB267" i="25"/>
  <c r="AB204" i="25"/>
  <c r="AB217" i="25"/>
  <c r="AB238" i="25"/>
  <c r="AB215" i="25"/>
  <c r="AB245" i="25"/>
  <c r="A299" i="25"/>
  <c r="AB104" i="25"/>
  <c r="AB234" i="25"/>
  <c r="AB219" i="25"/>
  <c r="AB156" i="25"/>
  <c r="AB241" i="25"/>
  <c r="AB142" i="25"/>
  <c r="AB119" i="25"/>
  <c r="AB265" i="25"/>
  <c r="AB118" i="25"/>
  <c r="AB186" i="25"/>
  <c r="AB147" i="25"/>
  <c r="AB275" i="25"/>
  <c r="AB212" i="25"/>
  <c r="AB163" i="25"/>
  <c r="AB291" i="25"/>
  <c r="AB228" i="25"/>
  <c r="AB125" i="25"/>
  <c r="AB286" i="25"/>
  <c r="AB120" i="25"/>
  <c r="AB296" i="25"/>
  <c r="AB144" i="25"/>
  <c r="AB237" i="25"/>
  <c r="AB146" i="25"/>
  <c r="AB184" i="25"/>
  <c r="AB289" i="25"/>
  <c r="AB208" i="25"/>
  <c r="AB107" i="25"/>
  <c r="AB235" i="25"/>
  <c r="AB172" i="25"/>
  <c r="AB277" i="25"/>
  <c r="AB174" i="25"/>
  <c r="AB151" i="25"/>
  <c r="AB117" i="25"/>
  <c r="AB182" i="25"/>
  <c r="AB250" i="25"/>
  <c r="AB138" i="25"/>
  <c r="AB187" i="25"/>
  <c r="AB124" i="25"/>
  <c r="AB113" i="25"/>
  <c r="AB268" i="25"/>
  <c r="AB178" i="25"/>
  <c r="AB216" i="25"/>
  <c r="AB189" i="25"/>
  <c r="AB162" i="25"/>
  <c r="AB240" i="25"/>
  <c r="AB115" i="25"/>
  <c r="AB243" i="25"/>
  <c r="AB180" i="25"/>
  <c r="AB131" i="25"/>
  <c r="AB259" i="25"/>
  <c r="AB196" i="25"/>
  <c r="AB185" i="25"/>
  <c r="AB222" i="25"/>
  <c r="AB199" i="25"/>
  <c r="AB213" i="25"/>
  <c r="AB278" i="25"/>
  <c r="AB257" i="25"/>
  <c r="AB254" i="25"/>
  <c r="AB247" i="25"/>
  <c r="AB264" i="25"/>
  <c r="AB271" i="25"/>
  <c r="AB170" i="25"/>
  <c r="AB203" i="25"/>
  <c r="AB140" i="25"/>
  <c r="AB177" i="25"/>
  <c r="AB110" i="25"/>
  <c r="AB242" i="25"/>
  <c r="AB225" i="25"/>
  <c r="AB290" i="25"/>
  <c r="AB239" i="25"/>
  <c r="AB133" i="25"/>
  <c r="AB157" i="25"/>
  <c r="AB166" i="25"/>
  <c r="AB276" i="25"/>
  <c r="AB198" i="25"/>
  <c r="AB205" i="25"/>
  <c r="AB207" i="25"/>
  <c r="A300" i="25"/>
  <c r="AB300" i="25" s="1"/>
  <c r="AB165" i="25"/>
  <c r="AB201" i="25"/>
  <c r="AB253" i="25"/>
  <c r="AB136" i="25"/>
  <c r="AB129" i="25"/>
  <c r="AB168" i="25"/>
  <c r="AB233" i="25"/>
  <c r="AB262" i="25"/>
  <c r="AB223" i="25"/>
  <c r="AB192" i="25"/>
  <c r="AB288" i="25"/>
  <c r="AB191" i="25"/>
  <c r="AB224" i="25"/>
  <c r="AB258" i="25"/>
  <c r="AB269" i="25"/>
  <c r="AB141" i="25"/>
  <c r="AB255" i="25"/>
  <c r="AB293" i="25"/>
  <c r="AB273" i="25"/>
  <c r="AB169" i="25"/>
  <c r="AB175" i="25"/>
  <c r="AB226" i="25"/>
  <c r="AB122" i="25"/>
  <c r="AB230" i="25"/>
  <c r="AB161" i="25"/>
  <c r="AB128" i="25"/>
  <c r="AB256" i="25"/>
  <c r="AB159" i="25"/>
  <c r="AB160" i="25"/>
  <c r="AB197" i="25"/>
  <c r="AB143" i="25"/>
  <c r="AB153" i="25"/>
  <c r="AB287" i="25"/>
  <c r="AB263" i="25"/>
  <c r="AB295" i="25"/>
  <c r="AB294" i="25"/>
  <c r="AB109" i="25"/>
  <c r="AB231" i="25"/>
  <c r="AB229" i="25"/>
  <c r="AB284" i="25"/>
  <c r="AB200" i="25"/>
  <c r="AB232" i="25"/>
  <c r="AB127" i="25"/>
  <c r="AB221" i="25"/>
  <c r="AB272" i="25"/>
  <c r="AB130" i="25"/>
  <c r="AB299" i="25" l="1"/>
  <c r="A301" i="25"/>
  <c r="A302" i="25"/>
  <c r="AB302" i="25" s="1"/>
  <c r="A303" i="25" l="1"/>
  <c r="A304" i="25"/>
  <c r="AB304" i="25" s="1"/>
  <c r="AB301" i="25"/>
  <c r="A305" i="25" l="1"/>
  <c r="AB305" i="25" s="1"/>
  <c r="A306" i="25"/>
  <c r="A307" i="25" s="1"/>
  <c r="AB303" i="25"/>
  <c r="AB307" i="25" l="1"/>
  <c r="A308" i="25"/>
  <c r="AB308" i="25" s="1"/>
  <c r="AB306" i="25"/>
  <c r="A309" i="25" l="1"/>
  <c r="AB309" i="25" l="1"/>
  <c r="A310" i="25"/>
  <c r="AB310" i="25" l="1"/>
  <c r="A311" i="25"/>
  <c r="AB311" i="25" l="1"/>
  <c r="A312" i="25"/>
  <c r="AB312" i="25" l="1"/>
  <c r="A313" i="25"/>
  <c r="AB313" i="25" l="1"/>
  <c r="A314" i="25"/>
  <c r="AB314" i="25" l="1"/>
  <c r="A315" i="25"/>
  <c r="AB315" i="25" l="1"/>
  <c r="A316" i="25"/>
  <c r="AB316" i="25" l="1"/>
  <c r="A317" i="25"/>
  <c r="AB317" i="25" l="1"/>
  <c r="A318" i="25"/>
  <c r="AB318" i="25" l="1"/>
  <c r="A319" i="25"/>
  <c r="AB319" i="25" l="1"/>
  <c r="A320" i="25"/>
  <c r="AB320" i="25" l="1"/>
  <c r="A321" i="25"/>
  <c r="AB321" i="25" l="1"/>
  <c r="A322" i="25"/>
  <c r="AB322" i="25" l="1"/>
  <c r="A323" i="25"/>
  <c r="AB323" i="25" l="1"/>
  <c r="A324" i="25"/>
  <c r="AB324" i="25" l="1"/>
  <c r="A325" i="25"/>
  <c r="AB325" i="25" l="1"/>
  <c r="A326" i="25"/>
  <c r="AB326" i="25" l="1"/>
  <c r="A327" i="25"/>
  <c r="AB327" i="25" l="1"/>
  <c r="A328" i="25"/>
  <c r="AB328" i="25" l="1"/>
  <c r="A329" i="25"/>
  <c r="AB329" i="25" l="1"/>
  <c r="A330" i="25"/>
  <c r="AB330" i="25" l="1"/>
  <c r="A331" i="25"/>
  <c r="AB331" i="25" l="1"/>
  <c r="A332" i="25"/>
  <c r="AB332" i="25" l="1"/>
  <c r="A333" i="25"/>
  <c r="AB333" i="25" l="1"/>
  <c r="A334" i="25"/>
  <c r="AB334" i="25" l="1"/>
  <c r="A335" i="25"/>
  <c r="AB335" i="25" l="1"/>
  <c r="A336" i="25"/>
  <c r="AB336" i="25" l="1"/>
  <c r="A337" i="25"/>
  <c r="AB337" i="25" l="1"/>
  <c r="A338" i="25"/>
  <c r="AB338" i="25" l="1"/>
  <c r="A339" i="25"/>
  <c r="AB339" i="25" l="1"/>
  <c r="A340" i="25"/>
  <c r="AB340" i="25" l="1"/>
  <c r="A341" i="25"/>
  <c r="AB341" i="25" l="1"/>
  <c r="A342" i="25"/>
  <c r="AB342" i="25" l="1"/>
  <c r="A343" i="25"/>
  <c r="AB343" i="25" l="1"/>
  <c r="A344" i="25"/>
  <c r="AB344" i="25" l="1"/>
  <c r="A345" i="25"/>
  <c r="AB345" i="25" l="1"/>
  <c r="A346" i="25"/>
  <c r="AB346" i="25" l="1"/>
  <c r="A347" i="25"/>
  <c r="AB347" i="25" l="1"/>
  <c r="A348" i="25"/>
  <c r="AB348" i="25" l="1"/>
  <c r="A349" i="25"/>
  <c r="AB349" i="25" l="1"/>
  <c r="A350" i="25"/>
  <c r="AB350" i="25" l="1"/>
  <c r="A351" i="25"/>
  <c r="A352" i="25" s="1"/>
  <c r="AB352" i="25" l="1"/>
  <c r="A353" i="25"/>
  <c r="AB353" i="25" l="1"/>
  <c r="A354" i="25"/>
  <c r="A355" i="25" s="1"/>
  <c r="AB355" i="25" l="1"/>
  <c r="A356" i="25"/>
  <c r="AB356" i="25" l="1"/>
  <c r="A357" i="25"/>
  <c r="AB357" i="25" l="1"/>
  <c r="A358" i="25"/>
  <c r="AB358" i="25" l="1"/>
  <c r="A359" i="25"/>
  <c r="AB359" i="25" l="1"/>
  <c r="A360" i="25"/>
  <c r="AB360" i="25" l="1"/>
  <c r="A361" i="25"/>
  <c r="AB361" i="25" s="1"/>
  <c r="AA36" i="26" l="1"/>
  <c r="AA38" i="26"/>
  <c r="A40" i="26"/>
  <c r="AA40" i="26" s="1"/>
  <c r="AA37" i="26"/>
  <c r="AA39" i="26"/>
  <c r="A41" i="26" l="1"/>
  <c r="A42" i="26"/>
  <c r="AA41" i="26"/>
  <c r="AA42" i="26" l="1"/>
  <c r="A43" i="26"/>
  <c r="AA43" i="26" l="1"/>
  <c r="A44" i="26"/>
  <c r="AA44" i="26" l="1"/>
  <c r="A45" i="26"/>
  <c r="A46" i="26" s="1"/>
  <c r="AA46" i="26" s="1"/>
  <c r="AA45" i="26" l="1"/>
  <c r="A47" i="26"/>
  <c r="A48" i="26" l="1"/>
  <c r="AA47" i="26"/>
  <c r="AA48" i="26" l="1"/>
  <c r="A49" i="26"/>
  <c r="AA49" i="26" l="1"/>
  <c r="A50" i="26"/>
  <c r="AA50" i="26" l="1"/>
  <c r="A51" i="26"/>
  <c r="AA51" i="26" l="1"/>
  <c r="A52" i="26"/>
  <c r="AA52" i="26" l="1"/>
  <c r="A53" i="26"/>
  <c r="AA53" i="26" l="1"/>
  <c r="A54" i="26"/>
  <c r="AA54" i="26" l="1"/>
  <c r="A55" i="26"/>
  <c r="AA55" i="26" l="1"/>
  <c r="A56" i="26"/>
  <c r="AA56" i="26" l="1"/>
  <c r="A57" i="26"/>
  <c r="AA57" i="26" l="1"/>
  <c r="A58" i="26"/>
  <c r="AA58" i="26" l="1"/>
  <c r="A59" i="26"/>
  <c r="AA59" i="26" l="1"/>
  <c r="A60" i="26"/>
  <c r="AA60" i="26" l="1"/>
  <c r="A61" i="26"/>
  <c r="AA61" i="26" l="1"/>
  <c r="A62" i="26"/>
  <c r="AA62" i="26" l="1"/>
  <c r="A63" i="26"/>
  <c r="AA63" i="26" l="1"/>
  <c r="A64" i="26"/>
  <c r="AA64" i="26" l="1"/>
  <c r="A65" i="26"/>
  <c r="AA65" i="26" l="1"/>
  <c r="A66" i="26"/>
  <c r="AA66" i="26" l="1"/>
  <c r="A67" i="26"/>
  <c r="AA67" i="26" l="1"/>
  <c r="A68" i="26"/>
  <c r="AA68" i="26" l="1"/>
  <c r="A69" i="26"/>
  <c r="AA69" i="26" l="1"/>
  <c r="A70" i="26"/>
  <c r="AA70" i="26" l="1"/>
  <c r="A71" i="26"/>
  <c r="AA71" i="26" l="1"/>
  <c r="A72" i="26"/>
  <c r="AA72" i="26" l="1"/>
  <c r="A73" i="26"/>
  <c r="AA73" i="26" l="1"/>
  <c r="A74" i="26"/>
  <c r="AA74" i="26" l="1"/>
  <c r="A75" i="26"/>
  <c r="AA75" i="26" l="1"/>
  <c r="A76" i="26"/>
  <c r="AA76" i="26" l="1"/>
  <c r="A77" i="26"/>
  <c r="AA77" i="26" l="1"/>
  <c r="A78" i="26"/>
  <c r="AA78" i="26" l="1"/>
  <c r="A79" i="26"/>
  <c r="AA79" i="26" l="1"/>
  <c r="A80" i="26"/>
  <c r="AA80" i="26" l="1"/>
  <c r="A81" i="26"/>
  <c r="AA81" i="26" l="1"/>
  <c r="A82" i="26"/>
  <c r="AA82" i="26" l="1"/>
  <c r="A83" i="26"/>
  <c r="AA83" i="26" l="1"/>
  <c r="A84" i="26"/>
  <c r="AA84" i="26" l="1"/>
  <c r="A85" i="26"/>
  <c r="AA85" i="26" l="1"/>
  <c r="A86" i="26"/>
  <c r="AA86" i="26" l="1"/>
  <c r="A87" i="26"/>
  <c r="AA87" i="26" l="1"/>
  <c r="A88" i="26"/>
  <c r="AA88" i="26" l="1"/>
  <c r="A89" i="26"/>
  <c r="AA89" i="26" l="1"/>
  <c r="A90" i="26"/>
  <c r="A91" i="26" s="1"/>
  <c r="A92" i="26" l="1"/>
  <c r="AA91" i="26"/>
  <c r="AA90" i="26"/>
  <c r="AA92" i="26" l="1"/>
  <c r="A93" i="26"/>
  <c r="AA93" i="26" l="1"/>
  <c r="A94" i="26"/>
  <c r="AA94" i="26" l="1"/>
  <c r="A95" i="26"/>
  <c r="AA95" i="26" l="1"/>
  <c r="A96" i="26"/>
  <c r="AA96" i="26" l="1"/>
  <c r="A97" i="26"/>
  <c r="AA97" i="26" l="1"/>
  <c r="A98" i="26"/>
  <c r="AA98" i="26" l="1"/>
  <c r="A99" i="26"/>
  <c r="AA99" i="26" l="1"/>
  <c r="A100" i="26"/>
  <c r="AA100" i="26" l="1"/>
  <c r="A101" i="26"/>
  <c r="AA101" i="26" l="1"/>
  <c r="A102" i="26"/>
  <c r="AA102" i="26" l="1"/>
  <c r="A103" i="26"/>
  <c r="AA103" i="26" l="1"/>
  <c r="A104" i="26"/>
  <c r="AA104" i="26" l="1"/>
  <c r="A105" i="26"/>
  <c r="AA105" i="26" l="1"/>
  <c r="A106" i="26"/>
  <c r="AA106" i="26" l="1"/>
  <c r="A107" i="26"/>
  <c r="AA107" i="26" l="1"/>
  <c r="A108" i="26"/>
  <c r="AA108" i="26" l="1"/>
  <c r="A109" i="26"/>
  <c r="AA109" i="26" l="1"/>
  <c r="A110" i="26"/>
  <c r="AA110" i="26" l="1"/>
  <c r="A111" i="26"/>
  <c r="AA111" i="26" l="1"/>
  <c r="A112" i="26"/>
  <c r="AA112" i="26" l="1"/>
  <c r="A113" i="26"/>
  <c r="AA113" i="26" l="1"/>
  <c r="A114" i="26"/>
  <c r="AA114" i="26" l="1"/>
  <c r="A115" i="26"/>
  <c r="AA115" i="26" l="1"/>
  <c r="A116" i="26"/>
  <c r="AA116" i="26" l="1"/>
  <c r="A117" i="26"/>
  <c r="AA117" i="26" l="1"/>
  <c r="A118" i="26"/>
  <c r="AA118" i="26" l="1"/>
  <c r="A119" i="26"/>
  <c r="AA119" i="26" l="1"/>
  <c r="A120" i="26"/>
  <c r="AA120" i="26" l="1"/>
  <c r="A121" i="26"/>
  <c r="AA121" i="26" l="1"/>
  <c r="A122" i="26"/>
  <c r="AA122" i="26" l="1"/>
  <c r="A123" i="26"/>
  <c r="AA123" i="26" l="1"/>
  <c r="A124" i="26"/>
  <c r="AA124" i="26" l="1"/>
  <c r="A125" i="26"/>
  <c r="AA125" i="26" l="1"/>
  <c r="A126" i="26"/>
  <c r="AA126" i="26" l="1"/>
  <c r="A127" i="26"/>
  <c r="AA127" i="26" l="1"/>
  <c r="A128" i="26"/>
  <c r="AA128" i="26" l="1"/>
  <c r="A129" i="26"/>
  <c r="AA129" i="26" l="1"/>
  <c r="A130" i="26"/>
  <c r="AA130" i="26" l="1"/>
  <c r="A131" i="26"/>
  <c r="AA131" i="26" l="1"/>
  <c r="A132" i="26"/>
  <c r="AA132" i="26" l="1"/>
  <c r="A133" i="26"/>
  <c r="AA133" i="26" l="1"/>
  <c r="A134" i="26"/>
  <c r="AA134" i="26" l="1"/>
  <c r="A135" i="26"/>
  <c r="AA135" i="26" l="1"/>
  <c r="A136" i="26"/>
  <c r="AA136" i="26" l="1"/>
  <c r="A137" i="26"/>
  <c r="AA137" i="26" l="1"/>
  <c r="A138" i="26"/>
  <c r="AA138" i="26" l="1"/>
  <c r="A139" i="26"/>
  <c r="AA139" i="26" l="1"/>
  <c r="A140" i="26"/>
  <c r="AA140" i="26" l="1"/>
  <c r="A141" i="26"/>
  <c r="AA141" i="26" l="1"/>
  <c r="A142" i="26"/>
  <c r="AA142" i="26" l="1"/>
  <c r="A143" i="26"/>
  <c r="AA143" i="26" l="1"/>
  <c r="A144" i="26"/>
  <c r="AA144" i="26" l="1"/>
  <c r="A145" i="26"/>
  <c r="AA145" i="26" l="1"/>
  <c r="A146" i="26"/>
  <c r="AA146" i="26" l="1"/>
  <c r="A147" i="26"/>
  <c r="AA147" i="26" l="1"/>
  <c r="A148" i="26"/>
  <c r="AA148" i="26" l="1"/>
  <c r="A149" i="26"/>
  <c r="AA149" i="26" l="1"/>
  <c r="A150" i="26"/>
  <c r="AA150" i="26" l="1"/>
  <c r="A151" i="26"/>
  <c r="AA151" i="26" l="1"/>
  <c r="A152" i="26"/>
  <c r="AA152" i="26" l="1"/>
  <c r="A153" i="26"/>
  <c r="AA153" i="26" l="1"/>
  <c r="A154" i="26"/>
  <c r="AA154" i="26" l="1"/>
  <c r="A155" i="26"/>
  <c r="AA155" i="26" l="1"/>
  <c r="A156" i="26"/>
  <c r="AA156" i="26" l="1"/>
  <c r="A157" i="26"/>
  <c r="AA157" i="26" l="1"/>
  <c r="A158" i="26"/>
  <c r="AA158" i="26" l="1"/>
  <c r="A159" i="26"/>
  <c r="AA159" i="26" l="1"/>
  <c r="A160" i="26"/>
  <c r="AA160" i="26" l="1"/>
  <c r="A161" i="26"/>
  <c r="AA161" i="26" l="1"/>
  <c r="A162" i="26"/>
  <c r="AA162" i="26" l="1"/>
  <c r="A163" i="26"/>
  <c r="AA163" i="26" l="1"/>
  <c r="A164" i="26"/>
  <c r="AA164" i="26" l="1"/>
  <c r="A165" i="26"/>
  <c r="AA165" i="26" l="1"/>
  <c r="A166" i="26"/>
  <c r="AA166" i="26" l="1"/>
  <c r="A167" i="26"/>
  <c r="AA167" i="26" l="1"/>
  <c r="A168" i="26"/>
  <c r="AA168" i="26" l="1"/>
  <c r="A169" i="26"/>
  <c r="AA169" i="26" l="1"/>
  <c r="A170" i="26"/>
  <c r="AA170" i="26" l="1"/>
  <c r="A171" i="26"/>
  <c r="AA171" i="26" l="1"/>
  <c r="A172" i="26"/>
  <c r="AA172" i="26" l="1"/>
  <c r="A173" i="26"/>
  <c r="AA173" i="26" l="1"/>
  <c r="A174" i="26"/>
  <c r="AA174" i="26" l="1"/>
  <c r="A175" i="26"/>
  <c r="AA175" i="26" l="1"/>
  <c r="A176" i="26"/>
  <c r="AA176" i="26" l="1"/>
  <c r="A177" i="26"/>
  <c r="AA177" i="26" l="1"/>
  <c r="A178" i="26"/>
  <c r="AA178" i="26" l="1"/>
  <c r="A179" i="26"/>
  <c r="AA179" i="26" l="1"/>
  <c r="A180" i="26"/>
  <c r="AA180" i="26" l="1"/>
  <c r="A181" i="26"/>
  <c r="AA181" i="26" l="1"/>
  <c r="A182" i="26"/>
  <c r="AA182" i="26" l="1"/>
  <c r="A183" i="26"/>
  <c r="AA183" i="26" l="1"/>
  <c r="A184" i="26"/>
  <c r="AA184" i="26" l="1"/>
  <c r="A185" i="26"/>
  <c r="AA185" i="26" l="1"/>
  <c r="A186" i="26"/>
  <c r="AA186" i="26" l="1"/>
  <c r="A187" i="26"/>
  <c r="AA187" i="26" l="1"/>
  <c r="A188" i="26"/>
  <c r="AA188" i="26" l="1"/>
  <c r="A189" i="26"/>
  <c r="AA189" i="26" l="1"/>
  <c r="A190" i="26"/>
  <c r="AA190" i="26" l="1"/>
  <c r="A191" i="26"/>
  <c r="AA191" i="26" l="1"/>
  <c r="A192" i="26"/>
  <c r="AA192" i="26" l="1"/>
  <c r="A193" i="26"/>
  <c r="AA193" i="26" l="1"/>
  <c r="A194" i="26"/>
  <c r="AA194" i="26" l="1"/>
  <c r="A195" i="26"/>
  <c r="AA195" i="26" l="1"/>
  <c r="A196" i="26"/>
  <c r="AA196" i="26" l="1"/>
  <c r="A197" i="26"/>
  <c r="AA197" i="26" l="1"/>
  <c r="A198" i="26"/>
  <c r="AA198" i="26" l="1"/>
  <c r="A199" i="26"/>
  <c r="AA199" i="26" l="1"/>
  <c r="A200" i="26"/>
  <c r="AA200" i="26" l="1"/>
  <c r="A201" i="26"/>
  <c r="AA201" i="26" l="1"/>
  <c r="A202" i="26"/>
  <c r="AA202" i="26" l="1"/>
  <c r="A203" i="26"/>
  <c r="AA203" i="26" l="1"/>
  <c r="A204" i="26"/>
  <c r="AA204" i="26" l="1"/>
  <c r="A205" i="26"/>
  <c r="AA205" i="26" l="1"/>
  <c r="A206" i="26"/>
  <c r="AA206" i="26" l="1"/>
  <c r="A207" i="26"/>
  <c r="AA207" i="26" l="1"/>
  <c r="A208" i="26"/>
  <c r="AA208" i="26" l="1"/>
  <c r="A209" i="26"/>
  <c r="AA209" i="26" l="1"/>
  <c r="A210" i="26"/>
  <c r="AA210" i="26" l="1"/>
  <c r="A211" i="26"/>
  <c r="AA211" i="26" l="1"/>
  <c r="A212" i="26"/>
  <c r="AA212" i="26" l="1"/>
  <c r="A213" i="26"/>
  <c r="AA213" i="26" l="1"/>
  <c r="A214" i="26"/>
  <c r="AA214" i="26" l="1"/>
  <c r="A215" i="26"/>
  <c r="AA215" i="26" l="1"/>
  <c r="A216" i="26"/>
  <c r="AA216" i="26" l="1"/>
  <c r="A217" i="26"/>
  <c r="AA217" i="26" l="1"/>
  <c r="A218" i="26"/>
  <c r="AA218" i="26" l="1"/>
  <c r="A219" i="26"/>
  <c r="AA219" i="26" l="1"/>
  <c r="A220" i="26"/>
  <c r="AA220" i="26" l="1"/>
  <c r="A221" i="26"/>
  <c r="AA221" i="26" l="1"/>
  <c r="A222" i="26"/>
  <c r="AA222" i="26" l="1"/>
  <c r="A223" i="26"/>
  <c r="AA223" i="26" l="1"/>
  <c r="A224" i="26"/>
  <c r="AA224" i="26" l="1"/>
  <c r="A225" i="26"/>
  <c r="AA225" i="26" l="1"/>
  <c r="A226" i="26"/>
  <c r="AA226" i="26" l="1"/>
  <c r="A227" i="26"/>
  <c r="AA227" i="26" l="1"/>
  <c r="A228" i="26"/>
  <c r="AA228" i="26" l="1"/>
  <c r="A229" i="26"/>
  <c r="AA229" i="26" l="1"/>
  <c r="A230" i="26"/>
  <c r="AA230" i="26" l="1"/>
  <c r="A231" i="26"/>
  <c r="AA231" i="26" l="1"/>
  <c r="A232" i="26"/>
  <c r="AA232" i="26" l="1"/>
  <c r="A233" i="26"/>
  <c r="AA233" i="26" l="1"/>
  <c r="A234" i="26"/>
  <c r="AA234" i="26" l="1"/>
  <c r="A235" i="26"/>
  <c r="AA235" i="26" l="1"/>
  <c r="A236" i="26"/>
  <c r="AA236" i="26" l="1"/>
  <c r="A237" i="26"/>
  <c r="AA237" i="26" l="1"/>
  <c r="A238" i="26"/>
  <c r="AA238" i="26" l="1"/>
  <c r="A239" i="26"/>
  <c r="AA239" i="26" l="1"/>
  <c r="A240" i="26"/>
  <c r="AA240" i="26" l="1"/>
  <c r="A241" i="26"/>
  <c r="AA241" i="26" l="1"/>
  <c r="A242" i="26"/>
  <c r="AA242" i="26" l="1"/>
  <c r="A243" i="26"/>
  <c r="AA243" i="26" l="1"/>
  <c r="A244" i="26"/>
  <c r="AA244" i="26" l="1"/>
  <c r="A245" i="26"/>
  <c r="AA245" i="26" l="1"/>
  <c r="A246" i="26"/>
  <c r="AA246" i="26" l="1"/>
  <c r="A247" i="26"/>
  <c r="AA247" i="26" l="1"/>
  <c r="A248" i="26"/>
  <c r="AA248" i="26" l="1"/>
  <c r="A249" i="26"/>
  <c r="AA249" i="26" l="1"/>
  <c r="A250" i="26"/>
  <c r="AA250" i="26" l="1"/>
  <c r="A251" i="26"/>
  <c r="AA251" i="26" l="1"/>
  <c r="A252" i="26"/>
  <c r="AA252" i="26" l="1"/>
  <c r="A253" i="26"/>
  <c r="AA253" i="26" l="1"/>
  <c r="A254" i="26"/>
  <c r="AA254" i="26" l="1"/>
  <c r="A255" i="26"/>
  <c r="AA255" i="26" l="1"/>
  <c r="A256" i="26"/>
  <c r="AA256" i="26" l="1"/>
  <c r="A257" i="26"/>
  <c r="AA257" i="26" l="1"/>
  <c r="A258" i="26"/>
  <c r="AA258" i="26" l="1"/>
  <c r="A259" i="26"/>
  <c r="AA259" i="26" l="1"/>
  <c r="A260" i="26"/>
  <c r="AA260" i="26" l="1"/>
  <c r="A261" i="26"/>
  <c r="AA261" i="26" l="1"/>
  <c r="A262" i="26"/>
  <c r="AA262" i="26" l="1"/>
  <c r="A263" i="26"/>
  <c r="AA263" i="26" l="1"/>
  <c r="A264" i="26"/>
  <c r="AA264" i="26" l="1"/>
  <c r="A265" i="26"/>
  <c r="AA265" i="26" l="1"/>
  <c r="A266" i="26"/>
  <c r="AA266" i="26" l="1"/>
  <c r="A267" i="26"/>
  <c r="AA267" i="26" l="1"/>
  <c r="A268" i="26"/>
  <c r="AA268" i="26" l="1"/>
  <c r="A269" i="26"/>
  <c r="AA269" i="26" l="1"/>
  <c r="A270" i="26"/>
  <c r="AA270" i="26" l="1"/>
  <c r="A271" i="26"/>
  <c r="AA271" i="26" l="1"/>
  <c r="A272" i="26"/>
  <c r="AA272" i="26" l="1"/>
  <c r="A273" i="26"/>
  <c r="AA273" i="26" l="1"/>
  <c r="A274" i="26"/>
  <c r="AA274" i="26" l="1"/>
  <c r="A275" i="26"/>
  <c r="AA275" i="26" l="1"/>
  <c r="A276" i="26"/>
  <c r="AA276" i="26" l="1"/>
  <c r="A277" i="26"/>
  <c r="AA277" i="26" l="1"/>
  <c r="A278" i="26"/>
  <c r="AA278" i="26" l="1"/>
  <c r="A279" i="26"/>
  <c r="AA279" i="26" l="1"/>
  <c r="A280" i="26"/>
  <c r="AA280" i="26" l="1"/>
  <c r="A281" i="26"/>
  <c r="AA281" i="26" l="1"/>
  <c r="A282" i="26"/>
  <c r="AA282" i="26" l="1"/>
  <c r="A283" i="26"/>
  <c r="AA283" i="26" l="1"/>
  <c r="A284" i="26"/>
  <c r="AA284" i="26" l="1"/>
  <c r="A285" i="26"/>
  <c r="AA285" i="26" l="1"/>
  <c r="A286" i="26"/>
  <c r="AA286" i="26" l="1"/>
  <c r="A287" i="26"/>
  <c r="AA287" i="26" l="1"/>
  <c r="A288" i="26"/>
  <c r="AA288" i="26" l="1"/>
  <c r="A289" i="26"/>
  <c r="AA289" i="26" l="1"/>
  <c r="A290" i="26"/>
  <c r="AA290" i="26" l="1"/>
  <c r="A291" i="26"/>
  <c r="AA291" i="26" l="1"/>
  <c r="A292" i="26"/>
  <c r="AA292" i="26" l="1"/>
  <c r="A293" i="26"/>
  <c r="AA293" i="26" l="1"/>
  <c r="A294" i="26"/>
  <c r="AA294" i="26" l="1"/>
  <c r="A295" i="26"/>
  <c r="AA295" i="26" l="1"/>
  <c r="A296" i="26"/>
  <c r="AA296" i="26" l="1"/>
  <c r="A297" i="26"/>
  <c r="AA297" i="26" l="1"/>
  <c r="A298" i="26"/>
  <c r="AA298" i="26" l="1"/>
  <c r="A299" i="26"/>
  <c r="AA299" i="26" l="1"/>
  <c r="A300" i="26"/>
  <c r="AA300" i="26" l="1"/>
  <c r="A301" i="26"/>
  <c r="AA301" i="26" l="1"/>
  <c r="A302" i="26"/>
  <c r="AA302" i="26" l="1"/>
  <c r="A303" i="26"/>
  <c r="AA303" i="26" l="1"/>
  <c r="A304" i="26"/>
  <c r="AA304" i="26" l="1"/>
  <c r="A305" i="26"/>
  <c r="AA305" i="26" l="1"/>
  <c r="A306" i="26"/>
  <c r="AA306" i="26" l="1"/>
  <c r="A307" i="26"/>
  <c r="AA307" i="26" l="1"/>
  <c r="A308" i="26"/>
  <c r="AA308" i="26" l="1"/>
  <c r="A309" i="26"/>
  <c r="AA309" i="26" l="1"/>
  <c r="A310" i="26"/>
  <c r="AA310" i="26" l="1"/>
  <c r="A311" i="26"/>
  <c r="AA311" i="26" l="1"/>
  <c r="A312" i="26"/>
  <c r="AA312" i="26" l="1"/>
  <c r="A313" i="26"/>
  <c r="AA313" i="26" l="1"/>
  <c r="A314" i="26"/>
  <c r="AA314" i="26" l="1"/>
  <c r="A315" i="26"/>
  <c r="AA315" i="26" l="1"/>
  <c r="A316" i="26"/>
  <c r="AA316" i="26" l="1"/>
  <c r="A317" i="26"/>
  <c r="AA317" i="26" l="1"/>
  <c r="A318" i="26"/>
  <c r="AA318" i="26" l="1"/>
  <c r="A319" i="26"/>
  <c r="AA319" i="26" l="1"/>
  <c r="A320" i="26"/>
  <c r="AA320" i="26" l="1"/>
  <c r="A321" i="26"/>
  <c r="AA321" i="26" l="1"/>
  <c r="A322" i="26"/>
  <c r="AA322" i="26" l="1"/>
  <c r="A323" i="26"/>
  <c r="AA323" i="26" l="1"/>
  <c r="A324" i="26"/>
  <c r="AA324" i="26" l="1"/>
  <c r="A325" i="26"/>
  <c r="AA325" i="26" l="1"/>
  <c r="A326" i="26"/>
  <c r="AA326" i="26" l="1"/>
  <c r="A327" i="26"/>
  <c r="AA327" i="26" l="1"/>
  <c r="A328" i="26"/>
  <c r="AA328" i="26" l="1"/>
  <c r="A329" i="26"/>
  <c r="AA329" i="26" l="1"/>
  <c r="A330" i="26"/>
  <c r="AA330" i="26" l="1"/>
  <c r="A331" i="26"/>
  <c r="AA331" i="26" l="1"/>
  <c r="A332" i="26"/>
  <c r="AA332" i="26" l="1"/>
  <c r="A333" i="26"/>
  <c r="AA333" i="26" l="1"/>
  <c r="A334" i="26"/>
  <c r="AA334" i="26" l="1"/>
  <c r="A335" i="26"/>
  <c r="AA335" i="26" l="1"/>
  <c r="A336" i="26"/>
  <c r="AA336" i="26" l="1"/>
  <c r="A337" i="26"/>
  <c r="AA337" i="26" l="1"/>
  <c r="A338" i="26"/>
  <c r="AA338" i="26" l="1"/>
  <c r="A339" i="26"/>
  <c r="AA339" i="26" l="1"/>
  <c r="A340" i="26"/>
  <c r="A341" i="26" s="1"/>
  <c r="AA341" i="26" l="1"/>
  <c r="A342" i="26"/>
  <c r="AA342" i="26" l="1"/>
  <c r="A343" i="26"/>
  <c r="A344" i="26" s="1"/>
  <c r="AA344" i="26" l="1"/>
  <c r="A345" i="26"/>
  <c r="AA345" i="26" l="1"/>
  <c r="A346" i="26"/>
  <c r="AA346" i="26" l="1"/>
  <c r="A347" i="26"/>
  <c r="AA347" i="26" l="1"/>
  <c r="A348" i="26"/>
  <c r="AA348" i="26" l="1"/>
  <c r="A349" i="26"/>
  <c r="AA349" i="26" l="1"/>
  <c r="A350" i="26"/>
  <c r="AA350" i="26" s="1"/>
  <c r="R18" i="6" l="1"/>
  <c r="R23" i="6" l="1"/>
  <c r="R20" i="6"/>
  <c r="R21" i="6"/>
  <c r="R22" i="6"/>
  <c r="R17" i="6"/>
  <c r="R82" i="6"/>
  <c r="R19" i="6"/>
  <c r="R16" i="6"/>
  <c r="W18" i="22"/>
  <c r="W20" i="22"/>
  <c r="W17" i="22"/>
  <c r="W16" i="22"/>
  <c r="W19" i="22"/>
  <c r="W24" i="22"/>
  <c r="W15" i="22"/>
  <c r="R198" i="6" l="1"/>
  <c r="R103" i="6"/>
  <c r="R120" i="6"/>
  <c r="R184" i="6"/>
  <c r="R54" i="6"/>
  <c r="R97" i="6"/>
  <c r="R181" i="6"/>
  <c r="R152" i="6"/>
  <c r="R121" i="6"/>
  <c r="R26" i="6"/>
  <c r="R111" i="6"/>
  <c r="R189" i="6"/>
  <c r="R245" i="6"/>
  <c r="R138" i="6"/>
  <c r="R234" i="6"/>
  <c r="R208" i="6"/>
  <c r="R45" i="6"/>
  <c r="R116" i="6"/>
  <c r="R53" i="6"/>
  <c r="R228" i="6"/>
  <c r="R136" i="6"/>
  <c r="R211" i="6"/>
  <c r="R153" i="6"/>
  <c r="R156" i="6"/>
  <c r="R142" i="6"/>
  <c r="R191" i="6"/>
  <c r="R135" i="6"/>
  <c r="R102" i="6"/>
  <c r="R170" i="6"/>
  <c r="R212" i="6"/>
  <c r="R256" i="6"/>
  <c r="R65" i="6"/>
  <c r="R179" i="6"/>
  <c r="R248" i="6"/>
  <c r="R89" i="6"/>
  <c r="R243" i="6"/>
  <c r="R167" i="6"/>
  <c r="R223" i="6"/>
  <c r="R100" i="6"/>
  <c r="R231" i="6"/>
  <c r="R63" i="6"/>
  <c r="R232" i="6"/>
  <c r="R73" i="6"/>
  <c r="R157" i="6"/>
  <c r="R226" i="6"/>
  <c r="R123" i="6"/>
  <c r="R168" i="6"/>
  <c r="R69" i="6"/>
  <c r="R224" i="6"/>
  <c r="R128" i="6"/>
  <c r="R29" i="6"/>
  <c r="R132" i="6"/>
  <c r="R227" i="6"/>
  <c r="R60" i="6"/>
  <c r="R74" i="6"/>
  <c r="R87" i="6"/>
  <c r="R107" i="6"/>
  <c r="R209" i="6"/>
  <c r="R216" i="6"/>
  <c r="R67" i="6"/>
  <c r="R109" i="6"/>
  <c r="R265" i="6"/>
  <c r="R70" i="6"/>
  <c r="R238" i="6"/>
  <c r="R56" i="6"/>
  <c r="R252" i="6"/>
  <c r="R230" i="6"/>
  <c r="R197" i="6"/>
  <c r="R240" i="6"/>
  <c r="R101" i="6"/>
  <c r="R92" i="6"/>
  <c r="R147" i="6"/>
  <c r="R104" i="6"/>
  <c r="R251" i="6"/>
  <c r="R32" i="6"/>
  <c r="R254" i="6"/>
  <c r="R214" i="6"/>
  <c r="R185" i="6"/>
  <c r="R246" i="6"/>
  <c r="R263" i="6"/>
  <c r="R55" i="6"/>
  <c r="R207" i="6"/>
  <c r="R46" i="6"/>
  <c r="R130" i="6"/>
  <c r="R140" i="6"/>
  <c r="R50" i="6"/>
  <c r="R39" i="6"/>
  <c r="R203" i="6"/>
  <c r="R266" i="6"/>
  <c r="R28" i="6"/>
  <c r="R213" i="6"/>
  <c r="R57" i="6"/>
  <c r="R86" i="6"/>
  <c r="R239" i="6"/>
  <c r="R250" i="6"/>
  <c r="R222" i="6"/>
  <c r="R259" i="6"/>
  <c r="R49" i="6"/>
  <c r="R85" i="6"/>
  <c r="R244" i="6"/>
  <c r="R242" i="6"/>
  <c r="R134" i="6"/>
  <c r="R35" i="6"/>
  <c r="R141" i="6"/>
  <c r="R193" i="6"/>
  <c r="R42" i="6"/>
  <c r="R255" i="6"/>
  <c r="R98" i="6"/>
  <c r="R247" i="6"/>
  <c r="R268" i="6"/>
  <c r="R52" i="6"/>
  <c r="R221" i="6"/>
  <c r="R91" i="6"/>
  <c r="R175" i="6"/>
  <c r="R115" i="6"/>
  <c r="R58" i="6"/>
  <c r="R122" i="6"/>
  <c r="R158" i="6"/>
  <c r="R76" i="6"/>
  <c r="R40" i="6"/>
  <c r="R127" i="6"/>
  <c r="R59" i="6"/>
  <c r="R267" i="6"/>
  <c r="R117" i="6"/>
  <c r="R38" i="6"/>
  <c r="R262" i="6"/>
  <c r="R199" i="6"/>
  <c r="R159" i="6"/>
  <c r="R176" i="6"/>
  <c r="R79" i="6"/>
  <c r="R192" i="6"/>
  <c r="R161" i="6"/>
  <c r="R25" i="6"/>
  <c r="R137" i="6"/>
  <c r="R88" i="6"/>
  <c r="R129" i="6"/>
  <c r="R146" i="6"/>
  <c r="R233" i="6"/>
  <c r="R241" i="6"/>
  <c r="R219" i="6"/>
  <c r="R155" i="6"/>
  <c r="R169" i="6"/>
  <c r="R96" i="6"/>
  <c r="R77" i="6"/>
  <c r="R139" i="6"/>
  <c r="R131" i="6"/>
  <c r="R215" i="6"/>
  <c r="R236" i="6"/>
  <c r="R105" i="6"/>
  <c r="R190" i="6"/>
  <c r="R206" i="6"/>
  <c r="R90" i="6"/>
  <c r="R253" i="6"/>
  <c r="R174" i="6"/>
  <c r="R182" i="6"/>
  <c r="R84" i="6"/>
  <c r="R204" i="6"/>
  <c r="R229" i="6"/>
  <c r="R114" i="6"/>
  <c r="R200" i="6"/>
  <c r="R186" i="6"/>
  <c r="R257" i="6"/>
  <c r="R220" i="6"/>
  <c r="R34" i="6"/>
  <c r="R249" i="6"/>
  <c r="R47" i="6"/>
  <c r="R210" i="6"/>
  <c r="R51" i="6"/>
  <c r="R31" i="6"/>
  <c r="R125" i="6"/>
  <c r="R162" i="6"/>
  <c r="R64" i="6"/>
  <c r="R270" i="6"/>
  <c r="R217" i="6"/>
  <c r="R68" i="6"/>
  <c r="R164" i="6"/>
  <c r="R80" i="6"/>
  <c r="R260" i="6"/>
  <c r="R149" i="6"/>
  <c r="R144" i="6"/>
  <c r="R41" i="6"/>
  <c r="R113" i="6"/>
  <c r="R160" i="6"/>
  <c r="R194" i="6"/>
  <c r="R78" i="6"/>
  <c r="R225" i="6"/>
  <c r="R133" i="6"/>
  <c r="R110" i="6"/>
  <c r="R37" i="6"/>
  <c r="R166" i="6"/>
  <c r="R95" i="6"/>
  <c r="R48" i="6"/>
  <c r="R180" i="6"/>
  <c r="R154" i="6"/>
  <c r="R75" i="6"/>
  <c r="R33" i="6"/>
  <c r="R83" i="6"/>
  <c r="R195" i="6"/>
  <c r="R264" i="6"/>
  <c r="R261" i="6"/>
  <c r="R173" i="6"/>
  <c r="R171" i="6"/>
  <c r="R177" i="6"/>
  <c r="R151" i="6"/>
  <c r="R66" i="6"/>
  <c r="R187" i="6"/>
  <c r="R108" i="6"/>
  <c r="R148" i="6"/>
  <c r="R196" i="6"/>
  <c r="R112" i="6"/>
  <c r="R178" i="6"/>
  <c r="R126" i="6"/>
  <c r="R143" i="6"/>
  <c r="R205" i="6"/>
  <c r="R106" i="6"/>
  <c r="R118" i="6"/>
  <c r="R183" i="6"/>
  <c r="R145" i="6"/>
  <c r="R30" i="6"/>
  <c r="R61" i="6"/>
  <c r="R201" i="6"/>
  <c r="R237" i="6"/>
  <c r="R93" i="6"/>
  <c r="R44" i="6"/>
  <c r="R150" i="6"/>
  <c r="R165" i="6"/>
  <c r="R71" i="6"/>
  <c r="R172" i="6"/>
  <c r="R202" i="6"/>
  <c r="R36" i="6"/>
  <c r="R258" i="6"/>
  <c r="R43" i="6"/>
  <c r="R62" i="6"/>
  <c r="R27" i="6"/>
  <c r="R94" i="6"/>
  <c r="R269" i="6"/>
  <c r="R188" i="6"/>
  <c r="R99" i="6"/>
  <c r="R81" i="6"/>
  <c r="R235" i="6"/>
  <c r="R124" i="6"/>
  <c r="R72" i="6"/>
  <c r="R218" i="6"/>
  <c r="R163" i="6"/>
  <c r="R119" i="6"/>
  <c r="R24" i="6"/>
  <c r="W69" i="22"/>
  <c r="W38" i="22"/>
  <c r="W29" i="22"/>
  <c r="W55" i="22"/>
  <c r="W36" i="22"/>
  <c r="W26" i="22"/>
  <c r="W33" i="22"/>
  <c r="W52" i="22"/>
  <c r="W53" i="22"/>
  <c r="W49" i="22"/>
  <c r="W72" i="22"/>
  <c r="W30" i="22"/>
  <c r="W25" i="22"/>
  <c r="W32" i="22"/>
  <c r="W48" i="22"/>
  <c r="W58" i="22"/>
  <c r="W64" i="22"/>
  <c r="W63" i="22"/>
  <c r="W41" i="22"/>
  <c r="W59" i="22"/>
  <c r="W71" i="22"/>
  <c r="W66" i="22"/>
  <c r="W65" i="22"/>
  <c r="W50" i="22"/>
  <c r="W43" i="22"/>
  <c r="W45" i="22"/>
  <c r="W73" i="22"/>
  <c r="W23" i="22"/>
  <c r="W62" i="22"/>
  <c r="W39" i="22"/>
  <c r="W61" i="22"/>
  <c r="W37" i="22"/>
  <c r="W40" i="22"/>
  <c r="W70" i="22"/>
  <c r="W28" i="22"/>
  <c r="W27" i="22"/>
  <c r="W54" i="22"/>
  <c r="W67" i="22"/>
  <c r="W34" i="22"/>
  <c r="W46" i="22"/>
  <c r="W35" i="22"/>
  <c r="W68" i="22"/>
  <c r="W60" i="22"/>
  <c r="W47" i="22"/>
  <c r="W42" i="22"/>
  <c r="W57" i="22"/>
  <c r="W51" i="22"/>
  <c r="W31" i="22"/>
  <c r="W56" i="22"/>
  <c r="W44" i="22"/>
  <c r="W22" i="2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30" authorId="0" shapeId="0" xr:uid="{00000000-0006-0000-00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31" authorId="1" shapeId="0" xr:uid="{00000000-0006-0000-0000-000002000000}">
      <text>
        <r>
          <rPr>
            <b/>
            <sz val="9"/>
            <color indexed="81"/>
            <rFont val="Tahoma"/>
            <family val="2"/>
          </rPr>
          <t>Admin:</t>
        </r>
        <r>
          <rPr>
            <sz val="9"/>
            <color indexed="81"/>
            <rFont val="Tahoma"/>
            <family val="2"/>
          </rPr>
          <t xml:space="preserve">
- HS 4,65 từ 01/12/2015
- HS 4,98 từ 01/12/2018</t>
        </r>
      </text>
    </comment>
    <comment ref="G31" authorId="2" shapeId="0" xr:uid="{00000000-0006-0000-0000-000003000000}">
      <text>
        <r>
          <rPr>
            <b/>
            <sz val="9"/>
            <color indexed="81"/>
            <rFont val="Tahoma"/>
            <family val="2"/>
          </rPr>
          <t>user:</t>
        </r>
        <r>
          <rPr>
            <sz val="9"/>
            <color indexed="81"/>
            <rFont val="Tahoma"/>
            <family val="2"/>
          </rPr>
          <t xml:space="preserve">
- VK 5% từ 01/12/2021
- VK 6% từ 01/12/2022
- VK 7% từ 01/12/2023</t>
        </r>
      </text>
    </comment>
    <comment ref="F32" authorId="0" shapeId="0" xr:uid="{00000000-0006-0000-0000-000004000000}">
      <text>
        <r>
          <rPr>
            <b/>
            <sz val="9"/>
            <color indexed="81"/>
            <rFont val="Tahoma"/>
            <family val="2"/>
          </rPr>
          <t>User:</t>
        </r>
        <r>
          <rPr>
            <sz val="9"/>
            <color indexed="81"/>
            <rFont val="Tahoma"/>
            <family val="2"/>
          </rPr>
          <t xml:space="preserve">
- 4,65 từ 01/10/2015
- HS 4,98 từ 01/10/17 (NL trước hạn)</t>
        </r>
      </text>
    </comment>
    <comment ref="G32" authorId="2" shapeId="0" xr:uid="{00000000-0006-0000-00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32" authorId="1" shapeId="0" xr:uid="{00000000-0006-0000-0000-000006000000}">
      <text>
        <r>
          <rPr>
            <b/>
            <sz val="9"/>
            <color indexed="81"/>
            <rFont val="Tahoma"/>
            <family val="2"/>
          </rPr>
          <t>Admin:</t>
        </r>
        <r>
          <rPr>
            <sz val="9"/>
            <color indexed="81"/>
            <rFont val="Tahoma"/>
            <family val="2"/>
          </rPr>
          <t xml:space="preserve">
- HS 0,7 từ 01/11/2016</t>
        </r>
      </text>
    </comment>
    <comment ref="F33" authorId="2" shapeId="0" xr:uid="{00000000-0006-0000-0000-000007000000}">
      <text>
        <r>
          <rPr>
            <b/>
            <sz val="9"/>
            <color indexed="81"/>
            <rFont val="Tahoma"/>
            <family val="2"/>
          </rPr>
          <t>user:</t>
        </r>
        <r>
          <rPr>
            <sz val="9"/>
            <color indexed="81"/>
            <rFont val="Tahoma"/>
            <family val="2"/>
          </rPr>
          <t xml:space="preserve">
- HS 4.32 từ 01/4/2019
- HS 4,65 từ 01/4/2021 (NL trước hạn)
</t>
        </r>
      </text>
    </comment>
    <comment ref="I33" authorId="2" shapeId="0" xr:uid="{00000000-0006-0000-0000-000008000000}">
      <text>
        <r>
          <rPr>
            <b/>
            <sz val="9"/>
            <color indexed="81"/>
            <rFont val="Tahoma"/>
            <family val="2"/>
          </rPr>
          <t>user:</t>
        </r>
        <r>
          <rPr>
            <sz val="9"/>
            <color indexed="81"/>
            <rFont val="Tahoma"/>
            <family val="2"/>
          </rPr>
          <t xml:space="preserve">
- HS 0.7 từ 15/4/2019</t>
        </r>
      </text>
    </comment>
    <comment ref="F34" authorId="0" shapeId="0" xr:uid="{00000000-0006-0000-00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34" authorId="3" shapeId="0" xr:uid="{00000000-0006-0000-0000-00000A000000}">
      <text>
        <r>
          <rPr>
            <b/>
            <sz val="9"/>
            <color indexed="81"/>
            <rFont val="Tahoma"/>
            <family val="2"/>
          </rPr>
          <t>Windows User:</t>
        </r>
        <r>
          <rPr>
            <sz val="9"/>
            <color indexed="81"/>
            <rFont val="Tahoma"/>
            <family val="2"/>
          </rPr>
          <t xml:space="preserve">
- VK 5% từ 01/9/2023</t>
        </r>
      </text>
    </comment>
    <comment ref="F35" authorId="4" shapeId="0" xr:uid="{00000000-0006-0000-00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35" authorId="2" shapeId="0" xr:uid="{00000000-0006-0000-0000-00000C000000}">
      <text>
        <r>
          <rPr>
            <b/>
            <sz val="9"/>
            <color indexed="81"/>
            <rFont val="Tahoma"/>
            <family val="2"/>
          </rPr>
          <t>user:</t>
        </r>
        <r>
          <rPr>
            <sz val="9"/>
            <color indexed="81"/>
            <rFont val="Tahoma"/>
            <family val="2"/>
          </rPr>
          <t xml:space="preserve">
- PP TC-HC-TH từ 01/9/2020</t>
        </r>
      </text>
    </comment>
    <comment ref="F36" authorId="0" shapeId="0" xr:uid="{00000000-0006-0000-00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6" authorId="2" shapeId="0" xr:uid="{00000000-0006-0000-0000-00000E000000}">
      <text>
        <r>
          <rPr>
            <b/>
            <sz val="9"/>
            <color indexed="81"/>
            <rFont val="Tahoma"/>
            <family val="2"/>
          </rPr>
          <t>user:</t>
        </r>
        <r>
          <rPr>
            <sz val="9"/>
            <color indexed="81"/>
            <rFont val="Tahoma"/>
            <family val="2"/>
          </rPr>
          <t xml:space="preserve">
BN Phó TP từ 01/03/2021</t>
        </r>
      </text>
    </comment>
    <comment ref="F37" authorId="5" shapeId="0" xr:uid="{00000000-0006-0000-00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38" authorId="0" shapeId="0" xr:uid="{00000000-0006-0000-00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9" authorId="1" shapeId="0" xr:uid="{00000000-0006-0000-00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40" authorId="1" shapeId="0" xr:uid="{00000000-0006-0000-00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41" authorId="5" shapeId="0" xr:uid="{00000000-0006-0000-00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42" authorId="5" shapeId="0" xr:uid="{00000000-0006-0000-00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43" authorId="1" shapeId="0" xr:uid="{00000000-0006-0000-00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44" authorId="1" shapeId="0" xr:uid="{00000000-0006-0000-00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44" authorId="1" shapeId="0" xr:uid="{00000000-0006-0000-0000-000017000000}">
      <text>
        <r>
          <rPr>
            <sz val="9"/>
            <color indexed="81"/>
            <rFont val="Tahoma"/>
            <family val="2"/>
          </rPr>
          <t>- Tập sự từ 01/4/2018 85% 2,1</t>
        </r>
        <r>
          <rPr>
            <sz val="9"/>
            <color indexed="81"/>
            <rFont val="Tahoma"/>
            <family val="2"/>
          </rPr>
          <t xml:space="preserve">
</t>
        </r>
      </text>
    </comment>
    <comment ref="F46" authorId="0" shapeId="0" xr:uid="{00000000-0006-0000-00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46" authorId="3" shapeId="0" xr:uid="{00000000-0006-0000-0000-000019000000}">
      <text>
        <r>
          <rPr>
            <b/>
            <sz val="9"/>
            <color indexed="81"/>
            <rFont val="Tahoma"/>
            <family val="2"/>
          </rPr>
          <t>Windows User:</t>
        </r>
        <r>
          <rPr>
            <sz val="9"/>
            <color indexed="81"/>
            <rFont val="Tahoma"/>
            <family val="2"/>
          </rPr>
          <t xml:space="preserve">
- VK 5% từ 01/9/2023</t>
        </r>
      </text>
    </comment>
    <comment ref="F47" authorId="1" shapeId="0" xr:uid="{00000000-0006-0000-0000-00001A000000}">
      <text>
        <r>
          <rPr>
            <b/>
            <sz val="9"/>
            <color indexed="81"/>
            <rFont val="Tahoma"/>
            <family val="2"/>
          </rPr>
          <t>Admin:</t>
        </r>
        <r>
          <rPr>
            <sz val="9"/>
            <color indexed="81"/>
            <rFont val="Tahoma"/>
            <family val="2"/>
          </rPr>
          <t xml:space="preserve">
- HS 4,65 từ 01/12/2015
- HS 4,98 từ 01/12/2018</t>
        </r>
      </text>
    </comment>
    <comment ref="G47" authorId="2" shapeId="0" xr:uid="{00000000-0006-0000-0000-00001B000000}">
      <text>
        <r>
          <rPr>
            <b/>
            <sz val="9"/>
            <color indexed="81"/>
            <rFont val="Tahoma"/>
            <family val="2"/>
          </rPr>
          <t>user:</t>
        </r>
        <r>
          <rPr>
            <sz val="9"/>
            <color indexed="81"/>
            <rFont val="Tahoma"/>
            <family val="2"/>
          </rPr>
          <t xml:space="preserve">
- VK 5% từ 01/12/2021
- VK 6% từ 01/12/2022
- VK 7% từ 01/12/2023</t>
        </r>
      </text>
    </comment>
    <comment ref="I47" authorId="6" shapeId="0" xr:uid="{00000000-0006-0000-0000-00001C000000}">
      <text>
        <r>
          <rPr>
            <b/>
            <sz val="8"/>
            <color indexed="81"/>
            <rFont val="Tahoma"/>
            <family val="2"/>
          </rPr>
          <t>admin:</t>
        </r>
        <r>
          <rPr>
            <sz val="8"/>
            <color indexed="81"/>
            <rFont val="Tahoma"/>
            <family val="2"/>
          </rPr>
          <t xml:space="preserve">
+ QĐ Bổ nhiệm Phó Trưởng phòng QT CSVC từ 01/06/2014</t>
        </r>
      </text>
    </comment>
    <comment ref="F48" authorId="0" shapeId="0" xr:uid="{00000000-0006-0000-00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9" authorId="1" shapeId="0" xr:uid="{00000000-0006-0000-00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50" authorId="1" shapeId="0" xr:uid="{00000000-0006-0000-00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51" authorId="1" shapeId="0" xr:uid="{00000000-0006-0000-00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52" authorId="0" shapeId="0" xr:uid="{00000000-0006-0000-00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53" authorId="1" shapeId="0" xr:uid="{00000000-0006-0000-0000-000022000000}">
      <text>
        <r>
          <rPr>
            <b/>
            <sz val="9"/>
            <color indexed="81"/>
            <rFont val="Tahoma"/>
            <family val="2"/>
          </rPr>
          <t>Admin:</t>
        </r>
        <r>
          <rPr>
            <sz val="9"/>
            <color indexed="81"/>
            <rFont val="Tahoma"/>
            <family val="2"/>
          </rPr>
          <t xml:space="preserve">
- HS 2,41 từ 01/11/2015
- HS 2,72 từ 01/11/2018
- HS 3,03 từ 01/11/2021</t>
        </r>
      </text>
    </comment>
    <comment ref="F54" authorId="0" shapeId="0" xr:uid="{00000000-0006-0000-00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54" authorId="0" shapeId="0" xr:uid="{00000000-0006-0000-00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55" authorId="1" shapeId="0" xr:uid="{00000000-0006-0000-0000-000025000000}">
      <text>
        <r>
          <rPr>
            <b/>
            <sz val="9"/>
            <color indexed="81"/>
            <rFont val="Tahoma"/>
            <family val="2"/>
          </rPr>
          <t>Admin:</t>
        </r>
        <r>
          <rPr>
            <sz val="9"/>
            <color indexed="81"/>
            <rFont val="Tahoma"/>
            <family val="2"/>
          </rPr>
          <t xml:space="preserve">
- Bổ nhiệm CDNN từ 01/4/2018
- HS 2,34 từ 01/2/2017
- HS 2,67 từ 01/2/2019</t>
        </r>
      </text>
    </comment>
    <comment ref="I55" authorId="7" shapeId="0" xr:uid="{00000000-0006-0000-00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56" authorId="2" shapeId="0" xr:uid="{00000000-0006-0000-00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7" authorId="0" shapeId="0" xr:uid="{00000000-0006-0000-00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57" authorId="3" shapeId="0" xr:uid="{00000000-0006-0000-0000-000029000000}">
      <text>
        <r>
          <rPr>
            <b/>
            <sz val="9"/>
            <color indexed="81"/>
            <rFont val="Tahoma"/>
            <family val="2"/>
          </rPr>
          <t>Windows User:</t>
        </r>
        <r>
          <rPr>
            <sz val="9"/>
            <color indexed="81"/>
            <rFont val="Tahoma"/>
            <family val="2"/>
          </rPr>
          <t xml:space="preserve">
- VK 5% từ 01/9/2023</t>
        </r>
      </text>
    </comment>
    <comment ref="I57" authorId="0" shapeId="0" xr:uid="{00000000-0006-0000-0000-00002A000000}">
      <text>
        <r>
          <rPr>
            <b/>
            <sz val="9"/>
            <color indexed="81"/>
            <rFont val="Tahoma"/>
            <family val="2"/>
          </rPr>
          <t>User:</t>
        </r>
        <r>
          <rPr>
            <sz val="9"/>
            <color indexed="81"/>
            <rFont val="Tahoma"/>
            <family val="2"/>
          </rPr>
          <t xml:space="preserve">
- QĐ Bổ nhiệm Tổ trưởng tổ Ký túc xá SV từ 15/9/2015</t>
        </r>
      </text>
    </comment>
    <comment ref="F58" authorId="0" shapeId="0" xr:uid="{00000000-0006-0000-00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9" authorId="3" shapeId="0" xr:uid="{00000000-0006-0000-0000-00002C000000}">
      <text>
        <r>
          <rPr>
            <b/>
            <sz val="9"/>
            <color indexed="81"/>
            <rFont val="Tahoma"/>
            <family val="2"/>
          </rPr>
          <t>Windows User:</t>
        </r>
        <r>
          <rPr>
            <sz val="9"/>
            <color indexed="81"/>
            <rFont val="Tahoma"/>
            <family val="2"/>
          </rPr>
          <t xml:space="preserve">
- VK 10% từ 01/9/2023</t>
        </r>
      </text>
    </comment>
    <comment ref="I59" authorId="3" shapeId="0" xr:uid="{00000000-0006-0000-0000-00002D000000}">
      <text>
        <r>
          <rPr>
            <b/>
            <sz val="9"/>
            <color indexed="81"/>
            <rFont val="Tahoma"/>
            <family val="2"/>
          </rPr>
          <t>Windows User:</t>
        </r>
        <r>
          <rPr>
            <sz val="9"/>
            <color indexed="81"/>
            <rFont val="Tahoma"/>
            <family val="2"/>
          </rPr>
          <t xml:space="preserve">
- Phó TP QT-DV từ T10/23</t>
        </r>
      </text>
    </comment>
    <comment ref="F60" authorId="1" shapeId="0" xr:uid="{00000000-0006-0000-00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61" authorId="1" shapeId="0" xr:uid="{00000000-0006-0000-00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62" authorId="1" shapeId="0" xr:uid="{00000000-0006-0000-0000-000030000000}">
      <text>
        <r>
          <rPr>
            <sz val="9"/>
            <color indexed="81"/>
            <rFont val="Tahoma"/>
            <family val="2"/>
          </rPr>
          <t>- 31% từ 01/10/2017
- 32% từ 01/10/2018
- 33% từ 01/10/2019
- 34% từ 01/10/2020
- 35% từ 01/10/2021
- 36% từ 01/10/2022</t>
        </r>
      </text>
    </comment>
    <comment ref="I62" authorId="0" shapeId="0" xr:uid="{00000000-0006-0000-0000-000031000000}">
      <text>
        <r>
          <rPr>
            <b/>
            <sz val="9"/>
            <color indexed="81"/>
            <rFont val="Tahoma"/>
            <family val="2"/>
          </rPr>
          <t>User:</t>
        </r>
        <r>
          <rPr>
            <sz val="9"/>
            <color indexed="81"/>
            <rFont val="Tahoma"/>
            <family val="2"/>
          </rPr>
          <t xml:space="preserve">
Trưởng phòng Kế toán từ 19/8/2015
</t>
        </r>
      </text>
    </comment>
    <comment ref="F63" authorId="0" shapeId="0" xr:uid="{00000000-0006-0000-00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64" authorId="0" shapeId="0" xr:uid="{00000000-0006-0000-00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65" authorId="1" shapeId="0" xr:uid="{00000000-0006-0000-00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66" authorId="0" shapeId="0" xr:uid="{00000000-0006-0000-00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7" authorId="1" shapeId="0" xr:uid="{00000000-0006-0000-0000-000036000000}">
      <text>
        <r>
          <rPr>
            <b/>
            <sz val="9"/>
            <color indexed="81"/>
            <rFont val="Tahoma"/>
            <family val="2"/>
          </rPr>
          <t>Admin:</t>
        </r>
        <r>
          <rPr>
            <sz val="9"/>
            <color indexed="81"/>
            <rFont val="Tahoma"/>
            <family val="2"/>
          </rPr>
          <t xml:space="preserve">
- HS 3,66 từ 01/01/2017
- HS 3,99 từ 01/01/2019</t>
        </r>
      </text>
    </comment>
    <comment ref="I67" authorId="1" shapeId="0" xr:uid="{00000000-0006-0000-0000-000037000000}">
      <text>
        <r>
          <rPr>
            <b/>
            <sz val="9"/>
            <color indexed="81"/>
            <rFont val="Tahoma"/>
            <family val="2"/>
          </rPr>
          <t>Admin:</t>
        </r>
        <r>
          <rPr>
            <sz val="9"/>
            <color indexed="81"/>
            <rFont val="Tahoma"/>
            <family val="2"/>
          </rPr>
          <t xml:space="preserve">
- Phụ trách TT Quan hệ DN từ 01/5/2018
- Trưởng TT từ 01/12/2019</t>
        </r>
      </text>
    </comment>
    <comment ref="F68" authorId="0" shapeId="0" xr:uid="{00000000-0006-0000-0000-000038000000}">
      <text>
        <r>
          <rPr>
            <b/>
            <sz val="9"/>
            <color indexed="81"/>
            <rFont val="Tahoma"/>
            <family val="2"/>
          </rPr>
          <t>User:</t>
        </r>
        <r>
          <rPr>
            <sz val="9"/>
            <color indexed="81"/>
            <rFont val="Tahoma"/>
            <family val="2"/>
          </rPr>
          <t xml:space="preserve">
- HS 3,33 từ 01/9/2015
- HS 3,66 từ 01/9/2018
- HS 3,99 từ 01/9/2021</t>
        </r>
      </text>
    </comment>
    <comment ref="F69" authorId="1" shapeId="0" xr:uid="{00000000-0006-0000-00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70" authorId="1" shapeId="0" xr:uid="{00000000-0006-0000-0000-00003A000000}">
      <text>
        <r>
          <rPr>
            <b/>
            <sz val="9"/>
            <color indexed="81"/>
            <rFont val="Tahoma"/>
            <family val="2"/>
          </rPr>
          <t>Admin:</t>
        </r>
        <r>
          <rPr>
            <sz val="9"/>
            <color indexed="81"/>
            <rFont val="Tahoma"/>
            <family val="2"/>
          </rPr>
          <t xml:space="preserve">
- HS 4,65 từ 01/9/2016
- HS 4,98 từ 01/9/2018 (NL trước hạn)</t>
        </r>
      </text>
    </comment>
    <comment ref="G70" authorId="2" shapeId="0" xr:uid="{00000000-0006-0000-0000-00003B000000}">
      <text>
        <r>
          <rPr>
            <b/>
            <sz val="9"/>
            <color indexed="81"/>
            <rFont val="Tahoma"/>
            <family val="2"/>
          </rPr>
          <t>user:</t>
        </r>
        <r>
          <rPr>
            <sz val="9"/>
            <color indexed="81"/>
            <rFont val="Tahoma"/>
            <family val="2"/>
          </rPr>
          <t xml:space="preserve">
- VK 5% từ 01/9/2021
- VK 6% từ 01/9/2022
- VK 7% từ 01/9/2023</t>
        </r>
      </text>
    </comment>
    <comment ref="I70" authorId="2" shapeId="0" xr:uid="{00000000-0006-0000-0000-00003C000000}">
      <text>
        <r>
          <rPr>
            <b/>
            <sz val="9"/>
            <color indexed="81"/>
            <rFont val="Tahoma"/>
            <family val="2"/>
          </rPr>
          <t>user:</t>
        </r>
        <r>
          <rPr>
            <sz val="9"/>
            <color indexed="81"/>
            <rFont val="Tahoma"/>
            <family val="2"/>
          </rPr>
          <t xml:space="preserve">
BN Trưởng phòng T10/19</t>
        </r>
      </text>
    </comment>
    <comment ref="F71" authorId="1" shapeId="0" xr:uid="{00000000-0006-0000-0000-00003D000000}">
      <text>
        <r>
          <rPr>
            <b/>
            <sz val="9"/>
            <color indexed="81"/>
            <rFont val="Tahoma"/>
            <family val="2"/>
          </rPr>
          <t>Admin:</t>
        </r>
        <r>
          <rPr>
            <sz val="9"/>
            <color indexed="81"/>
            <rFont val="Tahoma"/>
            <family val="2"/>
          </rPr>
          <t xml:space="preserve">
- HS 3.33 từ 01/01/2016
- HS 3,66 từ 01/01/2019</t>
        </r>
      </text>
    </comment>
    <comment ref="F72" authorId="1" shapeId="0" xr:uid="{00000000-0006-0000-0000-00003E000000}">
      <text>
        <r>
          <rPr>
            <b/>
            <sz val="9"/>
            <color indexed="81"/>
            <rFont val="Tahoma"/>
            <family val="2"/>
          </rPr>
          <t>Admin:</t>
        </r>
        <r>
          <rPr>
            <sz val="9"/>
            <color indexed="81"/>
            <rFont val="Tahoma"/>
            <family val="2"/>
          </rPr>
          <t xml:space="preserve">
- HS 3,00 từ 01/9/2016
- HS 3,33 từ 01/9/2019
- HS 3,66 từ 01/9/2022
</t>
        </r>
      </text>
    </comment>
    <comment ref="F73" authorId="1" shapeId="0" xr:uid="{00000000-0006-0000-00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74" authorId="1" shapeId="0" xr:uid="{00000000-0006-0000-0000-000040000000}">
      <text>
        <r>
          <rPr>
            <b/>
            <sz val="9"/>
            <color indexed="81"/>
            <rFont val="Tahoma"/>
            <family val="2"/>
          </rPr>
          <t>Admin:</t>
        </r>
        <r>
          <rPr>
            <sz val="9"/>
            <color indexed="81"/>
            <rFont val="Tahoma"/>
            <family val="2"/>
          </rPr>
          <t xml:space="preserve">
- HS 3,66 từ 01/9/2016
- HS 3,99 từ 01/9/2019
- HS 4,32 từ 01/9/2022</t>
        </r>
      </text>
    </comment>
    <comment ref="F75" authorId="0" shapeId="0" xr:uid="{00000000-0006-0000-00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76" authorId="1" shapeId="0" xr:uid="{00000000-0006-0000-00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76" authorId="2" shapeId="0" xr:uid="{00000000-0006-0000-0000-000043000000}">
      <text>
        <r>
          <rPr>
            <b/>
            <sz val="9"/>
            <color indexed="81"/>
            <rFont val="Tahoma"/>
            <family val="2"/>
          </rPr>
          <t>user:</t>
        </r>
        <r>
          <rPr>
            <sz val="9"/>
            <color indexed="81"/>
            <rFont val="Tahoma"/>
            <family val="2"/>
          </rPr>
          <t xml:space="preserve">
- HS 3,33 từ 01/11/2019
- HS 3,66 từ 01/11/2022</t>
        </r>
      </text>
    </comment>
    <comment ref="F77" authorId="1" shapeId="0" xr:uid="{00000000-0006-0000-00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7" authorId="1" shapeId="0" xr:uid="{00000000-0006-0000-00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8" authorId="0" shapeId="0" xr:uid="{00000000-0006-0000-00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8" authorId="3" shapeId="0" xr:uid="{00000000-0006-0000-0000-000047000000}">
      <text>
        <r>
          <rPr>
            <b/>
            <sz val="9"/>
            <color indexed="81"/>
            <rFont val="Tahoma"/>
            <family val="2"/>
          </rPr>
          <t>Windows User:</t>
        </r>
        <r>
          <rPr>
            <sz val="9"/>
            <color indexed="81"/>
            <rFont val="Tahoma"/>
            <family val="2"/>
          </rPr>
          <t xml:space="preserve">
- Phó Trưởng phòng TS - Đào tạo từ T10/22</t>
        </r>
      </text>
    </comment>
    <comment ref="F79" authorId="0" shapeId="0" xr:uid="{00000000-0006-0000-00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80" authorId="1" shapeId="0" xr:uid="{00000000-0006-0000-00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81" authorId="1" shapeId="0" xr:uid="{00000000-0006-0000-00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82" authorId="1" shapeId="0" xr:uid="{00000000-0006-0000-00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83" authorId="1" shapeId="0" xr:uid="{00000000-0006-0000-00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84" authorId="1" shapeId="0" xr:uid="{00000000-0006-0000-00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85" authorId="1" shapeId="0" xr:uid="{00000000-0006-0000-0000-00004E000000}">
      <text>
        <r>
          <rPr>
            <b/>
            <sz val="9"/>
            <color indexed="81"/>
            <rFont val="Tahoma"/>
            <family val="2"/>
          </rPr>
          <t>Admin:</t>
        </r>
        <r>
          <rPr>
            <sz val="9"/>
            <color indexed="81"/>
            <rFont val="Tahoma"/>
            <family val="2"/>
          </rPr>
          <t xml:space="preserve">
- HS 2.67 từ 01/02/2016
- HS 3,00 từ 01/02/2019</t>
        </r>
      </text>
    </comment>
    <comment ref="F86" authorId="0" shapeId="0" xr:uid="{00000000-0006-0000-00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86" authorId="0" shapeId="0" xr:uid="{00000000-0006-0000-0000-000050000000}">
      <text>
        <r>
          <rPr>
            <b/>
            <sz val="9"/>
            <color indexed="81"/>
            <rFont val="Tahoma"/>
            <family val="2"/>
          </rPr>
          <t>User:</t>
        </r>
        <r>
          <rPr>
            <sz val="9"/>
            <color indexed="81"/>
            <rFont val="Tahoma"/>
            <family val="2"/>
          </rPr>
          <t xml:space="preserve">
- Phó Trưởng phòng từ 01/8/2015
- Trưởng phòng từ 01/9/2018</t>
        </r>
      </text>
    </comment>
    <comment ref="F87" authorId="0" shapeId="0" xr:uid="{00000000-0006-0000-00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88" authorId="0" shapeId="0" xr:uid="{00000000-0006-0000-00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9" authorId="5" shapeId="0" xr:uid="{00000000-0006-0000-00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90" authorId="1" shapeId="0" xr:uid="{00000000-0006-0000-0000-000054000000}">
      <text>
        <r>
          <rPr>
            <b/>
            <sz val="9"/>
            <color indexed="81"/>
            <rFont val="Tahoma"/>
            <family val="2"/>
          </rPr>
          <t>Admin:</t>
        </r>
        <r>
          <rPr>
            <sz val="9"/>
            <color indexed="81"/>
            <rFont val="Tahoma"/>
            <family val="2"/>
          </rPr>
          <t xml:space="preserve">
Chuyển từ THPT lên khối Cao đẳng từ 01/06/2016</t>
        </r>
      </text>
    </comment>
    <comment ref="F90" authorId="1" shapeId="0" xr:uid="{00000000-0006-0000-00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91" authorId="8" shapeId="0" xr:uid="{00000000-0006-0000-0000-000056000000}">
      <text>
        <r>
          <rPr>
            <sz val="9"/>
            <color indexed="81"/>
            <rFont val="Tahoma"/>
            <family val="2"/>
          </rPr>
          <t>- HS 3,00 từ 01/11/2017
- HS 3,33 từ 01/11/2020
- HS 3,66 từ 01/11/2022</t>
        </r>
      </text>
    </comment>
    <comment ref="F92" authorId="2" shapeId="0" xr:uid="{00000000-0006-0000-0000-000057000000}">
      <text>
        <r>
          <rPr>
            <b/>
            <sz val="9"/>
            <color indexed="81"/>
            <rFont val="Tahoma"/>
            <family val="2"/>
          </rPr>
          <t>user:</t>
        </r>
        <r>
          <rPr>
            <sz val="9"/>
            <color indexed="81"/>
            <rFont val="Tahoma"/>
            <family val="2"/>
          </rPr>
          <t xml:space="preserve">
- Tuyển dụng từ 01/11/2019
- HS 3,00 từ 01/11/2022 (NL trước hạn)</t>
        </r>
      </text>
    </comment>
    <comment ref="I92" authorId="3" shapeId="0" xr:uid="{00000000-0006-0000-0000-000058000000}">
      <text>
        <r>
          <rPr>
            <b/>
            <sz val="9"/>
            <color indexed="81"/>
            <rFont val="Tahoma"/>
            <family val="2"/>
          </rPr>
          <t>Windows User:</t>
        </r>
        <r>
          <rPr>
            <sz val="9"/>
            <color indexed="81"/>
            <rFont val="Tahoma"/>
            <family val="2"/>
          </rPr>
          <t xml:space="preserve">
- Phó Trưởng TT ĐH&amp;QLDL từ T10/23</t>
        </r>
      </text>
    </comment>
    <comment ref="F93" authorId="0" shapeId="0" xr:uid="{00000000-0006-0000-00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93" authorId="6" shapeId="0" xr:uid="{00000000-0006-0000-00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94" authorId="0" shapeId="0" xr:uid="{00000000-0006-0000-0000-00005B000000}">
      <text>
        <r>
          <rPr>
            <b/>
            <sz val="9"/>
            <color indexed="81"/>
            <rFont val="Tahoma"/>
            <family val="2"/>
          </rPr>
          <t>User:</t>
        </r>
        <r>
          <rPr>
            <sz val="9"/>
            <color indexed="81"/>
            <rFont val="Tahoma"/>
            <family val="2"/>
          </rPr>
          <t xml:space="preserve">
- 3.00 từ 01/12/2015
- 3,33 từ 01/12/2018
- 3,66 từ 01/12/2021</t>
        </r>
      </text>
    </comment>
    <comment ref="F95" authorId="1" shapeId="0" xr:uid="{00000000-0006-0000-00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96" authorId="4" shapeId="0" xr:uid="{00000000-0006-0000-0000-00005D000000}">
      <text>
        <r>
          <rPr>
            <b/>
            <sz val="9"/>
            <color indexed="81"/>
            <rFont val="Tahoma"/>
            <family val="2"/>
          </rPr>
          <t>Quynh:</t>
        </r>
        <r>
          <rPr>
            <sz val="9"/>
            <color indexed="81"/>
            <rFont val="Tahoma"/>
            <family val="2"/>
          </rPr>
          <t xml:space="preserve">
- HS 3,00 từ 01/3/2016
</t>
        </r>
      </text>
    </comment>
    <comment ref="I96" authorId="2" shapeId="0" xr:uid="{00000000-0006-0000-00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97" authorId="0" shapeId="0" xr:uid="{00000000-0006-0000-00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98" authorId="1" shapeId="0" xr:uid="{00000000-0006-0000-0000-000060000000}">
      <text>
        <r>
          <rPr>
            <b/>
            <sz val="9"/>
            <color indexed="81"/>
            <rFont val="Tahoma"/>
            <family val="2"/>
          </rPr>
          <t>Admin:</t>
        </r>
        <r>
          <rPr>
            <sz val="9"/>
            <color indexed="81"/>
            <rFont val="Tahoma"/>
            <family val="2"/>
          </rPr>
          <t xml:space="preserve">
- HS 2,67 từ 01/4/2016
- HS 3.00 từ 01/4/2019
- HS 3,33 từ 01/4/2022
</t>
        </r>
      </text>
    </comment>
    <comment ref="F99" authorId="1" shapeId="0" xr:uid="{00000000-0006-0000-0000-000061000000}">
      <text>
        <r>
          <rPr>
            <b/>
            <sz val="9"/>
            <color indexed="81"/>
            <rFont val="Tahoma"/>
            <family val="2"/>
          </rPr>
          <t>Admin:</t>
        </r>
        <r>
          <rPr>
            <sz val="9"/>
            <color indexed="81"/>
            <rFont val="Tahoma"/>
            <family val="2"/>
          </rPr>
          <t xml:space="preserve">
- HS 4,65 từ 01/9/2017
- HS 4,98 từ 01/9/2020</t>
        </r>
      </text>
    </comment>
    <comment ref="G99" authorId="3" shapeId="0" xr:uid="{00000000-0006-0000-0000-000062000000}">
      <text>
        <r>
          <rPr>
            <b/>
            <sz val="9"/>
            <color indexed="81"/>
            <rFont val="Tahoma"/>
            <family val="2"/>
          </rPr>
          <t>Windows User:</t>
        </r>
        <r>
          <rPr>
            <sz val="9"/>
            <color indexed="81"/>
            <rFont val="Tahoma"/>
            <family val="2"/>
          </rPr>
          <t xml:space="preserve">
- 5% từ 01/9/2023</t>
        </r>
      </text>
    </comment>
    <comment ref="F100" authorId="8" shapeId="0" xr:uid="{00000000-0006-0000-0000-000063000000}">
      <text>
        <r>
          <rPr>
            <sz val="9"/>
            <color indexed="81"/>
            <rFont val="Tahoma"/>
            <family val="2"/>
          </rPr>
          <t>- HS 4,32 từ 01/12/2017
- HS 4,65 từ 01/12/2019
- HS 4,98 từ 01/12/2022</t>
        </r>
      </text>
    </comment>
    <comment ref="I100" authorId="0" shapeId="0" xr:uid="{00000000-0006-0000-0000-000064000000}">
      <text>
        <r>
          <rPr>
            <b/>
            <sz val="9"/>
            <color indexed="81"/>
            <rFont val="Tahoma"/>
            <family val="2"/>
          </rPr>
          <t>User:</t>
        </r>
        <r>
          <rPr>
            <sz val="9"/>
            <color indexed="81"/>
            <rFont val="Tahoma"/>
            <family val="2"/>
          </rPr>
          <t xml:space="preserve">
Trưởng khoa Kinh tế từ 20/8/2015
</t>
        </r>
      </text>
    </comment>
    <comment ref="F101" authorId="2" shapeId="0" xr:uid="{00000000-0006-0000-0000-000065000000}">
      <text>
        <r>
          <rPr>
            <b/>
            <sz val="9"/>
            <color indexed="81"/>
            <rFont val="Tahoma"/>
            <family val="2"/>
          </rPr>
          <t>user:</t>
        </r>
        <r>
          <rPr>
            <sz val="9"/>
            <color indexed="81"/>
            <rFont val="Tahoma"/>
            <family val="2"/>
          </rPr>
          <t xml:space="preserve">
- HS 2,34 từ 01/10/2019
- HS 2,67 từ 01/10/2021 (NL trước hạn)</t>
        </r>
      </text>
    </comment>
    <comment ref="I101" authorId="2" shapeId="0" xr:uid="{00000000-0006-0000-00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02" authorId="1" shapeId="0" xr:uid="{00000000-0006-0000-00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103" authorId="1" shapeId="0" xr:uid="{00000000-0006-0000-0000-000068000000}">
      <text>
        <r>
          <rPr>
            <b/>
            <sz val="9"/>
            <color indexed="81"/>
            <rFont val="Tahoma"/>
            <family val="2"/>
          </rPr>
          <t>Admin:</t>
        </r>
        <r>
          <rPr>
            <sz val="9"/>
            <color indexed="81"/>
            <rFont val="Tahoma"/>
            <family val="2"/>
          </rPr>
          <t xml:space="preserve">
- HS 3,33 từ 01/9/2016
- HS 3,66 từ 01/9/2019
- HS 3,99 từ 01/9/2022</t>
        </r>
      </text>
    </comment>
    <comment ref="I103" authorId="4" shapeId="0" xr:uid="{00000000-0006-0000-0000-000069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4" authorId="4" shapeId="0" xr:uid="{00000000-0006-0000-0000-00006A000000}">
      <text>
        <r>
          <rPr>
            <b/>
            <sz val="9"/>
            <color indexed="81"/>
            <rFont val="Tahoma"/>
            <family val="2"/>
          </rPr>
          <t>Quynh:</t>
        </r>
        <r>
          <rPr>
            <sz val="9"/>
            <color indexed="81"/>
            <rFont val="Tahoma"/>
            <family val="2"/>
          </rPr>
          <t xml:space="preserve">
- HS 2,67 từ 01/10/2018
- HS 3,00 từ 01/10/2021</t>
        </r>
      </text>
    </comment>
    <comment ref="F105" authorId="2" shapeId="0" xr:uid="{00000000-0006-0000-0000-00006B000000}">
      <text>
        <r>
          <rPr>
            <b/>
            <sz val="9"/>
            <color indexed="81"/>
            <rFont val="Tahoma"/>
            <family val="2"/>
          </rPr>
          <t>user:</t>
        </r>
        <r>
          <rPr>
            <sz val="9"/>
            <color indexed="81"/>
            <rFont val="Tahoma"/>
            <family val="2"/>
          </rPr>
          <t xml:space="preserve">
- HS 2,67 từ 01/10/2019
- HS 3,00 từ 01/10/2022</t>
        </r>
      </text>
    </comment>
    <comment ref="F106" authorId="1" shapeId="0" xr:uid="{00000000-0006-0000-0000-00006C000000}">
      <text>
        <r>
          <rPr>
            <b/>
            <sz val="9"/>
            <color indexed="81"/>
            <rFont val="Tahoma"/>
            <family val="2"/>
          </rPr>
          <t>Admin:</t>
        </r>
        <r>
          <rPr>
            <sz val="9"/>
            <color indexed="81"/>
            <rFont val="Tahoma"/>
            <family val="2"/>
          </rPr>
          <t xml:space="preserve">
- HS 3,00 từ 01/12/2016
- HS 3,33 từ 01/12/2019
- HS 3,66 từ 01/12/2021</t>
        </r>
      </text>
    </comment>
    <comment ref="I106" authorId="4" shapeId="0" xr:uid="{00000000-0006-0000-0000-00006D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7" authorId="2" shapeId="0" xr:uid="{00000000-0006-0000-0000-00006E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8" authorId="1" shapeId="0" xr:uid="{00000000-0006-0000-0000-00006F000000}">
      <text>
        <r>
          <rPr>
            <b/>
            <sz val="9"/>
            <color indexed="81"/>
            <rFont val="Tahoma"/>
            <family val="2"/>
          </rPr>
          <t>Admin:</t>
        </r>
        <r>
          <rPr>
            <sz val="9"/>
            <color indexed="81"/>
            <rFont val="Tahoma"/>
            <family val="2"/>
          </rPr>
          <t xml:space="preserve">
- HS 2,67 từ 01/9/2016
- HS 3,00 từ 01/9/2019
- HS 3,33 từ 01/9/2022</t>
        </r>
      </text>
    </comment>
    <comment ref="F109" authorId="4" shapeId="0" xr:uid="{00000000-0006-0000-0000-000070000000}">
      <text>
        <r>
          <rPr>
            <b/>
            <sz val="9"/>
            <color indexed="81"/>
            <rFont val="Tahoma"/>
            <family val="2"/>
          </rPr>
          <t>Quynh:</t>
        </r>
        <r>
          <rPr>
            <sz val="9"/>
            <color indexed="81"/>
            <rFont val="Tahoma"/>
            <family val="2"/>
          </rPr>
          <t xml:space="preserve">
- HS 2,67 từ 01/10/2018
- HS 3,00 từ 01/10/2021</t>
        </r>
      </text>
    </comment>
    <comment ref="F110" authorId="1" shapeId="0" xr:uid="{00000000-0006-0000-0000-000071000000}">
      <text>
        <r>
          <rPr>
            <b/>
            <sz val="9"/>
            <color indexed="81"/>
            <rFont val="Tahoma"/>
            <family val="2"/>
          </rPr>
          <t>Admin:</t>
        </r>
        <r>
          <rPr>
            <sz val="9"/>
            <color indexed="81"/>
            <rFont val="Tahoma"/>
            <family val="2"/>
          </rPr>
          <t xml:space="preserve">
- HS 3,00 từ 01/9/2016
- HS 3,33 từ 01/9/2019
- HS 3,66 từ 01/9/2022</t>
        </r>
      </text>
    </comment>
    <comment ref="F111" authorId="1" shapeId="0" xr:uid="{00000000-0006-0000-0000-000072000000}">
      <text>
        <r>
          <rPr>
            <b/>
            <sz val="9"/>
            <color indexed="81"/>
            <rFont val="Tahoma"/>
            <family val="2"/>
          </rPr>
          <t>Admin:</t>
        </r>
        <r>
          <rPr>
            <sz val="9"/>
            <color indexed="81"/>
            <rFont val="Tahoma"/>
            <family val="2"/>
          </rPr>
          <t xml:space="preserve">
- HS 2,34 từ 01/09/2016
- HS 2,67 từ 01/09/2019
- HS 3,00 từ 01/09/2022
</t>
        </r>
      </text>
    </comment>
    <comment ref="F112" authorId="1" shapeId="0" xr:uid="{00000000-0006-0000-0000-000073000000}">
      <text>
        <r>
          <rPr>
            <sz val="9"/>
            <color indexed="81"/>
            <rFont val="Tahoma"/>
            <family val="2"/>
          </rPr>
          <t>- HS 3,00  từ 01/01/2018
- HS 3,33 từ 01/01/2020 (NL trước hạn)
- HS 3,66 từ 01/01/2023</t>
        </r>
      </text>
    </comment>
    <comment ref="I112" authorId="4" shapeId="0" xr:uid="{00000000-0006-0000-0000-000074000000}">
      <text>
        <r>
          <rPr>
            <b/>
            <sz val="9"/>
            <color indexed="81"/>
            <rFont val="Tahoma"/>
            <family val="2"/>
          </rPr>
          <t>Quynh:</t>
        </r>
        <r>
          <rPr>
            <sz val="9"/>
            <color indexed="81"/>
            <rFont val="Tahoma"/>
            <family val="2"/>
          </rPr>
          <t xml:space="preserve">
- BN Trưởng BM Cơ sở ngành từ 01/1/2019</t>
        </r>
      </text>
    </comment>
    <comment ref="F113" authorId="2" shapeId="0" xr:uid="{00000000-0006-0000-0000-000075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4" authorId="2" shapeId="0" xr:uid="{00000000-0006-0000-0000-000076000000}">
      <text>
        <r>
          <rPr>
            <b/>
            <sz val="9"/>
            <color indexed="81"/>
            <rFont val="Tahoma"/>
            <family val="2"/>
          </rPr>
          <t>user:</t>
        </r>
        <r>
          <rPr>
            <sz val="9"/>
            <color indexed="81"/>
            <rFont val="Tahoma"/>
            <family val="2"/>
          </rPr>
          <t xml:space="preserve">
- HS 2,34 từ 01/5/2021
- HS 2,67 từ 01/5/2023 (NL trước hạn)</t>
        </r>
      </text>
    </comment>
    <comment ref="I114" authorId="3" shapeId="0" xr:uid="{00000000-0006-0000-0000-000077000000}">
      <text>
        <r>
          <rPr>
            <b/>
            <sz val="9"/>
            <color indexed="81"/>
            <rFont val="Tahoma"/>
            <family val="2"/>
          </rPr>
          <t>Windows User:</t>
        </r>
        <r>
          <rPr>
            <sz val="9"/>
            <color indexed="81"/>
            <rFont val="Tahoma"/>
            <family val="2"/>
          </rPr>
          <t xml:space="preserve">
- BN Trưởng khoa DL-KS từ 01/12/2023</t>
        </r>
      </text>
    </comment>
    <comment ref="F115" authorId="7" shapeId="0" xr:uid="{00000000-0006-0000-0000-000078000000}">
      <text>
        <r>
          <rPr>
            <b/>
            <sz val="9"/>
            <color indexed="81"/>
            <rFont val="Tahoma"/>
            <family val="2"/>
          </rPr>
          <t>huynh-panda:</t>
        </r>
        <r>
          <rPr>
            <sz val="9"/>
            <color indexed="81"/>
            <rFont val="Tahoma"/>
            <family val="2"/>
          </rPr>
          <t xml:space="preserve">
- HS 2,34 từ 01/05/2022</t>
        </r>
      </text>
    </comment>
    <comment ref="F116" authorId="7" shapeId="0" xr:uid="{00000000-0006-0000-0000-000079000000}">
      <text>
        <r>
          <rPr>
            <b/>
            <sz val="9"/>
            <color indexed="81"/>
            <rFont val="Tahoma"/>
            <family val="2"/>
          </rPr>
          <t>huynh-panda:</t>
        </r>
        <r>
          <rPr>
            <sz val="9"/>
            <color indexed="81"/>
            <rFont val="Tahoma"/>
            <family val="2"/>
          </rPr>
          <t xml:space="preserve">
- TD từ 01/7/2022 (HS 1,989)
- HS 2,34 từ 01/7/2023</t>
        </r>
      </text>
    </comment>
    <comment ref="F117" authorId="7" shapeId="0" xr:uid="{00000000-0006-0000-0000-00007A000000}">
      <text>
        <r>
          <rPr>
            <b/>
            <sz val="9"/>
            <color indexed="81"/>
            <rFont val="Tahoma"/>
            <family val="2"/>
          </rPr>
          <t>huynh-panda:</t>
        </r>
        <r>
          <rPr>
            <sz val="9"/>
            <color indexed="81"/>
            <rFont val="Tahoma"/>
            <family val="2"/>
          </rPr>
          <t xml:space="preserve">
- TD từ 01/7/2022 (HS 1,989)
- HS 3,33 từ 01/3/2022
</t>
        </r>
      </text>
    </comment>
    <comment ref="B118" authorId="3" shapeId="0" xr:uid="{00000000-0006-0000-0000-00007B000000}">
      <text>
        <r>
          <rPr>
            <b/>
            <sz val="9"/>
            <color indexed="81"/>
            <rFont val="Tahoma"/>
            <family val="2"/>
          </rPr>
          <t>Windows User:</t>
        </r>
        <r>
          <rPr>
            <sz val="9"/>
            <color indexed="81"/>
            <rFont val="Tahoma"/>
            <family val="2"/>
          </rPr>
          <t xml:space="preserve">
- Thuyên chuyển từ CĐ Kinh tế - Kỹ thuật về từ T10/2022
</t>
        </r>
      </text>
    </comment>
    <comment ref="F119" authorId="3" shapeId="0" xr:uid="{00000000-0006-0000-0000-00007C000000}">
      <text>
        <r>
          <rPr>
            <b/>
            <sz val="9"/>
            <color indexed="81"/>
            <rFont val="Tahoma"/>
            <family val="2"/>
          </rPr>
          <t>Windows User:</t>
        </r>
        <r>
          <rPr>
            <sz val="9"/>
            <color indexed="81"/>
            <rFont val="Tahoma"/>
            <family val="2"/>
          </rPr>
          <t xml:space="preserve">
- HS 2,67 từ 01/10/2022
- HS 3,00 từ 01/11/2022</t>
        </r>
      </text>
    </comment>
    <comment ref="B120" authorId="3" shapeId="0" xr:uid="{00000000-0006-0000-0000-00007D000000}">
      <text>
        <r>
          <rPr>
            <b/>
            <sz val="9"/>
            <color indexed="81"/>
            <rFont val="Tahoma"/>
            <family val="2"/>
          </rPr>
          <t>Windows User:</t>
        </r>
        <r>
          <rPr>
            <sz val="9"/>
            <color indexed="81"/>
            <rFont val="Tahoma"/>
            <family val="2"/>
          </rPr>
          <t xml:space="preserve">
- Thuyên chuyển từ ĐH GTVT về trường từ T10/2023</t>
        </r>
      </text>
    </comment>
    <comment ref="F121" authorId="1" shapeId="0" xr:uid="{00000000-0006-0000-0000-00007E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22" authorId="1" shapeId="0" xr:uid="{00000000-0006-0000-0000-00007F000000}">
      <text>
        <r>
          <rPr>
            <b/>
            <sz val="9"/>
            <color indexed="81"/>
            <rFont val="Tahoma"/>
            <family val="2"/>
          </rPr>
          <t>Admin:</t>
        </r>
        <r>
          <rPr>
            <sz val="9"/>
            <color indexed="81"/>
            <rFont val="Tahoma"/>
            <family val="2"/>
          </rPr>
          <t xml:space="preserve">
- HS 3,00 từ 01/9/2016
- HS 3,33 từ 01/9/2019
- HS 3,66 từ 01/9/2022</t>
        </r>
      </text>
    </comment>
    <comment ref="F123" authorId="1" shapeId="0" xr:uid="{00000000-0006-0000-0000-000080000000}">
      <text>
        <r>
          <rPr>
            <b/>
            <sz val="9"/>
            <color indexed="81"/>
            <rFont val="Tahoma"/>
            <family val="2"/>
          </rPr>
          <t>Admin:</t>
        </r>
        <r>
          <rPr>
            <sz val="9"/>
            <color indexed="81"/>
            <rFont val="Tahoma"/>
            <family val="2"/>
          </rPr>
          <t xml:space="preserve">
- HS 2,67 từ 01/9/2016
- HS 3,00 từ 01/9/2019
- HS 3,33 từ 01/9/2022</t>
        </r>
      </text>
    </comment>
    <comment ref="I123" authorId="1" shapeId="0" xr:uid="{00000000-0006-0000-0000-000081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4" authorId="1" shapeId="0" xr:uid="{00000000-0006-0000-0000-000082000000}">
      <text>
        <r>
          <rPr>
            <b/>
            <sz val="9"/>
            <color indexed="81"/>
            <rFont val="Tahoma"/>
            <family val="2"/>
          </rPr>
          <t>Admin:</t>
        </r>
        <r>
          <rPr>
            <sz val="9"/>
            <color indexed="81"/>
            <rFont val="Tahoma"/>
            <family val="2"/>
          </rPr>
          <t xml:space="preserve">
- HS 2,67 từ 01/9/2016
- HS 3,00 từ 01/9/2019
- HS 3,33 từ 01/9/2022</t>
        </r>
      </text>
    </comment>
    <comment ref="F125" authorId="1" shapeId="0" xr:uid="{00000000-0006-0000-0000-000083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6" authorId="8" shapeId="0" xr:uid="{00000000-0006-0000-0000-000084000000}">
      <text>
        <r>
          <rPr>
            <sz val="9"/>
            <color indexed="81"/>
            <rFont val="Tahoma"/>
            <family val="2"/>
          </rPr>
          <t>- HS 2,67 từ 01/12/2017
- HS 3,00 từ 01/12/2020
- HS 3,33 từ 01/12/2022 (NL trước hạn)</t>
        </r>
      </text>
    </comment>
    <comment ref="F127" authorId="0" shapeId="0" xr:uid="{00000000-0006-0000-0000-000085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7" authorId="3" shapeId="0" xr:uid="{00000000-0006-0000-0000-000086000000}">
      <text>
        <r>
          <rPr>
            <b/>
            <sz val="9"/>
            <color indexed="81"/>
            <rFont val="Tahoma"/>
            <family val="2"/>
          </rPr>
          <t>Windows User:</t>
        </r>
        <r>
          <rPr>
            <sz val="9"/>
            <color indexed="81"/>
            <rFont val="Tahoma"/>
            <family val="2"/>
          </rPr>
          <t xml:space="preserve">
- VK 5% từ 01/11/2023</t>
        </r>
      </text>
    </comment>
    <comment ref="F128" authorId="4" shapeId="0" xr:uid="{00000000-0006-0000-0000-000087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9" authorId="2" shapeId="0" xr:uid="{00000000-0006-0000-0000-000088000000}">
      <text>
        <r>
          <rPr>
            <b/>
            <sz val="9"/>
            <color indexed="81"/>
            <rFont val="Tahoma"/>
            <family val="2"/>
          </rPr>
          <t>user:</t>
        </r>
        <r>
          <rPr>
            <sz val="9"/>
            <color indexed="81"/>
            <rFont val="Tahoma"/>
            <family val="2"/>
          </rPr>
          <t xml:space="preserve">
- HS 2,67 từ 01/10/2019
- HS 3,00 từ 01/10/2022</t>
        </r>
      </text>
    </comment>
    <comment ref="F130" authorId="0" shapeId="0" xr:uid="{00000000-0006-0000-0000-000089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30" authorId="2" shapeId="0" xr:uid="{00000000-0006-0000-0000-00008A000000}">
      <text>
        <r>
          <rPr>
            <b/>
            <sz val="9"/>
            <color indexed="81"/>
            <rFont val="Tahoma"/>
            <family val="2"/>
          </rPr>
          <t>user:</t>
        </r>
        <r>
          <rPr>
            <sz val="9"/>
            <color indexed="81"/>
            <rFont val="Tahoma"/>
            <family val="2"/>
          </rPr>
          <t xml:space="preserve">
- Trưởng TT Thư viện từ 01/9/2020</t>
        </r>
      </text>
    </comment>
    <comment ref="K130" authorId="1" shapeId="0" xr:uid="{00000000-0006-0000-0000-00008B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31" authorId="1" shapeId="0" xr:uid="{00000000-0006-0000-0000-00008C000000}">
      <text>
        <r>
          <rPr>
            <b/>
            <sz val="9"/>
            <color indexed="81"/>
            <rFont val="Tahoma"/>
            <family val="2"/>
          </rPr>
          <t>Admin:</t>
        </r>
        <r>
          <rPr>
            <sz val="9"/>
            <color indexed="81"/>
            <rFont val="Tahoma"/>
            <family val="2"/>
          </rPr>
          <t xml:space="preserve">
- HS 4,65 từ 01/6/2016 (NL Trước hạn năm 2017)</t>
        </r>
      </text>
    </comment>
    <comment ref="G131" authorId="7" shapeId="0" xr:uid="{00000000-0006-0000-0000-00008D000000}">
      <text>
        <r>
          <rPr>
            <b/>
            <sz val="9"/>
            <color indexed="81"/>
            <rFont val="Tahoma"/>
            <family val="2"/>
          </rPr>
          <t>Quynh-panda:</t>
        </r>
        <r>
          <rPr>
            <sz val="9"/>
            <color indexed="81"/>
            <rFont val="Tahoma"/>
            <family val="2"/>
          </rPr>
          <t xml:space="preserve">
- VK 5% từ 01/06/2022</t>
        </r>
      </text>
    </comment>
    <comment ref="F132" authorId="0" shapeId="0" xr:uid="{00000000-0006-0000-0000-00008E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33" authorId="0" shapeId="0" xr:uid="{00000000-0006-0000-0000-00008F000000}">
      <text>
        <r>
          <rPr>
            <b/>
            <sz val="9"/>
            <color indexed="81"/>
            <rFont val="Tahoma"/>
            <family val="2"/>
          </rPr>
          <t>User:</t>
        </r>
        <r>
          <rPr>
            <sz val="9"/>
            <color indexed="81"/>
            <rFont val="Tahoma"/>
            <family val="2"/>
          </rPr>
          <t xml:space="preserve">
' HS 3,33 từ 01/9/15
- HS 3,66 từ 01/9/2018
- HS 3,99 từ 01/9/2021</t>
        </r>
      </text>
    </comment>
    <comment ref="F134" authorId="1" shapeId="0" xr:uid="{00000000-0006-0000-0000-000090000000}">
      <text>
        <r>
          <rPr>
            <b/>
            <sz val="9"/>
            <color indexed="81"/>
            <rFont val="Tahoma"/>
            <family val="2"/>
          </rPr>
          <t>Admin:</t>
        </r>
        <r>
          <rPr>
            <sz val="9"/>
            <color indexed="81"/>
            <rFont val="Tahoma"/>
            <family val="2"/>
          </rPr>
          <t xml:space="preserve">
- HS 3,00 từ 01/12/2016
- HS 3,33 từ 01/12/2019
- HS 3,66 từ 01/12/2022</t>
        </r>
      </text>
    </comment>
    <comment ref="F135" authorId="1" shapeId="0" xr:uid="{00000000-0006-0000-0000-000091000000}">
      <text>
        <r>
          <rPr>
            <b/>
            <sz val="9"/>
            <color indexed="81"/>
            <rFont val="Tahoma"/>
            <family val="2"/>
          </rPr>
          <t>Admin:</t>
        </r>
        <r>
          <rPr>
            <sz val="9"/>
            <color indexed="81"/>
            <rFont val="Tahoma"/>
            <family val="2"/>
          </rPr>
          <t xml:space="preserve">
- HS 3,99 từ 01/12/2015
- HS 4,32 từ 01/12/2018
- HS 4,65 từ 01/12/2021</t>
        </r>
      </text>
    </comment>
    <comment ref="F136" authorId="1" shapeId="0" xr:uid="{00000000-0006-0000-0000-000092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7" authorId="0" shapeId="0" xr:uid="{00000000-0006-0000-0000-000093000000}">
      <text>
        <r>
          <rPr>
            <b/>
            <sz val="9"/>
            <color indexed="81"/>
            <rFont val="Tahoma"/>
            <family val="2"/>
          </rPr>
          <t>User:</t>
        </r>
        <r>
          <rPr>
            <sz val="9"/>
            <color indexed="81"/>
            <rFont val="Tahoma"/>
            <family val="2"/>
          </rPr>
          <t xml:space="preserve">
- HS 4,65 từ 01/9/2015
- HS 4,98 từ 01/9/17 (NL trước hạn)</t>
        </r>
      </text>
    </comment>
    <comment ref="G137" authorId="2" shapeId="0" xr:uid="{00000000-0006-0000-0000-000094000000}">
      <text>
        <r>
          <rPr>
            <b/>
            <sz val="9"/>
            <color indexed="81"/>
            <rFont val="Tahoma"/>
            <family val="2"/>
          </rPr>
          <t>user:</t>
        </r>
        <r>
          <rPr>
            <sz val="9"/>
            <color indexed="81"/>
            <rFont val="Tahoma"/>
            <family val="2"/>
          </rPr>
          <t xml:space="preserve">
- 5% từ 01/9/2020
- 6% từ 01/9/2021
- 7% từ 01/9/2022
- 8% từ 01/9/2023</t>
        </r>
      </text>
    </comment>
    <comment ref="F138" authorId="0" shapeId="0" xr:uid="{00000000-0006-0000-0000-000095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9" authorId="1" shapeId="0" xr:uid="{00000000-0006-0000-0000-000096000000}">
      <text>
        <r>
          <rPr>
            <b/>
            <sz val="9"/>
            <color indexed="81"/>
            <rFont val="Tahoma"/>
            <family val="2"/>
          </rPr>
          <t>Admin:</t>
        </r>
        <r>
          <rPr>
            <sz val="9"/>
            <color indexed="81"/>
            <rFont val="Tahoma"/>
            <family val="2"/>
          </rPr>
          <t xml:space="preserve">
- HS 3,00 từ 01/11/2016
- HS 3,33 từ 01/11/2019
- HS 3,66 từ 01/11/2022</t>
        </r>
      </text>
    </comment>
    <comment ref="F140" authorId="0" shapeId="0" xr:uid="{00000000-0006-0000-0000-000097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40" authorId="1" shapeId="0" xr:uid="{00000000-0006-0000-0000-000098000000}">
      <text>
        <r>
          <rPr>
            <b/>
            <sz val="9"/>
            <color indexed="81"/>
            <rFont val="Tahoma"/>
            <family val="2"/>
          </rPr>
          <t>Admin:</t>
        </r>
        <r>
          <rPr>
            <sz val="9"/>
            <color indexed="81"/>
            <rFont val="Tahoma"/>
            <family val="2"/>
          </rPr>
          <t xml:space="preserve">
- BN Phó TK từ 01/8/2018</t>
        </r>
      </text>
    </comment>
    <comment ref="F141" authorId="0" shapeId="0" xr:uid="{00000000-0006-0000-0000-000099000000}">
      <text>
        <r>
          <rPr>
            <b/>
            <sz val="9"/>
            <color indexed="81"/>
            <rFont val="Tahoma"/>
            <family val="2"/>
          </rPr>
          <t>User:</t>
        </r>
        <r>
          <rPr>
            <sz val="9"/>
            <color indexed="81"/>
            <rFont val="Tahoma"/>
            <family val="2"/>
          </rPr>
          <t xml:space="preserve">
- HS 4,32 từ 01/9/2014
- HS 4,65 từ 01/9/2017
- HS 4,98 từ 01/9/2020</t>
        </r>
      </text>
    </comment>
    <comment ref="G141" authorId="3" shapeId="0" xr:uid="{00000000-0006-0000-0000-00009A000000}">
      <text>
        <r>
          <rPr>
            <b/>
            <sz val="9"/>
            <color indexed="81"/>
            <rFont val="Tahoma"/>
            <family val="2"/>
          </rPr>
          <t>Windows User:</t>
        </r>
        <r>
          <rPr>
            <sz val="9"/>
            <color indexed="81"/>
            <rFont val="Tahoma"/>
            <family val="2"/>
          </rPr>
          <t xml:space="preserve">
- VK 5% từ 01/9/2023</t>
        </r>
      </text>
    </comment>
    <comment ref="F142" authorId="0" shapeId="0" xr:uid="{00000000-0006-0000-0000-00009B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3" authorId="1" shapeId="0" xr:uid="{00000000-0006-0000-0000-00009C000000}">
      <text>
        <r>
          <rPr>
            <b/>
            <sz val="9"/>
            <color indexed="81"/>
            <rFont val="Tahoma"/>
            <family val="2"/>
          </rPr>
          <t>Admin:</t>
        </r>
        <r>
          <rPr>
            <sz val="9"/>
            <color indexed="81"/>
            <rFont val="Tahoma"/>
            <family val="2"/>
          </rPr>
          <t xml:space="preserve">
- HS 3,00 từ 01/9/2016
- HS 3,33 từ 01/3/2020
- HS 3,66 từ 01/03/2023</t>
        </r>
      </text>
    </comment>
    <comment ref="F144" authorId="1" shapeId="0" xr:uid="{00000000-0006-0000-0000-00009D000000}">
      <text>
        <r>
          <rPr>
            <b/>
            <sz val="9"/>
            <color indexed="81"/>
            <rFont val="Tahoma"/>
            <family val="2"/>
          </rPr>
          <t>Admin:</t>
        </r>
        <r>
          <rPr>
            <sz val="9"/>
            <color indexed="81"/>
            <rFont val="Tahoma"/>
            <family val="2"/>
          </rPr>
          <t xml:space="preserve">
- HS 2,67 từ 01/9/2017
- HS 3,00 từ 01/9/2020</t>
        </r>
      </text>
    </comment>
    <comment ref="F145" authorId="1" shapeId="0" xr:uid="{00000000-0006-0000-0000-00009E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6" authorId="0" shapeId="0" xr:uid="{00000000-0006-0000-0000-00009F000000}">
      <text>
        <r>
          <rPr>
            <b/>
            <sz val="9"/>
            <color indexed="81"/>
            <rFont val="Tahoma"/>
            <family val="2"/>
          </rPr>
          <t>User:</t>
        </r>
        <r>
          <rPr>
            <sz val="9"/>
            <color indexed="81"/>
            <rFont val="Tahoma"/>
            <family val="2"/>
          </rPr>
          <t xml:space="preserve">
- HS 3,33 từ 01/9/2015
- HS 3,66 từ 01/9/2018
- HS 3,99 từ 01/9/2021</t>
        </r>
      </text>
    </comment>
    <comment ref="I146" authorId="1" shapeId="0" xr:uid="{00000000-0006-0000-0000-0000A0000000}">
      <text>
        <r>
          <rPr>
            <b/>
            <sz val="9"/>
            <color indexed="81"/>
            <rFont val="Tahoma"/>
            <family val="2"/>
          </rPr>
          <t>Admin:</t>
        </r>
        <r>
          <rPr>
            <sz val="9"/>
            <color indexed="81"/>
            <rFont val="Tahoma"/>
            <family val="2"/>
          </rPr>
          <t xml:space="preserve">
+ BN Tổ trưởng CM từ 03/5/2017</t>
        </r>
      </text>
    </comment>
    <comment ref="F147" authorId="1" shapeId="0" xr:uid="{00000000-0006-0000-0000-0000A1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8" authorId="8" shapeId="0" xr:uid="{00000000-0006-0000-0000-0000A2000000}">
      <text>
        <r>
          <rPr>
            <sz val="9"/>
            <color indexed="81"/>
            <rFont val="Tahoma"/>
            <family val="2"/>
          </rPr>
          <t>- HS 3,33 từ 01/3/2018
- HS 3,66 từ 01/3/2020 (NL trước hạn)
- HS 3,99 từ 01/3/2023</t>
        </r>
      </text>
    </comment>
    <comment ref="F149" authorId="0" shapeId="0" xr:uid="{00000000-0006-0000-0000-0000A3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50" authorId="1" shapeId="0" xr:uid="{00000000-0006-0000-0000-0000A4000000}">
      <text>
        <r>
          <rPr>
            <b/>
            <sz val="9"/>
            <color indexed="81"/>
            <rFont val="Tahoma"/>
            <family val="2"/>
          </rPr>
          <t>Admin:</t>
        </r>
        <r>
          <rPr>
            <sz val="9"/>
            <color indexed="81"/>
            <rFont val="Tahoma"/>
            <family val="2"/>
          </rPr>
          <t xml:space="preserve">
- HS 3,66 từ 01/9/2016
- HS 3,99 từ 01/9/2019
- HS 4,32 từ 01/9/2022</t>
        </r>
      </text>
    </comment>
    <comment ref="F151" authorId="8" shapeId="0" xr:uid="{00000000-0006-0000-0000-0000A5000000}">
      <text>
        <r>
          <rPr>
            <sz val="9"/>
            <color indexed="81"/>
            <rFont val="Tahoma"/>
            <family val="2"/>
          </rPr>
          <t xml:space="preserve">- HS 3,99 từ 01/12/2017
- HS 4,32 từ 01/12/2020
- HS 4,65 từ 01/12/2023
</t>
        </r>
      </text>
    </comment>
    <comment ref="F152" authorId="1" shapeId="0" xr:uid="{00000000-0006-0000-0000-0000A6000000}">
      <text>
        <r>
          <rPr>
            <b/>
            <sz val="9"/>
            <color indexed="81"/>
            <rFont val="Tahoma"/>
            <family val="2"/>
          </rPr>
          <t>Admin:</t>
        </r>
        <r>
          <rPr>
            <sz val="9"/>
            <color indexed="81"/>
            <rFont val="Tahoma"/>
            <family val="2"/>
          </rPr>
          <t xml:space="preserve">
- HS 3,99 từ 01/9/2017
- HS 4,32 từ 01/9/2019
- HS 4,65 từ 01/9/2022</t>
        </r>
      </text>
    </comment>
    <comment ref="I152" authorId="2" shapeId="0" xr:uid="{00000000-0006-0000-0000-0000A7000000}">
      <text>
        <r>
          <rPr>
            <b/>
            <sz val="9"/>
            <color indexed="81"/>
            <rFont val="Tahoma"/>
            <family val="2"/>
          </rPr>
          <t>user:</t>
        </r>
        <r>
          <rPr>
            <sz val="9"/>
            <color indexed="81"/>
            <rFont val="Tahoma"/>
            <family val="2"/>
          </rPr>
          <t xml:space="preserve">
- Trưởng BM Cơ điện tử và tự động hóa từ 01/1/2020</t>
        </r>
      </text>
    </comment>
    <comment ref="F153" authorId="1" shapeId="0" xr:uid="{00000000-0006-0000-0000-0000A8000000}">
      <text>
        <r>
          <rPr>
            <b/>
            <sz val="9"/>
            <color indexed="81"/>
            <rFont val="Tahoma"/>
            <family val="2"/>
          </rPr>
          <t>Admin:</t>
        </r>
        <r>
          <rPr>
            <sz val="9"/>
            <color indexed="81"/>
            <rFont val="Tahoma"/>
            <family val="2"/>
          </rPr>
          <t xml:space="preserve">
- HS 3,99 từ 01/9/2017
- HS 4,32 từ 01/9/2020
- HS 4,65 từ 01/9/2023</t>
        </r>
      </text>
    </comment>
    <comment ref="F154" authorId="1" shapeId="0" xr:uid="{00000000-0006-0000-0000-0000A9000000}">
      <text>
        <r>
          <rPr>
            <b/>
            <sz val="9"/>
            <color indexed="81"/>
            <rFont val="Tahoma"/>
            <family val="2"/>
          </rPr>
          <t>Admin:</t>
        </r>
        <r>
          <rPr>
            <sz val="9"/>
            <color indexed="81"/>
            <rFont val="Tahoma"/>
            <family val="2"/>
          </rPr>
          <t xml:space="preserve">
- HS 3,33 từ 01/9/2017
- HS 3,66 từ 01/9/2020
- HS 3,99 từ 01/9/2023</t>
        </r>
      </text>
    </comment>
    <comment ref="F155" authorId="1" shapeId="0" xr:uid="{00000000-0006-0000-0000-0000AA000000}">
      <text>
        <r>
          <rPr>
            <b/>
            <sz val="9"/>
            <color indexed="81"/>
            <rFont val="Tahoma"/>
            <family val="2"/>
          </rPr>
          <t>Admin:</t>
        </r>
        <r>
          <rPr>
            <sz val="9"/>
            <color indexed="81"/>
            <rFont val="Tahoma"/>
            <family val="2"/>
          </rPr>
          <t xml:space="preserve">
- HS 4,32 từ 01/9/2016
- HS 4,65 từ 01/9/2019
- HS 4,98 từ 01/9/2022</t>
        </r>
      </text>
    </comment>
    <comment ref="F156" authorId="1" shapeId="0" xr:uid="{00000000-0006-0000-0000-0000AB000000}">
      <text>
        <r>
          <rPr>
            <b/>
            <sz val="9"/>
            <color indexed="81"/>
            <rFont val="Tahoma"/>
            <family val="2"/>
          </rPr>
          <t>Admin:</t>
        </r>
        <r>
          <rPr>
            <sz val="9"/>
            <color indexed="81"/>
            <rFont val="Tahoma"/>
            <family val="2"/>
          </rPr>
          <t xml:space="preserve">
- HS 3,33 từ 01/9/2017
- HS 3,66 từ 01/9/2020
- HS 3,99 từ 01/9/2023</t>
        </r>
      </text>
    </comment>
    <comment ref="I156" authorId="0" shapeId="0" xr:uid="{00000000-0006-0000-0000-0000AC000000}">
      <text>
        <r>
          <rPr>
            <b/>
            <sz val="9"/>
            <color indexed="81"/>
            <rFont val="Tahoma"/>
            <family val="2"/>
          </rPr>
          <t>User:</t>
        </r>
        <r>
          <rPr>
            <sz val="9"/>
            <color indexed="81"/>
            <rFont val="Tahoma"/>
            <family val="2"/>
          </rPr>
          <t xml:space="preserve">
Miễn nhiệm Phó Trưởng BM từ 01/9/2015. Bảo lưu HS PC hết T02/2016</t>
        </r>
      </text>
    </comment>
    <comment ref="F157" authorId="1" shapeId="0" xr:uid="{00000000-0006-0000-0000-0000AD000000}">
      <text>
        <r>
          <rPr>
            <sz val="9"/>
            <color indexed="81"/>
            <rFont val="Tahoma"/>
            <family val="2"/>
          </rPr>
          <t>- HS 3,00 từ 01/01/2018
- HS 3,33 từ 01/01/2023</t>
        </r>
      </text>
    </comment>
    <comment ref="I157" authorId="2" shapeId="0" xr:uid="{00000000-0006-0000-0000-0000AE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8" authorId="1" shapeId="0" xr:uid="{00000000-0006-0000-0000-0000AF000000}">
      <text>
        <r>
          <rPr>
            <b/>
            <sz val="9"/>
            <color indexed="81"/>
            <rFont val="Tahoma"/>
            <family val="2"/>
          </rPr>
          <t>Admin:</t>
        </r>
        <r>
          <rPr>
            <sz val="9"/>
            <color indexed="81"/>
            <rFont val="Tahoma"/>
            <family val="2"/>
          </rPr>
          <t xml:space="preserve">
- HS 2,34 từ 01/09/2016
- HS 2,67 từ 01/9/2019
- HS 3,00 từ 0/09/2022</t>
        </r>
      </text>
    </comment>
    <comment ref="F159" authorId="2" shapeId="0" xr:uid="{00000000-0006-0000-0000-0000B0000000}">
      <text>
        <r>
          <rPr>
            <b/>
            <sz val="9"/>
            <color indexed="81"/>
            <rFont val="Tahoma"/>
            <family val="2"/>
          </rPr>
          <t>user:</t>
        </r>
        <r>
          <rPr>
            <sz val="9"/>
            <color indexed="81"/>
            <rFont val="Tahoma"/>
            <family val="2"/>
          </rPr>
          <t xml:space="preserve">
- Tuyển dụng từ 01/10/2020
- HS 2,34 từ 01/10/2021</t>
        </r>
      </text>
    </comment>
    <comment ref="F160" authorId="1" shapeId="0" xr:uid="{00000000-0006-0000-0000-0000B1000000}">
      <text>
        <r>
          <rPr>
            <b/>
            <sz val="9"/>
            <color indexed="81"/>
            <rFont val="Tahoma"/>
            <family val="2"/>
          </rPr>
          <t>Admin:</t>
        </r>
        <r>
          <rPr>
            <sz val="9"/>
            <color indexed="81"/>
            <rFont val="Tahoma"/>
            <family val="2"/>
          </rPr>
          <t xml:space="preserve">
- HS 2,34 từ 01/09/2016
- HS 2,67 từ 01/9/2019
- HS 3,00 từ 01/9/2022</t>
        </r>
      </text>
    </comment>
    <comment ref="F161" authorId="2" shapeId="0" xr:uid="{00000000-0006-0000-0000-0000B2000000}">
      <text>
        <r>
          <rPr>
            <b/>
            <sz val="9"/>
            <color indexed="81"/>
            <rFont val="Tahoma"/>
            <family val="2"/>
          </rPr>
          <t>user:</t>
        </r>
        <r>
          <rPr>
            <sz val="9"/>
            <color indexed="81"/>
            <rFont val="Tahoma"/>
            <family val="2"/>
          </rPr>
          <t xml:space="preserve">
- Tuyển dụng từ 01/5/20
- HS 2,34 từ 01/5/2021</t>
        </r>
      </text>
    </comment>
    <comment ref="F165" authorId="0" shapeId="0" xr:uid="{00000000-0006-0000-0000-0000B3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5" authorId="0" shapeId="0" xr:uid="{00000000-0006-0000-0000-0000B4000000}">
      <text>
        <r>
          <rPr>
            <b/>
            <sz val="9"/>
            <color indexed="81"/>
            <rFont val="Tahoma"/>
            <family val="2"/>
          </rPr>
          <t>User:</t>
        </r>
        <r>
          <rPr>
            <sz val="9"/>
            <color indexed="81"/>
            <rFont val="Tahoma"/>
            <family val="2"/>
          </rPr>
          <t xml:space="preserve">
HS 0,35 hưởng từ 01/7/2015
</t>
        </r>
      </text>
    </comment>
    <comment ref="F166" authorId="1" shapeId="0" xr:uid="{00000000-0006-0000-0000-0000B5000000}">
      <text>
        <r>
          <rPr>
            <b/>
            <sz val="9"/>
            <color indexed="81"/>
            <rFont val="Tahoma"/>
            <family val="2"/>
          </rPr>
          <t>Admin:</t>
        </r>
        <r>
          <rPr>
            <sz val="9"/>
            <color indexed="81"/>
            <rFont val="Tahoma"/>
            <family val="2"/>
          </rPr>
          <t xml:space="preserve">
- HS 3,33 từ 01/9/2016
- HS 3,66 từ 01/9/2019
- HS 3,99 từ 01/9/2021 (NL trước hạn)</t>
        </r>
      </text>
    </comment>
    <comment ref="I166" authorId="0" shapeId="0" xr:uid="{00000000-0006-0000-0000-0000B6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7" authorId="1" shapeId="0" xr:uid="{00000000-0006-0000-0000-0000B7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7" authorId="2" shapeId="0" xr:uid="{00000000-0006-0000-0000-0000B8000000}">
      <text>
        <r>
          <rPr>
            <b/>
            <sz val="9"/>
            <color indexed="81"/>
            <rFont val="Tahoma"/>
            <family val="2"/>
          </rPr>
          <t>user:</t>
        </r>
        <r>
          <rPr>
            <sz val="9"/>
            <color indexed="81"/>
            <rFont val="Tahoma"/>
            <family val="2"/>
          </rPr>
          <t xml:space="preserve">
- QĐ BN Trưởng BM GDCT từ 01/4/2021</t>
        </r>
      </text>
    </comment>
    <comment ref="F168" authorId="0" shapeId="0" xr:uid="{00000000-0006-0000-0000-0000B9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9" authorId="1" shapeId="0" xr:uid="{00000000-0006-0000-0000-0000BA000000}">
      <text>
        <r>
          <rPr>
            <b/>
            <sz val="9"/>
            <color indexed="81"/>
            <rFont val="Tahoma"/>
            <family val="2"/>
          </rPr>
          <t>Admin:</t>
        </r>
        <r>
          <rPr>
            <sz val="9"/>
            <color indexed="81"/>
            <rFont val="Tahoma"/>
            <family val="2"/>
          </rPr>
          <t xml:space="preserve">
- HS 3,99 từ 01/9/2017
- HS 4,32 từ 01/9/2020
- HS 4,65 từ 01/9/2023</t>
        </r>
      </text>
    </comment>
    <comment ref="F170" authorId="0" shapeId="0" xr:uid="{00000000-0006-0000-0000-0000BB000000}">
      <text>
        <r>
          <rPr>
            <b/>
            <sz val="9"/>
            <color indexed="81"/>
            <rFont val="Tahoma"/>
            <family val="2"/>
          </rPr>
          <t>User:</t>
        </r>
        <r>
          <rPr>
            <sz val="9"/>
            <color indexed="81"/>
            <rFont val="Tahoma"/>
            <family val="2"/>
          </rPr>
          <t xml:space="preserve">
- HS 3,00 từ 01/09/2015
- HS 3,33 từ 01/9/2018
- HS 3,66 từ 01/9/2021</t>
        </r>
      </text>
    </comment>
    <comment ref="F171" authorId="0" shapeId="0" xr:uid="{00000000-0006-0000-0000-0000BC000000}">
      <text>
        <r>
          <rPr>
            <b/>
            <sz val="9"/>
            <color indexed="81"/>
            <rFont val="Tahoma"/>
            <family val="2"/>
          </rPr>
          <t>User:</t>
        </r>
        <r>
          <rPr>
            <sz val="9"/>
            <color indexed="81"/>
            <rFont val="Tahoma"/>
            <family val="2"/>
          </rPr>
          <t xml:space="preserve">
- HS 3,66 từ 01/9/2015
- HS 3,99 từ 01/9/2018
- HS 4,32 từ 01/9/2021
</t>
        </r>
      </text>
    </comment>
    <comment ref="F172" authorId="0" shapeId="0" xr:uid="{00000000-0006-0000-0000-0000BD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3" authorId="0" shapeId="0" xr:uid="{00000000-0006-0000-0000-0000BE000000}">
      <text>
        <r>
          <rPr>
            <b/>
            <sz val="9"/>
            <color indexed="81"/>
            <rFont val="Tahoma"/>
            <family val="2"/>
          </rPr>
          <t>User:</t>
        </r>
        <r>
          <rPr>
            <sz val="9"/>
            <color indexed="81"/>
            <rFont val="Tahoma"/>
            <family val="2"/>
          </rPr>
          <t xml:space="preserve">
- HS 3,00 từ 01/9/2015
- HS 3,33 từ 01/9/2018
- HS 3,66 từ 01/9/2021</t>
        </r>
      </text>
    </comment>
    <comment ref="F174" authorId="0" shapeId="0" xr:uid="{00000000-0006-0000-0000-0000BF000000}">
      <text>
        <r>
          <rPr>
            <b/>
            <sz val="9"/>
            <color indexed="81"/>
            <rFont val="Tahoma"/>
            <family val="2"/>
          </rPr>
          <t>User:</t>
        </r>
        <r>
          <rPr>
            <sz val="9"/>
            <color indexed="81"/>
            <rFont val="Tahoma"/>
            <family val="2"/>
          </rPr>
          <t xml:space="preserve">
- HS 3,00 từ 1/9/2015
- HS 3,33 từ 01/9/2018
- HS 3,66 từ 01/9/2021</t>
        </r>
      </text>
    </comment>
    <comment ref="F175" authorId="1" shapeId="0" xr:uid="{00000000-0006-0000-0000-0000C0000000}">
      <text>
        <r>
          <rPr>
            <b/>
            <sz val="9"/>
            <color indexed="81"/>
            <rFont val="Tahoma"/>
            <family val="2"/>
          </rPr>
          <t>Admin:</t>
        </r>
        <r>
          <rPr>
            <sz val="9"/>
            <color indexed="81"/>
            <rFont val="Tahoma"/>
            <family val="2"/>
          </rPr>
          <t xml:space="preserve">
- HS 3,00 từ 01/9/2015
- HS 3,33 từ 01/9/2018
- HS 3,66 từ 01/9/2021</t>
        </r>
      </text>
    </comment>
    <comment ref="F176" authorId="0" shapeId="0" xr:uid="{00000000-0006-0000-0000-0000C1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7" authorId="1" shapeId="0" xr:uid="{00000000-0006-0000-0000-0000C2000000}">
      <text>
        <r>
          <rPr>
            <b/>
            <sz val="9"/>
            <color indexed="81"/>
            <rFont val="Tahoma"/>
            <family val="2"/>
          </rPr>
          <t>Admin:</t>
        </r>
        <r>
          <rPr>
            <sz val="9"/>
            <color indexed="81"/>
            <rFont val="Tahoma"/>
            <family val="2"/>
          </rPr>
          <t xml:space="preserve">
- HS 2,67 từ 01/9/2016
- HS 3,00 từ 01/9/2019
- HS 3,33 từ 01/9/2021 (NL trước hạn)</t>
        </r>
      </text>
    </comment>
    <comment ref="F178" authorId="1" shapeId="0" xr:uid="{00000000-0006-0000-0000-0000C3000000}">
      <text>
        <r>
          <rPr>
            <b/>
            <sz val="9"/>
            <color indexed="81"/>
            <rFont val="Tahoma"/>
            <family val="2"/>
          </rPr>
          <t>Admin:</t>
        </r>
        <r>
          <rPr>
            <sz val="9"/>
            <color indexed="81"/>
            <rFont val="Tahoma"/>
            <family val="2"/>
          </rPr>
          <t xml:space="preserve">
- HS 3,00 từ 01/03/2017
- HS 3,33 từ 01/03/2020
- HS 3,66 từ 01/03/2023</t>
        </r>
      </text>
    </comment>
    <comment ref="F179" authorId="1" shapeId="0" xr:uid="{00000000-0006-0000-0000-0000C4000000}">
      <text>
        <r>
          <rPr>
            <b/>
            <sz val="9"/>
            <color indexed="81"/>
            <rFont val="Tahoma"/>
            <family val="2"/>
          </rPr>
          <t>Admin:</t>
        </r>
        <r>
          <rPr>
            <sz val="9"/>
            <color indexed="81"/>
            <rFont val="Tahoma"/>
            <family val="2"/>
          </rPr>
          <t xml:space="preserve">
- HS 2,67 từ 01/9/2017
- HS 3,00 từ 01/9/2020
- HS 3,33 từ 01/9/2023</t>
        </r>
      </text>
    </comment>
    <comment ref="F180" authorId="1" shapeId="0" xr:uid="{00000000-0006-0000-0000-0000C5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1" authorId="1" shapeId="0" xr:uid="{00000000-0006-0000-0000-0000C6000000}">
      <text>
        <r>
          <rPr>
            <b/>
            <sz val="9"/>
            <color indexed="81"/>
            <rFont val="Tahoma"/>
            <family val="2"/>
          </rPr>
          <t>Admin:</t>
        </r>
        <r>
          <rPr>
            <sz val="9"/>
            <color indexed="81"/>
            <rFont val="Tahoma"/>
            <family val="2"/>
          </rPr>
          <t xml:space="preserve">
- 3,33 từ 01/9/2017
- 3,66 từ 01/9/2020
- 3,99 từ 01/9/2023</t>
        </r>
      </text>
    </comment>
    <comment ref="I181" authorId="0" shapeId="0" xr:uid="{00000000-0006-0000-0000-0000C7000000}">
      <text>
        <r>
          <rPr>
            <b/>
            <sz val="9"/>
            <color indexed="81"/>
            <rFont val="Tahoma"/>
            <family val="2"/>
          </rPr>
          <t>User:</t>
        </r>
        <r>
          <rPr>
            <sz val="9"/>
            <color indexed="81"/>
            <rFont val="Tahoma"/>
            <family val="2"/>
          </rPr>
          <t xml:space="preserve">
Miễn nhiệm Trưởng bộ môn từ 01/9/2015</t>
        </r>
      </text>
    </comment>
    <comment ref="F182" authorId="1" shapeId="0" xr:uid="{00000000-0006-0000-0000-0000C8000000}">
      <text>
        <r>
          <rPr>
            <b/>
            <sz val="9"/>
            <color indexed="81"/>
            <rFont val="Tahoma"/>
            <family val="2"/>
          </rPr>
          <t>Admin:</t>
        </r>
        <r>
          <rPr>
            <sz val="9"/>
            <color indexed="81"/>
            <rFont val="Tahoma"/>
            <family val="2"/>
          </rPr>
          <t xml:space="preserve">
- HS 3,33 từ 01/9/2016
- HS 3,66 từ 01/9/2019
- HS 3,99 từ 01/9/2022</t>
        </r>
      </text>
    </comment>
    <comment ref="I182" authorId="0" shapeId="0" xr:uid="{00000000-0006-0000-0000-0000C9000000}">
      <text>
        <r>
          <rPr>
            <b/>
            <sz val="9"/>
            <color indexed="81"/>
            <rFont val="Tahoma"/>
            <family val="2"/>
          </rPr>
          <t>User:</t>
        </r>
        <r>
          <rPr>
            <sz val="9"/>
            <color indexed="81"/>
            <rFont val="Tahoma"/>
            <family val="2"/>
          </rPr>
          <t xml:space="preserve">
Miễn nhiệm Trưởng BM từ 01/9/15
</t>
        </r>
      </text>
    </comment>
    <comment ref="F183" authorId="0" shapeId="0" xr:uid="{00000000-0006-0000-0000-0000CA000000}">
      <text>
        <r>
          <rPr>
            <b/>
            <sz val="9"/>
            <color indexed="81"/>
            <rFont val="Tahoma"/>
            <family val="2"/>
          </rPr>
          <t>User:</t>
        </r>
        <r>
          <rPr>
            <sz val="9"/>
            <color indexed="81"/>
            <rFont val="Tahoma"/>
            <family val="2"/>
          </rPr>
          <t xml:space="preserve">
- HS 3,00 từ 01/9/2015
- HS 3,33 từ 01/9/2018
- HS 3,66 từ 01/9/2021</t>
        </r>
      </text>
    </comment>
    <comment ref="F184" authorId="0" shapeId="0" xr:uid="{00000000-0006-0000-0000-0000CB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4" authorId="0" shapeId="0" xr:uid="{00000000-0006-0000-0000-0000CC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4" authorId="1" shapeId="0" xr:uid="{00000000-0006-0000-0000-0000CD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5" authorId="8" shapeId="0" xr:uid="{00000000-0006-0000-0000-0000CE000000}">
      <text>
        <r>
          <rPr>
            <sz val="9"/>
            <color indexed="81"/>
            <rFont val="Tahoma"/>
            <family val="2"/>
          </rPr>
          <t xml:space="preserve">- HS 3,33 từ 01/12/2017
- HS 3,66 từ 01/12/2020
- HS 3,99 từ 01/12/2023
</t>
        </r>
      </text>
    </comment>
    <comment ref="F186" authorId="0" shapeId="0" xr:uid="{00000000-0006-0000-0000-0000CF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6" authorId="0" shapeId="0" xr:uid="{00000000-0006-0000-0000-0000D0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7" authorId="0" shapeId="0" xr:uid="{00000000-0006-0000-0000-0000D1000000}">
      <text>
        <r>
          <rPr>
            <b/>
            <sz val="9"/>
            <color indexed="81"/>
            <rFont val="Tahoma"/>
            <family val="2"/>
          </rPr>
          <t>User:</t>
        </r>
        <r>
          <rPr>
            <sz val="9"/>
            <color indexed="81"/>
            <rFont val="Tahoma"/>
            <family val="2"/>
          </rPr>
          <t xml:space="preserve">
- HS 3,00 từ 01/9/2015
- HS 3,33 từ 01/9/2018
- HS 3,66 từ 01/9/2021</t>
        </r>
      </text>
    </comment>
    <comment ref="F188" authorId="0" shapeId="0" xr:uid="{00000000-0006-0000-0000-0000D2000000}">
      <text>
        <r>
          <rPr>
            <b/>
            <sz val="9"/>
            <color indexed="81"/>
            <rFont val="Tahoma"/>
            <family val="2"/>
          </rPr>
          <t>User:</t>
        </r>
        <r>
          <rPr>
            <sz val="9"/>
            <color indexed="81"/>
            <rFont val="Tahoma"/>
            <family val="2"/>
          </rPr>
          <t xml:space="preserve">
- HS 3,00 từ 01/9/2015
- HS 3,33 từ 01/9/2018
- HS 3,66 từ 01/9/2021</t>
        </r>
      </text>
    </comment>
    <comment ref="F189" authorId="0" shapeId="0" xr:uid="{00000000-0006-0000-0000-0000D3000000}">
      <text>
        <r>
          <rPr>
            <b/>
            <sz val="9"/>
            <color indexed="81"/>
            <rFont val="Tahoma"/>
            <family val="2"/>
          </rPr>
          <t>User:</t>
        </r>
        <r>
          <rPr>
            <sz val="9"/>
            <color indexed="81"/>
            <rFont val="Tahoma"/>
            <family val="2"/>
          </rPr>
          <t xml:space="preserve">
- HS 3,00 từ 01/10/2015
- HS 3,33 từ 01/10/2018
- HS 3,66 từ 01/10/2021
</t>
        </r>
      </text>
    </comment>
    <comment ref="F190" authorId="1" shapeId="0" xr:uid="{00000000-0006-0000-0000-0000D4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90" authorId="0" shapeId="0" xr:uid="{00000000-0006-0000-0000-0000D5000000}">
      <text>
        <r>
          <rPr>
            <b/>
            <sz val="9"/>
            <color indexed="81"/>
            <rFont val="Tahoma"/>
            <family val="2"/>
          </rPr>
          <t>User:</t>
        </r>
        <r>
          <rPr>
            <sz val="9"/>
            <color indexed="81"/>
            <rFont val="Tahoma"/>
            <family val="2"/>
          </rPr>
          <t xml:space="preserve">
BN Trưởng BM MẠng Máy tính từ 01/9/2015
- Phó khoa CNTT từ T10/2022</t>
        </r>
      </text>
    </comment>
    <comment ref="F191" authorId="4" shapeId="0" xr:uid="{00000000-0006-0000-0000-0000D6000000}">
      <text>
        <r>
          <rPr>
            <b/>
            <sz val="9"/>
            <color indexed="81"/>
            <rFont val="Tahoma"/>
            <family val="2"/>
          </rPr>
          <t>Quynh:</t>
        </r>
        <r>
          <rPr>
            <sz val="9"/>
            <color indexed="81"/>
            <rFont val="Tahoma"/>
            <family val="2"/>
          </rPr>
          <t xml:space="preserve">
- HS 3,00 từ 01/5/2018
- HS 3,33 từ 01/5/2021</t>
        </r>
      </text>
    </comment>
    <comment ref="F192" authorId="1" shapeId="0" xr:uid="{00000000-0006-0000-0000-0000D7000000}">
      <text>
        <r>
          <rPr>
            <b/>
            <sz val="9"/>
            <color indexed="81"/>
            <rFont val="Tahoma"/>
            <family val="2"/>
          </rPr>
          <t>Admin:</t>
        </r>
        <r>
          <rPr>
            <sz val="9"/>
            <color indexed="81"/>
            <rFont val="Tahoma"/>
            <family val="2"/>
          </rPr>
          <t xml:space="preserve">
- 3,33 từ 01/10/2016
- 3,66 từ 01/10/2019
- 3,99 từ 01/10/2021 (NL trước hạn)</t>
        </r>
      </text>
    </comment>
    <comment ref="I192" authorId="7" shapeId="0" xr:uid="{00000000-0006-0000-0000-0000D8000000}">
      <text>
        <r>
          <rPr>
            <b/>
            <sz val="9"/>
            <color indexed="81"/>
            <rFont val="Tahoma"/>
            <family val="2"/>
          </rPr>
          <t>huynh-panda:</t>
        </r>
        <r>
          <rPr>
            <sz val="9"/>
            <color indexed="81"/>
            <rFont val="Tahoma"/>
            <family val="2"/>
          </rPr>
          <t xml:space="preserve">
Phụ trách BM Khoa học máy tính từ 06/7/2022</t>
        </r>
      </text>
    </comment>
    <comment ref="F193" authorId="1" shapeId="0" xr:uid="{00000000-0006-0000-0000-0000D9000000}">
      <text>
        <r>
          <rPr>
            <b/>
            <sz val="9"/>
            <color indexed="81"/>
            <rFont val="Tahoma"/>
            <family val="2"/>
          </rPr>
          <t>Admin:</t>
        </r>
        <r>
          <rPr>
            <sz val="9"/>
            <color indexed="81"/>
            <rFont val="Tahoma"/>
            <family val="2"/>
          </rPr>
          <t xml:space="preserve">
- HS 2,67 từ 01/9/2016
- HS 3,00 từ 01/9/2019
- HS 3,33 từ 01/9/2021 (NL trước hạn)</t>
        </r>
      </text>
    </comment>
    <comment ref="F194" authorId="1" shapeId="0" xr:uid="{00000000-0006-0000-0000-0000DA000000}">
      <text>
        <r>
          <rPr>
            <b/>
            <sz val="9"/>
            <color indexed="81"/>
            <rFont val="Tahoma"/>
            <family val="2"/>
          </rPr>
          <t>Admin:</t>
        </r>
        <r>
          <rPr>
            <sz val="9"/>
            <color indexed="81"/>
            <rFont val="Tahoma"/>
            <family val="2"/>
          </rPr>
          <t xml:space="preserve">
- HS 3,33 từ 01/9/2016
- HS 3,66 từ 01/9/2018 (NL trước hạn)
- HS 3,99 từ 01/9/2021</t>
        </r>
      </text>
    </comment>
    <comment ref="I194" authorId="0" shapeId="0" xr:uid="{00000000-0006-0000-0000-0000DB000000}">
      <text>
        <r>
          <rPr>
            <b/>
            <sz val="9"/>
            <color indexed="81"/>
            <rFont val="Tahoma"/>
            <family val="2"/>
          </rPr>
          <t>User:</t>
        </r>
        <r>
          <rPr>
            <sz val="9"/>
            <color indexed="81"/>
            <rFont val="Tahoma"/>
            <family val="2"/>
          </rPr>
          <t xml:space="preserve">
+ HS 0,45 được bảo lưu đến hết 31/12/2015</t>
        </r>
      </text>
    </comment>
    <comment ref="F195" authorId="1" shapeId="0" xr:uid="{00000000-0006-0000-0000-0000DC000000}">
      <text>
        <r>
          <rPr>
            <b/>
            <sz val="9"/>
            <color indexed="81"/>
            <rFont val="Tahoma"/>
            <family val="2"/>
          </rPr>
          <t>Admin:</t>
        </r>
        <r>
          <rPr>
            <sz val="9"/>
            <color indexed="81"/>
            <rFont val="Tahoma"/>
            <family val="2"/>
          </rPr>
          <t xml:space="preserve">
- 3,00 từ 01/9/2016
- HS 3,33 từ 01/9/2019
- HS 3,66 từ 01/9/2021 (NL trước hạn)</t>
        </r>
      </text>
    </comment>
    <comment ref="K195" authorId="2" shapeId="0" xr:uid="{00000000-0006-0000-0000-0000DD000000}">
      <text>
        <r>
          <rPr>
            <b/>
            <sz val="9"/>
            <color indexed="81"/>
            <rFont val="Tahoma"/>
            <family val="2"/>
          </rPr>
          <t>user:</t>
        </r>
        <r>
          <rPr>
            <sz val="9"/>
            <color indexed="81"/>
            <rFont val="Tahoma"/>
            <family val="2"/>
          </rPr>
          <t xml:space="preserve">
- Bảo lưu HS PCCV đến hết 31/3/2020</t>
        </r>
      </text>
    </comment>
    <comment ref="F196" authorId="1" shapeId="0" xr:uid="{00000000-0006-0000-0000-0000DE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6" authorId="7" shapeId="0" xr:uid="{00000000-0006-0000-0000-0000DF000000}">
      <text>
        <r>
          <rPr>
            <b/>
            <sz val="9"/>
            <color indexed="81"/>
            <rFont val="Tahoma"/>
            <family val="2"/>
          </rPr>
          <t>huynh-panda:</t>
        </r>
        <r>
          <rPr>
            <sz val="9"/>
            <color indexed="81"/>
            <rFont val="Tahoma"/>
            <family val="2"/>
          </rPr>
          <t xml:space="preserve">
- Phụ trách BM Công nghệ phần mềm từ 05/7/2022</t>
        </r>
      </text>
    </comment>
    <comment ref="F197" authorId="1" shapeId="0" xr:uid="{00000000-0006-0000-0000-0000E0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200" authorId="1" shapeId="0" xr:uid="{00000000-0006-0000-0000-0000E1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0" shapeId="0" xr:uid="{00000000-0006-0000-0000-0000E2000000}">
      <text>
        <r>
          <rPr>
            <b/>
            <sz val="9"/>
            <color indexed="81"/>
            <rFont val="Tahoma"/>
            <family val="2"/>
          </rPr>
          <t>User:</t>
        </r>
        <r>
          <rPr>
            <sz val="9"/>
            <color indexed="81"/>
            <rFont val="Tahoma"/>
            <family val="2"/>
          </rPr>
          <t xml:space="preserve">
- QĐ Bổ nhiệm trưởng khoa từ 01/2/2016</t>
        </r>
      </text>
    </comment>
    <comment ref="F201" authorId="1" shapeId="0" xr:uid="{00000000-0006-0000-0000-0000E3000000}">
      <text>
        <r>
          <rPr>
            <b/>
            <sz val="9"/>
            <color indexed="81"/>
            <rFont val="Tahoma"/>
            <family val="2"/>
          </rPr>
          <t>Admin:</t>
        </r>
        <r>
          <rPr>
            <sz val="9"/>
            <color indexed="81"/>
            <rFont val="Tahoma"/>
            <family val="2"/>
          </rPr>
          <t xml:space="preserve">
- HS 4,65 từ 01/12/2015
- HS 4,98 từ 01/12/2018</t>
        </r>
      </text>
    </comment>
    <comment ref="G201" authorId="2" shapeId="0" xr:uid="{00000000-0006-0000-0000-0000E4000000}">
      <text>
        <r>
          <rPr>
            <b/>
            <sz val="9"/>
            <color indexed="81"/>
            <rFont val="Tahoma"/>
            <family val="2"/>
          </rPr>
          <t>user:</t>
        </r>
        <r>
          <rPr>
            <sz val="9"/>
            <color indexed="81"/>
            <rFont val="Tahoma"/>
            <family val="2"/>
          </rPr>
          <t xml:space="preserve">
- VK 5% từ 01/12/2021
- VK 6% từ 01/12/2022
- VK 7% từ 01/12/2023</t>
        </r>
      </text>
    </comment>
    <comment ref="F202" authorId="1" shapeId="0" xr:uid="{00000000-0006-0000-0000-0000E5000000}">
      <text>
        <r>
          <rPr>
            <b/>
            <sz val="9"/>
            <color indexed="81"/>
            <rFont val="Tahoma"/>
            <family val="2"/>
          </rPr>
          <t>Admin:</t>
        </r>
        <r>
          <rPr>
            <sz val="9"/>
            <color indexed="81"/>
            <rFont val="Tahoma"/>
            <family val="2"/>
          </rPr>
          <t xml:space="preserve">
- HS 4,65 từ 01/9/2015
- HS 4,98 từ 01/9/2018</t>
        </r>
      </text>
    </comment>
    <comment ref="G202" authorId="2" shapeId="0" xr:uid="{00000000-0006-0000-0000-0000E6000000}">
      <text>
        <r>
          <rPr>
            <b/>
            <sz val="9"/>
            <color indexed="81"/>
            <rFont val="Tahoma"/>
            <family val="2"/>
          </rPr>
          <t>user:</t>
        </r>
        <r>
          <rPr>
            <sz val="9"/>
            <color indexed="81"/>
            <rFont val="Tahoma"/>
            <family val="2"/>
          </rPr>
          <t xml:space="preserve">
- VK 5% từ 01/9/2021
- VK 6% từ 01/9/2022
- VK 7% từ 01/9/2023</t>
        </r>
      </text>
    </comment>
    <comment ref="F203" authorId="1" shapeId="0" xr:uid="{00000000-0006-0000-0000-0000E7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4" authorId="0" shapeId="0" xr:uid="{00000000-0006-0000-0000-0000E8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5" authorId="1" shapeId="0" xr:uid="{00000000-0006-0000-0000-0000E9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5" authorId="1" shapeId="0" xr:uid="{00000000-0006-0000-0000-0000EA000000}">
      <text>
        <r>
          <rPr>
            <b/>
            <sz val="9"/>
            <color indexed="81"/>
            <rFont val="Tahoma"/>
            <family val="2"/>
          </rPr>
          <t>Admin:</t>
        </r>
        <r>
          <rPr>
            <sz val="9"/>
            <color indexed="81"/>
            <rFont val="Tahoma"/>
            <family val="2"/>
          </rPr>
          <t xml:space="preserve">
QĐ BN Trưởng BM từ 15/5/2016
</t>
        </r>
      </text>
    </comment>
    <comment ref="F206" authorId="1" shapeId="0" xr:uid="{00000000-0006-0000-0000-0000EB000000}">
      <text>
        <r>
          <rPr>
            <b/>
            <sz val="9"/>
            <color indexed="81"/>
            <rFont val="Tahoma"/>
            <family val="2"/>
          </rPr>
          <t>Admin:</t>
        </r>
        <r>
          <rPr>
            <sz val="9"/>
            <color indexed="81"/>
            <rFont val="Tahoma"/>
            <family val="2"/>
          </rPr>
          <t xml:space="preserve">
- HS 4,65 từ 01/9/2016 (NL Trước hạn năm 2017)
- HS 4,98 từ 01/9/2019</t>
        </r>
      </text>
    </comment>
    <comment ref="G206" authorId="7" shapeId="0" xr:uid="{00000000-0006-0000-0000-0000EC000000}">
      <text>
        <r>
          <rPr>
            <b/>
            <sz val="9"/>
            <color indexed="81"/>
            <rFont val="Tahoma"/>
            <family val="2"/>
          </rPr>
          <t>huynh-panda:</t>
        </r>
        <r>
          <rPr>
            <sz val="9"/>
            <color indexed="81"/>
            <rFont val="Tahoma"/>
            <family val="2"/>
          </rPr>
          <t xml:space="preserve">
- VK 5% từ 01/9/2022
- VK 6% từ 01/9/2023</t>
        </r>
      </text>
    </comment>
    <comment ref="I206" authorId="1" shapeId="0" xr:uid="{00000000-0006-0000-0000-0000ED000000}">
      <text>
        <r>
          <rPr>
            <sz val="9"/>
            <color indexed="81"/>
            <rFont val="Tahoma"/>
            <family val="2"/>
          </rPr>
          <t>QĐ phụ trách từ 01/12/2017</t>
        </r>
      </text>
    </comment>
    <comment ref="F207" authorId="1" shapeId="0" xr:uid="{00000000-0006-0000-0000-0000EE000000}">
      <text>
        <r>
          <rPr>
            <b/>
            <sz val="9"/>
            <color indexed="81"/>
            <rFont val="Tahoma"/>
            <family val="2"/>
          </rPr>
          <t>Admin:</t>
        </r>
        <r>
          <rPr>
            <sz val="9"/>
            <color indexed="81"/>
            <rFont val="Tahoma"/>
            <family val="2"/>
          </rPr>
          <t xml:space="preserve">
- HS 3,33 từ 01/9/2017
- HS 3,66 từ 01/9/2020
- HS 3,99 từ 01/9/2023</t>
        </r>
      </text>
    </comment>
    <comment ref="F208" authorId="1" shapeId="0" xr:uid="{00000000-0006-0000-0000-0000EF000000}">
      <text>
        <r>
          <rPr>
            <b/>
            <sz val="9"/>
            <color indexed="81"/>
            <rFont val="Tahoma"/>
            <family val="2"/>
          </rPr>
          <t>Admin:</t>
        </r>
        <r>
          <rPr>
            <sz val="9"/>
            <color indexed="81"/>
            <rFont val="Tahoma"/>
            <family val="2"/>
          </rPr>
          <t xml:space="preserve">
- HS 4,65 từ 01/9/2017
- HS 4,98 từ 01/9/2020</t>
        </r>
      </text>
    </comment>
    <comment ref="G208" authorId="3" shapeId="0" xr:uid="{00000000-0006-0000-0000-0000F0000000}">
      <text>
        <r>
          <rPr>
            <b/>
            <sz val="9"/>
            <color indexed="81"/>
            <rFont val="Tahoma"/>
            <family val="2"/>
          </rPr>
          <t>Windows User:</t>
        </r>
        <r>
          <rPr>
            <sz val="9"/>
            <color indexed="81"/>
            <rFont val="Tahoma"/>
            <family val="2"/>
          </rPr>
          <t xml:space="preserve">
- VK 5% từ 01/9/2023</t>
        </r>
      </text>
    </comment>
    <comment ref="F209" authorId="0" shapeId="0" xr:uid="{00000000-0006-0000-0000-0000F1000000}">
      <text>
        <r>
          <rPr>
            <b/>
            <sz val="9"/>
            <color indexed="81"/>
            <rFont val="Tahoma"/>
            <family val="2"/>
          </rPr>
          <t>User:</t>
        </r>
        <r>
          <rPr>
            <sz val="9"/>
            <color indexed="81"/>
            <rFont val="Tahoma"/>
            <family val="2"/>
          </rPr>
          <t xml:space="preserve">
- HS 3,00 từ 01/9/2015
- HS 3,33 từ 01/9/2018
- HS 3,66 từ 01/9/2021</t>
        </r>
      </text>
    </comment>
    <comment ref="I209" authorId="6" shapeId="0" xr:uid="{00000000-0006-0000-0000-0000F2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10" authorId="0" shapeId="0" xr:uid="{00000000-0006-0000-0000-0000F3000000}">
      <text>
        <r>
          <rPr>
            <b/>
            <sz val="9"/>
            <color indexed="81"/>
            <rFont val="Tahoma"/>
            <family val="2"/>
          </rPr>
          <t>User:</t>
        </r>
        <r>
          <rPr>
            <sz val="9"/>
            <color indexed="81"/>
            <rFont val="Tahoma"/>
            <family val="2"/>
          </rPr>
          <t xml:space="preserve">
- HS 3,00 từ 01/9/2015
- HS 3,33 từ 01/9/2018
- HS 3,66 từ 01/9/2021</t>
        </r>
      </text>
    </comment>
    <comment ref="F211" authorId="1" shapeId="0" xr:uid="{00000000-0006-0000-0000-0000F4000000}">
      <text>
        <r>
          <rPr>
            <b/>
            <sz val="9"/>
            <color indexed="81"/>
            <rFont val="Tahoma"/>
            <family val="2"/>
          </rPr>
          <t>Admin:</t>
        </r>
        <r>
          <rPr>
            <sz val="9"/>
            <color indexed="81"/>
            <rFont val="Tahoma"/>
            <family val="2"/>
          </rPr>
          <t xml:space="preserve">
- HS 3,00 từ 01/9/2016
- HS 3,33 từ 01/9/2019
- HS 3,66 từ 01/9/2022</t>
        </r>
      </text>
    </comment>
    <comment ref="F212" authorId="1" shapeId="0" xr:uid="{00000000-0006-0000-0000-0000F5000000}">
      <text>
        <r>
          <rPr>
            <b/>
            <sz val="9"/>
            <color indexed="81"/>
            <rFont val="Tahoma"/>
            <family val="2"/>
          </rPr>
          <t>Admin:</t>
        </r>
        <r>
          <rPr>
            <sz val="9"/>
            <color indexed="81"/>
            <rFont val="Tahoma"/>
            <family val="2"/>
          </rPr>
          <t xml:space="preserve">
- HS 3,00 từ 01/9/2016
- HS 3,33 từ 01/9/2019
- HS 3,66 từ 01/9/2022</t>
        </r>
      </text>
    </comment>
    <comment ref="F213" authorId="1" shapeId="0" xr:uid="{00000000-0006-0000-0000-0000F6000000}">
      <text>
        <r>
          <rPr>
            <b/>
            <sz val="9"/>
            <color indexed="81"/>
            <rFont val="Tahoma"/>
            <family val="2"/>
          </rPr>
          <t>Admin:</t>
        </r>
        <r>
          <rPr>
            <sz val="9"/>
            <color indexed="81"/>
            <rFont val="Tahoma"/>
            <family val="2"/>
          </rPr>
          <t xml:space="preserve">
- HS 3,00 từ 01/9/2016
- HS 3,33 từ 01/9/2019
- HS 3,66 từ 01/9/2022</t>
        </r>
      </text>
    </comment>
    <comment ref="F214" authorId="1" shapeId="0" xr:uid="{00000000-0006-0000-0000-0000F7000000}">
      <text>
        <r>
          <rPr>
            <b/>
            <sz val="9"/>
            <color indexed="81"/>
            <rFont val="Tahoma"/>
            <family val="2"/>
          </rPr>
          <t>Admin:</t>
        </r>
        <r>
          <rPr>
            <sz val="9"/>
            <color indexed="81"/>
            <rFont val="Tahoma"/>
            <family val="2"/>
          </rPr>
          <t xml:space="preserve">
- HS 3,00 từ 01/9/2017
- HS 3,33 từ 01/9/2020
- HS 3,66 từ 01/9/2023</t>
        </r>
      </text>
    </comment>
    <comment ref="I214" authorId="0" shapeId="0" xr:uid="{00000000-0006-0000-0000-0000F8000000}">
      <text>
        <r>
          <rPr>
            <b/>
            <sz val="9"/>
            <color indexed="81"/>
            <rFont val="Tahoma"/>
            <family val="2"/>
          </rPr>
          <t>User:</t>
        </r>
        <r>
          <rPr>
            <sz val="9"/>
            <color indexed="81"/>
            <rFont val="Tahoma"/>
            <family val="2"/>
          </rPr>
          <t xml:space="preserve">
BN Trưởng BM Cơ sở Cơ khí từ 01/09/2015</t>
        </r>
      </text>
    </comment>
    <comment ref="K214" authorId="1" shapeId="0" xr:uid="{00000000-0006-0000-0000-0000F9000000}">
      <text>
        <r>
          <rPr>
            <b/>
            <sz val="9"/>
            <color indexed="81"/>
            <rFont val="Tahoma"/>
            <family val="2"/>
          </rPr>
          <t>Admin:</t>
        </r>
        <r>
          <rPr>
            <sz val="9"/>
            <color indexed="81"/>
            <rFont val="Tahoma"/>
            <family val="2"/>
          </rPr>
          <t xml:space="preserve">
- Bảo lưu HSPC chức vụ đến hết T5/2018</t>
        </r>
      </text>
    </comment>
    <comment ref="F215" authorId="1" shapeId="0" xr:uid="{00000000-0006-0000-0000-0000FA000000}">
      <text>
        <r>
          <rPr>
            <b/>
            <sz val="9"/>
            <color indexed="81"/>
            <rFont val="Tahoma"/>
            <family val="2"/>
          </rPr>
          <t>Admin:</t>
        </r>
        <r>
          <rPr>
            <sz val="9"/>
            <color indexed="81"/>
            <rFont val="Tahoma"/>
            <family val="2"/>
          </rPr>
          <t xml:space="preserve">
- HS 2,67 từ 01/9/2016
- HS 3,00 từ 01/9/2019
- HS 3,33 từ 01/9/2021 (NL trước hạn)</t>
        </r>
      </text>
    </comment>
    <comment ref="I215" authorId="0" shapeId="0" xr:uid="{00000000-0006-0000-0000-0000FB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6" authorId="1" shapeId="0" xr:uid="{00000000-0006-0000-0000-0000FC000000}">
      <text>
        <r>
          <rPr>
            <b/>
            <sz val="9"/>
            <color indexed="81"/>
            <rFont val="Tahoma"/>
            <family val="2"/>
          </rPr>
          <t>Admin:</t>
        </r>
        <r>
          <rPr>
            <sz val="9"/>
            <color indexed="81"/>
            <rFont val="Tahoma"/>
            <family val="2"/>
          </rPr>
          <t xml:space="preserve">
- HS 3,00 từ 01/10/2016
- HS 3,33 từ 01/10/2019
- HS 3,66 từ 01/10/2022</t>
        </r>
      </text>
    </comment>
    <comment ref="F217" authorId="1" shapeId="0" xr:uid="{00000000-0006-0000-0000-0000FD000000}">
      <text>
        <r>
          <rPr>
            <b/>
            <sz val="9"/>
            <color indexed="81"/>
            <rFont val="Tahoma"/>
            <family val="2"/>
          </rPr>
          <t>Admin:</t>
        </r>
        <r>
          <rPr>
            <sz val="9"/>
            <color indexed="81"/>
            <rFont val="Tahoma"/>
            <family val="2"/>
          </rPr>
          <t xml:space="preserve">
- HS 2,67 từ 01/10/2016
- HS 3,00 từ 01/10/2019
- HS 3,33 từ 01/10/2022</t>
        </r>
      </text>
    </comment>
    <comment ref="F218" authorId="0" shapeId="0" xr:uid="{00000000-0006-0000-0000-0000FE000000}">
      <text>
        <r>
          <rPr>
            <b/>
            <sz val="9"/>
            <color indexed="81"/>
            <rFont val="Tahoma"/>
            <family val="2"/>
          </rPr>
          <t>User:</t>
        </r>
        <r>
          <rPr>
            <sz val="9"/>
            <color indexed="81"/>
            <rFont val="Tahoma"/>
            <family val="2"/>
          </rPr>
          <t xml:space="preserve">
- HS 4,65 từ 01/9/2015
- HS 4,98 từ 01/9/2018</t>
        </r>
      </text>
    </comment>
    <comment ref="G218" authorId="2" shapeId="0" xr:uid="{00000000-0006-0000-0000-0000FF000000}">
      <text>
        <r>
          <rPr>
            <b/>
            <sz val="9"/>
            <color indexed="81"/>
            <rFont val="Tahoma"/>
            <family val="2"/>
          </rPr>
          <t>user:</t>
        </r>
        <r>
          <rPr>
            <sz val="9"/>
            <color indexed="81"/>
            <rFont val="Tahoma"/>
            <family val="2"/>
          </rPr>
          <t xml:space="preserve">
- VK 5% từ 01/9/2021
- VK 6% từ 01/9/2022
- VK 7% từ 01/9/2023</t>
        </r>
      </text>
    </comment>
    <comment ref="F219" authorId="0" shapeId="0" xr:uid="{00000000-0006-0000-0000-000000010000}">
      <text>
        <r>
          <rPr>
            <b/>
            <sz val="9"/>
            <color indexed="81"/>
            <rFont val="Tahoma"/>
            <family val="2"/>
          </rPr>
          <t>User:</t>
        </r>
        <r>
          <rPr>
            <sz val="9"/>
            <color indexed="81"/>
            <rFont val="Tahoma"/>
            <family val="2"/>
          </rPr>
          <t xml:space="preserve">
- HS 4,89 từ 1/5/2014</t>
        </r>
      </text>
    </comment>
    <comment ref="G219" authorId="1" shapeId="0" xr:uid="{00000000-0006-0000-0000-000001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9" authorId="0" shapeId="0" xr:uid="{00000000-0006-0000-0000-000002010000}">
      <text>
        <r>
          <rPr>
            <b/>
            <sz val="9"/>
            <color indexed="81"/>
            <rFont val="Tahoma"/>
            <family val="2"/>
          </rPr>
          <t>User:</t>
        </r>
        <r>
          <rPr>
            <sz val="9"/>
            <color indexed="81"/>
            <rFont val="Tahoma"/>
            <family val="2"/>
          </rPr>
          <t xml:space="preserve">
- Hết bảo lưu hệ số PCCV từ 01/11/2015</t>
        </r>
      </text>
    </comment>
    <comment ref="F220" authorId="0" shapeId="0" xr:uid="{00000000-0006-0000-0000-000003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21" authorId="2" shapeId="0" xr:uid="{00000000-0006-0000-0000-000004010000}">
      <text>
        <r>
          <rPr>
            <b/>
            <sz val="9"/>
            <color indexed="81"/>
            <rFont val="Tahoma"/>
            <family val="2"/>
          </rPr>
          <t>user:</t>
        </r>
        <r>
          <rPr>
            <sz val="9"/>
            <color indexed="81"/>
            <rFont val="Tahoma"/>
            <family val="2"/>
          </rPr>
          <t xml:space="preserve">
- BN CDNN từ 01/4/2019 (HS 2.67)
- HS 3,00 từ 01/4/2022</t>
        </r>
      </text>
    </comment>
    <comment ref="F222" authorId="2" shapeId="0" xr:uid="{00000000-0006-0000-0000-000005010000}">
      <text>
        <r>
          <rPr>
            <b/>
            <sz val="9"/>
            <color indexed="81"/>
            <rFont val="Tahoma"/>
            <family val="2"/>
          </rPr>
          <t>user:</t>
        </r>
        <r>
          <rPr>
            <sz val="9"/>
            <color indexed="81"/>
            <rFont val="Tahoma"/>
            <family val="2"/>
          </rPr>
          <t xml:space="preserve">
- HS 2,67 từ 01/10/2019
- HS 3,00 từ 01/10/2022</t>
        </r>
      </text>
    </comment>
    <comment ref="G223" authorId="1" shapeId="0" xr:uid="{00000000-0006-0000-0000-000006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24" authorId="4" shapeId="0" xr:uid="{00000000-0006-0000-0000-000007010000}">
      <text>
        <r>
          <rPr>
            <b/>
            <sz val="9"/>
            <color indexed="81"/>
            <rFont val="Tahoma"/>
            <family val="2"/>
          </rPr>
          <t>Quynh:</t>
        </r>
        <r>
          <rPr>
            <sz val="9"/>
            <color indexed="81"/>
            <rFont val="Tahoma"/>
            <family val="2"/>
          </rPr>
          <t xml:space="preserve">
- Tuyển dụng từ 01/4/2019
- HS 2,34 từ 01/04/2020
- HS 2,67 từ 01/4/2022</t>
        </r>
      </text>
    </comment>
    <comment ref="F225" authorId="2" shapeId="0" xr:uid="{00000000-0006-0000-0000-000008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6" authorId="2" shapeId="0" xr:uid="{00000000-0006-0000-0000-000009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7" authorId="3" shapeId="0" xr:uid="{00000000-0006-0000-0000-00000A010000}">
      <text>
        <r>
          <rPr>
            <b/>
            <sz val="9"/>
            <color indexed="81"/>
            <rFont val="Tahoma"/>
            <family val="2"/>
          </rPr>
          <t>Windows User:</t>
        </r>
        <r>
          <rPr>
            <sz val="9"/>
            <color indexed="81"/>
            <rFont val="Tahoma"/>
            <family val="2"/>
          </rPr>
          <t xml:space="preserve">
- Tuyển dụng từ T10/2022
- HS 2,67 từ 01/10/2022</t>
        </r>
      </text>
    </comment>
    <comment ref="F228" authorId="1" shapeId="0" xr:uid="{00000000-0006-0000-0000-00000B010000}">
      <text>
        <r>
          <rPr>
            <b/>
            <sz val="9"/>
            <color indexed="81"/>
            <rFont val="Tahoma"/>
            <family val="2"/>
          </rPr>
          <t>Admin:</t>
        </r>
        <r>
          <rPr>
            <sz val="9"/>
            <color indexed="81"/>
            <rFont val="Tahoma"/>
            <family val="2"/>
          </rPr>
          <t xml:space="preserve">
- HS 4.65 từ 01/01/2016
- HS 4,98 từ 01/01/2019</t>
        </r>
      </text>
    </comment>
    <comment ref="G228" authorId="2" shapeId="0" xr:uid="{00000000-0006-0000-0000-00000C010000}">
      <text>
        <r>
          <rPr>
            <b/>
            <sz val="9"/>
            <color indexed="81"/>
            <rFont val="Tahoma"/>
            <family val="2"/>
          </rPr>
          <t>user:</t>
        </r>
        <r>
          <rPr>
            <sz val="9"/>
            <color indexed="81"/>
            <rFont val="Tahoma"/>
            <family val="2"/>
          </rPr>
          <t xml:space="preserve">
- VK 5% từ 01/01/2022
- VK 6% từ 01/01/2023
- VK 7% từ 01/01/2023</t>
        </r>
      </text>
    </comment>
    <comment ref="I228" authorId="4" shapeId="0" xr:uid="{00000000-0006-0000-0000-00000D010000}">
      <text>
        <r>
          <rPr>
            <b/>
            <sz val="9"/>
            <color indexed="81"/>
            <rFont val="Tahoma"/>
            <family val="2"/>
          </rPr>
          <t>Quynh:</t>
        </r>
        <r>
          <rPr>
            <sz val="9"/>
            <color indexed="81"/>
            <rFont val="Tahoma"/>
            <family val="2"/>
          </rPr>
          <t xml:space="preserve">
- BN Phó Trưởng phòng từ 01/01/2019</t>
        </r>
      </text>
    </comment>
    <comment ref="F229" authorId="0" shapeId="0" xr:uid="{00000000-0006-0000-0000-00000E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9" authorId="6" shapeId="0" xr:uid="{00000000-0006-0000-0000-00000F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30" authorId="0" shapeId="0" xr:uid="{00000000-0006-0000-0000-000010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30" authorId="5" shapeId="0" xr:uid="{00000000-0006-0000-0000-000011010000}">
      <text>
        <r>
          <rPr>
            <b/>
            <sz val="8"/>
            <color indexed="81"/>
            <rFont val="Tahoma"/>
            <family val="2"/>
          </rPr>
          <t>HS 0,35 từ 05/7/2015</t>
        </r>
        <r>
          <rPr>
            <sz val="8"/>
            <color indexed="81"/>
            <rFont val="Tahoma"/>
            <family val="2"/>
          </rPr>
          <t xml:space="preserve">
</t>
        </r>
      </text>
    </comment>
    <comment ref="F231" authorId="1" shapeId="0" xr:uid="{00000000-0006-0000-0000-000012010000}">
      <text>
        <r>
          <rPr>
            <b/>
            <sz val="9"/>
            <color indexed="81"/>
            <rFont val="Tahoma"/>
            <family val="2"/>
          </rPr>
          <t>Admin:</t>
        </r>
        <r>
          <rPr>
            <sz val="9"/>
            <color indexed="81"/>
            <rFont val="Tahoma"/>
            <family val="2"/>
          </rPr>
          <t xml:space="preserve">
- 4,65 từ 01/9/2016
- 4,98 từ 01/9/2019</t>
        </r>
      </text>
    </comment>
    <comment ref="G231" authorId="7" shapeId="0" xr:uid="{00000000-0006-0000-0000-000013010000}">
      <text>
        <r>
          <rPr>
            <b/>
            <sz val="9"/>
            <color indexed="81"/>
            <rFont val="Tahoma"/>
            <family val="2"/>
          </rPr>
          <t>huynh-panda:</t>
        </r>
        <r>
          <rPr>
            <sz val="9"/>
            <color indexed="81"/>
            <rFont val="Tahoma"/>
            <family val="2"/>
          </rPr>
          <t xml:space="preserve">
- VK 5% từ 01/9/2022
- VK 6% từ 01/9/2023</t>
        </r>
      </text>
    </comment>
    <comment ref="F232" authorId="1" shapeId="0" xr:uid="{00000000-0006-0000-0000-000014010000}">
      <text>
        <r>
          <rPr>
            <b/>
            <sz val="9"/>
            <color indexed="81"/>
            <rFont val="Tahoma"/>
            <family val="2"/>
          </rPr>
          <t>Admin:</t>
        </r>
        <r>
          <rPr>
            <sz val="9"/>
            <color indexed="81"/>
            <rFont val="Tahoma"/>
            <family val="2"/>
          </rPr>
          <t xml:space="preserve">
- HS 4,65 từ 01/10/2016 (NL Trước hạn 2017)
- HS 4,98 từ 01/10/2019</t>
        </r>
      </text>
    </comment>
    <comment ref="G232" authorId="3" shapeId="0" xr:uid="{00000000-0006-0000-0000-000015010000}">
      <text>
        <r>
          <rPr>
            <b/>
            <sz val="9"/>
            <color indexed="81"/>
            <rFont val="Tahoma"/>
            <family val="2"/>
          </rPr>
          <t>Windows User:</t>
        </r>
        <r>
          <rPr>
            <sz val="9"/>
            <color indexed="81"/>
            <rFont val="Tahoma"/>
            <family val="2"/>
          </rPr>
          <t xml:space="preserve">
- VK 5% từ 01/10/2022
- VK 6% từ 01/10/2023</t>
        </r>
      </text>
    </comment>
    <comment ref="F233" authorId="1" shapeId="0" xr:uid="{00000000-0006-0000-0000-000016010000}">
      <text>
        <r>
          <rPr>
            <b/>
            <sz val="9"/>
            <color indexed="81"/>
            <rFont val="Tahoma"/>
            <family val="2"/>
          </rPr>
          <t>Admin:</t>
        </r>
        <r>
          <rPr>
            <sz val="9"/>
            <color indexed="81"/>
            <rFont val="Tahoma"/>
            <family val="2"/>
          </rPr>
          <t xml:space="preserve">
- HS 3,99 từ 01/9/2015
- HS 4,32 từ 01/9/2018
- HS 4,65 từ 01/9/2021
</t>
        </r>
      </text>
    </comment>
    <comment ref="I233" authorId="0" shapeId="0" xr:uid="{00000000-0006-0000-0000-000017010000}">
      <text>
        <r>
          <rPr>
            <b/>
            <sz val="9"/>
            <color indexed="81"/>
            <rFont val="Tahoma"/>
            <family val="2"/>
          </rPr>
          <t>User:</t>
        </r>
        <r>
          <rPr>
            <sz val="9"/>
            <color indexed="81"/>
            <rFont val="Tahoma"/>
            <family val="2"/>
          </rPr>
          <t xml:space="preserve">
Mieễn nhiệm Trưởng BM từ 01/9/2015. Bảo lưu HHS hết T02/2016</t>
        </r>
      </text>
    </comment>
    <comment ref="F234" authorId="1" shapeId="0" xr:uid="{00000000-0006-0000-0000-000018010000}">
      <text>
        <r>
          <rPr>
            <b/>
            <sz val="9"/>
            <color indexed="81"/>
            <rFont val="Tahoma"/>
            <family val="2"/>
          </rPr>
          <t>Admin:</t>
        </r>
        <r>
          <rPr>
            <sz val="9"/>
            <color indexed="81"/>
            <rFont val="Tahoma"/>
            <family val="2"/>
          </rPr>
          <t xml:space="preserve">
- HS 3,66 từ 01/9/2016
- HS 3,99 từ 01/9/2019
- HS 4,32 từ 01/9/2022</t>
        </r>
      </text>
    </comment>
    <comment ref="F235" authorId="0" shapeId="0" xr:uid="{00000000-0006-0000-0000-000019010000}">
      <text>
        <r>
          <rPr>
            <b/>
            <sz val="9"/>
            <color indexed="81"/>
            <rFont val="Tahoma"/>
            <family val="2"/>
          </rPr>
          <t>User:</t>
        </r>
        <r>
          <rPr>
            <sz val="9"/>
            <color indexed="81"/>
            <rFont val="Tahoma"/>
            <family val="2"/>
          </rPr>
          <t xml:space="preserve">
- HS 3,66 từ 01/9/2015
- HS 3,99 từ 01/9/2018
- HS 4,32 từ 01/9/2021</t>
        </r>
      </text>
    </comment>
    <comment ref="F236" authorId="1" shapeId="0" xr:uid="{00000000-0006-0000-0000-00001A010000}">
      <text>
        <r>
          <rPr>
            <b/>
            <sz val="9"/>
            <color indexed="81"/>
            <rFont val="Tahoma"/>
            <family val="2"/>
          </rPr>
          <t>Admin:</t>
        </r>
        <r>
          <rPr>
            <sz val="9"/>
            <color indexed="81"/>
            <rFont val="Tahoma"/>
            <family val="2"/>
          </rPr>
          <t xml:space="preserve">
- HS 2,67 từ 01/9/2016
- HS 3,00 từ 01/9/2019
- HS 3,33 từ 01/9/2021 (NL trước hạn)</t>
        </r>
      </text>
    </comment>
    <comment ref="I236" authorId="2" shapeId="0" xr:uid="{00000000-0006-0000-0000-00001B010000}">
      <text>
        <r>
          <rPr>
            <b/>
            <sz val="9"/>
            <color indexed="81"/>
            <rFont val="Tahoma"/>
            <family val="2"/>
          </rPr>
          <t>user:</t>
        </r>
        <r>
          <rPr>
            <sz val="9"/>
            <color indexed="81"/>
            <rFont val="Tahoma"/>
            <family val="2"/>
          </rPr>
          <t xml:space="preserve">
Trưởng BM Cơ điện tử và tự động hóa từ 01/01/2019</t>
        </r>
      </text>
    </comment>
    <comment ref="F237" authorId="1" shapeId="0" xr:uid="{00000000-0006-0000-0000-00001C010000}">
      <text>
        <r>
          <rPr>
            <b/>
            <sz val="9"/>
            <color indexed="81"/>
            <rFont val="Tahoma"/>
            <family val="2"/>
          </rPr>
          <t>Admin:</t>
        </r>
        <r>
          <rPr>
            <sz val="9"/>
            <color indexed="81"/>
            <rFont val="Tahoma"/>
            <family val="2"/>
          </rPr>
          <t xml:space="preserve">
- HS 3,66 từ 01/9/2016
- HS 3,99 từ 01/9/2019
- HS 4,32 từ 01/9/2022</t>
        </r>
      </text>
    </comment>
    <comment ref="F238" authorId="1" shapeId="0" xr:uid="{00000000-0006-0000-0000-00001D010000}">
      <text>
        <r>
          <rPr>
            <b/>
            <sz val="9"/>
            <color indexed="81"/>
            <rFont val="Tahoma"/>
            <family val="2"/>
          </rPr>
          <t>Admin:</t>
        </r>
        <r>
          <rPr>
            <sz val="9"/>
            <color indexed="81"/>
            <rFont val="Tahoma"/>
            <family val="2"/>
          </rPr>
          <t xml:space="preserve">
- HS 3,99 từ 01/9/2016
- HS 4,32 từ 01/9/2019
- HS 4,65 từ 01/9/2022</t>
        </r>
      </text>
    </comment>
    <comment ref="I238" authorId="0" shapeId="0" xr:uid="{00000000-0006-0000-0000-00001E010000}">
      <text>
        <r>
          <rPr>
            <b/>
            <sz val="9"/>
            <color indexed="81"/>
            <rFont val="Tahoma"/>
            <family val="2"/>
          </rPr>
          <t>User:</t>
        </r>
        <r>
          <rPr>
            <sz val="9"/>
            <color indexed="81"/>
            <rFont val="Tahoma"/>
            <family val="2"/>
          </rPr>
          <t xml:space="preserve">
Miễn nhiệm Trưởng BM. Bảo lưu HS hết T02/2015</t>
        </r>
      </text>
    </comment>
    <comment ref="F239" authorId="1" shapeId="0" xr:uid="{00000000-0006-0000-0000-00001F010000}">
      <text>
        <r>
          <rPr>
            <b/>
            <sz val="9"/>
            <color indexed="81"/>
            <rFont val="Tahoma"/>
            <family val="2"/>
          </rPr>
          <t>Admin:</t>
        </r>
        <r>
          <rPr>
            <sz val="9"/>
            <color indexed="81"/>
            <rFont val="Tahoma"/>
            <family val="2"/>
          </rPr>
          <t xml:space="preserve">
- HS 3,00 từ 01/9/2016
- HS 3,33 từ 01/9/2019
- HS 3,66 từ 01/9/2022</t>
        </r>
      </text>
    </comment>
    <comment ref="F240" authorId="0" shapeId="0" xr:uid="{00000000-0006-0000-0000-000020010000}">
      <text>
        <r>
          <rPr>
            <b/>
            <sz val="9"/>
            <color indexed="81"/>
            <rFont val="Tahoma"/>
            <family val="2"/>
          </rPr>
          <t>User:</t>
        </r>
        <r>
          <rPr>
            <sz val="9"/>
            <color indexed="81"/>
            <rFont val="Tahoma"/>
            <family val="2"/>
          </rPr>
          <t xml:space="preserve">
- HS 3,33 từ 01/9/2015
- HS 3,66 từ 01/9/2018
- HS 3,99 từ 01/9/2021</t>
        </r>
      </text>
    </comment>
    <comment ref="F241" authorId="1" shapeId="0" xr:uid="{00000000-0006-0000-0000-000021010000}">
      <text>
        <r>
          <rPr>
            <b/>
            <sz val="9"/>
            <color indexed="81"/>
            <rFont val="Tahoma"/>
            <family val="2"/>
          </rPr>
          <t>Admin:</t>
        </r>
        <r>
          <rPr>
            <sz val="9"/>
            <color indexed="81"/>
            <rFont val="Tahoma"/>
            <family val="2"/>
          </rPr>
          <t xml:space="preserve">
- HS 3,00 từ 01/9/2017
- HS 3,33 từ 01/9/2020
- HS 3,66 từ 01/9/2023</t>
        </r>
      </text>
    </comment>
    <comment ref="F242" authorId="1" shapeId="0" xr:uid="{00000000-0006-0000-0000-000022010000}">
      <text>
        <r>
          <rPr>
            <b/>
            <sz val="9"/>
            <color indexed="81"/>
            <rFont val="Tahoma"/>
            <family val="2"/>
          </rPr>
          <t>Admin:</t>
        </r>
        <r>
          <rPr>
            <sz val="9"/>
            <color indexed="81"/>
            <rFont val="Tahoma"/>
            <family val="2"/>
          </rPr>
          <t xml:space="preserve">
- HS 3,00 từ 01/9/2017
- HS 3,33 từ 01/9/2019
- HS 3,66 từ 01/9/2022</t>
        </r>
      </text>
    </comment>
    <comment ref="F243" authorId="0" shapeId="0" xr:uid="{00000000-0006-0000-0000-000023010000}">
      <text>
        <r>
          <rPr>
            <b/>
            <sz val="9"/>
            <color indexed="81"/>
            <rFont val="Tahoma"/>
            <family val="2"/>
          </rPr>
          <t>User:</t>
        </r>
        <r>
          <rPr>
            <sz val="9"/>
            <color indexed="81"/>
            <rFont val="Tahoma"/>
            <family val="2"/>
          </rPr>
          <t xml:space="preserve">
- HS 4,65 từ 01/5/2014
- HS 4,98 từ 01/5/2017</t>
        </r>
      </text>
    </comment>
    <comment ref="G243" authorId="2" shapeId="0" xr:uid="{00000000-0006-0000-0000-000024010000}">
      <text>
        <r>
          <rPr>
            <b/>
            <sz val="9"/>
            <color indexed="81"/>
            <rFont val="Tahoma"/>
            <family val="2"/>
          </rPr>
          <t>user:</t>
        </r>
        <r>
          <rPr>
            <sz val="9"/>
            <color indexed="81"/>
            <rFont val="Tahoma"/>
            <family val="2"/>
          </rPr>
          <t xml:space="preserve">
- 5% từ 01/5/2020
- 6% từ 01/5/2021
- 7% từ 01/5/2022
- 8% từ 01/5/2023</t>
        </r>
      </text>
    </comment>
    <comment ref="I243" authorId="2" shapeId="0" xr:uid="{00000000-0006-0000-0000-000025010000}">
      <text>
        <r>
          <rPr>
            <b/>
            <sz val="9"/>
            <color indexed="81"/>
            <rFont val="Tahoma"/>
            <family val="2"/>
          </rPr>
          <t>user:</t>
        </r>
        <r>
          <rPr>
            <sz val="9"/>
            <color indexed="81"/>
            <rFont val="Tahoma"/>
            <family val="2"/>
          </rPr>
          <t xml:space="preserve">
+ QĐ Bổ nhiệm Phó TK Điện - Điện tử từ 10/6/2019
</t>
        </r>
      </text>
    </comment>
    <comment ref="G244" authorId="1" shapeId="0" xr:uid="{00000000-0006-0000-0000-000026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5" authorId="0" shapeId="0" xr:uid="{00000000-0006-0000-0000-000027010000}">
      <text>
        <r>
          <rPr>
            <b/>
            <sz val="9"/>
            <color indexed="81"/>
            <rFont val="Tahoma"/>
            <family val="2"/>
          </rPr>
          <t>User:</t>
        </r>
        <r>
          <rPr>
            <sz val="9"/>
            <color indexed="81"/>
            <rFont val="Tahoma"/>
            <family val="2"/>
          </rPr>
          <t xml:space="preserve">
- HS 4,65 từ 01/5/2014
- HS 4,98 từ 01/5/2017</t>
        </r>
      </text>
    </comment>
    <comment ref="G245" authorId="2" shapeId="0" xr:uid="{00000000-0006-0000-0000-000028010000}">
      <text>
        <r>
          <rPr>
            <b/>
            <sz val="9"/>
            <color indexed="81"/>
            <rFont val="Tahoma"/>
            <family val="2"/>
          </rPr>
          <t>user:</t>
        </r>
        <r>
          <rPr>
            <sz val="9"/>
            <color indexed="81"/>
            <rFont val="Tahoma"/>
            <family val="2"/>
          </rPr>
          <t xml:space="preserve">
- 5% từ 01/5/2020
- 6% từ 01/5/2021
- 7% từ 01/5/2022
- 8% từ 01/5/2023</t>
        </r>
      </text>
    </comment>
    <comment ref="I245" authorId="0" shapeId="0" xr:uid="{00000000-0006-0000-0000-000029010000}">
      <text>
        <r>
          <rPr>
            <b/>
            <sz val="9"/>
            <color indexed="81"/>
            <rFont val="Tahoma"/>
            <family val="2"/>
          </rPr>
          <t>User:</t>
        </r>
        <r>
          <rPr>
            <sz val="9"/>
            <color indexed="81"/>
            <rFont val="Tahoma"/>
            <family val="2"/>
          </rPr>
          <t xml:space="preserve">
Miễn nhiện Phó Trưởng BM từ 01/9/15. Bảo lưu HS hết T2/2015</t>
        </r>
      </text>
    </comment>
    <comment ref="F246" authorId="0" shapeId="0" xr:uid="{00000000-0006-0000-0000-00002A010000}">
      <text>
        <r>
          <rPr>
            <b/>
            <sz val="9"/>
            <color indexed="81"/>
            <rFont val="Tahoma"/>
            <family val="2"/>
          </rPr>
          <t>User:</t>
        </r>
        <r>
          <rPr>
            <sz val="9"/>
            <color indexed="81"/>
            <rFont val="Tahoma"/>
            <family val="2"/>
          </rPr>
          <t xml:space="preserve">
- HS 3,66 từ 01/9/2015
- HS 3,99 từ 01/9/2018
- HS 4,32 từ 01/9/2021</t>
        </r>
      </text>
    </comment>
    <comment ref="F247" authorId="0" shapeId="0" xr:uid="{00000000-0006-0000-0000-00002B010000}">
      <text>
        <r>
          <rPr>
            <b/>
            <sz val="9"/>
            <color indexed="81"/>
            <rFont val="Tahoma"/>
            <family val="2"/>
          </rPr>
          <t>User:</t>
        </r>
        <r>
          <rPr>
            <sz val="9"/>
            <color indexed="81"/>
            <rFont val="Tahoma"/>
            <family val="2"/>
          </rPr>
          <t xml:space="preserve">
- HS 3,66 từ 01/9/2015
- HS 3,99 từ 01/9/2018
- HS 4,32 từ 01/9/2021</t>
        </r>
      </text>
    </comment>
    <comment ref="I247" authorId="0" shapeId="0" xr:uid="{00000000-0006-0000-0000-00002C010000}">
      <text>
        <r>
          <rPr>
            <b/>
            <sz val="9"/>
            <color indexed="81"/>
            <rFont val="Tahoma"/>
            <family val="2"/>
          </rPr>
          <t>User:</t>
        </r>
        <r>
          <rPr>
            <sz val="9"/>
            <color indexed="81"/>
            <rFont val="Tahoma"/>
            <family val="2"/>
          </rPr>
          <t xml:space="preserve">
Miễn nhiệm Phó Trưởng BM từ 01/9/2015. Bảo lưu HS hết T02/2015</t>
        </r>
      </text>
    </comment>
    <comment ref="F248" authorId="0" shapeId="0" xr:uid="{00000000-0006-0000-0000-00002D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9" authorId="0" shapeId="0" xr:uid="{00000000-0006-0000-0000-00002E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50" authorId="0" shapeId="0" xr:uid="{00000000-0006-0000-0000-00002F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1" authorId="0" shapeId="0" xr:uid="{00000000-0006-0000-0000-000030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2" authorId="1" shapeId="0" xr:uid="{00000000-0006-0000-0000-000031010000}">
      <text>
        <r>
          <rPr>
            <b/>
            <sz val="9"/>
            <color indexed="81"/>
            <rFont val="Tahoma"/>
            <family val="2"/>
          </rPr>
          <t>Admin:</t>
        </r>
        <r>
          <rPr>
            <sz val="9"/>
            <color indexed="81"/>
            <rFont val="Tahoma"/>
            <family val="2"/>
          </rPr>
          <t xml:space="preserve">
- HS 3,33 từ 01/12/2015
- HS 3,66 từ 01/12/2016
- HS 3,99 từ 01/12/2021</t>
        </r>
      </text>
    </comment>
    <comment ref="F253" authorId="2" shapeId="0" xr:uid="{00000000-0006-0000-0000-000032010000}">
      <text>
        <r>
          <rPr>
            <b/>
            <sz val="9"/>
            <color indexed="81"/>
            <rFont val="Tahoma"/>
            <family val="2"/>
          </rPr>
          <t>user:</t>
        </r>
        <r>
          <rPr>
            <sz val="9"/>
            <color indexed="81"/>
            <rFont val="Tahoma"/>
            <family val="2"/>
          </rPr>
          <t xml:space="preserve">
- BN CDNN từ 01/4/2019
- HS 3,00 từ 01/04/2021 (NL trước hạn)</t>
        </r>
      </text>
    </comment>
    <comment ref="K253" authorId="1" shapeId="0" xr:uid="{00000000-0006-0000-0000-000033010000}">
      <text>
        <r>
          <rPr>
            <sz val="9"/>
            <color indexed="81"/>
            <rFont val="Tahoma"/>
            <family val="2"/>
          </rPr>
          <t>- Tập sự từ 01/4/2018 HS 85% 2,67</t>
        </r>
        <r>
          <rPr>
            <b/>
            <sz val="9"/>
            <color indexed="81"/>
            <rFont val="Tahoma"/>
            <family val="2"/>
          </rPr>
          <t xml:space="preserve">
</t>
        </r>
      </text>
    </comment>
    <comment ref="F254" authorId="2" shapeId="0" xr:uid="{00000000-0006-0000-0000-000034010000}">
      <text>
        <r>
          <rPr>
            <b/>
            <sz val="9"/>
            <color indexed="81"/>
            <rFont val="Tahoma"/>
            <family val="2"/>
          </rPr>
          <t>user:</t>
        </r>
        <r>
          <rPr>
            <sz val="9"/>
            <color indexed="81"/>
            <rFont val="Tahoma"/>
            <family val="2"/>
          </rPr>
          <t xml:space="preserve">
- BN CDNN 2.34 từ 1/4/2019
- HS 2,67 từ 01/4/2022</t>
        </r>
      </text>
    </comment>
    <comment ref="I254" authorId="3" shapeId="0" xr:uid="{00000000-0006-0000-0000-000035010000}">
      <text>
        <r>
          <rPr>
            <b/>
            <sz val="9"/>
            <color indexed="81"/>
            <rFont val="Tahoma"/>
            <family val="2"/>
          </rPr>
          <t>Windows User:</t>
        </r>
        <r>
          <rPr>
            <sz val="9"/>
            <color indexed="81"/>
            <rFont val="Tahoma"/>
            <family val="2"/>
          </rPr>
          <t xml:space="preserve">
- Trưởng BM Điện Công nghiệp từ 01/10/2022</t>
        </r>
      </text>
    </comment>
    <comment ref="K254" authorId="1" shapeId="0" xr:uid="{00000000-0006-0000-0000-000036010000}">
      <text>
        <r>
          <rPr>
            <sz val="9"/>
            <color indexed="81"/>
            <rFont val="Tahoma"/>
            <family val="2"/>
          </rPr>
          <t>- Tập sự từ 01/4/2018 HS 85% 2,34</t>
        </r>
      </text>
    </comment>
    <comment ref="F255" authorId="2" shapeId="0" xr:uid="{00000000-0006-0000-0000-000037010000}">
      <text>
        <r>
          <rPr>
            <b/>
            <sz val="9"/>
            <color indexed="81"/>
            <rFont val="Tahoma"/>
            <family val="2"/>
          </rPr>
          <t>user:</t>
        </r>
        <r>
          <rPr>
            <sz val="9"/>
            <color indexed="81"/>
            <rFont val="Tahoma"/>
            <family val="2"/>
          </rPr>
          <t xml:space="preserve">
- HS 2,34 từ 01/01/2020
- HS 2,67 từ 01/01/2022 (NL trước hạn)</t>
        </r>
      </text>
    </comment>
    <comment ref="I255" authorId="7" shapeId="0" xr:uid="{00000000-0006-0000-0000-000038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6" authorId="2" shapeId="0" xr:uid="{00000000-0006-0000-0000-000039010000}">
      <text>
        <r>
          <rPr>
            <b/>
            <sz val="9"/>
            <color indexed="81"/>
            <rFont val="Tahoma"/>
            <family val="2"/>
          </rPr>
          <t>user:</t>
        </r>
        <r>
          <rPr>
            <sz val="9"/>
            <color indexed="81"/>
            <rFont val="Tahoma"/>
            <family val="2"/>
          </rPr>
          <t xml:space="preserve">
Thuyên chuyển về trường từ ngày 15/6/2021
- HS 3,99 từ 01/11/2022</t>
        </r>
      </text>
    </comment>
    <comment ref="F257" authorId="3" shapeId="0" xr:uid="{00000000-0006-0000-0000-00003A010000}">
      <text>
        <r>
          <rPr>
            <b/>
            <sz val="9"/>
            <color indexed="81"/>
            <rFont val="Tahoma"/>
            <family val="2"/>
          </rPr>
          <t>Windows User:</t>
        </r>
        <r>
          <rPr>
            <sz val="9"/>
            <color indexed="81"/>
            <rFont val="Tahoma"/>
            <family val="2"/>
          </rPr>
          <t xml:space="preserve">
- HS 2,67 từ 01/10/2023 (BN CDNN)</t>
        </r>
      </text>
    </comment>
    <comment ref="F258" authorId="3" shapeId="0" xr:uid="{00000000-0006-0000-0000-00003B010000}">
      <text>
        <r>
          <rPr>
            <b/>
            <sz val="9"/>
            <color indexed="81"/>
            <rFont val="Tahoma"/>
            <family val="2"/>
          </rPr>
          <t>Windows User:</t>
        </r>
        <r>
          <rPr>
            <sz val="9"/>
            <color indexed="81"/>
            <rFont val="Tahoma"/>
            <family val="2"/>
          </rPr>
          <t xml:space="preserve">
- HS 2,34 từ 01/10/2023 (BN CDNN)</t>
        </r>
      </text>
    </comment>
    <comment ref="F259" authorId="1" shapeId="0" xr:uid="{00000000-0006-0000-0000-00003C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9" authorId="0" shapeId="0" xr:uid="{00000000-0006-0000-0000-00003D010000}">
      <text>
        <r>
          <rPr>
            <b/>
            <sz val="9"/>
            <color indexed="81"/>
            <rFont val="Tahoma"/>
            <family val="2"/>
          </rPr>
          <t>User:</t>
        </r>
        <r>
          <rPr>
            <sz val="9"/>
            <color indexed="81"/>
            <rFont val="Tahoma"/>
            <family val="2"/>
          </rPr>
          <t xml:space="preserve">
- Trưởng khoa Động lực từ 01/8/2015</t>
        </r>
      </text>
    </comment>
    <comment ref="F260" authorId="1" shapeId="0" xr:uid="{00000000-0006-0000-0000-00003E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61" authorId="1" shapeId="0" xr:uid="{00000000-0006-0000-0000-00003F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62" authorId="1" shapeId="0" xr:uid="{00000000-0006-0000-0000-000040010000}">
      <text>
        <r>
          <rPr>
            <b/>
            <sz val="9"/>
            <color indexed="81"/>
            <rFont val="Tahoma"/>
            <family val="2"/>
          </rPr>
          <t>Admin:</t>
        </r>
        <r>
          <rPr>
            <sz val="9"/>
            <color indexed="81"/>
            <rFont val="Tahoma"/>
            <family val="2"/>
          </rPr>
          <t xml:space="preserve">
- HS 3,33 từ 01/9/2016
- HS 3,66 từ 01/9/2018 (NL trước hạn)
- HS 3,99 từ 01/9/2021</t>
        </r>
      </text>
    </comment>
    <comment ref="I262" authorId="1" shapeId="0" xr:uid="{00000000-0006-0000-0000-000041010000}">
      <text>
        <r>
          <rPr>
            <b/>
            <sz val="9"/>
            <color indexed="81"/>
            <rFont val="Tahoma"/>
            <family val="2"/>
          </rPr>
          <t>Admin:</t>
        </r>
        <r>
          <rPr>
            <sz val="9"/>
            <color indexed="81"/>
            <rFont val="Tahoma"/>
            <family val="2"/>
          </rPr>
          <t xml:space="preserve">
- Bảo lưu đến hết T5/2018</t>
        </r>
      </text>
    </comment>
    <comment ref="F263" authorId="1" shapeId="0" xr:uid="{00000000-0006-0000-0000-000042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63" authorId="0" shapeId="0" xr:uid="{00000000-0006-0000-0000-000043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4" authorId="0" shapeId="0" xr:uid="{00000000-0006-0000-0000-000044010000}">
      <text>
        <r>
          <rPr>
            <b/>
            <sz val="9"/>
            <color indexed="81"/>
            <rFont val="Tahoma"/>
            <family val="2"/>
          </rPr>
          <t>User:</t>
        </r>
        <r>
          <rPr>
            <sz val="9"/>
            <color indexed="81"/>
            <rFont val="Tahoma"/>
            <family val="2"/>
          </rPr>
          <t xml:space="preserve">
- HS 3,00 từ 01/9/2015
- HS 3,33 từ 01/9/2018
- HS 3,66 từ 01/9/2021</t>
        </r>
      </text>
    </comment>
    <comment ref="F265" authorId="1" shapeId="0" xr:uid="{00000000-0006-0000-0000-000045010000}">
      <text>
        <r>
          <rPr>
            <b/>
            <sz val="9"/>
            <color indexed="81"/>
            <rFont val="Tahoma"/>
            <family val="2"/>
          </rPr>
          <t>Admin:</t>
        </r>
        <r>
          <rPr>
            <sz val="9"/>
            <color indexed="81"/>
            <rFont val="Tahoma"/>
            <family val="2"/>
          </rPr>
          <t xml:space="preserve">
- HS 3,00 từ 01/9/2015
- HS 3,33 từ 01/9/2018
- HS 3,66 từ 01/9/2021</t>
        </r>
      </text>
    </comment>
    <comment ref="F266" authorId="0" shapeId="0" xr:uid="{00000000-0006-0000-0000-000046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6" authorId="0" shapeId="0" xr:uid="{00000000-0006-0000-0000-000047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7" authorId="1" shapeId="0" xr:uid="{00000000-0006-0000-0000-000048010000}">
      <text>
        <r>
          <rPr>
            <b/>
            <sz val="9"/>
            <color indexed="81"/>
            <rFont val="Tahoma"/>
            <family val="2"/>
          </rPr>
          <t>Admin:</t>
        </r>
        <r>
          <rPr>
            <sz val="9"/>
            <color indexed="81"/>
            <rFont val="Tahoma"/>
            <family val="2"/>
          </rPr>
          <t xml:space="preserve">
- HS 3,00 từ 01/9/2015
- HS 3,33 từ 01/9/2018
- HS 3,66 từ 01/9/2021</t>
        </r>
      </text>
    </comment>
    <comment ref="F268" authorId="1" shapeId="0" xr:uid="{00000000-0006-0000-0000-000049010000}">
      <text>
        <r>
          <rPr>
            <b/>
            <sz val="9"/>
            <color indexed="81"/>
            <rFont val="Tahoma"/>
            <family val="2"/>
          </rPr>
          <t>Admin:</t>
        </r>
        <r>
          <rPr>
            <sz val="9"/>
            <color indexed="81"/>
            <rFont val="Tahoma"/>
            <family val="2"/>
          </rPr>
          <t xml:space="preserve">
- HS 3,00 từ 01/9/2017
- HS 3,33 từ 01/9/2019
- HS 3,66 từ 01/9/2022
</t>
        </r>
      </text>
    </comment>
    <comment ref="F269" authorId="8" shapeId="0" xr:uid="{00000000-0006-0000-0000-00004A010000}">
      <text>
        <r>
          <rPr>
            <sz val="9"/>
            <color indexed="81"/>
            <rFont val="Tahoma"/>
            <family val="2"/>
          </rPr>
          <t>- HS 3,00 từ 01/3/2018
- HS 3,33 từ 01/3/2020 (NL trước hạn)
- HS 3,66 từ 01/03/2023</t>
        </r>
      </text>
    </comment>
    <comment ref="F270" authorId="1" shapeId="0" xr:uid="{00000000-0006-0000-0000-00004B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71" authorId="1" shapeId="0" xr:uid="{00000000-0006-0000-0000-00004C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72" authorId="1" shapeId="0" xr:uid="{00000000-0006-0000-0000-00004D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72" authorId="4" shapeId="0" xr:uid="{00000000-0006-0000-0000-00004E010000}">
      <text>
        <r>
          <rPr>
            <b/>
            <sz val="9"/>
            <color indexed="81"/>
            <rFont val="Tahoma"/>
            <family val="2"/>
          </rPr>
          <t>Quynh:</t>
        </r>
        <r>
          <rPr>
            <sz val="9"/>
            <color indexed="81"/>
            <rFont val="Tahoma"/>
            <family val="2"/>
          </rPr>
          <t xml:space="preserve">
- BN Trưởng BM Điện ô tô từ 01/01/2019 </t>
        </r>
      </text>
    </comment>
    <comment ref="F273" authorId="1" shapeId="0" xr:uid="{00000000-0006-0000-0000-00004F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4" authorId="2" shapeId="0" xr:uid="{00000000-0006-0000-0000-000050010000}">
      <text>
        <r>
          <rPr>
            <b/>
            <sz val="9"/>
            <color indexed="81"/>
            <rFont val="Tahoma"/>
            <family val="2"/>
          </rPr>
          <t>user:</t>
        </r>
        <r>
          <rPr>
            <sz val="9"/>
            <color indexed="81"/>
            <rFont val="Tahoma"/>
            <family val="2"/>
          </rPr>
          <t xml:space="preserve">
- HS 2,34 từ 01/10/2019
- HS 2,67 từ 01/10/2021 (NL trước hạn)</t>
        </r>
      </text>
    </comment>
    <comment ref="F275" authorId="2" shapeId="0" xr:uid="{00000000-0006-0000-0000-000051010000}">
      <text>
        <r>
          <rPr>
            <b/>
            <sz val="9"/>
            <color indexed="81"/>
            <rFont val="Tahoma"/>
            <family val="2"/>
          </rPr>
          <t>user:</t>
        </r>
        <r>
          <rPr>
            <sz val="9"/>
            <color indexed="81"/>
            <rFont val="Tahoma"/>
            <family val="2"/>
          </rPr>
          <t xml:space="preserve">
- HS 2,34 từ 01/10/2019
- HS 2,67 từ 01/10/2022</t>
        </r>
      </text>
    </comment>
    <comment ref="F276" authorId="2" shapeId="0" xr:uid="{00000000-0006-0000-0000-000052010000}">
      <text>
        <r>
          <rPr>
            <b/>
            <sz val="9"/>
            <color indexed="81"/>
            <rFont val="Tahoma"/>
            <family val="2"/>
          </rPr>
          <t>user:</t>
        </r>
        <r>
          <rPr>
            <sz val="9"/>
            <color indexed="81"/>
            <rFont val="Tahoma"/>
            <family val="2"/>
          </rPr>
          <t xml:space="preserve">
- HS 2,67 từ 01/01/2020
- HS 3,00 từ 01/01/2022 (NL trước hạn)</t>
        </r>
      </text>
    </comment>
    <comment ref="F277" authorId="2" shapeId="0" xr:uid="{00000000-0006-0000-0000-000053010000}">
      <text>
        <r>
          <rPr>
            <b/>
            <sz val="9"/>
            <color indexed="81"/>
            <rFont val="Tahoma"/>
            <family val="2"/>
          </rPr>
          <t>user:</t>
        </r>
        <r>
          <rPr>
            <sz val="9"/>
            <color indexed="81"/>
            <rFont val="Tahoma"/>
            <family val="2"/>
          </rPr>
          <t xml:space="preserve">
- HS 3,00 từ 01/11/2019
- HS 3,33 từ 01/12/2020
- HS 3,66 từ 01/12/2022</t>
        </r>
      </text>
    </comment>
    <comment ref="F278" authorId="2" shapeId="0" xr:uid="{00000000-0006-0000-0000-000054010000}">
      <text>
        <r>
          <rPr>
            <b/>
            <sz val="9"/>
            <color indexed="81"/>
            <rFont val="Tahoma"/>
            <family val="2"/>
          </rPr>
          <t>user:</t>
        </r>
        <r>
          <rPr>
            <sz val="9"/>
            <color indexed="81"/>
            <rFont val="Tahoma"/>
            <family val="2"/>
          </rPr>
          <t xml:space="preserve">
Tuyển dụng từ 01/5/20
- HS 2,34 từ 01/5/2021</t>
        </r>
      </text>
    </comment>
    <comment ref="F279" authorId="2" shapeId="0" xr:uid="{00000000-0006-0000-0000-000055010000}">
      <text>
        <r>
          <rPr>
            <b/>
            <sz val="9"/>
            <color indexed="81"/>
            <rFont val="Tahoma"/>
            <family val="2"/>
          </rPr>
          <t>user:</t>
        </r>
        <r>
          <rPr>
            <sz val="9"/>
            <color indexed="81"/>
            <rFont val="Tahoma"/>
            <family val="2"/>
          </rPr>
          <t xml:space="preserve">
Tuyển dụng 01/5/20
- HS 2,34 từ 01/5/2021</t>
        </r>
      </text>
    </comment>
    <comment ref="F280" authorId="2" shapeId="0" xr:uid="{00000000-0006-0000-0000-000056010000}">
      <text>
        <r>
          <rPr>
            <b/>
            <sz val="9"/>
            <color indexed="81"/>
            <rFont val="Tahoma"/>
            <family val="2"/>
          </rPr>
          <t>user:</t>
        </r>
        <r>
          <rPr>
            <sz val="9"/>
            <color indexed="81"/>
            <rFont val="Tahoma"/>
            <family val="2"/>
          </rPr>
          <t xml:space="preserve">
- QĐ Tuyển dụng từ 01/3/2021 (HS 2,34- 85%)
- HS 2,34 từ 01/3/2022 (BNN)</t>
        </r>
      </text>
    </comment>
    <comment ref="F281" authorId="2" shapeId="0" xr:uid="{00000000-0006-0000-0000-000057010000}">
      <text>
        <r>
          <rPr>
            <b/>
            <sz val="9"/>
            <color indexed="81"/>
            <rFont val="Tahoma"/>
            <family val="2"/>
          </rPr>
          <t>user:</t>
        </r>
        <r>
          <rPr>
            <sz val="9"/>
            <color indexed="81"/>
            <rFont val="Tahoma"/>
            <family val="2"/>
          </rPr>
          <t xml:space="preserve">
- Tuyển dụng từ 01/4/2021 (85%)
- HS 2,34 từ 01/4/2022</t>
        </r>
      </text>
    </comment>
    <comment ref="F282" authorId="2" shapeId="0" xr:uid="{00000000-0006-0000-0000-000058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83" authorId="3" shapeId="0" xr:uid="{00000000-0006-0000-0000-000059010000}">
      <text>
        <r>
          <rPr>
            <b/>
            <sz val="9"/>
            <color indexed="81"/>
            <rFont val="Tahoma"/>
            <family val="2"/>
          </rPr>
          <t>Windows User:</t>
        </r>
        <r>
          <rPr>
            <sz val="9"/>
            <color indexed="81"/>
            <rFont val="Tahoma"/>
            <family val="2"/>
          </rPr>
          <t xml:space="preserve">
- HS 3,00 từ 01/10/2022
- HS 3,33 từ 01/01/2023</t>
        </r>
      </text>
    </comment>
    <comment ref="F285" authorId="1" shapeId="0" xr:uid="{00000000-0006-0000-0000-00005A010000}">
      <text>
        <r>
          <rPr>
            <b/>
            <sz val="9"/>
            <color indexed="81"/>
            <rFont val="Tahoma"/>
            <family val="2"/>
          </rPr>
          <t>Admin:</t>
        </r>
        <r>
          <rPr>
            <sz val="9"/>
            <color indexed="81"/>
            <rFont val="Tahoma"/>
            <family val="2"/>
          </rPr>
          <t xml:space="preserve">
'- HS 3.00 (BN từ 01/4/18)
- HS 3,33 từ 01/02/2020
- HS 3,66 từ 01/02/2022 (NL trước hạn)</t>
        </r>
      </text>
    </comment>
    <comment ref="I285" authorId="2" shapeId="0" xr:uid="{00000000-0006-0000-0000-00005B010000}">
      <text>
        <r>
          <rPr>
            <b/>
            <sz val="9"/>
            <color indexed="81"/>
            <rFont val="Tahoma"/>
            <family val="2"/>
          </rPr>
          <t>user:</t>
        </r>
        <r>
          <rPr>
            <sz val="9"/>
            <color indexed="81"/>
            <rFont val="Tahoma"/>
            <family val="2"/>
          </rPr>
          <t xml:space="preserve">
Phụ trách khoa Xây dựng từ 01/5/2019
- TK từ 01/5/2023</t>
        </r>
      </text>
    </comment>
    <comment ref="F286" authorId="2" shapeId="0" xr:uid="{00000000-0006-0000-0000-00005C010000}">
      <text>
        <r>
          <rPr>
            <b/>
            <sz val="9"/>
            <color indexed="81"/>
            <rFont val="Tahoma"/>
            <family val="2"/>
          </rPr>
          <t>user:</t>
        </r>
        <r>
          <rPr>
            <sz val="9"/>
            <color indexed="81"/>
            <rFont val="Tahoma"/>
            <family val="2"/>
          </rPr>
          <t xml:space="preserve">
- Tuyển dụng từ T5/20
- HS 2,67 từ 01/5/2021</t>
        </r>
      </text>
    </comment>
    <comment ref="F287" authorId="2" shapeId="0" xr:uid="{00000000-0006-0000-0000-00005D010000}">
      <text>
        <r>
          <rPr>
            <b/>
            <sz val="9"/>
            <color indexed="81"/>
            <rFont val="Tahoma"/>
            <family val="2"/>
          </rPr>
          <t>user:</t>
        </r>
        <r>
          <rPr>
            <sz val="9"/>
            <color indexed="81"/>
            <rFont val="Tahoma"/>
            <family val="2"/>
          </rPr>
          <t xml:space="preserve">
- HS 1,989 từ 01/4/21 (Tuyển dụng)
- HS 2,34 từ 01/4/2022</t>
        </r>
      </text>
    </comment>
    <comment ref="F288" authorId="6" shapeId="0" xr:uid="{00000000-0006-0000-0000-00005E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8" authorId="0" shapeId="0" xr:uid="{00000000-0006-0000-0000-00005F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9" authorId="1" shapeId="0" xr:uid="{00000000-0006-0000-0000-000060010000}">
      <text>
        <r>
          <rPr>
            <b/>
            <sz val="9"/>
            <color indexed="81"/>
            <rFont val="Tahoma"/>
            <family val="2"/>
          </rPr>
          <t>Admin:</t>
        </r>
        <r>
          <rPr>
            <sz val="9"/>
            <color indexed="81"/>
            <rFont val="Tahoma"/>
            <family val="2"/>
          </rPr>
          <t xml:space="preserve">
- HS 3,99 từ 01/9/2017
- HS 4,32 từ 01/9/2020
- HS 4,65 từ 01/9/2022</t>
        </r>
      </text>
    </comment>
    <comment ref="F290" authorId="1" shapeId="0" xr:uid="{00000000-0006-0000-0000-000061010000}">
      <text>
        <r>
          <rPr>
            <b/>
            <sz val="9"/>
            <color indexed="81"/>
            <rFont val="Tahoma"/>
            <family val="2"/>
          </rPr>
          <t>Admin:</t>
        </r>
        <r>
          <rPr>
            <sz val="9"/>
            <color indexed="81"/>
            <rFont val="Tahoma"/>
            <family val="2"/>
          </rPr>
          <t xml:space="preserve">
- HS 3,99 từ 01/9/2017
- HS 4,32 từ 01/9/2020
- HS 4,65 từ 01/9/2023</t>
        </r>
      </text>
    </comment>
    <comment ref="F291" authorId="1" shapeId="0" xr:uid="{00000000-0006-0000-0000-000062010000}">
      <text>
        <r>
          <rPr>
            <b/>
            <sz val="9"/>
            <color indexed="81"/>
            <rFont val="Tahoma"/>
            <family val="2"/>
          </rPr>
          <t>Admin:</t>
        </r>
        <r>
          <rPr>
            <sz val="9"/>
            <color indexed="81"/>
            <rFont val="Tahoma"/>
            <family val="2"/>
          </rPr>
          <t xml:space="preserve">
- HS 3,00 từ 01/9/2016
- HS 3,33 từ 01/9/2019
- HS 3,66 từ 01/9/2022</t>
        </r>
      </text>
    </comment>
    <comment ref="F292" authorId="1" shapeId="0" xr:uid="{00000000-0006-0000-0000-000063010000}">
      <text>
        <r>
          <rPr>
            <b/>
            <sz val="9"/>
            <color indexed="81"/>
            <rFont val="Tahoma"/>
            <family val="2"/>
          </rPr>
          <t>Admin:</t>
        </r>
        <r>
          <rPr>
            <sz val="9"/>
            <color indexed="81"/>
            <rFont val="Tahoma"/>
            <family val="2"/>
          </rPr>
          <t xml:space="preserve">
- HS 3,00 từ 01/9/2017
- HS 3,33 từ 01/9/2020
- HS 3,66 từ 01/9/2023</t>
        </r>
      </text>
    </comment>
    <comment ref="F293" authorId="1" shapeId="0" xr:uid="{00000000-0006-0000-0000-000064010000}">
      <text>
        <r>
          <rPr>
            <b/>
            <sz val="9"/>
            <color indexed="81"/>
            <rFont val="Tahoma"/>
            <family val="2"/>
          </rPr>
          <t>Admin:</t>
        </r>
        <r>
          <rPr>
            <sz val="9"/>
            <color indexed="81"/>
            <rFont val="Tahoma"/>
            <family val="2"/>
          </rPr>
          <t xml:space="preserve">
- HS 3,66 từ 01/9/2016
- HS 3,99 từ 01/9/2019
- HS 4,32 từ 01/9/2022</t>
        </r>
      </text>
    </comment>
    <comment ref="F294" authorId="2" shapeId="0" xr:uid="{00000000-0006-0000-0000-000065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95" authorId="0" shapeId="0" xr:uid="{00000000-0006-0000-0000-000066010000}">
      <text>
        <r>
          <rPr>
            <b/>
            <sz val="9"/>
            <color indexed="81"/>
            <rFont val="Tahoma"/>
            <family val="2"/>
          </rPr>
          <t>User:</t>
        </r>
        <r>
          <rPr>
            <sz val="9"/>
            <color indexed="81"/>
            <rFont val="Tahoma"/>
            <family val="2"/>
          </rPr>
          <t xml:space="preserve">
- HS 4,32 từ 01/10/2015
- HS 4,65 từ 01/10/2018
- HS 4,98 từ 01/10/2021</t>
        </r>
      </text>
    </comment>
    <comment ref="F296" authorId="8" shapeId="0" xr:uid="{00000000-0006-0000-0000-000067010000}">
      <text>
        <r>
          <rPr>
            <sz val="9"/>
            <color indexed="81"/>
            <rFont val="Tahoma"/>
            <family val="2"/>
          </rPr>
          <t>- HS 2,67 hưởng từ 01/9 làm bảng truy lãnh từ tháng 9-11/2017
- HS 3,00 từ 01/9/2019
- HS 3,33 từ 01/9/2022</t>
        </r>
      </text>
    </comment>
    <comment ref="I296" authorId="1" shapeId="0" xr:uid="{00000000-0006-0000-0000-000068010000}">
      <text>
        <r>
          <rPr>
            <b/>
            <sz val="9"/>
            <color indexed="81"/>
            <rFont val="Tahoma"/>
            <family val="2"/>
          </rPr>
          <t>Admin:</t>
        </r>
        <r>
          <rPr>
            <sz val="9"/>
            <color indexed="81"/>
            <rFont val="Tahoma"/>
            <family val="2"/>
          </rPr>
          <t xml:space="preserve">
- BN Phó TK từ 01/8/2018</t>
        </r>
      </text>
    </comment>
    <comment ref="I300" authorId="1" shapeId="0" xr:uid="{00000000-0006-0000-0000-000069010000}">
      <text>
        <r>
          <rPr>
            <b/>
            <sz val="9"/>
            <color indexed="81"/>
            <rFont val="Tahoma"/>
            <family val="2"/>
          </rPr>
          <t>Admin:</t>
        </r>
        <r>
          <rPr>
            <sz val="9"/>
            <color indexed="81"/>
            <rFont val="Tahoma"/>
            <family val="2"/>
          </rPr>
          <t xml:space="preserve">
4.873.050 từ 01/11/2021
- 5.417.685 từ 01/11/2023</t>
        </r>
      </text>
    </comment>
    <comment ref="H302" authorId="3" shapeId="0" xr:uid="{00000000-0006-0000-0000-00006A010000}">
      <text>
        <r>
          <rPr>
            <b/>
            <sz val="9"/>
            <color indexed="81"/>
            <rFont val="Tahoma"/>
            <family val="2"/>
          </rPr>
          <t>Windows User:</t>
        </r>
        <r>
          <rPr>
            <sz val="9"/>
            <color indexed="81"/>
            <rFont val="Tahoma"/>
            <family val="2"/>
          </rPr>
          <t xml:space="preserve">
Chuyển mã D.03 sang D.02 từ 01/9/2023</t>
        </r>
      </text>
    </comment>
    <comment ref="I302" authorId="3" shapeId="0" xr:uid="{00000000-0006-0000-0000-00006B010000}">
      <text>
        <r>
          <rPr>
            <b/>
            <sz val="9"/>
            <color indexed="81"/>
            <rFont val="Tahoma"/>
            <family val="2"/>
          </rPr>
          <t>Windows User:</t>
        </r>
        <r>
          <rPr>
            <sz val="9"/>
            <color indexed="81"/>
            <rFont val="Tahoma"/>
            <family val="2"/>
          </rPr>
          <t xml:space="preserve">
- 5.007.600 từ 01/9/2023</t>
        </r>
      </text>
    </comment>
    <comment ref="I305" authorId="3" shapeId="0" xr:uid="{00000000-0006-0000-0000-00006C010000}">
      <text>
        <r>
          <rPr>
            <b/>
            <sz val="9"/>
            <color indexed="81"/>
            <rFont val="Tahoma"/>
            <family val="2"/>
          </rPr>
          <t>Windows User:</t>
        </r>
        <r>
          <rPr>
            <sz val="9"/>
            <color indexed="81"/>
            <rFont val="Tahoma"/>
            <family val="2"/>
          </rPr>
          <t xml:space="preserve">
- 7.623.227 từ 01/02/2023</t>
        </r>
      </text>
    </comment>
    <comment ref="I306" authorId="2" shapeId="0" xr:uid="{00000000-0006-0000-0000-00006D010000}">
      <text>
        <r>
          <rPr>
            <b/>
            <sz val="9"/>
            <color indexed="81"/>
            <rFont val="Tahoma"/>
            <family val="2"/>
          </rPr>
          <t>user:</t>
        </r>
        <r>
          <rPr>
            <sz val="9"/>
            <color indexed="81"/>
            <rFont val="Tahoma"/>
            <family val="2"/>
          </rPr>
          <t xml:space="preserve">
- 5.372.538 từ 01/11/2021
- 5.972.998 từ 01/11/2023</t>
        </r>
      </text>
    </comment>
    <comment ref="I307" authorId="2" shapeId="0" xr:uid="{00000000-0006-0000-0000-00006E010000}">
      <text>
        <r>
          <rPr>
            <b/>
            <sz val="9"/>
            <color indexed="81"/>
            <rFont val="Tahoma"/>
            <family val="2"/>
          </rPr>
          <t>user:</t>
        </r>
        <r>
          <rPr>
            <sz val="9"/>
            <color indexed="81"/>
            <rFont val="Tahoma"/>
            <family val="2"/>
          </rPr>
          <t xml:space="preserve">
- 5.372.538 từ 01/11/2021
- 5.972.538 từ 01/11/2023</t>
        </r>
      </text>
    </comment>
    <comment ref="I308" authorId="2" shapeId="0" xr:uid="{00000000-0006-0000-0000-00006F010000}">
      <text>
        <r>
          <rPr>
            <b/>
            <sz val="9"/>
            <color indexed="81"/>
            <rFont val="Tahoma"/>
            <family val="2"/>
          </rPr>
          <t>user:</t>
        </r>
        <r>
          <rPr>
            <sz val="9"/>
            <color indexed="81"/>
            <rFont val="Tahoma"/>
            <family val="2"/>
          </rPr>
          <t xml:space="preserve">
- 5.060.458 từ 01/12/2020 (HĐLĐ)
- 5.733. 201 từ 01/12/2023</t>
        </r>
      </text>
    </comment>
    <comment ref="I312" authorId="2" shapeId="0" xr:uid="{00000000-0006-0000-0000-000070010000}">
      <text>
        <r>
          <rPr>
            <b/>
            <sz val="9"/>
            <color indexed="81"/>
            <rFont val="Tahoma"/>
            <family val="2"/>
          </rPr>
          <t>user:</t>
        </r>
        <r>
          <rPr>
            <sz val="9"/>
            <color indexed="81"/>
            <rFont val="Tahoma"/>
            <family val="2"/>
          </rPr>
          <t xml:space="preserve">
T3: 4301389 (85% của 5.060.458)
- 5.060.458 từ 01/4/2021</t>
        </r>
      </text>
    </comment>
    <comment ref="I313" authorId="3" shapeId="0" xr:uid="{00000000-0006-0000-0000-000071010000}">
      <text>
        <r>
          <rPr>
            <b/>
            <sz val="9"/>
            <color indexed="81"/>
            <rFont val="Tahoma"/>
            <family val="2"/>
          </rPr>
          <t>Windows User:</t>
        </r>
        <r>
          <rPr>
            <sz val="9"/>
            <color indexed="81"/>
            <rFont val="Tahoma"/>
            <family val="2"/>
          </rPr>
          <t xml:space="preserve">
- 8.992.930 từ 01/7/2023</t>
        </r>
      </text>
    </comment>
    <comment ref="I315" authorId="3" shapeId="0" xr:uid="{00000000-0006-0000-0000-000072010000}">
      <text>
        <r>
          <rPr>
            <b/>
            <sz val="9"/>
            <color indexed="81"/>
            <rFont val="Tahoma"/>
            <family val="2"/>
          </rPr>
          <t>Windows User:</t>
        </r>
        <r>
          <rPr>
            <sz val="9"/>
            <color indexed="81"/>
            <rFont val="Tahoma"/>
            <family val="2"/>
          </rPr>
          <t xml:space="preserve">
- 8.041.111 từ 01/7/2023</t>
        </r>
      </text>
    </comment>
    <comment ref="I316" authorId="2" shapeId="0" xr:uid="{00000000-0006-0000-0000-000073010000}">
      <text>
        <r>
          <rPr>
            <b/>
            <sz val="9"/>
            <color indexed="81"/>
            <rFont val="Tahoma"/>
            <family val="2"/>
          </rPr>
          <t>user:</t>
        </r>
        <r>
          <rPr>
            <sz val="9"/>
            <color indexed="81"/>
            <rFont val="Tahoma"/>
            <family val="2"/>
          </rPr>
          <t xml:space="preserve">
- 6.151.018 từ 01/07/2021 (Nâng lương trước hạn)</t>
        </r>
      </text>
    </comment>
    <comment ref="I317" authorId="2" shapeId="0" xr:uid="{00000000-0006-0000-0000-000074010000}">
      <text>
        <r>
          <rPr>
            <b/>
            <sz val="9"/>
            <color indexed="81"/>
            <rFont val="Tahoma"/>
            <family val="2"/>
          </rPr>
          <t>user:</t>
        </r>
        <r>
          <rPr>
            <sz val="9"/>
            <color indexed="81"/>
            <rFont val="Tahoma"/>
            <family val="2"/>
          </rPr>
          <t xml:space="preserve">
- 5.748.615 từ 01/01/2021 (Nâng lương trước hạn)
- 6.391.108 từ 01/01/2023</t>
        </r>
      </text>
    </comment>
    <comment ref="I318" authorId="3" shapeId="0" xr:uid="{00000000-0006-0000-0000-000075010000}">
      <text>
        <r>
          <rPr>
            <b/>
            <sz val="9"/>
            <color indexed="81"/>
            <rFont val="Tahoma"/>
            <family val="2"/>
          </rPr>
          <t>Windows User:</t>
        </r>
        <r>
          <rPr>
            <sz val="9"/>
            <color indexed="81"/>
            <rFont val="Tahoma"/>
            <family val="2"/>
          </rPr>
          <t xml:space="preserve">
- 7.180.409 từ 01/01/2023</t>
        </r>
      </text>
    </comment>
    <comment ref="I319" authorId="2" shapeId="0" xr:uid="{00000000-0006-0000-0000-000076010000}">
      <text>
        <r>
          <rPr>
            <b/>
            <sz val="9"/>
            <color indexed="81"/>
            <rFont val="Tahoma"/>
            <family val="2"/>
          </rPr>
          <t>user:</t>
        </r>
        <r>
          <rPr>
            <sz val="9"/>
            <color indexed="81"/>
            <rFont val="Tahoma"/>
            <family val="2"/>
          </rPr>
          <t xml:space="preserve">
- 4.965.870 từ 01/6/2021
- 5.520.879 từ 01/6/2023</t>
        </r>
      </text>
    </comment>
    <comment ref="I320" authorId="2" shapeId="0" xr:uid="{00000000-0006-0000-0000-000077010000}">
      <text>
        <r>
          <rPr>
            <b/>
            <sz val="9"/>
            <color indexed="81"/>
            <rFont val="Tahoma"/>
            <family val="2"/>
          </rPr>
          <t>user:</t>
        </r>
        <r>
          <rPr>
            <sz val="9"/>
            <color indexed="81"/>
            <rFont val="Tahoma"/>
            <family val="2"/>
          </rPr>
          <t xml:space="preserve">
- 5.474.872 từ 01/01/2021 (Nâng lương trước hạn)
- 6.086.769 từ 01/01/2023</t>
        </r>
      </text>
    </comment>
    <comment ref="H321" authorId="1" shapeId="0" xr:uid="{00000000-0006-0000-0000-000078010000}">
      <text>
        <r>
          <rPr>
            <sz val="9"/>
            <color indexed="81"/>
            <rFont val="Tahoma"/>
            <family val="2"/>
          </rPr>
          <t>QĐ bổ nhiệm Tổ trưởng từ 01/01/2018</t>
        </r>
        <r>
          <rPr>
            <sz val="9"/>
            <color indexed="81"/>
            <rFont val="Tahoma"/>
            <family val="2"/>
          </rPr>
          <t xml:space="preserve">
</t>
        </r>
      </text>
    </comment>
    <comment ref="I321" authorId="2" shapeId="0" xr:uid="{00000000-0006-0000-0000-000079010000}">
      <text>
        <r>
          <rPr>
            <b/>
            <sz val="9"/>
            <color indexed="81"/>
            <rFont val="Tahoma"/>
            <family val="2"/>
          </rPr>
          <t>user:</t>
        </r>
        <r>
          <rPr>
            <sz val="9"/>
            <color indexed="81"/>
            <rFont val="Tahoma"/>
            <family val="2"/>
          </rPr>
          <t xml:space="preserve">
- 7.199.714 từ 01/7/2021
- 8.044.388 từ 01/7/2023</t>
        </r>
      </text>
    </comment>
    <comment ref="I322" authorId="3" shapeId="0" xr:uid="{00000000-0006-0000-0000-00007A010000}">
      <text>
        <r>
          <rPr>
            <b/>
            <sz val="9"/>
            <color indexed="81"/>
            <rFont val="Tahoma"/>
            <family val="2"/>
          </rPr>
          <t>Windows User:</t>
        </r>
        <r>
          <rPr>
            <sz val="9"/>
            <color indexed="81"/>
            <rFont val="Tahoma"/>
            <family val="2"/>
          </rPr>
          <t xml:space="preserve">
- 5.159.700 từ 01/1/2024</t>
        </r>
      </text>
    </comment>
    <comment ref="I324" authorId="3" shapeId="0" xr:uid="{00000000-0006-0000-0000-00007B010000}">
      <text>
        <r>
          <rPr>
            <b/>
            <sz val="9"/>
            <color indexed="81"/>
            <rFont val="Tahoma"/>
            <family val="2"/>
          </rPr>
          <t>Windows User:</t>
        </r>
        <r>
          <rPr>
            <sz val="9"/>
            <color indexed="81"/>
            <rFont val="Tahoma"/>
            <family val="2"/>
          </rPr>
          <t xml:space="preserve">
- 4.680.000 lên 4.914.000 từ 01/11/2022</t>
        </r>
      </text>
    </comment>
    <comment ref="I325" authorId="3" shapeId="0" xr:uid="{00000000-0006-0000-0000-00007C010000}">
      <text>
        <r>
          <rPr>
            <b/>
            <sz val="9"/>
            <color indexed="81"/>
            <rFont val="Tahoma"/>
            <family val="2"/>
          </rPr>
          <t>Windows User:</t>
        </r>
        <r>
          <rPr>
            <sz val="9"/>
            <color indexed="81"/>
            <rFont val="Tahoma"/>
            <family val="2"/>
          </rPr>
          <t xml:space="preserve">
- Từ 4.680.000 lên 4.914.000 từ 01/11/2022</t>
        </r>
      </text>
    </comment>
    <comment ref="I326" authorId="2" shapeId="0" xr:uid="{00000000-0006-0000-0000-00007D010000}">
      <text>
        <r>
          <rPr>
            <b/>
            <sz val="9"/>
            <color indexed="81"/>
            <rFont val="Tahoma"/>
            <family val="2"/>
          </rPr>
          <t>user:</t>
        </r>
        <r>
          <rPr>
            <sz val="9"/>
            <color indexed="81"/>
            <rFont val="Tahoma"/>
            <family val="2"/>
          </rPr>
          <t xml:space="preserve">
- 4.420.000 từ 01/4/2021</t>
        </r>
      </text>
    </comment>
    <comment ref="I327" authorId="2" shapeId="0" xr:uid="{00000000-0006-0000-0000-00007E010000}">
      <text>
        <r>
          <rPr>
            <b/>
            <sz val="9"/>
            <color indexed="81"/>
            <rFont val="Tahoma"/>
            <family val="2"/>
          </rPr>
          <t>user:</t>
        </r>
        <r>
          <rPr>
            <sz val="9"/>
            <color indexed="81"/>
            <rFont val="Tahoma"/>
            <family val="2"/>
          </rPr>
          <t xml:space="preserve">
- 4.420.000 từ 01/4/2021</t>
        </r>
      </text>
    </comment>
    <comment ref="I329" authorId="3" shapeId="0" xr:uid="{00000000-0006-0000-0000-00007F010000}">
      <text>
        <r>
          <rPr>
            <b/>
            <sz val="9"/>
            <color indexed="81"/>
            <rFont val="Tahoma"/>
            <family val="2"/>
          </rPr>
          <t>Windows User:</t>
        </r>
        <r>
          <rPr>
            <sz val="9"/>
            <color indexed="81"/>
            <rFont val="Tahoma"/>
            <family val="2"/>
          </rPr>
          <t xml:space="preserve">
- 7.046.196 từ 01/01/2024</t>
        </r>
      </text>
    </comment>
    <comment ref="I331" authorId="2" shapeId="0" xr:uid="{00000000-0006-0000-0000-000080010000}">
      <text>
        <r>
          <rPr>
            <b/>
            <sz val="9"/>
            <color indexed="81"/>
            <rFont val="Tahoma"/>
            <family val="2"/>
          </rPr>
          <t>user:</t>
        </r>
        <r>
          <rPr>
            <sz val="9"/>
            <color indexed="81"/>
            <rFont val="Tahoma"/>
            <family val="2"/>
          </rPr>
          <t xml:space="preserve">
- 9.434.059 từ 01/11/2021
- 10.080.646 từ 01/11/2022
- 12.518.663 từ 01/11/2023</t>
        </r>
      </text>
    </comment>
    <comment ref="I332" authorId="2" shapeId="0" xr:uid="{00000000-0006-0000-0000-000081010000}">
      <text>
        <r>
          <rPr>
            <b/>
            <sz val="9"/>
            <color indexed="81"/>
            <rFont val="Tahoma"/>
            <family val="2"/>
          </rPr>
          <t>user:</t>
        </r>
        <r>
          <rPr>
            <sz val="9"/>
            <color indexed="81"/>
            <rFont val="Tahoma"/>
            <family val="2"/>
          </rPr>
          <t xml:space="preserve">
- 6.151.018 từ T6/20 (Nâng lương trước hạn)
- 7.515.057 từ 01/06/2023</t>
        </r>
      </text>
    </comment>
    <comment ref="I333" authorId="3" shapeId="0" xr:uid="{00000000-0006-0000-0000-000082010000}">
      <text>
        <r>
          <rPr>
            <b/>
            <sz val="9"/>
            <color indexed="81"/>
            <rFont val="Tahoma"/>
            <family val="2"/>
          </rPr>
          <t>Windows User:</t>
        </r>
        <r>
          <rPr>
            <sz val="9"/>
            <color indexed="81"/>
            <rFont val="Tahoma"/>
            <family val="2"/>
          </rPr>
          <t xml:space="preserve">
- 5.733.201 từ 01/8/2023</t>
        </r>
      </text>
    </comment>
    <comment ref="I334" authorId="2" shapeId="0" xr:uid="{00000000-0006-0000-0000-000083010000}">
      <text>
        <r>
          <rPr>
            <b/>
            <sz val="9"/>
            <color indexed="81"/>
            <rFont val="Tahoma"/>
            <family val="2"/>
          </rPr>
          <t>user:</t>
        </r>
        <r>
          <rPr>
            <sz val="9"/>
            <color indexed="81"/>
            <rFont val="Tahoma"/>
            <family val="2"/>
          </rPr>
          <t xml:space="preserve">
T4: 85% lương thử việc của: 5.060.458
- 5.733.201 từ 01/05/2023</t>
        </r>
      </text>
    </comment>
    <comment ref="I336" authorId="2" shapeId="0" xr:uid="{00000000-0006-0000-0000-000084010000}">
      <text>
        <r>
          <rPr>
            <b/>
            <sz val="9"/>
            <color indexed="81"/>
            <rFont val="Tahoma"/>
            <family val="2"/>
          </rPr>
          <t>user:</t>
        </r>
        <r>
          <rPr>
            <sz val="9"/>
            <color indexed="81"/>
            <rFont val="Tahoma"/>
            <family val="2"/>
          </rPr>
          <t xml:space="preserve">
- 6.781.498 từ 01/11/2021 (Nâng lương trước hạn)</t>
        </r>
      </text>
    </comment>
    <comment ref="I337" authorId="2" shapeId="0" xr:uid="{00000000-0006-0000-0000-000085010000}">
      <text>
        <r>
          <rPr>
            <b/>
            <sz val="9"/>
            <color indexed="81"/>
            <rFont val="Tahoma"/>
            <family val="2"/>
          </rPr>
          <t>user:</t>
        </r>
        <r>
          <rPr>
            <sz val="9"/>
            <color indexed="81"/>
            <rFont val="Tahoma"/>
            <family val="2"/>
          </rPr>
          <t xml:space="preserve">
- 5.474.872 từ 01/01/2021
- 6.086.769 từ 01/01/2023</t>
        </r>
      </text>
    </comment>
    <comment ref="I338" authorId="2" shapeId="0" xr:uid="{00000000-0006-0000-0000-000086010000}">
      <text>
        <r>
          <rPr>
            <b/>
            <sz val="9"/>
            <color indexed="81"/>
            <rFont val="Tahoma"/>
            <family val="2"/>
          </rPr>
          <t>user:</t>
        </r>
        <r>
          <rPr>
            <sz val="9"/>
            <color indexed="81"/>
            <rFont val="Tahoma"/>
            <family val="2"/>
          </rPr>
          <t xml:space="preserve">
- 5.474.872 từ 01/01/2021 (Nâng lương trước hạn)
- 6.086.769 từ 01/01/2023</t>
        </r>
      </text>
    </comment>
    <comment ref="I339" authorId="3" shapeId="0" xr:uid="{00000000-0006-0000-0000-000087010000}">
      <text>
        <r>
          <rPr>
            <b/>
            <sz val="9"/>
            <color indexed="81"/>
            <rFont val="Tahoma"/>
            <family val="2"/>
          </rPr>
          <t>Windows User:</t>
        </r>
        <r>
          <rPr>
            <sz val="9"/>
            <color indexed="81"/>
            <rFont val="Tahoma"/>
            <family val="2"/>
          </rPr>
          <t xml:space="preserve">
- 5.733.201 từ 01/12/2023</t>
        </r>
      </text>
    </comment>
    <comment ref="I340" authorId="3" shapeId="0" xr:uid="{00000000-0006-0000-0000-000088010000}">
      <text>
        <r>
          <rPr>
            <b/>
            <sz val="9"/>
            <color indexed="81"/>
            <rFont val="Tahoma"/>
            <family val="2"/>
          </rPr>
          <t>Windows User:</t>
        </r>
        <r>
          <rPr>
            <sz val="9"/>
            <color indexed="81"/>
            <rFont val="Tahoma"/>
            <family val="2"/>
          </rPr>
          <t xml:space="preserve">
- 5.257.980 từ 01/9/2023</t>
        </r>
      </text>
    </comment>
    <comment ref="I341" authorId="2" shapeId="0" xr:uid="{00000000-0006-0000-0000-000089010000}">
      <text>
        <r>
          <rPr>
            <b/>
            <sz val="9"/>
            <color indexed="81"/>
            <rFont val="Tahoma"/>
            <family val="2"/>
          </rPr>
          <t>user:</t>
        </r>
        <r>
          <rPr>
            <sz val="9"/>
            <color indexed="81"/>
            <rFont val="Tahoma"/>
            <family val="2"/>
          </rPr>
          <t xml:space="preserve">
- 5.257.980 lên 5.520.879 từ 01/11/2022</t>
        </r>
      </text>
    </comment>
    <comment ref="I342" authorId="3" shapeId="0" xr:uid="{00000000-0006-0000-0000-00008A010000}">
      <text>
        <r>
          <rPr>
            <b/>
            <sz val="9"/>
            <color indexed="81"/>
            <rFont val="Tahoma"/>
            <family val="2"/>
          </rPr>
          <t>Windows User:</t>
        </r>
        <r>
          <rPr>
            <sz val="9"/>
            <color indexed="81"/>
            <rFont val="Tahoma"/>
            <family val="2"/>
          </rPr>
          <t xml:space="preserve">
- 5.733.201 từ 01/7/2023</t>
        </r>
      </text>
    </comment>
    <comment ref="I343" authorId="2" shapeId="0" xr:uid="{00000000-0006-0000-0000-00008B010000}">
      <text>
        <r>
          <rPr>
            <b/>
            <sz val="9"/>
            <color indexed="81"/>
            <rFont val="Tahoma"/>
            <family val="2"/>
          </rPr>
          <t>user:</t>
        </r>
        <r>
          <rPr>
            <sz val="9"/>
            <color indexed="81"/>
            <rFont val="Tahoma"/>
            <family val="2"/>
          </rPr>
          <t xml:space="preserve">
- 5.858.113 lên 6.151.018 từ 01/12/2020
- 6.838.485 từ 01/12/2022</t>
        </r>
      </text>
    </comment>
    <comment ref="I345" authorId="3" shapeId="0" xr:uid="{00000000-0006-0000-0000-00008C010000}">
      <text>
        <r>
          <rPr>
            <b/>
            <sz val="9"/>
            <color indexed="81"/>
            <rFont val="Tahoma"/>
            <family val="2"/>
          </rPr>
          <t>Windows User:</t>
        </r>
        <r>
          <rPr>
            <sz val="9"/>
            <color indexed="81"/>
            <rFont val="Tahoma"/>
            <family val="2"/>
          </rPr>
          <t xml:space="preserve">
- 5.626.039 từ 01/01/2023</t>
        </r>
      </text>
    </comment>
    <comment ref="I346" authorId="3" shapeId="0" xr:uid="{00000000-0006-0000-0000-00008D010000}">
      <text>
        <r>
          <rPr>
            <b/>
            <sz val="9"/>
            <color indexed="81"/>
            <rFont val="Tahoma"/>
            <family val="2"/>
          </rPr>
          <t>Windows User:</t>
        </r>
        <r>
          <rPr>
            <sz val="9"/>
            <color indexed="81"/>
            <rFont val="Tahoma"/>
            <family val="2"/>
          </rPr>
          <t xml:space="preserve">
- 6.391.108 từ 01/01/2024</t>
        </r>
      </text>
    </comment>
    <comment ref="I347" authorId="3" shapeId="0" xr:uid="{00000000-0006-0000-0000-00008E010000}">
      <text>
        <r>
          <rPr>
            <b/>
            <sz val="9"/>
            <color indexed="81"/>
            <rFont val="Tahoma"/>
            <family val="2"/>
          </rPr>
          <t>Windows User:</t>
        </r>
        <r>
          <rPr>
            <sz val="9"/>
            <color indexed="81"/>
            <rFont val="Tahoma"/>
            <family val="2"/>
          </rPr>
          <t xml:space="preserve">
- 6.202.708 từ 01/04/2022</t>
        </r>
      </text>
    </comment>
    <comment ref="I348" authorId="3" shapeId="0" xr:uid="{00000000-0006-0000-0000-00008F010000}">
      <text>
        <r>
          <rPr>
            <b/>
            <sz val="9"/>
            <color indexed="81"/>
            <rFont val="Tahoma"/>
            <family val="2"/>
          </rPr>
          <t>Windows User:</t>
        </r>
        <r>
          <rPr>
            <sz val="9"/>
            <color indexed="81"/>
            <rFont val="Tahoma"/>
            <family val="2"/>
          </rPr>
          <t xml:space="preserve">
- 5.626.039 từ 01/01/2023</t>
        </r>
      </text>
    </comment>
    <comment ref="I349" authorId="2" shapeId="0" xr:uid="{00000000-0006-0000-0000-000090010000}">
      <text>
        <r>
          <rPr>
            <b/>
            <sz val="9"/>
            <color indexed="81"/>
            <rFont val="Tahoma"/>
            <family val="2"/>
          </rPr>
          <t>user:</t>
        </r>
        <r>
          <rPr>
            <sz val="9"/>
            <color indexed="81"/>
            <rFont val="Tahoma"/>
            <family val="2"/>
          </rPr>
          <t xml:space="preserve">
- 6,151,018 từ 01/01/2021
- 6.838.485 từ 01/01/2023</t>
        </r>
      </text>
    </comment>
    <comment ref="I350" authorId="3" shapeId="0" xr:uid="{00000000-0006-0000-0000-000091010000}">
      <text>
        <r>
          <rPr>
            <b/>
            <sz val="9"/>
            <color indexed="81"/>
            <rFont val="Tahoma"/>
            <family val="2"/>
          </rPr>
          <t>Windows User:</t>
        </r>
        <r>
          <rPr>
            <sz val="9"/>
            <color indexed="81"/>
            <rFont val="Tahoma"/>
            <family val="2"/>
          </rPr>
          <t xml:space="preserve">
- 7.180.409 từ 01/01/2022</t>
        </r>
      </text>
    </comment>
    <comment ref="I352" authorId="2" shapeId="0" xr:uid="{00000000-0006-0000-0000-000092010000}">
      <text>
        <r>
          <rPr>
            <b/>
            <sz val="9"/>
            <color indexed="81"/>
            <rFont val="Tahoma"/>
            <family val="2"/>
          </rPr>
          <t>user:</t>
        </r>
        <r>
          <rPr>
            <sz val="9"/>
            <color indexed="81"/>
            <rFont val="Tahoma"/>
            <family val="2"/>
          </rPr>
          <t xml:space="preserve">
- 4.873.050 từ 01/3/2021
- 5.417.685 từ 01/3/2023</t>
        </r>
      </text>
    </comment>
    <comment ref="I355" authorId="2" shapeId="0" xr:uid="{00000000-0006-0000-0000-000093010000}">
      <text>
        <r>
          <rPr>
            <b/>
            <sz val="9"/>
            <color indexed="81"/>
            <rFont val="Tahoma"/>
            <family val="2"/>
          </rPr>
          <t>user:</t>
        </r>
        <r>
          <rPr>
            <sz val="9"/>
            <color indexed="81"/>
            <rFont val="Tahoma"/>
            <family val="2"/>
          </rPr>
          <t xml:space="preserve">
- 6151018 từ T9/20 (Trước hạn)
- 7.515.057 từ T9/2023</t>
        </r>
      </text>
    </comment>
    <comment ref="I356" authorId="3" shapeId="0" xr:uid="{00000000-0006-0000-0000-000094010000}">
      <text>
        <r>
          <rPr>
            <b/>
            <sz val="9"/>
            <color indexed="81"/>
            <rFont val="Tahoma"/>
            <family val="2"/>
          </rPr>
          <t>Windows User:</t>
        </r>
        <r>
          <rPr>
            <sz val="9"/>
            <color indexed="81"/>
            <rFont val="Tahoma"/>
            <family val="2"/>
          </rPr>
          <t xml:space="preserve">
- 8.727.832 từ 01/06/2022</t>
        </r>
      </text>
    </comment>
    <comment ref="I357" authorId="3" shapeId="0" xr:uid="{00000000-0006-0000-0000-000095010000}">
      <text>
        <r>
          <rPr>
            <b/>
            <sz val="9"/>
            <color indexed="81"/>
            <rFont val="Tahoma"/>
            <family val="2"/>
          </rPr>
          <t>Windows User:</t>
        </r>
        <r>
          <rPr>
            <sz val="9"/>
            <color indexed="81"/>
            <rFont val="Tahoma"/>
            <family val="2"/>
          </rPr>
          <t xml:space="preserve">
- 6.086.769 từ 01/7/2023</t>
        </r>
      </text>
    </comment>
    <comment ref="I358" authorId="3" shapeId="0" xr:uid="{00000000-0006-0000-0000-000096010000}">
      <text>
        <r>
          <rPr>
            <b/>
            <sz val="9"/>
            <color indexed="81"/>
            <rFont val="Tahoma"/>
            <family val="2"/>
          </rPr>
          <t>Windows User:</t>
        </r>
        <r>
          <rPr>
            <sz val="9"/>
            <color indexed="81"/>
            <rFont val="Tahoma"/>
            <family val="2"/>
          </rPr>
          <t xml:space="preserve">
4.680.000đ từ 10/7/2023</t>
        </r>
      </text>
    </comment>
    <comment ref="I360" authorId="3" shapeId="0" xr:uid="{00000000-0006-0000-0000-000097010000}">
      <text>
        <r>
          <rPr>
            <b/>
            <sz val="9"/>
            <color indexed="81"/>
            <rFont val="Tahoma"/>
            <family val="2"/>
          </rPr>
          <t>Windows User:</t>
        </r>
        <r>
          <rPr>
            <sz val="9"/>
            <color indexed="81"/>
            <rFont val="Tahoma"/>
            <family val="2"/>
          </rPr>
          <t xml:space="preserve">
- 5.520.879 từ 01/12/2023</t>
        </r>
      </text>
    </comment>
    <comment ref="I361" authorId="3" shapeId="0" xr:uid="{00000000-0006-0000-0000-000098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21" authorId="0" shapeId="0" xr:uid="{00000000-0006-0000-01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xr:uid="{00000000-0006-0000-0100-000002000000}">
      <text>
        <r>
          <rPr>
            <b/>
            <sz val="9"/>
            <color indexed="81"/>
            <rFont val="Tahoma"/>
            <family val="2"/>
          </rPr>
          <t>Admin:</t>
        </r>
        <r>
          <rPr>
            <sz val="9"/>
            <color indexed="81"/>
            <rFont val="Tahoma"/>
            <family val="2"/>
          </rPr>
          <t xml:space="preserve">
- HS 4,65 từ 01/12/2015
- HS 4,98 từ 01/12/2018</t>
        </r>
      </text>
    </comment>
    <comment ref="G22" authorId="2" shapeId="0" xr:uid="{00000000-0006-0000-0100-000003000000}">
      <text>
        <r>
          <rPr>
            <b/>
            <sz val="9"/>
            <color indexed="81"/>
            <rFont val="Tahoma"/>
            <family val="2"/>
          </rPr>
          <t>user:</t>
        </r>
        <r>
          <rPr>
            <sz val="9"/>
            <color indexed="81"/>
            <rFont val="Tahoma"/>
            <family val="2"/>
          </rPr>
          <t xml:space="preserve">
- VK 5% từ 01/12/2021
- VK 6% từ 01/12/2022
- VK 7% từ 01/12/2023</t>
        </r>
      </text>
    </comment>
    <comment ref="F23" authorId="0" shapeId="0" xr:uid="{00000000-0006-0000-0100-000004000000}">
      <text>
        <r>
          <rPr>
            <b/>
            <sz val="9"/>
            <color indexed="81"/>
            <rFont val="Tahoma"/>
            <family val="2"/>
          </rPr>
          <t>User:</t>
        </r>
        <r>
          <rPr>
            <sz val="9"/>
            <color indexed="81"/>
            <rFont val="Tahoma"/>
            <family val="2"/>
          </rPr>
          <t xml:space="preserve">
- 4,65 từ 01/10/2015
- HS 4,98 từ 01/10/17 (NL trước hạn)</t>
        </r>
      </text>
    </comment>
    <comment ref="G23" authorId="2" shapeId="0" xr:uid="{00000000-0006-0000-01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xr:uid="{00000000-0006-0000-0100-000006000000}">
      <text>
        <r>
          <rPr>
            <b/>
            <sz val="9"/>
            <color indexed="81"/>
            <rFont val="Tahoma"/>
            <family val="2"/>
          </rPr>
          <t>Admin:</t>
        </r>
        <r>
          <rPr>
            <sz val="9"/>
            <color indexed="81"/>
            <rFont val="Tahoma"/>
            <family val="2"/>
          </rPr>
          <t xml:space="preserve">
- HS 0,7 từ 01/11/2016</t>
        </r>
      </text>
    </comment>
    <comment ref="F24" authorId="2" shapeId="0" xr:uid="{00000000-0006-0000-0100-000007000000}">
      <text>
        <r>
          <rPr>
            <b/>
            <sz val="9"/>
            <color indexed="81"/>
            <rFont val="Tahoma"/>
            <family val="2"/>
          </rPr>
          <t>user:</t>
        </r>
        <r>
          <rPr>
            <sz val="9"/>
            <color indexed="81"/>
            <rFont val="Tahoma"/>
            <family val="2"/>
          </rPr>
          <t xml:space="preserve">
- HS 4.32 từ 01/4/2019
- HS 4,65 từ 01/4/2021 (NL trước hạn)
</t>
        </r>
      </text>
    </comment>
    <comment ref="I24" authorId="2" shapeId="0" xr:uid="{00000000-0006-0000-0100-000008000000}">
      <text>
        <r>
          <rPr>
            <b/>
            <sz val="9"/>
            <color indexed="81"/>
            <rFont val="Tahoma"/>
            <family val="2"/>
          </rPr>
          <t>user:</t>
        </r>
        <r>
          <rPr>
            <sz val="9"/>
            <color indexed="81"/>
            <rFont val="Tahoma"/>
            <family val="2"/>
          </rPr>
          <t xml:space="preserve">
- HS 0.7 từ 15/4/2019</t>
        </r>
      </text>
    </comment>
    <comment ref="F25" authorId="0" shapeId="0" xr:uid="{00000000-0006-0000-01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xr:uid="{00000000-0006-0000-0100-00000A000000}">
      <text>
        <r>
          <rPr>
            <b/>
            <sz val="9"/>
            <color indexed="81"/>
            <rFont val="Tahoma"/>
            <family val="2"/>
          </rPr>
          <t>Windows User:</t>
        </r>
        <r>
          <rPr>
            <sz val="9"/>
            <color indexed="81"/>
            <rFont val="Tahoma"/>
            <family val="2"/>
          </rPr>
          <t xml:space="preserve">
- VK 5% từ 01/9/2023</t>
        </r>
      </text>
    </comment>
    <comment ref="F26" authorId="4" shapeId="0" xr:uid="{00000000-0006-0000-01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xr:uid="{00000000-0006-0000-0100-00000C000000}">
      <text>
        <r>
          <rPr>
            <b/>
            <sz val="9"/>
            <color indexed="81"/>
            <rFont val="Tahoma"/>
            <family val="2"/>
          </rPr>
          <t>user:</t>
        </r>
        <r>
          <rPr>
            <sz val="9"/>
            <color indexed="81"/>
            <rFont val="Tahoma"/>
            <family val="2"/>
          </rPr>
          <t xml:space="preserve">
- PP TC-HC-TH từ 01/9/2020</t>
        </r>
      </text>
    </comment>
    <comment ref="F27" authorId="0" shapeId="0" xr:uid="{00000000-0006-0000-01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xr:uid="{00000000-0006-0000-0100-00000E000000}">
      <text>
        <r>
          <rPr>
            <b/>
            <sz val="9"/>
            <color indexed="81"/>
            <rFont val="Tahoma"/>
            <family val="2"/>
          </rPr>
          <t>user:</t>
        </r>
        <r>
          <rPr>
            <sz val="9"/>
            <color indexed="81"/>
            <rFont val="Tahoma"/>
            <family val="2"/>
          </rPr>
          <t xml:space="preserve">
BN Phó TP từ 01/03/2021</t>
        </r>
      </text>
    </comment>
    <comment ref="F28" authorId="5" shapeId="0" xr:uid="{00000000-0006-0000-01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xr:uid="{00000000-0006-0000-01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xr:uid="{00000000-0006-0000-01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xr:uid="{00000000-0006-0000-01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xr:uid="{00000000-0006-0000-01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t>
        </r>
      </text>
    </comment>
    <comment ref="F33" authorId="5" shapeId="0" xr:uid="{00000000-0006-0000-01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xr:uid="{00000000-0006-0000-01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xr:uid="{00000000-0006-0000-0100-000016000000}">
      <text>
        <r>
          <rPr>
            <sz val="9"/>
            <color indexed="81"/>
            <rFont val="Tahoma"/>
            <family val="2"/>
          </rPr>
          <t>Hợp đồng thử việc từ 10/11/2017 hưởng 85% lương
Tháng 12 hưởng 100% lương
- BNCDNN từ 01/4/2019 (2.10)
- HS 2,41 từ 01/4/2022</t>
        </r>
      </text>
    </comment>
    <comment ref="K35" authorId="1" shapeId="0" xr:uid="{00000000-0006-0000-0100-000017000000}">
      <text>
        <r>
          <rPr>
            <sz val="9"/>
            <color indexed="81"/>
            <rFont val="Tahoma"/>
            <family val="2"/>
          </rPr>
          <t>- Tập sự từ 01/4/2018 85% 2,1</t>
        </r>
        <r>
          <rPr>
            <sz val="9"/>
            <color indexed="81"/>
            <rFont val="Tahoma"/>
            <family val="2"/>
          </rPr>
          <t xml:space="preserve">
</t>
        </r>
      </text>
    </comment>
    <comment ref="F37" authorId="0" shapeId="0" xr:uid="{00000000-0006-0000-01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37" authorId="3" shapeId="0" xr:uid="{00000000-0006-0000-0100-000019000000}">
      <text>
        <r>
          <rPr>
            <b/>
            <sz val="9"/>
            <color indexed="81"/>
            <rFont val="Tahoma"/>
            <family val="2"/>
          </rPr>
          <t>Windows User:</t>
        </r>
        <r>
          <rPr>
            <sz val="9"/>
            <color indexed="81"/>
            <rFont val="Tahoma"/>
            <family val="2"/>
          </rPr>
          <t xml:space="preserve">
- VK 5% từ 01/9/2023</t>
        </r>
      </text>
    </comment>
    <comment ref="F38" authorId="1" shapeId="0" xr:uid="{00000000-0006-0000-0100-00001A000000}">
      <text>
        <r>
          <rPr>
            <b/>
            <sz val="9"/>
            <color indexed="81"/>
            <rFont val="Tahoma"/>
            <family val="2"/>
          </rPr>
          <t>Admin:</t>
        </r>
        <r>
          <rPr>
            <sz val="9"/>
            <color indexed="81"/>
            <rFont val="Tahoma"/>
            <family val="2"/>
          </rPr>
          <t xml:space="preserve">
- HS 4,65 từ 01/12/2015
- HS 4,98 từ 01/12/2018</t>
        </r>
      </text>
    </comment>
    <comment ref="G38" authorId="2" shapeId="0" xr:uid="{00000000-0006-0000-0100-00001B000000}">
      <text>
        <r>
          <rPr>
            <b/>
            <sz val="9"/>
            <color indexed="81"/>
            <rFont val="Tahoma"/>
            <family val="2"/>
          </rPr>
          <t>user:</t>
        </r>
        <r>
          <rPr>
            <sz val="9"/>
            <color indexed="81"/>
            <rFont val="Tahoma"/>
            <family val="2"/>
          </rPr>
          <t xml:space="preserve">
- VK 5% từ 01/12/2021
- VK 6% từ 01/12/2022
- VK 7% từ 01/12/2023</t>
        </r>
      </text>
    </comment>
    <comment ref="I38" authorId="6" shapeId="0" xr:uid="{00000000-0006-0000-0100-00001C000000}">
      <text>
        <r>
          <rPr>
            <b/>
            <sz val="8"/>
            <color indexed="81"/>
            <rFont val="Tahoma"/>
            <family val="2"/>
          </rPr>
          <t>admin:</t>
        </r>
        <r>
          <rPr>
            <sz val="8"/>
            <color indexed="81"/>
            <rFont val="Tahoma"/>
            <family val="2"/>
          </rPr>
          <t xml:space="preserve">
+ QĐ Bổ nhiệm Phó Trưởng phòng QT CSVC từ 01/06/2014</t>
        </r>
      </text>
    </comment>
    <comment ref="F39" authorId="0" shapeId="0" xr:uid="{00000000-0006-0000-01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0" authorId="1" shapeId="0" xr:uid="{00000000-0006-0000-0100-00001E000000}">
      <text>
        <r>
          <rPr>
            <b/>
            <sz val="9"/>
            <color indexed="81"/>
            <rFont val="Tahoma"/>
            <family val="2"/>
          </rPr>
          <t>Admin:</t>
        </r>
        <r>
          <rPr>
            <sz val="9"/>
            <color indexed="81"/>
            <rFont val="Tahoma"/>
            <family val="2"/>
          </rPr>
          <t xml:space="preserve">
- HS 2.66 từ 01/4/2016
- HS 2,86 từ 01/4/2018
- HS 3,06 từ 01/04/2020
- HS 3,26 từ 01/04/2022</t>
        </r>
      </text>
    </comment>
    <comment ref="F41" authorId="1" shapeId="0" xr:uid="{00000000-0006-0000-01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2" authorId="1" shapeId="0" xr:uid="{00000000-0006-0000-01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3" authorId="0" shapeId="0" xr:uid="{00000000-0006-0000-01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4" authorId="1" shapeId="0" xr:uid="{00000000-0006-0000-0100-000022000000}">
      <text>
        <r>
          <rPr>
            <b/>
            <sz val="9"/>
            <color indexed="81"/>
            <rFont val="Tahoma"/>
            <family val="2"/>
          </rPr>
          <t>Admin:</t>
        </r>
        <r>
          <rPr>
            <sz val="9"/>
            <color indexed="81"/>
            <rFont val="Tahoma"/>
            <family val="2"/>
          </rPr>
          <t xml:space="preserve">
- HS 2,41 từ 01/11/2015
- HS 2,72 từ 01/11/2018
- HS 3,03 từ 01/11/2021</t>
        </r>
      </text>
    </comment>
    <comment ref="F45" authorId="0" shapeId="0" xr:uid="{00000000-0006-0000-01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5" authorId="0" shapeId="0" xr:uid="{00000000-0006-0000-01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6" authorId="1" shapeId="0" xr:uid="{00000000-0006-0000-0100-000025000000}">
      <text>
        <r>
          <rPr>
            <b/>
            <sz val="9"/>
            <color indexed="81"/>
            <rFont val="Tahoma"/>
            <family val="2"/>
          </rPr>
          <t>Admin:</t>
        </r>
        <r>
          <rPr>
            <sz val="9"/>
            <color indexed="81"/>
            <rFont val="Tahoma"/>
            <family val="2"/>
          </rPr>
          <t xml:space="preserve">
- Bổ nhiệm CDNN từ 01/4/2018
- HS 2,34 từ 01/2/2017
- HS 2,67 từ 01/2/2019</t>
        </r>
      </text>
    </comment>
    <comment ref="I46" authorId="7" shapeId="0" xr:uid="{00000000-0006-0000-01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7" authorId="2" shapeId="0" xr:uid="{00000000-0006-0000-01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8" authorId="0" shapeId="0" xr:uid="{00000000-0006-0000-01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8" authorId="3" shapeId="0" xr:uid="{00000000-0006-0000-0100-000029000000}">
      <text>
        <r>
          <rPr>
            <b/>
            <sz val="9"/>
            <color indexed="81"/>
            <rFont val="Tahoma"/>
            <family val="2"/>
          </rPr>
          <t>Windows User:</t>
        </r>
        <r>
          <rPr>
            <sz val="9"/>
            <color indexed="81"/>
            <rFont val="Tahoma"/>
            <family val="2"/>
          </rPr>
          <t xml:space="preserve">
- VK 5% từ 01/9/2023</t>
        </r>
      </text>
    </comment>
    <comment ref="I48" authorId="0" shapeId="0" xr:uid="{00000000-0006-0000-0100-00002A000000}">
      <text>
        <r>
          <rPr>
            <b/>
            <sz val="9"/>
            <color indexed="81"/>
            <rFont val="Tahoma"/>
            <family val="2"/>
          </rPr>
          <t>User:</t>
        </r>
        <r>
          <rPr>
            <sz val="9"/>
            <color indexed="81"/>
            <rFont val="Tahoma"/>
            <family val="2"/>
          </rPr>
          <t xml:space="preserve">
- QĐ Bổ nhiệm Tổ trưởng tổ Ký túc xá SV từ 15/9/2015</t>
        </r>
      </text>
    </comment>
    <comment ref="F49" authorId="0" shapeId="0" xr:uid="{00000000-0006-0000-01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0" authorId="3" shapeId="0" xr:uid="{00000000-0006-0000-0100-00002C000000}">
      <text>
        <r>
          <rPr>
            <b/>
            <sz val="9"/>
            <color indexed="81"/>
            <rFont val="Tahoma"/>
            <family val="2"/>
          </rPr>
          <t>Windows User:</t>
        </r>
        <r>
          <rPr>
            <sz val="9"/>
            <color indexed="81"/>
            <rFont val="Tahoma"/>
            <family val="2"/>
          </rPr>
          <t xml:space="preserve">
- VK 10% từ 01/9/2023</t>
        </r>
      </text>
    </comment>
    <comment ref="I50" authorId="3" shapeId="0" xr:uid="{00000000-0006-0000-0100-00002D000000}">
      <text>
        <r>
          <rPr>
            <b/>
            <sz val="9"/>
            <color indexed="81"/>
            <rFont val="Tahoma"/>
            <family val="2"/>
          </rPr>
          <t>Windows User:</t>
        </r>
        <r>
          <rPr>
            <sz val="9"/>
            <color indexed="81"/>
            <rFont val="Tahoma"/>
            <family val="2"/>
          </rPr>
          <t xml:space="preserve">
- Phó TP QT-DV từ T10/23</t>
        </r>
      </text>
    </comment>
    <comment ref="F51" authorId="1" shapeId="0" xr:uid="{00000000-0006-0000-01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2" authorId="1" shapeId="0" xr:uid="{00000000-0006-0000-01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3" authorId="1" shapeId="0" xr:uid="{00000000-0006-0000-0100-000030000000}">
      <text>
        <r>
          <rPr>
            <sz val="9"/>
            <color indexed="81"/>
            <rFont val="Tahoma"/>
            <family val="2"/>
          </rPr>
          <t>- 31% từ 01/10/2017
- 32% từ 01/10/2018
- 33% từ 01/10/2019
- 34% từ 01/10/2020
- 35% từ 01/10/2021
- 36% từ 01/10/2022</t>
        </r>
      </text>
    </comment>
    <comment ref="I53" authorId="0" shapeId="0" xr:uid="{00000000-0006-0000-0100-000031000000}">
      <text>
        <r>
          <rPr>
            <b/>
            <sz val="9"/>
            <color indexed="81"/>
            <rFont val="Tahoma"/>
            <family val="2"/>
          </rPr>
          <t>User:</t>
        </r>
        <r>
          <rPr>
            <sz val="9"/>
            <color indexed="81"/>
            <rFont val="Tahoma"/>
            <family val="2"/>
          </rPr>
          <t xml:space="preserve">
Trưởng phòng Kế toán từ 19/8/2015
</t>
        </r>
      </text>
    </comment>
    <comment ref="F54" authorId="0" shapeId="0" xr:uid="{00000000-0006-0000-01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55" authorId="0" shapeId="0" xr:uid="{00000000-0006-0000-01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6" authorId="1" shapeId="0" xr:uid="{00000000-0006-0000-01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7" authorId="0" shapeId="0" xr:uid="{00000000-0006-0000-01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8" authorId="1" shapeId="0" xr:uid="{00000000-0006-0000-0100-000036000000}">
      <text>
        <r>
          <rPr>
            <b/>
            <sz val="9"/>
            <color indexed="81"/>
            <rFont val="Tahoma"/>
            <family val="2"/>
          </rPr>
          <t>Admin:</t>
        </r>
        <r>
          <rPr>
            <sz val="9"/>
            <color indexed="81"/>
            <rFont val="Tahoma"/>
            <family val="2"/>
          </rPr>
          <t xml:space="preserve">
- HS 3,66 từ 01/01/2017
- HS 3,99 từ 01/01/2019</t>
        </r>
      </text>
    </comment>
    <comment ref="I58" authorId="1" shapeId="0" xr:uid="{00000000-0006-0000-0100-000037000000}">
      <text>
        <r>
          <rPr>
            <b/>
            <sz val="9"/>
            <color indexed="81"/>
            <rFont val="Tahoma"/>
            <family val="2"/>
          </rPr>
          <t>Admin:</t>
        </r>
        <r>
          <rPr>
            <sz val="9"/>
            <color indexed="81"/>
            <rFont val="Tahoma"/>
            <family val="2"/>
          </rPr>
          <t xml:space="preserve">
- Phụ trách TT Quan hệ DN từ 01/5/2018
- Trưởng TT từ 01/12/2019</t>
        </r>
      </text>
    </comment>
    <comment ref="F59" authorId="0" shapeId="0" xr:uid="{00000000-0006-0000-0100-000038000000}">
      <text>
        <r>
          <rPr>
            <b/>
            <sz val="9"/>
            <color indexed="81"/>
            <rFont val="Tahoma"/>
            <family val="2"/>
          </rPr>
          <t>User:</t>
        </r>
        <r>
          <rPr>
            <sz val="9"/>
            <color indexed="81"/>
            <rFont val="Tahoma"/>
            <family val="2"/>
          </rPr>
          <t xml:space="preserve">
- HS 3,33 từ 01/9/2015
- HS 3,66 từ 01/9/2018
- HS 3,99 từ 01/9/2021</t>
        </r>
      </text>
    </comment>
    <comment ref="F60" authorId="1" shapeId="0" xr:uid="{00000000-0006-0000-0100-000039000000}">
      <text>
        <r>
          <rPr>
            <b/>
            <sz val="9"/>
            <color indexed="81"/>
            <rFont val="Tahoma"/>
            <family val="2"/>
          </rPr>
          <t>Admin:</t>
        </r>
        <r>
          <rPr>
            <sz val="9"/>
            <color indexed="81"/>
            <rFont val="Tahoma"/>
            <family val="2"/>
          </rPr>
          <t xml:space="preserve">
- HS 3.66 từ 01/03/2015
- HS 3,99 từ 01/3/2018
- HS 4,32 từ 01/3/2021</t>
        </r>
      </text>
    </comment>
    <comment ref="F61" authorId="1" shapeId="0" xr:uid="{00000000-0006-0000-0100-00003A000000}">
      <text>
        <r>
          <rPr>
            <b/>
            <sz val="9"/>
            <color indexed="81"/>
            <rFont val="Tahoma"/>
            <family val="2"/>
          </rPr>
          <t>Admin:</t>
        </r>
        <r>
          <rPr>
            <sz val="9"/>
            <color indexed="81"/>
            <rFont val="Tahoma"/>
            <family val="2"/>
          </rPr>
          <t xml:space="preserve">
- HS 4,65 từ 01/9/2016
- HS 4,98 từ 01/9/2018 (NL trước hạn)</t>
        </r>
      </text>
    </comment>
    <comment ref="G61" authorId="2" shapeId="0" xr:uid="{00000000-0006-0000-0100-00003B000000}">
      <text>
        <r>
          <rPr>
            <b/>
            <sz val="9"/>
            <color indexed="81"/>
            <rFont val="Tahoma"/>
            <family val="2"/>
          </rPr>
          <t>user:</t>
        </r>
        <r>
          <rPr>
            <sz val="9"/>
            <color indexed="81"/>
            <rFont val="Tahoma"/>
            <family val="2"/>
          </rPr>
          <t xml:space="preserve">
- VK 5% từ 01/9/2021
- VK 6% từ 01/9/2022
- VK 7% từ 01/9/2023</t>
        </r>
      </text>
    </comment>
    <comment ref="I61" authorId="2" shapeId="0" xr:uid="{00000000-0006-0000-0100-00003C000000}">
      <text>
        <r>
          <rPr>
            <b/>
            <sz val="9"/>
            <color indexed="81"/>
            <rFont val="Tahoma"/>
            <family val="2"/>
          </rPr>
          <t>user:</t>
        </r>
        <r>
          <rPr>
            <sz val="9"/>
            <color indexed="81"/>
            <rFont val="Tahoma"/>
            <family val="2"/>
          </rPr>
          <t xml:space="preserve">
BN Trưởng phòng T10/19</t>
        </r>
      </text>
    </comment>
    <comment ref="F62" authorId="1" shapeId="0" xr:uid="{00000000-0006-0000-0100-00003D000000}">
      <text>
        <r>
          <rPr>
            <b/>
            <sz val="9"/>
            <color indexed="81"/>
            <rFont val="Tahoma"/>
            <family val="2"/>
          </rPr>
          <t>Admin:</t>
        </r>
        <r>
          <rPr>
            <sz val="9"/>
            <color indexed="81"/>
            <rFont val="Tahoma"/>
            <family val="2"/>
          </rPr>
          <t xml:space="preserve">
- HS 3.33 từ 01/01/2016
- HS 3,66 từ 01/01/2019</t>
        </r>
      </text>
    </comment>
    <comment ref="F63" authorId="1" shapeId="0" xr:uid="{00000000-0006-0000-0100-00003E000000}">
      <text>
        <r>
          <rPr>
            <b/>
            <sz val="9"/>
            <color indexed="81"/>
            <rFont val="Tahoma"/>
            <family val="2"/>
          </rPr>
          <t>Admin:</t>
        </r>
        <r>
          <rPr>
            <sz val="9"/>
            <color indexed="81"/>
            <rFont val="Tahoma"/>
            <family val="2"/>
          </rPr>
          <t xml:space="preserve">
- HS 3,00 từ 01/9/2016
- HS 3,33 từ 01/9/2019
- HS 3,66 từ 01/9/2022
</t>
        </r>
      </text>
    </comment>
    <comment ref="F64" authorId="1" shapeId="0" xr:uid="{00000000-0006-0000-01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5" authorId="1" shapeId="0" xr:uid="{00000000-0006-0000-0100-000040000000}">
      <text>
        <r>
          <rPr>
            <b/>
            <sz val="9"/>
            <color indexed="81"/>
            <rFont val="Tahoma"/>
            <family val="2"/>
          </rPr>
          <t>Admin:</t>
        </r>
        <r>
          <rPr>
            <sz val="9"/>
            <color indexed="81"/>
            <rFont val="Tahoma"/>
            <family val="2"/>
          </rPr>
          <t xml:space="preserve">
- HS 3,66 từ 01/9/2016
- HS 3,99 từ 01/9/2019
- HS 4,32 từ 01/9/2022</t>
        </r>
      </text>
    </comment>
    <comment ref="F66" authorId="0" shapeId="0" xr:uid="{00000000-0006-0000-01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7" authorId="1" shapeId="0" xr:uid="{00000000-0006-0000-01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7" authorId="2" shapeId="0" xr:uid="{00000000-0006-0000-0100-000043000000}">
      <text>
        <r>
          <rPr>
            <b/>
            <sz val="9"/>
            <color indexed="81"/>
            <rFont val="Tahoma"/>
            <family val="2"/>
          </rPr>
          <t>user:</t>
        </r>
        <r>
          <rPr>
            <sz val="9"/>
            <color indexed="81"/>
            <rFont val="Tahoma"/>
            <family val="2"/>
          </rPr>
          <t xml:space="preserve">
- HS 3,33 từ 01/11/2019
- HS 3,66 từ 01/11/2022</t>
        </r>
      </text>
    </comment>
    <comment ref="F68" authorId="1" shapeId="0" xr:uid="{00000000-0006-0000-01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t>
        </r>
      </text>
    </comment>
    <comment ref="I68" authorId="1" shapeId="0" xr:uid="{00000000-0006-0000-01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9" authorId="0" shapeId="0" xr:uid="{00000000-0006-0000-01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9" authorId="3" shapeId="0" xr:uid="{00000000-0006-0000-0100-000047000000}">
      <text>
        <r>
          <rPr>
            <b/>
            <sz val="9"/>
            <color indexed="81"/>
            <rFont val="Tahoma"/>
            <family val="2"/>
          </rPr>
          <t>Windows User:</t>
        </r>
        <r>
          <rPr>
            <sz val="9"/>
            <color indexed="81"/>
            <rFont val="Tahoma"/>
            <family val="2"/>
          </rPr>
          <t xml:space="preserve">
- Phó Trưởng phòng TS - Đào tạo từ T10/22</t>
        </r>
      </text>
    </comment>
    <comment ref="F70" authorId="0" shapeId="0" xr:uid="{00000000-0006-0000-01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1" authorId="1" shapeId="0" xr:uid="{00000000-0006-0000-01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2" authorId="1" shapeId="0" xr:uid="{00000000-0006-0000-01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3" authorId="1" shapeId="0" xr:uid="{00000000-0006-0000-01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4" authorId="1" shapeId="0" xr:uid="{00000000-0006-0000-01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75" authorId="1" shapeId="0" xr:uid="{00000000-0006-0000-01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6" authorId="1" shapeId="0" xr:uid="{00000000-0006-0000-0100-00004E000000}">
      <text>
        <r>
          <rPr>
            <b/>
            <sz val="9"/>
            <color indexed="81"/>
            <rFont val="Tahoma"/>
            <family val="2"/>
          </rPr>
          <t>Admin:</t>
        </r>
        <r>
          <rPr>
            <sz val="9"/>
            <color indexed="81"/>
            <rFont val="Tahoma"/>
            <family val="2"/>
          </rPr>
          <t xml:space="preserve">
- HS 2.67 từ 01/02/2016
- HS 3,00 từ 01/02/2019</t>
        </r>
      </text>
    </comment>
    <comment ref="F77" authorId="0" shapeId="0" xr:uid="{00000000-0006-0000-01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7" authorId="0" shapeId="0" xr:uid="{00000000-0006-0000-0100-000050000000}">
      <text>
        <r>
          <rPr>
            <b/>
            <sz val="9"/>
            <color indexed="81"/>
            <rFont val="Tahoma"/>
            <family val="2"/>
          </rPr>
          <t>User:</t>
        </r>
        <r>
          <rPr>
            <sz val="9"/>
            <color indexed="81"/>
            <rFont val="Tahoma"/>
            <family val="2"/>
          </rPr>
          <t xml:space="preserve">
- Phó Trưởng phòng từ 01/8/2015
- Trưởng phòng từ 01/9/2018</t>
        </r>
      </text>
    </comment>
    <comment ref="F78" authorId="0" shapeId="0" xr:uid="{00000000-0006-0000-01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9" authorId="0" shapeId="0" xr:uid="{00000000-0006-0000-01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0" authorId="5" shapeId="0" xr:uid="{00000000-0006-0000-01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1" authorId="1" shapeId="0" xr:uid="{00000000-0006-0000-0100-000054000000}">
      <text>
        <r>
          <rPr>
            <b/>
            <sz val="9"/>
            <color indexed="81"/>
            <rFont val="Tahoma"/>
            <family val="2"/>
          </rPr>
          <t>Admin:</t>
        </r>
        <r>
          <rPr>
            <sz val="9"/>
            <color indexed="81"/>
            <rFont val="Tahoma"/>
            <family val="2"/>
          </rPr>
          <t xml:space="preserve">
Chuyển từ THPT lên khối Cao đẳng từ 01/06/2016</t>
        </r>
      </text>
    </comment>
    <comment ref="F81" authorId="1" shapeId="0" xr:uid="{00000000-0006-0000-01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2" authorId="8" shapeId="0" xr:uid="{00000000-0006-0000-0100-000056000000}">
      <text>
        <r>
          <rPr>
            <sz val="9"/>
            <color indexed="81"/>
            <rFont val="Tahoma"/>
            <family val="2"/>
          </rPr>
          <t>- HS 3,00 từ 01/11/2017
- HS 3,33 từ 01/11/2020
- HS 3,66 từ 01/11/2022</t>
        </r>
      </text>
    </comment>
    <comment ref="F83" authorId="2" shapeId="0" xr:uid="{00000000-0006-0000-0100-000057000000}">
      <text>
        <r>
          <rPr>
            <b/>
            <sz val="9"/>
            <color indexed="81"/>
            <rFont val="Tahoma"/>
            <family val="2"/>
          </rPr>
          <t>user:</t>
        </r>
        <r>
          <rPr>
            <sz val="9"/>
            <color indexed="81"/>
            <rFont val="Tahoma"/>
            <family val="2"/>
          </rPr>
          <t xml:space="preserve">
- Tuyển dụng từ 01/11/2019
- HS 3,00 từ 01/11/2022 (NL trước hạn)</t>
        </r>
      </text>
    </comment>
    <comment ref="I83" authorId="3" shapeId="0" xr:uid="{00000000-0006-0000-0100-000058000000}">
      <text>
        <r>
          <rPr>
            <b/>
            <sz val="9"/>
            <color indexed="81"/>
            <rFont val="Tahoma"/>
            <family val="2"/>
          </rPr>
          <t>Windows User:</t>
        </r>
        <r>
          <rPr>
            <sz val="9"/>
            <color indexed="81"/>
            <rFont val="Tahoma"/>
            <family val="2"/>
          </rPr>
          <t xml:space="preserve">
- Phó Trưởng TT ĐH&amp;QLDL từ T10/23</t>
        </r>
      </text>
    </comment>
    <comment ref="F84" authorId="0" shapeId="0" xr:uid="{00000000-0006-0000-01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84" authorId="6" shapeId="0" xr:uid="{00000000-0006-0000-01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5" authorId="0" shapeId="0" xr:uid="{00000000-0006-0000-0100-00005B000000}">
      <text>
        <r>
          <rPr>
            <b/>
            <sz val="9"/>
            <color indexed="81"/>
            <rFont val="Tahoma"/>
            <family val="2"/>
          </rPr>
          <t>User:</t>
        </r>
        <r>
          <rPr>
            <sz val="9"/>
            <color indexed="81"/>
            <rFont val="Tahoma"/>
            <family val="2"/>
          </rPr>
          <t xml:space="preserve">
- 3.00 từ 01/12/2015
- 3,33 từ 01/12/2018
- 3,66 từ 01/12/2021</t>
        </r>
      </text>
    </comment>
    <comment ref="F86" authorId="1" shapeId="0" xr:uid="{00000000-0006-0000-01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7" authorId="4" shapeId="0" xr:uid="{00000000-0006-0000-0100-00005D000000}">
      <text>
        <r>
          <rPr>
            <b/>
            <sz val="9"/>
            <color indexed="81"/>
            <rFont val="Tahoma"/>
            <family val="2"/>
          </rPr>
          <t>Quynh:</t>
        </r>
        <r>
          <rPr>
            <sz val="9"/>
            <color indexed="81"/>
            <rFont val="Tahoma"/>
            <family val="2"/>
          </rPr>
          <t xml:space="preserve">
- HS 3,00 từ 01/3/2016
</t>
        </r>
      </text>
    </comment>
    <comment ref="I87" authorId="2" shapeId="0" xr:uid="{00000000-0006-0000-01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8" authorId="0" shapeId="0" xr:uid="{00000000-0006-0000-01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9" authorId="1" shapeId="0" xr:uid="{00000000-0006-0000-0100-000060000000}">
      <text>
        <r>
          <rPr>
            <b/>
            <sz val="9"/>
            <color indexed="81"/>
            <rFont val="Tahoma"/>
            <family val="2"/>
          </rPr>
          <t>Admin:</t>
        </r>
        <r>
          <rPr>
            <sz val="9"/>
            <color indexed="81"/>
            <rFont val="Tahoma"/>
            <family val="2"/>
          </rPr>
          <t xml:space="preserve">
- HS 2,67 từ 01/4/2016
- HS 3.00 từ 01/4/2019
- HS 3,33 từ 01/4/2022
</t>
        </r>
      </text>
    </comment>
    <comment ref="F90" authorId="1" shapeId="0" xr:uid="{00000000-0006-0000-0100-000061000000}">
      <text>
        <r>
          <rPr>
            <b/>
            <sz val="9"/>
            <color indexed="81"/>
            <rFont val="Tahoma"/>
            <family val="2"/>
          </rPr>
          <t>Admin:</t>
        </r>
        <r>
          <rPr>
            <sz val="9"/>
            <color indexed="81"/>
            <rFont val="Tahoma"/>
            <family val="2"/>
          </rPr>
          <t xml:space="preserve">
- HS 4,65 từ 01/9/2017
- HS 4,98 từ 01/9/2020</t>
        </r>
      </text>
    </comment>
    <comment ref="G90" authorId="3" shapeId="0" xr:uid="{00000000-0006-0000-0100-000062000000}">
      <text>
        <r>
          <rPr>
            <b/>
            <sz val="9"/>
            <color indexed="81"/>
            <rFont val="Tahoma"/>
            <family val="2"/>
          </rPr>
          <t>Windows User:</t>
        </r>
        <r>
          <rPr>
            <sz val="9"/>
            <color indexed="81"/>
            <rFont val="Tahoma"/>
            <family val="2"/>
          </rPr>
          <t xml:space="preserve">
- 5% từ 01/9/2023</t>
        </r>
      </text>
    </comment>
    <comment ref="F91" authorId="8" shapeId="0" xr:uid="{00000000-0006-0000-0100-000063000000}">
      <text>
        <r>
          <rPr>
            <sz val="9"/>
            <color indexed="81"/>
            <rFont val="Tahoma"/>
            <family val="2"/>
          </rPr>
          <t>- HS 4,32 từ 01/12/2017
- HS 4,65 từ 01/12/2019
- HS 4,98 từ 01/12/2022</t>
        </r>
      </text>
    </comment>
    <comment ref="I91" authorId="0" shapeId="0" xr:uid="{00000000-0006-0000-0100-000064000000}">
      <text>
        <r>
          <rPr>
            <b/>
            <sz val="9"/>
            <color indexed="81"/>
            <rFont val="Tahoma"/>
            <family val="2"/>
          </rPr>
          <t>User:</t>
        </r>
        <r>
          <rPr>
            <sz val="9"/>
            <color indexed="81"/>
            <rFont val="Tahoma"/>
            <family val="2"/>
          </rPr>
          <t xml:space="preserve">
Trưởng khoa Kinh tế từ 20/8/2015
</t>
        </r>
      </text>
    </comment>
    <comment ref="F92" authorId="2" shapeId="0" xr:uid="{00000000-0006-0000-0100-000065000000}">
      <text>
        <r>
          <rPr>
            <b/>
            <sz val="9"/>
            <color indexed="81"/>
            <rFont val="Tahoma"/>
            <family val="2"/>
          </rPr>
          <t>user:</t>
        </r>
        <r>
          <rPr>
            <sz val="9"/>
            <color indexed="81"/>
            <rFont val="Tahoma"/>
            <family val="2"/>
          </rPr>
          <t xml:space="preserve">
- HS 2,34 từ 01/10/2019
- HS 2,67 từ 01/10/2021 (NL trước hạn)</t>
        </r>
      </text>
    </comment>
    <comment ref="I92" authorId="2" shapeId="0" xr:uid="{00000000-0006-0000-01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xr:uid="{00000000-0006-0000-01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xr:uid="{00000000-0006-0000-01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xr:uid="{00000000-0006-0000-0100-000069000000}">
      <text>
        <r>
          <rPr>
            <b/>
            <sz val="9"/>
            <color indexed="81"/>
            <rFont val="Tahoma"/>
            <family val="2"/>
          </rPr>
          <t>user:</t>
        </r>
        <r>
          <rPr>
            <sz val="9"/>
            <color indexed="81"/>
            <rFont val="Tahoma"/>
            <family val="2"/>
          </rPr>
          <t xml:space="preserve">
Phụ trách khoa Xây dựng từ 01/5/2019
- TK từ 01/5/2023</t>
        </r>
      </text>
    </comment>
    <comment ref="F95" authorId="2" shapeId="0" xr:uid="{00000000-0006-0000-0100-00006A000000}">
      <text>
        <r>
          <rPr>
            <b/>
            <sz val="9"/>
            <color indexed="81"/>
            <rFont val="Tahoma"/>
            <family val="2"/>
          </rPr>
          <t>user:</t>
        </r>
        <r>
          <rPr>
            <sz val="9"/>
            <color indexed="81"/>
            <rFont val="Tahoma"/>
            <family val="2"/>
          </rPr>
          <t xml:space="preserve">
- Tuyển dụng từ T5/20
- HS 2,67 từ 01/5/2021</t>
        </r>
      </text>
    </comment>
    <comment ref="F96" authorId="2" shapeId="0" xr:uid="{00000000-0006-0000-0100-00006B000000}">
      <text>
        <r>
          <rPr>
            <b/>
            <sz val="9"/>
            <color indexed="81"/>
            <rFont val="Tahoma"/>
            <family val="2"/>
          </rPr>
          <t>user:</t>
        </r>
        <r>
          <rPr>
            <sz val="9"/>
            <color indexed="81"/>
            <rFont val="Tahoma"/>
            <family val="2"/>
          </rPr>
          <t xml:space="preserve">
- HS 1,989 từ 01/4/21 (Tuyển dụng)
- HS 2,34 từ 01/4/2022</t>
        </r>
      </text>
    </comment>
    <comment ref="F97" authorId="1" shapeId="0" xr:uid="{00000000-0006-0000-0100-00006C000000}">
      <text>
        <r>
          <rPr>
            <b/>
            <sz val="9"/>
            <color indexed="81"/>
            <rFont val="Tahoma"/>
            <family val="2"/>
          </rPr>
          <t>Admin:</t>
        </r>
        <r>
          <rPr>
            <sz val="9"/>
            <color indexed="81"/>
            <rFont val="Tahoma"/>
            <family val="2"/>
          </rPr>
          <t xml:space="preserve">
- HS 3,33 từ 01/9/2016
- HS 3,66 từ 01/9/2019
- HS 3,99 từ 01/9/2022</t>
        </r>
      </text>
    </comment>
    <comment ref="I97" authorId="4" shapeId="0" xr:uid="{00000000-0006-0000-01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xr:uid="{00000000-0006-0000-0100-00006E000000}">
      <text>
        <r>
          <rPr>
            <b/>
            <sz val="9"/>
            <color indexed="81"/>
            <rFont val="Tahoma"/>
            <family val="2"/>
          </rPr>
          <t>Quynh:</t>
        </r>
        <r>
          <rPr>
            <sz val="9"/>
            <color indexed="81"/>
            <rFont val="Tahoma"/>
            <family val="2"/>
          </rPr>
          <t xml:space="preserve">
- HS 2,67 từ 01/10/2018
- HS 3,00 từ 01/10/2021</t>
        </r>
      </text>
    </comment>
    <comment ref="F99" authorId="2" shapeId="0" xr:uid="{00000000-0006-0000-0100-00006F000000}">
      <text>
        <r>
          <rPr>
            <b/>
            <sz val="9"/>
            <color indexed="81"/>
            <rFont val="Tahoma"/>
            <family val="2"/>
          </rPr>
          <t>user:</t>
        </r>
        <r>
          <rPr>
            <sz val="9"/>
            <color indexed="81"/>
            <rFont val="Tahoma"/>
            <family val="2"/>
          </rPr>
          <t xml:space="preserve">
- HS 2,67 từ 01/10/2019
- HS 3,00 từ 01/10/2022</t>
        </r>
      </text>
    </comment>
    <comment ref="F100" authorId="1" shapeId="0" xr:uid="{00000000-0006-0000-0100-000070000000}">
      <text>
        <r>
          <rPr>
            <b/>
            <sz val="9"/>
            <color indexed="81"/>
            <rFont val="Tahoma"/>
            <family val="2"/>
          </rPr>
          <t>Admin:</t>
        </r>
        <r>
          <rPr>
            <sz val="9"/>
            <color indexed="81"/>
            <rFont val="Tahoma"/>
            <family val="2"/>
          </rPr>
          <t xml:space="preserve">
- HS 3,00 từ 01/12/2016
- HS 3,33 từ 01/12/2019
- HS 3,66 từ 01/12/2021</t>
        </r>
      </text>
    </comment>
    <comment ref="I100" authorId="4" shapeId="0" xr:uid="{00000000-0006-0000-01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xr:uid="{00000000-0006-0000-01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xr:uid="{00000000-0006-0000-0100-000073000000}">
      <text>
        <r>
          <rPr>
            <b/>
            <sz val="9"/>
            <color indexed="81"/>
            <rFont val="Tahoma"/>
            <family val="2"/>
          </rPr>
          <t>Admin:</t>
        </r>
        <r>
          <rPr>
            <sz val="9"/>
            <color indexed="81"/>
            <rFont val="Tahoma"/>
            <family val="2"/>
          </rPr>
          <t xml:space="preserve">
- HS 2,67 từ 01/9/2016
- HS 3,00 từ 01/9/2019
- HS 3,33 từ 01/9/2022</t>
        </r>
      </text>
    </comment>
    <comment ref="F103" authorId="4" shapeId="0" xr:uid="{00000000-0006-0000-0100-000074000000}">
      <text>
        <r>
          <rPr>
            <b/>
            <sz val="9"/>
            <color indexed="81"/>
            <rFont val="Tahoma"/>
            <family val="2"/>
          </rPr>
          <t>Quynh:</t>
        </r>
        <r>
          <rPr>
            <sz val="9"/>
            <color indexed="81"/>
            <rFont val="Tahoma"/>
            <family val="2"/>
          </rPr>
          <t xml:space="preserve">
- HS 2,67 từ 01/10/2018
- HS 3,00 từ 01/10/2021</t>
        </r>
      </text>
    </comment>
    <comment ref="F104" authorId="1" shapeId="0" xr:uid="{00000000-0006-0000-0100-000075000000}">
      <text>
        <r>
          <rPr>
            <b/>
            <sz val="9"/>
            <color indexed="81"/>
            <rFont val="Tahoma"/>
            <family val="2"/>
          </rPr>
          <t>Admin:</t>
        </r>
        <r>
          <rPr>
            <sz val="9"/>
            <color indexed="81"/>
            <rFont val="Tahoma"/>
            <family val="2"/>
          </rPr>
          <t xml:space="preserve">
- HS 3,00 từ 01/9/2016
- HS 3,33 từ 01/9/2019
- HS 3,66 từ 01/9/2022</t>
        </r>
      </text>
    </comment>
    <comment ref="F105" authorId="1" shapeId="0" xr:uid="{00000000-0006-0000-0100-00007600000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xr:uid="{00000000-0006-0000-0100-000077000000}">
      <text>
        <r>
          <rPr>
            <sz val="9"/>
            <color indexed="81"/>
            <rFont val="Tahoma"/>
            <family val="2"/>
          </rPr>
          <t>- HS 3,00  từ 01/01/2018
- HS 3,33 từ 01/01/2020 (NL trước hạn)
- HS 3,66 từ 01/01/2023</t>
        </r>
      </text>
    </comment>
    <comment ref="I106" authorId="4" shapeId="0" xr:uid="{00000000-0006-0000-0100-000078000000}">
      <text>
        <r>
          <rPr>
            <b/>
            <sz val="9"/>
            <color indexed="81"/>
            <rFont val="Tahoma"/>
            <family val="2"/>
          </rPr>
          <t>Quynh:</t>
        </r>
        <r>
          <rPr>
            <sz val="9"/>
            <color indexed="81"/>
            <rFont val="Tahoma"/>
            <family val="2"/>
          </rPr>
          <t xml:space="preserve">
- BN Trưởng BM Cơ sở ngành từ 01/1/2019</t>
        </r>
      </text>
    </comment>
    <comment ref="F107" authorId="2" shapeId="0" xr:uid="{00000000-0006-0000-01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xr:uid="{00000000-0006-0000-0100-00007A000000}">
      <text>
        <r>
          <rPr>
            <b/>
            <sz val="9"/>
            <color indexed="81"/>
            <rFont val="Tahoma"/>
            <family val="2"/>
          </rPr>
          <t>user:</t>
        </r>
        <r>
          <rPr>
            <sz val="9"/>
            <color indexed="81"/>
            <rFont val="Tahoma"/>
            <family val="2"/>
          </rPr>
          <t xml:space="preserve">
- HS 2,34 từ 01/5/2021</t>
        </r>
      </text>
    </comment>
    <comment ref="I108" authorId="3" shapeId="0" xr:uid="{00000000-0006-0000-0100-00007B000000}">
      <text>
        <r>
          <rPr>
            <b/>
            <sz val="9"/>
            <color indexed="81"/>
            <rFont val="Tahoma"/>
            <family val="2"/>
          </rPr>
          <t>Windows User:</t>
        </r>
        <r>
          <rPr>
            <sz val="9"/>
            <color indexed="81"/>
            <rFont val="Tahoma"/>
            <family val="2"/>
          </rPr>
          <t xml:space="preserve">
- BN Trưởng khoa DL-KS từ 01/12/2023</t>
        </r>
      </text>
    </comment>
    <comment ref="F109" authorId="7" shapeId="0" xr:uid="{00000000-0006-0000-0100-00007C000000}">
      <text>
        <r>
          <rPr>
            <b/>
            <sz val="9"/>
            <color indexed="81"/>
            <rFont val="Tahoma"/>
            <family val="2"/>
          </rPr>
          <t>huynh-panda:</t>
        </r>
        <r>
          <rPr>
            <sz val="9"/>
            <color indexed="81"/>
            <rFont val="Tahoma"/>
            <family val="2"/>
          </rPr>
          <t xml:space="preserve">
- HS 2,34 từ 01/05/2022</t>
        </r>
      </text>
    </comment>
    <comment ref="F110" authorId="7" shapeId="0" xr:uid="{00000000-0006-0000-0100-00007D000000}">
      <text>
        <r>
          <rPr>
            <b/>
            <sz val="9"/>
            <color indexed="81"/>
            <rFont val="Tahoma"/>
            <family val="2"/>
          </rPr>
          <t>huynh-panda:</t>
        </r>
        <r>
          <rPr>
            <sz val="9"/>
            <color indexed="81"/>
            <rFont val="Tahoma"/>
            <family val="2"/>
          </rPr>
          <t xml:space="preserve">
- TD từ 01/7/2022 (HS 1,989)
- HS 2,34 từ 01/7/2023</t>
        </r>
      </text>
    </comment>
    <comment ref="F111" authorId="7" shapeId="0" xr:uid="{00000000-0006-0000-0100-00007E000000}">
      <text>
        <r>
          <rPr>
            <b/>
            <sz val="9"/>
            <color indexed="81"/>
            <rFont val="Tahoma"/>
            <family val="2"/>
          </rPr>
          <t>huynh-panda:</t>
        </r>
        <r>
          <rPr>
            <sz val="9"/>
            <color indexed="81"/>
            <rFont val="Tahoma"/>
            <family val="2"/>
          </rPr>
          <t xml:space="preserve">
- TD từ 01/7/2022 (HS 1,989)
- HS 3,33 từ 01/3/2022
</t>
        </r>
      </text>
    </comment>
    <comment ref="B112" authorId="3" shapeId="0" xr:uid="{00000000-0006-0000-0100-00007F00000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xr:uid="{00000000-0006-0000-0100-000080000000}">
      <text>
        <r>
          <rPr>
            <b/>
            <sz val="9"/>
            <color indexed="81"/>
            <rFont val="Tahoma"/>
            <family val="2"/>
          </rPr>
          <t>Windows User:</t>
        </r>
        <r>
          <rPr>
            <sz val="9"/>
            <color indexed="81"/>
            <rFont val="Tahoma"/>
            <family val="2"/>
          </rPr>
          <t xml:space="preserve">
- HS 2,67 từ 01/10/2022
- HS 3,00 từ 01/11/2022</t>
        </r>
      </text>
    </comment>
    <comment ref="B114" authorId="3" shapeId="0" xr:uid="{00000000-0006-0000-0100-00008100000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xr:uid="{00000000-0006-0000-01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xr:uid="{00000000-0006-0000-0100-000083000000}">
      <text>
        <r>
          <rPr>
            <b/>
            <sz val="9"/>
            <color indexed="81"/>
            <rFont val="Tahoma"/>
            <family val="2"/>
          </rPr>
          <t>Admin:</t>
        </r>
        <r>
          <rPr>
            <sz val="9"/>
            <color indexed="81"/>
            <rFont val="Tahoma"/>
            <family val="2"/>
          </rPr>
          <t xml:space="preserve">
- HS 3,00 từ 01/9/2016
- HS 3,33 từ 01/9/2019
- HS 3,66 từ 01/9/2022</t>
        </r>
      </text>
    </comment>
    <comment ref="F117" authorId="1" shapeId="0" xr:uid="{00000000-0006-0000-0100-000084000000}">
      <text>
        <r>
          <rPr>
            <b/>
            <sz val="9"/>
            <color indexed="81"/>
            <rFont val="Tahoma"/>
            <family val="2"/>
          </rPr>
          <t>Admin:</t>
        </r>
        <r>
          <rPr>
            <sz val="9"/>
            <color indexed="81"/>
            <rFont val="Tahoma"/>
            <family val="2"/>
          </rPr>
          <t xml:space="preserve">
- HS 2,67 từ 01/9/2016
- HS 3,00 từ 01/9/2019
- HS 3,33 từ 01/9/2022</t>
        </r>
      </text>
    </comment>
    <comment ref="I117" authorId="1" shapeId="0" xr:uid="{00000000-0006-0000-01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xr:uid="{00000000-0006-0000-0100-000086000000}">
      <text>
        <r>
          <rPr>
            <b/>
            <sz val="9"/>
            <color indexed="81"/>
            <rFont val="Tahoma"/>
            <family val="2"/>
          </rPr>
          <t>Admin:</t>
        </r>
        <r>
          <rPr>
            <sz val="9"/>
            <color indexed="81"/>
            <rFont val="Tahoma"/>
            <family val="2"/>
          </rPr>
          <t xml:space="preserve">
- HS 2,67 từ 01/9/2016
- HS 3,00 từ 01/9/2019
- HS 3,33 từ 01/9/2022</t>
        </r>
      </text>
    </comment>
    <comment ref="F119" authorId="1" shapeId="0" xr:uid="{00000000-0006-0000-01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xr:uid="{00000000-0006-0000-0100-000088000000}">
      <text>
        <r>
          <rPr>
            <sz val="9"/>
            <color indexed="81"/>
            <rFont val="Tahoma"/>
            <family val="2"/>
          </rPr>
          <t>- HS 2,67 từ 01/12/2017
- HS 3,00 từ 01/12/2020
- HS 3,33 từ 01/12/2022 (NL trước hạn)</t>
        </r>
      </text>
    </comment>
    <comment ref="F121" authorId="0" shapeId="0" xr:uid="{00000000-0006-0000-01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xr:uid="{00000000-0006-0000-0100-00008A000000}">
      <text>
        <r>
          <rPr>
            <b/>
            <sz val="9"/>
            <color indexed="81"/>
            <rFont val="Tahoma"/>
            <family val="2"/>
          </rPr>
          <t>Windows User:</t>
        </r>
        <r>
          <rPr>
            <sz val="9"/>
            <color indexed="81"/>
            <rFont val="Tahoma"/>
            <family val="2"/>
          </rPr>
          <t xml:space="preserve">
- VK 5% từ 01/11/2023</t>
        </r>
      </text>
    </comment>
    <comment ref="F122" authorId="4" shapeId="0" xr:uid="{00000000-0006-0000-0100-00008B000000}">
      <text>
        <r>
          <rPr>
            <b/>
            <sz val="9"/>
            <color indexed="81"/>
            <rFont val="Tahoma"/>
            <family val="2"/>
          </rPr>
          <t>Quynh:</t>
        </r>
        <r>
          <rPr>
            <sz val="9"/>
            <color indexed="81"/>
            <rFont val="Tahoma"/>
            <family val="2"/>
          </rPr>
          <t xml:space="preserve">
- HS 2,67 từ 01/10/2018
- HS 3,00 từ 01/10/2021</t>
        </r>
      </text>
    </comment>
    <comment ref="F123" authorId="2" shapeId="0" xr:uid="{00000000-0006-0000-0100-00008C000000}">
      <text>
        <r>
          <rPr>
            <b/>
            <sz val="9"/>
            <color indexed="81"/>
            <rFont val="Tahoma"/>
            <family val="2"/>
          </rPr>
          <t>user:</t>
        </r>
        <r>
          <rPr>
            <sz val="9"/>
            <color indexed="81"/>
            <rFont val="Tahoma"/>
            <family val="2"/>
          </rPr>
          <t xml:space="preserve">
- HS 2,67 từ 01/10/2019
- HS 3,00 từ 01/10/2022</t>
        </r>
      </text>
    </comment>
    <comment ref="F124" authorId="0" shapeId="0" xr:uid="{00000000-0006-0000-01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xr:uid="{00000000-0006-0000-0100-00008E000000}">
      <text>
        <r>
          <rPr>
            <b/>
            <sz val="9"/>
            <color indexed="81"/>
            <rFont val="Tahoma"/>
            <family val="2"/>
          </rPr>
          <t>user:</t>
        </r>
        <r>
          <rPr>
            <sz val="9"/>
            <color indexed="81"/>
            <rFont val="Tahoma"/>
            <family val="2"/>
          </rPr>
          <t xml:space="preserve">
- Trưởng TT Thư viện từ 01/9/2020</t>
        </r>
      </text>
    </comment>
    <comment ref="K124" authorId="1" shapeId="0" xr:uid="{00000000-0006-0000-01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xr:uid="{00000000-0006-0000-0100-000090000000}">
      <text>
        <r>
          <rPr>
            <b/>
            <sz val="9"/>
            <color indexed="81"/>
            <rFont val="Tahoma"/>
            <family val="2"/>
          </rPr>
          <t>Admin:</t>
        </r>
        <r>
          <rPr>
            <sz val="9"/>
            <color indexed="81"/>
            <rFont val="Tahoma"/>
            <family val="2"/>
          </rPr>
          <t xml:space="preserve">
- HS 4,65 từ 01/6/2016 (NL Trước hạn năm 2017)</t>
        </r>
      </text>
    </comment>
    <comment ref="G125" authorId="7" shapeId="0" xr:uid="{00000000-0006-0000-0100-000091000000}">
      <text>
        <r>
          <rPr>
            <b/>
            <sz val="9"/>
            <color indexed="81"/>
            <rFont val="Tahoma"/>
            <family val="2"/>
          </rPr>
          <t>Quynh-panda:</t>
        </r>
        <r>
          <rPr>
            <sz val="9"/>
            <color indexed="81"/>
            <rFont val="Tahoma"/>
            <family val="2"/>
          </rPr>
          <t xml:space="preserve">
- VK 5% từ 01/06/2022</t>
        </r>
      </text>
    </comment>
    <comment ref="F126" authorId="0" shapeId="0" xr:uid="{00000000-0006-0000-01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xr:uid="{00000000-0006-0000-0100-000093000000}">
      <text>
        <r>
          <rPr>
            <b/>
            <sz val="9"/>
            <color indexed="81"/>
            <rFont val="Tahoma"/>
            <family val="2"/>
          </rPr>
          <t>User:</t>
        </r>
        <r>
          <rPr>
            <sz val="9"/>
            <color indexed="81"/>
            <rFont val="Tahoma"/>
            <family val="2"/>
          </rPr>
          <t xml:space="preserve">
' HS 3,33 từ 01/9/15
- HS 3,66 từ 01/9/2018
- HS 3,99 từ 01/9/2021</t>
        </r>
      </text>
    </comment>
    <comment ref="F128" authorId="1" shapeId="0" xr:uid="{00000000-0006-0000-0100-000094000000}">
      <text>
        <r>
          <rPr>
            <b/>
            <sz val="9"/>
            <color indexed="81"/>
            <rFont val="Tahoma"/>
            <family val="2"/>
          </rPr>
          <t>Admin:</t>
        </r>
        <r>
          <rPr>
            <sz val="9"/>
            <color indexed="81"/>
            <rFont val="Tahoma"/>
            <family val="2"/>
          </rPr>
          <t xml:space="preserve">
- HS 3,00 từ 01/12/2016
- HS 3,33 từ 01/12/2019
- HS 3,66 từ 01/12/2022</t>
        </r>
      </text>
    </comment>
    <comment ref="F129" authorId="1" shapeId="0" xr:uid="{00000000-0006-0000-0100-000095000000}">
      <text>
        <r>
          <rPr>
            <b/>
            <sz val="9"/>
            <color indexed="81"/>
            <rFont val="Tahoma"/>
            <family val="2"/>
          </rPr>
          <t>Admin:</t>
        </r>
        <r>
          <rPr>
            <sz val="9"/>
            <color indexed="81"/>
            <rFont val="Tahoma"/>
            <family val="2"/>
          </rPr>
          <t xml:space="preserve">
- HS 3,99 từ 01/12/2015
- HS 4,32 từ 01/12/2018
- HS 4,65 từ 01/12/2021</t>
        </r>
      </text>
    </comment>
    <comment ref="F130" authorId="1" shapeId="0" xr:uid="{00000000-0006-0000-01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xr:uid="{00000000-0006-0000-0100-000097000000}">
      <text>
        <r>
          <rPr>
            <b/>
            <sz val="9"/>
            <color indexed="81"/>
            <rFont val="Tahoma"/>
            <family val="2"/>
          </rPr>
          <t>User:</t>
        </r>
        <r>
          <rPr>
            <sz val="9"/>
            <color indexed="81"/>
            <rFont val="Tahoma"/>
            <family val="2"/>
          </rPr>
          <t xml:space="preserve">
- HS 4,65 từ 01/9/2015
- HS 4,98 từ 01/9/17 (NL trước hạn)</t>
        </r>
      </text>
    </comment>
    <comment ref="G131" authorId="2" shapeId="0" xr:uid="{00000000-0006-0000-0100-000098000000}">
      <text>
        <r>
          <rPr>
            <b/>
            <sz val="9"/>
            <color indexed="81"/>
            <rFont val="Tahoma"/>
            <family val="2"/>
          </rPr>
          <t>user:</t>
        </r>
        <r>
          <rPr>
            <sz val="9"/>
            <color indexed="81"/>
            <rFont val="Tahoma"/>
            <family val="2"/>
          </rPr>
          <t xml:space="preserve">
- 5% từ 01/9/2020
- 6% từ 01/9/2021
- 7% từ 01/9/2022
- 8% từ 01/9/2023</t>
        </r>
      </text>
    </comment>
    <comment ref="F132" authorId="0" shapeId="0" xr:uid="{00000000-0006-0000-01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xr:uid="{00000000-0006-0000-0100-00009A000000}">
      <text>
        <r>
          <rPr>
            <b/>
            <sz val="9"/>
            <color indexed="81"/>
            <rFont val="Tahoma"/>
            <family val="2"/>
          </rPr>
          <t>Admin:</t>
        </r>
        <r>
          <rPr>
            <sz val="9"/>
            <color indexed="81"/>
            <rFont val="Tahoma"/>
            <family val="2"/>
          </rPr>
          <t xml:space="preserve">
- HS 3,00 từ 01/11/2016
- HS 3,33 từ 01/11/2019
- HS 3,66 từ 01/11/2022</t>
        </r>
      </text>
    </comment>
    <comment ref="F134" authorId="0" shapeId="0" xr:uid="{00000000-0006-0000-01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xr:uid="{00000000-0006-0000-0100-00009C000000}">
      <text>
        <r>
          <rPr>
            <b/>
            <sz val="9"/>
            <color indexed="81"/>
            <rFont val="Tahoma"/>
            <family val="2"/>
          </rPr>
          <t>Admin:</t>
        </r>
        <r>
          <rPr>
            <sz val="9"/>
            <color indexed="81"/>
            <rFont val="Tahoma"/>
            <family val="2"/>
          </rPr>
          <t xml:space="preserve">
- BN Phó TK từ 01/8/2018</t>
        </r>
      </text>
    </comment>
    <comment ref="F135" authorId="0" shapeId="0" xr:uid="{00000000-0006-0000-0100-00009D000000}">
      <text>
        <r>
          <rPr>
            <b/>
            <sz val="9"/>
            <color indexed="81"/>
            <rFont val="Tahoma"/>
            <family val="2"/>
          </rPr>
          <t>User:</t>
        </r>
        <r>
          <rPr>
            <sz val="9"/>
            <color indexed="81"/>
            <rFont val="Tahoma"/>
            <family val="2"/>
          </rPr>
          <t xml:space="preserve">
- HS 4,32 từ 01/9/2014
- HS 4,65 từ 01/9/2017
- HS 4,98 từ 01/9/2020</t>
        </r>
      </text>
    </comment>
    <comment ref="G135" authorId="3" shapeId="0" xr:uid="{00000000-0006-0000-0100-00009E000000}">
      <text>
        <r>
          <rPr>
            <b/>
            <sz val="9"/>
            <color indexed="81"/>
            <rFont val="Tahoma"/>
            <family val="2"/>
          </rPr>
          <t>Windows User:</t>
        </r>
        <r>
          <rPr>
            <sz val="9"/>
            <color indexed="81"/>
            <rFont val="Tahoma"/>
            <family val="2"/>
          </rPr>
          <t xml:space="preserve">
- VK 5% từ 01/9/2023</t>
        </r>
      </text>
    </comment>
    <comment ref="F136" authorId="0" shapeId="0" xr:uid="{00000000-0006-0000-01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xr:uid="{00000000-0006-0000-0100-0000A0000000}">
      <text>
        <r>
          <rPr>
            <b/>
            <sz val="9"/>
            <color indexed="81"/>
            <rFont val="Tahoma"/>
            <family val="2"/>
          </rPr>
          <t>Admin:</t>
        </r>
        <r>
          <rPr>
            <sz val="9"/>
            <color indexed="81"/>
            <rFont val="Tahoma"/>
            <family val="2"/>
          </rPr>
          <t xml:space="preserve">
- HS 3,00 từ 01/9/2016
- HS 3,33 từ 01/3/2020
- HS 3,66 từ 01/03/2023</t>
        </r>
      </text>
    </comment>
    <comment ref="F138" authorId="1" shapeId="0" xr:uid="{00000000-0006-0000-0100-0000A1000000}">
      <text>
        <r>
          <rPr>
            <b/>
            <sz val="9"/>
            <color indexed="81"/>
            <rFont val="Tahoma"/>
            <family val="2"/>
          </rPr>
          <t>Admin:</t>
        </r>
        <r>
          <rPr>
            <sz val="9"/>
            <color indexed="81"/>
            <rFont val="Tahoma"/>
            <family val="2"/>
          </rPr>
          <t xml:space="preserve">
- HS 2,67 từ 01/9/2017
- HS 3,00 từ 01/9/2020</t>
        </r>
      </text>
    </comment>
    <comment ref="F139" authorId="1" shapeId="0" xr:uid="{00000000-0006-0000-01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xr:uid="{00000000-0006-0000-0100-0000A3000000}">
      <text>
        <r>
          <rPr>
            <b/>
            <sz val="9"/>
            <color indexed="81"/>
            <rFont val="Tahoma"/>
            <family val="2"/>
          </rPr>
          <t>User:</t>
        </r>
        <r>
          <rPr>
            <sz val="9"/>
            <color indexed="81"/>
            <rFont val="Tahoma"/>
            <family val="2"/>
          </rPr>
          <t xml:space="preserve">
- HS 3,33 từ 01/9/2015
- HS 3,66 từ 01/9/2018
- HS 3,99 từ 01/9/2021</t>
        </r>
      </text>
    </comment>
    <comment ref="I140" authorId="1" shapeId="0" xr:uid="{00000000-0006-0000-0100-0000A4000000}">
      <text>
        <r>
          <rPr>
            <b/>
            <sz val="9"/>
            <color indexed="81"/>
            <rFont val="Tahoma"/>
            <family val="2"/>
          </rPr>
          <t>Admin:</t>
        </r>
        <r>
          <rPr>
            <sz val="9"/>
            <color indexed="81"/>
            <rFont val="Tahoma"/>
            <family val="2"/>
          </rPr>
          <t xml:space="preserve">
+ BN Tổ trưởng CM từ 03/5/2017</t>
        </r>
      </text>
    </comment>
    <comment ref="F141" authorId="1" shapeId="0" xr:uid="{00000000-0006-0000-0100-0000A5000000}">
      <text>
        <r>
          <rPr>
            <b/>
            <sz val="9"/>
            <color indexed="81"/>
            <rFont val="Tahoma"/>
            <family val="2"/>
          </rPr>
          <t>Admin:</t>
        </r>
        <r>
          <rPr>
            <sz val="9"/>
            <color indexed="81"/>
            <rFont val="Tahoma"/>
            <family val="2"/>
          </rPr>
          <t xml:space="preserve">
- HS 3,66 từ 01/9/2017
- HS 3,99 từ 1/3/21 (Kéo dài thời gian NL do hoàn thành NV)</t>
        </r>
      </text>
    </comment>
    <comment ref="F142" authorId="8" shapeId="0" xr:uid="{00000000-0006-0000-0100-0000A6000000}">
      <text>
        <r>
          <rPr>
            <sz val="9"/>
            <color indexed="81"/>
            <rFont val="Tahoma"/>
            <family val="2"/>
          </rPr>
          <t>- HS 3,33 từ 01/3/2018
- HS 3,66 từ 01/3/2020 (NL trước hạn)
- HS 3,99 từ 01/3/2023</t>
        </r>
      </text>
    </comment>
    <comment ref="F143" authorId="0" shapeId="0" xr:uid="{00000000-0006-0000-01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xr:uid="{00000000-0006-0000-0100-0000A8000000}">
      <text>
        <r>
          <rPr>
            <b/>
            <sz val="9"/>
            <color indexed="81"/>
            <rFont val="Tahoma"/>
            <family val="2"/>
          </rPr>
          <t>Admin:</t>
        </r>
        <r>
          <rPr>
            <sz val="9"/>
            <color indexed="81"/>
            <rFont val="Tahoma"/>
            <family val="2"/>
          </rPr>
          <t xml:space="preserve">
- HS 3,66 từ 01/9/2016
- HS 3,99 từ 01/9/2019
- HS 4,32 từ 01/9/2022</t>
        </r>
      </text>
    </comment>
    <comment ref="F145" authorId="8" shapeId="0" xr:uid="{00000000-0006-0000-0100-0000A9000000}">
      <text>
        <r>
          <rPr>
            <sz val="9"/>
            <color indexed="81"/>
            <rFont val="Tahoma"/>
            <family val="2"/>
          </rPr>
          <t xml:space="preserve">- HS 3,99 từ 01/12/2017
- HS 4,32 từ 01/12/2020
- HS 4,65 từ 01/12/2023
</t>
        </r>
      </text>
    </comment>
    <comment ref="F146" authorId="1" shapeId="0" xr:uid="{00000000-0006-0000-0100-0000AA000000}">
      <text>
        <r>
          <rPr>
            <b/>
            <sz val="9"/>
            <color indexed="81"/>
            <rFont val="Tahoma"/>
            <family val="2"/>
          </rPr>
          <t>Admin:</t>
        </r>
        <r>
          <rPr>
            <sz val="9"/>
            <color indexed="81"/>
            <rFont val="Tahoma"/>
            <family val="2"/>
          </rPr>
          <t xml:space="preserve">
- HS 3,99 từ 01/9/2017
- HS 4,32 từ 01/9/2019
- HS 4,65 từ 01/9/2022</t>
        </r>
      </text>
    </comment>
    <comment ref="I146" authorId="2" shapeId="0" xr:uid="{00000000-0006-0000-0100-0000AB000000}">
      <text>
        <r>
          <rPr>
            <b/>
            <sz val="9"/>
            <color indexed="81"/>
            <rFont val="Tahoma"/>
            <family val="2"/>
          </rPr>
          <t>user:</t>
        </r>
        <r>
          <rPr>
            <sz val="9"/>
            <color indexed="81"/>
            <rFont val="Tahoma"/>
            <family val="2"/>
          </rPr>
          <t xml:space="preserve">
- Trưởng BM Cơ điện tử và tự động hóa từ 01/1/2020</t>
        </r>
      </text>
    </comment>
    <comment ref="F147" authorId="1" shapeId="0" xr:uid="{00000000-0006-0000-0100-0000AC000000}">
      <text>
        <r>
          <rPr>
            <b/>
            <sz val="9"/>
            <color indexed="81"/>
            <rFont val="Tahoma"/>
            <family val="2"/>
          </rPr>
          <t>Admin:</t>
        </r>
        <r>
          <rPr>
            <sz val="9"/>
            <color indexed="81"/>
            <rFont val="Tahoma"/>
            <family val="2"/>
          </rPr>
          <t xml:space="preserve">
- HS 3,99 từ 01/9/2017
- HS 4,32 từ 01/9/2020
- HS 4,65 từ 01/9/2023</t>
        </r>
      </text>
    </comment>
    <comment ref="F148" authorId="1" shapeId="0" xr:uid="{00000000-0006-0000-0100-0000AD000000}">
      <text>
        <r>
          <rPr>
            <b/>
            <sz val="9"/>
            <color indexed="81"/>
            <rFont val="Tahoma"/>
            <family val="2"/>
          </rPr>
          <t>Admin:</t>
        </r>
        <r>
          <rPr>
            <sz val="9"/>
            <color indexed="81"/>
            <rFont val="Tahoma"/>
            <family val="2"/>
          </rPr>
          <t xml:space="preserve">
- HS 3,33 từ 01/9/2017
- HS 3,66 từ 01/9/2020
- HS 3,99 từ 01/9/2023</t>
        </r>
      </text>
    </comment>
    <comment ref="F149" authorId="1" shapeId="0" xr:uid="{00000000-0006-0000-0100-0000AE000000}">
      <text>
        <r>
          <rPr>
            <b/>
            <sz val="9"/>
            <color indexed="81"/>
            <rFont val="Tahoma"/>
            <family val="2"/>
          </rPr>
          <t>Admin:</t>
        </r>
        <r>
          <rPr>
            <sz val="9"/>
            <color indexed="81"/>
            <rFont val="Tahoma"/>
            <family val="2"/>
          </rPr>
          <t xml:space="preserve">
- HS 4,32 từ 01/9/2016
- HS 4,65 từ 01/9/2019
- HS 4,98 từ 01/9/2022</t>
        </r>
      </text>
    </comment>
    <comment ref="F150" authorId="1" shapeId="0" xr:uid="{00000000-0006-0000-0100-0000AF000000}">
      <text>
        <r>
          <rPr>
            <b/>
            <sz val="9"/>
            <color indexed="81"/>
            <rFont val="Tahoma"/>
            <family val="2"/>
          </rPr>
          <t>Admin:</t>
        </r>
        <r>
          <rPr>
            <sz val="9"/>
            <color indexed="81"/>
            <rFont val="Tahoma"/>
            <family val="2"/>
          </rPr>
          <t xml:space="preserve">
- HS 3,33 từ 01/9/2017
- HS 3,66 từ 01/9/2020
- HS 3,99 từ 01/9/2023</t>
        </r>
      </text>
    </comment>
    <comment ref="I150" authorId="0" shapeId="0" xr:uid="{00000000-0006-0000-0100-0000B000000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xr:uid="{00000000-0006-0000-0100-0000B1000000}">
      <text>
        <r>
          <rPr>
            <sz val="9"/>
            <color indexed="81"/>
            <rFont val="Tahoma"/>
            <family val="2"/>
          </rPr>
          <t>- HS 3,00 từ 01/01/2018
- HS 3,33 từ 01/01/2023</t>
        </r>
      </text>
    </comment>
    <comment ref="I151" authorId="2" shapeId="0" xr:uid="{00000000-0006-0000-01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xr:uid="{00000000-0006-0000-0100-0000B3000000}">
      <text>
        <r>
          <rPr>
            <b/>
            <sz val="9"/>
            <color indexed="81"/>
            <rFont val="Tahoma"/>
            <family val="2"/>
          </rPr>
          <t>Admin:</t>
        </r>
        <r>
          <rPr>
            <sz val="9"/>
            <color indexed="81"/>
            <rFont val="Tahoma"/>
            <family val="2"/>
          </rPr>
          <t xml:space="preserve">
- HS 2,34 từ 01/09/2016
- HS 2,67 từ 01/9/2019
- HS 3,00 từ 0/09/2022</t>
        </r>
      </text>
    </comment>
    <comment ref="F153" authorId="2" shapeId="0" xr:uid="{00000000-0006-0000-0100-0000B4000000}">
      <text>
        <r>
          <rPr>
            <b/>
            <sz val="9"/>
            <color indexed="81"/>
            <rFont val="Tahoma"/>
            <family val="2"/>
          </rPr>
          <t>user:</t>
        </r>
        <r>
          <rPr>
            <sz val="9"/>
            <color indexed="81"/>
            <rFont val="Tahoma"/>
            <family val="2"/>
          </rPr>
          <t xml:space="preserve">
- Tuyển dụng từ 01/10/2020
- HS 2,34 từ 01/10/2021</t>
        </r>
      </text>
    </comment>
    <comment ref="F154" authorId="1" shapeId="0" xr:uid="{00000000-0006-0000-0100-0000B5000000}">
      <text>
        <r>
          <rPr>
            <b/>
            <sz val="9"/>
            <color indexed="81"/>
            <rFont val="Tahoma"/>
            <family val="2"/>
          </rPr>
          <t>Admin:</t>
        </r>
        <r>
          <rPr>
            <sz val="9"/>
            <color indexed="81"/>
            <rFont val="Tahoma"/>
            <family val="2"/>
          </rPr>
          <t xml:space="preserve">
- HS 2,34 từ 01/09/2016
- HS 2,67 từ 01/9/2019
- HS 3,00 từ 01/9/2022</t>
        </r>
      </text>
    </comment>
    <comment ref="F155" authorId="2" shapeId="0" xr:uid="{00000000-0006-0000-0100-0000B6000000}">
      <text>
        <r>
          <rPr>
            <b/>
            <sz val="9"/>
            <color indexed="81"/>
            <rFont val="Tahoma"/>
            <family val="2"/>
          </rPr>
          <t>user:</t>
        </r>
        <r>
          <rPr>
            <sz val="9"/>
            <color indexed="81"/>
            <rFont val="Tahoma"/>
            <family val="2"/>
          </rPr>
          <t xml:space="preserve">
- Tuyển dụng từ 01/5/20
- HS 2,34 từ 01/5/2021</t>
        </r>
      </text>
    </comment>
    <comment ref="F159" authorId="0" shapeId="0" xr:uid="{00000000-0006-0000-01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xr:uid="{00000000-0006-0000-0100-0000B8000000}">
      <text>
        <r>
          <rPr>
            <b/>
            <sz val="9"/>
            <color indexed="81"/>
            <rFont val="Tahoma"/>
            <family val="2"/>
          </rPr>
          <t>User:</t>
        </r>
        <r>
          <rPr>
            <sz val="9"/>
            <color indexed="81"/>
            <rFont val="Tahoma"/>
            <family val="2"/>
          </rPr>
          <t xml:space="preserve">
HS 0,35 hưởng từ 01/7/2015
</t>
        </r>
      </text>
    </comment>
    <comment ref="F160" authorId="1" shapeId="0" xr:uid="{00000000-0006-0000-01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xr:uid="{00000000-0006-0000-01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xr:uid="{00000000-0006-0000-01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xr:uid="{00000000-0006-0000-0100-0000BC000000}">
      <text>
        <r>
          <rPr>
            <b/>
            <sz val="9"/>
            <color indexed="81"/>
            <rFont val="Tahoma"/>
            <family val="2"/>
          </rPr>
          <t>user:</t>
        </r>
        <r>
          <rPr>
            <sz val="9"/>
            <color indexed="81"/>
            <rFont val="Tahoma"/>
            <family val="2"/>
          </rPr>
          <t xml:space="preserve">
- QĐ BN Trưởng BM GDCT từ 01/4/2021</t>
        </r>
      </text>
    </comment>
    <comment ref="F162" authorId="0" shapeId="0" xr:uid="{00000000-0006-0000-01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xr:uid="{00000000-0006-0000-0100-0000BE000000}">
      <text>
        <r>
          <rPr>
            <b/>
            <sz val="9"/>
            <color indexed="81"/>
            <rFont val="Tahoma"/>
            <family val="2"/>
          </rPr>
          <t>Admin:</t>
        </r>
        <r>
          <rPr>
            <sz val="9"/>
            <color indexed="81"/>
            <rFont val="Tahoma"/>
            <family val="2"/>
          </rPr>
          <t xml:space="preserve">
- HS 3,99 từ 01/9/2017
- HS 4,32 từ 01/9/2020
- HS 4,65 từ 01/9/2023</t>
        </r>
      </text>
    </comment>
    <comment ref="F164" authorId="0" shapeId="0" xr:uid="{00000000-0006-0000-0100-0000BF000000}">
      <text>
        <r>
          <rPr>
            <b/>
            <sz val="9"/>
            <color indexed="81"/>
            <rFont val="Tahoma"/>
            <family val="2"/>
          </rPr>
          <t>User:</t>
        </r>
        <r>
          <rPr>
            <sz val="9"/>
            <color indexed="81"/>
            <rFont val="Tahoma"/>
            <family val="2"/>
          </rPr>
          <t xml:space="preserve">
- HS 3,00 từ 01/09/2015
- HS 3,33 từ 01/9/2018
- HS 3,66 từ 01/9/2021</t>
        </r>
      </text>
    </comment>
    <comment ref="F165" authorId="0" shapeId="0" xr:uid="{00000000-0006-0000-0100-0000C0000000}">
      <text>
        <r>
          <rPr>
            <b/>
            <sz val="9"/>
            <color indexed="81"/>
            <rFont val="Tahoma"/>
            <family val="2"/>
          </rPr>
          <t>User:</t>
        </r>
        <r>
          <rPr>
            <sz val="9"/>
            <color indexed="81"/>
            <rFont val="Tahoma"/>
            <family val="2"/>
          </rPr>
          <t xml:space="preserve">
- HS 3,66 từ 01/9/2015
- HS 3,99 từ 01/9/2018
- HS 4,32 từ 01/9/2021
</t>
        </r>
      </text>
    </comment>
    <comment ref="F166" authorId="0" shapeId="0" xr:uid="{00000000-0006-0000-01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xr:uid="{00000000-0006-0000-0100-0000C2000000}">
      <text>
        <r>
          <rPr>
            <b/>
            <sz val="9"/>
            <color indexed="81"/>
            <rFont val="Tahoma"/>
            <family val="2"/>
          </rPr>
          <t>User:</t>
        </r>
        <r>
          <rPr>
            <sz val="9"/>
            <color indexed="81"/>
            <rFont val="Tahoma"/>
            <family val="2"/>
          </rPr>
          <t xml:space="preserve">
- HS 3,00 từ 01/9/2015
- HS 3,33 từ 01/9/2018
- HS 3,66 từ 01/9/2021</t>
        </r>
      </text>
    </comment>
    <comment ref="F168" authorId="0" shapeId="0" xr:uid="{00000000-0006-0000-0100-0000C3000000}">
      <text>
        <r>
          <rPr>
            <b/>
            <sz val="9"/>
            <color indexed="81"/>
            <rFont val="Tahoma"/>
            <family val="2"/>
          </rPr>
          <t>User:</t>
        </r>
        <r>
          <rPr>
            <sz val="9"/>
            <color indexed="81"/>
            <rFont val="Tahoma"/>
            <family val="2"/>
          </rPr>
          <t xml:space="preserve">
- HS 3,00 từ 1/9/2015
- HS 3,33 từ 01/9/2018
- HS 3,66 từ 01/9/2021</t>
        </r>
      </text>
    </comment>
    <comment ref="F169" authorId="1" shapeId="0" xr:uid="{00000000-0006-0000-0100-0000C4000000}">
      <text>
        <r>
          <rPr>
            <b/>
            <sz val="9"/>
            <color indexed="81"/>
            <rFont val="Tahoma"/>
            <family val="2"/>
          </rPr>
          <t>Admin:</t>
        </r>
        <r>
          <rPr>
            <sz val="9"/>
            <color indexed="81"/>
            <rFont val="Tahoma"/>
            <family val="2"/>
          </rPr>
          <t xml:space="preserve">
- HS 3,00 từ 01/9/2015
- HS 3,33 từ 01/9/2018
- HS 3,66 từ 01/9/2021</t>
        </r>
      </text>
    </comment>
    <comment ref="F170" authorId="0" shapeId="0" xr:uid="{00000000-0006-0000-01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xr:uid="{00000000-0006-0000-01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xr:uid="{00000000-0006-0000-0100-0000C7000000}">
      <text>
        <r>
          <rPr>
            <b/>
            <sz val="9"/>
            <color indexed="81"/>
            <rFont val="Tahoma"/>
            <family val="2"/>
          </rPr>
          <t>Admin:</t>
        </r>
        <r>
          <rPr>
            <sz val="9"/>
            <color indexed="81"/>
            <rFont val="Tahoma"/>
            <family val="2"/>
          </rPr>
          <t xml:space="preserve">
- HS 3,00 từ 01/03/2017
- HS 3,33 từ 01/03/2020
- HS 3,66 từ 01/03/2023</t>
        </r>
      </text>
    </comment>
    <comment ref="F173" authorId="1" shapeId="0" xr:uid="{00000000-0006-0000-0100-0000C8000000}">
      <text>
        <r>
          <rPr>
            <b/>
            <sz val="9"/>
            <color indexed="81"/>
            <rFont val="Tahoma"/>
            <family val="2"/>
          </rPr>
          <t>Admin:</t>
        </r>
        <r>
          <rPr>
            <sz val="9"/>
            <color indexed="81"/>
            <rFont val="Tahoma"/>
            <family val="2"/>
          </rPr>
          <t xml:space="preserve">
- HS 2,67 từ 01/9/2017
- HS 3,00 từ 01/9/2020
- HS 3,33 từ 01/9/2023</t>
        </r>
      </text>
    </comment>
    <comment ref="F174" authorId="0" shapeId="0" xr:uid="{00000000-0006-0000-0100-0000C9000000}">
      <text>
        <r>
          <rPr>
            <b/>
            <sz val="9"/>
            <color indexed="81"/>
            <rFont val="Tahoma"/>
            <family val="2"/>
          </rPr>
          <t>User:</t>
        </r>
        <r>
          <rPr>
            <sz val="9"/>
            <color indexed="81"/>
            <rFont val="Tahoma"/>
            <family val="2"/>
          </rPr>
          <t xml:space="preserve">
- HS 3,33 từ 01/9/2015
- HS 3,66 từ 01/9/2018
- HS 3,99 từ 01/9/2021</t>
        </r>
      </text>
    </comment>
    <comment ref="F175" authorId="1" shapeId="0" xr:uid="{00000000-0006-0000-0100-0000CA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6" authorId="1" shapeId="0" xr:uid="{00000000-0006-0000-0100-0000CB000000}">
      <text>
        <r>
          <rPr>
            <b/>
            <sz val="9"/>
            <color indexed="81"/>
            <rFont val="Tahoma"/>
            <family val="2"/>
          </rPr>
          <t>Admin:</t>
        </r>
        <r>
          <rPr>
            <sz val="9"/>
            <color indexed="81"/>
            <rFont val="Tahoma"/>
            <family val="2"/>
          </rPr>
          <t xml:space="preserve">
- 3,33 từ 01/9/2017
- 3,66 từ 01/9/2020
- 3,99 từ 01/9/2023</t>
        </r>
      </text>
    </comment>
    <comment ref="I176" authorId="0" shapeId="0" xr:uid="{00000000-0006-0000-0100-0000CC000000}">
      <text>
        <r>
          <rPr>
            <b/>
            <sz val="9"/>
            <color indexed="81"/>
            <rFont val="Tahoma"/>
            <family val="2"/>
          </rPr>
          <t>User:</t>
        </r>
        <r>
          <rPr>
            <sz val="9"/>
            <color indexed="81"/>
            <rFont val="Tahoma"/>
            <family val="2"/>
          </rPr>
          <t xml:space="preserve">
Miễn nhiệm Trưởng bộ môn từ 01/9/2015</t>
        </r>
      </text>
    </comment>
    <comment ref="F177" authorId="1" shapeId="0" xr:uid="{00000000-0006-0000-0100-0000CD000000}">
      <text>
        <r>
          <rPr>
            <b/>
            <sz val="9"/>
            <color indexed="81"/>
            <rFont val="Tahoma"/>
            <family val="2"/>
          </rPr>
          <t>Admin:</t>
        </r>
        <r>
          <rPr>
            <sz val="9"/>
            <color indexed="81"/>
            <rFont val="Tahoma"/>
            <family val="2"/>
          </rPr>
          <t xml:space="preserve">
- HS 3,33 từ 01/9/2016
- HS 3,66 từ 01/9/2019
- HS 3,99 từ 01/9/2022</t>
        </r>
      </text>
    </comment>
    <comment ref="I177" authorId="0" shapeId="0" xr:uid="{00000000-0006-0000-0100-0000CE000000}">
      <text>
        <r>
          <rPr>
            <b/>
            <sz val="9"/>
            <color indexed="81"/>
            <rFont val="Tahoma"/>
            <family val="2"/>
          </rPr>
          <t>User:</t>
        </r>
        <r>
          <rPr>
            <sz val="9"/>
            <color indexed="81"/>
            <rFont val="Tahoma"/>
            <family val="2"/>
          </rPr>
          <t xml:space="preserve">
Miễn nhiệm Trưởng BM từ 01/9/15
</t>
        </r>
      </text>
    </comment>
    <comment ref="F178" authorId="0" shapeId="0" xr:uid="{00000000-0006-0000-0100-0000CF000000}">
      <text>
        <r>
          <rPr>
            <b/>
            <sz val="9"/>
            <color indexed="81"/>
            <rFont val="Tahoma"/>
            <family val="2"/>
          </rPr>
          <t>User:</t>
        </r>
        <r>
          <rPr>
            <sz val="9"/>
            <color indexed="81"/>
            <rFont val="Tahoma"/>
            <family val="2"/>
          </rPr>
          <t xml:space="preserve">
- HS 3,00 từ 01/9/2015
- HS 3,33 từ 01/9/2018
- HS 3,66 từ 01/9/2021</t>
        </r>
      </text>
    </comment>
    <comment ref="F179" authorId="0" shapeId="0" xr:uid="{00000000-0006-0000-0100-0000D0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9" authorId="0" shapeId="0" xr:uid="{00000000-0006-0000-0100-0000D1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9" authorId="1" shapeId="0" xr:uid="{00000000-0006-0000-0100-0000D2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0" authorId="8" shapeId="0" xr:uid="{00000000-0006-0000-0100-0000D3000000}">
      <text>
        <r>
          <rPr>
            <sz val="9"/>
            <color indexed="81"/>
            <rFont val="Tahoma"/>
            <family val="2"/>
          </rPr>
          <t xml:space="preserve">- HS 3,33 từ 01/12/2017
- HS 3,66 từ 01/12/2020
- HS 3,99 từ 01/12/2023
</t>
        </r>
      </text>
    </comment>
    <comment ref="F181" authorId="0" shapeId="0" xr:uid="{00000000-0006-0000-0100-0000D4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1" authorId="0" shapeId="0" xr:uid="{00000000-0006-0000-0100-0000D5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2" authorId="0" shapeId="0" xr:uid="{00000000-0006-0000-0100-0000D6000000}">
      <text>
        <r>
          <rPr>
            <b/>
            <sz val="9"/>
            <color indexed="81"/>
            <rFont val="Tahoma"/>
            <family val="2"/>
          </rPr>
          <t>User:</t>
        </r>
        <r>
          <rPr>
            <sz val="9"/>
            <color indexed="81"/>
            <rFont val="Tahoma"/>
            <family val="2"/>
          </rPr>
          <t xml:space="preserve">
- HS 3,00 từ 01/9/2015
- HS 3,33 từ 01/9/2018
- HS 3,66 từ 01/9/2021</t>
        </r>
      </text>
    </comment>
    <comment ref="F183" authorId="0" shapeId="0" xr:uid="{00000000-0006-0000-0100-0000D7000000}">
      <text>
        <r>
          <rPr>
            <b/>
            <sz val="9"/>
            <color indexed="81"/>
            <rFont val="Tahoma"/>
            <family val="2"/>
          </rPr>
          <t>User:</t>
        </r>
        <r>
          <rPr>
            <sz val="9"/>
            <color indexed="81"/>
            <rFont val="Tahoma"/>
            <family val="2"/>
          </rPr>
          <t xml:space="preserve">
- HS 3,00 từ 01/9/2015
- HS 3,33 từ 01/9/2018
- HS 3,66 từ 01/9/2021</t>
        </r>
      </text>
    </comment>
    <comment ref="F184" authorId="0" shapeId="0" xr:uid="{00000000-0006-0000-0100-0000D8000000}">
      <text>
        <r>
          <rPr>
            <b/>
            <sz val="9"/>
            <color indexed="81"/>
            <rFont val="Tahoma"/>
            <family val="2"/>
          </rPr>
          <t>User:</t>
        </r>
        <r>
          <rPr>
            <sz val="9"/>
            <color indexed="81"/>
            <rFont val="Tahoma"/>
            <family val="2"/>
          </rPr>
          <t xml:space="preserve">
- HS 3,00 từ 01/10/2015
- HS 3,33 từ 01/10/2018
- HS 3,66 từ 01/10/2021
</t>
        </r>
      </text>
    </comment>
    <comment ref="F185" authorId="1" shapeId="0" xr:uid="{00000000-0006-0000-0100-0000D9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5" authorId="0" shapeId="0" xr:uid="{00000000-0006-0000-0100-0000DA000000}">
      <text>
        <r>
          <rPr>
            <b/>
            <sz val="9"/>
            <color indexed="81"/>
            <rFont val="Tahoma"/>
            <family val="2"/>
          </rPr>
          <t>User:</t>
        </r>
        <r>
          <rPr>
            <sz val="9"/>
            <color indexed="81"/>
            <rFont val="Tahoma"/>
            <family val="2"/>
          </rPr>
          <t xml:space="preserve">
BN Trưởng BM MẠng Máy tính từ 01/9/2015
- Phó khoa CNTT từ T10/2022</t>
        </r>
      </text>
    </comment>
    <comment ref="F186" authorId="4" shapeId="0" xr:uid="{00000000-0006-0000-0100-0000DB000000}">
      <text>
        <r>
          <rPr>
            <b/>
            <sz val="9"/>
            <color indexed="81"/>
            <rFont val="Tahoma"/>
            <family val="2"/>
          </rPr>
          <t>Quynh:</t>
        </r>
        <r>
          <rPr>
            <sz val="9"/>
            <color indexed="81"/>
            <rFont val="Tahoma"/>
            <family val="2"/>
          </rPr>
          <t xml:space="preserve">
- HS 3,00 từ 01/5/2018
- HS 3,33 từ 01/5/2021</t>
        </r>
      </text>
    </comment>
    <comment ref="F187" authorId="1" shapeId="0" xr:uid="{00000000-0006-0000-0100-0000DC000000}">
      <text>
        <r>
          <rPr>
            <b/>
            <sz val="9"/>
            <color indexed="81"/>
            <rFont val="Tahoma"/>
            <family val="2"/>
          </rPr>
          <t>Admin:</t>
        </r>
        <r>
          <rPr>
            <sz val="9"/>
            <color indexed="81"/>
            <rFont val="Tahoma"/>
            <family val="2"/>
          </rPr>
          <t xml:space="preserve">
- 3,33 từ 01/10/2016
- 3,66 từ 01/10/2019
- 3,99 từ 01/10/2021 (NL trước hạn)</t>
        </r>
      </text>
    </comment>
    <comment ref="I187" authorId="7" shapeId="0" xr:uid="{00000000-0006-0000-0100-0000DD000000}">
      <text>
        <r>
          <rPr>
            <b/>
            <sz val="9"/>
            <color indexed="81"/>
            <rFont val="Tahoma"/>
            <family val="2"/>
          </rPr>
          <t>huynh-panda:</t>
        </r>
        <r>
          <rPr>
            <sz val="9"/>
            <color indexed="81"/>
            <rFont val="Tahoma"/>
            <family val="2"/>
          </rPr>
          <t xml:space="preserve">
Phụ trách BM Khoa học máy tính từ 06/7/2022</t>
        </r>
      </text>
    </comment>
    <comment ref="F188" authorId="1" shapeId="0" xr:uid="{00000000-0006-0000-0100-0000DE000000}">
      <text>
        <r>
          <rPr>
            <b/>
            <sz val="9"/>
            <color indexed="81"/>
            <rFont val="Tahoma"/>
            <family val="2"/>
          </rPr>
          <t>Admin:</t>
        </r>
        <r>
          <rPr>
            <sz val="9"/>
            <color indexed="81"/>
            <rFont val="Tahoma"/>
            <family val="2"/>
          </rPr>
          <t xml:space="preserve">
- HS 2,67 từ 01/9/2016
- HS 3,00 từ 01/9/2019
- HS 3,33 từ 01/9/2021 (NL trước hạn)</t>
        </r>
      </text>
    </comment>
    <comment ref="F189" authorId="1" shapeId="0" xr:uid="{00000000-0006-0000-0100-0000DF000000}">
      <text>
        <r>
          <rPr>
            <b/>
            <sz val="9"/>
            <color indexed="81"/>
            <rFont val="Tahoma"/>
            <family val="2"/>
          </rPr>
          <t>Admin:</t>
        </r>
        <r>
          <rPr>
            <sz val="9"/>
            <color indexed="81"/>
            <rFont val="Tahoma"/>
            <family val="2"/>
          </rPr>
          <t xml:space="preserve">
- HS 3,33 từ 01/9/2016
- HS 3,66 từ 01/9/2018 (NL trước hạn)
- HS 3,99 từ 01/9/2021</t>
        </r>
      </text>
    </comment>
    <comment ref="I189" authorId="0" shapeId="0" xr:uid="{00000000-0006-0000-0100-0000E0000000}">
      <text>
        <r>
          <rPr>
            <b/>
            <sz val="9"/>
            <color indexed="81"/>
            <rFont val="Tahoma"/>
            <family val="2"/>
          </rPr>
          <t>User:</t>
        </r>
        <r>
          <rPr>
            <sz val="9"/>
            <color indexed="81"/>
            <rFont val="Tahoma"/>
            <family val="2"/>
          </rPr>
          <t xml:space="preserve">
+ HS 0,45 được bảo lưu đến hết 31/12/2015</t>
        </r>
      </text>
    </comment>
    <comment ref="F190" authorId="1" shapeId="0" xr:uid="{00000000-0006-0000-0100-0000E1000000}">
      <text>
        <r>
          <rPr>
            <b/>
            <sz val="9"/>
            <color indexed="81"/>
            <rFont val="Tahoma"/>
            <family val="2"/>
          </rPr>
          <t>Admin:</t>
        </r>
        <r>
          <rPr>
            <sz val="9"/>
            <color indexed="81"/>
            <rFont val="Tahoma"/>
            <family val="2"/>
          </rPr>
          <t xml:space="preserve">
- 3,00 từ 01/9/2016
- HS 3,33 từ 01/9/2019
- HS 3,66 từ 01/9/2021 (NL trước hạn)</t>
        </r>
      </text>
    </comment>
    <comment ref="K190" authorId="2" shapeId="0" xr:uid="{00000000-0006-0000-0100-0000E2000000}">
      <text>
        <r>
          <rPr>
            <b/>
            <sz val="9"/>
            <color indexed="81"/>
            <rFont val="Tahoma"/>
            <family val="2"/>
          </rPr>
          <t>user:</t>
        </r>
        <r>
          <rPr>
            <sz val="9"/>
            <color indexed="81"/>
            <rFont val="Tahoma"/>
            <family val="2"/>
          </rPr>
          <t xml:space="preserve">
- Bảo lưu HS PCCV đến hết 31/3/2020</t>
        </r>
      </text>
    </comment>
    <comment ref="F191" authorId="1" shapeId="0" xr:uid="{00000000-0006-0000-0100-0000E3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1" authorId="7" shapeId="0" xr:uid="{00000000-0006-0000-0100-0000E4000000}">
      <text>
        <r>
          <rPr>
            <b/>
            <sz val="9"/>
            <color indexed="81"/>
            <rFont val="Tahoma"/>
            <family val="2"/>
          </rPr>
          <t>huynh-panda:</t>
        </r>
        <r>
          <rPr>
            <sz val="9"/>
            <color indexed="81"/>
            <rFont val="Tahoma"/>
            <family val="2"/>
          </rPr>
          <t xml:space="preserve">
- Phụ trách BM Công nghệ phần mềm từ 05/7/2022</t>
        </r>
      </text>
    </comment>
    <comment ref="F192" authorId="1" shapeId="0" xr:uid="{00000000-0006-0000-0100-0000E5000000}">
      <text>
        <r>
          <rPr>
            <b/>
            <sz val="9"/>
            <color indexed="81"/>
            <rFont val="Tahoma"/>
            <family val="2"/>
          </rPr>
          <t>Admin:</t>
        </r>
        <r>
          <rPr>
            <sz val="9"/>
            <color indexed="81"/>
            <rFont val="Tahoma"/>
            <family val="2"/>
          </rPr>
          <t xml:space="preserve">
- HS 3,33 từ 01/9/2016
- HS 3,66 từ 01/9/2018 (NL trước hạn)
- HS 3,99 từ 01/9/2021</t>
        </r>
      </text>
    </comment>
    <comment ref="F195" authorId="1" shapeId="0" xr:uid="{00000000-0006-0000-0100-0000E6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5" authorId="0" shapeId="0" xr:uid="{00000000-0006-0000-0100-0000E7000000}">
      <text>
        <r>
          <rPr>
            <b/>
            <sz val="9"/>
            <color indexed="81"/>
            <rFont val="Tahoma"/>
            <family val="2"/>
          </rPr>
          <t>User:</t>
        </r>
        <r>
          <rPr>
            <sz val="9"/>
            <color indexed="81"/>
            <rFont val="Tahoma"/>
            <family val="2"/>
          </rPr>
          <t xml:space="preserve">
- QĐ Bổ nhiệm trưởng khoa từ 01/2/2016</t>
        </r>
      </text>
    </comment>
    <comment ref="F196" authorId="1" shapeId="0" xr:uid="{00000000-0006-0000-0100-0000E8000000}">
      <text>
        <r>
          <rPr>
            <b/>
            <sz val="9"/>
            <color indexed="81"/>
            <rFont val="Tahoma"/>
            <family val="2"/>
          </rPr>
          <t>Admin:</t>
        </r>
        <r>
          <rPr>
            <sz val="9"/>
            <color indexed="81"/>
            <rFont val="Tahoma"/>
            <family val="2"/>
          </rPr>
          <t xml:space="preserve">
- HS 4,65 từ 01/12/2015
- HS 4,98 từ 01/12/2018</t>
        </r>
      </text>
    </comment>
    <comment ref="G196" authorId="2" shapeId="0" xr:uid="{00000000-0006-0000-0100-0000E9000000}">
      <text>
        <r>
          <rPr>
            <b/>
            <sz val="9"/>
            <color indexed="81"/>
            <rFont val="Tahoma"/>
            <family val="2"/>
          </rPr>
          <t>user:</t>
        </r>
        <r>
          <rPr>
            <sz val="9"/>
            <color indexed="81"/>
            <rFont val="Tahoma"/>
            <family val="2"/>
          </rPr>
          <t xml:space="preserve">
- VK 5% từ 01/12/2021
- VK 6% từ 01/12/2022
- VK 7% từ 01/12/2023</t>
        </r>
      </text>
    </comment>
    <comment ref="F197" authorId="1" shapeId="0" xr:uid="{00000000-0006-0000-0100-0000EA000000}">
      <text>
        <r>
          <rPr>
            <b/>
            <sz val="9"/>
            <color indexed="81"/>
            <rFont val="Tahoma"/>
            <family val="2"/>
          </rPr>
          <t>Admin:</t>
        </r>
        <r>
          <rPr>
            <sz val="9"/>
            <color indexed="81"/>
            <rFont val="Tahoma"/>
            <family val="2"/>
          </rPr>
          <t xml:space="preserve">
- HS 4,65 từ 01/9/2015
- HS 4,98 từ 01/9/2018</t>
        </r>
      </text>
    </comment>
    <comment ref="G197" authorId="2" shapeId="0" xr:uid="{00000000-0006-0000-0100-0000EB000000}">
      <text>
        <r>
          <rPr>
            <b/>
            <sz val="9"/>
            <color indexed="81"/>
            <rFont val="Tahoma"/>
            <family val="2"/>
          </rPr>
          <t>user:</t>
        </r>
        <r>
          <rPr>
            <sz val="9"/>
            <color indexed="81"/>
            <rFont val="Tahoma"/>
            <family val="2"/>
          </rPr>
          <t xml:space="preserve">
- VK 5% từ 01/9/2021
- VK 6% từ 01/9/2022
- VK 7% từ 01/9/2023</t>
        </r>
      </text>
    </comment>
    <comment ref="F198" authorId="1" shapeId="0" xr:uid="{00000000-0006-0000-0100-0000EC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9" authorId="0" shapeId="0" xr:uid="{00000000-0006-0000-0100-0000ED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0" authorId="1" shapeId="0" xr:uid="{00000000-0006-0000-0100-0000EE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1" shapeId="0" xr:uid="{00000000-0006-0000-0100-0000EF000000}">
      <text>
        <r>
          <rPr>
            <b/>
            <sz val="9"/>
            <color indexed="81"/>
            <rFont val="Tahoma"/>
            <family val="2"/>
          </rPr>
          <t>Admin:</t>
        </r>
        <r>
          <rPr>
            <sz val="9"/>
            <color indexed="81"/>
            <rFont val="Tahoma"/>
            <family val="2"/>
          </rPr>
          <t xml:space="preserve">
QĐ BN Trưởng BM từ 15/5/2016
</t>
        </r>
      </text>
    </comment>
    <comment ref="F201" authorId="1" shapeId="0" xr:uid="{00000000-0006-0000-0100-0000F0000000}">
      <text>
        <r>
          <rPr>
            <b/>
            <sz val="9"/>
            <color indexed="81"/>
            <rFont val="Tahoma"/>
            <family val="2"/>
          </rPr>
          <t>Admin:</t>
        </r>
        <r>
          <rPr>
            <sz val="9"/>
            <color indexed="81"/>
            <rFont val="Tahoma"/>
            <family val="2"/>
          </rPr>
          <t xml:space="preserve">
- HS 4,65 từ 01/9/2016 (NL Trước hạn năm 2017)
- HS 4,98 từ 01/9/2019</t>
        </r>
      </text>
    </comment>
    <comment ref="G201" authorId="7" shapeId="0" xr:uid="{00000000-0006-0000-0100-0000F1000000}">
      <text>
        <r>
          <rPr>
            <b/>
            <sz val="9"/>
            <color indexed="81"/>
            <rFont val="Tahoma"/>
            <family val="2"/>
          </rPr>
          <t>huynh-panda:</t>
        </r>
        <r>
          <rPr>
            <sz val="9"/>
            <color indexed="81"/>
            <rFont val="Tahoma"/>
            <family val="2"/>
          </rPr>
          <t xml:space="preserve">
- VK 5% từ 01/9/2022
- VK 6% từ 01/9/2023</t>
        </r>
      </text>
    </comment>
    <comment ref="I201" authorId="1" shapeId="0" xr:uid="{00000000-0006-0000-0100-0000F2000000}">
      <text>
        <r>
          <rPr>
            <sz val="9"/>
            <color indexed="81"/>
            <rFont val="Tahoma"/>
            <family val="2"/>
          </rPr>
          <t>QĐ phụ trách từ 01/12/2017</t>
        </r>
      </text>
    </comment>
    <comment ref="F202" authorId="1" shapeId="0" xr:uid="{00000000-0006-0000-0100-0000F3000000}">
      <text>
        <r>
          <rPr>
            <b/>
            <sz val="9"/>
            <color indexed="81"/>
            <rFont val="Tahoma"/>
            <family val="2"/>
          </rPr>
          <t>Admin:</t>
        </r>
        <r>
          <rPr>
            <sz val="9"/>
            <color indexed="81"/>
            <rFont val="Tahoma"/>
            <family val="2"/>
          </rPr>
          <t xml:space="preserve">
- HS 3,33 từ 01/9/2017
- HS 3,66 từ 01/9/2020
- HS 3,99 từ 01/9/2023</t>
        </r>
      </text>
    </comment>
    <comment ref="F203" authorId="1" shapeId="0" xr:uid="{00000000-0006-0000-0100-0000F4000000}">
      <text>
        <r>
          <rPr>
            <b/>
            <sz val="9"/>
            <color indexed="81"/>
            <rFont val="Tahoma"/>
            <family val="2"/>
          </rPr>
          <t>Admin:</t>
        </r>
        <r>
          <rPr>
            <sz val="9"/>
            <color indexed="81"/>
            <rFont val="Tahoma"/>
            <family val="2"/>
          </rPr>
          <t xml:space="preserve">
- HS 4,65 từ 01/9/2017
- HS 4,98 từ 01/9/2020</t>
        </r>
      </text>
    </comment>
    <comment ref="G203" authorId="3" shapeId="0" xr:uid="{00000000-0006-0000-0100-0000F5000000}">
      <text>
        <r>
          <rPr>
            <b/>
            <sz val="9"/>
            <color indexed="81"/>
            <rFont val="Tahoma"/>
            <family val="2"/>
          </rPr>
          <t>Windows User:</t>
        </r>
        <r>
          <rPr>
            <sz val="9"/>
            <color indexed="81"/>
            <rFont val="Tahoma"/>
            <family val="2"/>
          </rPr>
          <t xml:space="preserve">
- VK 5% từ 01/9/2023</t>
        </r>
      </text>
    </comment>
    <comment ref="F204" authorId="0" shapeId="0" xr:uid="{00000000-0006-0000-0100-0000F6000000}">
      <text>
        <r>
          <rPr>
            <b/>
            <sz val="9"/>
            <color indexed="81"/>
            <rFont val="Tahoma"/>
            <family val="2"/>
          </rPr>
          <t>User:</t>
        </r>
        <r>
          <rPr>
            <sz val="9"/>
            <color indexed="81"/>
            <rFont val="Tahoma"/>
            <family val="2"/>
          </rPr>
          <t xml:space="preserve">
- HS 3,00 từ 01/9/2015
- HS 3,33 từ 01/9/2018
- HS 3,66 từ 01/9/2021</t>
        </r>
      </text>
    </comment>
    <comment ref="I204" authorId="6" shapeId="0" xr:uid="{00000000-0006-0000-0100-0000F7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5" authorId="0" shapeId="0" xr:uid="{00000000-0006-0000-0100-0000F8000000}">
      <text>
        <r>
          <rPr>
            <b/>
            <sz val="9"/>
            <color indexed="81"/>
            <rFont val="Tahoma"/>
            <family val="2"/>
          </rPr>
          <t>User:</t>
        </r>
        <r>
          <rPr>
            <sz val="9"/>
            <color indexed="81"/>
            <rFont val="Tahoma"/>
            <family val="2"/>
          </rPr>
          <t xml:space="preserve">
- HS 3,00 từ 01/9/2015
- HS 3,33 từ 01/9/2018
- HS 3,66 từ 01/9/2021</t>
        </r>
      </text>
    </comment>
    <comment ref="F206" authorId="1" shapeId="0" xr:uid="{00000000-0006-0000-0100-0000F9000000}">
      <text>
        <r>
          <rPr>
            <b/>
            <sz val="9"/>
            <color indexed="81"/>
            <rFont val="Tahoma"/>
            <family val="2"/>
          </rPr>
          <t>Admin:</t>
        </r>
        <r>
          <rPr>
            <sz val="9"/>
            <color indexed="81"/>
            <rFont val="Tahoma"/>
            <family val="2"/>
          </rPr>
          <t xml:space="preserve">
- HS 3,00 từ 01/9/2016
- HS 3,33 từ 01/9/2019
- HS 3,66 từ 01/9/2022</t>
        </r>
      </text>
    </comment>
    <comment ref="F207" authorId="1" shapeId="0" xr:uid="{00000000-0006-0000-0100-0000FA000000}">
      <text>
        <r>
          <rPr>
            <b/>
            <sz val="9"/>
            <color indexed="81"/>
            <rFont val="Tahoma"/>
            <family val="2"/>
          </rPr>
          <t>Admin:</t>
        </r>
        <r>
          <rPr>
            <sz val="9"/>
            <color indexed="81"/>
            <rFont val="Tahoma"/>
            <family val="2"/>
          </rPr>
          <t xml:space="preserve">
- HS 3,00 từ 01/9/2016
- HS 3,33 từ 01/9/2019
- HS 3,66 từ 01/9/2022</t>
        </r>
      </text>
    </comment>
    <comment ref="F208" authorId="1" shapeId="0" xr:uid="{00000000-0006-0000-0100-0000FB000000}">
      <text>
        <r>
          <rPr>
            <b/>
            <sz val="9"/>
            <color indexed="81"/>
            <rFont val="Tahoma"/>
            <family val="2"/>
          </rPr>
          <t>Admin:</t>
        </r>
        <r>
          <rPr>
            <sz val="9"/>
            <color indexed="81"/>
            <rFont val="Tahoma"/>
            <family val="2"/>
          </rPr>
          <t xml:space="preserve">
- HS 3,00 từ 01/9/2016
- HS 3,33 từ 01/9/2019
- HS 3,66 từ 01/9/2022</t>
        </r>
      </text>
    </comment>
    <comment ref="F209" authorId="1" shapeId="0" xr:uid="{00000000-0006-0000-0100-0000FC000000}">
      <text>
        <r>
          <rPr>
            <b/>
            <sz val="9"/>
            <color indexed="81"/>
            <rFont val="Tahoma"/>
            <family val="2"/>
          </rPr>
          <t>Admin:</t>
        </r>
        <r>
          <rPr>
            <sz val="9"/>
            <color indexed="81"/>
            <rFont val="Tahoma"/>
            <family val="2"/>
          </rPr>
          <t xml:space="preserve">
- HS 3,00 từ 01/9/2017
- HS 3,33 từ 01/9/2020
- HS 3,66 từ 01/9/2023</t>
        </r>
      </text>
    </comment>
    <comment ref="I209" authorId="0" shapeId="0" xr:uid="{00000000-0006-0000-0100-0000FD000000}">
      <text>
        <r>
          <rPr>
            <b/>
            <sz val="9"/>
            <color indexed="81"/>
            <rFont val="Tahoma"/>
            <family val="2"/>
          </rPr>
          <t>User:</t>
        </r>
        <r>
          <rPr>
            <sz val="9"/>
            <color indexed="81"/>
            <rFont val="Tahoma"/>
            <family val="2"/>
          </rPr>
          <t xml:space="preserve">
BN Trưởng BM Cơ sở Cơ khí từ 01/09/2015</t>
        </r>
      </text>
    </comment>
    <comment ref="K209" authorId="1" shapeId="0" xr:uid="{00000000-0006-0000-0100-0000FE000000}">
      <text>
        <r>
          <rPr>
            <b/>
            <sz val="9"/>
            <color indexed="81"/>
            <rFont val="Tahoma"/>
            <family val="2"/>
          </rPr>
          <t>Admin:</t>
        </r>
        <r>
          <rPr>
            <sz val="9"/>
            <color indexed="81"/>
            <rFont val="Tahoma"/>
            <family val="2"/>
          </rPr>
          <t xml:space="preserve">
- Bảo lưu HSPC chức vụ đến hết T5/2018</t>
        </r>
      </text>
    </comment>
    <comment ref="F210" authorId="1" shapeId="0" xr:uid="{00000000-0006-0000-0100-0000FF000000}">
      <text>
        <r>
          <rPr>
            <b/>
            <sz val="9"/>
            <color indexed="81"/>
            <rFont val="Tahoma"/>
            <family val="2"/>
          </rPr>
          <t>Admin:</t>
        </r>
        <r>
          <rPr>
            <sz val="9"/>
            <color indexed="81"/>
            <rFont val="Tahoma"/>
            <family val="2"/>
          </rPr>
          <t xml:space="preserve">
- HS 2,67 từ 01/9/2016
- HS 3,00 từ 01/9/2019
- HS 3,33 từ 01/9/2021 (NL trước hạn)</t>
        </r>
      </text>
    </comment>
    <comment ref="I210" authorId="0" shapeId="0" xr:uid="{00000000-0006-0000-0100-00000001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1" authorId="1" shapeId="0" xr:uid="{00000000-0006-0000-0100-000001010000}">
      <text>
        <r>
          <rPr>
            <b/>
            <sz val="9"/>
            <color indexed="81"/>
            <rFont val="Tahoma"/>
            <family val="2"/>
          </rPr>
          <t>Admin:</t>
        </r>
        <r>
          <rPr>
            <sz val="9"/>
            <color indexed="81"/>
            <rFont val="Tahoma"/>
            <family val="2"/>
          </rPr>
          <t xml:space="preserve">
- HS 3,00 từ 01/10/2016
- HS 3,33 từ 01/10/2019
- HS 3,66 từ 01/10/2022</t>
        </r>
      </text>
    </comment>
    <comment ref="F212" authorId="1" shapeId="0" xr:uid="{00000000-0006-0000-0100-000002010000}">
      <text>
        <r>
          <rPr>
            <b/>
            <sz val="9"/>
            <color indexed="81"/>
            <rFont val="Tahoma"/>
            <family val="2"/>
          </rPr>
          <t>Admin:</t>
        </r>
        <r>
          <rPr>
            <sz val="9"/>
            <color indexed="81"/>
            <rFont val="Tahoma"/>
            <family val="2"/>
          </rPr>
          <t xml:space="preserve">
- HS 2,67 từ 01/10/2016
- HS 3,00 từ 01/10/2019
- HS 3,33 từ 01/10/2022</t>
        </r>
      </text>
    </comment>
    <comment ref="F213" authorId="0" shapeId="0" xr:uid="{00000000-0006-0000-0100-000003010000}">
      <text>
        <r>
          <rPr>
            <b/>
            <sz val="9"/>
            <color indexed="81"/>
            <rFont val="Tahoma"/>
            <family val="2"/>
          </rPr>
          <t>User:</t>
        </r>
        <r>
          <rPr>
            <sz val="9"/>
            <color indexed="81"/>
            <rFont val="Tahoma"/>
            <family val="2"/>
          </rPr>
          <t xml:space="preserve">
- HS 4,65 từ 01/9/2015
- HS 4,98 từ 01/9/2018</t>
        </r>
      </text>
    </comment>
    <comment ref="G213" authorId="2" shapeId="0" xr:uid="{00000000-0006-0000-0100-000004010000}">
      <text>
        <r>
          <rPr>
            <b/>
            <sz val="9"/>
            <color indexed="81"/>
            <rFont val="Tahoma"/>
            <family val="2"/>
          </rPr>
          <t>user:</t>
        </r>
        <r>
          <rPr>
            <sz val="9"/>
            <color indexed="81"/>
            <rFont val="Tahoma"/>
            <family val="2"/>
          </rPr>
          <t xml:space="preserve">
- VK 5% từ 01/9/2021
- VK 6% từ 01/9/2022
- VK 7% từ 01/9/2023</t>
        </r>
      </text>
    </comment>
    <comment ref="F214" authorId="0" shapeId="0" xr:uid="{00000000-0006-0000-0100-000005010000}">
      <text>
        <r>
          <rPr>
            <b/>
            <sz val="9"/>
            <color indexed="81"/>
            <rFont val="Tahoma"/>
            <family val="2"/>
          </rPr>
          <t>User:</t>
        </r>
        <r>
          <rPr>
            <sz val="9"/>
            <color indexed="81"/>
            <rFont val="Tahoma"/>
            <family val="2"/>
          </rPr>
          <t xml:space="preserve">
- HS 4,89 từ 1/5/2014</t>
        </r>
      </text>
    </comment>
    <comment ref="G214" authorId="1" shapeId="0" xr:uid="{00000000-0006-0000-0100-000006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4" authorId="0" shapeId="0" xr:uid="{00000000-0006-0000-0100-000007010000}">
      <text>
        <r>
          <rPr>
            <b/>
            <sz val="9"/>
            <color indexed="81"/>
            <rFont val="Tahoma"/>
            <family val="2"/>
          </rPr>
          <t>User:</t>
        </r>
        <r>
          <rPr>
            <sz val="9"/>
            <color indexed="81"/>
            <rFont val="Tahoma"/>
            <family val="2"/>
          </rPr>
          <t xml:space="preserve">
- Hết bảo lưu hệ số PCCV từ 01/11/2015</t>
        </r>
      </text>
    </comment>
    <comment ref="F215" authorId="0" shapeId="0" xr:uid="{00000000-0006-0000-0100-000008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6" authorId="2" shapeId="0" xr:uid="{00000000-0006-0000-0100-000009010000}">
      <text>
        <r>
          <rPr>
            <b/>
            <sz val="9"/>
            <color indexed="81"/>
            <rFont val="Tahoma"/>
            <family val="2"/>
          </rPr>
          <t>user:</t>
        </r>
        <r>
          <rPr>
            <sz val="9"/>
            <color indexed="81"/>
            <rFont val="Tahoma"/>
            <family val="2"/>
          </rPr>
          <t xml:space="preserve">
- BN CDNN từ 01/4/2019 (HS 2.67)
- HS 3,00 từ 01/4/2022</t>
        </r>
      </text>
    </comment>
    <comment ref="F217" authorId="2" shapeId="0" xr:uid="{00000000-0006-0000-0100-00000A010000}">
      <text>
        <r>
          <rPr>
            <b/>
            <sz val="9"/>
            <color indexed="81"/>
            <rFont val="Tahoma"/>
            <family val="2"/>
          </rPr>
          <t>user:</t>
        </r>
        <r>
          <rPr>
            <sz val="9"/>
            <color indexed="81"/>
            <rFont val="Tahoma"/>
            <family val="2"/>
          </rPr>
          <t xml:space="preserve">
- HS 2,67 từ 01/10/2019
- HS 3,00 từ 01/10/2022</t>
        </r>
      </text>
    </comment>
    <comment ref="G218" authorId="1" shapeId="0" xr:uid="{00000000-0006-0000-0100-00000B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9" authorId="4" shapeId="0" xr:uid="{00000000-0006-0000-0100-00000C010000}">
      <text>
        <r>
          <rPr>
            <b/>
            <sz val="9"/>
            <color indexed="81"/>
            <rFont val="Tahoma"/>
            <family val="2"/>
          </rPr>
          <t>Quynh:</t>
        </r>
        <r>
          <rPr>
            <sz val="9"/>
            <color indexed="81"/>
            <rFont val="Tahoma"/>
            <family val="2"/>
          </rPr>
          <t xml:space="preserve">
- Tuyển dụng từ 01/4/2019
- HS 2,34 từ 01/04/2020
- HS 2,67 từ 01/4/2022</t>
        </r>
      </text>
    </comment>
    <comment ref="F220" authorId="2" shapeId="0" xr:uid="{00000000-0006-0000-0100-00000D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1" authorId="2" shapeId="0" xr:uid="{00000000-0006-0000-0100-00000E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2" authorId="3" shapeId="0" xr:uid="{00000000-0006-0000-0100-00000F010000}">
      <text>
        <r>
          <rPr>
            <b/>
            <sz val="9"/>
            <color indexed="81"/>
            <rFont val="Tahoma"/>
            <family val="2"/>
          </rPr>
          <t>Windows User:</t>
        </r>
        <r>
          <rPr>
            <sz val="9"/>
            <color indexed="81"/>
            <rFont val="Tahoma"/>
            <family val="2"/>
          </rPr>
          <t xml:space="preserve">
- Tuyển dụng từ T10/2022
- HS 2,67 từ 01/10/2022</t>
        </r>
      </text>
    </comment>
    <comment ref="F223" authorId="1" shapeId="0" xr:uid="{00000000-0006-0000-0100-000010010000}">
      <text>
        <r>
          <rPr>
            <b/>
            <sz val="9"/>
            <color indexed="81"/>
            <rFont val="Tahoma"/>
            <family val="2"/>
          </rPr>
          <t>Admin:</t>
        </r>
        <r>
          <rPr>
            <sz val="9"/>
            <color indexed="81"/>
            <rFont val="Tahoma"/>
            <family val="2"/>
          </rPr>
          <t xml:space="preserve">
- HS 4.65 từ 01/01/2016
- HS 4,98 từ 01/01/2019</t>
        </r>
      </text>
    </comment>
    <comment ref="G223" authorId="2" shapeId="0" xr:uid="{00000000-0006-0000-0100-000011010000}">
      <text>
        <r>
          <rPr>
            <b/>
            <sz val="9"/>
            <color indexed="81"/>
            <rFont val="Tahoma"/>
            <family val="2"/>
          </rPr>
          <t>user:</t>
        </r>
        <r>
          <rPr>
            <sz val="9"/>
            <color indexed="81"/>
            <rFont val="Tahoma"/>
            <family val="2"/>
          </rPr>
          <t xml:space="preserve">
- VK 5% từ 01/01/2022
- VK 6% từ 01/01/2023</t>
        </r>
      </text>
    </comment>
    <comment ref="I223" authorId="4" shapeId="0" xr:uid="{00000000-0006-0000-0100-000012010000}">
      <text>
        <r>
          <rPr>
            <b/>
            <sz val="9"/>
            <color indexed="81"/>
            <rFont val="Tahoma"/>
            <family val="2"/>
          </rPr>
          <t>Quynh:</t>
        </r>
        <r>
          <rPr>
            <sz val="9"/>
            <color indexed="81"/>
            <rFont val="Tahoma"/>
            <family val="2"/>
          </rPr>
          <t xml:space="preserve">
- BN Phó Trưởng phòng từ 01/01/2019</t>
        </r>
      </text>
    </comment>
    <comment ref="F224" authorId="0" shapeId="0" xr:uid="{00000000-0006-0000-0100-000013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4" authorId="6" shapeId="0" xr:uid="{00000000-0006-0000-0100-000014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5" authorId="0" shapeId="0" xr:uid="{00000000-0006-0000-0100-000015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5" authorId="5" shapeId="0" xr:uid="{00000000-0006-0000-0100-000016010000}">
      <text>
        <r>
          <rPr>
            <b/>
            <sz val="8"/>
            <color indexed="81"/>
            <rFont val="Tahoma"/>
            <family val="2"/>
          </rPr>
          <t>HS 0,35 từ 05/7/2015</t>
        </r>
        <r>
          <rPr>
            <sz val="8"/>
            <color indexed="81"/>
            <rFont val="Tahoma"/>
            <family val="2"/>
          </rPr>
          <t xml:space="preserve">
</t>
        </r>
      </text>
    </comment>
    <comment ref="F226" authorId="1" shapeId="0" xr:uid="{00000000-0006-0000-0100-000017010000}">
      <text>
        <r>
          <rPr>
            <b/>
            <sz val="9"/>
            <color indexed="81"/>
            <rFont val="Tahoma"/>
            <family val="2"/>
          </rPr>
          <t>Admin:</t>
        </r>
        <r>
          <rPr>
            <sz val="9"/>
            <color indexed="81"/>
            <rFont val="Tahoma"/>
            <family val="2"/>
          </rPr>
          <t xml:space="preserve">
- 4,65 từ 01/9/2016
- 4,98 từ 01/9/2019</t>
        </r>
      </text>
    </comment>
    <comment ref="G226" authorId="7" shapeId="0" xr:uid="{00000000-0006-0000-0100-000018010000}">
      <text>
        <r>
          <rPr>
            <b/>
            <sz val="9"/>
            <color indexed="81"/>
            <rFont val="Tahoma"/>
            <family val="2"/>
          </rPr>
          <t>huynh-panda:</t>
        </r>
        <r>
          <rPr>
            <sz val="9"/>
            <color indexed="81"/>
            <rFont val="Tahoma"/>
            <family val="2"/>
          </rPr>
          <t xml:space="preserve">
- VK 5% từ 01/9/2022
- VK 6% từ 01/9/2023</t>
        </r>
      </text>
    </comment>
    <comment ref="F227" authorId="1" shapeId="0" xr:uid="{00000000-0006-0000-0100-000019010000}">
      <text>
        <r>
          <rPr>
            <b/>
            <sz val="9"/>
            <color indexed="81"/>
            <rFont val="Tahoma"/>
            <family val="2"/>
          </rPr>
          <t>Admin:</t>
        </r>
        <r>
          <rPr>
            <sz val="9"/>
            <color indexed="81"/>
            <rFont val="Tahoma"/>
            <family val="2"/>
          </rPr>
          <t xml:space="preserve">
- HS 4,65 từ 01/10/2016 (NL Trước hạn 2017)
- HS 4,98 từ 01/10/2019</t>
        </r>
      </text>
    </comment>
    <comment ref="G227" authorId="3" shapeId="0" xr:uid="{00000000-0006-0000-0100-00001A010000}">
      <text>
        <r>
          <rPr>
            <b/>
            <sz val="9"/>
            <color indexed="81"/>
            <rFont val="Tahoma"/>
            <family val="2"/>
          </rPr>
          <t>Windows User:</t>
        </r>
        <r>
          <rPr>
            <sz val="9"/>
            <color indexed="81"/>
            <rFont val="Tahoma"/>
            <family val="2"/>
          </rPr>
          <t xml:space="preserve">
- VK 5% từ 01/10/2022
- VK 6% từ 01/10/2023</t>
        </r>
      </text>
    </comment>
    <comment ref="F228" authorId="1" shapeId="0" xr:uid="{00000000-0006-0000-0100-00001B010000}">
      <text>
        <r>
          <rPr>
            <b/>
            <sz val="9"/>
            <color indexed="81"/>
            <rFont val="Tahoma"/>
            <family val="2"/>
          </rPr>
          <t>Admin:</t>
        </r>
        <r>
          <rPr>
            <sz val="9"/>
            <color indexed="81"/>
            <rFont val="Tahoma"/>
            <family val="2"/>
          </rPr>
          <t xml:space="preserve">
- HS 3,99 từ 01/9/2015
- HS 4,32 từ 01/9/2018
- HS 4,65 từ 01/9/2021
</t>
        </r>
      </text>
    </comment>
    <comment ref="I228" authorId="0" shapeId="0" xr:uid="{00000000-0006-0000-0100-00001C010000}">
      <text>
        <r>
          <rPr>
            <b/>
            <sz val="9"/>
            <color indexed="81"/>
            <rFont val="Tahoma"/>
            <family val="2"/>
          </rPr>
          <t>User:</t>
        </r>
        <r>
          <rPr>
            <sz val="9"/>
            <color indexed="81"/>
            <rFont val="Tahoma"/>
            <family val="2"/>
          </rPr>
          <t xml:space="preserve">
Mieễn nhiệm Trưởng BM từ 01/9/2015. Bảo lưu HHS hết T02/2016</t>
        </r>
      </text>
    </comment>
    <comment ref="F229" authorId="1" shapeId="0" xr:uid="{00000000-0006-0000-0100-00001D010000}">
      <text>
        <r>
          <rPr>
            <b/>
            <sz val="9"/>
            <color indexed="81"/>
            <rFont val="Tahoma"/>
            <family val="2"/>
          </rPr>
          <t>Admin:</t>
        </r>
        <r>
          <rPr>
            <sz val="9"/>
            <color indexed="81"/>
            <rFont val="Tahoma"/>
            <family val="2"/>
          </rPr>
          <t xml:space="preserve">
- HS 3,66 từ 01/9/2016
- HS 3,99 từ 01/9/2019
- HS 4,32 từ 01/9/2022</t>
        </r>
      </text>
    </comment>
    <comment ref="F230" authorId="0" shapeId="0" xr:uid="{00000000-0006-0000-0100-00001E010000}">
      <text>
        <r>
          <rPr>
            <b/>
            <sz val="9"/>
            <color indexed="81"/>
            <rFont val="Tahoma"/>
            <family val="2"/>
          </rPr>
          <t>User:</t>
        </r>
        <r>
          <rPr>
            <sz val="9"/>
            <color indexed="81"/>
            <rFont val="Tahoma"/>
            <family val="2"/>
          </rPr>
          <t xml:space="preserve">
- HS 3,66 từ 01/9/2015
- HS 3,99 từ 01/9/2018
- HS 4,32 từ 01/9/2021</t>
        </r>
      </text>
    </comment>
    <comment ref="F231" authorId="1" shapeId="0" xr:uid="{00000000-0006-0000-0100-00001F010000}">
      <text>
        <r>
          <rPr>
            <b/>
            <sz val="9"/>
            <color indexed="81"/>
            <rFont val="Tahoma"/>
            <family val="2"/>
          </rPr>
          <t>Admin:</t>
        </r>
        <r>
          <rPr>
            <sz val="9"/>
            <color indexed="81"/>
            <rFont val="Tahoma"/>
            <family val="2"/>
          </rPr>
          <t xml:space="preserve">
- HS 2,67 từ 01/9/2016
- HS 3,00 từ 01/9/2019
- HS 3,33 từ 01/9/2021 (NL trước hạn)</t>
        </r>
      </text>
    </comment>
    <comment ref="I231" authorId="2" shapeId="0" xr:uid="{00000000-0006-0000-0100-000020010000}">
      <text>
        <r>
          <rPr>
            <b/>
            <sz val="9"/>
            <color indexed="81"/>
            <rFont val="Tahoma"/>
            <family val="2"/>
          </rPr>
          <t>user:</t>
        </r>
        <r>
          <rPr>
            <sz val="9"/>
            <color indexed="81"/>
            <rFont val="Tahoma"/>
            <family val="2"/>
          </rPr>
          <t xml:space="preserve">
Trưởng BM Cơ điện tử và tự động hóa từ 01/01/2019</t>
        </r>
      </text>
    </comment>
    <comment ref="F232" authorId="1" shapeId="0" xr:uid="{00000000-0006-0000-0100-000021010000}">
      <text>
        <r>
          <rPr>
            <b/>
            <sz val="9"/>
            <color indexed="81"/>
            <rFont val="Tahoma"/>
            <family val="2"/>
          </rPr>
          <t>Admin:</t>
        </r>
        <r>
          <rPr>
            <sz val="9"/>
            <color indexed="81"/>
            <rFont val="Tahoma"/>
            <family val="2"/>
          </rPr>
          <t xml:space="preserve">
- HS 3,66 từ 01/9/2016
- HS 3,99 từ 01/9/2019
- HS 4,32 từ 01/9/2022</t>
        </r>
      </text>
    </comment>
    <comment ref="F233" authorId="1" shapeId="0" xr:uid="{00000000-0006-0000-0100-000022010000}">
      <text>
        <r>
          <rPr>
            <b/>
            <sz val="9"/>
            <color indexed="81"/>
            <rFont val="Tahoma"/>
            <family val="2"/>
          </rPr>
          <t>Admin:</t>
        </r>
        <r>
          <rPr>
            <sz val="9"/>
            <color indexed="81"/>
            <rFont val="Tahoma"/>
            <family val="2"/>
          </rPr>
          <t xml:space="preserve">
- HS 3,99 từ 01/9/2016
- HS 4,32 từ 01/9/2019
- HS 4,65 từ 01/9/2022</t>
        </r>
      </text>
    </comment>
    <comment ref="I233" authorId="0" shapeId="0" xr:uid="{00000000-0006-0000-0100-000023010000}">
      <text>
        <r>
          <rPr>
            <b/>
            <sz val="9"/>
            <color indexed="81"/>
            <rFont val="Tahoma"/>
            <family val="2"/>
          </rPr>
          <t>User:</t>
        </r>
        <r>
          <rPr>
            <sz val="9"/>
            <color indexed="81"/>
            <rFont val="Tahoma"/>
            <family val="2"/>
          </rPr>
          <t xml:space="preserve">
Miễn nhiệm Trưởng BM. Bảo lưu HS hết T02/2015</t>
        </r>
      </text>
    </comment>
    <comment ref="F234" authorId="1" shapeId="0" xr:uid="{00000000-0006-0000-0100-000024010000}">
      <text>
        <r>
          <rPr>
            <b/>
            <sz val="9"/>
            <color indexed="81"/>
            <rFont val="Tahoma"/>
            <family val="2"/>
          </rPr>
          <t>Admin:</t>
        </r>
        <r>
          <rPr>
            <sz val="9"/>
            <color indexed="81"/>
            <rFont val="Tahoma"/>
            <family val="2"/>
          </rPr>
          <t xml:space="preserve">
- HS 3,00 từ 01/9/2016
- HS 3,33 từ 01/9/2019
- HS 3,66 từ 01/9/2022</t>
        </r>
      </text>
    </comment>
    <comment ref="F235" authorId="0" shapeId="0" xr:uid="{00000000-0006-0000-0100-000025010000}">
      <text>
        <r>
          <rPr>
            <b/>
            <sz val="9"/>
            <color indexed="81"/>
            <rFont val="Tahoma"/>
            <family val="2"/>
          </rPr>
          <t>User:</t>
        </r>
        <r>
          <rPr>
            <sz val="9"/>
            <color indexed="81"/>
            <rFont val="Tahoma"/>
            <family val="2"/>
          </rPr>
          <t xml:space="preserve">
- HS 3,33 từ 01/9/2015
- HS 3,66 từ 01/9/2018
- HS 3,99 từ 01/9/2021</t>
        </r>
      </text>
    </comment>
    <comment ref="F236" authorId="1" shapeId="0" xr:uid="{00000000-0006-0000-0100-000026010000}">
      <text>
        <r>
          <rPr>
            <b/>
            <sz val="9"/>
            <color indexed="81"/>
            <rFont val="Tahoma"/>
            <family val="2"/>
          </rPr>
          <t>Admin:</t>
        </r>
        <r>
          <rPr>
            <sz val="9"/>
            <color indexed="81"/>
            <rFont val="Tahoma"/>
            <family val="2"/>
          </rPr>
          <t xml:space="preserve">
- HS 3,00 từ 01/9/2017
- HS 3,33 từ 01/9/2020
- HS 3,66 từ 01/9/2023</t>
        </r>
      </text>
    </comment>
    <comment ref="F237" authorId="1" shapeId="0" xr:uid="{00000000-0006-0000-0100-000027010000}">
      <text>
        <r>
          <rPr>
            <b/>
            <sz val="9"/>
            <color indexed="81"/>
            <rFont val="Tahoma"/>
            <family val="2"/>
          </rPr>
          <t>Admin:</t>
        </r>
        <r>
          <rPr>
            <sz val="9"/>
            <color indexed="81"/>
            <rFont val="Tahoma"/>
            <family val="2"/>
          </rPr>
          <t xml:space="preserve">
- HS 3,00 từ 01/9/2017
- HS 3,33 từ 01/9/2019
- HS 3,66 từ 01/9/2022</t>
        </r>
      </text>
    </comment>
    <comment ref="F238" authorId="0" shapeId="0" xr:uid="{00000000-0006-0000-0100-000028010000}">
      <text>
        <r>
          <rPr>
            <b/>
            <sz val="9"/>
            <color indexed="81"/>
            <rFont val="Tahoma"/>
            <family val="2"/>
          </rPr>
          <t>User:</t>
        </r>
        <r>
          <rPr>
            <sz val="9"/>
            <color indexed="81"/>
            <rFont val="Tahoma"/>
            <family val="2"/>
          </rPr>
          <t xml:space="preserve">
- HS 4,65 từ 01/5/2014
- HS 4,98 từ 01/5/2017</t>
        </r>
      </text>
    </comment>
    <comment ref="G238" authorId="2" shapeId="0" xr:uid="{00000000-0006-0000-0100-000029010000}">
      <text>
        <r>
          <rPr>
            <b/>
            <sz val="9"/>
            <color indexed="81"/>
            <rFont val="Tahoma"/>
            <family val="2"/>
          </rPr>
          <t>user:</t>
        </r>
        <r>
          <rPr>
            <sz val="9"/>
            <color indexed="81"/>
            <rFont val="Tahoma"/>
            <family val="2"/>
          </rPr>
          <t xml:space="preserve">
- 5% từ 01/5/2020
- 6% từ 01/5/2021
- 7% từ 01/5/2022
- 8% từ 01/5/2023</t>
        </r>
      </text>
    </comment>
    <comment ref="I238" authorId="2" shapeId="0" xr:uid="{00000000-0006-0000-0100-00002A010000}">
      <text>
        <r>
          <rPr>
            <b/>
            <sz val="9"/>
            <color indexed="81"/>
            <rFont val="Tahoma"/>
            <family val="2"/>
          </rPr>
          <t>user:</t>
        </r>
        <r>
          <rPr>
            <sz val="9"/>
            <color indexed="81"/>
            <rFont val="Tahoma"/>
            <family val="2"/>
          </rPr>
          <t xml:space="preserve">
+ QĐ Bổ nhiệm Phó TK Điện - Điện tử từ 10/6/2019
</t>
        </r>
      </text>
    </comment>
    <comment ref="G239" authorId="1" shapeId="0" xr:uid="{00000000-0006-0000-0100-00002B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240" authorId="0" shapeId="0" xr:uid="{00000000-0006-0000-0100-00002C010000}">
      <text>
        <r>
          <rPr>
            <b/>
            <sz val="9"/>
            <color indexed="81"/>
            <rFont val="Tahoma"/>
            <family val="2"/>
          </rPr>
          <t>User:</t>
        </r>
        <r>
          <rPr>
            <sz val="9"/>
            <color indexed="81"/>
            <rFont val="Tahoma"/>
            <family val="2"/>
          </rPr>
          <t xml:space="preserve">
- HS 4,65 từ 01/5/2014
- HS 4,98 từ 01/5/2017</t>
        </r>
      </text>
    </comment>
    <comment ref="G240" authorId="2" shapeId="0" xr:uid="{00000000-0006-0000-0100-00002D010000}">
      <text>
        <r>
          <rPr>
            <b/>
            <sz val="9"/>
            <color indexed="81"/>
            <rFont val="Tahoma"/>
            <family val="2"/>
          </rPr>
          <t>user:</t>
        </r>
        <r>
          <rPr>
            <sz val="9"/>
            <color indexed="81"/>
            <rFont val="Tahoma"/>
            <family val="2"/>
          </rPr>
          <t xml:space="preserve">
- 5% từ 01/5/2020
- 6% từ 01/5/2021
- 7% từ 01/5/2022
- 8% từ 01/5/2023</t>
        </r>
      </text>
    </comment>
    <comment ref="I240" authorId="0" shapeId="0" xr:uid="{00000000-0006-0000-0100-00002E010000}">
      <text>
        <r>
          <rPr>
            <b/>
            <sz val="9"/>
            <color indexed="81"/>
            <rFont val="Tahoma"/>
            <family val="2"/>
          </rPr>
          <t>User:</t>
        </r>
        <r>
          <rPr>
            <sz val="9"/>
            <color indexed="81"/>
            <rFont val="Tahoma"/>
            <family val="2"/>
          </rPr>
          <t xml:space="preserve">
Miễn nhiện Phó Trưởng BM từ 01/9/15. Bảo lưu HS hết T2/2015</t>
        </r>
      </text>
    </comment>
    <comment ref="F241" authorId="0" shapeId="0" xr:uid="{00000000-0006-0000-0100-00002F010000}">
      <text>
        <r>
          <rPr>
            <b/>
            <sz val="9"/>
            <color indexed="81"/>
            <rFont val="Tahoma"/>
            <family val="2"/>
          </rPr>
          <t>User:</t>
        </r>
        <r>
          <rPr>
            <sz val="9"/>
            <color indexed="81"/>
            <rFont val="Tahoma"/>
            <family val="2"/>
          </rPr>
          <t xml:space="preserve">
- HS 3,66 từ 01/9/2015
- HS 3,99 từ 01/9/2018
- HS 4,32 từ 01/9/2021</t>
        </r>
      </text>
    </comment>
    <comment ref="F242" authorId="0" shapeId="0" xr:uid="{00000000-0006-0000-0100-000030010000}">
      <text>
        <r>
          <rPr>
            <b/>
            <sz val="9"/>
            <color indexed="81"/>
            <rFont val="Tahoma"/>
            <family val="2"/>
          </rPr>
          <t>User:</t>
        </r>
        <r>
          <rPr>
            <sz val="9"/>
            <color indexed="81"/>
            <rFont val="Tahoma"/>
            <family val="2"/>
          </rPr>
          <t xml:space="preserve">
- HS 3,66 từ 01/9/2015
- HS 3,99 từ 01/9/2018
- HS 4,32 từ 01/9/2021</t>
        </r>
      </text>
    </comment>
    <comment ref="I242" authorId="0" shapeId="0" xr:uid="{00000000-0006-0000-0100-000031010000}">
      <text>
        <r>
          <rPr>
            <b/>
            <sz val="9"/>
            <color indexed="81"/>
            <rFont val="Tahoma"/>
            <family val="2"/>
          </rPr>
          <t>User:</t>
        </r>
        <r>
          <rPr>
            <sz val="9"/>
            <color indexed="81"/>
            <rFont val="Tahoma"/>
            <family val="2"/>
          </rPr>
          <t xml:space="preserve">
Miễn nhiệm Phó Trưởng BM từ 01/9/2015. Bảo lưu HS hết T02/2015</t>
        </r>
      </text>
    </comment>
    <comment ref="F243" authorId="0" shapeId="0" xr:uid="{00000000-0006-0000-0100-000032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4" authorId="0" shapeId="0" xr:uid="{00000000-0006-0000-0100-000033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5" authorId="0" shapeId="0" xr:uid="{00000000-0006-0000-01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0" shapeId="0" xr:uid="{00000000-0006-0000-0100-000035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1" shapeId="0" xr:uid="{00000000-0006-0000-0100-000036010000}">
      <text>
        <r>
          <rPr>
            <b/>
            <sz val="9"/>
            <color indexed="81"/>
            <rFont val="Tahoma"/>
            <family val="2"/>
          </rPr>
          <t>Admin:</t>
        </r>
        <r>
          <rPr>
            <sz val="9"/>
            <color indexed="81"/>
            <rFont val="Tahoma"/>
            <family val="2"/>
          </rPr>
          <t xml:space="preserve">
- HS 3,33 từ 01/12/2015
- HS 3,66 từ 01/12/2016
- HS 3,99 từ 01/12/2021</t>
        </r>
      </text>
    </comment>
    <comment ref="F248" authorId="2" shapeId="0" xr:uid="{00000000-0006-0000-0100-000037010000}">
      <text>
        <r>
          <rPr>
            <b/>
            <sz val="9"/>
            <color indexed="81"/>
            <rFont val="Tahoma"/>
            <family val="2"/>
          </rPr>
          <t>user:</t>
        </r>
        <r>
          <rPr>
            <sz val="9"/>
            <color indexed="81"/>
            <rFont val="Tahoma"/>
            <family val="2"/>
          </rPr>
          <t xml:space="preserve">
- BN CDNN từ 01/4/2019
- HS 3,00 từ 01/04/2021 (NL trước hạn)</t>
        </r>
      </text>
    </comment>
    <comment ref="K248" authorId="1" shapeId="0" xr:uid="{00000000-0006-0000-0100-000038010000}">
      <text>
        <r>
          <rPr>
            <sz val="9"/>
            <color indexed="81"/>
            <rFont val="Tahoma"/>
            <family val="2"/>
          </rPr>
          <t>- Tập sự từ 01/4/2018 HS 85% 2,67</t>
        </r>
        <r>
          <rPr>
            <b/>
            <sz val="9"/>
            <color indexed="81"/>
            <rFont val="Tahoma"/>
            <family val="2"/>
          </rPr>
          <t xml:space="preserve">
</t>
        </r>
      </text>
    </comment>
    <comment ref="F249" authorId="2" shapeId="0" xr:uid="{00000000-0006-0000-0100-000039010000}">
      <text>
        <r>
          <rPr>
            <b/>
            <sz val="9"/>
            <color indexed="81"/>
            <rFont val="Tahoma"/>
            <family val="2"/>
          </rPr>
          <t>user:</t>
        </r>
        <r>
          <rPr>
            <sz val="9"/>
            <color indexed="81"/>
            <rFont val="Tahoma"/>
            <family val="2"/>
          </rPr>
          <t xml:space="preserve">
- BN CDNN 2.34 từ 1/4/2019
- HS 2,67 từ 01/4/2022</t>
        </r>
      </text>
    </comment>
    <comment ref="I249" authorId="3" shapeId="0" xr:uid="{00000000-0006-0000-0100-00003A010000}">
      <text>
        <r>
          <rPr>
            <b/>
            <sz val="9"/>
            <color indexed="81"/>
            <rFont val="Tahoma"/>
            <family val="2"/>
          </rPr>
          <t>Windows User:</t>
        </r>
        <r>
          <rPr>
            <sz val="9"/>
            <color indexed="81"/>
            <rFont val="Tahoma"/>
            <family val="2"/>
          </rPr>
          <t xml:space="preserve">
- Trưởng BM Điện Công nghiệp từ 01/10/2022</t>
        </r>
      </text>
    </comment>
    <comment ref="K249" authorId="1" shapeId="0" xr:uid="{00000000-0006-0000-0100-00003B010000}">
      <text>
        <r>
          <rPr>
            <sz val="9"/>
            <color indexed="81"/>
            <rFont val="Tahoma"/>
            <family val="2"/>
          </rPr>
          <t>- Tập sự từ 01/4/2018 HS 85% 2,34</t>
        </r>
      </text>
    </comment>
    <comment ref="F250" authorId="2" shapeId="0" xr:uid="{00000000-0006-0000-0100-00003C010000}">
      <text>
        <r>
          <rPr>
            <b/>
            <sz val="9"/>
            <color indexed="81"/>
            <rFont val="Tahoma"/>
            <family val="2"/>
          </rPr>
          <t>user:</t>
        </r>
        <r>
          <rPr>
            <sz val="9"/>
            <color indexed="81"/>
            <rFont val="Tahoma"/>
            <family val="2"/>
          </rPr>
          <t xml:space="preserve">
- HS 2,34 từ 01/01/2020
- HS 2,67 từ 01/01/2022 (NL trước hạn)</t>
        </r>
      </text>
    </comment>
    <comment ref="I250" authorId="7" shapeId="0" xr:uid="{00000000-0006-0000-0100-00003D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1" authorId="2" shapeId="0" xr:uid="{00000000-0006-0000-0100-00003E010000}">
      <text>
        <r>
          <rPr>
            <b/>
            <sz val="9"/>
            <color indexed="81"/>
            <rFont val="Tahoma"/>
            <family val="2"/>
          </rPr>
          <t>user:</t>
        </r>
        <r>
          <rPr>
            <sz val="9"/>
            <color indexed="81"/>
            <rFont val="Tahoma"/>
            <family val="2"/>
          </rPr>
          <t xml:space="preserve">
Thuyên chuyển về trường từ ngày 15/6/2021
- HS 3,99 từ 01/11/2022</t>
        </r>
      </text>
    </comment>
    <comment ref="F252" authorId="3" shapeId="0" xr:uid="{00000000-0006-0000-0100-00003F010000}">
      <text>
        <r>
          <rPr>
            <b/>
            <sz val="9"/>
            <color indexed="81"/>
            <rFont val="Tahoma"/>
            <family val="2"/>
          </rPr>
          <t>Windows User:</t>
        </r>
        <r>
          <rPr>
            <sz val="9"/>
            <color indexed="81"/>
            <rFont val="Tahoma"/>
            <family val="2"/>
          </rPr>
          <t xml:space="preserve">
- HS 2,67 từ 01/10/2023 (BN CDNN)</t>
        </r>
      </text>
    </comment>
    <comment ref="F253" authorId="3" shapeId="0" xr:uid="{00000000-0006-0000-0100-000040010000}">
      <text>
        <r>
          <rPr>
            <b/>
            <sz val="9"/>
            <color indexed="81"/>
            <rFont val="Tahoma"/>
            <family val="2"/>
          </rPr>
          <t>Windows User:</t>
        </r>
        <r>
          <rPr>
            <sz val="9"/>
            <color indexed="81"/>
            <rFont val="Tahoma"/>
            <family val="2"/>
          </rPr>
          <t xml:space="preserve">
- HS 2,34 từ 01/10/2023 (BN CDNN)</t>
        </r>
      </text>
    </comment>
    <comment ref="F254" authorId="1" shapeId="0" xr:uid="{00000000-0006-0000-0100-000041010000}">
      <text>
        <r>
          <rPr>
            <b/>
            <sz val="9"/>
            <color indexed="81"/>
            <rFont val="Tahoma"/>
            <family val="2"/>
          </rPr>
          <t>Admin:</t>
        </r>
        <r>
          <rPr>
            <sz val="9"/>
            <color indexed="81"/>
            <rFont val="Tahoma"/>
            <family val="2"/>
          </rPr>
          <t xml:space="preserve">
- HS 3,66 từ 01/9/2016
- HS 3,99 từ 01/9/2018 (NL trước hạn)
- HS 4,32 từ 01/9/2021</t>
        </r>
      </text>
    </comment>
    <comment ref="I254" authorId="0" shapeId="0" xr:uid="{00000000-0006-0000-0100-000042010000}">
      <text>
        <r>
          <rPr>
            <b/>
            <sz val="9"/>
            <color indexed="81"/>
            <rFont val="Tahoma"/>
            <family val="2"/>
          </rPr>
          <t>User:</t>
        </r>
        <r>
          <rPr>
            <sz val="9"/>
            <color indexed="81"/>
            <rFont val="Tahoma"/>
            <family val="2"/>
          </rPr>
          <t xml:space="preserve">
- Trưởng khoa Động lực từ 01/8/2015</t>
        </r>
      </text>
    </comment>
    <comment ref="F255" authorId="1" shapeId="0" xr:uid="{00000000-0006-0000-0100-000043010000}">
      <text>
        <r>
          <rPr>
            <b/>
            <sz val="9"/>
            <color indexed="81"/>
            <rFont val="Tahoma"/>
            <family val="2"/>
          </rPr>
          <t>Admin:</t>
        </r>
        <r>
          <rPr>
            <sz val="9"/>
            <color indexed="81"/>
            <rFont val="Tahoma"/>
            <family val="2"/>
          </rPr>
          <t xml:space="preserve">
- HS 3,99 từ 01/9/2016
- HS 4,32 từ 01/9/2018 (NL Trước hạn)
- HS 4,65 từ 01/9/2021</t>
        </r>
      </text>
    </comment>
    <comment ref="F256" authorId="1" shapeId="0" xr:uid="{00000000-0006-0000-0100-000044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7" authorId="1" shapeId="0" xr:uid="{00000000-0006-0000-0100-000045010000}">
      <text>
        <r>
          <rPr>
            <b/>
            <sz val="9"/>
            <color indexed="81"/>
            <rFont val="Tahoma"/>
            <family val="2"/>
          </rPr>
          <t>Admin:</t>
        </r>
        <r>
          <rPr>
            <sz val="9"/>
            <color indexed="81"/>
            <rFont val="Tahoma"/>
            <family val="2"/>
          </rPr>
          <t xml:space="preserve">
- HS 3,33 từ 01/9/2016
- HS 3,66 từ 01/9/2018 (NL trước hạn)
- HS 3,99 từ 01/9/2021</t>
        </r>
      </text>
    </comment>
    <comment ref="I257" authorId="1" shapeId="0" xr:uid="{00000000-0006-0000-0100-000046010000}">
      <text>
        <r>
          <rPr>
            <b/>
            <sz val="9"/>
            <color indexed="81"/>
            <rFont val="Tahoma"/>
            <family val="2"/>
          </rPr>
          <t>Admin:</t>
        </r>
        <r>
          <rPr>
            <sz val="9"/>
            <color indexed="81"/>
            <rFont val="Tahoma"/>
            <family val="2"/>
          </rPr>
          <t xml:space="preserve">
- Bảo lưu đến hết T5/2018</t>
        </r>
      </text>
    </comment>
    <comment ref="F258" authorId="1" shapeId="0" xr:uid="{00000000-0006-0000-0100-000047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8" authorId="0" shapeId="0" xr:uid="{00000000-0006-0000-0100-000048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9" authorId="0" shapeId="0" xr:uid="{00000000-0006-0000-0100-000049010000}">
      <text>
        <r>
          <rPr>
            <b/>
            <sz val="9"/>
            <color indexed="81"/>
            <rFont val="Tahoma"/>
            <family val="2"/>
          </rPr>
          <t>User:</t>
        </r>
        <r>
          <rPr>
            <sz val="9"/>
            <color indexed="81"/>
            <rFont val="Tahoma"/>
            <family val="2"/>
          </rPr>
          <t xml:space="preserve">
- HS 3,00 từ 01/9/2015
- HS 3,33 từ 01/9/2018
- HS 3,66 từ 01/9/2021</t>
        </r>
      </text>
    </comment>
    <comment ref="F260" authorId="1" shapeId="0" xr:uid="{00000000-0006-0000-0100-00004A010000}">
      <text>
        <r>
          <rPr>
            <b/>
            <sz val="9"/>
            <color indexed="81"/>
            <rFont val="Tahoma"/>
            <family val="2"/>
          </rPr>
          <t>Admin:</t>
        </r>
        <r>
          <rPr>
            <sz val="9"/>
            <color indexed="81"/>
            <rFont val="Tahoma"/>
            <family val="2"/>
          </rPr>
          <t xml:space="preserve">
- HS 3,00 từ 01/9/2015
- HS 3,33 từ 01/9/2018
- HS 3,66 từ 01/9/2021</t>
        </r>
      </text>
    </comment>
    <comment ref="F261" authorId="0" shapeId="0" xr:uid="{00000000-0006-0000-0100-00004B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1" authorId="0" shapeId="0" xr:uid="{00000000-0006-0000-0100-00004C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2" authorId="1" shapeId="0" xr:uid="{00000000-0006-0000-0100-00004D010000}">
      <text>
        <r>
          <rPr>
            <b/>
            <sz val="9"/>
            <color indexed="81"/>
            <rFont val="Tahoma"/>
            <family val="2"/>
          </rPr>
          <t>Admin:</t>
        </r>
        <r>
          <rPr>
            <sz val="9"/>
            <color indexed="81"/>
            <rFont val="Tahoma"/>
            <family val="2"/>
          </rPr>
          <t xml:space="preserve">
- HS 3,00 từ 01/9/2015
- HS 3,33 từ 01/9/2018
- HS 3,66 từ 01/9/2021</t>
        </r>
      </text>
    </comment>
    <comment ref="F263" authorId="1" shapeId="0" xr:uid="{00000000-0006-0000-0100-00004E010000}">
      <text>
        <r>
          <rPr>
            <b/>
            <sz val="9"/>
            <color indexed="81"/>
            <rFont val="Tahoma"/>
            <family val="2"/>
          </rPr>
          <t>Admin:</t>
        </r>
        <r>
          <rPr>
            <sz val="9"/>
            <color indexed="81"/>
            <rFont val="Tahoma"/>
            <family val="2"/>
          </rPr>
          <t xml:space="preserve">
- HS 3,00 từ 01/9/2017
- HS 3,33 từ 01/9/2019
- HS 3,66 từ 01/9/2022
</t>
        </r>
      </text>
    </comment>
    <comment ref="F264" authorId="8" shapeId="0" xr:uid="{00000000-0006-0000-0100-00004F010000}">
      <text>
        <r>
          <rPr>
            <sz val="9"/>
            <color indexed="81"/>
            <rFont val="Tahoma"/>
            <family val="2"/>
          </rPr>
          <t>- HS 3,00 từ 01/3/2018
- HS 3,33 từ 01/3/2020 (NL trước hạn)
- HS 3,66 từ 01/03/2023</t>
        </r>
      </text>
    </comment>
    <comment ref="F265" authorId="1" shapeId="0" xr:uid="{00000000-0006-0000-0100-000050010000}">
      <text>
        <r>
          <rPr>
            <b/>
            <sz val="9"/>
            <color indexed="81"/>
            <rFont val="Tahoma"/>
            <family val="2"/>
          </rPr>
          <t>Admin:</t>
        </r>
        <r>
          <rPr>
            <sz val="9"/>
            <color indexed="81"/>
            <rFont val="Tahoma"/>
            <family val="2"/>
          </rPr>
          <t xml:space="preserve">
- HS 2,67 từ 01/9/2015
- HS 3,00 từ 01/9/2018
- HS 3,33 từ 01/9/2021</t>
        </r>
      </text>
    </comment>
    <comment ref="F266" authorId="1" shapeId="0" xr:uid="{00000000-0006-0000-0100-000051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7" authorId="1" shapeId="0" xr:uid="{00000000-0006-0000-0100-000052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7" authorId="4" shapeId="0" xr:uid="{00000000-0006-0000-0100-000053010000}">
      <text>
        <r>
          <rPr>
            <b/>
            <sz val="9"/>
            <color indexed="81"/>
            <rFont val="Tahoma"/>
            <family val="2"/>
          </rPr>
          <t>Quynh:</t>
        </r>
        <r>
          <rPr>
            <sz val="9"/>
            <color indexed="81"/>
            <rFont val="Tahoma"/>
            <family val="2"/>
          </rPr>
          <t xml:space="preserve">
- BN Trưởng BM Điện ô tô từ 01/01/2019 </t>
        </r>
      </text>
    </comment>
    <comment ref="F268" authorId="1" shapeId="0" xr:uid="{00000000-0006-0000-0100-000054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9" authorId="2" shapeId="0" xr:uid="{00000000-0006-0000-0100-000055010000}">
      <text>
        <r>
          <rPr>
            <b/>
            <sz val="9"/>
            <color indexed="81"/>
            <rFont val="Tahoma"/>
            <family val="2"/>
          </rPr>
          <t>user:</t>
        </r>
        <r>
          <rPr>
            <sz val="9"/>
            <color indexed="81"/>
            <rFont val="Tahoma"/>
            <family val="2"/>
          </rPr>
          <t xml:space="preserve">
- HS 2,34 từ 01/10/2019
- HS 2,67 từ 01/10/2021 (NL trước hạn)</t>
        </r>
      </text>
    </comment>
    <comment ref="F270" authorId="2" shapeId="0" xr:uid="{00000000-0006-0000-0100-000056010000}">
      <text>
        <r>
          <rPr>
            <b/>
            <sz val="9"/>
            <color indexed="81"/>
            <rFont val="Tahoma"/>
            <family val="2"/>
          </rPr>
          <t>user:</t>
        </r>
        <r>
          <rPr>
            <sz val="9"/>
            <color indexed="81"/>
            <rFont val="Tahoma"/>
            <family val="2"/>
          </rPr>
          <t xml:space="preserve">
- HS 2,34 từ 01/10/2019
- HS 2,67 từ 01/10/2022</t>
        </r>
      </text>
    </comment>
    <comment ref="F271" authorId="2" shapeId="0" xr:uid="{00000000-0006-0000-0100-000057010000}">
      <text>
        <r>
          <rPr>
            <b/>
            <sz val="9"/>
            <color indexed="81"/>
            <rFont val="Tahoma"/>
            <family val="2"/>
          </rPr>
          <t>user:</t>
        </r>
        <r>
          <rPr>
            <sz val="9"/>
            <color indexed="81"/>
            <rFont val="Tahoma"/>
            <family val="2"/>
          </rPr>
          <t xml:space="preserve">
- HS 2,67 từ 01/01/2020
- HS 3,00 từ 01/01/2022 (NL trước hạn)</t>
        </r>
      </text>
    </comment>
    <comment ref="F272" authorId="2" shapeId="0" xr:uid="{00000000-0006-0000-0100-000058010000}">
      <text>
        <r>
          <rPr>
            <b/>
            <sz val="9"/>
            <color indexed="81"/>
            <rFont val="Tahoma"/>
            <family val="2"/>
          </rPr>
          <t>user:</t>
        </r>
        <r>
          <rPr>
            <sz val="9"/>
            <color indexed="81"/>
            <rFont val="Tahoma"/>
            <family val="2"/>
          </rPr>
          <t xml:space="preserve">
- HS 3,00 từ 01/11/2019
- HS 3,33 từ 01/12/2020
- HS 3,66 từ 01/12/2022</t>
        </r>
      </text>
    </comment>
    <comment ref="F273" authorId="2" shapeId="0" xr:uid="{00000000-0006-0000-0100-000059010000}">
      <text>
        <r>
          <rPr>
            <b/>
            <sz val="9"/>
            <color indexed="81"/>
            <rFont val="Tahoma"/>
            <family val="2"/>
          </rPr>
          <t>user:</t>
        </r>
        <r>
          <rPr>
            <sz val="9"/>
            <color indexed="81"/>
            <rFont val="Tahoma"/>
            <family val="2"/>
          </rPr>
          <t xml:space="preserve">
Tuyển dụng từ 01/5/20
- HS 2,34 từ 01/5/2021</t>
        </r>
      </text>
    </comment>
    <comment ref="F274" authorId="2" shapeId="0" xr:uid="{00000000-0006-0000-0100-00005A010000}">
      <text>
        <r>
          <rPr>
            <b/>
            <sz val="9"/>
            <color indexed="81"/>
            <rFont val="Tahoma"/>
            <family val="2"/>
          </rPr>
          <t>user:</t>
        </r>
        <r>
          <rPr>
            <sz val="9"/>
            <color indexed="81"/>
            <rFont val="Tahoma"/>
            <family val="2"/>
          </rPr>
          <t xml:space="preserve">
Tuyển dụng 01/5/20
- HS 2,34 từ 01/5/2021</t>
        </r>
      </text>
    </comment>
    <comment ref="F275" authorId="2" shapeId="0" xr:uid="{00000000-0006-0000-0100-00005B01000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xr:uid="{00000000-0006-0000-0100-00005C010000}">
      <text>
        <r>
          <rPr>
            <b/>
            <sz val="9"/>
            <color indexed="81"/>
            <rFont val="Tahoma"/>
            <family val="2"/>
          </rPr>
          <t>user:</t>
        </r>
        <r>
          <rPr>
            <sz val="9"/>
            <color indexed="81"/>
            <rFont val="Tahoma"/>
            <family val="2"/>
          </rPr>
          <t xml:space="preserve">
- Tuyển dụng từ 01/4/2021 (85%)
- HS 2,34 từ 01/4/2022</t>
        </r>
      </text>
    </comment>
    <comment ref="F277" authorId="2" shapeId="0" xr:uid="{00000000-0006-0000-0100-00005D010000}">
      <text>
        <r>
          <rPr>
            <b/>
            <sz val="9"/>
            <color indexed="81"/>
            <rFont val="Tahoma"/>
            <family val="2"/>
          </rPr>
          <t>user:</t>
        </r>
        <r>
          <rPr>
            <sz val="9"/>
            <color indexed="81"/>
            <rFont val="Tahoma"/>
            <family val="2"/>
          </rPr>
          <t xml:space="preserve">
- Tuyển dụng từ 01/05/2021
- HS 3,00 từ 01/5/2021 (NL từ 01/7/2018)
- HS 3,33 từ 01/7/2021</t>
        </r>
      </text>
    </comment>
    <comment ref="F278" authorId="3" shapeId="0" xr:uid="{00000000-0006-0000-0100-00005E010000}">
      <text>
        <r>
          <rPr>
            <b/>
            <sz val="9"/>
            <color indexed="81"/>
            <rFont val="Tahoma"/>
            <family val="2"/>
          </rPr>
          <t>Windows User:</t>
        </r>
        <r>
          <rPr>
            <sz val="9"/>
            <color indexed="81"/>
            <rFont val="Tahoma"/>
            <family val="2"/>
          </rPr>
          <t xml:space="preserve">
- HS 3,00 từ 01/10/2022
- HS 3,33 từ 01/01/2023</t>
        </r>
      </text>
    </comment>
    <comment ref="F280" authorId="6" shapeId="0" xr:uid="{00000000-0006-0000-0100-00005F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xr:uid="{00000000-0006-0000-0100-000060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xr:uid="{00000000-0006-0000-0100-000061010000}">
      <text>
        <r>
          <rPr>
            <b/>
            <sz val="9"/>
            <color indexed="81"/>
            <rFont val="Tahoma"/>
            <family val="2"/>
          </rPr>
          <t>Admin:</t>
        </r>
        <r>
          <rPr>
            <sz val="9"/>
            <color indexed="81"/>
            <rFont val="Tahoma"/>
            <family val="2"/>
          </rPr>
          <t xml:space="preserve">
- HS 3,99 từ 01/9/2017
- HS 4,32 từ 01/9/2020
- HS 4,65 từ 01/9/2022</t>
        </r>
      </text>
    </comment>
    <comment ref="F282" authorId="1" shapeId="0" xr:uid="{00000000-0006-0000-0100-000062010000}">
      <text>
        <r>
          <rPr>
            <b/>
            <sz val="9"/>
            <color indexed="81"/>
            <rFont val="Tahoma"/>
            <family val="2"/>
          </rPr>
          <t>Admin:</t>
        </r>
        <r>
          <rPr>
            <sz val="9"/>
            <color indexed="81"/>
            <rFont val="Tahoma"/>
            <family val="2"/>
          </rPr>
          <t xml:space="preserve">
- HS 3,99 từ 01/9/2017
- HS 4,32 từ 01/9/2020
- HS 4,65 từ 01/9/2023</t>
        </r>
      </text>
    </comment>
    <comment ref="F283" authorId="1" shapeId="0" xr:uid="{00000000-0006-0000-0100-000063010000}">
      <text>
        <r>
          <rPr>
            <b/>
            <sz val="9"/>
            <color indexed="81"/>
            <rFont val="Tahoma"/>
            <family val="2"/>
          </rPr>
          <t>Admin:</t>
        </r>
        <r>
          <rPr>
            <sz val="9"/>
            <color indexed="81"/>
            <rFont val="Tahoma"/>
            <family val="2"/>
          </rPr>
          <t xml:space="preserve">
- HS 3,00 từ 01/9/2016
- HS 3,33 từ 01/9/2019
- HS 3,66 từ 01/9/2022</t>
        </r>
      </text>
    </comment>
    <comment ref="F284" authorId="1" shapeId="0" xr:uid="{00000000-0006-0000-0100-000064010000}">
      <text>
        <r>
          <rPr>
            <b/>
            <sz val="9"/>
            <color indexed="81"/>
            <rFont val="Tahoma"/>
            <family val="2"/>
          </rPr>
          <t>Admin:</t>
        </r>
        <r>
          <rPr>
            <sz val="9"/>
            <color indexed="81"/>
            <rFont val="Tahoma"/>
            <family val="2"/>
          </rPr>
          <t xml:space="preserve">
- HS 3,00 từ 01/9/2017
- HS 3,33 từ 01/9/2020
- HS 3,66 từ 01/9/2023</t>
        </r>
      </text>
    </comment>
    <comment ref="F285" authorId="1" shapeId="0" xr:uid="{00000000-0006-0000-0100-000065010000}">
      <text>
        <r>
          <rPr>
            <b/>
            <sz val="9"/>
            <color indexed="81"/>
            <rFont val="Tahoma"/>
            <family val="2"/>
          </rPr>
          <t>Admin:</t>
        </r>
        <r>
          <rPr>
            <sz val="9"/>
            <color indexed="81"/>
            <rFont val="Tahoma"/>
            <family val="2"/>
          </rPr>
          <t xml:space="preserve">
- HS 3,66 từ 01/9/2016
- HS 3,99 từ 01/9/2019
- HS 4,32 từ 01/9/2022</t>
        </r>
      </text>
    </comment>
    <comment ref="F286" authorId="2" shapeId="0" xr:uid="{00000000-0006-0000-0100-000066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xr:uid="{00000000-0006-0000-0100-000067010000}">
      <text>
        <r>
          <rPr>
            <b/>
            <sz val="9"/>
            <color indexed="81"/>
            <rFont val="Tahoma"/>
            <family val="2"/>
          </rPr>
          <t>User:</t>
        </r>
        <r>
          <rPr>
            <sz val="9"/>
            <color indexed="81"/>
            <rFont val="Tahoma"/>
            <family val="2"/>
          </rPr>
          <t xml:space="preserve">
- HS 4,32 từ 01/10/2015
- HS 4,65 từ 01/10/2018
- HS 4,98 từ 01/10/2021</t>
        </r>
      </text>
    </comment>
    <comment ref="F288" authorId="8" shapeId="0" xr:uid="{00000000-0006-0000-0100-000068010000}">
      <text>
        <r>
          <rPr>
            <sz val="9"/>
            <color indexed="81"/>
            <rFont val="Tahoma"/>
            <family val="2"/>
          </rPr>
          <t>- HS 2,67 hưởng từ 01/9 làm bảng truy lãnh từ tháng 9-11/2017
- HS 3,00 từ 01/9/2019
- HS 3,33 từ 01/9/2022</t>
        </r>
      </text>
    </comment>
    <comment ref="I288" authorId="1" shapeId="0" xr:uid="{00000000-0006-0000-0100-000069010000}">
      <text>
        <r>
          <rPr>
            <b/>
            <sz val="9"/>
            <color indexed="81"/>
            <rFont val="Tahoma"/>
            <family val="2"/>
          </rPr>
          <t>Admin:</t>
        </r>
        <r>
          <rPr>
            <sz val="9"/>
            <color indexed="81"/>
            <rFont val="Tahoma"/>
            <family val="2"/>
          </rPr>
          <t xml:space="preserve">
- BN Phó TK từ 01/8/2018</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author>
    <author>user</author>
    <author>Quynh</author>
    <author>Windows User</author>
    <author>huynh-panda</author>
    <author>Thu Thuy</author>
    <author>User</author>
    <author>admin</author>
    <author>yen</author>
  </authors>
  <commentList>
    <comment ref="F12" authorId="0" shapeId="0" xr:uid="{00000000-0006-0000-0200-000001000000}">
      <text>
        <r>
          <rPr>
            <b/>
            <sz val="9"/>
            <color indexed="81"/>
            <rFont val="Tahoma"/>
            <family val="2"/>
          </rPr>
          <t>Admin:</t>
        </r>
        <r>
          <rPr>
            <sz val="9"/>
            <color indexed="81"/>
            <rFont val="Tahoma"/>
            <family val="2"/>
          </rPr>
          <t xml:space="preserve">
'- HS 3.00 (BN từ 01/4/18)
- HS 3,33 từ 01/02/2020
- HS 3,66 từ 01/02/2022 (NL trước hạn)</t>
        </r>
      </text>
    </comment>
    <comment ref="I12" authorId="1" shapeId="0" xr:uid="{00000000-0006-0000-0200-000002000000}">
      <text>
        <r>
          <rPr>
            <b/>
            <sz val="9"/>
            <color indexed="81"/>
            <rFont val="Tahoma"/>
            <family val="2"/>
          </rPr>
          <t>user:</t>
        </r>
        <r>
          <rPr>
            <sz val="9"/>
            <color indexed="81"/>
            <rFont val="Tahoma"/>
            <family val="2"/>
          </rPr>
          <t xml:space="preserve">
Phụ trách khoa Xây dựng từ 01/5/2019
- TK từ 01/5/2023</t>
        </r>
      </text>
    </comment>
    <comment ref="F13" authorId="1" shapeId="0" xr:uid="{00000000-0006-0000-0200-000003000000}">
      <text>
        <r>
          <rPr>
            <b/>
            <sz val="9"/>
            <color indexed="81"/>
            <rFont val="Tahoma"/>
            <family val="2"/>
          </rPr>
          <t>user:</t>
        </r>
        <r>
          <rPr>
            <sz val="9"/>
            <color indexed="81"/>
            <rFont val="Tahoma"/>
            <family val="2"/>
          </rPr>
          <t xml:space="preserve">
- Tuyển dụng từ T5/20
- HS 2,67 từ 01/5/2021</t>
        </r>
      </text>
    </comment>
    <comment ref="F14" authorId="1" shapeId="0" xr:uid="{00000000-0006-0000-0200-000004000000}">
      <text>
        <r>
          <rPr>
            <b/>
            <sz val="9"/>
            <color indexed="81"/>
            <rFont val="Tahoma"/>
            <family val="2"/>
          </rPr>
          <t>user:</t>
        </r>
        <r>
          <rPr>
            <sz val="9"/>
            <color indexed="81"/>
            <rFont val="Tahoma"/>
            <family val="2"/>
          </rPr>
          <t xml:space="preserve">
- HS 1,989 từ 01/4/21 (Tuyển dụng)
- HS 2,34 từ 01/4/2022</t>
        </r>
      </text>
    </comment>
    <comment ref="F15" authorId="0" shapeId="0" xr:uid="{00000000-0006-0000-0200-000005000000}">
      <text>
        <r>
          <rPr>
            <b/>
            <sz val="9"/>
            <color indexed="81"/>
            <rFont val="Tahoma"/>
            <family val="2"/>
          </rPr>
          <t>Admin:</t>
        </r>
        <r>
          <rPr>
            <sz val="9"/>
            <color indexed="81"/>
            <rFont val="Tahoma"/>
            <family val="2"/>
          </rPr>
          <t xml:space="preserve">
- HS 3,33 từ 01/9/2016
- HS 3,66 từ 01/9/2019
- HS 3,99 từ 01/9/2022</t>
        </r>
      </text>
    </comment>
    <comment ref="I15" authorId="2" shapeId="0" xr:uid="{00000000-0006-0000-0200-000006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6" authorId="2" shapeId="0" xr:uid="{00000000-0006-0000-0200-000007000000}">
      <text>
        <r>
          <rPr>
            <b/>
            <sz val="9"/>
            <color indexed="81"/>
            <rFont val="Tahoma"/>
            <family val="2"/>
          </rPr>
          <t>Quynh:</t>
        </r>
        <r>
          <rPr>
            <sz val="9"/>
            <color indexed="81"/>
            <rFont val="Tahoma"/>
            <family val="2"/>
          </rPr>
          <t xml:space="preserve">
- HS 2,67 từ 01/10/2018
- HS 3,00 từ 01/10/2021</t>
        </r>
      </text>
    </comment>
    <comment ref="F17" authorId="1" shapeId="0" xr:uid="{00000000-0006-0000-0200-000008000000}">
      <text>
        <r>
          <rPr>
            <b/>
            <sz val="9"/>
            <color indexed="81"/>
            <rFont val="Tahoma"/>
            <family val="2"/>
          </rPr>
          <t>user:</t>
        </r>
        <r>
          <rPr>
            <sz val="9"/>
            <color indexed="81"/>
            <rFont val="Tahoma"/>
            <family val="2"/>
          </rPr>
          <t xml:space="preserve">
- HS 2,67 từ 01/10/2019
- HS 3,00 từ 01/10/2022</t>
        </r>
      </text>
    </comment>
    <comment ref="F18" authorId="0" shapeId="0" xr:uid="{00000000-0006-0000-0200-000009000000}">
      <text>
        <r>
          <rPr>
            <b/>
            <sz val="9"/>
            <color indexed="81"/>
            <rFont val="Tahoma"/>
            <family val="2"/>
          </rPr>
          <t>Admin:</t>
        </r>
        <r>
          <rPr>
            <sz val="9"/>
            <color indexed="81"/>
            <rFont val="Tahoma"/>
            <family val="2"/>
          </rPr>
          <t xml:space="preserve">
- HS 3,00 từ 01/12/2016
- HS 3,33 từ 01/12/2019
- HS 3,66 từ 01/12/2021</t>
        </r>
      </text>
    </comment>
    <comment ref="I18" authorId="2" shapeId="0" xr:uid="{00000000-0006-0000-0200-00000A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9" authorId="1" shapeId="0" xr:uid="{00000000-0006-0000-0200-00000B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20" authorId="0" shapeId="0" xr:uid="{00000000-0006-0000-0200-00000C000000}">
      <text>
        <r>
          <rPr>
            <b/>
            <sz val="9"/>
            <color indexed="81"/>
            <rFont val="Tahoma"/>
            <family val="2"/>
          </rPr>
          <t>Admin:</t>
        </r>
        <r>
          <rPr>
            <sz val="9"/>
            <color indexed="81"/>
            <rFont val="Tahoma"/>
            <family val="2"/>
          </rPr>
          <t xml:space="preserve">
- HS 2,67 từ 01/9/2016
- HS 3,00 từ 01/9/2019
- HS 3,33 từ 01/9/2022</t>
        </r>
      </text>
    </comment>
    <comment ref="F21" authorId="2" shapeId="0" xr:uid="{00000000-0006-0000-0200-00000D000000}">
      <text>
        <r>
          <rPr>
            <b/>
            <sz val="9"/>
            <color indexed="81"/>
            <rFont val="Tahoma"/>
            <family val="2"/>
          </rPr>
          <t>Quynh:</t>
        </r>
        <r>
          <rPr>
            <sz val="9"/>
            <color indexed="81"/>
            <rFont val="Tahoma"/>
            <family val="2"/>
          </rPr>
          <t xml:space="preserve">
- HS 2,67 từ 01/10/2018
- HS 3,00 từ 01/10/2021</t>
        </r>
      </text>
    </comment>
    <comment ref="F22" authorId="0" shapeId="0" xr:uid="{00000000-0006-0000-0200-00000E000000}">
      <text>
        <r>
          <rPr>
            <b/>
            <sz val="9"/>
            <color indexed="81"/>
            <rFont val="Tahoma"/>
            <family val="2"/>
          </rPr>
          <t>Admin:</t>
        </r>
        <r>
          <rPr>
            <sz val="9"/>
            <color indexed="81"/>
            <rFont val="Tahoma"/>
            <family val="2"/>
          </rPr>
          <t xml:space="preserve">
- HS 3,00 từ 01/9/2016
- HS 3,33 từ 01/9/2019
- HS 3,66 từ 01/9/2022</t>
        </r>
      </text>
    </comment>
    <comment ref="F23" authorId="0" shapeId="0" xr:uid="{00000000-0006-0000-0200-00000F000000}">
      <text>
        <r>
          <rPr>
            <b/>
            <sz val="9"/>
            <color indexed="81"/>
            <rFont val="Tahoma"/>
            <family val="2"/>
          </rPr>
          <t>Admin:</t>
        </r>
        <r>
          <rPr>
            <sz val="9"/>
            <color indexed="81"/>
            <rFont val="Tahoma"/>
            <family val="2"/>
          </rPr>
          <t xml:space="preserve">
- HS 2,34 từ 01/09/2016
- HS 2,67 từ 01/09/2019
- HS 3,00 từ 01/09/2022
</t>
        </r>
      </text>
    </comment>
    <comment ref="F24" authorId="0" shapeId="0" xr:uid="{00000000-0006-0000-0200-000010000000}">
      <text>
        <r>
          <rPr>
            <sz val="9"/>
            <color indexed="81"/>
            <rFont val="Tahoma"/>
            <family val="2"/>
          </rPr>
          <t>- HS 3,00  từ 01/01/2018
- HS 3,33 từ 01/01/2020 (NL trước hạn)
- HS 3,66 từ 01/01/2023</t>
        </r>
      </text>
    </comment>
    <comment ref="I24" authorId="2" shapeId="0" xr:uid="{00000000-0006-0000-0200-000011000000}">
      <text>
        <r>
          <rPr>
            <b/>
            <sz val="9"/>
            <color indexed="81"/>
            <rFont val="Tahoma"/>
            <family val="2"/>
          </rPr>
          <t>Quynh:</t>
        </r>
        <r>
          <rPr>
            <sz val="9"/>
            <color indexed="81"/>
            <rFont val="Tahoma"/>
            <family val="2"/>
          </rPr>
          <t xml:space="preserve">
- BN Trưởng BM Cơ sở ngành từ 01/1/2019</t>
        </r>
      </text>
    </comment>
    <comment ref="F25" authorId="1" shapeId="0" xr:uid="{00000000-0006-0000-0200-000012000000}">
      <text>
        <r>
          <rPr>
            <b/>
            <sz val="9"/>
            <color indexed="81"/>
            <rFont val="Tahoma"/>
            <family val="2"/>
          </rPr>
          <t>user:</t>
        </r>
        <r>
          <rPr>
            <sz val="9"/>
            <color indexed="81"/>
            <rFont val="Tahoma"/>
            <family val="2"/>
          </rPr>
          <t xml:space="preserve">
- HS 2,34 từ 01/5/2021</t>
        </r>
      </text>
    </comment>
    <comment ref="I25" authorId="3" shapeId="0" xr:uid="{00000000-0006-0000-0200-000013000000}">
      <text>
        <r>
          <rPr>
            <b/>
            <sz val="9"/>
            <color indexed="81"/>
            <rFont val="Tahoma"/>
            <family val="2"/>
          </rPr>
          <t>Windows User:</t>
        </r>
        <r>
          <rPr>
            <sz val="9"/>
            <color indexed="81"/>
            <rFont val="Tahoma"/>
            <family val="2"/>
          </rPr>
          <t xml:space="preserve">
- BN Trưởng khoa DL-KS từ 01/12/2023</t>
        </r>
      </text>
    </comment>
    <comment ref="F26" authorId="4" shapeId="0" xr:uid="{00000000-0006-0000-0200-000014000000}">
      <text>
        <r>
          <rPr>
            <b/>
            <sz val="9"/>
            <color indexed="81"/>
            <rFont val="Tahoma"/>
            <family val="2"/>
          </rPr>
          <t>huynh-panda:</t>
        </r>
        <r>
          <rPr>
            <sz val="9"/>
            <color indexed="81"/>
            <rFont val="Tahoma"/>
            <family val="2"/>
          </rPr>
          <t xml:space="preserve">
- TD từ 01/7/2022 (HS 1,989)
- HS 2,34 từ 01/7/2023</t>
        </r>
      </text>
    </comment>
    <comment ref="F27" authorId="4" shapeId="0" xr:uid="{00000000-0006-0000-0200-000015000000}">
      <text>
        <r>
          <rPr>
            <b/>
            <sz val="9"/>
            <color indexed="81"/>
            <rFont val="Tahoma"/>
            <family val="2"/>
          </rPr>
          <t>huynh-panda:</t>
        </r>
        <r>
          <rPr>
            <sz val="9"/>
            <color indexed="81"/>
            <rFont val="Tahoma"/>
            <family val="2"/>
          </rPr>
          <t xml:space="preserve">
- TD từ 01/7/2022 (HS 1,989)
- HS 3,33 từ 01/3/2022
</t>
        </r>
      </text>
    </comment>
    <comment ref="B28" authorId="3" shapeId="0" xr:uid="{00000000-0006-0000-0200-000016000000}">
      <text>
        <r>
          <rPr>
            <b/>
            <sz val="9"/>
            <color indexed="81"/>
            <rFont val="Tahoma"/>
            <family val="2"/>
          </rPr>
          <t>Windows User:</t>
        </r>
        <r>
          <rPr>
            <sz val="9"/>
            <color indexed="81"/>
            <rFont val="Tahoma"/>
            <family val="2"/>
          </rPr>
          <t xml:space="preserve">
- Thuyên chuyển từ CĐ Kinh tế - Kỹ thuật về từ T10/2022
</t>
        </r>
      </text>
    </comment>
    <comment ref="F29" authorId="3" shapeId="0" xr:uid="{00000000-0006-0000-0200-000017000000}">
      <text>
        <r>
          <rPr>
            <b/>
            <sz val="9"/>
            <color indexed="81"/>
            <rFont val="Tahoma"/>
            <family val="2"/>
          </rPr>
          <t>Windows User:</t>
        </r>
        <r>
          <rPr>
            <sz val="9"/>
            <color indexed="81"/>
            <rFont val="Tahoma"/>
            <family val="2"/>
          </rPr>
          <t xml:space="preserve">
- HS 2,67 từ 01/10/2022
- HS 3,00 từ 01/11/2022</t>
        </r>
      </text>
    </comment>
    <comment ref="B30" authorId="3" shapeId="0" xr:uid="{00000000-0006-0000-0200-000018000000}">
      <text>
        <r>
          <rPr>
            <b/>
            <sz val="9"/>
            <color indexed="81"/>
            <rFont val="Tahoma"/>
            <family val="2"/>
          </rPr>
          <t>Windows User:</t>
        </r>
        <r>
          <rPr>
            <sz val="9"/>
            <color indexed="81"/>
            <rFont val="Tahoma"/>
            <family val="2"/>
          </rPr>
          <t xml:space="preserve">
- Thuyên chuyển từ ĐH GTVT về trường từ T10/2023</t>
        </r>
      </text>
    </comment>
    <comment ref="F31" authorId="0" shapeId="0" xr:uid="{00000000-0006-0000-0200-000019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32" authorId="0" shapeId="0" xr:uid="{00000000-0006-0000-0200-00001A000000}">
      <text>
        <r>
          <rPr>
            <b/>
            <sz val="9"/>
            <color indexed="81"/>
            <rFont val="Tahoma"/>
            <family val="2"/>
          </rPr>
          <t>Admin:</t>
        </r>
        <r>
          <rPr>
            <sz val="9"/>
            <color indexed="81"/>
            <rFont val="Tahoma"/>
            <family val="2"/>
          </rPr>
          <t xml:space="preserve">
- HS 3,00 từ 01/9/2016
- HS 3,33 từ 01/9/2019
- HS 3,66 từ 01/9/2022</t>
        </r>
      </text>
    </comment>
    <comment ref="F33" authorId="0" shapeId="0" xr:uid="{00000000-0006-0000-0200-00001B000000}">
      <text>
        <r>
          <rPr>
            <b/>
            <sz val="9"/>
            <color indexed="81"/>
            <rFont val="Tahoma"/>
            <family val="2"/>
          </rPr>
          <t>Admin:</t>
        </r>
        <r>
          <rPr>
            <sz val="9"/>
            <color indexed="81"/>
            <rFont val="Tahoma"/>
            <family val="2"/>
          </rPr>
          <t xml:space="preserve">
- HS 2,67 từ 01/9/2016
- HS 3,00 từ 01/9/2019
- HS 3,33 từ 01/9/2022</t>
        </r>
      </text>
    </comment>
    <comment ref="I33" authorId="0" shapeId="0" xr:uid="{00000000-0006-0000-0200-00001C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34" authorId="0" shapeId="0" xr:uid="{00000000-0006-0000-0200-00001D000000}">
      <text>
        <r>
          <rPr>
            <b/>
            <sz val="9"/>
            <color indexed="81"/>
            <rFont val="Tahoma"/>
            <family val="2"/>
          </rPr>
          <t>Admin:</t>
        </r>
        <r>
          <rPr>
            <sz val="9"/>
            <color indexed="81"/>
            <rFont val="Tahoma"/>
            <family val="2"/>
          </rPr>
          <t xml:space="preserve">
- HS 2,67 từ 01/9/2016
- HS 3,00 từ 01/9/2019
- HS 3,33 từ 01/9/2022</t>
        </r>
      </text>
    </comment>
    <comment ref="F35" authorId="0" shapeId="0" xr:uid="{00000000-0006-0000-0200-00001E000000}">
      <text>
        <r>
          <rPr>
            <b/>
            <sz val="9"/>
            <color indexed="81"/>
            <rFont val="Tahoma"/>
            <family val="2"/>
          </rPr>
          <t>Admin:</t>
        </r>
        <r>
          <rPr>
            <sz val="9"/>
            <color indexed="81"/>
            <rFont val="Tahoma"/>
            <family val="2"/>
          </rPr>
          <t xml:space="preserve">
- HS 2,67 từ 01/10/2016
- HS 3,00 từ 01/10/2019
- HS 3,33 từ 01/10/2021 (NL trước hạn)</t>
        </r>
      </text>
    </comment>
    <comment ref="F36" authorId="5" shapeId="0" xr:uid="{00000000-0006-0000-0200-00001F000000}">
      <text>
        <r>
          <rPr>
            <sz val="9"/>
            <color indexed="81"/>
            <rFont val="Tahoma"/>
            <family val="2"/>
          </rPr>
          <t>- HS 2,67 từ 01/12/2017
- HS 3,00 từ 01/12/2020
- HS 3,33 từ 01/12/2022 (NL trước hạn)</t>
        </r>
      </text>
    </comment>
    <comment ref="F37" authorId="6" shapeId="0" xr:uid="{00000000-0006-0000-0200-000020000000}">
      <text>
        <r>
          <rPr>
            <b/>
            <sz val="9"/>
            <color indexed="81"/>
            <rFont val="Tahoma"/>
            <family val="2"/>
          </rPr>
          <t>User:</t>
        </r>
        <r>
          <rPr>
            <sz val="9"/>
            <color indexed="81"/>
            <rFont val="Tahoma"/>
            <family val="2"/>
          </rPr>
          <t xml:space="preserve">
- HS 4,32 từ 01/11/2015
- HS 4,65 từ 01/11/2018
- HS 4,98 từ 01/11/2020 (NL trước hạn)</t>
        </r>
      </text>
    </comment>
    <comment ref="G37" authorId="3" shapeId="0" xr:uid="{00000000-0006-0000-0200-000021000000}">
      <text>
        <r>
          <rPr>
            <b/>
            <sz val="9"/>
            <color indexed="81"/>
            <rFont val="Tahoma"/>
            <family val="2"/>
          </rPr>
          <t>Windows User:</t>
        </r>
        <r>
          <rPr>
            <sz val="9"/>
            <color indexed="81"/>
            <rFont val="Tahoma"/>
            <family val="2"/>
          </rPr>
          <t xml:space="preserve">
- VK 5% từ 01/11/2023</t>
        </r>
      </text>
    </comment>
    <comment ref="F38" authorId="2" shapeId="0" xr:uid="{00000000-0006-0000-0200-000022000000}">
      <text>
        <r>
          <rPr>
            <b/>
            <sz val="9"/>
            <color indexed="81"/>
            <rFont val="Tahoma"/>
            <family val="2"/>
          </rPr>
          <t>Quynh:</t>
        </r>
        <r>
          <rPr>
            <sz val="9"/>
            <color indexed="81"/>
            <rFont val="Tahoma"/>
            <family val="2"/>
          </rPr>
          <t xml:space="preserve">
- HS 2,67 từ 01/10/2018
- HS 3,00 từ 01/10/2021</t>
        </r>
      </text>
    </comment>
    <comment ref="F39" authorId="1" shapeId="0" xr:uid="{00000000-0006-0000-0200-000023000000}">
      <text>
        <r>
          <rPr>
            <b/>
            <sz val="9"/>
            <color indexed="81"/>
            <rFont val="Tahoma"/>
            <family val="2"/>
          </rPr>
          <t>user:</t>
        </r>
        <r>
          <rPr>
            <sz val="9"/>
            <color indexed="81"/>
            <rFont val="Tahoma"/>
            <family val="2"/>
          </rPr>
          <t xml:space="preserve">
- HS 2,67 từ 01/10/2019
- HS 3,00 từ 01/10/2022</t>
        </r>
      </text>
    </comment>
    <comment ref="F40" authorId="6" shapeId="0" xr:uid="{00000000-0006-0000-0200-000024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40" authorId="1" shapeId="0" xr:uid="{00000000-0006-0000-0200-000025000000}">
      <text>
        <r>
          <rPr>
            <b/>
            <sz val="9"/>
            <color indexed="81"/>
            <rFont val="Tahoma"/>
            <family val="2"/>
          </rPr>
          <t>user:</t>
        </r>
        <r>
          <rPr>
            <sz val="9"/>
            <color indexed="81"/>
            <rFont val="Tahoma"/>
            <family val="2"/>
          </rPr>
          <t xml:space="preserve">
- Trưởng TT Thư viện từ 01/9/2020</t>
        </r>
      </text>
    </comment>
    <comment ref="J40" authorId="0" shapeId="0" xr:uid="{00000000-0006-0000-0200-000026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41" authorId="0" shapeId="0" xr:uid="{00000000-0006-0000-0200-000027000000}">
      <text>
        <r>
          <rPr>
            <b/>
            <sz val="9"/>
            <color indexed="81"/>
            <rFont val="Tahoma"/>
            <family val="2"/>
          </rPr>
          <t>Admin:</t>
        </r>
        <r>
          <rPr>
            <sz val="9"/>
            <color indexed="81"/>
            <rFont val="Tahoma"/>
            <family val="2"/>
          </rPr>
          <t xml:space="preserve">
- HS 4,65 từ 01/6/2016 (NL Trước hạn năm 2017)</t>
        </r>
      </text>
    </comment>
    <comment ref="G41" authorId="4" shapeId="0" xr:uid="{00000000-0006-0000-0200-000028000000}">
      <text>
        <r>
          <rPr>
            <b/>
            <sz val="9"/>
            <color indexed="81"/>
            <rFont val="Tahoma"/>
            <family val="2"/>
          </rPr>
          <t>Quynh-panda:</t>
        </r>
        <r>
          <rPr>
            <sz val="9"/>
            <color indexed="81"/>
            <rFont val="Tahoma"/>
            <family val="2"/>
          </rPr>
          <t xml:space="preserve">
- VK 5% từ 01/06/2022</t>
        </r>
      </text>
    </comment>
    <comment ref="F42" authorId="6" shapeId="0" xr:uid="{00000000-0006-0000-0200-000029000000}">
      <text>
        <r>
          <rPr>
            <b/>
            <sz val="9"/>
            <color indexed="81"/>
            <rFont val="Tahoma"/>
            <family val="2"/>
          </rPr>
          <t>User:</t>
        </r>
        <r>
          <rPr>
            <sz val="9"/>
            <color indexed="81"/>
            <rFont val="Tahoma"/>
            <family val="2"/>
          </rPr>
          <t xml:space="preserve">
- HS 3,33 từ 01/9/2014
- HS 3,66 từ 01/9/2017
- HS 3,99 từ 01/9/2020
- HS 4,32 từ 01/9/2023
</t>
        </r>
      </text>
    </comment>
    <comment ref="F43" authorId="6" shapeId="0" xr:uid="{00000000-0006-0000-0200-00002A000000}">
      <text>
        <r>
          <rPr>
            <b/>
            <sz val="9"/>
            <color indexed="81"/>
            <rFont val="Tahoma"/>
            <family val="2"/>
          </rPr>
          <t>User:</t>
        </r>
        <r>
          <rPr>
            <sz val="9"/>
            <color indexed="81"/>
            <rFont val="Tahoma"/>
            <family val="2"/>
          </rPr>
          <t xml:space="preserve">
' HS 3,33 từ 01/9/15
- HS 3,66 từ 01/9/2018
- HS 3,99 từ 01/9/2021</t>
        </r>
      </text>
    </comment>
    <comment ref="F44" authorId="0" shapeId="0" xr:uid="{00000000-0006-0000-0200-00002B000000}">
      <text>
        <r>
          <rPr>
            <b/>
            <sz val="9"/>
            <color indexed="81"/>
            <rFont val="Tahoma"/>
            <family val="2"/>
          </rPr>
          <t>Admin:</t>
        </r>
        <r>
          <rPr>
            <sz val="9"/>
            <color indexed="81"/>
            <rFont val="Tahoma"/>
            <family val="2"/>
          </rPr>
          <t xml:space="preserve">
- HS 3,00 từ 01/12/2016
- HS 3,33 từ 01/12/2019
- HS 3,66 từ 01/12/2022</t>
        </r>
      </text>
    </comment>
    <comment ref="F45" authorId="0" shapeId="0" xr:uid="{00000000-0006-0000-0200-00002C000000}">
      <text>
        <r>
          <rPr>
            <b/>
            <sz val="9"/>
            <color indexed="81"/>
            <rFont val="Tahoma"/>
            <family val="2"/>
          </rPr>
          <t>Admin:</t>
        </r>
        <r>
          <rPr>
            <sz val="9"/>
            <color indexed="81"/>
            <rFont val="Tahoma"/>
            <family val="2"/>
          </rPr>
          <t xml:space="preserve">
- HS 3,99 từ 01/12/2015
- HS 4,32 từ 01/12/2018
- HS 4,65 từ 01/12/2021</t>
        </r>
      </text>
    </comment>
    <comment ref="F46" authorId="0" shapeId="0" xr:uid="{00000000-0006-0000-0200-00002D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47" authorId="6" shapeId="0" xr:uid="{00000000-0006-0000-0200-00002E000000}">
      <text>
        <r>
          <rPr>
            <b/>
            <sz val="9"/>
            <color indexed="81"/>
            <rFont val="Tahoma"/>
            <family val="2"/>
          </rPr>
          <t>User:</t>
        </r>
        <r>
          <rPr>
            <sz val="9"/>
            <color indexed="81"/>
            <rFont val="Tahoma"/>
            <family val="2"/>
          </rPr>
          <t xml:space="preserve">
- HS 4,65 từ 01/9/2015
- HS 4,98 từ 01/9/17 (NL trước hạn)</t>
        </r>
      </text>
    </comment>
    <comment ref="G47" authorId="1" shapeId="0" xr:uid="{00000000-0006-0000-0200-00002F000000}">
      <text>
        <r>
          <rPr>
            <b/>
            <sz val="9"/>
            <color indexed="81"/>
            <rFont val="Tahoma"/>
            <family val="2"/>
          </rPr>
          <t>user:</t>
        </r>
        <r>
          <rPr>
            <sz val="9"/>
            <color indexed="81"/>
            <rFont val="Tahoma"/>
            <family val="2"/>
          </rPr>
          <t xml:space="preserve">
- 5% từ 01/9/2020
- 6% từ 01/9/2021
- 7% từ 01/9/2022
- 8% từ 01/9/2023</t>
        </r>
      </text>
    </comment>
    <comment ref="F48" authorId="6" shapeId="0" xr:uid="{00000000-0006-0000-0200-000030000000}">
      <text>
        <r>
          <rPr>
            <b/>
            <sz val="9"/>
            <color indexed="81"/>
            <rFont val="Tahoma"/>
            <family val="2"/>
          </rPr>
          <t>User:</t>
        </r>
        <r>
          <rPr>
            <sz val="9"/>
            <color indexed="81"/>
            <rFont val="Tahoma"/>
            <family val="2"/>
          </rPr>
          <t xml:space="preserve">
- HS 3,00 từ 01/9/2014
- HS 3,33 từ 01/9/2017
- HS 3,66 từ 01/9/2019
- HS 3,99 từ 01/9/2022</t>
        </r>
      </text>
    </comment>
    <comment ref="F49" authorId="0" shapeId="0" xr:uid="{00000000-0006-0000-0200-000031000000}">
      <text>
        <r>
          <rPr>
            <b/>
            <sz val="9"/>
            <color indexed="81"/>
            <rFont val="Tahoma"/>
            <family val="2"/>
          </rPr>
          <t>Admin:</t>
        </r>
        <r>
          <rPr>
            <sz val="9"/>
            <color indexed="81"/>
            <rFont val="Tahoma"/>
            <family val="2"/>
          </rPr>
          <t xml:space="preserve">
- HS 3,00 từ 01/11/2016
- HS 3,33 từ 01/11/2019
- HS 3,66 từ 01/11/2022</t>
        </r>
      </text>
    </comment>
    <comment ref="F50" authorId="6" shapeId="0" xr:uid="{00000000-0006-0000-0200-000032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50" authorId="0" shapeId="0" xr:uid="{00000000-0006-0000-0200-000033000000}">
      <text>
        <r>
          <rPr>
            <b/>
            <sz val="9"/>
            <color indexed="81"/>
            <rFont val="Tahoma"/>
            <family val="2"/>
          </rPr>
          <t>Admin:</t>
        </r>
        <r>
          <rPr>
            <sz val="9"/>
            <color indexed="81"/>
            <rFont val="Tahoma"/>
            <family val="2"/>
          </rPr>
          <t xml:space="preserve">
- BN Phó TK từ 01/8/2018</t>
        </r>
      </text>
    </comment>
    <comment ref="F51" authorId="6" shapeId="0" xr:uid="{00000000-0006-0000-0200-000034000000}">
      <text>
        <r>
          <rPr>
            <b/>
            <sz val="9"/>
            <color indexed="81"/>
            <rFont val="Tahoma"/>
            <family val="2"/>
          </rPr>
          <t>User:</t>
        </r>
        <r>
          <rPr>
            <sz val="9"/>
            <color indexed="81"/>
            <rFont val="Tahoma"/>
            <family val="2"/>
          </rPr>
          <t xml:space="preserve">
- HS 4,32 từ 01/9/2014
- HS 4,65 từ 01/9/2017
- HS 4,98 từ 01/9/2020</t>
        </r>
      </text>
    </comment>
    <comment ref="G51" authorId="3" shapeId="0" xr:uid="{00000000-0006-0000-0200-000035000000}">
      <text>
        <r>
          <rPr>
            <b/>
            <sz val="9"/>
            <color indexed="81"/>
            <rFont val="Tahoma"/>
            <family val="2"/>
          </rPr>
          <t>Windows User:</t>
        </r>
        <r>
          <rPr>
            <sz val="9"/>
            <color indexed="81"/>
            <rFont val="Tahoma"/>
            <family val="2"/>
          </rPr>
          <t xml:space="preserve">
- VK 5% từ 01/9/2023</t>
        </r>
      </text>
    </comment>
    <comment ref="F52" authorId="6" shapeId="0" xr:uid="{00000000-0006-0000-0200-000036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53" authorId="0" shapeId="0" xr:uid="{00000000-0006-0000-0200-000037000000}">
      <text>
        <r>
          <rPr>
            <b/>
            <sz val="9"/>
            <color indexed="81"/>
            <rFont val="Tahoma"/>
            <family val="2"/>
          </rPr>
          <t>Admin:</t>
        </r>
        <r>
          <rPr>
            <sz val="9"/>
            <color indexed="81"/>
            <rFont val="Tahoma"/>
            <family val="2"/>
          </rPr>
          <t xml:space="preserve">
- HS 3,00 từ 01/9/2016
- HS 3,33 từ 01/3/2020
- HS 3,66 từ 01/03/2023</t>
        </r>
      </text>
    </comment>
    <comment ref="F54" authorId="0" shapeId="0" xr:uid="{00000000-0006-0000-0200-000038000000}">
      <text>
        <r>
          <rPr>
            <b/>
            <sz val="9"/>
            <color indexed="81"/>
            <rFont val="Tahoma"/>
            <family val="2"/>
          </rPr>
          <t>Admin:</t>
        </r>
        <r>
          <rPr>
            <sz val="9"/>
            <color indexed="81"/>
            <rFont val="Tahoma"/>
            <family val="2"/>
          </rPr>
          <t xml:space="preserve">
- HS 2,67 từ 01/9/2017
- HS 3,00 từ 01/9/2020</t>
        </r>
      </text>
    </comment>
    <comment ref="F55" authorId="0" shapeId="0" xr:uid="{00000000-0006-0000-0200-000039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56" authorId="6" shapeId="0" xr:uid="{00000000-0006-0000-0200-00003A000000}">
      <text>
        <r>
          <rPr>
            <b/>
            <sz val="9"/>
            <color indexed="81"/>
            <rFont val="Tahoma"/>
            <family val="2"/>
          </rPr>
          <t>User:</t>
        </r>
        <r>
          <rPr>
            <sz val="9"/>
            <color indexed="81"/>
            <rFont val="Tahoma"/>
            <family val="2"/>
          </rPr>
          <t xml:space="preserve">
- HS 3,33 từ 01/9/2015
- HS 3,66 từ 01/9/2018
- HS 3,99 từ 01/9/2021</t>
        </r>
      </text>
    </comment>
    <comment ref="I56" authorId="0" shapeId="0" xr:uid="{00000000-0006-0000-0200-00003B000000}">
      <text>
        <r>
          <rPr>
            <b/>
            <sz val="9"/>
            <color indexed="81"/>
            <rFont val="Tahoma"/>
            <family val="2"/>
          </rPr>
          <t>Admin:</t>
        </r>
        <r>
          <rPr>
            <sz val="9"/>
            <color indexed="81"/>
            <rFont val="Tahoma"/>
            <family val="2"/>
          </rPr>
          <t xml:space="preserve">
+ BN Tổ trưởng CM từ 03/5/2017</t>
        </r>
      </text>
    </comment>
    <comment ref="F57" authorId="0" shapeId="0" xr:uid="{00000000-0006-0000-0200-00003C000000}">
      <text>
        <r>
          <rPr>
            <b/>
            <sz val="9"/>
            <color indexed="81"/>
            <rFont val="Tahoma"/>
            <family val="2"/>
          </rPr>
          <t>Admin:</t>
        </r>
        <r>
          <rPr>
            <sz val="9"/>
            <color indexed="81"/>
            <rFont val="Tahoma"/>
            <family val="2"/>
          </rPr>
          <t xml:space="preserve">
- HS 3,66 từ 01/9/2017
- HS 3,99 từ 1/3/21 (Kéo dài thời gian NL do hoàn thành NV)</t>
        </r>
      </text>
    </comment>
    <comment ref="F58" authorId="5" shapeId="0" xr:uid="{00000000-0006-0000-0200-00003D000000}">
      <text>
        <r>
          <rPr>
            <sz val="9"/>
            <color indexed="81"/>
            <rFont val="Tahoma"/>
            <family val="2"/>
          </rPr>
          <t>- HS 3,33 từ 01/3/2018
- HS 3,66 từ 01/3/2020 (NL trước hạn)
- HS 3,99 từ 01/3/2023</t>
        </r>
      </text>
    </comment>
    <comment ref="F59" authorId="6" shapeId="0" xr:uid="{00000000-0006-0000-0200-00003E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60" authorId="0" shapeId="0" xr:uid="{00000000-0006-0000-0200-00003F000000}">
      <text>
        <r>
          <rPr>
            <b/>
            <sz val="9"/>
            <color indexed="81"/>
            <rFont val="Tahoma"/>
            <family val="2"/>
          </rPr>
          <t>Admin:</t>
        </r>
        <r>
          <rPr>
            <sz val="9"/>
            <color indexed="81"/>
            <rFont val="Tahoma"/>
            <family val="2"/>
          </rPr>
          <t xml:space="preserve">
- HS 3,66 từ 01/9/2016
- HS 3,99 từ 01/9/2019
- HS 4,32 từ 01/9/2022</t>
        </r>
      </text>
    </comment>
    <comment ref="F61" authorId="5" shapeId="0" xr:uid="{00000000-0006-0000-0200-000040000000}">
      <text>
        <r>
          <rPr>
            <sz val="9"/>
            <color indexed="81"/>
            <rFont val="Tahoma"/>
            <family val="2"/>
          </rPr>
          <t xml:space="preserve">- HS 3,99 từ 01/12/2017
- HS 4,32 từ 01/12/2020
- HS 4,65 từ 01/12/2023
</t>
        </r>
      </text>
    </comment>
    <comment ref="F62" authorId="0" shapeId="0" xr:uid="{00000000-0006-0000-0200-000041000000}">
      <text>
        <r>
          <rPr>
            <b/>
            <sz val="9"/>
            <color indexed="81"/>
            <rFont val="Tahoma"/>
            <family val="2"/>
          </rPr>
          <t>Admin:</t>
        </r>
        <r>
          <rPr>
            <sz val="9"/>
            <color indexed="81"/>
            <rFont val="Tahoma"/>
            <family val="2"/>
          </rPr>
          <t xml:space="preserve">
- HS 3,99 từ 01/9/2017
- HS 4,32 từ 01/9/2019
- HS 4,65 từ 01/9/2022</t>
        </r>
      </text>
    </comment>
    <comment ref="I62" authorId="1" shapeId="0" xr:uid="{00000000-0006-0000-0200-000042000000}">
      <text>
        <r>
          <rPr>
            <b/>
            <sz val="9"/>
            <color indexed="81"/>
            <rFont val="Tahoma"/>
            <family val="2"/>
          </rPr>
          <t>user:</t>
        </r>
        <r>
          <rPr>
            <sz val="9"/>
            <color indexed="81"/>
            <rFont val="Tahoma"/>
            <family val="2"/>
          </rPr>
          <t xml:space="preserve">
- Trưởng BM Cơ điện tử và tự động hóa từ 01/1/2020</t>
        </r>
      </text>
    </comment>
    <comment ref="F63" authorId="0" shapeId="0" xr:uid="{00000000-0006-0000-0200-000043000000}">
      <text>
        <r>
          <rPr>
            <b/>
            <sz val="9"/>
            <color indexed="81"/>
            <rFont val="Tahoma"/>
            <family val="2"/>
          </rPr>
          <t>Admin:</t>
        </r>
        <r>
          <rPr>
            <sz val="9"/>
            <color indexed="81"/>
            <rFont val="Tahoma"/>
            <family val="2"/>
          </rPr>
          <t xml:space="preserve">
- HS 3,99 từ 01/9/2017
- HS 4,32 từ 01/9/2020
- HS 4,65 từ 01/9/2023</t>
        </r>
      </text>
    </comment>
    <comment ref="F64" authorId="0" shapeId="0" xr:uid="{00000000-0006-0000-0200-000044000000}">
      <text>
        <r>
          <rPr>
            <b/>
            <sz val="9"/>
            <color indexed="81"/>
            <rFont val="Tahoma"/>
            <family val="2"/>
          </rPr>
          <t>Admin:</t>
        </r>
        <r>
          <rPr>
            <sz val="9"/>
            <color indexed="81"/>
            <rFont val="Tahoma"/>
            <family val="2"/>
          </rPr>
          <t xml:space="preserve">
- HS 3,33 từ 01/9/2017
- HS 3,66 từ 01/9/2020
- HS 3,99 từ 01/9/2023</t>
        </r>
      </text>
    </comment>
    <comment ref="F65" authorId="0" shapeId="0" xr:uid="{00000000-0006-0000-0200-000045000000}">
      <text>
        <r>
          <rPr>
            <b/>
            <sz val="9"/>
            <color indexed="81"/>
            <rFont val="Tahoma"/>
            <family val="2"/>
          </rPr>
          <t>Admin:</t>
        </r>
        <r>
          <rPr>
            <sz val="9"/>
            <color indexed="81"/>
            <rFont val="Tahoma"/>
            <family val="2"/>
          </rPr>
          <t xml:space="preserve">
- HS 4,32 từ 01/9/2016
- HS 4,65 từ 01/9/2019
- HS 4,98 từ 01/9/2022</t>
        </r>
      </text>
    </comment>
    <comment ref="F66" authorId="0" shapeId="0" xr:uid="{00000000-0006-0000-0200-000046000000}">
      <text>
        <r>
          <rPr>
            <b/>
            <sz val="9"/>
            <color indexed="81"/>
            <rFont val="Tahoma"/>
            <family val="2"/>
          </rPr>
          <t>Admin:</t>
        </r>
        <r>
          <rPr>
            <sz val="9"/>
            <color indexed="81"/>
            <rFont val="Tahoma"/>
            <family val="2"/>
          </rPr>
          <t xml:space="preserve">
- HS 3,33 từ 01/9/2017
- HS 3,66 từ 01/9/2020
- HS 3,99 từ 01/9/2023</t>
        </r>
      </text>
    </comment>
    <comment ref="I66" authorId="6" shapeId="0" xr:uid="{00000000-0006-0000-0200-000047000000}">
      <text>
        <r>
          <rPr>
            <b/>
            <sz val="9"/>
            <color indexed="81"/>
            <rFont val="Tahoma"/>
            <family val="2"/>
          </rPr>
          <t>User:</t>
        </r>
        <r>
          <rPr>
            <sz val="9"/>
            <color indexed="81"/>
            <rFont val="Tahoma"/>
            <family val="2"/>
          </rPr>
          <t xml:space="preserve">
Miễn nhiệm Phó Trưởng BM từ 01/9/2015. Bảo lưu HS PC hết T02/2016</t>
        </r>
      </text>
    </comment>
    <comment ref="F67" authorId="0" shapeId="0" xr:uid="{00000000-0006-0000-0200-000048000000}">
      <text>
        <r>
          <rPr>
            <sz val="9"/>
            <color indexed="81"/>
            <rFont val="Tahoma"/>
            <family val="2"/>
          </rPr>
          <t>- HS 3,00 từ 01/01/2018
- HS 3,33 từ 01/01/2023</t>
        </r>
      </text>
    </comment>
    <comment ref="I67" authorId="1" shapeId="0" xr:uid="{00000000-0006-0000-0200-000049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68" authorId="0" shapeId="0" xr:uid="{00000000-0006-0000-0200-00004A000000}">
      <text>
        <r>
          <rPr>
            <b/>
            <sz val="9"/>
            <color indexed="81"/>
            <rFont val="Tahoma"/>
            <family val="2"/>
          </rPr>
          <t>Admin:</t>
        </r>
        <r>
          <rPr>
            <sz val="9"/>
            <color indexed="81"/>
            <rFont val="Tahoma"/>
            <family val="2"/>
          </rPr>
          <t xml:space="preserve">
- HS 2,34 từ 01/09/2016
- HS 2,67 từ 01/9/2019
- HS 3,00 từ 0/09/2022</t>
        </r>
      </text>
    </comment>
    <comment ref="F69" authorId="1" shapeId="0" xr:uid="{00000000-0006-0000-0200-00004B000000}">
      <text>
        <r>
          <rPr>
            <b/>
            <sz val="9"/>
            <color indexed="81"/>
            <rFont val="Tahoma"/>
            <family val="2"/>
          </rPr>
          <t>user:</t>
        </r>
        <r>
          <rPr>
            <sz val="9"/>
            <color indexed="81"/>
            <rFont val="Tahoma"/>
            <family val="2"/>
          </rPr>
          <t xml:space="preserve">
- Tuyển dụng từ 01/10/2020
- HS 2,34 từ 01/10/2021</t>
        </r>
      </text>
    </comment>
    <comment ref="F70" authorId="0" shapeId="0" xr:uid="{00000000-0006-0000-0200-00004C000000}">
      <text>
        <r>
          <rPr>
            <b/>
            <sz val="9"/>
            <color indexed="81"/>
            <rFont val="Tahoma"/>
            <family val="2"/>
          </rPr>
          <t>Admin:</t>
        </r>
        <r>
          <rPr>
            <sz val="9"/>
            <color indexed="81"/>
            <rFont val="Tahoma"/>
            <family val="2"/>
          </rPr>
          <t xml:space="preserve">
- HS 2,34 từ 01/09/2016
- HS 2,67 từ 01/9/2019
- HS 3,00 từ 01/9/2022</t>
        </r>
      </text>
    </comment>
    <comment ref="F71" authorId="1" shapeId="0" xr:uid="{00000000-0006-0000-0200-00004D000000}">
      <text>
        <r>
          <rPr>
            <b/>
            <sz val="9"/>
            <color indexed="81"/>
            <rFont val="Tahoma"/>
            <family val="2"/>
          </rPr>
          <t>user:</t>
        </r>
        <r>
          <rPr>
            <sz val="9"/>
            <color indexed="81"/>
            <rFont val="Tahoma"/>
            <family val="2"/>
          </rPr>
          <t xml:space="preserve">
- Tuyển dụng từ 01/5/20
- HS 2,34 từ 01/5/2021</t>
        </r>
      </text>
    </comment>
    <comment ref="F74" authorId="6" shapeId="0" xr:uid="{00000000-0006-0000-0200-00004E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74" authorId="6" shapeId="0" xr:uid="{00000000-0006-0000-0200-00004F000000}">
      <text>
        <r>
          <rPr>
            <b/>
            <sz val="9"/>
            <color indexed="81"/>
            <rFont val="Tahoma"/>
            <family val="2"/>
          </rPr>
          <t>User:</t>
        </r>
        <r>
          <rPr>
            <sz val="9"/>
            <color indexed="81"/>
            <rFont val="Tahoma"/>
            <family val="2"/>
          </rPr>
          <t xml:space="preserve">
HS 0,35 hưởng từ 01/7/2015
</t>
        </r>
      </text>
    </comment>
    <comment ref="F75" authorId="0" shapeId="0" xr:uid="{00000000-0006-0000-0200-000050000000}">
      <text>
        <r>
          <rPr>
            <b/>
            <sz val="9"/>
            <color indexed="81"/>
            <rFont val="Tahoma"/>
            <family val="2"/>
          </rPr>
          <t>Admin:</t>
        </r>
        <r>
          <rPr>
            <sz val="9"/>
            <color indexed="81"/>
            <rFont val="Tahoma"/>
            <family val="2"/>
          </rPr>
          <t xml:space="preserve">
- HS 3,33 từ 01/9/2016
- HS 3,66 từ 01/9/2019
- HS 3,99 từ 01/9/2021 (NL trước hạn)</t>
        </r>
      </text>
    </comment>
    <comment ref="I75" authorId="6" shapeId="0" xr:uid="{00000000-0006-0000-0200-000051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76" authorId="0" shapeId="0" xr:uid="{00000000-0006-0000-0200-000052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76" authorId="1" shapeId="0" xr:uid="{00000000-0006-0000-0200-000053000000}">
      <text>
        <r>
          <rPr>
            <b/>
            <sz val="9"/>
            <color indexed="81"/>
            <rFont val="Tahoma"/>
            <family val="2"/>
          </rPr>
          <t>user:</t>
        </r>
        <r>
          <rPr>
            <sz val="9"/>
            <color indexed="81"/>
            <rFont val="Tahoma"/>
            <family val="2"/>
          </rPr>
          <t xml:space="preserve">
- QĐ BN Trưởng BM GDCT từ 01/4/2021</t>
        </r>
      </text>
    </comment>
    <comment ref="F77" authorId="6" shapeId="0" xr:uid="{00000000-0006-0000-0200-000054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78" authorId="0" shapeId="0" xr:uid="{00000000-0006-0000-0200-000055000000}">
      <text>
        <r>
          <rPr>
            <b/>
            <sz val="9"/>
            <color indexed="81"/>
            <rFont val="Tahoma"/>
            <family val="2"/>
          </rPr>
          <t>Admin:</t>
        </r>
        <r>
          <rPr>
            <sz val="9"/>
            <color indexed="81"/>
            <rFont val="Tahoma"/>
            <family val="2"/>
          </rPr>
          <t xml:space="preserve">
- HS 3,99 từ 01/9/2017
- HS 4,32 từ 01/9/2020
- HS 4,65 từ 01/9/2023</t>
        </r>
      </text>
    </comment>
    <comment ref="F79" authorId="6" shapeId="0" xr:uid="{00000000-0006-0000-0200-000056000000}">
      <text>
        <r>
          <rPr>
            <b/>
            <sz val="9"/>
            <color indexed="81"/>
            <rFont val="Tahoma"/>
            <family val="2"/>
          </rPr>
          <t>User:</t>
        </r>
        <r>
          <rPr>
            <sz val="9"/>
            <color indexed="81"/>
            <rFont val="Tahoma"/>
            <family val="2"/>
          </rPr>
          <t xml:space="preserve">
- HS 3,00 từ 01/09/2015
- HS 3,33 từ 01/9/2018
- HS 3,66 từ 01/9/2021</t>
        </r>
      </text>
    </comment>
    <comment ref="F80" authorId="6" shapeId="0" xr:uid="{00000000-0006-0000-0200-000057000000}">
      <text>
        <r>
          <rPr>
            <b/>
            <sz val="9"/>
            <color indexed="81"/>
            <rFont val="Tahoma"/>
            <family val="2"/>
          </rPr>
          <t>User:</t>
        </r>
        <r>
          <rPr>
            <sz val="9"/>
            <color indexed="81"/>
            <rFont val="Tahoma"/>
            <family val="2"/>
          </rPr>
          <t xml:space="preserve">
- HS 3,66 từ 01/9/2015
- HS 3,99 từ 01/9/2018
- HS 4,32 từ 01/9/2021
</t>
        </r>
      </text>
    </comment>
    <comment ref="F81" authorId="6" shapeId="0" xr:uid="{00000000-0006-0000-0200-000058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82" authorId="6" shapeId="0" xr:uid="{00000000-0006-0000-0200-000059000000}">
      <text>
        <r>
          <rPr>
            <b/>
            <sz val="9"/>
            <color indexed="81"/>
            <rFont val="Tahoma"/>
            <family val="2"/>
          </rPr>
          <t>User:</t>
        </r>
        <r>
          <rPr>
            <sz val="9"/>
            <color indexed="81"/>
            <rFont val="Tahoma"/>
            <family val="2"/>
          </rPr>
          <t xml:space="preserve">
- HS 3,00 từ 01/9/2015
- HS 3,33 từ 01/9/2018
- HS 3,66 từ 01/9/2021</t>
        </r>
      </text>
    </comment>
    <comment ref="F83" authorId="0" shapeId="0" xr:uid="{00000000-0006-0000-0200-00005A000000}">
      <text>
        <r>
          <rPr>
            <b/>
            <sz val="9"/>
            <color indexed="81"/>
            <rFont val="Tahoma"/>
            <family val="2"/>
          </rPr>
          <t>Admin:</t>
        </r>
        <r>
          <rPr>
            <sz val="9"/>
            <color indexed="81"/>
            <rFont val="Tahoma"/>
            <family val="2"/>
          </rPr>
          <t xml:space="preserve">
- HS 3,00 từ 01/9/2015
- HS 3,33 từ 01/9/2018
- HS 3,66 từ 01/9/2021</t>
        </r>
      </text>
    </comment>
    <comment ref="F84" authorId="6" shapeId="0" xr:uid="{00000000-0006-0000-0200-00005B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85" authorId="0" shapeId="0" xr:uid="{00000000-0006-0000-0200-00005C000000}">
      <text>
        <r>
          <rPr>
            <b/>
            <sz val="9"/>
            <color indexed="81"/>
            <rFont val="Tahoma"/>
            <family val="2"/>
          </rPr>
          <t>Admin:</t>
        </r>
        <r>
          <rPr>
            <sz val="9"/>
            <color indexed="81"/>
            <rFont val="Tahoma"/>
            <family val="2"/>
          </rPr>
          <t xml:space="preserve">
- HS 2,67 từ 01/9/2016
- HS 3,00 từ 01/9/2019
- HS 3,33 từ 01/9/2021 (NL trước hạn)</t>
        </r>
      </text>
    </comment>
    <comment ref="F86" authorId="0" shapeId="0" xr:uid="{00000000-0006-0000-0200-00005D000000}">
      <text>
        <r>
          <rPr>
            <b/>
            <sz val="9"/>
            <color indexed="81"/>
            <rFont val="Tahoma"/>
            <family val="2"/>
          </rPr>
          <t>Admin:</t>
        </r>
        <r>
          <rPr>
            <sz val="9"/>
            <color indexed="81"/>
            <rFont val="Tahoma"/>
            <family val="2"/>
          </rPr>
          <t xml:space="preserve">
- HS 3,00 từ 01/03/2017
- HS 3,33 từ 01/03/2020
- HS 3,66 từ 01/03/2023</t>
        </r>
      </text>
    </comment>
    <comment ref="F87" authorId="0" shapeId="0" xr:uid="{00000000-0006-0000-0200-00005E000000}">
      <text>
        <r>
          <rPr>
            <b/>
            <sz val="9"/>
            <color indexed="81"/>
            <rFont val="Tahoma"/>
            <family val="2"/>
          </rPr>
          <t>Admin:</t>
        </r>
        <r>
          <rPr>
            <sz val="9"/>
            <color indexed="81"/>
            <rFont val="Tahoma"/>
            <family val="2"/>
          </rPr>
          <t xml:space="preserve">
- HS 2,67 từ 01/9/2017
- HS 3,00 từ 01/9/2020
- HS 3,33 từ 01/9/2023</t>
        </r>
      </text>
    </comment>
    <comment ref="F88" authorId="6" shapeId="0" xr:uid="{00000000-0006-0000-0200-00005F000000}">
      <text>
        <r>
          <rPr>
            <b/>
            <sz val="9"/>
            <color indexed="81"/>
            <rFont val="Tahoma"/>
            <family val="2"/>
          </rPr>
          <t>User:</t>
        </r>
        <r>
          <rPr>
            <sz val="9"/>
            <color indexed="81"/>
            <rFont val="Tahoma"/>
            <family val="2"/>
          </rPr>
          <t xml:space="preserve">
- HS 3,33 từ 01/9/2015
- HS 3,66 từ 01/9/2018
- HS 3,99 từ 01/9/2021</t>
        </r>
      </text>
    </comment>
    <comment ref="F89" authorId="0" shapeId="0" xr:uid="{00000000-0006-0000-0200-000060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90" authorId="0" shapeId="0" xr:uid="{00000000-0006-0000-0200-000061000000}">
      <text>
        <r>
          <rPr>
            <b/>
            <sz val="9"/>
            <color indexed="81"/>
            <rFont val="Tahoma"/>
            <family val="2"/>
          </rPr>
          <t>Admin:</t>
        </r>
        <r>
          <rPr>
            <sz val="9"/>
            <color indexed="81"/>
            <rFont val="Tahoma"/>
            <family val="2"/>
          </rPr>
          <t xml:space="preserve">
- 3,33 từ 01/9/2017
- 3,66 từ 01/9/2020
- 3,99 từ 01/9/2023</t>
        </r>
      </text>
    </comment>
    <comment ref="I90" authorId="6" shapeId="0" xr:uid="{00000000-0006-0000-0200-000062000000}">
      <text>
        <r>
          <rPr>
            <b/>
            <sz val="9"/>
            <color indexed="81"/>
            <rFont val="Tahoma"/>
            <family val="2"/>
          </rPr>
          <t>User:</t>
        </r>
        <r>
          <rPr>
            <sz val="9"/>
            <color indexed="81"/>
            <rFont val="Tahoma"/>
            <family val="2"/>
          </rPr>
          <t xml:space="preserve">
Miễn nhiệm Trưởng bộ môn từ 01/9/2015</t>
        </r>
      </text>
    </comment>
    <comment ref="F91" authorId="0" shapeId="0" xr:uid="{00000000-0006-0000-0200-000063000000}">
      <text>
        <r>
          <rPr>
            <b/>
            <sz val="9"/>
            <color indexed="81"/>
            <rFont val="Tahoma"/>
            <family val="2"/>
          </rPr>
          <t>Admin:</t>
        </r>
        <r>
          <rPr>
            <sz val="9"/>
            <color indexed="81"/>
            <rFont val="Tahoma"/>
            <family val="2"/>
          </rPr>
          <t xml:space="preserve">
- HS 3,33 từ 01/9/2016
- HS 3,66 từ 01/9/2019
- HS 3,99 từ 01/9/2022</t>
        </r>
      </text>
    </comment>
    <comment ref="I91" authorId="6" shapeId="0" xr:uid="{00000000-0006-0000-0200-000064000000}">
      <text>
        <r>
          <rPr>
            <b/>
            <sz val="9"/>
            <color indexed="81"/>
            <rFont val="Tahoma"/>
            <family val="2"/>
          </rPr>
          <t>User:</t>
        </r>
        <r>
          <rPr>
            <sz val="9"/>
            <color indexed="81"/>
            <rFont val="Tahoma"/>
            <family val="2"/>
          </rPr>
          <t xml:space="preserve">
Miễn nhiệm Trưởng BM từ 01/9/15
</t>
        </r>
      </text>
    </comment>
    <comment ref="F92" authorId="6" shapeId="0" xr:uid="{00000000-0006-0000-0200-000065000000}">
      <text>
        <r>
          <rPr>
            <b/>
            <sz val="9"/>
            <color indexed="81"/>
            <rFont val="Tahoma"/>
            <family val="2"/>
          </rPr>
          <t>User:</t>
        </r>
        <r>
          <rPr>
            <sz val="9"/>
            <color indexed="81"/>
            <rFont val="Tahoma"/>
            <family val="2"/>
          </rPr>
          <t xml:space="preserve">
- HS 3,00 từ 01/9/2015
- HS 3,33 từ 01/9/2018
- HS 3,66 từ 01/9/2021</t>
        </r>
      </text>
    </comment>
    <comment ref="F93" authorId="6" shapeId="0" xr:uid="{00000000-0006-0000-0200-000066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93" authorId="6" shapeId="0" xr:uid="{00000000-0006-0000-0200-000067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93" authorId="0" shapeId="0" xr:uid="{00000000-0006-0000-0200-000068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94" authorId="5" shapeId="0" xr:uid="{00000000-0006-0000-0200-000069000000}">
      <text>
        <r>
          <rPr>
            <sz val="9"/>
            <color indexed="81"/>
            <rFont val="Tahoma"/>
            <family val="2"/>
          </rPr>
          <t xml:space="preserve">- HS 3,33 từ 01/12/2017
- HS 3,66 từ 01/12/2020
- HS 3,99 từ 01/12/2023
</t>
        </r>
      </text>
    </comment>
    <comment ref="F95" authorId="6" shapeId="0" xr:uid="{00000000-0006-0000-0200-00006A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95" authorId="6" shapeId="0" xr:uid="{00000000-0006-0000-0200-00006B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96" authorId="6" shapeId="0" xr:uid="{00000000-0006-0000-0200-00006C000000}">
      <text>
        <r>
          <rPr>
            <b/>
            <sz val="9"/>
            <color indexed="81"/>
            <rFont val="Tahoma"/>
            <family val="2"/>
          </rPr>
          <t>User:</t>
        </r>
        <r>
          <rPr>
            <sz val="9"/>
            <color indexed="81"/>
            <rFont val="Tahoma"/>
            <family val="2"/>
          </rPr>
          <t xml:space="preserve">
- HS 3,00 từ 01/9/2015
- HS 3,33 từ 01/9/2018
- HS 3,66 từ 01/9/2021</t>
        </r>
      </text>
    </comment>
    <comment ref="F97" authorId="6" shapeId="0" xr:uid="{00000000-0006-0000-0200-00006D000000}">
      <text>
        <r>
          <rPr>
            <b/>
            <sz val="9"/>
            <color indexed="81"/>
            <rFont val="Tahoma"/>
            <family val="2"/>
          </rPr>
          <t>User:</t>
        </r>
        <r>
          <rPr>
            <sz val="9"/>
            <color indexed="81"/>
            <rFont val="Tahoma"/>
            <family val="2"/>
          </rPr>
          <t xml:space="preserve">
- HS 3,00 từ 01/9/2015
- HS 3,33 từ 01/9/2018
- HS 3,66 từ 01/9/2021</t>
        </r>
      </text>
    </comment>
    <comment ref="F98" authorId="6" shapeId="0" xr:uid="{00000000-0006-0000-0200-00006E000000}">
      <text>
        <r>
          <rPr>
            <b/>
            <sz val="9"/>
            <color indexed="81"/>
            <rFont val="Tahoma"/>
            <family val="2"/>
          </rPr>
          <t>User:</t>
        </r>
        <r>
          <rPr>
            <sz val="9"/>
            <color indexed="81"/>
            <rFont val="Tahoma"/>
            <family val="2"/>
          </rPr>
          <t xml:space="preserve">
- HS 3,00 từ 01/10/2015
- HS 3,33 từ 01/10/2018
- HS 3,66 từ 01/10/2021
</t>
        </r>
      </text>
    </comment>
    <comment ref="F99" authorId="0" shapeId="0" xr:uid="{00000000-0006-0000-0200-00006F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99" authorId="6" shapeId="0" xr:uid="{00000000-0006-0000-0200-000070000000}">
      <text>
        <r>
          <rPr>
            <b/>
            <sz val="9"/>
            <color indexed="81"/>
            <rFont val="Tahoma"/>
            <family val="2"/>
          </rPr>
          <t>User:</t>
        </r>
        <r>
          <rPr>
            <sz val="9"/>
            <color indexed="81"/>
            <rFont val="Tahoma"/>
            <family val="2"/>
          </rPr>
          <t xml:space="preserve">
BN Trưởng BM MẠng Máy tính từ 01/9/2015
- Phó khoa CNTT từ T10/2022</t>
        </r>
      </text>
    </comment>
    <comment ref="F100" authorId="2" shapeId="0" xr:uid="{00000000-0006-0000-0200-000071000000}">
      <text>
        <r>
          <rPr>
            <b/>
            <sz val="9"/>
            <color indexed="81"/>
            <rFont val="Tahoma"/>
            <family val="2"/>
          </rPr>
          <t>Quynh:</t>
        </r>
        <r>
          <rPr>
            <sz val="9"/>
            <color indexed="81"/>
            <rFont val="Tahoma"/>
            <family val="2"/>
          </rPr>
          <t xml:space="preserve">
- HS 3,00 từ 01/5/2018
- HS 3,33 từ 01/5/2021</t>
        </r>
      </text>
    </comment>
    <comment ref="F101" authorId="0" shapeId="0" xr:uid="{00000000-0006-0000-0200-000072000000}">
      <text>
        <r>
          <rPr>
            <b/>
            <sz val="9"/>
            <color indexed="81"/>
            <rFont val="Tahoma"/>
            <family val="2"/>
          </rPr>
          <t>Admin:</t>
        </r>
        <r>
          <rPr>
            <sz val="9"/>
            <color indexed="81"/>
            <rFont val="Tahoma"/>
            <family val="2"/>
          </rPr>
          <t xml:space="preserve">
- 3,33 từ 01/10/2016
- 3,66 từ 01/10/2019
- 3,99 từ 01/10/2021 (NL trước hạn)</t>
        </r>
      </text>
    </comment>
    <comment ref="I101" authorId="4" shapeId="0" xr:uid="{00000000-0006-0000-0200-000073000000}">
      <text>
        <r>
          <rPr>
            <b/>
            <sz val="9"/>
            <color indexed="81"/>
            <rFont val="Tahoma"/>
            <family val="2"/>
          </rPr>
          <t>huynh-panda:</t>
        </r>
        <r>
          <rPr>
            <sz val="9"/>
            <color indexed="81"/>
            <rFont val="Tahoma"/>
            <family val="2"/>
          </rPr>
          <t xml:space="preserve">
Phụ trách BM Khoa học máy tính từ 06/7/2022</t>
        </r>
      </text>
    </comment>
    <comment ref="F102" authorId="0" shapeId="0" xr:uid="{00000000-0006-0000-0200-000074000000}">
      <text>
        <r>
          <rPr>
            <b/>
            <sz val="9"/>
            <color indexed="81"/>
            <rFont val="Tahoma"/>
            <family val="2"/>
          </rPr>
          <t>Admin:</t>
        </r>
        <r>
          <rPr>
            <sz val="9"/>
            <color indexed="81"/>
            <rFont val="Tahoma"/>
            <family val="2"/>
          </rPr>
          <t xml:space="preserve">
- HS 2,67 từ 01/9/2016
- HS 3,00 từ 01/9/2019
- HS 3,33 từ 01/9/2021 (NL trước hạn)</t>
        </r>
      </text>
    </comment>
    <comment ref="F103" authorId="0" shapeId="0" xr:uid="{00000000-0006-0000-0200-000075000000}">
      <text>
        <r>
          <rPr>
            <b/>
            <sz val="9"/>
            <color indexed="81"/>
            <rFont val="Tahoma"/>
            <family val="2"/>
          </rPr>
          <t>Admin:</t>
        </r>
        <r>
          <rPr>
            <sz val="9"/>
            <color indexed="81"/>
            <rFont val="Tahoma"/>
            <family val="2"/>
          </rPr>
          <t xml:space="preserve">
- HS 3,33 từ 01/9/2016
- HS 3,66 từ 01/9/2018 (NL trước hạn)
- HS 3,99 từ 01/9/2021</t>
        </r>
      </text>
    </comment>
    <comment ref="I103" authorId="6" shapeId="0" xr:uid="{00000000-0006-0000-0200-000076000000}">
      <text>
        <r>
          <rPr>
            <b/>
            <sz val="9"/>
            <color indexed="81"/>
            <rFont val="Tahoma"/>
            <family val="2"/>
          </rPr>
          <t>User:</t>
        </r>
        <r>
          <rPr>
            <sz val="9"/>
            <color indexed="81"/>
            <rFont val="Tahoma"/>
            <family val="2"/>
          </rPr>
          <t xml:space="preserve">
+ HS 0,45 được bảo lưu đến hết 31/12/2015</t>
        </r>
      </text>
    </comment>
    <comment ref="F104" authorId="0" shapeId="0" xr:uid="{00000000-0006-0000-0200-000077000000}">
      <text>
        <r>
          <rPr>
            <b/>
            <sz val="9"/>
            <color indexed="81"/>
            <rFont val="Tahoma"/>
            <family val="2"/>
          </rPr>
          <t>Admin:</t>
        </r>
        <r>
          <rPr>
            <sz val="9"/>
            <color indexed="81"/>
            <rFont val="Tahoma"/>
            <family val="2"/>
          </rPr>
          <t xml:space="preserve">
- 3,00 từ 01/9/2016
- HS 3,33 từ 01/9/2019
- HS 3,66 từ 01/9/2021 (NL trước hạn)</t>
        </r>
      </text>
    </comment>
    <comment ref="J104" authorId="1" shapeId="0" xr:uid="{00000000-0006-0000-0200-000078000000}">
      <text>
        <r>
          <rPr>
            <b/>
            <sz val="9"/>
            <color indexed="81"/>
            <rFont val="Tahoma"/>
            <family val="2"/>
          </rPr>
          <t>user:</t>
        </r>
        <r>
          <rPr>
            <sz val="9"/>
            <color indexed="81"/>
            <rFont val="Tahoma"/>
            <family val="2"/>
          </rPr>
          <t xml:space="preserve">
- Bảo lưu HS PCCV đến hết 31/3/2020</t>
        </r>
      </text>
    </comment>
    <comment ref="F105" authorId="0" shapeId="0" xr:uid="{00000000-0006-0000-0200-000079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05" authorId="4" shapeId="0" xr:uid="{00000000-0006-0000-0200-00007A000000}">
      <text>
        <r>
          <rPr>
            <b/>
            <sz val="9"/>
            <color indexed="81"/>
            <rFont val="Tahoma"/>
            <family val="2"/>
          </rPr>
          <t>huynh-panda:</t>
        </r>
        <r>
          <rPr>
            <sz val="9"/>
            <color indexed="81"/>
            <rFont val="Tahoma"/>
            <family val="2"/>
          </rPr>
          <t xml:space="preserve">
- Phụ trách BM Công nghệ phần mềm từ 05/7/2022</t>
        </r>
      </text>
    </comment>
    <comment ref="F106" authorId="0" shapeId="0" xr:uid="{00000000-0006-0000-0200-00007B000000}">
      <text>
        <r>
          <rPr>
            <b/>
            <sz val="9"/>
            <color indexed="81"/>
            <rFont val="Tahoma"/>
            <family val="2"/>
          </rPr>
          <t>Admin:</t>
        </r>
        <r>
          <rPr>
            <sz val="9"/>
            <color indexed="81"/>
            <rFont val="Tahoma"/>
            <family val="2"/>
          </rPr>
          <t xml:space="preserve">
- HS 3,33 từ 01/9/2016
- HS 3,66 từ 01/9/2018 (NL trước hạn)
- HS 3,99 từ 01/9/2021</t>
        </r>
      </text>
    </comment>
    <comment ref="F109" authorId="0" shapeId="0" xr:uid="{00000000-0006-0000-0200-00007C000000}">
      <text>
        <r>
          <rPr>
            <b/>
            <sz val="9"/>
            <color indexed="81"/>
            <rFont val="Tahoma"/>
            <family val="2"/>
          </rPr>
          <t>Admin:</t>
        </r>
        <r>
          <rPr>
            <sz val="9"/>
            <color indexed="81"/>
            <rFont val="Tahoma"/>
            <family val="2"/>
          </rPr>
          <t xml:space="preserve">
- HS 4,65 từ 01/12/2015
- HS 4,98 từ 01/12/2018</t>
        </r>
      </text>
    </comment>
    <comment ref="G109" authorId="1" shapeId="0" xr:uid="{00000000-0006-0000-0200-00007D000000}">
      <text>
        <r>
          <rPr>
            <b/>
            <sz val="9"/>
            <color indexed="81"/>
            <rFont val="Tahoma"/>
            <family val="2"/>
          </rPr>
          <t>user:</t>
        </r>
        <r>
          <rPr>
            <sz val="9"/>
            <color indexed="81"/>
            <rFont val="Tahoma"/>
            <family val="2"/>
          </rPr>
          <t xml:space="preserve">
- VK 5% từ 01/12/2021
- VK 6% từ 01/12/2022
- VK 7% từ 01/12/2023</t>
        </r>
      </text>
    </comment>
    <comment ref="F110" authorId="0" shapeId="0" xr:uid="{00000000-0006-0000-0200-00007E000000}">
      <text>
        <r>
          <rPr>
            <b/>
            <sz val="9"/>
            <color indexed="81"/>
            <rFont val="Tahoma"/>
            <family val="2"/>
          </rPr>
          <t>Admin:</t>
        </r>
        <r>
          <rPr>
            <sz val="9"/>
            <color indexed="81"/>
            <rFont val="Tahoma"/>
            <family val="2"/>
          </rPr>
          <t xml:space="preserve">
- HS 4,65 từ 01/9/2015
- HS 4,98 từ 01/9/2018</t>
        </r>
      </text>
    </comment>
    <comment ref="G110" authorId="1" shapeId="0" xr:uid="{00000000-0006-0000-0200-00007F000000}">
      <text>
        <r>
          <rPr>
            <b/>
            <sz val="9"/>
            <color indexed="81"/>
            <rFont val="Tahoma"/>
            <family val="2"/>
          </rPr>
          <t>user:</t>
        </r>
        <r>
          <rPr>
            <sz val="9"/>
            <color indexed="81"/>
            <rFont val="Tahoma"/>
            <family val="2"/>
          </rPr>
          <t xml:space="preserve">
- VK 5% từ 01/9/2021
- VK 6% từ 01/9/2022
- VK 7% từ 01/9/2023</t>
        </r>
      </text>
    </comment>
    <comment ref="F111" authorId="0" shapeId="0" xr:uid="{00000000-0006-0000-0200-000080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12" authorId="6" shapeId="0" xr:uid="{00000000-0006-0000-0200-000081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13" authorId="0" shapeId="0" xr:uid="{00000000-0006-0000-0200-000082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13" authorId="0" shapeId="0" xr:uid="{00000000-0006-0000-0200-000083000000}">
      <text>
        <r>
          <rPr>
            <b/>
            <sz val="9"/>
            <color indexed="81"/>
            <rFont val="Tahoma"/>
            <family val="2"/>
          </rPr>
          <t>Admin:</t>
        </r>
        <r>
          <rPr>
            <sz val="9"/>
            <color indexed="81"/>
            <rFont val="Tahoma"/>
            <family val="2"/>
          </rPr>
          <t xml:space="preserve">
QĐ BN Trưởng BM từ 15/5/2016
</t>
        </r>
      </text>
    </comment>
    <comment ref="F114" authorId="0" shapeId="0" xr:uid="{00000000-0006-0000-0200-000084000000}">
      <text>
        <r>
          <rPr>
            <b/>
            <sz val="9"/>
            <color indexed="81"/>
            <rFont val="Tahoma"/>
            <family val="2"/>
          </rPr>
          <t>Admin:</t>
        </r>
        <r>
          <rPr>
            <sz val="9"/>
            <color indexed="81"/>
            <rFont val="Tahoma"/>
            <family val="2"/>
          </rPr>
          <t xml:space="preserve">
- HS 4,65 từ 01/9/2016 (NL Trước hạn năm 2017)
- HS 4,98 từ 01/9/2019</t>
        </r>
      </text>
    </comment>
    <comment ref="G114" authorId="4" shapeId="0" xr:uid="{00000000-0006-0000-0200-000085000000}">
      <text>
        <r>
          <rPr>
            <b/>
            <sz val="9"/>
            <color indexed="81"/>
            <rFont val="Tahoma"/>
            <family val="2"/>
          </rPr>
          <t>huynh-panda:</t>
        </r>
        <r>
          <rPr>
            <sz val="9"/>
            <color indexed="81"/>
            <rFont val="Tahoma"/>
            <family val="2"/>
          </rPr>
          <t xml:space="preserve">
- VK 5% từ 01/9/2022
- VK 6% từ 01/9/2023</t>
        </r>
      </text>
    </comment>
    <comment ref="I114" authorId="0" shapeId="0" xr:uid="{00000000-0006-0000-0200-000086000000}">
      <text>
        <r>
          <rPr>
            <sz val="9"/>
            <color indexed="81"/>
            <rFont val="Tahoma"/>
            <family val="2"/>
          </rPr>
          <t>QĐ phụ trách từ 01/12/2017</t>
        </r>
      </text>
    </comment>
    <comment ref="F115" authorId="0" shapeId="0" xr:uid="{00000000-0006-0000-0200-000087000000}">
      <text>
        <r>
          <rPr>
            <b/>
            <sz val="9"/>
            <color indexed="81"/>
            <rFont val="Tahoma"/>
            <family val="2"/>
          </rPr>
          <t>Admin:</t>
        </r>
        <r>
          <rPr>
            <sz val="9"/>
            <color indexed="81"/>
            <rFont val="Tahoma"/>
            <family val="2"/>
          </rPr>
          <t xml:space="preserve">
- HS 3,33 từ 01/9/2017
- HS 3,66 từ 01/9/2020
- HS 3,99 từ 01/9/2023</t>
        </r>
      </text>
    </comment>
    <comment ref="F116" authorId="0" shapeId="0" xr:uid="{00000000-0006-0000-0200-000088000000}">
      <text>
        <r>
          <rPr>
            <b/>
            <sz val="9"/>
            <color indexed="81"/>
            <rFont val="Tahoma"/>
            <family val="2"/>
          </rPr>
          <t>Admin:</t>
        </r>
        <r>
          <rPr>
            <sz val="9"/>
            <color indexed="81"/>
            <rFont val="Tahoma"/>
            <family val="2"/>
          </rPr>
          <t xml:space="preserve">
- HS 4,65 từ 01/9/2017
- HS 4,98 từ 01/9/2020</t>
        </r>
      </text>
    </comment>
    <comment ref="G116" authorId="3" shapeId="0" xr:uid="{00000000-0006-0000-0200-000089000000}">
      <text>
        <r>
          <rPr>
            <b/>
            <sz val="9"/>
            <color indexed="81"/>
            <rFont val="Tahoma"/>
            <family val="2"/>
          </rPr>
          <t>Windows User:</t>
        </r>
        <r>
          <rPr>
            <sz val="9"/>
            <color indexed="81"/>
            <rFont val="Tahoma"/>
            <family val="2"/>
          </rPr>
          <t xml:space="preserve">
- VK 5% từ 01/9/2023</t>
        </r>
      </text>
    </comment>
    <comment ref="F117" authorId="6" shapeId="0" xr:uid="{00000000-0006-0000-0200-00008A000000}">
      <text>
        <r>
          <rPr>
            <b/>
            <sz val="9"/>
            <color indexed="81"/>
            <rFont val="Tahoma"/>
            <family val="2"/>
          </rPr>
          <t>User:</t>
        </r>
        <r>
          <rPr>
            <sz val="9"/>
            <color indexed="81"/>
            <rFont val="Tahoma"/>
            <family val="2"/>
          </rPr>
          <t xml:space="preserve">
- HS 3,00 từ 01/9/2015
- HS 3,33 từ 01/9/2018
- HS 3,66 từ 01/9/2021</t>
        </r>
      </text>
    </comment>
    <comment ref="I117" authorId="7" shapeId="0" xr:uid="{00000000-0006-0000-0200-00008B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18" authorId="6" shapeId="0" xr:uid="{00000000-0006-0000-0200-00008C000000}">
      <text>
        <r>
          <rPr>
            <b/>
            <sz val="9"/>
            <color indexed="81"/>
            <rFont val="Tahoma"/>
            <family val="2"/>
          </rPr>
          <t>User:</t>
        </r>
        <r>
          <rPr>
            <sz val="9"/>
            <color indexed="81"/>
            <rFont val="Tahoma"/>
            <family val="2"/>
          </rPr>
          <t xml:space="preserve">
- HS 3,00 từ 01/9/2015
- HS 3,33 từ 01/9/2018
- HS 3,66 từ 01/9/2021</t>
        </r>
      </text>
    </comment>
    <comment ref="F119" authorId="0" shapeId="0" xr:uid="{00000000-0006-0000-0200-00008D000000}">
      <text>
        <r>
          <rPr>
            <b/>
            <sz val="9"/>
            <color indexed="81"/>
            <rFont val="Tahoma"/>
            <family val="2"/>
          </rPr>
          <t>Admin:</t>
        </r>
        <r>
          <rPr>
            <sz val="9"/>
            <color indexed="81"/>
            <rFont val="Tahoma"/>
            <family val="2"/>
          </rPr>
          <t xml:space="preserve">
- HS 3,00 từ 01/9/2016
- HS 3,33 từ 01/9/2019
- HS 3,66 từ 01/9/2022</t>
        </r>
      </text>
    </comment>
    <comment ref="F120" authorId="0" shapeId="0" xr:uid="{00000000-0006-0000-0200-00008E000000}">
      <text>
        <r>
          <rPr>
            <b/>
            <sz val="9"/>
            <color indexed="81"/>
            <rFont val="Tahoma"/>
            <family val="2"/>
          </rPr>
          <t>Admin:</t>
        </r>
        <r>
          <rPr>
            <sz val="9"/>
            <color indexed="81"/>
            <rFont val="Tahoma"/>
            <family val="2"/>
          </rPr>
          <t xml:space="preserve">
- HS 3,00 từ 01/9/2016
- HS 3,33 từ 01/9/2019
- HS 3,66 từ 01/9/2022</t>
        </r>
      </text>
    </comment>
    <comment ref="F121" authorId="0" shapeId="0" xr:uid="{00000000-0006-0000-0200-00008F000000}">
      <text>
        <r>
          <rPr>
            <b/>
            <sz val="9"/>
            <color indexed="81"/>
            <rFont val="Tahoma"/>
            <family val="2"/>
          </rPr>
          <t>Admin:</t>
        </r>
        <r>
          <rPr>
            <sz val="9"/>
            <color indexed="81"/>
            <rFont val="Tahoma"/>
            <family val="2"/>
          </rPr>
          <t xml:space="preserve">
- HS 3,00 từ 01/9/2016
- HS 3,33 từ 01/9/2019
- HS 3,66 từ 01/9/2022</t>
        </r>
      </text>
    </comment>
    <comment ref="F122" authorId="0" shapeId="0" xr:uid="{00000000-0006-0000-0200-000090000000}">
      <text>
        <r>
          <rPr>
            <b/>
            <sz val="9"/>
            <color indexed="81"/>
            <rFont val="Tahoma"/>
            <family val="2"/>
          </rPr>
          <t>Admin:</t>
        </r>
        <r>
          <rPr>
            <sz val="9"/>
            <color indexed="81"/>
            <rFont val="Tahoma"/>
            <family val="2"/>
          </rPr>
          <t xml:space="preserve">
- HS 3,00 từ 01/9/2017
- HS 3,33 từ 01/9/2020
- HS 3,66 từ 01/9/2023</t>
        </r>
      </text>
    </comment>
    <comment ref="I122" authorId="6" shapeId="0" xr:uid="{00000000-0006-0000-0200-000091000000}">
      <text>
        <r>
          <rPr>
            <b/>
            <sz val="9"/>
            <color indexed="81"/>
            <rFont val="Tahoma"/>
            <family val="2"/>
          </rPr>
          <t>User:</t>
        </r>
        <r>
          <rPr>
            <sz val="9"/>
            <color indexed="81"/>
            <rFont val="Tahoma"/>
            <family val="2"/>
          </rPr>
          <t xml:space="preserve">
BN Trưởng BM Cơ sở Cơ khí từ 01/09/2015</t>
        </r>
      </text>
    </comment>
    <comment ref="J122" authorId="0" shapeId="0" xr:uid="{00000000-0006-0000-0200-000092000000}">
      <text>
        <r>
          <rPr>
            <b/>
            <sz val="9"/>
            <color indexed="81"/>
            <rFont val="Tahoma"/>
            <family val="2"/>
          </rPr>
          <t>Admin:</t>
        </r>
        <r>
          <rPr>
            <sz val="9"/>
            <color indexed="81"/>
            <rFont val="Tahoma"/>
            <family val="2"/>
          </rPr>
          <t xml:space="preserve">
- Bảo lưu HSPC chức vụ đến hết T5/2018</t>
        </r>
      </text>
    </comment>
    <comment ref="F123" authorId="0" shapeId="0" xr:uid="{00000000-0006-0000-0200-000093000000}">
      <text>
        <r>
          <rPr>
            <b/>
            <sz val="9"/>
            <color indexed="81"/>
            <rFont val="Tahoma"/>
            <family val="2"/>
          </rPr>
          <t>Admin:</t>
        </r>
        <r>
          <rPr>
            <sz val="9"/>
            <color indexed="81"/>
            <rFont val="Tahoma"/>
            <family val="2"/>
          </rPr>
          <t xml:space="preserve">
- HS 2,67 từ 01/9/2016
- HS 3,00 từ 01/9/2019
- HS 3,33 từ 01/9/2021 (NL trước hạn)</t>
        </r>
      </text>
    </comment>
    <comment ref="I123" authorId="6" shapeId="0" xr:uid="{00000000-0006-0000-0200-000094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124" authorId="0" shapeId="0" xr:uid="{00000000-0006-0000-0200-000095000000}">
      <text>
        <r>
          <rPr>
            <b/>
            <sz val="9"/>
            <color indexed="81"/>
            <rFont val="Tahoma"/>
            <family val="2"/>
          </rPr>
          <t>Admin:</t>
        </r>
        <r>
          <rPr>
            <sz val="9"/>
            <color indexed="81"/>
            <rFont val="Tahoma"/>
            <family val="2"/>
          </rPr>
          <t xml:space="preserve">
- HS 3,00 từ 01/10/2016
- HS 3,33 từ 01/10/2019
- HS 3,66 từ 01/10/2022</t>
        </r>
      </text>
    </comment>
    <comment ref="F125" authorId="0" shapeId="0" xr:uid="{00000000-0006-0000-0200-000096000000}">
      <text>
        <r>
          <rPr>
            <b/>
            <sz val="9"/>
            <color indexed="81"/>
            <rFont val="Tahoma"/>
            <family val="2"/>
          </rPr>
          <t>Admin:</t>
        </r>
        <r>
          <rPr>
            <sz val="9"/>
            <color indexed="81"/>
            <rFont val="Tahoma"/>
            <family val="2"/>
          </rPr>
          <t xml:space="preserve">
- HS 2,67 từ 01/10/2016
- HS 3,00 từ 01/10/2019
- HS 3,33 từ 01/10/2022</t>
        </r>
      </text>
    </comment>
    <comment ref="F126" authorId="6" shapeId="0" xr:uid="{00000000-0006-0000-0200-000097000000}">
      <text>
        <r>
          <rPr>
            <b/>
            <sz val="9"/>
            <color indexed="81"/>
            <rFont val="Tahoma"/>
            <family val="2"/>
          </rPr>
          <t>User:</t>
        </r>
        <r>
          <rPr>
            <sz val="9"/>
            <color indexed="81"/>
            <rFont val="Tahoma"/>
            <family val="2"/>
          </rPr>
          <t xml:space="preserve">
- HS 4,65 từ 01/9/2015
- HS 4,98 từ 01/9/2018</t>
        </r>
      </text>
    </comment>
    <comment ref="G126" authorId="1" shapeId="0" xr:uid="{00000000-0006-0000-0200-000098000000}">
      <text>
        <r>
          <rPr>
            <b/>
            <sz val="9"/>
            <color indexed="81"/>
            <rFont val="Tahoma"/>
            <family val="2"/>
          </rPr>
          <t>user:</t>
        </r>
        <r>
          <rPr>
            <sz val="9"/>
            <color indexed="81"/>
            <rFont val="Tahoma"/>
            <family val="2"/>
          </rPr>
          <t xml:space="preserve">
- VK 5% từ 01/9/2021
- VK 6% từ 01/9/2022
- VK 7% từ 01/9/2023</t>
        </r>
      </text>
    </comment>
    <comment ref="F127" authorId="6" shapeId="0" xr:uid="{00000000-0006-0000-0200-000099000000}">
      <text>
        <r>
          <rPr>
            <b/>
            <sz val="9"/>
            <color indexed="81"/>
            <rFont val="Tahoma"/>
            <family val="2"/>
          </rPr>
          <t>User:</t>
        </r>
        <r>
          <rPr>
            <sz val="9"/>
            <color indexed="81"/>
            <rFont val="Tahoma"/>
            <family val="2"/>
          </rPr>
          <t xml:space="preserve">
- HS 4,89 từ 1/5/2014</t>
        </r>
      </text>
    </comment>
    <comment ref="G127" authorId="0" shapeId="0" xr:uid="{00000000-0006-0000-0200-00009A00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127" authorId="6" shapeId="0" xr:uid="{00000000-0006-0000-0200-00009B000000}">
      <text>
        <r>
          <rPr>
            <b/>
            <sz val="9"/>
            <color indexed="81"/>
            <rFont val="Tahoma"/>
            <family val="2"/>
          </rPr>
          <t>User:</t>
        </r>
        <r>
          <rPr>
            <sz val="9"/>
            <color indexed="81"/>
            <rFont val="Tahoma"/>
            <family val="2"/>
          </rPr>
          <t xml:space="preserve">
- Hết bảo lưu hệ số PCCV từ 01/11/2015</t>
        </r>
      </text>
    </comment>
    <comment ref="F128" authorId="6" shapeId="0" xr:uid="{00000000-0006-0000-0200-00009C00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129" authorId="1" shapeId="0" xr:uid="{00000000-0006-0000-0200-00009D000000}">
      <text>
        <r>
          <rPr>
            <b/>
            <sz val="9"/>
            <color indexed="81"/>
            <rFont val="Tahoma"/>
            <family val="2"/>
          </rPr>
          <t>user:</t>
        </r>
        <r>
          <rPr>
            <sz val="9"/>
            <color indexed="81"/>
            <rFont val="Tahoma"/>
            <family val="2"/>
          </rPr>
          <t xml:space="preserve">
- BN CDNN từ 01/4/2019 (HS 2.67)
- HS 3,00 từ 01/4/2022</t>
        </r>
      </text>
    </comment>
    <comment ref="F130" authorId="1" shapeId="0" xr:uid="{00000000-0006-0000-0200-00009E000000}">
      <text>
        <r>
          <rPr>
            <b/>
            <sz val="9"/>
            <color indexed="81"/>
            <rFont val="Tahoma"/>
            <family val="2"/>
          </rPr>
          <t>user:</t>
        </r>
        <r>
          <rPr>
            <sz val="9"/>
            <color indexed="81"/>
            <rFont val="Tahoma"/>
            <family val="2"/>
          </rPr>
          <t xml:space="preserve">
- HS 2,67 từ 01/10/2019
- HS 3,00 từ 01/10/2022</t>
        </r>
      </text>
    </comment>
    <comment ref="G131" authorId="0" shapeId="0" xr:uid="{00000000-0006-0000-0200-00009F00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132" authorId="2" shapeId="0" xr:uid="{00000000-0006-0000-0200-0000A0000000}">
      <text>
        <r>
          <rPr>
            <b/>
            <sz val="9"/>
            <color indexed="81"/>
            <rFont val="Tahoma"/>
            <family val="2"/>
          </rPr>
          <t>Quynh:</t>
        </r>
        <r>
          <rPr>
            <sz val="9"/>
            <color indexed="81"/>
            <rFont val="Tahoma"/>
            <family val="2"/>
          </rPr>
          <t xml:space="preserve">
- Tuyển dụng từ 01/4/2019
- HS 2,34 từ 01/04/2020
- HS 2,67 từ 01/4/2022</t>
        </r>
      </text>
    </comment>
    <comment ref="F133" authorId="1" shapeId="0" xr:uid="{00000000-0006-0000-0200-0000A100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134" authorId="1" shapeId="0" xr:uid="{00000000-0006-0000-0200-0000A200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135" authorId="3" shapeId="0" xr:uid="{00000000-0006-0000-0200-0000A3000000}">
      <text>
        <r>
          <rPr>
            <b/>
            <sz val="9"/>
            <color indexed="81"/>
            <rFont val="Tahoma"/>
            <family val="2"/>
          </rPr>
          <t>Windows User:</t>
        </r>
        <r>
          <rPr>
            <sz val="9"/>
            <color indexed="81"/>
            <rFont val="Tahoma"/>
            <family val="2"/>
          </rPr>
          <t xml:space="preserve">
- Tuyển dụng từ T10/2022
- HS 2,67 từ 01/10/2022</t>
        </r>
      </text>
    </comment>
    <comment ref="F136" authorId="6" shapeId="0" xr:uid="{00000000-0006-0000-0200-0000A4000000}">
      <text>
        <r>
          <rPr>
            <b/>
            <sz val="9"/>
            <color indexed="81"/>
            <rFont val="Tahoma"/>
            <family val="2"/>
          </rPr>
          <t>User:</t>
        </r>
        <r>
          <rPr>
            <sz val="9"/>
            <color indexed="81"/>
            <rFont val="Tahoma"/>
            <family val="2"/>
          </rPr>
          <t xml:space="preserve">
- HS 3,66 từ 01/9/2014
- HS 3,99 từ 01/9/2017
- HS 4,32 từ 01/9/2019
- HS 4,65 từ 01/9/2022</t>
        </r>
      </text>
    </comment>
    <comment ref="I136" authorId="7" shapeId="0" xr:uid="{00000000-0006-0000-0200-0000A500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137" authorId="6" shapeId="0" xr:uid="{00000000-0006-0000-0200-0000A600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137" authorId="8" shapeId="0" xr:uid="{00000000-0006-0000-0200-0000A7000000}">
      <text>
        <r>
          <rPr>
            <b/>
            <sz val="8"/>
            <color indexed="81"/>
            <rFont val="Tahoma"/>
            <family val="2"/>
          </rPr>
          <t>HS 0,35 từ 05/7/2015</t>
        </r>
        <r>
          <rPr>
            <sz val="8"/>
            <color indexed="81"/>
            <rFont val="Tahoma"/>
            <family val="2"/>
          </rPr>
          <t xml:space="preserve">
</t>
        </r>
      </text>
    </comment>
    <comment ref="F138" authorId="0" shapeId="0" xr:uid="{00000000-0006-0000-0200-0000A8000000}">
      <text>
        <r>
          <rPr>
            <b/>
            <sz val="9"/>
            <color indexed="81"/>
            <rFont val="Tahoma"/>
            <family val="2"/>
          </rPr>
          <t>Admin:</t>
        </r>
        <r>
          <rPr>
            <sz val="9"/>
            <color indexed="81"/>
            <rFont val="Tahoma"/>
            <family val="2"/>
          </rPr>
          <t xml:space="preserve">
- 4,65 từ 01/9/2016
- 4,98 từ 01/9/2019</t>
        </r>
      </text>
    </comment>
    <comment ref="G138" authorId="4" shapeId="0" xr:uid="{00000000-0006-0000-0200-0000A9000000}">
      <text>
        <r>
          <rPr>
            <b/>
            <sz val="9"/>
            <color indexed="81"/>
            <rFont val="Tahoma"/>
            <family val="2"/>
          </rPr>
          <t>huynh-panda:</t>
        </r>
        <r>
          <rPr>
            <sz val="9"/>
            <color indexed="81"/>
            <rFont val="Tahoma"/>
            <family val="2"/>
          </rPr>
          <t xml:space="preserve">
- VK 5% từ 01/9/2022
- VK 6% từ 01/9/2023</t>
        </r>
      </text>
    </comment>
    <comment ref="F139" authorId="0" shapeId="0" xr:uid="{00000000-0006-0000-0200-0000AA000000}">
      <text>
        <r>
          <rPr>
            <b/>
            <sz val="9"/>
            <color indexed="81"/>
            <rFont val="Tahoma"/>
            <family val="2"/>
          </rPr>
          <t>Admin:</t>
        </r>
        <r>
          <rPr>
            <sz val="9"/>
            <color indexed="81"/>
            <rFont val="Tahoma"/>
            <family val="2"/>
          </rPr>
          <t xml:space="preserve">
- HS 4,65 từ 01/10/2016 (NL Trước hạn 2017)
- HS 4,98 từ 01/10/2019</t>
        </r>
      </text>
    </comment>
    <comment ref="G139" authorId="3" shapeId="0" xr:uid="{00000000-0006-0000-0200-0000AB000000}">
      <text>
        <r>
          <rPr>
            <b/>
            <sz val="9"/>
            <color indexed="81"/>
            <rFont val="Tahoma"/>
            <family val="2"/>
          </rPr>
          <t>Windows User:</t>
        </r>
        <r>
          <rPr>
            <sz val="9"/>
            <color indexed="81"/>
            <rFont val="Tahoma"/>
            <family val="2"/>
          </rPr>
          <t xml:space="preserve">
- VK 5% từ 01/10/2022
- VK 6% từ 01/10/2023</t>
        </r>
      </text>
    </comment>
    <comment ref="F140" authorId="0" shapeId="0" xr:uid="{00000000-0006-0000-0200-0000AC000000}">
      <text>
        <r>
          <rPr>
            <b/>
            <sz val="9"/>
            <color indexed="81"/>
            <rFont val="Tahoma"/>
            <family val="2"/>
          </rPr>
          <t>Admin:</t>
        </r>
        <r>
          <rPr>
            <sz val="9"/>
            <color indexed="81"/>
            <rFont val="Tahoma"/>
            <family val="2"/>
          </rPr>
          <t xml:space="preserve">
- HS 3,99 từ 01/9/2015
- HS 4,32 từ 01/9/2018
- HS 4,65 từ 01/9/2021
</t>
        </r>
      </text>
    </comment>
    <comment ref="I140" authorId="6" shapeId="0" xr:uid="{00000000-0006-0000-0200-0000AD000000}">
      <text>
        <r>
          <rPr>
            <b/>
            <sz val="9"/>
            <color indexed="81"/>
            <rFont val="Tahoma"/>
            <family val="2"/>
          </rPr>
          <t>User:</t>
        </r>
        <r>
          <rPr>
            <sz val="9"/>
            <color indexed="81"/>
            <rFont val="Tahoma"/>
            <family val="2"/>
          </rPr>
          <t xml:space="preserve">
Mieễn nhiệm Trưởng BM từ 01/9/2015. Bảo lưu HHS hết T02/2016</t>
        </r>
      </text>
    </comment>
    <comment ref="F141" authorId="0" shapeId="0" xr:uid="{00000000-0006-0000-0200-0000AE000000}">
      <text>
        <r>
          <rPr>
            <b/>
            <sz val="9"/>
            <color indexed="81"/>
            <rFont val="Tahoma"/>
            <family val="2"/>
          </rPr>
          <t>Admin:</t>
        </r>
        <r>
          <rPr>
            <sz val="9"/>
            <color indexed="81"/>
            <rFont val="Tahoma"/>
            <family val="2"/>
          </rPr>
          <t xml:space="preserve">
- HS 3,66 từ 01/9/2016
- HS 3,99 từ 01/9/2019
- HS 4,32 từ 01/9/2022</t>
        </r>
      </text>
    </comment>
    <comment ref="F142" authorId="6" shapeId="0" xr:uid="{00000000-0006-0000-0200-0000AF000000}">
      <text>
        <r>
          <rPr>
            <b/>
            <sz val="9"/>
            <color indexed="81"/>
            <rFont val="Tahoma"/>
            <family val="2"/>
          </rPr>
          <t>User:</t>
        </r>
        <r>
          <rPr>
            <sz val="9"/>
            <color indexed="81"/>
            <rFont val="Tahoma"/>
            <family val="2"/>
          </rPr>
          <t xml:space="preserve">
- HS 3,66 từ 01/9/2015
- HS 3,99 từ 01/9/2018
- HS 4,32 từ 01/9/2021</t>
        </r>
      </text>
    </comment>
    <comment ref="F143" authorId="0" shapeId="0" xr:uid="{00000000-0006-0000-0200-0000B0000000}">
      <text>
        <r>
          <rPr>
            <b/>
            <sz val="9"/>
            <color indexed="81"/>
            <rFont val="Tahoma"/>
            <family val="2"/>
          </rPr>
          <t>Admin:</t>
        </r>
        <r>
          <rPr>
            <sz val="9"/>
            <color indexed="81"/>
            <rFont val="Tahoma"/>
            <family val="2"/>
          </rPr>
          <t xml:space="preserve">
- HS 2,67 từ 01/9/2016
- HS 3,00 từ 01/9/2019
- HS 3,33 từ 01/9/2021 (NL trước hạn)</t>
        </r>
      </text>
    </comment>
    <comment ref="I143" authorId="1" shapeId="0" xr:uid="{00000000-0006-0000-0200-0000B1000000}">
      <text>
        <r>
          <rPr>
            <b/>
            <sz val="9"/>
            <color indexed="81"/>
            <rFont val="Tahoma"/>
            <family val="2"/>
          </rPr>
          <t>user:</t>
        </r>
        <r>
          <rPr>
            <sz val="9"/>
            <color indexed="81"/>
            <rFont val="Tahoma"/>
            <family val="2"/>
          </rPr>
          <t xml:space="preserve">
Trưởng BM Cơ điện tử và tự động hóa từ 01/01/2019</t>
        </r>
      </text>
    </comment>
    <comment ref="F144" authorId="0" shapeId="0" xr:uid="{00000000-0006-0000-0200-0000B2000000}">
      <text>
        <r>
          <rPr>
            <b/>
            <sz val="9"/>
            <color indexed="81"/>
            <rFont val="Tahoma"/>
            <family val="2"/>
          </rPr>
          <t>Admin:</t>
        </r>
        <r>
          <rPr>
            <sz val="9"/>
            <color indexed="81"/>
            <rFont val="Tahoma"/>
            <family val="2"/>
          </rPr>
          <t xml:space="preserve">
- HS 3,66 từ 01/9/2016
- HS 3,99 từ 01/9/2019
- HS 4,32 từ 01/9/2022</t>
        </r>
      </text>
    </comment>
    <comment ref="F145" authorId="0" shapeId="0" xr:uid="{00000000-0006-0000-0200-0000B3000000}">
      <text>
        <r>
          <rPr>
            <b/>
            <sz val="9"/>
            <color indexed="81"/>
            <rFont val="Tahoma"/>
            <family val="2"/>
          </rPr>
          <t>Admin:</t>
        </r>
        <r>
          <rPr>
            <sz val="9"/>
            <color indexed="81"/>
            <rFont val="Tahoma"/>
            <family val="2"/>
          </rPr>
          <t xml:space="preserve">
- HS 3,99 từ 01/9/2016
- HS 4,32 từ 01/9/2019
- HS 4,65 từ 01/9/2022</t>
        </r>
      </text>
    </comment>
    <comment ref="I145" authorId="6" shapeId="0" xr:uid="{00000000-0006-0000-0200-0000B4000000}">
      <text>
        <r>
          <rPr>
            <b/>
            <sz val="9"/>
            <color indexed="81"/>
            <rFont val="Tahoma"/>
            <family val="2"/>
          </rPr>
          <t>User:</t>
        </r>
        <r>
          <rPr>
            <sz val="9"/>
            <color indexed="81"/>
            <rFont val="Tahoma"/>
            <family val="2"/>
          </rPr>
          <t xml:space="preserve">
Miễn nhiệm Trưởng BM. Bảo lưu HS hết T02/2015</t>
        </r>
      </text>
    </comment>
    <comment ref="F146" authorId="0" shapeId="0" xr:uid="{00000000-0006-0000-0200-0000B5000000}">
      <text>
        <r>
          <rPr>
            <b/>
            <sz val="9"/>
            <color indexed="81"/>
            <rFont val="Tahoma"/>
            <family val="2"/>
          </rPr>
          <t>Admin:</t>
        </r>
        <r>
          <rPr>
            <sz val="9"/>
            <color indexed="81"/>
            <rFont val="Tahoma"/>
            <family val="2"/>
          </rPr>
          <t xml:space="preserve">
- HS 3,00 từ 01/9/2016
- HS 3,33 từ 01/9/2019
- HS 3,66 từ 01/9/2022</t>
        </r>
      </text>
    </comment>
    <comment ref="F147" authorId="6" shapeId="0" xr:uid="{00000000-0006-0000-0200-0000B6000000}">
      <text>
        <r>
          <rPr>
            <b/>
            <sz val="9"/>
            <color indexed="81"/>
            <rFont val="Tahoma"/>
            <family val="2"/>
          </rPr>
          <t>User:</t>
        </r>
        <r>
          <rPr>
            <sz val="9"/>
            <color indexed="81"/>
            <rFont val="Tahoma"/>
            <family val="2"/>
          </rPr>
          <t xml:space="preserve">
- HS 3,33 từ 01/9/2015
- HS 3,66 từ 01/9/2018
- HS 3,99 từ 01/9/2021</t>
        </r>
      </text>
    </comment>
    <comment ref="F148" authorId="0" shapeId="0" xr:uid="{00000000-0006-0000-0200-0000B7000000}">
      <text>
        <r>
          <rPr>
            <b/>
            <sz val="9"/>
            <color indexed="81"/>
            <rFont val="Tahoma"/>
            <family val="2"/>
          </rPr>
          <t>Admin:</t>
        </r>
        <r>
          <rPr>
            <sz val="9"/>
            <color indexed="81"/>
            <rFont val="Tahoma"/>
            <family val="2"/>
          </rPr>
          <t xml:space="preserve">
- HS 3,00 từ 01/9/2017
- HS 3,33 từ 01/9/2020
- HS 3,66 từ 01/9/2023</t>
        </r>
      </text>
    </comment>
    <comment ref="F149" authorId="0" shapeId="0" xr:uid="{00000000-0006-0000-0200-0000B8000000}">
      <text>
        <r>
          <rPr>
            <b/>
            <sz val="9"/>
            <color indexed="81"/>
            <rFont val="Tahoma"/>
            <family val="2"/>
          </rPr>
          <t>Admin:</t>
        </r>
        <r>
          <rPr>
            <sz val="9"/>
            <color indexed="81"/>
            <rFont val="Tahoma"/>
            <family val="2"/>
          </rPr>
          <t xml:space="preserve">
- HS 3,00 từ 01/9/2017
- HS 3,33 từ 01/9/2019
- HS 3,66 từ 01/9/2022</t>
        </r>
      </text>
    </comment>
    <comment ref="G150" authorId="0" shapeId="0" xr:uid="{00000000-0006-0000-0200-0000B900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151" authorId="6" shapeId="0" xr:uid="{00000000-0006-0000-0200-0000BA000000}">
      <text>
        <r>
          <rPr>
            <b/>
            <sz val="9"/>
            <color indexed="81"/>
            <rFont val="Tahoma"/>
            <family val="2"/>
          </rPr>
          <t>User:</t>
        </r>
        <r>
          <rPr>
            <sz val="9"/>
            <color indexed="81"/>
            <rFont val="Tahoma"/>
            <family val="2"/>
          </rPr>
          <t xml:space="preserve">
- HS 4,65 từ 01/5/2014
- HS 4,98 từ 01/5/2017</t>
        </r>
      </text>
    </comment>
    <comment ref="G151" authorId="1" shapeId="0" xr:uid="{00000000-0006-0000-0200-0000BB000000}">
      <text>
        <r>
          <rPr>
            <b/>
            <sz val="9"/>
            <color indexed="81"/>
            <rFont val="Tahoma"/>
            <family val="2"/>
          </rPr>
          <t>user:</t>
        </r>
        <r>
          <rPr>
            <sz val="9"/>
            <color indexed="81"/>
            <rFont val="Tahoma"/>
            <family val="2"/>
          </rPr>
          <t xml:space="preserve">
- 5% từ 01/5/2020
- 6% từ 01/5/2021
- 7% từ 01/5/2022
- 8% từ 01/5/2023</t>
        </r>
      </text>
    </comment>
    <comment ref="I151" authorId="6" shapeId="0" xr:uid="{00000000-0006-0000-0200-0000BC000000}">
      <text>
        <r>
          <rPr>
            <b/>
            <sz val="9"/>
            <color indexed="81"/>
            <rFont val="Tahoma"/>
            <family val="2"/>
          </rPr>
          <t>User:</t>
        </r>
        <r>
          <rPr>
            <sz val="9"/>
            <color indexed="81"/>
            <rFont val="Tahoma"/>
            <family val="2"/>
          </rPr>
          <t xml:space="preserve">
Miễn nhiện Phó Trưởng BM từ 01/9/15. Bảo lưu HS hết T2/2015</t>
        </r>
      </text>
    </comment>
    <comment ref="F152" authorId="6" shapeId="0" xr:uid="{00000000-0006-0000-0200-0000BD000000}">
      <text>
        <r>
          <rPr>
            <b/>
            <sz val="9"/>
            <color indexed="81"/>
            <rFont val="Tahoma"/>
            <family val="2"/>
          </rPr>
          <t>User:</t>
        </r>
        <r>
          <rPr>
            <sz val="9"/>
            <color indexed="81"/>
            <rFont val="Tahoma"/>
            <family val="2"/>
          </rPr>
          <t xml:space="preserve">
- HS 3,66 từ 01/9/2015
- HS 3,99 từ 01/9/2018
- HS 4,32 từ 01/9/2021</t>
        </r>
      </text>
    </comment>
    <comment ref="F153" authorId="6" shapeId="0" xr:uid="{00000000-0006-0000-0200-0000BE000000}">
      <text>
        <r>
          <rPr>
            <b/>
            <sz val="9"/>
            <color indexed="81"/>
            <rFont val="Tahoma"/>
            <family val="2"/>
          </rPr>
          <t>User:</t>
        </r>
        <r>
          <rPr>
            <sz val="9"/>
            <color indexed="81"/>
            <rFont val="Tahoma"/>
            <family val="2"/>
          </rPr>
          <t xml:space="preserve">
- HS 3,66 từ 01/9/2015
- HS 3,99 từ 01/9/2018
- HS 4,32 từ 01/9/2021</t>
        </r>
      </text>
    </comment>
    <comment ref="I153" authorId="6" shapeId="0" xr:uid="{00000000-0006-0000-0200-0000BF000000}">
      <text>
        <r>
          <rPr>
            <b/>
            <sz val="9"/>
            <color indexed="81"/>
            <rFont val="Tahoma"/>
            <family val="2"/>
          </rPr>
          <t>User:</t>
        </r>
        <r>
          <rPr>
            <sz val="9"/>
            <color indexed="81"/>
            <rFont val="Tahoma"/>
            <family val="2"/>
          </rPr>
          <t xml:space="preserve">
Miễn nhiệm Phó Trưởng BM từ 01/9/2015. Bảo lưu HS hết T02/2015</t>
        </r>
      </text>
    </comment>
    <comment ref="F154" authorId="6" shapeId="0" xr:uid="{00000000-0006-0000-0200-0000C0000000}">
      <text>
        <r>
          <rPr>
            <b/>
            <sz val="9"/>
            <color indexed="81"/>
            <rFont val="Tahoma"/>
            <family val="2"/>
          </rPr>
          <t>User:</t>
        </r>
        <r>
          <rPr>
            <sz val="9"/>
            <color indexed="81"/>
            <rFont val="Tahoma"/>
            <family val="2"/>
          </rPr>
          <t xml:space="preserve">
- HS 3,66 từ 01/9/2014
- HS 3,99 từ 01/9/2017
- HS 4,32 từ 01/9/2020
- HS 4,65 từ 01/9/2023</t>
        </r>
      </text>
    </comment>
    <comment ref="F155" authorId="6" shapeId="0" xr:uid="{00000000-0006-0000-0200-0000C100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156" authorId="6" shapeId="0" xr:uid="{00000000-0006-0000-0200-0000C2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7" authorId="6" shapeId="0" xr:uid="{00000000-0006-0000-0200-0000C3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8" authorId="0" shapeId="0" xr:uid="{00000000-0006-0000-0200-0000C4000000}">
      <text>
        <r>
          <rPr>
            <b/>
            <sz val="9"/>
            <color indexed="81"/>
            <rFont val="Tahoma"/>
            <family val="2"/>
          </rPr>
          <t>Admin:</t>
        </r>
        <r>
          <rPr>
            <sz val="9"/>
            <color indexed="81"/>
            <rFont val="Tahoma"/>
            <family val="2"/>
          </rPr>
          <t xml:space="preserve">
- HS 3,33 từ 01/12/2015
- HS 3,66 từ 01/12/2016
- HS 3,99 từ 01/12/2021</t>
        </r>
      </text>
    </comment>
    <comment ref="F159" authorId="1" shapeId="0" xr:uid="{00000000-0006-0000-0200-0000C5000000}">
      <text>
        <r>
          <rPr>
            <b/>
            <sz val="9"/>
            <color indexed="81"/>
            <rFont val="Tahoma"/>
            <family val="2"/>
          </rPr>
          <t>user:</t>
        </r>
        <r>
          <rPr>
            <sz val="9"/>
            <color indexed="81"/>
            <rFont val="Tahoma"/>
            <family val="2"/>
          </rPr>
          <t xml:space="preserve">
- BN CDNN từ 01/4/2019
- HS 3,00 từ 01/04/2021 (NL trước hạn)</t>
        </r>
      </text>
    </comment>
    <comment ref="J159" authorId="0" shapeId="0" xr:uid="{00000000-0006-0000-0200-0000C6000000}">
      <text>
        <r>
          <rPr>
            <sz val="9"/>
            <color indexed="81"/>
            <rFont val="Tahoma"/>
            <family val="2"/>
          </rPr>
          <t>- Tập sự từ 01/4/2018 HS 85% 2,67</t>
        </r>
        <r>
          <rPr>
            <b/>
            <sz val="9"/>
            <color indexed="81"/>
            <rFont val="Tahoma"/>
            <family val="2"/>
          </rPr>
          <t xml:space="preserve">
</t>
        </r>
      </text>
    </comment>
    <comment ref="F160" authorId="1" shapeId="0" xr:uid="{00000000-0006-0000-0200-0000C7000000}">
      <text>
        <r>
          <rPr>
            <b/>
            <sz val="9"/>
            <color indexed="81"/>
            <rFont val="Tahoma"/>
            <family val="2"/>
          </rPr>
          <t>user:</t>
        </r>
        <r>
          <rPr>
            <sz val="9"/>
            <color indexed="81"/>
            <rFont val="Tahoma"/>
            <family val="2"/>
          </rPr>
          <t xml:space="preserve">
- BN CDNN 2.34 từ 1/4/2019
- HS 2,67 từ 01/4/2022</t>
        </r>
      </text>
    </comment>
    <comment ref="I160" authorId="3" shapeId="0" xr:uid="{00000000-0006-0000-0200-0000C8000000}">
      <text>
        <r>
          <rPr>
            <b/>
            <sz val="9"/>
            <color indexed="81"/>
            <rFont val="Tahoma"/>
            <family val="2"/>
          </rPr>
          <t>Windows User:</t>
        </r>
        <r>
          <rPr>
            <sz val="9"/>
            <color indexed="81"/>
            <rFont val="Tahoma"/>
            <family val="2"/>
          </rPr>
          <t xml:space="preserve">
- Trưởng BM Điện Công nghiệp từ 01/10/2022</t>
        </r>
      </text>
    </comment>
    <comment ref="J160" authorId="0" shapeId="0" xr:uid="{00000000-0006-0000-0200-0000C9000000}">
      <text>
        <r>
          <rPr>
            <sz val="9"/>
            <color indexed="81"/>
            <rFont val="Tahoma"/>
            <family val="2"/>
          </rPr>
          <t>- Tập sự từ 01/4/2018 HS 85% 2,34</t>
        </r>
      </text>
    </comment>
    <comment ref="F161" authorId="1" shapeId="0" xr:uid="{00000000-0006-0000-0200-0000CA000000}">
      <text>
        <r>
          <rPr>
            <b/>
            <sz val="9"/>
            <color indexed="81"/>
            <rFont val="Tahoma"/>
            <family val="2"/>
          </rPr>
          <t>user:</t>
        </r>
        <r>
          <rPr>
            <sz val="9"/>
            <color indexed="81"/>
            <rFont val="Tahoma"/>
            <family val="2"/>
          </rPr>
          <t xml:space="preserve">
- HS 2,34 từ 01/01/2020
- HS 2,67 từ 01/01/2022 (NL trước hạn)</t>
        </r>
      </text>
    </comment>
    <comment ref="I161" authorId="4" shapeId="0" xr:uid="{00000000-0006-0000-0200-0000CB00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162" authorId="1" shapeId="0" xr:uid="{00000000-0006-0000-0200-0000CC000000}">
      <text>
        <r>
          <rPr>
            <b/>
            <sz val="9"/>
            <color indexed="81"/>
            <rFont val="Tahoma"/>
            <family val="2"/>
          </rPr>
          <t>user:</t>
        </r>
        <r>
          <rPr>
            <sz val="9"/>
            <color indexed="81"/>
            <rFont val="Tahoma"/>
            <family val="2"/>
          </rPr>
          <t xml:space="preserve">
Thuyên chuyển về trường từ ngày 15/6/2021
- HS 3,99 từ 01/11/2022</t>
        </r>
      </text>
    </comment>
    <comment ref="F163" authorId="3" shapeId="0" xr:uid="{00000000-0006-0000-0200-0000CD000000}">
      <text>
        <r>
          <rPr>
            <b/>
            <sz val="9"/>
            <color indexed="81"/>
            <rFont val="Tahoma"/>
            <family val="2"/>
          </rPr>
          <t>Windows User:</t>
        </r>
        <r>
          <rPr>
            <sz val="9"/>
            <color indexed="81"/>
            <rFont val="Tahoma"/>
            <family val="2"/>
          </rPr>
          <t xml:space="preserve">
- HS 2,67 từ 01/10/2023 (BN CDNN)</t>
        </r>
      </text>
    </comment>
    <comment ref="F164" authorId="3" shapeId="0" xr:uid="{00000000-0006-0000-0200-0000CE000000}">
      <text>
        <r>
          <rPr>
            <b/>
            <sz val="9"/>
            <color indexed="81"/>
            <rFont val="Tahoma"/>
            <family val="2"/>
          </rPr>
          <t>Windows User:</t>
        </r>
        <r>
          <rPr>
            <sz val="9"/>
            <color indexed="81"/>
            <rFont val="Tahoma"/>
            <family val="2"/>
          </rPr>
          <t xml:space="preserve">
- HS 2,34 từ 01/10/2023 (BN CDNN)</t>
        </r>
      </text>
    </comment>
    <comment ref="F165" authorId="0" shapeId="0" xr:uid="{00000000-0006-0000-0200-0000CF000000}">
      <text>
        <r>
          <rPr>
            <b/>
            <sz val="9"/>
            <color indexed="81"/>
            <rFont val="Tahoma"/>
            <family val="2"/>
          </rPr>
          <t>Admin:</t>
        </r>
        <r>
          <rPr>
            <sz val="9"/>
            <color indexed="81"/>
            <rFont val="Tahoma"/>
            <family val="2"/>
          </rPr>
          <t xml:space="preserve">
- HS 3,66 từ 01/9/2016
- HS 3,99 từ 01/9/2018 (NL trước hạn)
- HS 4,32 từ 01/9/2021</t>
        </r>
      </text>
    </comment>
    <comment ref="I165" authorId="6" shapeId="0" xr:uid="{00000000-0006-0000-0200-0000D0000000}">
      <text>
        <r>
          <rPr>
            <b/>
            <sz val="9"/>
            <color indexed="81"/>
            <rFont val="Tahoma"/>
            <family val="2"/>
          </rPr>
          <t>User:</t>
        </r>
        <r>
          <rPr>
            <sz val="9"/>
            <color indexed="81"/>
            <rFont val="Tahoma"/>
            <family val="2"/>
          </rPr>
          <t xml:space="preserve">
- Trưởng khoa Động lực từ 01/8/2015</t>
        </r>
      </text>
    </comment>
    <comment ref="F166" authorId="0" shapeId="0" xr:uid="{00000000-0006-0000-0200-0000D1000000}">
      <text>
        <r>
          <rPr>
            <b/>
            <sz val="9"/>
            <color indexed="81"/>
            <rFont val="Tahoma"/>
            <family val="2"/>
          </rPr>
          <t>Admin:</t>
        </r>
        <r>
          <rPr>
            <sz val="9"/>
            <color indexed="81"/>
            <rFont val="Tahoma"/>
            <family val="2"/>
          </rPr>
          <t xml:space="preserve">
- HS 3,99 từ 01/9/2016
- HS 4,32 từ 01/9/2018 (NL Trước hạn)
- HS 4,65 từ 01/9/2021</t>
        </r>
      </text>
    </comment>
    <comment ref="F167" authorId="0" shapeId="0" xr:uid="{00000000-0006-0000-0200-0000D2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168" authorId="0" shapeId="0" xr:uid="{00000000-0006-0000-0200-0000D3000000}">
      <text>
        <r>
          <rPr>
            <b/>
            <sz val="9"/>
            <color indexed="81"/>
            <rFont val="Tahoma"/>
            <family val="2"/>
          </rPr>
          <t>Admin:</t>
        </r>
        <r>
          <rPr>
            <sz val="9"/>
            <color indexed="81"/>
            <rFont val="Tahoma"/>
            <family val="2"/>
          </rPr>
          <t xml:space="preserve">
- HS 3,33 từ 01/9/2016
- HS 3,66 từ 01/9/2018 (NL trước hạn)
- HS 3,99 từ 01/9/2021</t>
        </r>
      </text>
    </comment>
    <comment ref="I168" authorId="0" shapeId="0" xr:uid="{00000000-0006-0000-0200-0000D4000000}">
      <text>
        <r>
          <rPr>
            <b/>
            <sz val="9"/>
            <color indexed="81"/>
            <rFont val="Tahoma"/>
            <family val="2"/>
          </rPr>
          <t>Admin:</t>
        </r>
        <r>
          <rPr>
            <sz val="9"/>
            <color indexed="81"/>
            <rFont val="Tahoma"/>
            <family val="2"/>
          </rPr>
          <t xml:space="preserve">
- Bảo lưu đến hết T5/2018</t>
        </r>
      </text>
    </comment>
    <comment ref="F169" authorId="0" shapeId="0" xr:uid="{00000000-0006-0000-0200-0000D5000000}">
      <text>
        <r>
          <rPr>
            <b/>
            <sz val="9"/>
            <color indexed="81"/>
            <rFont val="Tahoma"/>
            <family val="2"/>
          </rPr>
          <t>Admin:</t>
        </r>
        <r>
          <rPr>
            <sz val="9"/>
            <color indexed="81"/>
            <rFont val="Tahoma"/>
            <family val="2"/>
          </rPr>
          <t xml:space="preserve">
- HS 3,33 từ 01/9/2016 (NL Trước hạn 2017)
- HS 3,66 từ 01/9/2019
- HS 3,99 từ 01/9/2022</t>
        </r>
      </text>
    </comment>
    <comment ref="I169" authorId="6" shapeId="0" xr:uid="{00000000-0006-0000-0200-0000D600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170" authorId="6" shapeId="0" xr:uid="{00000000-0006-0000-0200-0000D7000000}">
      <text>
        <r>
          <rPr>
            <b/>
            <sz val="9"/>
            <color indexed="81"/>
            <rFont val="Tahoma"/>
            <family val="2"/>
          </rPr>
          <t>User:</t>
        </r>
        <r>
          <rPr>
            <sz val="9"/>
            <color indexed="81"/>
            <rFont val="Tahoma"/>
            <family val="2"/>
          </rPr>
          <t xml:space="preserve">
- HS 3,00 từ 01/9/2015
- HS 3,33 từ 01/9/2018
- HS 3,66 từ 01/9/2021</t>
        </r>
      </text>
    </comment>
    <comment ref="F171" authorId="0" shapeId="0" xr:uid="{00000000-0006-0000-0200-0000D8000000}">
      <text>
        <r>
          <rPr>
            <b/>
            <sz val="9"/>
            <color indexed="81"/>
            <rFont val="Tahoma"/>
            <family val="2"/>
          </rPr>
          <t>Admin:</t>
        </r>
        <r>
          <rPr>
            <sz val="9"/>
            <color indexed="81"/>
            <rFont val="Tahoma"/>
            <family val="2"/>
          </rPr>
          <t xml:space="preserve">
- HS 3,00 từ 01/9/2015
- HS 3,33 từ 01/9/2018
- HS 3,66 từ 01/9/2021</t>
        </r>
      </text>
    </comment>
    <comment ref="F172" authorId="6" shapeId="0" xr:uid="{00000000-0006-0000-0200-0000D9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2" authorId="6" shapeId="0" xr:uid="{00000000-0006-0000-0200-0000DA00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173" authorId="0" shapeId="0" xr:uid="{00000000-0006-0000-0200-0000DB000000}">
      <text>
        <r>
          <rPr>
            <b/>
            <sz val="9"/>
            <color indexed="81"/>
            <rFont val="Tahoma"/>
            <family val="2"/>
          </rPr>
          <t>Admin:</t>
        </r>
        <r>
          <rPr>
            <sz val="9"/>
            <color indexed="81"/>
            <rFont val="Tahoma"/>
            <family val="2"/>
          </rPr>
          <t xml:space="preserve">
- HS 3,00 từ 01/9/2015
- HS 3,33 từ 01/9/2018
- HS 3,66 từ 01/9/2021</t>
        </r>
      </text>
    </comment>
    <comment ref="F174" authorId="0" shapeId="0" xr:uid="{00000000-0006-0000-0200-0000DC000000}">
      <text>
        <r>
          <rPr>
            <b/>
            <sz val="9"/>
            <color indexed="81"/>
            <rFont val="Tahoma"/>
            <family val="2"/>
          </rPr>
          <t>Admin:</t>
        </r>
        <r>
          <rPr>
            <sz val="9"/>
            <color indexed="81"/>
            <rFont val="Tahoma"/>
            <family val="2"/>
          </rPr>
          <t xml:space="preserve">
- HS 3,00 từ 01/9/2017
- HS 3,33 từ 01/9/2019
- HS 3,66 từ 01/9/2022
</t>
        </r>
      </text>
    </comment>
    <comment ref="F175" authorId="5" shapeId="0" xr:uid="{00000000-0006-0000-0200-0000DD000000}">
      <text>
        <r>
          <rPr>
            <sz val="9"/>
            <color indexed="81"/>
            <rFont val="Tahoma"/>
            <family val="2"/>
          </rPr>
          <t>- HS 3,00 từ 01/3/2018
- HS 3,33 từ 01/3/2020 (NL trước hạn)
- HS 3,66 từ 01/03/2023</t>
        </r>
      </text>
    </comment>
    <comment ref="F176" authorId="0" shapeId="0" xr:uid="{00000000-0006-0000-0200-0000DE000000}">
      <text>
        <r>
          <rPr>
            <b/>
            <sz val="9"/>
            <color indexed="81"/>
            <rFont val="Tahoma"/>
            <family val="2"/>
          </rPr>
          <t>Admin:</t>
        </r>
        <r>
          <rPr>
            <sz val="9"/>
            <color indexed="81"/>
            <rFont val="Tahoma"/>
            <family val="2"/>
          </rPr>
          <t xml:space="preserve">
- HS 2,67 từ 01/9/2015
- HS 3,00 từ 01/9/2018
- HS 3,33 từ 01/9/2021</t>
        </r>
      </text>
    </comment>
    <comment ref="F177" authorId="0" shapeId="0" xr:uid="{00000000-0006-0000-0200-0000DF00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178" authorId="0" shapeId="0" xr:uid="{00000000-0006-0000-0200-0000E000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178" authorId="2" shapeId="0" xr:uid="{00000000-0006-0000-0200-0000E1000000}">
      <text>
        <r>
          <rPr>
            <b/>
            <sz val="9"/>
            <color indexed="81"/>
            <rFont val="Tahoma"/>
            <family val="2"/>
          </rPr>
          <t>Quynh:</t>
        </r>
        <r>
          <rPr>
            <sz val="9"/>
            <color indexed="81"/>
            <rFont val="Tahoma"/>
            <family val="2"/>
          </rPr>
          <t xml:space="preserve">
- BN Trưởng BM Điện ô tô từ 01/01/2019 </t>
        </r>
      </text>
    </comment>
    <comment ref="F179" authorId="0" shapeId="0" xr:uid="{00000000-0006-0000-0200-0000E200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180" authorId="1" shapeId="0" xr:uid="{00000000-0006-0000-0200-0000E3000000}">
      <text>
        <r>
          <rPr>
            <b/>
            <sz val="9"/>
            <color indexed="81"/>
            <rFont val="Tahoma"/>
            <family val="2"/>
          </rPr>
          <t>user:</t>
        </r>
        <r>
          <rPr>
            <sz val="9"/>
            <color indexed="81"/>
            <rFont val="Tahoma"/>
            <family val="2"/>
          </rPr>
          <t xml:space="preserve">
- HS 2,34 từ 01/10/2019
- HS 2,67 từ 01/10/2021 (NL trước hạn)</t>
        </r>
      </text>
    </comment>
    <comment ref="F181" authorId="1" shapeId="0" xr:uid="{00000000-0006-0000-0200-0000E4000000}">
      <text>
        <r>
          <rPr>
            <b/>
            <sz val="9"/>
            <color indexed="81"/>
            <rFont val="Tahoma"/>
            <family val="2"/>
          </rPr>
          <t>user:</t>
        </r>
        <r>
          <rPr>
            <sz val="9"/>
            <color indexed="81"/>
            <rFont val="Tahoma"/>
            <family val="2"/>
          </rPr>
          <t xml:space="preserve">
- HS 2,34 từ 01/10/2019
- HS 2,67 từ 01/10/2022</t>
        </r>
      </text>
    </comment>
    <comment ref="F182" authorId="1" shapeId="0" xr:uid="{00000000-0006-0000-0200-0000E5000000}">
      <text>
        <r>
          <rPr>
            <b/>
            <sz val="9"/>
            <color indexed="81"/>
            <rFont val="Tahoma"/>
            <family val="2"/>
          </rPr>
          <t>user:</t>
        </r>
        <r>
          <rPr>
            <sz val="9"/>
            <color indexed="81"/>
            <rFont val="Tahoma"/>
            <family val="2"/>
          </rPr>
          <t xml:space="preserve">
- HS 2,67 từ 01/01/2020
- HS 3,00 từ 01/01/2022 (NL trước hạn)</t>
        </r>
      </text>
    </comment>
    <comment ref="F183" authorId="1" shapeId="0" xr:uid="{00000000-0006-0000-0200-0000E6000000}">
      <text>
        <r>
          <rPr>
            <b/>
            <sz val="9"/>
            <color indexed="81"/>
            <rFont val="Tahoma"/>
            <family val="2"/>
          </rPr>
          <t>user:</t>
        </r>
        <r>
          <rPr>
            <sz val="9"/>
            <color indexed="81"/>
            <rFont val="Tahoma"/>
            <family val="2"/>
          </rPr>
          <t xml:space="preserve">
- HS 3,00 từ 01/11/2019
- HS 3,33 từ 01/12/2020
- HS 3,66 từ 01/12/2022</t>
        </r>
      </text>
    </comment>
    <comment ref="F184" authorId="1" shapeId="0" xr:uid="{00000000-0006-0000-0200-0000E7000000}">
      <text>
        <r>
          <rPr>
            <b/>
            <sz val="9"/>
            <color indexed="81"/>
            <rFont val="Tahoma"/>
            <family val="2"/>
          </rPr>
          <t>user:</t>
        </r>
        <r>
          <rPr>
            <sz val="9"/>
            <color indexed="81"/>
            <rFont val="Tahoma"/>
            <family val="2"/>
          </rPr>
          <t xml:space="preserve">
Tuyển dụng từ 01/5/20
- HS 2,34 từ 01/5/2021</t>
        </r>
      </text>
    </comment>
    <comment ref="F185" authorId="1" shapeId="0" xr:uid="{00000000-0006-0000-0200-0000E8000000}">
      <text>
        <r>
          <rPr>
            <b/>
            <sz val="9"/>
            <color indexed="81"/>
            <rFont val="Tahoma"/>
            <family val="2"/>
          </rPr>
          <t>user:</t>
        </r>
        <r>
          <rPr>
            <sz val="9"/>
            <color indexed="81"/>
            <rFont val="Tahoma"/>
            <family val="2"/>
          </rPr>
          <t xml:space="preserve">
Tuyển dụng 01/5/20
- HS 2,34 từ 01/5/2021</t>
        </r>
      </text>
    </comment>
    <comment ref="F186" authorId="1" shapeId="0" xr:uid="{00000000-0006-0000-0200-0000E9000000}">
      <text>
        <r>
          <rPr>
            <b/>
            <sz val="9"/>
            <color indexed="81"/>
            <rFont val="Tahoma"/>
            <family val="2"/>
          </rPr>
          <t>user:</t>
        </r>
        <r>
          <rPr>
            <sz val="9"/>
            <color indexed="81"/>
            <rFont val="Tahoma"/>
            <family val="2"/>
          </rPr>
          <t xml:space="preserve">
- QĐ Tuyển dụng từ 01/3/2021 (HS 2,34- 85%)
- HS 2,34 từ 01/3/2022 (BNN)</t>
        </r>
      </text>
    </comment>
    <comment ref="F187" authorId="1" shapeId="0" xr:uid="{00000000-0006-0000-0200-0000EA000000}">
      <text>
        <r>
          <rPr>
            <b/>
            <sz val="9"/>
            <color indexed="81"/>
            <rFont val="Tahoma"/>
            <family val="2"/>
          </rPr>
          <t>user:</t>
        </r>
        <r>
          <rPr>
            <sz val="9"/>
            <color indexed="81"/>
            <rFont val="Tahoma"/>
            <family val="2"/>
          </rPr>
          <t xml:space="preserve">
- Tuyển dụng từ 01/4/2021 (85%)
- HS 2,34 từ 01/4/2022</t>
        </r>
      </text>
    </comment>
    <comment ref="F188" authorId="1" shapeId="0" xr:uid="{00000000-0006-0000-0200-0000EB000000}">
      <text>
        <r>
          <rPr>
            <b/>
            <sz val="9"/>
            <color indexed="81"/>
            <rFont val="Tahoma"/>
            <family val="2"/>
          </rPr>
          <t>user:</t>
        </r>
        <r>
          <rPr>
            <sz val="9"/>
            <color indexed="81"/>
            <rFont val="Tahoma"/>
            <family val="2"/>
          </rPr>
          <t xml:space="preserve">
- Tuyển dụng từ 01/05/2021
- HS 3,00 từ 01/5/2021 (NL từ 01/7/2018)
- HS 3,33 từ 01/7/2021</t>
        </r>
      </text>
    </comment>
    <comment ref="F189" authorId="3" shapeId="0" xr:uid="{00000000-0006-0000-0200-0000EC000000}">
      <text>
        <r>
          <rPr>
            <b/>
            <sz val="9"/>
            <color indexed="81"/>
            <rFont val="Tahoma"/>
            <family val="2"/>
          </rPr>
          <t>Windows User:</t>
        </r>
        <r>
          <rPr>
            <sz val="9"/>
            <color indexed="81"/>
            <rFont val="Tahoma"/>
            <family val="2"/>
          </rPr>
          <t xml:space="preserve">
- HS 3,00 từ 01/10/2022
- HS 3,33 từ 01/01/2023</t>
        </r>
      </text>
    </comment>
    <comment ref="F191" authorId="7" shapeId="0" xr:uid="{00000000-0006-0000-0200-0000ED00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191" authorId="6" shapeId="0" xr:uid="{00000000-0006-0000-0200-0000EE00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192" authorId="0" shapeId="0" xr:uid="{00000000-0006-0000-0200-0000EF000000}">
      <text>
        <r>
          <rPr>
            <b/>
            <sz val="9"/>
            <color indexed="81"/>
            <rFont val="Tahoma"/>
            <family val="2"/>
          </rPr>
          <t>Admin:</t>
        </r>
        <r>
          <rPr>
            <sz val="9"/>
            <color indexed="81"/>
            <rFont val="Tahoma"/>
            <family val="2"/>
          </rPr>
          <t xml:space="preserve">
- HS 3,99 từ 01/9/2017
- HS 4,32 từ 01/9/2020
- HS 4,65 từ 01/9/2022</t>
        </r>
      </text>
    </comment>
    <comment ref="F193" authorId="0" shapeId="0" xr:uid="{00000000-0006-0000-0200-0000F0000000}">
      <text>
        <r>
          <rPr>
            <b/>
            <sz val="9"/>
            <color indexed="81"/>
            <rFont val="Tahoma"/>
            <family val="2"/>
          </rPr>
          <t>Admin:</t>
        </r>
        <r>
          <rPr>
            <sz val="9"/>
            <color indexed="81"/>
            <rFont val="Tahoma"/>
            <family val="2"/>
          </rPr>
          <t xml:space="preserve">
- HS 3,99 từ 01/9/2017
- HS 4,32 từ 01/9/2020
- HS 4,65 từ 01/9/2023</t>
        </r>
      </text>
    </comment>
    <comment ref="F194" authorId="0" shapeId="0" xr:uid="{00000000-0006-0000-0200-0000F1000000}">
      <text>
        <r>
          <rPr>
            <b/>
            <sz val="9"/>
            <color indexed="81"/>
            <rFont val="Tahoma"/>
            <family val="2"/>
          </rPr>
          <t>Admin:</t>
        </r>
        <r>
          <rPr>
            <sz val="9"/>
            <color indexed="81"/>
            <rFont val="Tahoma"/>
            <family val="2"/>
          </rPr>
          <t xml:space="preserve">
- HS 3,00 từ 01/9/2016
- HS 3,33 từ 01/9/2019
- HS 3,66 từ 01/9/2022</t>
        </r>
      </text>
    </comment>
    <comment ref="F195" authorId="0" shapeId="0" xr:uid="{00000000-0006-0000-0200-0000F2000000}">
      <text>
        <r>
          <rPr>
            <b/>
            <sz val="9"/>
            <color indexed="81"/>
            <rFont val="Tahoma"/>
            <family val="2"/>
          </rPr>
          <t>Admin:</t>
        </r>
        <r>
          <rPr>
            <sz val="9"/>
            <color indexed="81"/>
            <rFont val="Tahoma"/>
            <family val="2"/>
          </rPr>
          <t xml:space="preserve">
- HS 3,00 từ 01/9/2017
- HS 3,33 từ 01/9/2020
- HS 3,66 từ 01/9/2023</t>
        </r>
      </text>
    </comment>
    <comment ref="F196" authorId="0" shapeId="0" xr:uid="{00000000-0006-0000-0200-0000F3000000}">
      <text>
        <r>
          <rPr>
            <b/>
            <sz val="9"/>
            <color indexed="81"/>
            <rFont val="Tahoma"/>
            <family val="2"/>
          </rPr>
          <t>Admin:</t>
        </r>
        <r>
          <rPr>
            <sz val="9"/>
            <color indexed="81"/>
            <rFont val="Tahoma"/>
            <family val="2"/>
          </rPr>
          <t xml:space="preserve">
- HS 3,66 từ 01/9/2016
- HS 3,99 từ 01/9/2019
- HS 4,32 từ 01/9/2022</t>
        </r>
      </text>
    </comment>
    <comment ref="F197" authorId="1" shapeId="0" xr:uid="{00000000-0006-0000-0200-0000F400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198" authorId="6" shapeId="0" xr:uid="{00000000-0006-0000-0200-0000F5000000}">
      <text>
        <r>
          <rPr>
            <b/>
            <sz val="9"/>
            <color indexed="81"/>
            <rFont val="Tahoma"/>
            <family val="2"/>
          </rPr>
          <t>User:</t>
        </r>
        <r>
          <rPr>
            <sz val="9"/>
            <color indexed="81"/>
            <rFont val="Tahoma"/>
            <family val="2"/>
          </rPr>
          <t xml:space="preserve">
- HS 4,32 từ 01/10/2015
- HS 4,65 từ 01/10/2018
- HS 4,98 từ 01/10/2021</t>
        </r>
      </text>
    </comment>
    <comment ref="F199" authorId="5" shapeId="0" xr:uid="{00000000-0006-0000-0200-0000F6000000}">
      <text>
        <r>
          <rPr>
            <sz val="9"/>
            <color indexed="81"/>
            <rFont val="Tahoma"/>
            <family val="2"/>
          </rPr>
          <t>- HS 2,67 hưởng từ 01/9 làm bảng truy lãnh từ tháng 9-11/2017
- HS 3,00 từ 01/9/2019
- HS 3,33 từ 01/9/2022</t>
        </r>
      </text>
    </comment>
    <comment ref="I199" authorId="0" shapeId="0" xr:uid="{00000000-0006-0000-0200-0000F7000000}">
      <text>
        <r>
          <rPr>
            <b/>
            <sz val="9"/>
            <color indexed="81"/>
            <rFont val="Tahoma"/>
            <family val="2"/>
          </rPr>
          <t>Admin:</t>
        </r>
        <r>
          <rPr>
            <sz val="9"/>
            <color indexed="81"/>
            <rFont val="Tahoma"/>
            <family val="2"/>
          </rPr>
          <t xml:space="preserve">
- BN Phó TK từ 01/8/2018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21" authorId="0" shapeId="0" xr:uid="{00000000-0006-0000-03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xr:uid="{00000000-0006-0000-0300-000002000000}">
      <text>
        <r>
          <rPr>
            <b/>
            <sz val="9"/>
            <color indexed="81"/>
            <rFont val="Tahoma"/>
            <family val="2"/>
          </rPr>
          <t>Admin:</t>
        </r>
        <r>
          <rPr>
            <sz val="9"/>
            <color indexed="81"/>
            <rFont val="Tahoma"/>
            <family val="2"/>
          </rPr>
          <t xml:space="preserve">
- HS 4,65 từ 01/12/2015
- HS 4,98 từ 01/12/2018</t>
        </r>
      </text>
    </comment>
    <comment ref="G22" authorId="2" shapeId="0" xr:uid="{00000000-0006-0000-0300-000003000000}">
      <text>
        <r>
          <rPr>
            <b/>
            <sz val="9"/>
            <color indexed="81"/>
            <rFont val="Tahoma"/>
            <family val="2"/>
          </rPr>
          <t>user:</t>
        </r>
        <r>
          <rPr>
            <sz val="9"/>
            <color indexed="81"/>
            <rFont val="Tahoma"/>
            <family val="2"/>
          </rPr>
          <t xml:space="preserve">
- VK 5% từ 01/12/2021
- VK 6% từ 01/12/2022
- VK 7% từ 01/12/2023</t>
        </r>
      </text>
    </comment>
    <comment ref="F23" authorId="0" shapeId="0" xr:uid="{00000000-0006-0000-0300-000004000000}">
      <text>
        <r>
          <rPr>
            <b/>
            <sz val="9"/>
            <color indexed="81"/>
            <rFont val="Tahoma"/>
            <family val="2"/>
          </rPr>
          <t>User:</t>
        </r>
        <r>
          <rPr>
            <sz val="9"/>
            <color indexed="81"/>
            <rFont val="Tahoma"/>
            <family val="2"/>
          </rPr>
          <t xml:space="preserve">
- 4,65 từ 01/10/2015
- HS 4,98 từ 01/10/17 (NL trước hạn)</t>
        </r>
      </text>
    </comment>
    <comment ref="G23" authorId="2" shapeId="0" xr:uid="{00000000-0006-0000-03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xr:uid="{00000000-0006-0000-0300-000006000000}">
      <text>
        <r>
          <rPr>
            <b/>
            <sz val="9"/>
            <color indexed="81"/>
            <rFont val="Tahoma"/>
            <family val="2"/>
          </rPr>
          <t>Admin:</t>
        </r>
        <r>
          <rPr>
            <sz val="9"/>
            <color indexed="81"/>
            <rFont val="Tahoma"/>
            <family val="2"/>
          </rPr>
          <t xml:space="preserve">
- HS 0,7 từ 01/11/2016</t>
        </r>
      </text>
    </comment>
    <comment ref="F24" authorId="2" shapeId="0" xr:uid="{00000000-0006-0000-0300-000007000000}">
      <text>
        <r>
          <rPr>
            <b/>
            <sz val="9"/>
            <color indexed="81"/>
            <rFont val="Tahoma"/>
            <family val="2"/>
          </rPr>
          <t>user:</t>
        </r>
        <r>
          <rPr>
            <sz val="9"/>
            <color indexed="81"/>
            <rFont val="Tahoma"/>
            <family val="2"/>
          </rPr>
          <t xml:space="preserve">
- HS 4.32 từ 01/4/2019
- HS 4,65 từ 01/4/2021 (NL trước hạn)
</t>
        </r>
      </text>
    </comment>
    <comment ref="I24" authorId="2" shapeId="0" xr:uid="{00000000-0006-0000-0300-000008000000}">
      <text>
        <r>
          <rPr>
            <b/>
            <sz val="9"/>
            <color indexed="81"/>
            <rFont val="Tahoma"/>
            <family val="2"/>
          </rPr>
          <t>user:</t>
        </r>
        <r>
          <rPr>
            <sz val="9"/>
            <color indexed="81"/>
            <rFont val="Tahoma"/>
            <family val="2"/>
          </rPr>
          <t xml:space="preserve">
- HS 0.7 từ 15/4/2019</t>
        </r>
      </text>
    </comment>
    <comment ref="F25" authorId="0" shapeId="0" xr:uid="{00000000-0006-0000-03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xr:uid="{00000000-0006-0000-0300-00000A000000}">
      <text>
        <r>
          <rPr>
            <b/>
            <sz val="9"/>
            <color indexed="81"/>
            <rFont val="Tahoma"/>
            <family val="2"/>
          </rPr>
          <t>Windows User:</t>
        </r>
        <r>
          <rPr>
            <sz val="9"/>
            <color indexed="81"/>
            <rFont val="Tahoma"/>
            <family val="2"/>
          </rPr>
          <t xml:space="preserve">
- VK 5% từ 01/9/2023</t>
        </r>
      </text>
    </comment>
    <comment ref="F26" authorId="4" shapeId="0" xr:uid="{00000000-0006-0000-03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xr:uid="{00000000-0006-0000-0300-00000C000000}">
      <text>
        <r>
          <rPr>
            <b/>
            <sz val="9"/>
            <color indexed="81"/>
            <rFont val="Tahoma"/>
            <family val="2"/>
          </rPr>
          <t>user:</t>
        </r>
        <r>
          <rPr>
            <sz val="9"/>
            <color indexed="81"/>
            <rFont val="Tahoma"/>
            <family val="2"/>
          </rPr>
          <t xml:space="preserve">
- PP TC-HC-TH từ 01/9/2020</t>
        </r>
      </text>
    </comment>
    <comment ref="F27" authorId="0" shapeId="0" xr:uid="{00000000-0006-0000-03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xr:uid="{00000000-0006-0000-0300-00000E000000}">
      <text>
        <r>
          <rPr>
            <b/>
            <sz val="9"/>
            <color indexed="81"/>
            <rFont val="Tahoma"/>
            <family val="2"/>
          </rPr>
          <t>user:</t>
        </r>
        <r>
          <rPr>
            <sz val="9"/>
            <color indexed="81"/>
            <rFont val="Tahoma"/>
            <family val="2"/>
          </rPr>
          <t xml:space="preserve">
BN Phó TP từ 01/03/2021</t>
        </r>
      </text>
    </comment>
    <comment ref="F28" authorId="5" shapeId="0" xr:uid="{00000000-0006-0000-03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xr:uid="{00000000-0006-0000-03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xr:uid="{00000000-0006-0000-03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xr:uid="{00000000-0006-0000-03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xr:uid="{00000000-0006-0000-03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3" authorId="5" shapeId="0" xr:uid="{00000000-0006-0000-03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xr:uid="{00000000-0006-0000-03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xr:uid="{00000000-0006-0000-03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35" authorId="1" shapeId="0" xr:uid="{00000000-0006-0000-0300-000017000000}">
      <text>
        <r>
          <rPr>
            <sz val="9"/>
            <color indexed="81"/>
            <rFont val="Tahoma"/>
            <family val="2"/>
          </rPr>
          <t>- Tập sự từ 01/4/2018 85% 2,1</t>
        </r>
        <r>
          <rPr>
            <sz val="9"/>
            <color indexed="81"/>
            <rFont val="Tahoma"/>
            <family val="2"/>
          </rPr>
          <t xml:space="preserve">
</t>
        </r>
      </text>
    </comment>
    <comment ref="F36" authorId="0" shapeId="0" xr:uid="{00000000-0006-0000-03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36" authorId="3" shapeId="0" xr:uid="{00000000-0006-0000-0300-000019000000}">
      <text>
        <r>
          <rPr>
            <b/>
            <sz val="9"/>
            <color indexed="81"/>
            <rFont val="Tahoma"/>
            <family val="2"/>
          </rPr>
          <t>Windows User:</t>
        </r>
        <r>
          <rPr>
            <sz val="9"/>
            <color indexed="81"/>
            <rFont val="Tahoma"/>
            <family val="2"/>
          </rPr>
          <t xml:space="preserve">
- VK 5% từ 01/9/2023</t>
        </r>
      </text>
    </comment>
    <comment ref="F37" authorId="1" shapeId="0" xr:uid="{00000000-0006-0000-0300-00001A000000}">
      <text>
        <r>
          <rPr>
            <b/>
            <sz val="9"/>
            <color indexed="81"/>
            <rFont val="Tahoma"/>
            <family val="2"/>
          </rPr>
          <t>Admin:</t>
        </r>
        <r>
          <rPr>
            <sz val="9"/>
            <color indexed="81"/>
            <rFont val="Tahoma"/>
            <family val="2"/>
          </rPr>
          <t xml:space="preserve">
- HS 4,65 từ 01/12/2015
- HS 4,98 từ 01/12/2018</t>
        </r>
      </text>
    </comment>
    <comment ref="G37" authorId="2" shapeId="0" xr:uid="{00000000-0006-0000-0300-00001B000000}">
      <text>
        <r>
          <rPr>
            <b/>
            <sz val="9"/>
            <color indexed="81"/>
            <rFont val="Tahoma"/>
            <family val="2"/>
          </rPr>
          <t>user:</t>
        </r>
        <r>
          <rPr>
            <sz val="9"/>
            <color indexed="81"/>
            <rFont val="Tahoma"/>
            <family val="2"/>
          </rPr>
          <t xml:space="preserve">
- VK 5% từ 01/12/2021
- VK 6% từ 01/12/2022
- VK 7% từ 01/12/2023</t>
        </r>
      </text>
    </comment>
    <comment ref="I37" authorId="6" shapeId="0" xr:uid="{00000000-0006-0000-0300-00001C000000}">
      <text>
        <r>
          <rPr>
            <b/>
            <sz val="8"/>
            <color indexed="81"/>
            <rFont val="Tahoma"/>
            <family val="2"/>
          </rPr>
          <t>admin:</t>
        </r>
        <r>
          <rPr>
            <sz val="8"/>
            <color indexed="81"/>
            <rFont val="Tahoma"/>
            <family val="2"/>
          </rPr>
          <t xml:space="preserve">
+ QĐ Bổ nhiệm Phó Trưởng phòng QT CSVC từ 01/06/2014</t>
        </r>
      </text>
    </comment>
    <comment ref="F38" authorId="0" shapeId="0" xr:uid="{00000000-0006-0000-03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9" authorId="1" shapeId="0" xr:uid="{00000000-0006-0000-03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0" authorId="1" shapeId="0" xr:uid="{00000000-0006-0000-03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1" authorId="1" shapeId="0" xr:uid="{00000000-0006-0000-03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2" authorId="0" shapeId="0" xr:uid="{00000000-0006-0000-03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3" authorId="1" shapeId="0" xr:uid="{00000000-0006-0000-0300-000022000000}">
      <text>
        <r>
          <rPr>
            <b/>
            <sz val="9"/>
            <color indexed="81"/>
            <rFont val="Tahoma"/>
            <family val="2"/>
          </rPr>
          <t>Admin:</t>
        </r>
        <r>
          <rPr>
            <sz val="9"/>
            <color indexed="81"/>
            <rFont val="Tahoma"/>
            <family val="2"/>
          </rPr>
          <t xml:space="preserve">
- HS 2,41 từ 01/11/2015
- HS 2,72 từ 01/11/2018
- HS 3,03 từ 01/11/2021</t>
        </r>
      </text>
    </comment>
    <comment ref="F44" authorId="0" shapeId="0" xr:uid="{00000000-0006-0000-03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4" authorId="0" shapeId="0" xr:uid="{00000000-0006-0000-03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5" authorId="1" shapeId="0" xr:uid="{00000000-0006-0000-0300-000025000000}">
      <text>
        <r>
          <rPr>
            <b/>
            <sz val="9"/>
            <color indexed="81"/>
            <rFont val="Tahoma"/>
            <family val="2"/>
          </rPr>
          <t>Admin:</t>
        </r>
        <r>
          <rPr>
            <sz val="9"/>
            <color indexed="81"/>
            <rFont val="Tahoma"/>
            <family val="2"/>
          </rPr>
          <t xml:space="preserve">
- Bổ nhiệm CDNN từ 01/4/2018
- HS 2,34 từ 01/2/2017
- HS 2,67 từ 01/2/2019</t>
        </r>
      </text>
    </comment>
    <comment ref="I45" authorId="7" shapeId="0" xr:uid="{00000000-0006-0000-03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6" authorId="2" shapeId="0" xr:uid="{00000000-0006-0000-03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7" authorId="0" shapeId="0" xr:uid="{00000000-0006-0000-03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7" authorId="3" shapeId="0" xr:uid="{00000000-0006-0000-0300-000029000000}">
      <text>
        <r>
          <rPr>
            <b/>
            <sz val="9"/>
            <color indexed="81"/>
            <rFont val="Tahoma"/>
            <family val="2"/>
          </rPr>
          <t>Windows User:</t>
        </r>
        <r>
          <rPr>
            <sz val="9"/>
            <color indexed="81"/>
            <rFont val="Tahoma"/>
            <family val="2"/>
          </rPr>
          <t xml:space="preserve">
- VK 5% từ 01/9/2023</t>
        </r>
      </text>
    </comment>
    <comment ref="I47" authorId="0" shapeId="0" xr:uid="{00000000-0006-0000-0300-00002A000000}">
      <text>
        <r>
          <rPr>
            <b/>
            <sz val="9"/>
            <color indexed="81"/>
            <rFont val="Tahoma"/>
            <family val="2"/>
          </rPr>
          <t>User:</t>
        </r>
        <r>
          <rPr>
            <sz val="9"/>
            <color indexed="81"/>
            <rFont val="Tahoma"/>
            <family val="2"/>
          </rPr>
          <t xml:space="preserve">
- QĐ Bổ nhiệm Tổ trưởng tổ Ký túc xá SV từ 15/9/2015</t>
        </r>
      </text>
    </comment>
    <comment ref="F48" authorId="0" shapeId="0" xr:uid="{00000000-0006-0000-03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9" authorId="3" shapeId="0" xr:uid="{00000000-0006-0000-0300-00002C000000}">
      <text>
        <r>
          <rPr>
            <b/>
            <sz val="9"/>
            <color indexed="81"/>
            <rFont val="Tahoma"/>
            <family val="2"/>
          </rPr>
          <t>Windows User:</t>
        </r>
        <r>
          <rPr>
            <sz val="9"/>
            <color indexed="81"/>
            <rFont val="Tahoma"/>
            <family val="2"/>
          </rPr>
          <t xml:space="preserve">
- VK 10% từ 01/9/2023</t>
        </r>
      </text>
    </comment>
    <comment ref="I49" authorId="3" shapeId="0" xr:uid="{00000000-0006-0000-0300-00002D000000}">
      <text>
        <r>
          <rPr>
            <b/>
            <sz val="9"/>
            <color indexed="81"/>
            <rFont val="Tahoma"/>
            <family val="2"/>
          </rPr>
          <t>Windows User:</t>
        </r>
        <r>
          <rPr>
            <sz val="9"/>
            <color indexed="81"/>
            <rFont val="Tahoma"/>
            <family val="2"/>
          </rPr>
          <t xml:space="preserve">
- Phó TP QT-DV từ T10/23</t>
        </r>
      </text>
    </comment>
    <comment ref="F50" authorId="1" shapeId="0" xr:uid="{00000000-0006-0000-03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1" authorId="1" shapeId="0" xr:uid="{00000000-0006-0000-03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2" authorId="1" shapeId="0" xr:uid="{00000000-0006-0000-0300-000030000000}">
      <text>
        <r>
          <rPr>
            <sz val="9"/>
            <color indexed="81"/>
            <rFont val="Tahoma"/>
            <family val="2"/>
          </rPr>
          <t>- 31% từ 01/10/2017
- 32% từ 01/10/2018
- 33% từ 01/10/2019
- 34% từ 01/10/2020
- 35% từ 01/10/2021
- 36% từ 01/10/2022</t>
        </r>
      </text>
    </comment>
    <comment ref="I52" authorId="0" shapeId="0" xr:uid="{00000000-0006-0000-0300-000031000000}">
      <text>
        <r>
          <rPr>
            <b/>
            <sz val="9"/>
            <color indexed="81"/>
            <rFont val="Tahoma"/>
            <family val="2"/>
          </rPr>
          <t>User:</t>
        </r>
        <r>
          <rPr>
            <sz val="9"/>
            <color indexed="81"/>
            <rFont val="Tahoma"/>
            <family val="2"/>
          </rPr>
          <t xml:space="preserve">
Trưởng phòng Kế toán từ 19/8/2015
</t>
        </r>
      </text>
    </comment>
    <comment ref="F53" authorId="0" shapeId="0" xr:uid="{00000000-0006-0000-03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54" authorId="0" shapeId="0" xr:uid="{00000000-0006-0000-03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5" authorId="1" shapeId="0" xr:uid="{00000000-0006-0000-03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6" authorId="0" shapeId="0" xr:uid="{00000000-0006-0000-03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7" authorId="1" shapeId="0" xr:uid="{00000000-0006-0000-0300-000036000000}">
      <text>
        <r>
          <rPr>
            <b/>
            <sz val="9"/>
            <color indexed="81"/>
            <rFont val="Tahoma"/>
            <family val="2"/>
          </rPr>
          <t>Admin:</t>
        </r>
        <r>
          <rPr>
            <sz val="9"/>
            <color indexed="81"/>
            <rFont val="Tahoma"/>
            <family val="2"/>
          </rPr>
          <t xml:space="preserve">
- HS 3,66 từ 01/01/2017
- HS 3,99 từ 01/01/2019</t>
        </r>
      </text>
    </comment>
    <comment ref="I57" authorId="1" shapeId="0" xr:uid="{00000000-0006-0000-0300-000037000000}">
      <text>
        <r>
          <rPr>
            <b/>
            <sz val="9"/>
            <color indexed="81"/>
            <rFont val="Tahoma"/>
            <family val="2"/>
          </rPr>
          <t>Admin:</t>
        </r>
        <r>
          <rPr>
            <sz val="9"/>
            <color indexed="81"/>
            <rFont val="Tahoma"/>
            <family val="2"/>
          </rPr>
          <t xml:space="preserve">
- Phụ trách TT Quan hệ DN từ 01/5/2018
- Trưởng TT từ 01/12/2019</t>
        </r>
      </text>
    </comment>
    <comment ref="F58" authorId="0" shapeId="0" xr:uid="{00000000-0006-0000-0300-000038000000}">
      <text>
        <r>
          <rPr>
            <b/>
            <sz val="9"/>
            <color indexed="81"/>
            <rFont val="Tahoma"/>
            <family val="2"/>
          </rPr>
          <t>User:</t>
        </r>
        <r>
          <rPr>
            <sz val="9"/>
            <color indexed="81"/>
            <rFont val="Tahoma"/>
            <family val="2"/>
          </rPr>
          <t xml:space="preserve">
- HS 3,33 từ 01/9/2015
- HS 3,66 từ 01/9/2018
- HS 3,99 từ 01/9/2021</t>
        </r>
      </text>
    </comment>
    <comment ref="F59" authorId="1" shapeId="0" xr:uid="{00000000-0006-0000-03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60" authorId="1" shapeId="0" xr:uid="{00000000-0006-0000-0300-00003A000000}">
      <text>
        <r>
          <rPr>
            <b/>
            <sz val="9"/>
            <color indexed="81"/>
            <rFont val="Tahoma"/>
            <family val="2"/>
          </rPr>
          <t>Admin:</t>
        </r>
        <r>
          <rPr>
            <sz val="9"/>
            <color indexed="81"/>
            <rFont val="Tahoma"/>
            <family val="2"/>
          </rPr>
          <t xml:space="preserve">
- HS 4,65 từ 01/9/2016
- HS 4,98 từ 01/9/2018 (NL trước hạn)</t>
        </r>
      </text>
    </comment>
    <comment ref="G60" authorId="2" shapeId="0" xr:uid="{00000000-0006-0000-0300-00003B000000}">
      <text>
        <r>
          <rPr>
            <b/>
            <sz val="9"/>
            <color indexed="81"/>
            <rFont val="Tahoma"/>
            <family val="2"/>
          </rPr>
          <t>user:</t>
        </r>
        <r>
          <rPr>
            <sz val="9"/>
            <color indexed="81"/>
            <rFont val="Tahoma"/>
            <family val="2"/>
          </rPr>
          <t xml:space="preserve">
- VK 5% từ 01/9/2021
- VK 6% từ 01/9/2022
- VK 7% từ 01/9/2023</t>
        </r>
      </text>
    </comment>
    <comment ref="I60" authorId="2" shapeId="0" xr:uid="{00000000-0006-0000-0300-00003C000000}">
      <text>
        <r>
          <rPr>
            <b/>
            <sz val="9"/>
            <color indexed="81"/>
            <rFont val="Tahoma"/>
            <family val="2"/>
          </rPr>
          <t>user:</t>
        </r>
        <r>
          <rPr>
            <sz val="9"/>
            <color indexed="81"/>
            <rFont val="Tahoma"/>
            <family val="2"/>
          </rPr>
          <t xml:space="preserve">
BN Trưởng phòng T10/19</t>
        </r>
      </text>
    </comment>
    <comment ref="F61" authorId="1" shapeId="0" xr:uid="{00000000-0006-0000-0300-00003D000000}">
      <text>
        <r>
          <rPr>
            <b/>
            <sz val="9"/>
            <color indexed="81"/>
            <rFont val="Tahoma"/>
            <family val="2"/>
          </rPr>
          <t>Admin:</t>
        </r>
        <r>
          <rPr>
            <sz val="9"/>
            <color indexed="81"/>
            <rFont val="Tahoma"/>
            <family val="2"/>
          </rPr>
          <t xml:space="preserve">
- HS 3.33 từ 01/01/2016
- HS 3,66 từ 01/01/2019</t>
        </r>
      </text>
    </comment>
    <comment ref="F62" authorId="1" shapeId="0" xr:uid="{00000000-0006-0000-0300-00003E000000}">
      <text>
        <r>
          <rPr>
            <b/>
            <sz val="9"/>
            <color indexed="81"/>
            <rFont val="Tahoma"/>
            <family val="2"/>
          </rPr>
          <t>Admin:</t>
        </r>
        <r>
          <rPr>
            <sz val="9"/>
            <color indexed="81"/>
            <rFont val="Tahoma"/>
            <family val="2"/>
          </rPr>
          <t xml:space="preserve">
- HS 3,00 từ 01/9/2016
- HS 3,33 từ 01/9/2019
- HS 3,66 từ 01/9/2022
</t>
        </r>
      </text>
    </comment>
    <comment ref="F63" authorId="1" shapeId="0" xr:uid="{00000000-0006-0000-03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4" authorId="1" shapeId="0" xr:uid="{00000000-0006-0000-0300-000040000000}">
      <text>
        <r>
          <rPr>
            <b/>
            <sz val="9"/>
            <color indexed="81"/>
            <rFont val="Tahoma"/>
            <family val="2"/>
          </rPr>
          <t>Admin:</t>
        </r>
        <r>
          <rPr>
            <sz val="9"/>
            <color indexed="81"/>
            <rFont val="Tahoma"/>
            <family val="2"/>
          </rPr>
          <t xml:space="preserve">
- HS 3,66 từ 01/9/2016
- HS 3,99 từ 01/9/2019
- HS 4,32 từ 01/9/2022</t>
        </r>
      </text>
    </comment>
    <comment ref="F65" authorId="0" shapeId="0" xr:uid="{00000000-0006-0000-03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6" authorId="1" shapeId="0" xr:uid="{00000000-0006-0000-03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6" authorId="2" shapeId="0" xr:uid="{00000000-0006-0000-0300-000043000000}">
      <text>
        <r>
          <rPr>
            <b/>
            <sz val="9"/>
            <color indexed="81"/>
            <rFont val="Tahoma"/>
            <family val="2"/>
          </rPr>
          <t>user:</t>
        </r>
        <r>
          <rPr>
            <sz val="9"/>
            <color indexed="81"/>
            <rFont val="Tahoma"/>
            <family val="2"/>
          </rPr>
          <t xml:space="preserve">
- HS 3,33 từ 01/11/2019
- HS 3,66 từ 01/11/2022</t>
        </r>
      </text>
    </comment>
    <comment ref="F67" authorId="1" shapeId="0" xr:uid="{00000000-0006-0000-03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7" authorId="1" shapeId="0" xr:uid="{00000000-0006-0000-03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8" authorId="0" shapeId="0" xr:uid="{00000000-0006-0000-03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8" authorId="3" shapeId="0" xr:uid="{00000000-0006-0000-0300-000047000000}">
      <text>
        <r>
          <rPr>
            <b/>
            <sz val="9"/>
            <color indexed="81"/>
            <rFont val="Tahoma"/>
            <family val="2"/>
          </rPr>
          <t>Windows User:</t>
        </r>
        <r>
          <rPr>
            <sz val="9"/>
            <color indexed="81"/>
            <rFont val="Tahoma"/>
            <family val="2"/>
          </rPr>
          <t xml:space="preserve">
- Phó Trưởng phòng TS - Đào tạo từ T10/22</t>
        </r>
      </text>
    </comment>
    <comment ref="F69" authorId="0" shapeId="0" xr:uid="{00000000-0006-0000-03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0" authorId="1" shapeId="0" xr:uid="{00000000-0006-0000-03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1" authorId="1" shapeId="0" xr:uid="{00000000-0006-0000-03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2" authorId="1" shapeId="0" xr:uid="{00000000-0006-0000-03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3" authorId="1" shapeId="0" xr:uid="{00000000-0006-0000-03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74" authorId="1" shapeId="0" xr:uid="{00000000-0006-0000-03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5" authorId="1" shapeId="0" xr:uid="{00000000-0006-0000-0300-00004E000000}">
      <text>
        <r>
          <rPr>
            <b/>
            <sz val="9"/>
            <color indexed="81"/>
            <rFont val="Tahoma"/>
            <family val="2"/>
          </rPr>
          <t>Admin:</t>
        </r>
        <r>
          <rPr>
            <sz val="9"/>
            <color indexed="81"/>
            <rFont val="Tahoma"/>
            <family val="2"/>
          </rPr>
          <t xml:space="preserve">
- HS 2.67 từ 01/02/2016
- HS 3,00 từ 01/02/2019</t>
        </r>
      </text>
    </comment>
    <comment ref="F76" authorId="0" shapeId="0" xr:uid="{00000000-0006-0000-03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6" authorId="0" shapeId="0" xr:uid="{00000000-0006-0000-0300-000050000000}">
      <text>
        <r>
          <rPr>
            <b/>
            <sz val="9"/>
            <color indexed="81"/>
            <rFont val="Tahoma"/>
            <family val="2"/>
          </rPr>
          <t>User:</t>
        </r>
        <r>
          <rPr>
            <sz val="9"/>
            <color indexed="81"/>
            <rFont val="Tahoma"/>
            <family val="2"/>
          </rPr>
          <t xml:space="preserve">
- Phó Trưởng phòng từ 01/8/2015
- Trưởng phòng từ 01/9/2018</t>
        </r>
      </text>
    </comment>
    <comment ref="F77" authorId="0" shapeId="0" xr:uid="{00000000-0006-0000-03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8" authorId="0" shapeId="0" xr:uid="{00000000-0006-0000-03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9" authorId="5" shapeId="0" xr:uid="{00000000-0006-0000-03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0" authorId="1" shapeId="0" xr:uid="{00000000-0006-0000-0300-000054000000}">
      <text>
        <r>
          <rPr>
            <b/>
            <sz val="9"/>
            <color indexed="81"/>
            <rFont val="Tahoma"/>
            <family val="2"/>
          </rPr>
          <t>Admin:</t>
        </r>
        <r>
          <rPr>
            <sz val="9"/>
            <color indexed="81"/>
            <rFont val="Tahoma"/>
            <family val="2"/>
          </rPr>
          <t xml:space="preserve">
Chuyển từ THPT lên khối Cao đẳng từ 01/06/2016</t>
        </r>
      </text>
    </comment>
    <comment ref="F80" authorId="1" shapeId="0" xr:uid="{00000000-0006-0000-03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1" authorId="8" shapeId="0" xr:uid="{00000000-0006-0000-0300-000056000000}">
      <text>
        <r>
          <rPr>
            <sz val="9"/>
            <color indexed="81"/>
            <rFont val="Tahoma"/>
            <family val="2"/>
          </rPr>
          <t>- HS 3,00 từ 01/11/2017
- HS 3,33 từ 01/11/2020
- HS 3,66 từ 01/11/2022</t>
        </r>
      </text>
    </comment>
    <comment ref="F82" authorId="2" shapeId="0" xr:uid="{00000000-0006-0000-0300-000057000000}">
      <text>
        <r>
          <rPr>
            <b/>
            <sz val="9"/>
            <color indexed="81"/>
            <rFont val="Tahoma"/>
            <family val="2"/>
          </rPr>
          <t>user:</t>
        </r>
        <r>
          <rPr>
            <sz val="9"/>
            <color indexed="81"/>
            <rFont val="Tahoma"/>
            <family val="2"/>
          </rPr>
          <t xml:space="preserve">
- Tuyển dụng từ 01/11/2019
- HS 3,00 từ 01/11/2022 (NL trước hạn)</t>
        </r>
      </text>
    </comment>
    <comment ref="I82" authorId="3" shapeId="0" xr:uid="{00000000-0006-0000-0300-000058000000}">
      <text>
        <r>
          <rPr>
            <b/>
            <sz val="9"/>
            <color indexed="81"/>
            <rFont val="Tahoma"/>
            <family val="2"/>
          </rPr>
          <t>Windows User:</t>
        </r>
        <r>
          <rPr>
            <sz val="9"/>
            <color indexed="81"/>
            <rFont val="Tahoma"/>
            <family val="2"/>
          </rPr>
          <t xml:space="preserve">
- Phó Trưởng TT ĐH&amp;QLDL từ T10/23</t>
        </r>
      </text>
    </comment>
    <comment ref="F83" authorId="0" shapeId="0" xr:uid="{00000000-0006-0000-03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83" authorId="6" shapeId="0" xr:uid="{00000000-0006-0000-03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4" authorId="0" shapeId="0" xr:uid="{00000000-0006-0000-0300-00005B000000}">
      <text>
        <r>
          <rPr>
            <b/>
            <sz val="9"/>
            <color indexed="81"/>
            <rFont val="Tahoma"/>
            <family val="2"/>
          </rPr>
          <t>User:</t>
        </r>
        <r>
          <rPr>
            <sz val="9"/>
            <color indexed="81"/>
            <rFont val="Tahoma"/>
            <family val="2"/>
          </rPr>
          <t xml:space="preserve">
- 3.00 từ 01/12/2015
- 3,33 từ 01/12/2018
- 3,66 từ 01/12/2021</t>
        </r>
      </text>
    </comment>
    <comment ref="F85" authorId="1" shapeId="0" xr:uid="{00000000-0006-0000-03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6" authorId="4" shapeId="0" xr:uid="{00000000-0006-0000-0300-00005D000000}">
      <text>
        <r>
          <rPr>
            <b/>
            <sz val="9"/>
            <color indexed="81"/>
            <rFont val="Tahoma"/>
            <family val="2"/>
          </rPr>
          <t>Quynh:</t>
        </r>
        <r>
          <rPr>
            <sz val="9"/>
            <color indexed="81"/>
            <rFont val="Tahoma"/>
            <family val="2"/>
          </rPr>
          <t xml:space="preserve">
- HS 3,00 từ 01/3/2016
</t>
        </r>
      </text>
    </comment>
    <comment ref="I86" authorId="2" shapeId="0" xr:uid="{00000000-0006-0000-03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7" authorId="0" shapeId="0" xr:uid="{00000000-0006-0000-03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8" authorId="1" shapeId="0" xr:uid="{00000000-0006-0000-0300-000060000000}">
      <text>
        <r>
          <rPr>
            <b/>
            <sz val="9"/>
            <color indexed="81"/>
            <rFont val="Tahoma"/>
            <family val="2"/>
          </rPr>
          <t>Admin:</t>
        </r>
        <r>
          <rPr>
            <sz val="9"/>
            <color indexed="81"/>
            <rFont val="Tahoma"/>
            <family val="2"/>
          </rPr>
          <t xml:space="preserve">
- HS 2,67 từ 01/4/2016
- HS 3.00 từ 01/4/2019
- HS 3,33 từ 01/4/2022
</t>
        </r>
      </text>
    </comment>
    <comment ref="F89" authorId="1" shapeId="0" xr:uid="{00000000-0006-0000-0300-000061000000}">
      <text>
        <r>
          <rPr>
            <b/>
            <sz val="9"/>
            <color indexed="81"/>
            <rFont val="Tahoma"/>
            <family val="2"/>
          </rPr>
          <t>Admin:</t>
        </r>
        <r>
          <rPr>
            <sz val="9"/>
            <color indexed="81"/>
            <rFont val="Tahoma"/>
            <family val="2"/>
          </rPr>
          <t xml:space="preserve">
- HS 4,65 từ 01/9/2017
- HS 4,98 từ 01/9/2020</t>
        </r>
      </text>
    </comment>
    <comment ref="G89" authorId="3" shapeId="0" xr:uid="{00000000-0006-0000-0300-000062000000}">
      <text>
        <r>
          <rPr>
            <b/>
            <sz val="9"/>
            <color indexed="81"/>
            <rFont val="Tahoma"/>
            <family val="2"/>
          </rPr>
          <t>Windows User:</t>
        </r>
        <r>
          <rPr>
            <sz val="9"/>
            <color indexed="81"/>
            <rFont val="Tahoma"/>
            <family val="2"/>
          </rPr>
          <t xml:space="preserve">
- 5% từ 01/9/2023</t>
        </r>
      </text>
    </comment>
    <comment ref="F90" authorId="8" shapeId="0" xr:uid="{00000000-0006-0000-0300-000063000000}">
      <text>
        <r>
          <rPr>
            <sz val="9"/>
            <color indexed="81"/>
            <rFont val="Tahoma"/>
            <family val="2"/>
          </rPr>
          <t>- HS 4,32 từ 01/12/2017
- HS 4,65 từ 01/12/2019
- HS 4,98 từ 01/12/2022</t>
        </r>
      </text>
    </comment>
    <comment ref="I90" authorId="0" shapeId="0" xr:uid="{00000000-0006-0000-0300-000064000000}">
      <text>
        <r>
          <rPr>
            <b/>
            <sz val="9"/>
            <color indexed="81"/>
            <rFont val="Tahoma"/>
            <family val="2"/>
          </rPr>
          <t>User:</t>
        </r>
        <r>
          <rPr>
            <sz val="9"/>
            <color indexed="81"/>
            <rFont val="Tahoma"/>
            <family val="2"/>
          </rPr>
          <t xml:space="preserve">
Trưởng khoa Kinh tế từ 20/8/2015
</t>
        </r>
      </text>
    </comment>
    <comment ref="F92" authorId="2" shapeId="0" xr:uid="{00000000-0006-0000-0300-000065000000}">
      <text>
        <r>
          <rPr>
            <b/>
            <sz val="9"/>
            <color indexed="81"/>
            <rFont val="Tahoma"/>
            <family val="2"/>
          </rPr>
          <t>user:</t>
        </r>
        <r>
          <rPr>
            <sz val="9"/>
            <color indexed="81"/>
            <rFont val="Tahoma"/>
            <family val="2"/>
          </rPr>
          <t xml:space="preserve">
- HS 2,34 từ 01/10/2019
- HS 2,67 từ 01/10/2021 (NL trước hạn)</t>
        </r>
      </text>
    </comment>
    <comment ref="I92" authorId="2" shapeId="0" xr:uid="{00000000-0006-0000-03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xr:uid="{00000000-0006-0000-03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xr:uid="{00000000-0006-0000-03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xr:uid="{00000000-0006-0000-0300-000069000000}">
      <text>
        <r>
          <rPr>
            <b/>
            <sz val="9"/>
            <color indexed="81"/>
            <rFont val="Tahoma"/>
            <family val="2"/>
          </rPr>
          <t>user:</t>
        </r>
        <r>
          <rPr>
            <sz val="9"/>
            <color indexed="81"/>
            <rFont val="Tahoma"/>
            <family val="2"/>
          </rPr>
          <t xml:space="preserve">
Phụ trách khoa Xây dựng từ 01/5/2019
- TK từ 01/5/2023</t>
        </r>
      </text>
    </comment>
    <comment ref="F95" authorId="2" shapeId="0" xr:uid="{00000000-0006-0000-0300-00006A000000}">
      <text>
        <r>
          <rPr>
            <b/>
            <sz val="9"/>
            <color indexed="81"/>
            <rFont val="Tahoma"/>
            <family val="2"/>
          </rPr>
          <t>user:</t>
        </r>
        <r>
          <rPr>
            <sz val="9"/>
            <color indexed="81"/>
            <rFont val="Tahoma"/>
            <family val="2"/>
          </rPr>
          <t xml:space="preserve">
- Tuyển dụng từ T5/20
- HS 2,67 từ 01/5/2021</t>
        </r>
      </text>
    </comment>
    <comment ref="F96" authorId="2" shapeId="0" xr:uid="{00000000-0006-0000-0300-00006B000000}">
      <text>
        <r>
          <rPr>
            <b/>
            <sz val="9"/>
            <color indexed="81"/>
            <rFont val="Tahoma"/>
            <family val="2"/>
          </rPr>
          <t>user:</t>
        </r>
        <r>
          <rPr>
            <sz val="9"/>
            <color indexed="81"/>
            <rFont val="Tahoma"/>
            <family val="2"/>
          </rPr>
          <t xml:space="preserve">
- HS 1,989 từ 01/4/21 (Tuyển dụng)
- HS 2,34 từ 01/4/2022</t>
        </r>
      </text>
    </comment>
    <comment ref="F97" authorId="1" shapeId="0" xr:uid="{00000000-0006-0000-0300-00006C000000}">
      <text>
        <r>
          <rPr>
            <b/>
            <sz val="9"/>
            <color indexed="81"/>
            <rFont val="Tahoma"/>
            <family val="2"/>
          </rPr>
          <t>Admin:</t>
        </r>
        <r>
          <rPr>
            <sz val="9"/>
            <color indexed="81"/>
            <rFont val="Tahoma"/>
            <family val="2"/>
          </rPr>
          <t xml:space="preserve">
- HS 3,33 từ 01/9/2016
- HS 3,66 từ 01/9/2019
- HS 3,99 từ 01/9/2022</t>
        </r>
      </text>
    </comment>
    <comment ref="I97" authorId="4" shapeId="0" xr:uid="{00000000-0006-0000-03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xr:uid="{00000000-0006-0000-0300-00006E000000}">
      <text>
        <r>
          <rPr>
            <b/>
            <sz val="9"/>
            <color indexed="81"/>
            <rFont val="Tahoma"/>
            <family val="2"/>
          </rPr>
          <t>Quynh:</t>
        </r>
        <r>
          <rPr>
            <sz val="9"/>
            <color indexed="81"/>
            <rFont val="Tahoma"/>
            <family val="2"/>
          </rPr>
          <t xml:space="preserve">
- HS 2,67 từ 01/10/2018
- HS 3,00 từ 01/10/2021</t>
        </r>
      </text>
    </comment>
    <comment ref="F99" authorId="2" shapeId="0" xr:uid="{00000000-0006-0000-0300-00006F000000}">
      <text>
        <r>
          <rPr>
            <b/>
            <sz val="9"/>
            <color indexed="81"/>
            <rFont val="Tahoma"/>
            <family val="2"/>
          </rPr>
          <t>user:</t>
        </r>
        <r>
          <rPr>
            <sz val="9"/>
            <color indexed="81"/>
            <rFont val="Tahoma"/>
            <family val="2"/>
          </rPr>
          <t xml:space="preserve">
- HS 2,67 từ 01/10/2019
- HS 3,00 từ 01/10/2022</t>
        </r>
      </text>
    </comment>
    <comment ref="F100" authorId="1" shapeId="0" xr:uid="{00000000-0006-0000-0300-000070000000}">
      <text>
        <r>
          <rPr>
            <b/>
            <sz val="9"/>
            <color indexed="81"/>
            <rFont val="Tahoma"/>
            <family val="2"/>
          </rPr>
          <t>Admin:</t>
        </r>
        <r>
          <rPr>
            <sz val="9"/>
            <color indexed="81"/>
            <rFont val="Tahoma"/>
            <family val="2"/>
          </rPr>
          <t xml:space="preserve">
- HS 3,00 từ 01/12/2016
- HS 3,33 từ 01/12/2019
- HS 3,66 từ 01/12/2021</t>
        </r>
      </text>
    </comment>
    <comment ref="I100" authorId="4" shapeId="0" xr:uid="{00000000-0006-0000-03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xr:uid="{00000000-0006-0000-03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xr:uid="{00000000-0006-0000-0300-000073000000}">
      <text>
        <r>
          <rPr>
            <b/>
            <sz val="9"/>
            <color indexed="81"/>
            <rFont val="Tahoma"/>
            <family val="2"/>
          </rPr>
          <t>Admin:</t>
        </r>
        <r>
          <rPr>
            <sz val="9"/>
            <color indexed="81"/>
            <rFont val="Tahoma"/>
            <family val="2"/>
          </rPr>
          <t xml:space="preserve">
- HS 2,67 từ 01/9/2016
- HS 3,00 từ 01/9/2019
- HS 3,33 từ 01/9/2022</t>
        </r>
      </text>
    </comment>
    <comment ref="F103" authorId="4" shapeId="0" xr:uid="{00000000-0006-0000-0300-000074000000}">
      <text>
        <r>
          <rPr>
            <b/>
            <sz val="9"/>
            <color indexed="81"/>
            <rFont val="Tahoma"/>
            <family val="2"/>
          </rPr>
          <t>Quynh:</t>
        </r>
        <r>
          <rPr>
            <sz val="9"/>
            <color indexed="81"/>
            <rFont val="Tahoma"/>
            <family val="2"/>
          </rPr>
          <t xml:space="preserve">
- HS 2,67 từ 01/10/2018
- HS 3,00 từ 01/10/2021</t>
        </r>
      </text>
    </comment>
    <comment ref="F104" authorId="1" shapeId="0" xr:uid="{00000000-0006-0000-0300-000075000000}">
      <text>
        <r>
          <rPr>
            <b/>
            <sz val="9"/>
            <color indexed="81"/>
            <rFont val="Tahoma"/>
            <family val="2"/>
          </rPr>
          <t>Admin:</t>
        </r>
        <r>
          <rPr>
            <sz val="9"/>
            <color indexed="81"/>
            <rFont val="Tahoma"/>
            <family val="2"/>
          </rPr>
          <t xml:space="preserve">
- HS 3,00 từ 01/9/2016
- HS 3,33 từ 01/9/2019
- HS 3,66 từ 01/9/2022</t>
        </r>
      </text>
    </comment>
    <comment ref="F105" authorId="1" shapeId="0" xr:uid="{00000000-0006-0000-0300-00007600000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xr:uid="{00000000-0006-0000-0300-000077000000}">
      <text>
        <r>
          <rPr>
            <sz val="9"/>
            <color indexed="81"/>
            <rFont val="Tahoma"/>
            <family val="2"/>
          </rPr>
          <t>- HS 3,00  từ 01/01/2018
- HS 3,33 từ 01/01/2020 (NL trước hạn)
- HS 3,66 từ 01/01/2023</t>
        </r>
      </text>
    </comment>
    <comment ref="I106" authorId="4" shapeId="0" xr:uid="{00000000-0006-0000-0300-000078000000}">
      <text>
        <r>
          <rPr>
            <b/>
            <sz val="9"/>
            <color indexed="81"/>
            <rFont val="Tahoma"/>
            <family val="2"/>
          </rPr>
          <t>Quynh:</t>
        </r>
        <r>
          <rPr>
            <sz val="9"/>
            <color indexed="81"/>
            <rFont val="Tahoma"/>
            <family val="2"/>
          </rPr>
          <t xml:space="preserve">
- BN Trưởng BM Cơ sở ngành từ 01/1/2019</t>
        </r>
      </text>
    </comment>
    <comment ref="F107" authorId="2" shapeId="0" xr:uid="{00000000-0006-0000-03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xr:uid="{00000000-0006-0000-0300-00007A000000}">
      <text>
        <r>
          <rPr>
            <b/>
            <sz val="9"/>
            <color indexed="81"/>
            <rFont val="Tahoma"/>
            <family val="2"/>
          </rPr>
          <t>user:</t>
        </r>
        <r>
          <rPr>
            <sz val="9"/>
            <color indexed="81"/>
            <rFont val="Tahoma"/>
            <family val="2"/>
          </rPr>
          <t xml:space="preserve">
- HS 2,34 từ 01/5/2021
- HS 2,67 từ 01/5/2023 (NL trước hạn)</t>
        </r>
      </text>
    </comment>
    <comment ref="I108" authorId="3" shapeId="0" xr:uid="{00000000-0006-0000-0300-00007B000000}">
      <text>
        <r>
          <rPr>
            <b/>
            <sz val="9"/>
            <color indexed="81"/>
            <rFont val="Tahoma"/>
            <family val="2"/>
          </rPr>
          <t>Windows User:</t>
        </r>
        <r>
          <rPr>
            <sz val="9"/>
            <color indexed="81"/>
            <rFont val="Tahoma"/>
            <family val="2"/>
          </rPr>
          <t xml:space="preserve">
- BN Trưởng khoa DL-KS từ 01/12/2023</t>
        </r>
      </text>
    </comment>
    <comment ref="F109" authorId="7" shapeId="0" xr:uid="{00000000-0006-0000-0300-00007C000000}">
      <text>
        <r>
          <rPr>
            <b/>
            <sz val="9"/>
            <color indexed="81"/>
            <rFont val="Tahoma"/>
            <family val="2"/>
          </rPr>
          <t>huynh-panda:</t>
        </r>
        <r>
          <rPr>
            <sz val="9"/>
            <color indexed="81"/>
            <rFont val="Tahoma"/>
            <family val="2"/>
          </rPr>
          <t xml:space="preserve">
- HS 2,34 từ 01/05/2022</t>
        </r>
      </text>
    </comment>
    <comment ref="F110" authorId="7" shapeId="0" xr:uid="{00000000-0006-0000-0300-00007D000000}">
      <text>
        <r>
          <rPr>
            <b/>
            <sz val="9"/>
            <color indexed="81"/>
            <rFont val="Tahoma"/>
            <family val="2"/>
          </rPr>
          <t>huynh-panda:</t>
        </r>
        <r>
          <rPr>
            <sz val="9"/>
            <color indexed="81"/>
            <rFont val="Tahoma"/>
            <family val="2"/>
          </rPr>
          <t xml:space="preserve">
- TD từ 01/7/2022 (HS 1,989)
- HS 2,34 từ 01/7/2023</t>
        </r>
      </text>
    </comment>
    <comment ref="F111" authorId="7" shapeId="0" xr:uid="{00000000-0006-0000-0300-00007E000000}">
      <text>
        <r>
          <rPr>
            <b/>
            <sz val="9"/>
            <color indexed="81"/>
            <rFont val="Tahoma"/>
            <family val="2"/>
          </rPr>
          <t>huynh-panda:</t>
        </r>
        <r>
          <rPr>
            <sz val="9"/>
            <color indexed="81"/>
            <rFont val="Tahoma"/>
            <family val="2"/>
          </rPr>
          <t xml:space="preserve">
- TD từ 01/7/2022 (HS 1,989)
- HS 3,33 từ 01/3/2022
</t>
        </r>
      </text>
    </comment>
    <comment ref="B112" authorId="3" shapeId="0" xr:uid="{00000000-0006-0000-0300-00007F00000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xr:uid="{00000000-0006-0000-0300-000080000000}">
      <text>
        <r>
          <rPr>
            <b/>
            <sz val="9"/>
            <color indexed="81"/>
            <rFont val="Tahoma"/>
            <family val="2"/>
          </rPr>
          <t>Windows User:</t>
        </r>
        <r>
          <rPr>
            <sz val="9"/>
            <color indexed="81"/>
            <rFont val="Tahoma"/>
            <family val="2"/>
          </rPr>
          <t xml:space="preserve">
- HS 2,67 từ 01/10/2022
- HS 3,00 từ 01/11/2022</t>
        </r>
      </text>
    </comment>
    <comment ref="B114" authorId="3" shapeId="0" xr:uid="{00000000-0006-0000-0300-00008100000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xr:uid="{00000000-0006-0000-03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xr:uid="{00000000-0006-0000-0300-000083000000}">
      <text>
        <r>
          <rPr>
            <b/>
            <sz val="9"/>
            <color indexed="81"/>
            <rFont val="Tahoma"/>
            <family val="2"/>
          </rPr>
          <t>Admin:</t>
        </r>
        <r>
          <rPr>
            <sz val="9"/>
            <color indexed="81"/>
            <rFont val="Tahoma"/>
            <family val="2"/>
          </rPr>
          <t xml:space="preserve">
- HS 3,00 từ 01/9/2016
- HS 3,33 từ 01/9/2019
- HS 3,66 từ 01/9/2022</t>
        </r>
      </text>
    </comment>
    <comment ref="F117" authorId="1" shapeId="0" xr:uid="{00000000-0006-0000-0300-000084000000}">
      <text>
        <r>
          <rPr>
            <b/>
            <sz val="9"/>
            <color indexed="81"/>
            <rFont val="Tahoma"/>
            <family val="2"/>
          </rPr>
          <t>Admin:</t>
        </r>
        <r>
          <rPr>
            <sz val="9"/>
            <color indexed="81"/>
            <rFont val="Tahoma"/>
            <family val="2"/>
          </rPr>
          <t xml:space="preserve">
- HS 2,67 từ 01/9/2016
- HS 3,00 từ 01/9/2019
- HS 3,33 từ 01/9/2022</t>
        </r>
      </text>
    </comment>
    <comment ref="I117" authorId="1" shapeId="0" xr:uid="{00000000-0006-0000-03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xr:uid="{00000000-0006-0000-0300-000086000000}">
      <text>
        <r>
          <rPr>
            <b/>
            <sz val="9"/>
            <color indexed="81"/>
            <rFont val="Tahoma"/>
            <family val="2"/>
          </rPr>
          <t>Admin:</t>
        </r>
        <r>
          <rPr>
            <sz val="9"/>
            <color indexed="81"/>
            <rFont val="Tahoma"/>
            <family val="2"/>
          </rPr>
          <t xml:space="preserve">
- HS 2,67 từ 01/9/2016
- HS 3,00 từ 01/9/2019
- HS 3,33 từ 01/9/2022</t>
        </r>
      </text>
    </comment>
    <comment ref="F119" authorId="1" shapeId="0" xr:uid="{00000000-0006-0000-03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xr:uid="{00000000-0006-0000-0300-000088000000}">
      <text>
        <r>
          <rPr>
            <sz val="9"/>
            <color indexed="81"/>
            <rFont val="Tahoma"/>
            <family val="2"/>
          </rPr>
          <t>- HS 2,67 từ 01/12/2017
- HS 3,00 từ 01/12/2020
- HS 3,33 từ 01/12/2022 (NL trước hạn)</t>
        </r>
      </text>
    </comment>
    <comment ref="F121" authorId="0" shapeId="0" xr:uid="{00000000-0006-0000-03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xr:uid="{00000000-0006-0000-0300-00008A000000}">
      <text>
        <r>
          <rPr>
            <b/>
            <sz val="9"/>
            <color indexed="81"/>
            <rFont val="Tahoma"/>
            <family val="2"/>
          </rPr>
          <t>Windows User:</t>
        </r>
        <r>
          <rPr>
            <sz val="9"/>
            <color indexed="81"/>
            <rFont val="Tahoma"/>
            <family val="2"/>
          </rPr>
          <t xml:space="preserve">
- VK 5% từ 01/11/2023</t>
        </r>
      </text>
    </comment>
    <comment ref="F122" authorId="4" shapeId="0" xr:uid="{00000000-0006-0000-0300-00008B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3" authorId="2" shapeId="0" xr:uid="{00000000-0006-0000-0300-00008C000000}">
      <text>
        <r>
          <rPr>
            <b/>
            <sz val="9"/>
            <color indexed="81"/>
            <rFont val="Tahoma"/>
            <family val="2"/>
          </rPr>
          <t>user:</t>
        </r>
        <r>
          <rPr>
            <sz val="9"/>
            <color indexed="81"/>
            <rFont val="Tahoma"/>
            <family val="2"/>
          </rPr>
          <t xml:space="preserve">
- HS 2,67 từ 01/10/2019
- HS 3,00 từ 01/10/2022</t>
        </r>
      </text>
    </comment>
    <comment ref="F124" authorId="0" shapeId="0" xr:uid="{00000000-0006-0000-03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xr:uid="{00000000-0006-0000-0300-00008E000000}">
      <text>
        <r>
          <rPr>
            <b/>
            <sz val="9"/>
            <color indexed="81"/>
            <rFont val="Tahoma"/>
            <family val="2"/>
          </rPr>
          <t>user:</t>
        </r>
        <r>
          <rPr>
            <sz val="9"/>
            <color indexed="81"/>
            <rFont val="Tahoma"/>
            <family val="2"/>
          </rPr>
          <t xml:space="preserve">
- Trưởng TT Thư viện từ 01/9/2020</t>
        </r>
      </text>
    </comment>
    <comment ref="K124" authorId="1" shapeId="0" xr:uid="{00000000-0006-0000-03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xr:uid="{00000000-0006-0000-0300-000090000000}">
      <text>
        <r>
          <rPr>
            <b/>
            <sz val="9"/>
            <color indexed="81"/>
            <rFont val="Tahoma"/>
            <family val="2"/>
          </rPr>
          <t>Admin:</t>
        </r>
        <r>
          <rPr>
            <sz val="9"/>
            <color indexed="81"/>
            <rFont val="Tahoma"/>
            <family val="2"/>
          </rPr>
          <t xml:space="preserve">
- HS 4,65 từ 01/6/2016 (NL Trước hạn năm 2017)</t>
        </r>
      </text>
    </comment>
    <comment ref="G125" authorId="7" shapeId="0" xr:uid="{00000000-0006-0000-0300-000091000000}">
      <text>
        <r>
          <rPr>
            <b/>
            <sz val="9"/>
            <color indexed="81"/>
            <rFont val="Tahoma"/>
            <family val="2"/>
          </rPr>
          <t>Quynh-panda:</t>
        </r>
        <r>
          <rPr>
            <sz val="9"/>
            <color indexed="81"/>
            <rFont val="Tahoma"/>
            <family val="2"/>
          </rPr>
          <t xml:space="preserve">
- VK 5% từ 01/06/2022</t>
        </r>
      </text>
    </comment>
    <comment ref="F126" authorId="0" shapeId="0" xr:uid="{00000000-0006-0000-03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xr:uid="{00000000-0006-0000-0300-000093000000}">
      <text>
        <r>
          <rPr>
            <b/>
            <sz val="9"/>
            <color indexed="81"/>
            <rFont val="Tahoma"/>
            <family val="2"/>
          </rPr>
          <t>User:</t>
        </r>
        <r>
          <rPr>
            <sz val="9"/>
            <color indexed="81"/>
            <rFont val="Tahoma"/>
            <family val="2"/>
          </rPr>
          <t xml:space="preserve">
' HS 3,33 từ 01/9/15
- HS 3,66 từ 01/9/2018
- HS 3,99 từ 01/9/2021</t>
        </r>
      </text>
    </comment>
    <comment ref="F128" authorId="1" shapeId="0" xr:uid="{00000000-0006-0000-0300-000094000000}">
      <text>
        <r>
          <rPr>
            <b/>
            <sz val="9"/>
            <color indexed="81"/>
            <rFont val="Tahoma"/>
            <family val="2"/>
          </rPr>
          <t>Admin:</t>
        </r>
        <r>
          <rPr>
            <sz val="9"/>
            <color indexed="81"/>
            <rFont val="Tahoma"/>
            <family val="2"/>
          </rPr>
          <t xml:space="preserve">
- HS 3,00 từ 01/12/2016
- HS 3,33 từ 01/12/2019
- HS 3,66 từ 01/12/2022</t>
        </r>
      </text>
    </comment>
    <comment ref="F129" authorId="1" shapeId="0" xr:uid="{00000000-0006-0000-0300-000095000000}">
      <text>
        <r>
          <rPr>
            <b/>
            <sz val="9"/>
            <color indexed="81"/>
            <rFont val="Tahoma"/>
            <family val="2"/>
          </rPr>
          <t>Admin:</t>
        </r>
        <r>
          <rPr>
            <sz val="9"/>
            <color indexed="81"/>
            <rFont val="Tahoma"/>
            <family val="2"/>
          </rPr>
          <t xml:space="preserve">
- HS 3,99 từ 01/12/2015
- HS 4,32 từ 01/12/2018
- HS 4,65 từ 01/12/2021</t>
        </r>
      </text>
    </comment>
    <comment ref="F130" authorId="1" shapeId="0" xr:uid="{00000000-0006-0000-03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xr:uid="{00000000-0006-0000-0300-000097000000}">
      <text>
        <r>
          <rPr>
            <b/>
            <sz val="9"/>
            <color indexed="81"/>
            <rFont val="Tahoma"/>
            <family val="2"/>
          </rPr>
          <t>User:</t>
        </r>
        <r>
          <rPr>
            <sz val="9"/>
            <color indexed="81"/>
            <rFont val="Tahoma"/>
            <family val="2"/>
          </rPr>
          <t xml:space="preserve">
- HS 4,65 từ 01/9/2015
- HS 4,98 từ 01/9/17 (NL trước hạn)</t>
        </r>
      </text>
    </comment>
    <comment ref="G131" authorId="2" shapeId="0" xr:uid="{00000000-0006-0000-0300-000098000000}">
      <text>
        <r>
          <rPr>
            <b/>
            <sz val="9"/>
            <color indexed="81"/>
            <rFont val="Tahoma"/>
            <family val="2"/>
          </rPr>
          <t>user:</t>
        </r>
        <r>
          <rPr>
            <sz val="9"/>
            <color indexed="81"/>
            <rFont val="Tahoma"/>
            <family val="2"/>
          </rPr>
          <t xml:space="preserve">
- 5% từ 01/9/2020
- 6% từ 01/9/2021
- 7% từ 01/9/2022
- 8% từ 01/9/2023</t>
        </r>
      </text>
    </comment>
    <comment ref="F132" authorId="0" shapeId="0" xr:uid="{00000000-0006-0000-03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xr:uid="{00000000-0006-0000-0300-00009A000000}">
      <text>
        <r>
          <rPr>
            <b/>
            <sz val="9"/>
            <color indexed="81"/>
            <rFont val="Tahoma"/>
            <family val="2"/>
          </rPr>
          <t>Admin:</t>
        </r>
        <r>
          <rPr>
            <sz val="9"/>
            <color indexed="81"/>
            <rFont val="Tahoma"/>
            <family val="2"/>
          </rPr>
          <t xml:space="preserve">
- HS 3,00 từ 01/11/2016
- HS 3,33 từ 01/11/2019
- HS 3,66 từ 01/11/2022</t>
        </r>
      </text>
    </comment>
    <comment ref="F134" authorId="0" shapeId="0" xr:uid="{00000000-0006-0000-03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xr:uid="{00000000-0006-0000-0300-00009C000000}">
      <text>
        <r>
          <rPr>
            <b/>
            <sz val="9"/>
            <color indexed="81"/>
            <rFont val="Tahoma"/>
            <family val="2"/>
          </rPr>
          <t>Admin:</t>
        </r>
        <r>
          <rPr>
            <sz val="9"/>
            <color indexed="81"/>
            <rFont val="Tahoma"/>
            <family val="2"/>
          </rPr>
          <t xml:space="preserve">
- BN Phó TK từ 01/8/2018</t>
        </r>
      </text>
    </comment>
    <comment ref="F135" authorId="0" shapeId="0" xr:uid="{00000000-0006-0000-0300-00009D000000}">
      <text>
        <r>
          <rPr>
            <b/>
            <sz val="9"/>
            <color indexed="81"/>
            <rFont val="Tahoma"/>
            <family val="2"/>
          </rPr>
          <t>User:</t>
        </r>
        <r>
          <rPr>
            <sz val="9"/>
            <color indexed="81"/>
            <rFont val="Tahoma"/>
            <family val="2"/>
          </rPr>
          <t xml:space="preserve">
- HS 4,32 từ 01/9/2014
- HS 4,65 từ 01/9/2017
- HS 4,98 từ 01/9/2020</t>
        </r>
      </text>
    </comment>
    <comment ref="G135" authorId="3" shapeId="0" xr:uid="{00000000-0006-0000-0300-00009E000000}">
      <text>
        <r>
          <rPr>
            <b/>
            <sz val="9"/>
            <color indexed="81"/>
            <rFont val="Tahoma"/>
            <family val="2"/>
          </rPr>
          <t>Windows User:</t>
        </r>
        <r>
          <rPr>
            <sz val="9"/>
            <color indexed="81"/>
            <rFont val="Tahoma"/>
            <family val="2"/>
          </rPr>
          <t xml:space="preserve">
- VK 5% từ 01/9/2023</t>
        </r>
      </text>
    </comment>
    <comment ref="F136" authorId="0" shapeId="0" xr:uid="{00000000-0006-0000-03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xr:uid="{00000000-0006-0000-0300-0000A0000000}">
      <text>
        <r>
          <rPr>
            <b/>
            <sz val="9"/>
            <color indexed="81"/>
            <rFont val="Tahoma"/>
            <family val="2"/>
          </rPr>
          <t>Admin:</t>
        </r>
        <r>
          <rPr>
            <sz val="9"/>
            <color indexed="81"/>
            <rFont val="Tahoma"/>
            <family val="2"/>
          </rPr>
          <t xml:space="preserve">
- HS 3,00 từ 01/9/2016
- HS 3,33 từ 01/3/2020
- HS 3,66 từ 01/03/2023</t>
        </r>
      </text>
    </comment>
    <comment ref="F138" authorId="1" shapeId="0" xr:uid="{00000000-0006-0000-0300-0000A1000000}">
      <text>
        <r>
          <rPr>
            <b/>
            <sz val="9"/>
            <color indexed="81"/>
            <rFont val="Tahoma"/>
            <family val="2"/>
          </rPr>
          <t>Admin:</t>
        </r>
        <r>
          <rPr>
            <sz val="9"/>
            <color indexed="81"/>
            <rFont val="Tahoma"/>
            <family val="2"/>
          </rPr>
          <t xml:space="preserve">
- HS 2,67 từ 01/9/2017
- HS 3,00 từ 01/9/2020</t>
        </r>
      </text>
    </comment>
    <comment ref="F139" authorId="1" shapeId="0" xr:uid="{00000000-0006-0000-03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xr:uid="{00000000-0006-0000-0300-0000A3000000}">
      <text>
        <r>
          <rPr>
            <b/>
            <sz val="9"/>
            <color indexed="81"/>
            <rFont val="Tahoma"/>
            <family val="2"/>
          </rPr>
          <t>User:</t>
        </r>
        <r>
          <rPr>
            <sz val="9"/>
            <color indexed="81"/>
            <rFont val="Tahoma"/>
            <family val="2"/>
          </rPr>
          <t xml:space="preserve">
- HS 3,33 từ 01/9/2015
- HS 3,66 từ 01/9/2018
- HS 3,99 từ 01/9/2021</t>
        </r>
      </text>
    </comment>
    <comment ref="I140" authorId="1" shapeId="0" xr:uid="{00000000-0006-0000-0300-0000A4000000}">
      <text>
        <r>
          <rPr>
            <b/>
            <sz val="9"/>
            <color indexed="81"/>
            <rFont val="Tahoma"/>
            <family val="2"/>
          </rPr>
          <t>Admin:</t>
        </r>
        <r>
          <rPr>
            <sz val="9"/>
            <color indexed="81"/>
            <rFont val="Tahoma"/>
            <family val="2"/>
          </rPr>
          <t xml:space="preserve">
+ BN Tổ trưởng CM từ 03/5/2017</t>
        </r>
      </text>
    </comment>
    <comment ref="F141" authorId="1" shapeId="0" xr:uid="{00000000-0006-0000-0300-0000A5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2" authorId="8" shapeId="0" xr:uid="{00000000-0006-0000-0300-0000A6000000}">
      <text>
        <r>
          <rPr>
            <sz val="9"/>
            <color indexed="81"/>
            <rFont val="Tahoma"/>
            <family val="2"/>
          </rPr>
          <t>- HS 3,33 từ 01/3/2018
- HS 3,66 từ 01/3/2020 (NL trước hạn)
- HS 3,99 từ 01/3/2023</t>
        </r>
      </text>
    </comment>
    <comment ref="F143" authorId="0" shapeId="0" xr:uid="{00000000-0006-0000-03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xr:uid="{00000000-0006-0000-0300-0000A8000000}">
      <text>
        <r>
          <rPr>
            <b/>
            <sz val="9"/>
            <color indexed="81"/>
            <rFont val="Tahoma"/>
            <family val="2"/>
          </rPr>
          <t>Admin:</t>
        </r>
        <r>
          <rPr>
            <sz val="9"/>
            <color indexed="81"/>
            <rFont val="Tahoma"/>
            <family val="2"/>
          </rPr>
          <t xml:space="preserve">
- HS 3,66 từ 01/9/2016
- HS 3,99 từ 01/9/2019
- HS 4,32 từ 01/9/2022</t>
        </r>
      </text>
    </comment>
    <comment ref="F145" authorId="8" shapeId="0" xr:uid="{00000000-0006-0000-0300-0000A9000000}">
      <text>
        <r>
          <rPr>
            <sz val="9"/>
            <color indexed="81"/>
            <rFont val="Tahoma"/>
            <family val="2"/>
          </rPr>
          <t xml:space="preserve">- HS 3,99 từ 01/12/2017
- HS 4,32 từ 01/12/2020
- HS 4,65 từ 01/12/2023
</t>
        </r>
      </text>
    </comment>
    <comment ref="F146" authorId="1" shapeId="0" xr:uid="{00000000-0006-0000-0300-0000AA000000}">
      <text>
        <r>
          <rPr>
            <b/>
            <sz val="9"/>
            <color indexed="81"/>
            <rFont val="Tahoma"/>
            <family val="2"/>
          </rPr>
          <t>Admin:</t>
        </r>
        <r>
          <rPr>
            <sz val="9"/>
            <color indexed="81"/>
            <rFont val="Tahoma"/>
            <family val="2"/>
          </rPr>
          <t xml:space="preserve">
- HS 3,99 từ 01/9/2017
- HS 4,32 từ 01/9/2019
- HS 4,65 từ 01/9/2022</t>
        </r>
      </text>
    </comment>
    <comment ref="I146" authorId="2" shapeId="0" xr:uid="{00000000-0006-0000-0300-0000AB000000}">
      <text>
        <r>
          <rPr>
            <b/>
            <sz val="9"/>
            <color indexed="81"/>
            <rFont val="Tahoma"/>
            <family val="2"/>
          </rPr>
          <t>user:</t>
        </r>
        <r>
          <rPr>
            <sz val="9"/>
            <color indexed="81"/>
            <rFont val="Tahoma"/>
            <family val="2"/>
          </rPr>
          <t xml:space="preserve">
- Trưởng BM Cơ điện tử và tự động hóa từ 01/1/2020</t>
        </r>
      </text>
    </comment>
    <comment ref="F147" authorId="1" shapeId="0" xr:uid="{00000000-0006-0000-0300-0000AC000000}">
      <text>
        <r>
          <rPr>
            <b/>
            <sz val="9"/>
            <color indexed="81"/>
            <rFont val="Tahoma"/>
            <family val="2"/>
          </rPr>
          <t>Admin:</t>
        </r>
        <r>
          <rPr>
            <sz val="9"/>
            <color indexed="81"/>
            <rFont val="Tahoma"/>
            <family val="2"/>
          </rPr>
          <t xml:space="preserve">
- HS 3,99 từ 01/9/2017
- HS 4,32 từ 01/9/2020
- HS 4,65 từ 01/9/2023</t>
        </r>
      </text>
    </comment>
    <comment ref="F148" authorId="1" shapeId="0" xr:uid="{00000000-0006-0000-0300-0000AD000000}">
      <text>
        <r>
          <rPr>
            <b/>
            <sz val="9"/>
            <color indexed="81"/>
            <rFont val="Tahoma"/>
            <family val="2"/>
          </rPr>
          <t>Admin:</t>
        </r>
        <r>
          <rPr>
            <sz val="9"/>
            <color indexed="81"/>
            <rFont val="Tahoma"/>
            <family val="2"/>
          </rPr>
          <t xml:space="preserve">
- HS 3,33 từ 01/9/2017
- HS 3,66 từ 01/9/2020
- HS 3,99 từ 01/9/2023</t>
        </r>
      </text>
    </comment>
    <comment ref="F149" authorId="1" shapeId="0" xr:uid="{00000000-0006-0000-0300-0000AE000000}">
      <text>
        <r>
          <rPr>
            <b/>
            <sz val="9"/>
            <color indexed="81"/>
            <rFont val="Tahoma"/>
            <family val="2"/>
          </rPr>
          <t>Admin:</t>
        </r>
        <r>
          <rPr>
            <sz val="9"/>
            <color indexed="81"/>
            <rFont val="Tahoma"/>
            <family val="2"/>
          </rPr>
          <t xml:space="preserve">
- HS 4,32 từ 01/9/2016
- HS 4,65 từ 01/9/2019
- HS 4,98 từ 01/9/2022</t>
        </r>
      </text>
    </comment>
    <comment ref="F150" authorId="1" shapeId="0" xr:uid="{00000000-0006-0000-0300-0000AF000000}">
      <text>
        <r>
          <rPr>
            <b/>
            <sz val="9"/>
            <color indexed="81"/>
            <rFont val="Tahoma"/>
            <family val="2"/>
          </rPr>
          <t>Admin:</t>
        </r>
        <r>
          <rPr>
            <sz val="9"/>
            <color indexed="81"/>
            <rFont val="Tahoma"/>
            <family val="2"/>
          </rPr>
          <t xml:space="preserve">
- HS 3,33 từ 01/9/2017
- HS 3,66 từ 01/9/2020
- HS 3,99 từ 01/9/2023</t>
        </r>
      </text>
    </comment>
    <comment ref="I150" authorId="0" shapeId="0" xr:uid="{00000000-0006-0000-0300-0000B000000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xr:uid="{00000000-0006-0000-0300-0000B1000000}">
      <text>
        <r>
          <rPr>
            <sz val="9"/>
            <color indexed="81"/>
            <rFont val="Tahoma"/>
            <family val="2"/>
          </rPr>
          <t>- HS 3,00 từ 01/01/2018
- HS 3,33 từ 01/01/2023</t>
        </r>
      </text>
    </comment>
    <comment ref="I151" authorId="2" shapeId="0" xr:uid="{00000000-0006-0000-03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xr:uid="{00000000-0006-0000-0300-0000B3000000}">
      <text>
        <r>
          <rPr>
            <b/>
            <sz val="9"/>
            <color indexed="81"/>
            <rFont val="Tahoma"/>
            <family val="2"/>
          </rPr>
          <t>Admin:</t>
        </r>
        <r>
          <rPr>
            <sz val="9"/>
            <color indexed="81"/>
            <rFont val="Tahoma"/>
            <family val="2"/>
          </rPr>
          <t xml:space="preserve">
- HS 2,34 từ 01/09/2016
- HS 2,67 từ 01/9/2019
- HS 3,00 từ 0/09/2022</t>
        </r>
      </text>
    </comment>
    <comment ref="F153" authorId="2" shapeId="0" xr:uid="{00000000-0006-0000-0300-0000B4000000}">
      <text>
        <r>
          <rPr>
            <b/>
            <sz val="9"/>
            <color indexed="81"/>
            <rFont val="Tahoma"/>
            <family val="2"/>
          </rPr>
          <t>user:</t>
        </r>
        <r>
          <rPr>
            <sz val="9"/>
            <color indexed="81"/>
            <rFont val="Tahoma"/>
            <family val="2"/>
          </rPr>
          <t xml:space="preserve">
- Tuyển dụng từ 01/10/2020
- HS 2,34 từ 01/10/2021</t>
        </r>
      </text>
    </comment>
    <comment ref="F154" authorId="1" shapeId="0" xr:uid="{00000000-0006-0000-0300-0000B5000000}">
      <text>
        <r>
          <rPr>
            <b/>
            <sz val="9"/>
            <color indexed="81"/>
            <rFont val="Tahoma"/>
            <family val="2"/>
          </rPr>
          <t>Admin:</t>
        </r>
        <r>
          <rPr>
            <sz val="9"/>
            <color indexed="81"/>
            <rFont val="Tahoma"/>
            <family val="2"/>
          </rPr>
          <t xml:space="preserve">
- HS 2,34 từ 01/09/2016
- HS 2,67 từ 01/9/2019
- HS 3,00 từ 01/9/2022</t>
        </r>
      </text>
    </comment>
    <comment ref="F155" authorId="2" shapeId="0" xr:uid="{00000000-0006-0000-0300-0000B6000000}">
      <text>
        <r>
          <rPr>
            <b/>
            <sz val="9"/>
            <color indexed="81"/>
            <rFont val="Tahoma"/>
            <family val="2"/>
          </rPr>
          <t>user:</t>
        </r>
        <r>
          <rPr>
            <sz val="9"/>
            <color indexed="81"/>
            <rFont val="Tahoma"/>
            <family val="2"/>
          </rPr>
          <t xml:space="preserve">
- Tuyển dụng từ 01/5/20
- HS 2,34 từ 01/5/2021</t>
        </r>
      </text>
    </comment>
    <comment ref="F159" authorId="0" shapeId="0" xr:uid="{00000000-0006-0000-03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xr:uid="{00000000-0006-0000-0300-0000B8000000}">
      <text>
        <r>
          <rPr>
            <b/>
            <sz val="9"/>
            <color indexed="81"/>
            <rFont val="Tahoma"/>
            <family val="2"/>
          </rPr>
          <t>User:</t>
        </r>
        <r>
          <rPr>
            <sz val="9"/>
            <color indexed="81"/>
            <rFont val="Tahoma"/>
            <family val="2"/>
          </rPr>
          <t xml:space="preserve">
HS 0,35 hưởng từ 01/7/2015
</t>
        </r>
      </text>
    </comment>
    <comment ref="F160" authorId="1" shapeId="0" xr:uid="{00000000-0006-0000-03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xr:uid="{00000000-0006-0000-03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xr:uid="{00000000-0006-0000-03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xr:uid="{00000000-0006-0000-0300-0000BC000000}">
      <text>
        <r>
          <rPr>
            <b/>
            <sz val="9"/>
            <color indexed="81"/>
            <rFont val="Tahoma"/>
            <family val="2"/>
          </rPr>
          <t>user:</t>
        </r>
        <r>
          <rPr>
            <sz val="9"/>
            <color indexed="81"/>
            <rFont val="Tahoma"/>
            <family val="2"/>
          </rPr>
          <t xml:space="preserve">
- QĐ BN Trưởng BM GDCT từ 01/4/2021</t>
        </r>
      </text>
    </comment>
    <comment ref="F162" authorId="0" shapeId="0" xr:uid="{00000000-0006-0000-03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xr:uid="{00000000-0006-0000-0300-0000BE000000}">
      <text>
        <r>
          <rPr>
            <b/>
            <sz val="9"/>
            <color indexed="81"/>
            <rFont val="Tahoma"/>
            <family val="2"/>
          </rPr>
          <t>Admin:</t>
        </r>
        <r>
          <rPr>
            <sz val="9"/>
            <color indexed="81"/>
            <rFont val="Tahoma"/>
            <family val="2"/>
          </rPr>
          <t xml:space="preserve">
- HS 3,99 từ 01/9/2017
- HS 4,32 từ 01/9/2020
- HS 4,65 từ 01/9/2023</t>
        </r>
      </text>
    </comment>
    <comment ref="F164" authorId="0" shapeId="0" xr:uid="{00000000-0006-0000-0300-0000BF000000}">
      <text>
        <r>
          <rPr>
            <b/>
            <sz val="9"/>
            <color indexed="81"/>
            <rFont val="Tahoma"/>
            <family val="2"/>
          </rPr>
          <t>User:</t>
        </r>
        <r>
          <rPr>
            <sz val="9"/>
            <color indexed="81"/>
            <rFont val="Tahoma"/>
            <family val="2"/>
          </rPr>
          <t xml:space="preserve">
- HS 3,00 từ 01/09/2015
- HS 3,33 từ 01/9/2018
- HS 3,66 từ 01/9/2021</t>
        </r>
      </text>
    </comment>
    <comment ref="F165" authorId="0" shapeId="0" xr:uid="{00000000-0006-0000-0300-0000C0000000}">
      <text>
        <r>
          <rPr>
            <b/>
            <sz val="9"/>
            <color indexed="81"/>
            <rFont val="Tahoma"/>
            <family val="2"/>
          </rPr>
          <t>User:</t>
        </r>
        <r>
          <rPr>
            <sz val="9"/>
            <color indexed="81"/>
            <rFont val="Tahoma"/>
            <family val="2"/>
          </rPr>
          <t xml:space="preserve">
- HS 3,66 từ 01/9/2015
- HS 3,99 từ 01/9/2018
- HS 4,32 từ 01/9/2021
</t>
        </r>
      </text>
    </comment>
    <comment ref="F166" authorId="0" shapeId="0" xr:uid="{00000000-0006-0000-03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xr:uid="{00000000-0006-0000-0300-0000C2000000}">
      <text>
        <r>
          <rPr>
            <b/>
            <sz val="9"/>
            <color indexed="81"/>
            <rFont val="Tahoma"/>
            <family val="2"/>
          </rPr>
          <t>User:</t>
        </r>
        <r>
          <rPr>
            <sz val="9"/>
            <color indexed="81"/>
            <rFont val="Tahoma"/>
            <family val="2"/>
          </rPr>
          <t xml:space="preserve">
- HS 3,00 từ 01/9/2015
- HS 3,33 từ 01/9/2018
- HS 3,66 từ 01/9/2021</t>
        </r>
      </text>
    </comment>
    <comment ref="F168" authorId="0" shapeId="0" xr:uid="{00000000-0006-0000-0300-0000C3000000}">
      <text>
        <r>
          <rPr>
            <b/>
            <sz val="9"/>
            <color indexed="81"/>
            <rFont val="Tahoma"/>
            <family val="2"/>
          </rPr>
          <t>User:</t>
        </r>
        <r>
          <rPr>
            <sz val="9"/>
            <color indexed="81"/>
            <rFont val="Tahoma"/>
            <family val="2"/>
          </rPr>
          <t xml:space="preserve">
- HS 3,00 từ 1/9/2015
- HS 3,33 từ 01/9/2018
- HS 3,66 từ 01/9/2021</t>
        </r>
      </text>
    </comment>
    <comment ref="F169" authorId="1" shapeId="0" xr:uid="{00000000-0006-0000-0300-0000C4000000}">
      <text>
        <r>
          <rPr>
            <b/>
            <sz val="9"/>
            <color indexed="81"/>
            <rFont val="Tahoma"/>
            <family val="2"/>
          </rPr>
          <t>Admin:</t>
        </r>
        <r>
          <rPr>
            <sz val="9"/>
            <color indexed="81"/>
            <rFont val="Tahoma"/>
            <family val="2"/>
          </rPr>
          <t xml:space="preserve">
- HS 3,00 từ 01/9/2015
- HS 3,33 từ 01/9/2018
- HS 3,66 từ 01/9/2021</t>
        </r>
      </text>
    </comment>
    <comment ref="F170" authorId="0" shapeId="0" xr:uid="{00000000-0006-0000-03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xr:uid="{00000000-0006-0000-03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xr:uid="{00000000-0006-0000-0300-0000C7000000}">
      <text>
        <r>
          <rPr>
            <b/>
            <sz val="9"/>
            <color indexed="81"/>
            <rFont val="Tahoma"/>
            <family val="2"/>
          </rPr>
          <t>Admin:</t>
        </r>
        <r>
          <rPr>
            <sz val="9"/>
            <color indexed="81"/>
            <rFont val="Tahoma"/>
            <family val="2"/>
          </rPr>
          <t xml:space="preserve">
- HS 3,00 từ 01/03/2017
- HS 3,33 từ 01/03/2020
- HS 3,66 từ 01/03/2023</t>
        </r>
      </text>
    </comment>
    <comment ref="F173" authorId="1" shapeId="0" xr:uid="{00000000-0006-0000-0300-0000C8000000}">
      <text>
        <r>
          <rPr>
            <b/>
            <sz val="9"/>
            <color indexed="81"/>
            <rFont val="Tahoma"/>
            <family val="2"/>
          </rPr>
          <t>Admin:</t>
        </r>
        <r>
          <rPr>
            <sz val="9"/>
            <color indexed="81"/>
            <rFont val="Tahoma"/>
            <family val="2"/>
          </rPr>
          <t xml:space="preserve">
- HS 2,67 từ 01/9/2017
- HS 3,00 từ 01/9/2020
- HS 3,33 từ 01/9/2023</t>
        </r>
      </text>
    </comment>
    <comment ref="F174" authorId="1" shapeId="0" xr:uid="{00000000-0006-0000-0300-0000C9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5" authorId="1" shapeId="0" xr:uid="{00000000-0006-0000-0300-0000CA000000}">
      <text>
        <r>
          <rPr>
            <b/>
            <sz val="9"/>
            <color indexed="81"/>
            <rFont val="Tahoma"/>
            <family val="2"/>
          </rPr>
          <t>Admin:</t>
        </r>
        <r>
          <rPr>
            <sz val="9"/>
            <color indexed="81"/>
            <rFont val="Tahoma"/>
            <family val="2"/>
          </rPr>
          <t xml:space="preserve">
- 3,33 từ 01/9/2017
- 3,66 từ 01/9/2020
- 3,99 từ 01/9/2023</t>
        </r>
      </text>
    </comment>
    <comment ref="I175" authorId="0" shapeId="0" xr:uid="{00000000-0006-0000-0300-0000CB000000}">
      <text>
        <r>
          <rPr>
            <b/>
            <sz val="9"/>
            <color indexed="81"/>
            <rFont val="Tahoma"/>
            <family val="2"/>
          </rPr>
          <t>User:</t>
        </r>
        <r>
          <rPr>
            <sz val="9"/>
            <color indexed="81"/>
            <rFont val="Tahoma"/>
            <family val="2"/>
          </rPr>
          <t xml:space="preserve">
Miễn nhiệm Trưởng bộ môn từ 01/9/2015</t>
        </r>
      </text>
    </comment>
    <comment ref="F176" authorId="1" shapeId="0" xr:uid="{00000000-0006-0000-0300-0000CC000000}">
      <text>
        <r>
          <rPr>
            <b/>
            <sz val="9"/>
            <color indexed="81"/>
            <rFont val="Tahoma"/>
            <family val="2"/>
          </rPr>
          <t>Admin:</t>
        </r>
        <r>
          <rPr>
            <sz val="9"/>
            <color indexed="81"/>
            <rFont val="Tahoma"/>
            <family val="2"/>
          </rPr>
          <t xml:space="preserve">
- HS 3,33 từ 01/9/2016
- HS 3,66 từ 01/9/2019
- HS 3,99 từ 01/9/2022</t>
        </r>
      </text>
    </comment>
    <comment ref="I176" authorId="0" shapeId="0" xr:uid="{00000000-0006-0000-0300-0000CD000000}">
      <text>
        <r>
          <rPr>
            <b/>
            <sz val="9"/>
            <color indexed="81"/>
            <rFont val="Tahoma"/>
            <family val="2"/>
          </rPr>
          <t>User:</t>
        </r>
        <r>
          <rPr>
            <sz val="9"/>
            <color indexed="81"/>
            <rFont val="Tahoma"/>
            <family val="2"/>
          </rPr>
          <t xml:space="preserve">
Miễn nhiệm Trưởng BM từ 01/9/15
</t>
        </r>
      </text>
    </comment>
    <comment ref="F177" authorId="0" shapeId="0" xr:uid="{00000000-0006-0000-0300-0000CE000000}">
      <text>
        <r>
          <rPr>
            <b/>
            <sz val="9"/>
            <color indexed="81"/>
            <rFont val="Tahoma"/>
            <family val="2"/>
          </rPr>
          <t>User:</t>
        </r>
        <r>
          <rPr>
            <sz val="9"/>
            <color indexed="81"/>
            <rFont val="Tahoma"/>
            <family val="2"/>
          </rPr>
          <t xml:space="preserve">
- HS 3,00 từ 01/9/2015
- HS 3,33 từ 01/9/2018
- HS 3,66 từ 01/9/2021</t>
        </r>
      </text>
    </comment>
    <comment ref="F178" authorId="0" shapeId="0" xr:uid="{00000000-0006-0000-0300-0000CF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8" authorId="0" shapeId="0" xr:uid="{00000000-0006-0000-0300-0000D0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8" authorId="1" shapeId="0" xr:uid="{00000000-0006-0000-0300-0000D1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79" authorId="8" shapeId="0" xr:uid="{00000000-0006-0000-0300-0000D2000000}">
      <text>
        <r>
          <rPr>
            <sz val="9"/>
            <color indexed="81"/>
            <rFont val="Tahoma"/>
            <family val="2"/>
          </rPr>
          <t xml:space="preserve">- HS 3,33 từ 01/12/2017
- HS 3,66 từ 01/12/2020
- HS 3,99 từ 01/12/2023
</t>
        </r>
      </text>
    </comment>
    <comment ref="F180" authorId="0" shapeId="0" xr:uid="{00000000-0006-0000-0300-0000D3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0" authorId="0" shapeId="0" xr:uid="{00000000-0006-0000-0300-0000D4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1" authorId="0" shapeId="0" xr:uid="{00000000-0006-0000-0300-0000D5000000}">
      <text>
        <r>
          <rPr>
            <b/>
            <sz val="9"/>
            <color indexed="81"/>
            <rFont val="Tahoma"/>
            <family val="2"/>
          </rPr>
          <t>User:</t>
        </r>
        <r>
          <rPr>
            <sz val="9"/>
            <color indexed="81"/>
            <rFont val="Tahoma"/>
            <family val="2"/>
          </rPr>
          <t xml:space="preserve">
- HS 3,00 từ 01/9/2015
- HS 3,33 từ 01/9/2018
- HS 3,66 từ 01/9/2021</t>
        </r>
      </text>
    </comment>
    <comment ref="F182" authorId="0" shapeId="0" xr:uid="{00000000-0006-0000-0300-0000D6000000}">
      <text>
        <r>
          <rPr>
            <b/>
            <sz val="9"/>
            <color indexed="81"/>
            <rFont val="Tahoma"/>
            <family val="2"/>
          </rPr>
          <t>User:</t>
        </r>
        <r>
          <rPr>
            <sz val="9"/>
            <color indexed="81"/>
            <rFont val="Tahoma"/>
            <family val="2"/>
          </rPr>
          <t xml:space="preserve">
- HS 3,00 từ 01/9/2015
- HS 3,33 từ 01/9/2018
- HS 3,66 từ 01/9/2021</t>
        </r>
      </text>
    </comment>
    <comment ref="F183" authorId="0" shapeId="0" xr:uid="{00000000-0006-0000-0300-0000D7000000}">
      <text>
        <r>
          <rPr>
            <b/>
            <sz val="9"/>
            <color indexed="81"/>
            <rFont val="Tahoma"/>
            <family val="2"/>
          </rPr>
          <t>User:</t>
        </r>
        <r>
          <rPr>
            <sz val="9"/>
            <color indexed="81"/>
            <rFont val="Tahoma"/>
            <family val="2"/>
          </rPr>
          <t xml:space="preserve">
- HS 3,00 từ 01/10/2015
- HS 3,33 từ 01/10/2018
- HS 3,66 từ 01/10/2021
</t>
        </r>
      </text>
    </comment>
    <comment ref="F184" authorId="1" shapeId="0" xr:uid="{00000000-0006-0000-0300-0000D8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4" authorId="0" shapeId="0" xr:uid="{00000000-0006-0000-0300-0000D9000000}">
      <text>
        <r>
          <rPr>
            <b/>
            <sz val="9"/>
            <color indexed="81"/>
            <rFont val="Tahoma"/>
            <family val="2"/>
          </rPr>
          <t>User:</t>
        </r>
        <r>
          <rPr>
            <sz val="9"/>
            <color indexed="81"/>
            <rFont val="Tahoma"/>
            <family val="2"/>
          </rPr>
          <t xml:space="preserve">
BN Trưởng BM MẠng Máy tính từ 01/9/2015
- Phó khoa CNTT từ T10/2022</t>
        </r>
      </text>
    </comment>
    <comment ref="F185" authorId="4" shapeId="0" xr:uid="{00000000-0006-0000-0300-0000DA000000}">
      <text>
        <r>
          <rPr>
            <b/>
            <sz val="9"/>
            <color indexed="81"/>
            <rFont val="Tahoma"/>
            <family val="2"/>
          </rPr>
          <t>Quynh:</t>
        </r>
        <r>
          <rPr>
            <sz val="9"/>
            <color indexed="81"/>
            <rFont val="Tahoma"/>
            <family val="2"/>
          </rPr>
          <t xml:space="preserve">
- HS 3,00 từ 01/5/2018
- HS 3,33 từ 01/5/2021</t>
        </r>
      </text>
    </comment>
    <comment ref="F186" authorId="1" shapeId="0" xr:uid="{00000000-0006-0000-0300-0000DB000000}">
      <text>
        <r>
          <rPr>
            <b/>
            <sz val="9"/>
            <color indexed="81"/>
            <rFont val="Tahoma"/>
            <family val="2"/>
          </rPr>
          <t>Admin:</t>
        </r>
        <r>
          <rPr>
            <sz val="9"/>
            <color indexed="81"/>
            <rFont val="Tahoma"/>
            <family val="2"/>
          </rPr>
          <t xml:space="preserve">
- 3,33 từ 01/10/2016
- 3,66 từ 01/10/2019
- 3,99 từ 01/10/2021 (NL trước hạn)</t>
        </r>
      </text>
    </comment>
    <comment ref="I186" authorId="7" shapeId="0" xr:uid="{00000000-0006-0000-0300-0000DC000000}">
      <text>
        <r>
          <rPr>
            <b/>
            <sz val="9"/>
            <color indexed="81"/>
            <rFont val="Tahoma"/>
            <family val="2"/>
          </rPr>
          <t>huynh-panda:</t>
        </r>
        <r>
          <rPr>
            <sz val="9"/>
            <color indexed="81"/>
            <rFont val="Tahoma"/>
            <family val="2"/>
          </rPr>
          <t xml:space="preserve">
Phụ trách BM Khoa học máy tính từ 06/7/2022</t>
        </r>
      </text>
    </comment>
    <comment ref="F187" authorId="1" shapeId="0" xr:uid="{00000000-0006-0000-0300-0000DD000000}">
      <text>
        <r>
          <rPr>
            <b/>
            <sz val="9"/>
            <color indexed="81"/>
            <rFont val="Tahoma"/>
            <family val="2"/>
          </rPr>
          <t>Admin:</t>
        </r>
        <r>
          <rPr>
            <sz val="9"/>
            <color indexed="81"/>
            <rFont val="Tahoma"/>
            <family val="2"/>
          </rPr>
          <t xml:space="preserve">
- HS 2,67 từ 01/9/2016
- HS 3,00 từ 01/9/2019
- HS 3,33 từ 01/9/2021 (NL trước hạn)</t>
        </r>
      </text>
    </comment>
    <comment ref="F188" authorId="1" shapeId="0" xr:uid="{00000000-0006-0000-0300-0000DE000000}">
      <text>
        <r>
          <rPr>
            <b/>
            <sz val="9"/>
            <color indexed="81"/>
            <rFont val="Tahoma"/>
            <family val="2"/>
          </rPr>
          <t>Admin:</t>
        </r>
        <r>
          <rPr>
            <sz val="9"/>
            <color indexed="81"/>
            <rFont val="Tahoma"/>
            <family val="2"/>
          </rPr>
          <t xml:space="preserve">
- HS 3,33 từ 01/9/2016
- HS 3,66 từ 01/9/2018 (NL trước hạn)
- HS 3,99 từ 01/9/2021</t>
        </r>
      </text>
    </comment>
    <comment ref="I188" authorId="0" shapeId="0" xr:uid="{00000000-0006-0000-0300-0000DF000000}">
      <text>
        <r>
          <rPr>
            <b/>
            <sz val="9"/>
            <color indexed="81"/>
            <rFont val="Tahoma"/>
            <family val="2"/>
          </rPr>
          <t>User:</t>
        </r>
        <r>
          <rPr>
            <sz val="9"/>
            <color indexed="81"/>
            <rFont val="Tahoma"/>
            <family val="2"/>
          </rPr>
          <t xml:space="preserve">
+ HS 0,45 được bảo lưu đến hết 31/12/2015</t>
        </r>
      </text>
    </comment>
    <comment ref="F189" authorId="1" shapeId="0" xr:uid="{00000000-0006-0000-0300-0000E0000000}">
      <text>
        <r>
          <rPr>
            <b/>
            <sz val="9"/>
            <color indexed="81"/>
            <rFont val="Tahoma"/>
            <family val="2"/>
          </rPr>
          <t>Admin:</t>
        </r>
        <r>
          <rPr>
            <sz val="9"/>
            <color indexed="81"/>
            <rFont val="Tahoma"/>
            <family val="2"/>
          </rPr>
          <t xml:space="preserve">
- 3,00 từ 01/9/2016
- HS 3,33 từ 01/9/2019
- HS 3,66 từ 01/9/2021 (NL trước hạn)</t>
        </r>
      </text>
    </comment>
    <comment ref="K189" authorId="2" shapeId="0" xr:uid="{00000000-0006-0000-0300-0000E1000000}">
      <text>
        <r>
          <rPr>
            <b/>
            <sz val="9"/>
            <color indexed="81"/>
            <rFont val="Tahoma"/>
            <family val="2"/>
          </rPr>
          <t>user:</t>
        </r>
        <r>
          <rPr>
            <sz val="9"/>
            <color indexed="81"/>
            <rFont val="Tahoma"/>
            <family val="2"/>
          </rPr>
          <t xml:space="preserve">
- Bảo lưu HS PCCV đến hết 31/3/2020</t>
        </r>
      </text>
    </comment>
    <comment ref="F190" authorId="1" shapeId="0" xr:uid="{00000000-0006-0000-0300-0000E2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0" authorId="7" shapeId="0" xr:uid="{00000000-0006-0000-0300-0000E3000000}">
      <text>
        <r>
          <rPr>
            <b/>
            <sz val="9"/>
            <color indexed="81"/>
            <rFont val="Tahoma"/>
            <family val="2"/>
          </rPr>
          <t>huynh-panda:</t>
        </r>
        <r>
          <rPr>
            <sz val="9"/>
            <color indexed="81"/>
            <rFont val="Tahoma"/>
            <family val="2"/>
          </rPr>
          <t xml:space="preserve">
- Phụ trách BM Công nghệ phần mềm từ 05/7/2022</t>
        </r>
      </text>
    </comment>
    <comment ref="F191" authorId="1" shapeId="0" xr:uid="{00000000-0006-0000-0300-0000E4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4" authorId="1" shapeId="0" xr:uid="{00000000-0006-0000-0300-0000E5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4" authorId="0" shapeId="0" xr:uid="{00000000-0006-0000-0300-0000E6000000}">
      <text>
        <r>
          <rPr>
            <b/>
            <sz val="9"/>
            <color indexed="81"/>
            <rFont val="Tahoma"/>
            <family val="2"/>
          </rPr>
          <t>User:</t>
        </r>
        <r>
          <rPr>
            <sz val="9"/>
            <color indexed="81"/>
            <rFont val="Tahoma"/>
            <family val="2"/>
          </rPr>
          <t xml:space="preserve">
- QĐ Bổ nhiệm trưởng khoa từ 01/2/2016</t>
        </r>
      </text>
    </comment>
    <comment ref="F195" authorId="1" shapeId="0" xr:uid="{00000000-0006-0000-0300-0000E7000000}">
      <text>
        <r>
          <rPr>
            <b/>
            <sz val="9"/>
            <color indexed="81"/>
            <rFont val="Tahoma"/>
            <family val="2"/>
          </rPr>
          <t>Admin:</t>
        </r>
        <r>
          <rPr>
            <sz val="9"/>
            <color indexed="81"/>
            <rFont val="Tahoma"/>
            <family val="2"/>
          </rPr>
          <t xml:space="preserve">
- HS 4,65 từ 01/12/2015
- HS 4,98 từ 01/12/2018</t>
        </r>
      </text>
    </comment>
    <comment ref="G195" authorId="2" shapeId="0" xr:uid="{00000000-0006-0000-0300-0000E8000000}">
      <text>
        <r>
          <rPr>
            <b/>
            <sz val="9"/>
            <color indexed="81"/>
            <rFont val="Tahoma"/>
            <family val="2"/>
          </rPr>
          <t>user:</t>
        </r>
        <r>
          <rPr>
            <sz val="9"/>
            <color indexed="81"/>
            <rFont val="Tahoma"/>
            <family val="2"/>
          </rPr>
          <t xml:space="preserve">
- VK 5% từ 01/12/2021
- VK 6% từ 01/12/2022
- VK 7% từ 01/12/2023</t>
        </r>
      </text>
    </comment>
    <comment ref="F196" authorId="1" shapeId="0" xr:uid="{00000000-0006-0000-0300-0000E9000000}">
      <text>
        <r>
          <rPr>
            <b/>
            <sz val="9"/>
            <color indexed="81"/>
            <rFont val="Tahoma"/>
            <family val="2"/>
          </rPr>
          <t>Admin:</t>
        </r>
        <r>
          <rPr>
            <sz val="9"/>
            <color indexed="81"/>
            <rFont val="Tahoma"/>
            <family val="2"/>
          </rPr>
          <t xml:space="preserve">
- HS 4,65 từ 01/9/2015
- HS 4,98 từ 01/9/2018</t>
        </r>
      </text>
    </comment>
    <comment ref="G196" authorId="2" shapeId="0" xr:uid="{00000000-0006-0000-0300-0000EA000000}">
      <text>
        <r>
          <rPr>
            <b/>
            <sz val="9"/>
            <color indexed="81"/>
            <rFont val="Tahoma"/>
            <family val="2"/>
          </rPr>
          <t>user:</t>
        </r>
        <r>
          <rPr>
            <sz val="9"/>
            <color indexed="81"/>
            <rFont val="Tahoma"/>
            <family val="2"/>
          </rPr>
          <t xml:space="preserve">
- VK 5% từ 01/9/2021
- VK 6% từ 01/9/2022
- VK 7% từ 01/9/2023</t>
        </r>
      </text>
    </comment>
    <comment ref="F197" authorId="1" shapeId="0" xr:uid="{00000000-0006-0000-0300-0000EB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8" authorId="0" shapeId="0" xr:uid="{00000000-0006-0000-0300-0000EC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9" authorId="1" shapeId="0" xr:uid="{00000000-0006-0000-0300-0000ED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9" authorId="1" shapeId="0" xr:uid="{00000000-0006-0000-0300-0000EE000000}">
      <text>
        <r>
          <rPr>
            <b/>
            <sz val="9"/>
            <color indexed="81"/>
            <rFont val="Tahoma"/>
            <family val="2"/>
          </rPr>
          <t>Admin:</t>
        </r>
        <r>
          <rPr>
            <sz val="9"/>
            <color indexed="81"/>
            <rFont val="Tahoma"/>
            <family val="2"/>
          </rPr>
          <t xml:space="preserve">
QĐ BN Trưởng BM từ 15/5/2016
</t>
        </r>
      </text>
    </comment>
    <comment ref="F200" authorId="1" shapeId="0" xr:uid="{00000000-0006-0000-0300-0000EF000000}">
      <text>
        <r>
          <rPr>
            <b/>
            <sz val="9"/>
            <color indexed="81"/>
            <rFont val="Tahoma"/>
            <family val="2"/>
          </rPr>
          <t>Admin:</t>
        </r>
        <r>
          <rPr>
            <sz val="9"/>
            <color indexed="81"/>
            <rFont val="Tahoma"/>
            <family val="2"/>
          </rPr>
          <t xml:space="preserve">
- HS 4,65 từ 01/9/2016 (NL Trước hạn năm 2017)
- HS 4,98 từ 01/9/2019</t>
        </r>
      </text>
    </comment>
    <comment ref="G200" authorId="7" shapeId="0" xr:uid="{00000000-0006-0000-0300-0000F0000000}">
      <text>
        <r>
          <rPr>
            <b/>
            <sz val="9"/>
            <color indexed="81"/>
            <rFont val="Tahoma"/>
            <family val="2"/>
          </rPr>
          <t>huynh-panda:</t>
        </r>
        <r>
          <rPr>
            <sz val="9"/>
            <color indexed="81"/>
            <rFont val="Tahoma"/>
            <family val="2"/>
          </rPr>
          <t xml:space="preserve">
- VK 5% từ 01/9/2022
- VK 6% từ 01/9/2023</t>
        </r>
      </text>
    </comment>
    <comment ref="I200" authorId="1" shapeId="0" xr:uid="{00000000-0006-0000-0300-0000F1000000}">
      <text>
        <r>
          <rPr>
            <sz val="9"/>
            <color indexed="81"/>
            <rFont val="Tahoma"/>
            <family val="2"/>
          </rPr>
          <t>QĐ phụ trách từ 01/12/2017</t>
        </r>
      </text>
    </comment>
    <comment ref="F201" authorId="1" shapeId="0" xr:uid="{00000000-0006-0000-0300-0000F2000000}">
      <text>
        <r>
          <rPr>
            <b/>
            <sz val="9"/>
            <color indexed="81"/>
            <rFont val="Tahoma"/>
            <family val="2"/>
          </rPr>
          <t>Admin:</t>
        </r>
        <r>
          <rPr>
            <sz val="9"/>
            <color indexed="81"/>
            <rFont val="Tahoma"/>
            <family val="2"/>
          </rPr>
          <t xml:space="preserve">
- HS 3,33 từ 01/9/2017
- HS 3,66 từ 01/9/2020
- HS 3,99 từ 01/9/2023</t>
        </r>
      </text>
    </comment>
    <comment ref="F202" authorId="1" shapeId="0" xr:uid="{00000000-0006-0000-0300-0000F3000000}">
      <text>
        <r>
          <rPr>
            <b/>
            <sz val="9"/>
            <color indexed="81"/>
            <rFont val="Tahoma"/>
            <family val="2"/>
          </rPr>
          <t>Admin:</t>
        </r>
        <r>
          <rPr>
            <sz val="9"/>
            <color indexed="81"/>
            <rFont val="Tahoma"/>
            <family val="2"/>
          </rPr>
          <t xml:space="preserve">
- HS 4,65 từ 01/9/2017
- HS 4,98 từ 01/9/2020</t>
        </r>
      </text>
    </comment>
    <comment ref="G202" authorId="3" shapeId="0" xr:uid="{00000000-0006-0000-0300-0000F4000000}">
      <text>
        <r>
          <rPr>
            <b/>
            <sz val="9"/>
            <color indexed="81"/>
            <rFont val="Tahoma"/>
            <family val="2"/>
          </rPr>
          <t>Windows User:</t>
        </r>
        <r>
          <rPr>
            <sz val="9"/>
            <color indexed="81"/>
            <rFont val="Tahoma"/>
            <family val="2"/>
          </rPr>
          <t xml:space="preserve">
- VK 5% từ 01/9/2023</t>
        </r>
      </text>
    </comment>
    <comment ref="F203" authorId="0" shapeId="0" xr:uid="{00000000-0006-0000-0300-0000F5000000}">
      <text>
        <r>
          <rPr>
            <b/>
            <sz val="9"/>
            <color indexed="81"/>
            <rFont val="Tahoma"/>
            <family val="2"/>
          </rPr>
          <t>User:</t>
        </r>
        <r>
          <rPr>
            <sz val="9"/>
            <color indexed="81"/>
            <rFont val="Tahoma"/>
            <family val="2"/>
          </rPr>
          <t xml:space="preserve">
- HS 3,00 từ 01/9/2015
- HS 3,33 từ 01/9/2018
- HS 3,66 từ 01/9/2021</t>
        </r>
      </text>
    </comment>
    <comment ref="I203" authorId="6" shapeId="0" xr:uid="{00000000-0006-0000-0300-0000F6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4" authorId="0" shapeId="0" xr:uid="{00000000-0006-0000-0300-0000F7000000}">
      <text>
        <r>
          <rPr>
            <b/>
            <sz val="9"/>
            <color indexed="81"/>
            <rFont val="Tahoma"/>
            <family val="2"/>
          </rPr>
          <t>User:</t>
        </r>
        <r>
          <rPr>
            <sz val="9"/>
            <color indexed="81"/>
            <rFont val="Tahoma"/>
            <family val="2"/>
          </rPr>
          <t xml:space="preserve">
- HS 3,00 từ 01/9/2015
- HS 3,33 từ 01/9/2018
- HS 3,66 từ 01/9/2021</t>
        </r>
      </text>
    </comment>
    <comment ref="F205" authorId="1" shapeId="0" xr:uid="{00000000-0006-0000-0300-0000F8000000}">
      <text>
        <r>
          <rPr>
            <b/>
            <sz val="9"/>
            <color indexed="81"/>
            <rFont val="Tahoma"/>
            <family val="2"/>
          </rPr>
          <t>Admin:</t>
        </r>
        <r>
          <rPr>
            <sz val="9"/>
            <color indexed="81"/>
            <rFont val="Tahoma"/>
            <family val="2"/>
          </rPr>
          <t xml:space="preserve">
- HS 3,00 từ 01/9/2016
- HS 3,33 từ 01/9/2019
- HS 3,66 từ 01/9/2022</t>
        </r>
      </text>
    </comment>
    <comment ref="F206" authorId="1" shapeId="0" xr:uid="{00000000-0006-0000-0300-0000F9000000}">
      <text>
        <r>
          <rPr>
            <b/>
            <sz val="9"/>
            <color indexed="81"/>
            <rFont val="Tahoma"/>
            <family val="2"/>
          </rPr>
          <t>Admin:</t>
        </r>
        <r>
          <rPr>
            <sz val="9"/>
            <color indexed="81"/>
            <rFont val="Tahoma"/>
            <family val="2"/>
          </rPr>
          <t xml:space="preserve">
- HS 3,00 từ 01/9/2016
- HS 3,33 từ 01/9/2019
- HS 3,66 từ 01/9/2022</t>
        </r>
      </text>
    </comment>
    <comment ref="F207" authorId="1" shapeId="0" xr:uid="{00000000-0006-0000-0300-0000FA000000}">
      <text>
        <r>
          <rPr>
            <b/>
            <sz val="9"/>
            <color indexed="81"/>
            <rFont val="Tahoma"/>
            <family val="2"/>
          </rPr>
          <t>Admin:</t>
        </r>
        <r>
          <rPr>
            <sz val="9"/>
            <color indexed="81"/>
            <rFont val="Tahoma"/>
            <family val="2"/>
          </rPr>
          <t xml:space="preserve">
- HS 3,00 từ 01/9/2016
- HS 3,33 từ 01/9/2019
- HS 3,66 từ 01/9/2022</t>
        </r>
      </text>
    </comment>
    <comment ref="F208" authorId="1" shapeId="0" xr:uid="{00000000-0006-0000-0300-0000FB000000}">
      <text>
        <r>
          <rPr>
            <b/>
            <sz val="9"/>
            <color indexed="81"/>
            <rFont val="Tahoma"/>
            <family val="2"/>
          </rPr>
          <t>Admin:</t>
        </r>
        <r>
          <rPr>
            <sz val="9"/>
            <color indexed="81"/>
            <rFont val="Tahoma"/>
            <family val="2"/>
          </rPr>
          <t xml:space="preserve">
- HS 3,00 từ 01/9/2017
- HS 3,33 từ 01/9/2020
- HS 3,66 từ 01/9/2023</t>
        </r>
      </text>
    </comment>
    <comment ref="I208" authorId="0" shapeId="0" xr:uid="{00000000-0006-0000-0300-0000FC000000}">
      <text>
        <r>
          <rPr>
            <b/>
            <sz val="9"/>
            <color indexed="81"/>
            <rFont val="Tahoma"/>
            <family val="2"/>
          </rPr>
          <t>User:</t>
        </r>
        <r>
          <rPr>
            <sz val="9"/>
            <color indexed="81"/>
            <rFont val="Tahoma"/>
            <family val="2"/>
          </rPr>
          <t xml:space="preserve">
BN Trưởng BM Cơ sở Cơ khí từ 01/09/2015</t>
        </r>
      </text>
    </comment>
    <comment ref="K208" authorId="1" shapeId="0" xr:uid="{00000000-0006-0000-0300-0000FD000000}">
      <text>
        <r>
          <rPr>
            <b/>
            <sz val="9"/>
            <color indexed="81"/>
            <rFont val="Tahoma"/>
            <family val="2"/>
          </rPr>
          <t>Admin:</t>
        </r>
        <r>
          <rPr>
            <sz val="9"/>
            <color indexed="81"/>
            <rFont val="Tahoma"/>
            <family val="2"/>
          </rPr>
          <t xml:space="preserve">
- Bảo lưu HSPC chức vụ đến hết T5/2018</t>
        </r>
      </text>
    </comment>
    <comment ref="F209" authorId="1" shapeId="0" xr:uid="{00000000-0006-0000-0300-0000FE000000}">
      <text>
        <r>
          <rPr>
            <b/>
            <sz val="9"/>
            <color indexed="81"/>
            <rFont val="Tahoma"/>
            <family val="2"/>
          </rPr>
          <t>Admin:</t>
        </r>
        <r>
          <rPr>
            <sz val="9"/>
            <color indexed="81"/>
            <rFont val="Tahoma"/>
            <family val="2"/>
          </rPr>
          <t xml:space="preserve">
- HS 2,67 từ 01/9/2016
- HS 3,00 từ 01/9/2019
- HS 3,33 từ 01/9/2021 (NL trước hạn)</t>
        </r>
      </text>
    </comment>
    <comment ref="I209" authorId="0" shapeId="0" xr:uid="{00000000-0006-0000-0300-0000FF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0" authorId="1" shapeId="0" xr:uid="{00000000-0006-0000-0300-000000010000}">
      <text>
        <r>
          <rPr>
            <b/>
            <sz val="9"/>
            <color indexed="81"/>
            <rFont val="Tahoma"/>
            <family val="2"/>
          </rPr>
          <t>Admin:</t>
        </r>
        <r>
          <rPr>
            <sz val="9"/>
            <color indexed="81"/>
            <rFont val="Tahoma"/>
            <family val="2"/>
          </rPr>
          <t xml:space="preserve">
- HS 3,00 từ 01/10/2016
- HS 3,33 từ 01/10/2019
- HS 3,66 từ 01/10/2022</t>
        </r>
      </text>
    </comment>
    <comment ref="F211" authorId="1" shapeId="0" xr:uid="{00000000-0006-0000-0300-000001010000}">
      <text>
        <r>
          <rPr>
            <b/>
            <sz val="9"/>
            <color indexed="81"/>
            <rFont val="Tahoma"/>
            <family val="2"/>
          </rPr>
          <t>Admin:</t>
        </r>
        <r>
          <rPr>
            <sz val="9"/>
            <color indexed="81"/>
            <rFont val="Tahoma"/>
            <family val="2"/>
          </rPr>
          <t xml:space="preserve">
- HS 2,67 từ 01/10/2016
- HS 3,00 từ 01/10/2019
- HS 3,33 từ 01/10/2022</t>
        </r>
      </text>
    </comment>
    <comment ref="F212" authorId="0" shapeId="0" xr:uid="{00000000-0006-0000-0300-000002010000}">
      <text>
        <r>
          <rPr>
            <b/>
            <sz val="9"/>
            <color indexed="81"/>
            <rFont val="Tahoma"/>
            <family val="2"/>
          </rPr>
          <t>User:</t>
        </r>
        <r>
          <rPr>
            <sz val="9"/>
            <color indexed="81"/>
            <rFont val="Tahoma"/>
            <family val="2"/>
          </rPr>
          <t xml:space="preserve">
- HS 4,65 từ 01/9/2015
- HS 4,98 từ 01/9/2018</t>
        </r>
      </text>
    </comment>
    <comment ref="G212" authorId="2" shapeId="0" xr:uid="{00000000-0006-0000-0300-000003010000}">
      <text>
        <r>
          <rPr>
            <b/>
            <sz val="9"/>
            <color indexed="81"/>
            <rFont val="Tahoma"/>
            <family val="2"/>
          </rPr>
          <t>user:</t>
        </r>
        <r>
          <rPr>
            <sz val="9"/>
            <color indexed="81"/>
            <rFont val="Tahoma"/>
            <family val="2"/>
          </rPr>
          <t xml:space="preserve">
- VK 5% từ 01/9/2021
- VK 6% từ 01/9/2022
- VK 7% từ 01/9/2023</t>
        </r>
      </text>
    </comment>
    <comment ref="F213" authorId="0" shapeId="0" xr:uid="{00000000-0006-0000-0300-000004010000}">
      <text>
        <r>
          <rPr>
            <b/>
            <sz val="9"/>
            <color indexed="81"/>
            <rFont val="Tahoma"/>
            <family val="2"/>
          </rPr>
          <t>User:</t>
        </r>
        <r>
          <rPr>
            <sz val="9"/>
            <color indexed="81"/>
            <rFont val="Tahoma"/>
            <family val="2"/>
          </rPr>
          <t xml:space="preserve">
- HS 4,89 từ 1/5/2014</t>
        </r>
      </text>
    </comment>
    <comment ref="G213" authorId="1" shapeId="0" xr:uid="{00000000-0006-0000-0300-000005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3" authorId="0" shapeId="0" xr:uid="{00000000-0006-0000-0300-000006010000}">
      <text>
        <r>
          <rPr>
            <b/>
            <sz val="9"/>
            <color indexed="81"/>
            <rFont val="Tahoma"/>
            <family val="2"/>
          </rPr>
          <t>User:</t>
        </r>
        <r>
          <rPr>
            <sz val="9"/>
            <color indexed="81"/>
            <rFont val="Tahoma"/>
            <family val="2"/>
          </rPr>
          <t xml:space="preserve">
- Hết bảo lưu hệ số PCCV từ 01/11/2015</t>
        </r>
      </text>
    </comment>
    <comment ref="F214" authorId="0" shapeId="0" xr:uid="{00000000-0006-0000-0300-000007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5" authorId="2" shapeId="0" xr:uid="{00000000-0006-0000-0300-000008010000}">
      <text>
        <r>
          <rPr>
            <b/>
            <sz val="9"/>
            <color indexed="81"/>
            <rFont val="Tahoma"/>
            <family val="2"/>
          </rPr>
          <t>user:</t>
        </r>
        <r>
          <rPr>
            <sz val="9"/>
            <color indexed="81"/>
            <rFont val="Tahoma"/>
            <family val="2"/>
          </rPr>
          <t xml:space="preserve">
- BN CDNN từ 01/4/2019 (HS 2.67)
- HS 3,00 từ 01/4/2022</t>
        </r>
      </text>
    </comment>
    <comment ref="F216" authorId="2" shapeId="0" xr:uid="{00000000-0006-0000-0300-000009010000}">
      <text>
        <r>
          <rPr>
            <b/>
            <sz val="9"/>
            <color indexed="81"/>
            <rFont val="Tahoma"/>
            <family val="2"/>
          </rPr>
          <t>user:</t>
        </r>
        <r>
          <rPr>
            <sz val="9"/>
            <color indexed="81"/>
            <rFont val="Tahoma"/>
            <family val="2"/>
          </rPr>
          <t xml:space="preserve">
- HS 2,67 từ 01/10/2019
- HS 3,00 từ 01/10/2022</t>
        </r>
      </text>
    </comment>
    <comment ref="G217" authorId="1" shapeId="0" xr:uid="{00000000-0006-0000-0300-00000A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8" authorId="4" shapeId="0" xr:uid="{00000000-0006-0000-0300-00000B010000}">
      <text>
        <r>
          <rPr>
            <b/>
            <sz val="9"/>
            <color indexed="81"/>
            <rFont val="Tahoma"/>
            <family val="2"/>
          </rPr>
          <t>Quynh:</t>
        </r>
        <r>
          <rPr>
            <sz val="9"/>
            <color indexed="81"/>
            <rFont val="Tahoma"/>
            <family val="2"/>
          </rPr>
          <t xml:space="preserve">
- Tuyển dụng từ 01/4/2019
- HS 2,34 từ 01/04/2020
- HS 2,67 từ 01/4/2022</t>
        </r>
      </text>
    </comment>
    <comment ref="F219" authorId="2" shapeId="0" xr:uid="{00000000-0006-0000-0300-00000C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0" authorId="2" shapeId="0" xr:uid="{00000000-0006-0000-0300-00000D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1" authorId="3" shapeId="0" xr:uid="{00000000-0006-0000-0300-00000E010000}">
      <text>
        <r>
          <rPr>
            <b/>
            <sz val="9"/>
            <color indexed="81"/>
            <rFont val="Tahoma"/>
            <family val="2"/>
          </rPr>
          <t>Windows User:</t>
        </r>
        <r>
          <rPr>
            <sz val="9"/>
            <color indexed="81"/>
            <rFont val="Tahoma"/>
            <family val="2"/>
          </rPr>
          <t xml:space="preserve">
- Tuyển dụng từ T10/2022
- HS 2,67 từ 01/10/2022</t>
        </r>
      </text>
    </comment>
    <comment ref="F222" authorId="1" shapeId="0" xr:uid="{00000000-0006-0000-0300-00000F010000}">
      <text>
        <r>
          <rPr>
            <b/>
            <sz val="9"/>
            <color indexed="81"/>
            <rFont val="Tahoma"/>
            <family val="2"/>
          </rPr>
          <t>Admin:</t>
        </r>
        <r>
          <rPr>
            <sz val="9"/>
            <color indexed="81"/>
            <rFont val="Tahoma"/>
            <family val="2"/>
          </rPr>
          <t xml:space="preserve">
- HS 4.65 từ 01/01/2016
- HS 4,98 từ 01/01/2019</t>
        </r>
      </text>
    </comment>
    <comment ref="G222" authorId="2" shapeId="0" xr:uid="{00000000-0006-0000-0300-000010010000}">
      <text>
        <r>
          <rPr>
            <b/>
            <sz val="9"/>
            <color indexed="81"/>
            <rFont val="Tahoma"/>
            <family val="2"/>
          </rPr>
          <t>user:</t>
        </r>
        <r>
          <rPr>
            <sz val="9"/>
            <color indexed="81"/>
            <rFont val="Tahoma"/>
            <family val="2"/>
          </rPr>
          <t xml:space="preserve">
- VK 5% từ 01/01/2022
- VK 6% từ 01/01/2023
- VK 7% từ 01/01/2023</t>
        </r>
      </text>
    </comment>
    <comment ref="I222" authorId="4" shapeId="0" xr:uid="{00000000-0006-0000-0300-000011010000}">
      <text>
        <r>
          <rPr>
            <b/>
            <sz val="9"/>
            <color indexed="81"/>
            <rFont val="Tahoma"/>
            <family val="2"/>
          </rPr>
          <t>Quynh:</t>
        </r>
        <r>
          <rPr>
            <sz val="9"/>
            <color indexed="81"/>
            <rFont val="Tahoma"/>
            <family val="2"/>
          </rPr>
          <t xml:space="preserve">
- BN Phó Trưởng phòng từ 01/01/2019</t>
        </r>
      </text>
    </comment>
    <comment ref="F223" authorId="0" shapeId="0" xr:uid="{00000000-0006-0000-0300-000012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3" authorId="6" shapeId="0" xr:uid="{00000000-0006-0000-0300-000013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4" authorId="0" shapeId="0" xr:uid="{00000000-0006-0000-0300-000014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4" authorId="5" shapeId="0" xr:uid="{00000000-0006-0000-0300-000015010000}">
      <text>
        <r>
          <rPr>
            <b/>
            <sz val="8"/>
            <color indexed="81"/>
            <rFont val="Tahoma"/>
            <family val="2"/>
          </rPr>
          <t>HS 0,35 từ 05/7/2015</t>
        </r>
        <r>
          <rPr>
            <sz val="8"/>
            <color indexed="81"/>
            <rFont val="Tahoma"/>
            <family val="2"/>
          </rPr>
          <t xml:space="preserve">
</t>
        </r>
      </text>
    </comment>
    <comment ref="F225" authorId="1" shapeId="0" xr:uid="{00000000-0006-0000-0300-000016010000}">
      <text>
        <r>
          <rPr>
            <b/>
            <sz val="9"/>
            <color indexed="81"/>
            <rFont val="Tahoma"/>
            <family val="2"/>
          </rPr>
          <t>Admin:</t>
        </r>
        <r>
          <rPr>
            <sz val="9"/>
            <color indexed="81"/>
            <rFont val="Tahoma"/>
            <family val="2"/>
          </rPr>
          <t xml:space="preserve">
- 4,65 từ 01/9/2016
- 4,98 từ 01/9/2019</t>
        </r>
      </text>
    </comment>
    <comment ref="G225" authorId="7" shapeId="0" xr:uid="{00000000-0006-0000-0300-000017010000}">
      <text>
        <r>
          <rPr>
            <b/>
            <sz val="9"/>
            <color indexed="81"/>
            <rFont val="Tahoma"/>
            <family val="2"/>
          </rPr>
          <t>huynh-panda:</t>
        </r>
        <r>
          <rPr>
            <sz val="9"/>
            <color indexed="81"/>
            <rFont val="Tahoma"/>
            <family val="2"/>
          </rPr>
          <t xml:space="preserve">
- VK 5% từ 01/9/2022
- VK 6% từ 01/9/2023</t>
        </r>
      </text>
    </comment>
    <comment ref="F226" authorId="1" shapeId="0" xr:uid="{00000000-0006-0000-0300-000018010000}">
      <text>
        <r>
          <rPr>
            <b/>
            <sz val="9"/>
            <color indexed="81"/>
            <rFont val="Tahoma"/>
            <family val="2"/>
          </rPr>
          <t>Admin:</t>
        </r>
        <r>
          <rPr>
            <sz val="9"/>
            <color indexed="81"/>
            <rFont val="Tahoma"/>
            <family val="2"/>
          </rPr>
          <t xml:space="preserve">
- HS 4,65 từ 01/10/2016 (NL Trước hạn 2017)
- HS 4,98 từ 01/10/2019</t>
        </r>
      </text>
    </comment>
    <comment ref="G226" authorId="3" shapeId="0" xr:uid="{00000000-0006-0000-0300-000019010000}">
      <text>
        <r>
          <rPr>
            <b/>
            <sz val="9"/>
            <color indexed="81"/>
            <rFont val="Tahoma"/>
            <family val="2"/>
          </rPr>
          <t>Windows User:</t>
        </r>
        <r>
          <rPr>
            <sz val="9"/>
            <color indexed="81"/>
            <rFont val="Tahoma"/>
            <family val="2"/>
          </rPr>
          <t xml:space="preserve">
- VK 5% từ 01/10/2022
- VK 6% từ 01/10/2023</t>
        </r>
      </text>
    </comment>
    <comment ref="F227" authorId="1" shapeId="0" xr:uid="{00000000-0006-0000-0300-00001A010000}">
      <text>
        <r>
          <rPr>
            <b/>
            <sz val="9"/>
            <color indexed="81"/>
            <rFont val="Tahoma"/>
            <family val="2"/>
          </rPr>
          <t>Admin:</t>
        </r>
        <r>
          <rPr>
            <sz val="9"/>
            <color indexed="81"/>
            <rFont val="Tahoma"/>
            <family val="2"/>
          </rPr>
          <t xml:space="preserve">
- HS 3,99 từ 01/9/2015
- HS 4,32 từ 01/9/2018
- HS 4,65 từ 01/9/2021
</t>
        </r>
      </text>
    </comment>
    <comment ref="I227" authorId="0" shapeId="0" xr:uid="{00000000-0006-0000-0300-00001B010000}">
      <text>
        <r>
          <rPr>
            <b/>
            <sz val="9"/>
            <color indexed="81"/>
            <rFont val="Tahoma"/>
            <family val="2"/>
          </rPr>
          <t>User:</t>
        </r>
        <r>
          <rPr>
            <sz val="9"/>
            <color indexed="81"/>
            <rFont val="Tahoma"/>
            <family val="2"/>
          </rPr>
          <t xml:space="preserve">
Mieễn nhiệm Trưởng BM từ 01/9/2015. Bảo lưu HHS hết T02/2016</t>
        </r>
      </text>
    </comment>
    <comment ref="F228" authorId="1" shapeId="0" xr:uid="{00000000-0006-0000-0300-00001C010000}">
      <text>
        <r>
          <rPr>
            <b/>
            <sz val="9"/>
            <color indexed="81"/>
            <rFont val="Tahoma"/>
            <family val="2"/>
          </rPr>
          <t>Admin:</t>
        </r>
        <r>
          <rPr>
            <sz val="9"/>
            <color indexed="81"/>
            <rFont val="Tahoma"/>
            <family val="2"/>
          </rPr>
          <t xml:space="preserve">
- HS 3,66 từ 01/9/2016
- HS 3,99 từ 01/9/2019
- HS 4,32 từ 01/9/2022</t>
        </r>
      </text>
    </comment>
    <comment ref="F229" authorId="0" shapeId="0" xr:uid="{00000000-0006-0000-0300-00001D010000}">
      <text>
        <r>
          <rPr>
            <b/>
            <sz val="9"/>
            <color indexed="81"/>
            <rFont val="Tahoma"/>
            <family val="2"/>
          </rPr>
          <t>User:</t>
        </r>
        <r>
          <rPr>
            <sz val="9"/>
            <color indexed="81"/>
            <rFont val="Tahoma"/>
            <family val="2"/>
          </rPr>
          <t xml:space="preserve">
- HS 3,66 từ 01/9/2015
- HS 3,99 từ 01/9/2018
- HS 4,32 từ 01/9/2021</t>
        </r>
      </text>
    </comment>
    <comment ref="F230" authorId="1" shapeId="0" xr:uid="{00000000-0006-0000-0300-00001E010000}">
      <text>
        <r>
          <rPr>
            <b/>
            <sz val="9"/>
            <color indexed="81"/>
            <rFont val="Tahoma"/>
            <family val="2"/>
          </rPr>
          <t>Admin:</t>
        </r>
        <r>
          <rPr>
            <sz val="9"/>
            <color indexed="81"/>
            <rFont val="Tahoma"/>
            <family val="2"/>
          </rPr>
          <t xml:space="preserve">
- HS 2,67 từ 01/9/2016
- HS 3,00 từ 01/9/2019
- HS 3,33 từ 01/9/2021 (NL trước hạn)</t>
        </r>
      </text>
    </comment>
    <comment ref="I230" authorId="2" shapeId="0" xr:uid="{00000000-0006-0000-0300-00001F010000}">
      <text>
        <r>
          <rPr>
            <b/>
            <sz val="9"/>
            <color indexed="81"/>
            <rFont val="Tahoma"/>
            <family val="2"/>
          </rPr>
          <t>user:</t>
        </r>
        <r>
          <rPr>
            <sz val="9"/>
            <color indexed="81"/>
            <rFont val="Tahoma"/>
            <family val="2"/>
          </rPr>
          <t xml:space="preserve">
Trưởng BM Cơ điện tử và tự động hóa từ 01/01/2019</t>
        </r>
      </text>
    </comment>
    <comment ref="F231" authorId="1" shapeId="0" xr:uid="{00000000-0006-0000-0300-000020010000}">
      <text>
        <r>
          <rPr>
            <b/>
            <sz val="9"/>
            <color indexed="81"/>
            <rFont val="Tahoma"/>
            <family val="2"/>
          </rPr>
          <t>Admin:</t>
        </r>
        <r>
          <rPr>
            <sz val="9"/>
            <color indexed="81"/>
            <rFont val="Tahoma"/>
            <family val="2"/>
          </rPr>
          <t xml:space="preserve">
- HS 3,66 từ 01/9/2016
- HS 3,99 từ 01/9/2019
- HS 4,32 từ 01/9/2022</t>
        </r>
      </text>
    </comment>
    <comment ref="F232" authorId="1" shapeId="0" xr:uid="{00000000-0006-0000-0300-000021010000}">
      <text>
        <r>
          <rPr>
            <b/>
            <sz val="9"/>
            <color indexed="81"/>
            <rFont val="Tahoma"/>
            <family val="2"/>
          </rPr>
          <t>Admin:</t>
        </r>
        <r>
          <rPr>
            <sz val="9"/>
            <color indexed="81"/>
            <rFont val="Tahoma"/>
            <family val="2"/>
          </rPr>
          <t xml:space="preserve">
- HS 3,99 từ 01/9/2016
- HS 4,32 từ 01/9/2019
- HS 4,65 từ 01/9/2022</t>
        </r>
      </text>
    </comment>
    <comment ref="I232" authorId="0" shapeId="0" xr:uid="{00000000-0006-0000-0300-000022010000}">
      <text>
        <r>
          <rPr>
            <b/>
            <sz val="9"/>
            <color indexed="81"/>
            <rFont val="Tahoma"/>
            <family val="2"/>
          </rPr>
          <t>User:</t>
        </r>
        <r>
          <rPr>
            <sz val="9"/>
            <color indexed="81"/>
            <rFont val="Tahoma"/>
            <family val="2"/>
          </rPr>
          <t xml:space="preserve">
Miễn nhiệm Trưởng BM. Bảo lưu HS hết T02/2015</t>
        </r>
      </text>
    </comment>
    <comment ref="F233" authorId="1" shapeId="0" xr:uid="{00000000-0006-0000-0300-000023010000}">
      <text>
        <r>
          <rPr>
            <b/>
            <sz val="9"/>
            <color indexed="81"/>
            <rFont val="Tahoma"/>
            <family val="2"/>
          </rPr>
          <t>Admin:</t>
        </r>
        <r>
          <rPr>
            <sz val="9"/>
            <color indexed="81"/>
            <rFont val="Tahoma"/>
            <family val="2"/>
          </rPr>
          <t xml:space="preserve">
- HS 3,00 từ 01/9/2016
- HS 3,33 từ 01/9/2019
- HS 3,66 từ 01/9/2022</t>
        </r>
      </text>
    </comment>
    <comment ref="F234" authorId="0" shapeId="0" xr:uid="{00000000-0006-0000-0300-000024010000}">
      <text>
        <r>
          <rPr>
            <b/>
            <sz val="9"/>
            <color indexed="81"/>
            <rFont val="Tahoma"/>
            <family val="2"/>
          </rPr>
          <t>User:</t>
        </r>
        <r>
          <rPr>
            <sz val="9"/>
            <color indexed="81"/>
            <rFont val="Tahoma"/>
            <family val="2"/>
          </rPr>
          <t xml:space="preserve">
- HS 3,33 từ 01/9/2015
- HS 3,66 từ 01/9/2018
- HS 3,99 từ 01/9/2021</t>
        </r>
      </text>
    </comment>
    <comment ref="F235" authorId="1" shapeId="0" xr:uid="{00000000-0006-0000-0300-000025010000}">
      <text>
        <r>
          <rPr>
            <b/>
            <sz val="9"/>
            <color indexed="81"/>
            <rFont val="Tahoma"/>
            <family val="2"/>
          </rPr>
          <t>Admin:</t>
        </r>
        <r>
          <rPr>
            <sz val="9"/>
            <color indexed="81"/>
            <rFont val="Tahoma"/>
            <family val="2"/>
          </rPr>
          <t xml:space="preserve">
- HS 3,00 từ 01/9/2017
- HS 3,33 từ 01/9/2020
- HS 3,66 từ 01/9/2023</t>
        </r>
      </text>
    </comment>
    <comment ref="F236" authorId="1" shapeId="0" xr:uid="{00000000-0006-0000-0300-000026010000}">
      <text>
        <r>
          <rPr>
            <b/>
            <sz val="9"/>
            <color indexed="81"/>
            <rFont val="Tahoma"/>
            <family val="2"/>
          </rPr>
          <t>Admin:</t>
        </r>
        <r>
          <rPr>
            <sz val="9"/>
            <color indexed="81"/>
            <rFont val="Tahoma"/>
            <family val="2"/>
          </rPr>
          <t xml:space="preserve">
- HS 3,00 từ 01/9/2017
- HS 3,33 từ 01/9/2019
- HS 3,66 từ 01/9/2022</t>
        </r>
      </text>
    </comment>
    <comment ref="F237" authorId="0" shapeId="0" xr:uid="{00000000-0006-0000-0300-000027010000}">
      <text>
        <r>
          <rPr>
            <b/>
            <sz val="9"/>
            <color indexed="81"/>
            <rFont val="Tahoma"/>
            <family val="2"/>
          </rPr>
          <t>User:</t>
        </r>
        <r>
          <rPr>
            <sz val="9"/>
            <color indexed="81"/>
            <rFont val="Tahoma"/>
            <family val="2"/>
          </rPr>
          <t xml:space="preserve">
- HS 4,65 từ 01/5/2014
- HS 4,98 từ 01/5/2017</t>
        </r>
      </text>
    </comment>
    <comment ref="G237" authorId="2" shapeId="0" xr:uid="{00000000-0006-0000-0300-000028010000}">
      <text>
        <r>
          <rPr>
            <b/>
            <sz val="9"/>
            <color indexed="81"/>
            <rFont val="Tahoma"/>
            <family val="2"/>
          </rPr>
          <t>user:</t>
        </r>
        <r>
          <rPr>
            <sz val="9"/>
            <color indexed="81"/>
            <rFont val="Tahoma"/>
            <family val="2"/>
          </rPr>
          <t xml:space="preserve">
- 5% từ 01/5/2020
- 6% từ 01/5/2021
- 7% từ 01/5/2022
- 8% từ 01/5/2023</t>
        </r>
      </text>
    </comment>
    <comment ref="I237" authorId="2" shapeId="0" xr:uid="{00000000-0006-0000-0300-000029010000}">
      <text>
        <r>
          <rPr>
            <b/>
            <sz val="9"/>
            <color indexed="81"/>
            <rFont val="Tahoma"/>
            <family val="2"/>
          </rPr>
          <t>user:</t>
        </r>
        <r>
          <rPr>
            <sz val="9"/>
            <color indexed="81"/>
            <rFont val="Tahoma"/>
            <family val="2"/>
          </rPr>
          <t xml:space="preserve">
+ QĐ Bổ nhiệm Phó TK Điện - Điện tử từ 10/6/2019
</t>
        </r>
      </text>
    </comment>
    <comment ref="G238" authorId="1" shapeId="0" xr:uid="{00000000-0006-0000-0300-00002A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9" authorId="0" shapeId="0" xr:uid="{00000000-0006-0000-0300-00002B010000}">
      <text>
        <r>
          <rPr>
            <b/>
            <sz val="9"/>
            <color indexed="81"/>
            <rFont val="Tahoma"/>
            <family val="2"/>
          </rPr>
          <t>User:</t>
        </r>
        <r>
          <rPr>
            <sz val="9"/>
            <color indexed="81"/>
            <rFont val="Tahoma"/>
            <family val="2"/>
          </rPr>
          <t xml:space="preserve">
- HS 4,65 từ 01/5/2014
- HS 4,98 từ 01/5/2017</t>
        </r>
      </text>
    </comment>
    <comment ref="G239" authorId="2" shapeId="0" xr:uid="{00000000-0006-0000-0300-00002C010000}">
      <text>
        <r>
          <rPr>
            <b/>
            <sz val="9"/>
            <color indexed="81"/>
            <rFont val="Tahoma"/>
            <family val="2"/>
          </rPr>
          <t>user:</t>
        </r>
        <r>
          <rPr>
            <sz val="9"/>
            <color indexed="81"/>
            <rFont val="Tahoma"/>
            <family val="2"/>
          </rPr>
          <t xml:space="preserve">
- 5% từ 01/5/2020
- 6% từ 01/5/2021
- 7% từ 01/5/2022
- 8% từ 01/5/2023</t>
        </r>
      </text>
    </comment>
    <comment ref="I239" authorId="0" shapeId="0" xr:uid="{00000000-0006-0000-0300-00002D010000}">
      <text>
        <r>
          <rPr>
            <b/>
            <sz val="9"/>
            <color indexed="81"/>
            <rFont val="Tahoma"/>
            <family val="2"/>
          </rPr>
          <t>User:</t>
        </r>
        <r>
          <rPr>
            <sz val="9"/>
            <color indexed="81"/>
            <rFont val="Tahoma"/>
            <family val="2"/>
          </rPr>
          <t xml:space="preserve">
Miễn nhiện Phó Trưởng BM từ 01/9/15. Bảo lưu HS hết T2/2015</t>
        </r>
      </text>
    </comment>
    <comment ref="F240" authorId="0" shapeId="0" xr:uid="{00000000-0006-0000-0300-00002E010000}">
      <text>
        <r>
          <rPr>
            <b/>
            <sz val="9"/>
            <color indexed="81"/>
            <rFont val="Tahoma"/>
            <family val="2"/>
          </rPr>
          <t>User:</t>
        </r>
        <r>
          <rPr>
            <sz val="9"/>
            <color indexed="81"/>
            <rFont val="Tahoma"/>
            <family val="2"/>
          </rPr>
          <t xml:space="preserve">
- HS 3,66 từ 01/9/2015
- HS 3,99 từ 01/9/2018
- HS 4,32 từ 01/9/2021</t>
        </r>
      </text>
    </comment>
    <comment ref="F241" authorId="0" shapeId="0" xr:uid="{00000000-0006-0000-0300-00002F010000}">
      <text>
        <r>
          <rPr>
            <b/>
            <sz val="9"/>
            <color indexed="81"/>
            <rFont val="Tahoma"/>
            <family val="2"/>
          </rPr>
          <t>User:</t>
        </r>
        <r>
          <rPr>
            <sz val="9"/>
            <color indexed="81"/>
            <rFont val="Tahoma"/>
            <family val="2"/>
          </rPr>
          <t xml:space="preserve">
- HS 3,66 từ 01/9/2015
- HS 3,99 từ 01/9/2018
- HS 4,32 từ 01/9/2021</t>
        </r>
      </text>
    </comment>
    <comment ref="I241" authorId="0" shapeId="0" xr:uid="{00000000-0006-0000-0300-000030010000}">
      <text>
        <r>
          <rPr>
            <b/>
            <sz val="9"/>
            <color indexed="81"/>
            <rFont val="Tahoma"/>
            <family val="2"/>
          </rPr>
          <t>User:</t>
        </r>
        <r>
          <rPr>
            <sz val="9"/>
            <color indexed="81"/>
            <rFont val="Tahoma"/>
            <family val="2"/>
          </rPr>
          <t xml:space="preserve">
Miễn nhiệm Phó Trưởng BM từ 01/9/2015. Bảo lưu HS hết T02/2015</t>
        </r>
      </text>
    </comment>
    <comment ref="F242" authorId="0" shapeId="0" xr:uid="{00000000-0006-0000-0300-000031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3" authorId="0" shapeId="0" xr:uid="{00000000-0006-0000-0300-000032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4" authorId="0" shapeId="0" xr:uid="{00000000-0006-0000-0300-000033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5" authorId="0" shapeId="0" xr:uid="{00000000-0006-0000-03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1" shapeId="0" xr:uid="{00000000-0006-0000-0300-000035010000}">
      <text>
        <r>
          <rPr>
            <b/>
            <sz val="9"/>
            <color indexed="81"/>
            <rFont val="Tahoma"/>
            <family val="2"/>
          </rPr>
          <t>Admin:</t>
        </r>
        <r>
          <rPr>
            <sz val="9"/>
            <color indexed="81"/>
            <rFont val="Tahoma"/>
            <family val="2"/>
          </rPr>
          <t xml:space="preserve">
- HS 3,33 từ 01/12/2015
- HS 3,66 từ 01/12/2016
- HS 3,99 từ 01/12/2021</t>
        </r>
      </text>
    </comment>
    <comment ref="F247" authorId="2" shapeId="0" xr:uid="{00000000-0006-0000-0300-000036010000}">
      <text>
        <r>
          <rPr>
            <b/>
            <sz val="9"/>
            <color indexed="81"/>
            <rFont val="Tahoma"/>
            <family val="2"/>
          </rPr>
          <t>user:</t>
        </r>
        <r>
          <rPr>
            <sz val="9"/>
            <color indexed="81"/>
            <rFont val="Tahoma"/>
            <family val="2"/>
          </rPr>
          <t xml:space="preserve">
- BN CDNN từ 01/4/2019
- HS 3,00 từ 01/04/2021 (NL trước hạn)
- HS 3,33 từ 01/04/2024</t>
        </r>
      </text>
    </comment>
    <comment ref="K247" authorId="1" shapeId="0" xr:uid="{00000000-0006-0000-0300-000037010000}">
      <text>
        <r>
          <rPr>
            <sz val="9"/>
            <color indexed="81"/>
            <rFont val="Tahoma"/>
            <family val="2"/>
          </rPr>
          <t>- Tập sự từ 01/4/2018 HS 85% 2,67</t>
        </r>
        <r>
          <rPr>
            <b/>
            <sz val="9"/>
            <color indexed="81"/>
            <rFont val="Tahoma"/>
            <family val="2"/>
          </rPr>
          <t xml:space="preserve">
</t>
        </r>
      </text>
    </comment>
    <comment ref="F248" authorId="2" shapeId="0" xr:uid="{00000000-0006-0000-0300-000038010000}">
      <text>
        <r>
          <rPr>
            <b/>
            <sz val="9"/>
            <color indexed="81"/>
            <rFont val="Tahoma"/>
            <family val="2"/>
          </rPr>
          <t>user:</t>
        </r>
        <r>
          <rPr>
            <sz val="9"/>
            <color indexed="81"/>
            <rFont val="Tahoma"/>
            <family val="2"/>
          </rPr>
          <t xml:space="preserve">
- BN CDNN 2.34 từ 1/4/2019
- HS 2,67 từ 01/4/2022</t>
        </r>
      </text>
    </comment>
    <comment ref="I248" authorId="3" shapeId="0" xr:uid="{00000000-0006-0000-0300-000039010000}">
      <text>
        <r>
          <rPr>
            <b/>
            <sz val="9"/>
            <color indexed="81"/>
            <rFont val="Tahoma"/>
            <family val="2"/>
          </rPr>
          <t>Windows User:</t>
        </r>
        <r>
          <rPr>
            <sz val="9"/>
            <color indexed="81"/>
            <rFont val="Tahoma"/>
            <family val="2"/>
          </rPr>
          <t xml:space="preserve">
- Trưởng BM Điện Công nghiệp từ 01/10/2022</t>
        </r>
      </text>
    </comment>
    <comment ref="K248" authorId="1" shapeId="0" xr:uid="{00000000-0006-0000-0300-00003A010000}">
      <text>
        <r>
          <rPr>
            <sz val="9"/>
            <color indexed="81"/>
            <rFont val="Tahoma"/>
            <family val="2"/>
          </rPr>
          <t>- Tập sự từ 01/4/2018 HS 85% 2,34</t>
        </r>
      </text>
    </comment>
    <comment ref="F249" authorId="2" shapeId="0" xr:uid="{00000000-0006-0000-0300-00003B010000}">
      <text>
        <r>
          <rPr>
            <b/>
            <sz val="9"/>
            <color indexed="81"/>
            <rFont val="Tahoma"/>
            <family val="2"/>
          </rPr>
          <t>user:</t>
        </r>
        <r>
          <rPr>
            <sz val="9"/>
            <color indexed="81"/>
            <rFont val="Tahoma"/>
            <family val="2"/>
          </rPr>
          <t xml:space="preserve">
- HS 2,34 từ 01/01/2020
- HS 2,67 từ 01/01/2022 (NL trước hạn)</t>
        </r>
      </text>
    </comment>
    <comment ref="I249" authorId="7" shapeId="0" xr:uid="{00000000-0006-0000-0300-00003C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0" authorId="2" shapeId="0" xr:uid="{00000000-0006-0000-0300-00003D010000}">
      <text>
        <r>
          <rPr>
            <b/>
            <sz val="9"/>
            <color indexed="81"/>
            <rFont val="Tahoma"/>
            <family val="2"/>
          </rPr>
          <t>user:</t>
        </r>
        <r>
          <rPr>
            <sz val="9"/>
            <color indexed="81"/>
            <rFont val="Tahoma"/>
            <family val="2"/>
          </rPr>
          <t xml:space="preserve">
Thuyên chuyển về trường từ ngày 15/6/2021
- HS 3,99 từ 01/11/2022</t>
        </r>
      </text>
    </comment>
    <comment ref="F251" authorId="3" shapeId="0" xr:uid="{00000000-0006-0000-0300-00003E010000}">
      <text>
        <r>
          <rPr>
            <b/>
            <sz val="9"/>
            <color indexed="81"/>
            <rFont val="Tahoma"/>
            <family val="2"/>
          </rPr>
          <t>Windows User:</t>
        </r>
        <r>
          <rPr>
            <sz val="9"/>
            <color indexed="81"/>
            <rFont val="Tahoma"/>
            <family val="2"/>
          </rPr>
          <t xml:space="preserve">
- HS 2,67 từ 01/10/2023 (BN CDNN)</t>
        </r>
      </text>
    </comment>
    <comment ref="F252" authorId="3" shapeId="0" xr:uid="{00000000-0006-0000-0300-00003F010000}">
      <text>
        <r>
          <rPr>
            <b/>
            <sz val="9"/>
            <color indexed="81"/>
            <rFont val="Tahoma"/>
            <family val="2"/>
          </rPr>
          <t>Windows User:</t>
        </r>
        <r>
          <rPr>
            <sz val="9"/>
            <color indexed="81"/>
            <rFont val="Tahoma"/>
            <family val="2"/>
          </rPr>
          <t xml:space="preserve">
- HS 2,34 từ 01/10/2023 (BN CDNN)</t>
        </r>
      </text>
    </comment>
    <comment ref="F253" authorId="1" shapeId="0" xr:uid="{00000000-0006-0000-0300-000040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3" authorId="0" shapeId="0" xr:uid="{00000000-0006-0000-0300-000041010000}">
      <text>
        <r>
          <rPr>
            <b/>
            <sz val="9"/>
            <color indexed="81"/>
            <rFont val="Tahoma"/>
            <family val="2"/>
          </rPr>
          <t>User:</t>
        </r>
        <r>
          <rPr>
            <sz val="9"/>
            <color indexed="81"/>
            <rFont val="Tahoma"/>
            <family val="2"/>
          </rPr>
          <t xml:space="preserve">
- Trưởng khoa Động lực từ 01/8/2015</t>
        </r>
      </text>
    </comment>
    <comment ref="F254" authorId="1" shapeId="0" xr:uid="{00000000-0006-0000-0300-000042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5" authorId="1" shapeId="0" xr:uid="{00000000-0006-0000-0300-000043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6" authorId="1" shapeId="0" xr:uid="{00000000-0006-0000-0300-000044010000}">
      <text>
        <r>
          <rPr>
            <b/>
            <sz val="9"/>
            <color indexed="81"/>
            <rFont val="Tahoma"/>
            <family val="2"/>
          </rPr>
          <t>Admin:</t>
        </r>
        <r>
          <rPr>
            <sz val="9"/>
            <color indexed="81"/>
            <rFont val="Tahoma"/>
            <family val="2"/>
          </rPr>
          <t xml:space="preserve">
- HS 3,33 từ 01/9/2016
- HS 3,66 từ 01/9/2018 (NL trước hạn)
- HS 3,99 từ 01/9/2021</t>
        </r>
      </text>
    </comment>
    <comment ref="I256" authorId="1" shapeId="0" xr:uid="{00000000-0006-0000-0300-000045010000}">
      <text>
        <r>
          <rPr>
            <b/>
            <sz val="9"/>
            <color indexed="81"/>
            <rFont val="Tahoma"/>
            <family val="2"/>
          </rPr>
          <t>Admin:</t>
        </r>
        <r>
          <rPr>
            <sz val="9"/>
            <color indexed="81"/>
            <rFont val="Tahoma"/>
            <family val="2"/>
          </rPr>
          <t xml:space="preserve">
- Bảo lưu đến hết T5/2018</t>
        </r>
      </text>
    </comment>
    <comment ref="F257" authorId="1" shapeId="0" xr:uid="{00000000-0006-0000-0300-000046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7" authorId="0" shapeId="0" xr:uid="{00000000-0006-0000-0300-000047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8" authorId="0" shapeId="0" xr:uid="{00000000-0006-0000-0300-000048010000}">
      <text>
        <r>
          <rPr>
            <b/>
            <sz val="9"/>
            <color indexed="81"/>
            <rFont val="Tahoma"/>
            <family val="2"/>
          </rPr>
          <t>User:</t>
        </r>
        <r>
          <rPr>
            <sz val="9"/>
            <color indexed="81"/>
            <rFont val="Tahoma"/>
            <family val="2"/>
          </rPr>
          <t xml:space="preserve">
- HS 3,00 từ 01/9/2015
- HS 3,33 từ 01/9/2018
- HS 3,66 từ 01/9/2021</t>
        </r>
      </text>
    </comment>
    <comment ref="F259" authorId="1" shapeId="0" xr:uid="{00000000-0006-0000-0300-000049010000}">
      <text>
        <r>
          <rPr>
            <b/>
            <sz val="9"/>
            <color indexed="81"/>
            <rFont val="Tahoma"/>
            <family val="2"/>
          </rPr>
          <t>Admin:</t>
        </r>
        <r>
          <rPr>
            <sz val="9"/>
            <color indexed="81"/>
            <rFont val="Tahoma"/>
            <family val="2"/>
          </rPr>
          <t xml:space="preserve">
- HS 3,00 từ 01/9/2015
- HS 3,33 từ 01/9/2018
- HS 3,66 từ 01/9/2021</t>
        </r>
      </text>
    </comment>
    <comment ref="F260" authorId="0" shapeId="0" xr:uid="{00000000-0006-0000-0300-00004A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0" authorId="0" shapeId="0" xr:uid="{00000000-0006-0000-0300-00004B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1" authorId="1" shapeId="0" xr:uid="{00000000-0006-0000-0300-00004C010000}">
      <text>
        <r>
          <rPr>
            <b/>
            <sz val="9"/>
            <color indexed="81"/>
            <rFont val="Tahoma"/>
            <family val="2"/>
          </rPr>
          <t>Admin:</t>
        </r>
        <r>
          <rPr>
            <sz val="9"/>
            <color indexed="81"/>
            <rFont val="Tahoma"/>
            <family val="2"/>
          </rPr>
          <t xml:space="preserve">
- HS 3,00 từ 01/9/2015
- HS 3,33 từ 01/9/2018
- HS 3,66 từ 01/9/2021</t>
        </r>
      </text>
    </comment>
    <comment ref="F262" authorId="1" shapeId="0" xr:uid="{00000000-0006-0000-0300-00004D010000}">
      <text>
        <r>
          <rPr>
            <b/>
            <sz val="9"/>
            <color indexed="81"/>
            <rFont val="Tahoma"/>
            <family val="2"/>
          </rPr>
          <t>Admin:</t>
        </r>
        <r>
          <rPr>
            <sz val="9"/>
            <color indexed="81"/>
            <rFont val="Tahoma"/>
            <family val="2"/>
          </rPr>
          <t xml:space="preserve">
- HS 3,00 từ 01/9/2017
- HS 3,33 từ 01/9/2019
- HS 3,66 từ 01/9/2022
</t>
        </r>
      </text>
    </comment>
    <comment ref="F263" authorId="8" shapeId="0" xr:uid="{00000000-0006-0000-0300-00004E010000}">
      <text>
        <r>
          <rPr>
            <sz val="9"/>
            <color indexed="81"/>
            <rFont val="Tahoma"/>
            <family val="2"/>
          </rPr>
          <t>- HS 3,00 từ 01/3/2018
- HS 3,33 từ 01/3/2020 (NL trước hạn)
- HS 3,66 từ 01/03/2023</t>
        </r>
      </text>
    </comment>
    <comment ref="F264" authorId="1" shapeId="0" xr:uid="{00000000-0006-0000-0300-00004F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5" authorId="1" shapeId="0" xr:uid="{00000000-0006-0000-0300-000050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6" authorId="1" shapeId="0" xr:uid="{00000000-0006-0000-0300-000051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6" authorId="4" shapeId="0" xr:uid="{00000000-0006-0000-0300-000052010000}">
      <text>
        <r>
          <rPr>
            <b/>
            <sz val="9"/>
            <color indexed="81"/>
            <rFont val="Tahoma"/>
            <family val="2"/>
          </rPr>
          <t>Quynh:</t>
        </r>
        <r>
          <rPr>
            <sz val="9"/>
            <color indexed="81"/>
            <rFont val="Tahoma"/>
            <family val="2"/>
          </rPr>
          <t xml:space="preserve">
- BN Trưởng BM Điện ô tô từ 01/01/2019 </t>
        </r>
      </text>
    </comment>
    <comment ref="F267" authorId="1" shapeId="0" xr:uid="{00000000-0006-0000-0300-000053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8" authorId="2" shapeId="0" xr:uid="{00000000-0006-0000-0300-000054010000}">
      <text>
        <r>
          <rPr>
            <b/>
            <sz val="9"/>
            <color indexed="81"/>
            <rFont val="Tahoma"/>
            <family val="2"/>
          </rPr>
          <t>user:</t>
        </r>
        <r>
          <rPr>
            <sz val="9"/>
            <color indexed="81"/>
            <rFont val="Tahoma"/>
            <family val="2"/>
          </rPr>
          <t xml:space="preserve">
- HS 2,34 từ 01/10/2019
- HS 2,67 từ 01/10/2021 (NL trước hạn)</t>
        </r>
      </text>
    </comment>
    <comment ref="F269" authorId="2" shapeId="0" xr:uid="{00000000-0006-0000-0300-000055010000}">
      <text>
        <r>
          <rPr>
            <b/>
            <sz val="9"/>
            <color indexed="81"/>
            <rFont val="Tahoma"/>
            <family val="2"/>
          </rPr>
          <t>user:</t>
        </r>
        <r>
          <rPr>
            <sz val="9"/>
            <color indexed="81"/>
            <rFont val="Tahoma"/>
            <family val="2"/>
          </rPr>
          <t xml:space="preserve">
- HS 2,34 từ 01/10/2019
- HS 2,67 từ 01/10/2022</t>
        </r>
      </text>
    </comment>
    <comment ref="F270" authorId="2" shapeId="0" xr:uid="{00000000-0006-0000-0300-000056010000}">
      <text>
        <r>
          <rPr>
            <b/>
            <sz val="9"/>
            <color indexed="81"/>
            <rFont val="Tahoma"/>
            <family val="2"/>
          </rPr>
          <t>user:</t>
        </r>
        <r>
          <rPr>
            <sz val="9"/>
            <color indexed="81"/>
            <rFont val="Tahoma"/>
            <family val="2"/>
          </rPr>
          <t xml:space="preserve">
- HS 2,67 từ 01/01/2020
- HS 3,00 từ 01/01/2022 (NL trước hạn)</t>
        </r>
      </text>
    </comment>
    <comment ref="F271" authorId="2" shapeId="0" xr:uid="{00000000-0006-0000-0300-000057010000}">
      <text>
        <r>
          <rPr>
            <b/>
            <sz val="9"/>
            <color indexed="81"/>
            <rFont val="Tahoma"/>
            <family val="2"/>
          </rPr>
          <t>user:</t>
        </r>
        <r>
          <rPr>
            <sz val="9"/>
            <color indexed="81"/>
            <rFont val="Tahoma"/>
            <family val="2"/>
          </rPr>
          <t xml:space="preserve">
- HS 3,00 từ 01/11/2019
- HS 3,33 từ 01/12/2020
- HS 3,66 từ 01/12/2022</t>
        </r>
      </text>
    </comment>
    <comment ref="F272" authorId="2" shapeId="0" xr:uid="{00000000-0006-0000-0300-000058010000}">
      <text>
        <r>
          <rPr>
            <b/>
            <sz val="9"/>
            <color indexed="81"/>
            <rFont val="Tahoma"/>
            <family val="2"/>
          </rPr>
          <t>user:</t>
        </r>
        <r>
          <rPr>
            <sz val="9"/>
            <color indexed="81"/>
            <rFont val="Tahoma"/>
            <family val="2"/>
          </rPr>
          <t xml:space="preserve">
Tuyển dụng từ 01/5/20
- HS 2,34 từ 01/5/2021</t>
        </r>
      </text>
    </comment>
    <comment ref="F273" authorId="2" shapeId="0" xr:uid="{00000000-0006-0000-0300-000059010000}">
      <text>
        <r>
          <rPr>
            <b/>
            <sz val="9"/>
            <color indexed="81"/>
            <rFont val="Tahoma"/>
            <family val="2"/>
          </rPr>
          <t>user:</t>
        </r>
        <r>
          <rPr>
            <sz val="9"/>
            <color indexed="81"/>
            <rFont val="Tahoma"/>
            <family val="2"/>
          </rPr>
          <t xml:space="preserve">
Tuyển dụng 01/5/20
- HS 2,34 từ 01/5/2021</t>
        </r>
      </text>
    </comment>
    <comment ref="F274" authorId="2" shapeId="0" xr:uid="{00000000-0006-0000-0300-00005A010000}">
      <text>
        <r>
          <rPr>
            <b/>
            <sz val="9"/>
            <color indexed="81"/>
            <rFont val="Tahoma"/>
            <family val="2"/>
          </rPr>
          <t>user:</t>
        </r>
        <r>
          <rPr>
            <sz val="9"/>
            <color indexed="81"/>
            <rFont val="Tahoma"/>
            <family val="2"/>
          </rPr>
          <t xml:space="preserve">
- QĐ Tuyển dụng từ 01/3/2021 (HS 2,34- 85%)
- HS 2,34 từ 01/3/2022 (BNN)</t>
        </r>
      </text>
    </comment>
    <comment ref="F275" authorId="2" shapeId="0" xr:uid="{00000000-0006-0000-0300-00005B010000}">
      <text>
        <r>
          <rPr>
            <b/>
            <sz val="9"/>
            <color indexed="81"/>
            <rFont val="Tahoma"/>
            <family val="2"/>
          </rPr>
          <t>user:</t>
        </r>
        <r>
          <rPr>
            <sz val="9"/>
            <color indexed="81"/>
            <rFont val="Tahoma"/>
            <family val="2"/>
          </rPr>
          <t xml:space="preserve">
- Tuyển dụng từ 01/4/2021 (85%)
- HS 2,34 từ 01/4/2022</t>
        </r>
      </text>
    </comment>
    <comment ref="F276" authorId="2" shapeId="0" xr:uid="{00000000-0006-0000-0300-00005C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7" authorId="3" shapeId="0" xr:uid="{00000000-0006-0000-0300-00005D010000}">
      <text>
        <r>
          <rPr>
            <b/>
            <sz val="9"/>
            <color indexed="81"/>
            <rFont val="Tahoma"/>
            <family val="2"/>
          </rPr>
          <t>Windows User:</t>
        </r>
        <r>
          <rPr>
            <sz val="9"/>
            <color indexed="81"/>
            <rFont val="Tahoma"/>
            <family val="2"/>
          </rPr>
          <t xml:space="preserve">
- HS 3,00 từ 01/10/2022
- HS 3,33 từ 01/01/2023</t>
        </r>
      </text>
    </comment>
    <comment ref="F279" authorId="6" shapeId="0" xr:uid="{00000000-0006-0000-0300-00005E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9" authorId="0" shapeId="0" xr:uid="{00000000-0006-0000-0300-00005F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0" authorId="1" shapeId="0" xr:uid="{00000000-0006-0000-0300-000060010000}">
      <text>
        <r>
          <rPr>
            <b/>
            <sz val="9"/>
            <color indexed="81"/>
            <rFont val="Tahoma"/>
            <family val="2"/>
          </rPr>
          <t>Admin:</t>
        </r>
        <r>
          <rPr>
            <sz val="9"/>
            <color indexed="81"/>
            <rFont val="Tahoma"/>
            <family val="2"/>
          </rPr>
          <t xml:space="preserve">
- HS 3,99 từ 01/9/2017
- HS 4,32 từ 01/9/2020
- HS 4,65 từ 01/9/2022</t>
        </r>
      </text>
    </comment>
    <comment ref="F281" authorId="1" shapeId="0" xr:uid="{00000000-0006-0000-0300-000061010000}">
      <text>
        <r>
          <rPr>
            <b/>
            <sz val="9"/>
            <color indexed="81"/>
            <rFont val="Tahoma"/>
            <family val="2"/>
          </rPr>
          <t>Admin:</t>
        </r>
        <r>
          <rPr>
            <sz val="9"/>
            <color indexed="81"/>
            <rFont val="Tahoma"/>
            <family val="2"/>
          </rPr>
          <t xml:space="preserve">
- HS 3,99 từ 01/9/2017
- HS 4,32 từ 01/9/2020
- HS 4,65 từ 01/9/2023</t>
        </r>
      </text>
    </comment>
    <comment ref="F282" authorId="1" shapeId="0" xr:uid="{00000000-0006-0000-0300-000062010000}">
      <text>
        <r>
          <rPr>
            <b/>
            <sz val="9"/>
            <color indexed="81"/>
            <rFont val="Tahoma"/>
            <family val="2"/>
          </rPr>
          <t>Admin:</t>
        </r>
        <r>
          <rPr>
            <sz val="9"/>
            <color indexed="81"/>
            <rFont val="Tahoma"/>
            <family val="2"/>
          </rPr>
          <t xml:space="preserve">
- HS 3,00 từ 01/9/2016
- HS 3,33 từ 01/9/2019
- HS 3,66 từ 01/9/2022</t>
        </r>
      </text>
    </comment>
    <comment ref="F283" authorId="1" shapeId="0" xr:uid="{00000000-0006-0000-0300-000063010000}">
      <text>
        <r>
          <rPr>
            <b/>
            <sz val="9"/>
            <color indexed="81"/>
            <rFont val="Tahoma"/>
            <family val="2"/>
          </rPr>
          <t>Admin:</t>
        </r>
        <r>
          <rPr>
            <sz val="9"/>
            <color indexed="81"/>
            <rFont val="Tahoma"/>
            <family val="2"/>
          </rPr>
          <t xml:space="preserve">
- HS 3,00 từ 01/9/2017
- HS 3,33 từ 01/9/2020
- HS 3,66 từ 01/9/2023</t>
        </r>
      </text>
    </comment>
    <comment ref="F284" authorId="1" shapeId="0" xr:uid="{00000000-0006-0000-0300-000064010000}">
      <text>
        <r>
          <rPr>
            <b/>
            <sz val="9"/>
            <color indexed="81"/>
            <rFont val="Tahoma"/>
            <family val="2"/>
          </rPr>
          <t>Admin:</t>
        </r>
        <r>
          <rPr>
            <sz val="9"/>
            <color indexed="81"/>
            <rFont val="Tahoma"/>
            <family val="2"/>
          </rPr>
          <t xml:space="preserve">
- HS 3,66 từ 01/9/2016
- HS 3,99 từ 01/9/2019
- HS 4,32 từ 01/9/2022</t>
        </r>
      </text>
    </comment>
    <comment ref="F285" authorId="2" shapeId="0" xr:uid="{00000000-0006-0000-0300-000065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6" authorId="0" shapeId="0" xr:uid="{00000000-0006-0000-0300-000066010000}">
      <text>
        <r>
          <rPr>
            <b/>
            <sz val="9"/>
            <color indexed="81"/>
            <rFont val="Tahoma"/>
            <family val="2"/>
          </rPr>
          <t>User:</t>
        </r>
        <r>
          <rPr>
            <sz val="9"/>
            <color indexed="81"/>
            <rFont val="Tahoma"/>
            <family val="2"/>
          </rPr>
          <t xml:space="preserve">
- HS 4,32 từ 01/10/2015
- HS 4,65 từ 01/10/2018
- HS 4,98 từ 01/10/2021</t>
        </r>
      </text>
    </comment>
    <comment ref="F287" authorId="8" shapeId="0" xr:uid="{00000000-0006-0000-0300-000067010000}">
      <text>
        <r>
          <rPr>
            <sz val="9"/>
            <color indexed="81"/>
            <rFont val="Tahoma"/>
            <family val="2"/>
          </rPr>
          <t>- HS 2,67 hưởng từ 01/9 làm bảng truy lãnh từ tháng 9-11/2017
- HS 3,00 từ 01/9/2019
- HS 3,33 từ 01/9/2022</t>
        </r>
      </text>
    </comment>
    <comment ref="I287" authorId="1" shapeId="0" xr:uid="{00000000-0006-0000-0300-000068010000}">
      <text>
        <r>
          <rPr>
            <b/>
            <sz val="9"/>
            <color indexed="81"/>
            <rFont val="Tahoma"/>
            <family val="2"/>
          </rPr>
          <t>Admin:</t>
        </r>
        <r>
          <rPr>
            <sz val="9"/>
            <color indexed="81"/>
            <rFont val="Tahoma"/>
            <family val="2"/>
          </rPr>
          <t xml:space="preserve">
- BN Phó TK từ 01/8/2018</t>
        </r>
      </text>
    </comment>
    <comment ref="I289" authorId="1" shapeId="0" xr:uid="{00000000-0006-0000-0300-000069010000}">
      <text>
        <r>
          <rPr>
            <b/>
            <sz val="9"/>
            <color indexed="81"/>
            <rFont val="Tahoma"/>
            <family val="2"/>
          </rPr>
          <t>Admin:</t>
        </r>
        <r>
          <rPr>
            <sz val="9"/>
            <color indexed="81"/>
            <rFont val="Tahoma"/>
            <family val="2"/>
          </rPr>
          <t xml:space="preserve">
4.873.050 từ 01/11/2021
- 5.417.685 từ 01/11/2023</t>
        </r>
      </text>
    </comment>
    <comment ref="H291" authorId="3" shapeId="0" xr:uid="{00000000-0006-0000-0300-00006A010000}">
      <text>
        <r>
          <rPr>
            <b/>
            <sz val="9"/>
            <color indexed="81"/>
            <rFont val="Tahoma"/>
            <family val="2"/>
          </rPr>
          <t>Windows User:</t>
        </r>
        <r>
          <rPr>
            <sz val="9"/>
            <color indexed="81"/>
            <rFont val="Tahoma"/>
            <family val="2"/>
          </rPr>
          <t xml:space="preserve">
Chuyển mã D.03 sang D.02 từ 01/9/2023</t>
        </r>
      </text>
    </comment>
    <comment ref="I291" authorId="3" shapeId="0" xr:uid="{00000000-0006-0000-0300-00006B010000}">
      <text>
        <r>
          <rPr>
            <b/>
            <sz val="9"/>
            <color indexed="81"/>
            <rFont val="Tahoma"/>
            <family val="2"/>
          </rPr>
          <t>Windows User:</t>
        </r>
        <r>
          <rPr>
            <sz val="9"/>
            <color indexed="81"/>
            <rFont val="Tahoma"/>
            <family val="2"/>
          </rPr>
          <t xml:space="preserve">
- 5.007.600 từ 01/9/2023</t>
        </r>
      </text>
    </comment>
    <comment ref="I294" authorId="3" shapeId="0" xr:uid="{00000000-0006-0000-0300-00006C010000}">
      <text>
        <r>
          <rPr>
            <b/>
            <sz val="9"/>
            <color indexed="81"/>
            <rFont val="Tahoma"/>
            <family val="2"/>
          </rPr>
          <t>Windows User:</t>
        </r>
        <r>
          <rPr>
            <sz val="9"/>
            <color indexed="81"/>
            <rFont val="Tahoma"/>
            <family val="2"/>
          </rPr>
          <t xml:space="preserve">
- 7.623.227 từ 01/02/2023</t>
        </r>
      </text>
    </comment>
    <comment ref="I295" authorId="2" shapeId="0" xr:uid="{00000000-0006-0000-0300-00006D010000}">
      <text>
        <r>
          <rPr>
            <b/>
            <sz val="9"/>
            <color indexed="81"/>
            <rFont val="Tahoma"/>
            <family val="2"/>
          </rPr>
          <t>user:</t>
        </r>
        <r>
          <rPr>
            <sz val="9"/>
            <color indexed="81"/>
            <rFont val="Tahoma"/>
            <family val="2"/>
          </rPr>
          <t xml:space="preserve">
- 5.372.538 từ 01/11/2021
- 5.972.998 từ 01/11/2023</t>
        </r>
      </text>
    </comment>
    <comment ref="I296" authorId="2" shapeId="0" xr:uid="{00000000-0006-0000-0300-00006E010000}">
      <text>
        <r>
          <rPr>
            <b/>
            <sz val="9"/>
            <color indexed="81"/>
            <rFont val="Tahoma"/>
            <family val="2"/>
          </rPr>
          <t>user:</t>
        </r>
        <r>
          <rPr>
            <sz val="9"/>
            <color indexed="81"/>
            <rFont val="Tahoma"/>
            <family val="2"/>
          </rPr>
          <t xml:space="preserve">
- 5.372.538 từ 01/11/2021
- 5.972.538 từ 01/11/2023</t>
        </r>
      </text>
    </comment>
    <comment ref="I297" authorId="2" shapeId="0" xr:uid="{00000000-0006-0000-0300-00006F010000}">
      <text>
        <r>
          <rPr>
            <b/>
            <sz val="9"/>
            <color indexed="81"/>
            <rFont val="Tahoma"/>
            <family val="2"/>
          </rPr>
          <t>user:</t>
        </r>
        <r>
          <rPr>
            <sz val="9"/>
            <color indexed="81"/>
            <rFont val="Tahoma"/>
            <family val="2"/>
          </rPr>
          <t xml:space="preserve">
- 5.060.458 từ 01/12/2020 (HĐLĐ)
- 5.733. 201 từ 01/12/2023</t>
        </r>
      </text>
    </comment>
    <comment ref="I301" authorId="2" shapeId="0" xr:uid="{00000000-0006-0000-0300-000070010000}">
      <text>
        <r>
          <rPr>
            <b/>
            <sz val="9"/>
            <color indexed="81"/>
            <rFont val="Tahoma"/>
            <family val="2"/>
          </rPr>
          <t>user:</t>
        </r>
        <r>
          <rPr>
            <sz val="9"/>
            <color indexed="81"/>
            <rFont val="Tahoma"/>
            <family val="2"/>
          </rPr>
          <t xml:space="preserve">
T3: 4301389 (85% của 5.060.458)
- 5.060.458 từ 01/4/2021
- 5.733.201 từ 01/4/2024</t>
        </r>
      </text>
    </comment>
    <comment ref="I302" authorId="3" shapeId="0" xr:uid="{00000000-0006-0000-0300-000071010000}">
      <text>
        <r>
          <rPr>
            <b/>
            <sz val="9"/>
            <color indexed="81"/>
            <rFont val="Tahoma"/>
            <family val="2"/>
          </rPr>
          <t>Windows User:</t>
        </r>
        <r>
          <rPr>
            <sz val="9"/>
            <color indexed="81"/>
            <rFont val="Tahoma"/>
            <family val="2"/>
          </rPr>
          <t xml:space="preserve">
- 8.992.930 từ 01/7/2023</t>
        </r>
      </text>
    </comment>
    <comment ref="I304" authorId="3" shapeId="0" xr:uid="{00000000-0006-0000-0300-000072010000}">
      <text>
        <r>
          <rPr>
            <b/>
            <sz val="9"/>
            <color indexed="81"/>
            <rFont val="Tahoma"/>
            <family val="2"/>
          </rPr>
          <t>Windows User:</t>
        </r>
        <r>
          <rPr>
            <sz val="9"/>
            <color indexed="81"/>
            <rFont val="Tahoma"/>
            <family val="2"/>
          </rPr>
          <t xml:space="preserve">
- 8.041.111 từ 01/7/2023</t>
        </r>
      </text>
    </comment>
    <comment ref="I305" authorId="2" shapeId="0" xr:uid="{00000000-0006-0000-0300-000073010000}">
      <text>
        <r>
          <rPr>
            <b/>
            <sz val="9"/>
            <color indexed="81"/>
            <rFont val="Tahoma"/>
            <family val="2"/>
          </rPr>
          <t>user:</t>
        </r>
        <r>
          <rPr>
            <sz val="9"/>
            <color indexed="81"/>
            <rFont val="Tahoma"/>
            <family val="2"/>
          </rPr>
          <t xml:space="preserve">
- 6.151.018 từ 01/07/2021 (Nâng lương trước hạn)</t>
        </r>
      </text>
    </comment>
    <comment ref="I306" authorId="2" shapeId="0" xr:uid="{00000000-0006-0000-0300-000074010000}">
      <text>
        <r>
          <rPr>
            <b/>
            <sz val="9"/>
            <color indexed="81"/>
            <rFont val="Tahoma"/>
            <family val="2"/>
          </rPr>
          <t>user:</t>
        </r>
        <r>
          <rPr>
            <sz val="9"/>
            <color indexed="81"/>
            <rFont val="Tahoma"/>
            <family val="2"/>
          </rPr>
          <t xml:space="preserve">
- 5.748.615 từ 01/01/2021 (Nâng lương trước hạn)
- 6.391.108 từ 01/01/2023</t>
        </r>
      </text>
    </comment>
    <comment ref="I307" authorId="3" shapeId="0" xr:uid="{00000000-0006-0000-0300-000075010000}">
      <text>
        <r>
          <rPr>
            <b/>
            <sz val="9"/>
            <color indexed="81"/>
            <rFont val="Tahoma"/>
            <family val="2"/>
          </rPr>
          <t>Windows User:</t>
        </r>
        <r>
          <rPr>
            <sz val="9"/>
            <color indexed="81"/>
            <rFont val="Tahoma"/>
            <family val="2"/>
          </rPr>
          <t xml:space="preserve">
- 7.180.409 từ 01/01/2023</t>
        </r>
      </text>
    </comment>
    <comment ref="I308" authorId="2" shapeId="0" xr:uid="{00000000-0006-0000-0300-000076010000}">
      <text>
        <r>
          <rPr>
            <b/>
            <sz val="9"/>
            <color indexed="81"/>
            <rFont val="Tahoma"/>
            <family val="2"/>
          </rPr>
          <t>user:</t>
        </r>
        <r>
          <rPr>
            <sz val="9"/>
            <color indexed="81"/>
            <rFont val="Tahoma"/>
            <family val="2"/>
          </rPr>
          <t xml:space="preserve">
- 4.965.870 từ 01/6/2021
- 5.520.879 từ 01/6/2023</t>
        </r>
      </text>
    </comment>
    <comment ref="I309" authorId="2" shapeId="0" xr:uid="{00000000-0006-0000-0300-000077010000}">
      <text>
        <r>
          <rPr>
            <b/>
            <sz val="9"/>
            <color indexed="81"/>
            <rFont val="Tahoma"/>
            <family val="2"/>
          </rPr>
          <t>user:</t>
        </r>
        <r>
          <rPr>
            <sz val="9"/>
            <color indexed="81"/>
            <rFont val="Tahoma"/>
            <family val="2"/>
          </rPr>
          <t xml:space="preserve">
- 5.474.872 từ 01/01/2021 (Nâng lương trước hạn)
- 6.086.769 từ 01/01/2023</t>
        </r>
      </text>
    </comment>
    <comment ref="H310" authorId="1" shapeId="0" xr:uid="{00000000-0006-0000-0300-000078010000}">
      <text>
        <r>
          <rPr>
            <sz val="9"/>
            <color indexed="81"/>
            <rFont val="Tahoma"/>
            <family val="2"/>
          </rPr>
          <t>QĐ bổ nhiệm Tổ trưởng từ 01/01/2018</t>
        </r>
        <r>
          <rPr>
            <sz val="9"/>
            <color indexed="81"/>
            <rFont val="Tahoma"/>
            <family val="2"/>
          </rPr>
          <t xml:space="preserve">
</t>
        </r>
      </text>
    </comment>
    <comment ref="I310" authorId="2" shapeId="0" xr:uid="{00000000-0006-0000-0300-000079010000}">
      <text>
        <r>
          <rPr>
            <b/>
            <sz val="9"/>
            <color indexed="81"/>
            <rFont val="Tahoma"/>
            <family val="2"/>
          </rPr>
          <t>user:</t>
        </r>
        <r>
          <rPr>
            <sz val="9"/>
            <color indexed="81"/>
            <rFont val="Tahoma"/>
            <family val="2"/>
          </rPr>
          <t xml:space="preserve">
- 7.199.714 từ 01/7/2021
- 8.044.388 từ 01/7/2023</t>
        </r>
      </text>
    </comment>
    <comment ref="I311" authorId="3" shapeId="0" xr:uid="{00000000-0006-0000-0300-00007A010000}">
      <text>
        <r>
          <rPr>
            <b/>
            <sz val="9"/>
            <color indexed="81"/>
            <rFont val="Tahoma"/>
            <family val="2"/>
          </rPr>
          <t>Windows User:</t>
        </r>
        <r>
          <rPr>
            <sz val="9"/>
            <color indexed="81"/>
            <rFont val="Tahoma"/>
            <family val="2"/>
          </rPr>
          <t xml:space="preserve">
- 5.159.700 từ 01/1/2024</t>
        </r>
      </text>
    </comment>
    <comment ref="I313" authorId="3" shapeId="0" xr:uid="{00000000-0006-0000-0300-00007B010000}">
      <text>
        <r>
          <rPr>
            <b/>
            <sz val="9"/>
            <color indexed="81"/>
            <rFont val="Tahoma"/>
            <family val="2"/>
          </rPr>
          <t>Windows User:</t>
        </r>
        <r>
          <rPr>
            <sz val="9"/>
            <color indexed="81"/>
            <rFont val="Tahoma"/>
            <family val="2"/>
          </rPr>
          <t xml:space="preserve">
- 4.680.000 lên 4.914.000 từ 01/11/2022</t>
        </r>
      </text>
    </comment>
    <comment ref="I314" authorId="3" shapeId="0" xr:uid="{00000000-0006-0000-0300-00007C010000}">
      <text>
        <r>
          <rPr>
            <b/>
            <sz val="9"/>
            <color indexed="81"/>
            <rFont val="Tahoma"/>
            <family val="2"/>
          </rPr>
          <t>Windows User:</t>
        </r>
        <r>
          <rPr>
            <sz val="9"/>
            <color indexed="81"/>
            <rFont val="Tahoma"/>
            <family val="2"/>
          </rPr>
          <t xml:space="preserve">
- Từ 4.680.000 lên 4.914.000 từ 01/11/2022</t>
        </r>
      </text>
    </comment>
    <comment ref="I315" authorId="2" shapeId="0" xr:uid="{00000000-0006-0000-0300-00007D010000}">
      <text>
        <r>
          <rPr>
            <b/>
            <sz val="9"/>
            <color indexed="81"/>
            <rFont val="Tahoma"/>
            <family val="2"/>
          </rPr>
          <t>user:</t>
        </r>
        <r>
          <rPr>
            <sz val="9"/>
            <color indexed="81"/>
            <rFont val="Tahoma"/>
            <family val="2"/>
          </rPr>
          <t xml:space="preserve">
- 4.420.000 từ 01/4/2021</t>
        </r>
      </text>
    </comment>
    <comment ref="I316" authorId="2" shapeId="0" xr:uid="{00000000-0006-0000-0300-00007E010000}">
      <text>
        <r>
          <rPr>
            <b/>
            <sz val="9"/>
            <color indexed="81"/>
            <rFont val="Tahoma"/>
            <family val="2"/>
          </rPr>
          <t>user:</t>
        </r>
        <r>
          <rPr>
            <sz val="9"/>
            <color indexed="81"/>
            <rFont val="Tahoma"/>
            <family val="2"/>
          </rPr>
          <t xml:space="preserve">
- 4.420.000 từ 01/4/2021</t>
        </r>
      </text>
    </comment>
    <comment ref="I318" authorId="3" shapeId="0" xr:uid="{00000000-0006-0000-0300-00007F010000}">
      <text>
        <r>
          <rPr>
            <b/>
            <sz val="9"/>
            <color indexed="81"/>
            <rFont val="Tahoma"/>
            <family val="2"/>
          </rPr>
          <t>Windows User:</t>
        </r>
        <r>
          <rPr>
            <sz val="9"/>
            <color indexed="81"/>
            <rFont val="Tahoma"/>
            <family val="2"/>
          </rPr>
          <t xml:space="preserve">
- 7.046.196 từ 01/01/2024</t>
        </r>
      </text>
    </comment>
    <comment ref="I320" authorId="2" shapeId="0" xr:uid="{00000000-0006-0000-0300-000080010000}">
      <text>
        <r>
          <rPr>
            <b/>
            <sz val="9"/>
            <color indexed="81"/>
            <rFont val="Tahoma"/>
            <family val="2"/>
          </rPr>
          <t>user:</t>
        </r>
        <r>
          <rPr>
            <sz val="9"/>
            <color indexed="81"/>
            <rFont val="Tahoma"/>
            <family val="2"/>
          </rPr>
          <t xml:space="preserve">
- 9.434.059 từ 01/11/2021
- 10.080.646 từ 01/11/2022
- 12.518.663 từ 01/11/2023</t>
        </r>
      </text>
    </comment>
    <comment ref="I321" authorId="2" shapeId="0" xr:uid="{00000000-0006-0000-0300-000081010000}">
      <text>
        <r>
          <rPr>
            <b/>
            <sz val="9"/>
            <color indexed="81"/>
            <rFont val="Tahoma"/>
            <family val="2"/>
          </rPr>
          <t>user:</t>
        </r>
        <r>
          <rPr>
            <sz val="9"/>
            <color indexed="81"/>
            <rFont val="Tahoma"/>
            <family val="2"/>
          </rPr>
          <t xml:space="preserve">
- 6.151.018 từ T6/20 (Nâng lương trước hạn)
- 7.515.057 từ 01/06/2023</t>
        </r>
      </text>
    </comment>
    <comment ref="I322" authorId="3" shapeId="0" xr:uid="{00000000-0006-0000-0300-000082010000}">
      <text>
        <r>
          <rPr>
            <b/>
            <sz val="9"/>
            <color indexed="81"/>
            <rFont val="Tahoma"/>
            <family val="2"/>
          </rPr>
          <t>Windows User:</t>
        </r>
        <r>
          <rPr>
            <sz val="9"/>
            <color indexed="81"/>
            <rFont val="Tahoma"/>
            <family val="2"/>
          </rPr>
          <t xml:space="preserve">
- 5.733.201 từ 01/8/2023</t>
        </r>
      </text>
    </comment>
    <comment ref="I323" authorId="2" shapeId="0" xr:uid="{00000000-0006-0000-0300-000083010000}">
      <text>
        <r>
          <rPr>
            <b/>
            <sz val="9"/>
            <color indexed="81"/>
            <rFont val="Tahoma"/>
            <family val="2"/>
          </rPr>
          <t>user:</t>
        </r>
        <r>
          <rPr>
            <sz val="9"/>
            <color indexed="81"/>
            <rFont val="Tahoma"/>
            <family val="2"/>
          </rPr>
          <t xml:space="preserve">
T4: 85% lương thử việc của: 5.060.458
- 5.733.201 từ 01/05/2023</t>
        </r>
      </text>
    </comment>
    <comment ref="I325" authorId="2" shapeId="0" xr:uid="{00000000-0006-0000-0300-000084010000}">
      <text>
        <r>
          <rPr>
            <b/>
            <sz val="9"/>
            <color indexed="81"/>
            <rFont val="Tahoma"/>
            <family val="2"/>
          </rPr>
          <t>user:</t>
        </r>
        <r>
          <rPr>
            <sz val="9"/>
            <color indexed="81"/>
            <rFont val="Tahoma"/>
            <family val="2"/>
          </rPr>
          <t xml:space="preserve">
- 6.781.498 từ 01/11/2021 (Nâng lương trước hạn)</t>
        </r>
      </text>
    </comment>
    <comment ref="I326" authorId="2" shapeId="0" xr:uid="{00000000-0006-0000-0300-000085010000}">
      <text>
        <r>
          <rPr>
            <b/>
            <sz val="9"/>
            <color indexed="81"/>
            <rFont val="Tahoma"/>
            <family val="2"/>
          </rPr>
          <t>user:</t>
        </r>
        <r>
          <rPr>
            <sz val="9"/>
            <color indexed="81"/>
            <rFont val="Tahoma"/>
            <family val="2"/>
          </rPr>
          <t xml:space="preserve">
- 5.474.872 từ 01/01/2021
- 6.086.769 từ 01/01/2023</t>
        </r>
      </text>
    </comment>
    <comment ref="I327" authorId="2" shapeId="0" xr:uid="{00000000-0006-0000-0300-000086010000}">
      <text>
        <r>
          <rPr>
            <b/>
            <sz val="9"/>
            <color indexed="81"/>
            <rFont val="Tahoma"/>
            <family val="2"/>
          </rPr>
          <t>user:</t>
        </r>
        <r>
          <rPr>
            <sz val="9"/>
            <color indexed="81"/>
            <rFont val="Tahoma"/>
            <family val="2"/>
          </rPr>
          <t xml:space="preserve">
- 5.474.872 từ 01/01/2021 (Nâng lương trước hạn)
- 6.086.769 từ 01/01/2023</t>
        </r>
      </text>
    </comment>
    <comment ref="I328" authorId="3" shapeId="0" xr:uid="{00000000-0006-0000-0300-000087010000}">
      <text>
        <r>
          <rPr>
            <b/>
            <sz val="9"/>
            <color indexed="81"/>
            <rFont val="Tahoma"/>
            <family val="2"/>
          </rPr>
          <t>Windows User:</t>
        </r>
        <r>
          <rPr>
            <sz val="9"/>
            <color indexed="81"/>
            <rFont val="Tahoma"/>
            <family val="2"/>
          </rPr>
          <t xml:space="preserve">
- 5.733.201 từ 01/12/2023</t>
        </r>
      </text>
    </comment>
    <comment ref="I329" authorId="3" shapeId="0" xr:uid="{00000000-0006-0000-0300-000088010000}">
      <text>
        <r>
          <rPr>
            <b/>
            <sz val="9"/>
            <color indexed="81"/>
            <rFont val="Tahoma"/>
            <family val="2"/>
          </rPr>
          <t>Windows User:</t>
        </r>
        <r>
          <rPr>
            <sz val="9"/>
            <color indexed="81"/>
            <rFont val="Tahoma"/>
            <family val="2"/>
          </rPr>
          <t xml:space="preserve">
- 5.257.980 từ 01/9/2023</t>
        </r>
      </text>
    </comment>
    <comment ref="I330" authorId="2" shapeId="0" xr:uid="{00000000-0006-0000-0300-000089010000}">
      <text>
        <r>
          <rPr>
            <b/>
            <sz val="9"/>
            <color indexed="81"/>
            <rFont val="Tahoma"/>
            <family val="2"/>
          </rPr>
          <t>user:</t>
        </r>
        <r>
          <rPr>
            <sz val="9"/>
            <color indexed="81"/>
            <rFont val="Tahoma"/>
            <family val="2"/>
          </rPr>
          <t xml:space="preserve">
- 5.257.980 lên 5.520.879 từ 01/11/2022</t>
        </r>
      </text>
    </comment>
    <comment ref="I331" authorId="3" shapeId="0" xr:uid="{00000000-0006-0000-0300-00008A010000}">
      <text>
        <r>
          <rPr>
            <b/>
            <sz val="9"/>
            <color indexed="81"/>
            <rFont val="Tahoma"/>
            <family val="2"/>
          </rPr>
          <t>Windows User:</t>
        </r>
        <r>
          <rPr>
            <sz val="9"/>
            <color indexed="81"/>
            <rFont val="Tahoma"/>
            <family val="2"/>
          </rPr>
          <t xml:space="preserve">
- 5.733.201 từ 01/7/2023</t>
        </r>
      </text>
    </comment>
    <comment ref="I332" authorId="2" shapeId="0" xr:uid="{00000000-0006-0000-0300-00008B010000}">
      <text>
        <r>
          <rPr>
            <b/>
            <sz val="9"/>
            <color indexed="81"/>
            <rFont val="Tahoma"/>
            <family val="2"/>
          </rPr>
          <t>user:</t>
        </r>
        <r>
          <rPr>
            <sz val="9"/>
            <color indexed="81"/>
            <rFont val="Tahoma"/>
            <family val="2"/>
          </rPr>
          <t xml:space="preserve">
- 5.858.113 lên 6.151.018 từ 01/12/2020
- 6.838.485 từ 01/12/2022</t>
        </r>
      </text>
    </comment>
    <comment ref="I334" authorId="3" shapeId="0" xr:uid="{00000000-0006-0000-0300-00008C010000}">
      <text>
        <r>
          <rPr>
            <b/>
            <sz val="9"/>
            <color indexed="81"/>
            <rFont val="Tahoma"/>
            <family val="2"/>
          </rPr>
          <t>Windows User:</t>
        </r>
        <r>
          <rPr>
            <sz val="9"/>
            <color indexed="81"/>
            <rFont val="Tahoma"/>
            <family val="2"/>
          </rPr>
          <t xml:space="preserve">
- 5.626.039 từ 01/01/2023</t>
        </r>
      </text>
    </comment>
    <comment ref="I335" authorId="3" shapeId="0" xr:uid="{00000000-0006-0000-0300-00008D010000}">
      <text>
        <r>
          <rPr>
            <b/>
            <sz val="9"/>
            <color indexed="81"/>
            <rFont val="Tahoma"/>
            <family val="2"/>
          </rPr>
          <t>Windows User:</t>
        </r>
        <r>
          <rPr>
            <sz val="9"/>
            <color indexed="81"/>
            <rFont val="Tahoma"/>
            <family val="2"/>
          </rPr>
          <t xml:space="preserve">
- 6.391.108 từ 01/01/2024</t>
        </r>
      </text>
    </comment>
    <comment ref="I336" authorId="3" shapeId="0" xr:uid="{00000000-0006-0000-0300-00008E010000}">
      <text>
        <r>
          <rPr>
            <b/>
            <sz val="9"/>
            <color indexed="81"/>
            <rFont val="Tahoma"/>
            <family val="2"/>
          </rPr>
          <t>Windows User:</t>
        </r>
        <r>
          <rPr>
            <sz val="9"/>
            <color indexed="81"/>
            <rFont val="Tahoma"/>
            <family val="2"/>
          </rPr>
          <t xml:space="preserve">
- 6.202.708 từ 01/04/2022</t>
        </r>
      </text>
    </comment>
    <comment ref="I337" authorId="3" shapeId="0" xr:uid="{00000000-0006-0000-0300-00008F010000}">
      <text>
        <r>
          <rPr>
            <b/>
            <sz val="9"/>
            <color indexed="81"/>
            <rFont val="Tahoma"/>
            <family val="2"/>
          </rPr>
          <t>Windows User:</t>
        </r>
        <r>
          <rPr>
            <sz val="9"/>
            <color indexed="81"/>
            <rFont val="Tahoma"/>
            <family val="2"/>
          </rPr>
          <t xml:space="preserve">
- 5.626.039 từ 01/01/2023</t>
        </r>
      </text>
    </comment>
    <comment ref="I338" authorId="2" shapeId="0" xr:uid="{00000000-0006-0000-0300-000090010000}">
      <text>
        <r>
          <rPr>
            <b/>
            <sz val="9"/>
            <color indexed="81"/>
            <rFont val="Tahoma"/>
            <family val="2"/>
          </rPr>
          <t>user:</t>
        </r>
        <r>
          <rPr>
            <sz val="9"/>
            <color indexed="81"/>
            <rFont val="Tahoma"/>
            <family val="2"/>
          </rPr>
          <t xml:space="preserve">
- 6,151,018 từ 01/01/2021
- 6.838.485 từ 01/01/2023</t>
        </r>
      </text>
    </comment>
    <comment ref="I339" authorId="3" shapeId="0" xr:uid="{00000000-0006-0000-0300-000091010000}">
      <text>
        <r>
          <rPr>
            <b/>
            <sz val="9"/>
            <color indexed="81"/>
            <rFont val="Tahoma"/>
            <family val="2"/>
          </rPr>
          <t>Windows User:</t>
        </r>
        <r>
          <rPr>
            <sz val="9"/>
            <color indexed="81"/>
            <rFont val="Tahoma"/>
            <family val="2"/>
          </rPr>
          <t xml:space="preserve">
- 7.180.409 từ 01/01/2022</t>
        </r>
      </text>
    </comment>
    <comment ref="I341" authorId="2" shapeId="0" xr:uid="{00000000-0006-0000-0300-000092010000}">
      <text>
        <r>
          <rPr>
            <b/>
            <sz val="9"/>
            <color indexed="81"/>
            <rFont val="Tahoma"/>
            <family val="2"/>
          </rPr>
          <t>user:</t>
        </r>
        <r>
          <rPr>
            <sz val="9"/>
            <color indexed="81"/>
            <rFont val="Tahoma"/>
            <family val="2"/>
          </rPr>
          <t xml:space="preserve">
- 4.873.050 từ 01/3/2021
- 5.417.685 từ 01/3/2023</t>
        </r>
      </text>
    </comment>
    <comment ref="I344" authorId="2" shapeId="0" xr:uid="{00000000-0006-0000-0300-000093010000}">
      <text>
        <r>
          <rPr>
            <b/>
            <sz val="9"/>
            <color indexed="81"/>
            <rFont val="Tahoma"/>
            <family val="2"/>
          </rPr>
          <t>user:</t>
        </r>
        <r>
          <rPr>
            <sz val="9"/>
            <color indexed="81"/>
            <rFont val="Tahoma"/>
            <family val="2"/>
          </rPr>
          <t xml:space="preserve">
- 6151018 từ T9/20 (Trước hạn)
- 7.515.057 từ T9/2023</t>
        </r>
      </text>
    </comment>
    <comment ref="I345" authorId="3" shapeId="0" xr:uid="{00000000-0006-0000-0300-000094010000}">
      <text>
        <r>
          <rPr>
            <b/>
            <sz val="9"/>
            <color indexed="81"/>
            <rFont val="Tahoma"/>
            <family val="2"/>
          </rPr>
          <t>Windows User:</t>
        </r>
        <r>
          <rPr>
            <sz val="9"/>
            <color indexed="81"/>
            <rFont val="Tahoma"/>
            <family val="2"/>
          </rPr>
          <t xml:space="preserve">
- 8.727.832 từ 01/06/2022</t>
        </r>
      </text>
    </comment>
    <comment ref="I346" authorId="3" shapeId="0" xr:uid="{00000000-0006-0000-0300-000095010000}">
      <text>
        <r>
          <rPr>
            <b/>
            <sz val="9"/>
            <color indexed="81"/>
            <rFont val="Tahoma"/>
            <family val="2"/>
          </rPr>
          <t>Windows User:</t>
        </r>
        <r>
          <rPr>
            <sz val="9"/>
            <color indexed="81"/>
            <rFont val="Tahoma"/>
            <family val="2"/>
          </rPr>
          <t xml:space="preserve">
- 6.086.769 từ 01/7/2023</t>
        </r>
      </text>
    </comment>
    <comment ref="I347" authorId="3" shapeId="0" xr:uid="{00000000-0006-0000-0300-000096010000}">
      <text>
        <r>
          <rPr>
            <b/>
            <sz val="9"/>
            <color indexed="81"/>
            <rFont val="Tahoma"/>
            <family val="2"/>
          </rPr>
          <t>Windows User:</t>
        </r>
        <r>
          <rPr>
            <sz val="9"/>
            <color indexed="81"/>
            <rFont val="Tahoma"/>
            <family val="2"/>
          </rPr>
          <t xml:space="preserve">
4.680.000đ từ 10/7/2023</t>
        </r>
      </text>
    </comment>
    <comment ref="I349" authorId="3" shapeId="0" xr:uid="{00000000-0006-0000-0300-000097010000}">
      <text>
        <r>
          <rPr>
            <b/>
            <sz val="9"/>
            <color indexed="81"/>
            <rFont val="Tahoma"/>
            <family val="2"/>
          </rPr>
          <t>Windows User:</t>
        </r>
        <r>
          <rPr>
            <sz val="9"/>
            <color indexed="81"/>
            <rFont val="Tahoma"/>
            <family val="2"/>
          </rPr>
          <t xml:space="preserve">
- 5.520.879 từ 01/12/2023</t>
        </r>
      </text>
    </comment>
    <comment ref="I350" authorId="3" shapeId="0" xr:uid="{00000000-0006-0000-0300-000098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H23" authorId="0" shapeId="0" xr:uid="{00000000-0006-0000-04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G24" authorId="1" shapeId="0" xr:uid="{00000000-0006-0000-0400-000002000000}">
      <text>
        <r>
          <rPr>
            <b/>
            <sz val="9"/>
            <color indexed="81"/>
            <rFont val="Tahoma"/>
            <family val="2"/>
          </rPr>
          <t>Admin:</t>
        </r>
        <r>
          <rPr>
            <sz val="9"/>
            <color indexed="81"/>
            <rFont val="Tahoma"/>
            <family val="2"/>
          </rPr>
          <t xml:space="preserve">
- HS 4,65 từ 01/12/2015
- HS 4,98 từ 01/12/2018</t>
        </r>
      </text>
    </comment>
    <comment ref="H24" authorId="2" shapeId="0" xr:uid="{00000000-0006-0000-0400-000003000000}">
      <text>
        <r>
          <rPr>
            <b/>
            <sz val="9"/>
            <color indexed="81"/>
            <rFont val="Tahoma"/>
            <family val="2"/>
          </rPr>
          <t>user:</t>
        </r>
        <r>
          <rPr>
            <sz val="9"/>
            <color indexed="81"/>
            <rFont val="Tahoma"/>
            <family val="2"/>
          </rPr>
          <t xml:space="preserve">
- VK 5% từ 01/12/2021
- VK 6% từ 01/12/2022
- VK 7% từ 01/12/2023</t>
        </r>
      </text>
    </comment>
    <comment ref="G25" authorId="0" shapeId="0" xr:uid="{00000000-0006-0000-0400-000004000000}">
      <text>
        <r>
          <rPr>
            <b/>
            <sz val="9"/>
            <color indexed="81"/>
            <rFont val="Tahoma"/>
            <family val="2"/>
          </rPr>
          <t>User:</t>
        </r>
        <r>
          <rPr>
            <sz val="9"/>
            <color indexed="81"/>
            <rFont val="Tahoma"/>
            <family val="2"/>
          </rPr>
          <t xml:space="preserve">
- 4,65 từ 01/10/2015
- HS 4,98 từ 01/10/17 (NL trước hạn)</t>
        </r>
      </text>
    </comment>
    <comment ref="H25" authorId="2" shapeId="0" xr:uid="{00000000-0006-0000-04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J25" authorId="1" shapeId="0" xr:uid="{00000000-0006-0000-0400-000006000000}">
      <text>
        <r>
          <rPr>
            <b/>
            <sz val="9"/>
            <color indexed="81"/>
            <rFont val="Tahoma"/>
            <family val="2"/>
          </rPr>
          <t>Admin:</t>
        </r>
        <r>
          <rPr>
            <sz val="9"/>
            <color indexed="81"/>
            <rFont val="Tahoma"/>
            <family val="2"/>
          </rPr>
          <t xml:space="preserve">
- HS 0,7 từ 01/11/2016</t>
        </r>
      </text>
    </comment>
    <comment ref="G26" authorId="2" shapeId="0" xr:uid="{00000000-0006-0000-0400-000007000000}">
      <text>
        <r>
          <rPr>
            <b/>
            <sz val="9"/>
            <color indexed="81"/>
            <rFont val="Tahoma"/>
            <family val="2"/>
          </rPr>
          <t>user:</t>
        </r>
        <r>
          <rPr>
            <sz val="9"/>
            <color indexed="81"/>
            <rFont val="Tahoma"/>
            <family val="2"/>
          </rPr>
          <t xml:space="preserve">
- HS 4.32 từ 01/4/2019
- HS 4,65 từ 01/4/2021 (NL trước hạn)
</t>
        </r>
      </text>
    </comment>
    <comment ref="J26" authorId="2" shapeId="0" xr:uid="{00000000-0006-0000-0400-000008000000}">
      <text>
        <r>
          <rPr>
            <b/>
            <sz val="9"/>
            <color indexed="81"/>
            <rFont val="Tahoma"/>
            <family val="2"/>
          </rPr>
          <t>user:</t>
        </r>
        <r>
          <rPr>
            <sz val="9"/>
            <color indexed="81"/>
            <rFont val="Tahoma"/>
            <family val="2"/>
          </rPr>
          <t xml:space="preserve">
- HS 0.7 từ 15/4/2019</t>
        </r>
      </text>
    </comment>
    <comment ref="G27" authorId="0" shapeId="0" xr:uid="{00000000-0006-0000-04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H27" authorId="3" shapeId="0" xr:uid="{00000000-0006-0000-0400-00000A000000}">
      <text>
        <r>
          <rPr>
            <b/>
            <sz val="9"/>
            <color indexed="81"/>
            <rFont val="Tahoma"/>
            <family val="2"/>
          </rPr>
          <t>Windows User:</t>
        </r>
        <r>
          <rPr>
            <sz val="9"/>
            <color indexed="81"/>
            <rFont val="Tahoma"/>
            <family val="2"/>
          </rPr>
          <t xml:space="preserve">
- VK 5% từ 01/9/2023</t>
        </r>
      </text>
    </comment>
    <comment ref="G28" authorId="4" shapeId="0" xr:uid="{00000000-0006-0000-04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J28" authorId="2" shapeId="0" xr:uid="{00000000-0006-0000-0400-00000C000000}">
      <text>
        <r>
          <rPr>
            <b/>
            <sz val="9"/>
            <color indexed="81"/>
            <rFont val="Tahoma"/>
            <family val="2"/>
          </rPr>
          <t>user:</t>
        </r>
        <r>
          <rPr>
            <sz val="9"/>
            <color indexed="81"/>
            <rFont val="Tahoma"/>
            <family val="2"/>
          </rPr>
          <t xml:space="preserve">
- PP TC-HC-TH từ 01/9/2020</t>
        </r>
      </text>
    </comment>
    <comment ref="G29" authorId="0" shapeId="0" xr:uid="{00000000-0006-0000-04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J29" authorId="2" shapeId="0" xr:uid="{00000000-0006-0000-0400-00000E000000}">
      <text>
        <r>
          <rPr>
            <b/>
            <sz val="9"/>
            <color indexed="81"/>
            <rFont val="Tahoma"/>
            <family val="2"/>
          </rPr>
          <t>user:</t>
        </r>
        <r>
          <rPr>
            <sz val="9"/>
            <color indexed="81"/>
            <rFont val="Tahoma"/>
            <family val="2"/>
          </rPr>
          <t xml:space="preserve">
BN Phó TP từ 01/03/2021</t>
        </r>
      </text>
    </comment>
    <comment ref="G30" authorId="5" shapeId="0" xr:uid="{00000000-0006-0000-04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G31" authorId="0" shapeId="0" xr:uid="{00000000-0006-0000-04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G32" authorId="1" shapeId="0" xr:uid="{00000000-0006-0000-04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G33" authorId="1" shapeId="0" xr:uid="{00000000-0006-0000-04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G34" authorId="5" shapeId="0" xr:uid="{00000000-0006-0000-04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G35" authorId="5" shapeId="0" xr:uid="{00000000-0006-0000-04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G36" authorId="1" shapeId="0" xr:uid="{00000000-0006-0000-04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G37" authorId="1" shapeId="0" xr:uid="{00000000-0006-0000-04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xr:uid="{00000000-0006-0000-0400-000017000000}">
      <text>
        <r>
          <rPr>
            <sz val="9"/>
            <color indexed="81"/>
            <rFont val="Tahoma"/>
            <family val="2"/>
          </rPr>
          <t>- Tập sự từ 01/4/2018 85% 2,1</t>
        </r>
        <r>
          <rPr>
            <sz val="9"/>
            <color indexed="81"/>
            <rFont val="Tahoma"/>
            <family val="2"/>
          </rPr>
          <t xml:space="preserve">
</t>
        </r>
      </text>
    </comment>
    <comment ref="G38" authorId="0" shapeId="0" xr:uid="{00000000-0006-0000-04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H38" authorId="3" shapeId="0" xr:uid="{00000000-0006-0000-0400-000019000000}">
      <text>
        <r>
          <rPr>
            <b/>
            <sz val="9"/>
            <color indexed="81"/>
            <rFont val="Tahoma"/>
            <family val="2"/>
          </rPr>
          <t>Windows User:</t>
        </r>
        <r>
          <rPr>
            <sz val="9"/>
            <color indexed="81"/>
            <rFont val="Tahoma"/>
            <family val="2"/>
          </rPr>
          <t xml:space="preserve">
- VK 5% từ 01/9/2023</t>
        </r>
      </text>
    </comment>
    <comment ref="G39" authorId="1" shapeId="0" xr:uid="{00000000-0006-0000-0400-00001A000000}">
      <text>
        <r>
          <rPr>
            <b/>
            <sz val="9"/>
            <color indexed="81"/>
            <rFont val="Tahoma"/>
            <family val="2"/>
          </rPr>
          <t>Admin:</t>
        </r>
        <r>
          <rPr>
            <sz val="9"/>
            <color indexed="81"/>
            <rFont val="Tahoma"/>
            <family val="2"/>
          </rPr>
          <t xml:space="preserve">
- HS 4,65 từ 01/12/2015
- HS 4,98 từ 01/12/2018</t>
        </r>
      </text>
    </comment>
    <comment ref="H39" authorId="2" shapeId="0" xr:uid="{00000000-0006-0000-0400-00001B000000}">
      <text>
        <r>
          <rPr>
            <b/>
            <sz val="9"/>
            <color indexed="81"/>
            <rFont val="Tahoma"/>
            <family val="2"/>
          </rPr>
          <t>user:</t>
        </r>
        <r>
          <rPr>
            <sz val="9"/>
            <color indexed="81"/>
            <rFont val="Tahoma"/>
            <family val="2"/>
          </rPr>
          <t xml:space="preserve">
- VK 5% từ 01/12/2021
- VK 6% từ 01/12/2022
- VK 7% từ 01/12/2023</t>
        </r>
      </text>
    </comment>
    <comment ref="J39" authorId="6" shapeId="0" xr:uid="{00000000-0006-0000-0400-00001C000000}">
      <text>
        <r>
          <rPr>
            <b/>
            <sz val="8"/>
            <color indexed="81"/>
            <rFont val="Tahoma"/>
            <family val="2"/>
          </rPr>
          <t>admin:</t>
        </r>
        <r>
          <rPr>
            <sz val="8"/>
            <color indexed="81"/>
            <rFont val="Tahoma"/>
            <family val="2"/>
          </rPr>
          <t xml:space="preserve">
+ QĐ Bổ nhiệm Phó Trưởng phòng QT CSVC từ 01/06/2014</t>
        </r>
      </text>
    </comment>
    <comment ref="G40" authorId="0" shapeId="0" xr:uid="{00000000-0006-0000-04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G41" authorId="1" shapeId="0" xr:uid="{00000000-0006-0000-04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G42" authorId="1" shapeId="0" xr:uid="{00000000-0006-0000-04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G43" authorId="1" shapeId="0" xr:uid="{00000000-0006-0000-04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G44" authorId="0" shapeId="0" xr:uid="{00000000-0006-0000-04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G45" authorId="1" shapeId="0" xr:uid="{00000000-0006-0000-0400-000022000000}">
      <text>
        <r>
          <rPr>
            <b/>
            <sz val="9"/>
            <color indexed="81"/>
            <rFont val="Tahoma"/>
            <family val="2"/>
          </rPr>
          <t>Admin:</t>
        </r>
        <r>
          <rPr>
            <sz val="9"/>
            <color indexed="81"/>
            <rFont val="Tahoma"/>
            <family val="2"/>
          </rPr>
          <t xml:space="preserve">
- HS 2,41 từ 01/11/2015
- HS 2,72 từ 01/11/2018
- HS 3,03 từ 01/11/2021</t>
        </r>
      </text>
    </comment>
    <comment ref="G46" authorId="0" shapeId="0" xr:uid="{00000000-0006-0000-04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J46" authorId="0" shapeId="0" xr:uid="{00000000-0006-0000-04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G47" authorId="1" shapeId="0" xr:uid="{00000000-0006-0000-0400-000025000000}">
      <text>
        <r>
          <rPr>
            <b/>
            <sz val="9"/>
            <color indexed="81"/>
            <rFont val="Tahoma"/>
            <family val="2"/>
          </rPr>
          <t>Admin:</t>
        </r>
        <r>
          <rPr>
            <sz val="9"/>
            <color indexed="81"/>
            <rFont val="Tahoma"/>
            <family val="2"/>
          </rPr>
          <t xml:space="preserve">
- Bổ nhiệm CDNN từ 01/4/2018
- HS 2,34 từ 01/2/2017
- HS 2,67 từ 01/2/2019</t>
        </r>
      </text>
    </comment>
    <comment ref="J47" authorId="7" shapeId="0" xr:uid="{00000000-0006-0000-04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G48" authorId="2" shapeId="0" xr:uid="{00000000-0006-0000-04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G49" authorId="0" shapeId="0" xr:uid="{00000000-0006-0000-04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H49" authorId="3" shapeId="0" xr:uid="{00000000-0006-0000-0400-000029000000}">
      <text>
        <r>
          <rPr>
            <b/>
            <sz val="9"/>
            <color indexed="81"/>
            <rFont val="Tahoma"/>
            <family val="2"/>
          </rPr>
          <t>Windows User:</t>
        </r>
        <r>
          <rPr>
            <sz val="9"/>
            <color indexed="81"/>
            <rFont val="Tahoma"/>
            <family val="2"/>
          </rPr>
          <t xml:space="preserve">
- VK 5% từ 01/9/2023</t>
        </r>
      </text>
    </comment>
    <comment ref="J49" authorId="0" shapeId="0" xr:uid="{00000000-0006-0000-0400-00002A000000}">
      <text>
        <r>
          <rPr>
            <b/>
            <sz val="9"/>
            <color indexed="81"/>
            <rFont val="Tahoma"/>
            <family val="2"/>
          </rPr>
          <t>User:</t>
        </r>
        <r>
          <rPr>
            <sz val="9"/>
            <color indexed="81"/>
            <rFont val="Tahoma"/>
            <family val="2"/>
          </rPr>
          <t xml:space="preserve">
- QĐ Bổ nhiệm Tổ trưởng tổ Ký túc xá SV từ 15/9/2015</t>
        </r>
      </text>
    </comment>
    <comment ref="G50" authorId="0" shapeId="0" xr:uid="{00000000-0006-0000-04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H51" authorId="3" shapeId="0" xr:uid="{00000000-0006-0000-0400-00002C000000}">
      <text>
        <r>
          <rPr>
            <b/>
            <sz val="9"/>
            <color indexed="81"/>
            <rFont val="Tahoma"/>
            <family val="2"/>
          </rPr>
          <t>Windows User:</t>
        </r>
        <r>
          <rPr>
            <sz val="9"/>
            <color indexed="81"/>
            <rFont val="Tahoma"/>
            <family val="2"/>
          </rPr>
          <t xml:space="preserve">
- VK 10% từ 01/9/2023</t>
        </r>
      </text>
    </comment>
    <comment ref="J51" authorId="3" shapeId="0" xr:uid="{00000000-0006-0000-0400-00002D000000}">
      <text>
        <r>
          <rPr>
            <b/>
            <sz val="9"/>
            <color indexed="81"/>
            <rFont val="Tahoma"/>
            <family val="2"/>
          </rPr>
          <t>Windows User:</t>
        </r>
        <r>
          <rPr>
            <sz val="9"/>
            <color indexed="81"/>
            <rFont val="Tahoma"/>
            <family val="2"/>
          </rPr>
          <t xml:space="preserve">
- Phó TP QT-DV từ T10/23</t>
        </r>
      </text>
    </comment>
    <comment ref="G52" authorId="1" shapeId="0" xr:uid="{00000000-0006-0000-04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G53" authorId="1" shapeId="0" xr:uid="{00000000-0006-0000-04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H54" authorId="1" shapeId="0" xr:uid="{00000000-0006-0000-0400-000030000000}">
      <text>
        <r>
          <rPr>
            <sz val="9"/>
            <color indexed="81"/>
            <rFont val="Tahoma"/>
            <family val="2"/>
          </rPr>
          <t>- 31% từ 01/10/2017
- 32% từ 01/10/2018
- 33% từ 01/10/2019
- 34% từ 01/10/2020
- 35% từ 01/10/2021
- 36% từ 01/10/2022</t>
        </r>
      </text>
    </comment>
    <comment ref="J54" authorId="0" shapeId="0" xr:uid="{00000000-0006-0000-0400-000031000000}">
      <text>
        <r>
          <rPr>
            <b/>
            <sz val="9"/>
            <color indexed="81"/>
            <rFont val="Tahoma"/>
            <family val="2"/>
          </rPr>
          <t>User:</t>
        </r>
        <r>
          <rPr>
            <sz val="9"/>
            <color indexed="81"/>
            <rFont val="Tahoma"/>
            <family val="2"/>
          </rPr>
          <t xml:space="preserve">
Trưởng phòng Kế toán từ 19/8/2015
</t>
        </r>
      </text>
    </comment>
    <comment ref="G55" authorId="0" shapeId="0" xr:uid="{00000000-0006-0000-04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G56" authorId="0" shapeId="0" xr:uid="{00000000-0006-0000-04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G57" authorId="1" shapeId="0" xr:uid="{00000000-0006-0000-04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G58" authorId="0" shapeId="0" xr:uid="{00000000-0006-0000-04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G59" authorId="1" shapeId="0" xr:uid="{00000000-0006-0000-0400-000036000000}">
      <text>
        <r>
          <rPr>
            <b/>
            <sz val="9"/>
            <color indexed="81"/>
            <rFont val="Tahoma"/>
            <family val="2"/>
          </rPr>
          <t>Admin:</t>
        </r>
        <r>
          <rPr>
            <sz val="9"/>
            <color indexed="81"/>
            <rFont val="Tahoma"/>
            <family val="2"/>
          </rPr>
          <t xml:space="preserve">
- HS 3,66 từ 01/01/2017
- HS 3,99 từ 01/01/2019</t>
        </r>
      </text>
    </comment>
    <comment ref="J59" authorId="1" shapeId="0" xr:uid="{00000000-0006-0000-0400-000037000000}">
      <text>
        <r>
          <rPr>
            <b/>
            <sz val="9"/>
            <color indexed="81"/>
            <rFont val="Tahoma"/>
            <family val="2"/>
          </rPr>
          <t>Admin:</t>
        </r>
        <r>
          <rPr>
            <sz val="9"/>
            <color indexed="81"/>
            <rFont val="Tahoma"/>
            <family val="2"/>
          </rPr>
          <t xml:space="preserve">
- Phụ trách TT Quan hệ DN từ 01/5/2018
- Trưởng TT từ 01/12/2019</t>
        </r>
      </text>
    </comment>
    <comment ref="G60" authorId="0" shapeId="0" xr:uid="{00000000-0006-0000-0400-000038000000}">
      <text>
        <r>
          <rPr>
            <b/>
            <sz val="9"/>
            <color indexed="81"/>
            <rFont val="Tahoma"/>
            <family val="2"/>
          </rPr>
          <t>User:</t>
        </r>
        <r>
          <rPr>
            <sz val="9"/>
            <color indexed="81"/>
            <rFont val="Tahoma"/>
            <family val="2"/>
          </rPr>
          <t xml:space="preserve">
- HS 3,33 từ 01/9/2015
- HS 3,66 từ 01/9/2018
- HS 3,99 từ 01/9/2021</t>
        </r>
      </text>
    </comment>
    <comment ref="G61" authorId="1" shapeId="0" xr:uid="{00000000-0006-0000-04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G62" authorId="1" shapeId="0" xr:uid="{00000000-0006-0000-0400-00003A000000}">
      <text>
        <r>
          <rPr>
            <b/>
            <sz val="9"/>
            <color indexed="81"/>
            <rFont val="Tahoma"/>
            <family val="2"/>
          </rPr>
          <t>Admin:</t>
        </r>
        <r>
          <rPr>
            <sz val="9"/>
            <color indexed="81"/>
            <rFont val="Tahoma"/>
            <family val="2"/>
          </rPr>
          <t xml:space="preserve">
- HS 4,65 từ 01/9/2016
- HS 4,98 từ 01/9/2018 (NL trước hạn)</t>
        </r>
      </text>
    </comment>
    <comment ref="H62" authorId="2" shapeId="0" xr:uid="{00000000-0006-0000-0400-00003B000000}">
      <text>
        <r>
          <rPr>
            <b/>
            <sz val="9"/>
            <color indexed="81"/>
            <rFont val="Tahoma"/>
            <family val="2"/>
          </rPr>
          <t>user:</t>
        </r>
        <r>
          <rPr>
            <sz val="9"/>
            <color indexed="81"/>
            <rFont val="Tahoma"/>
            <family val="2"/>
          </rPr>
          <t xml:space="preserve">
- VK 5% từ 01/9/2021
- VK 6% từ 01/9/2022
- VK 7% từ 01/9/2023</t>
        </r>
      </text>
    </comment>
    <comment ref="J62" authorId="2" shapeId="0" xr:uid="{00000000-0006-0000-0400-00003C000000}">
      <text>
        <r>
          <rPr>
            <b/>
            <sz val="9"/>
            <color indexed="81"/>
            <rFont val="Tahoma"/>
            <family val="2"/>
          </rPr>
          <t>user:</t>
        </r>
        <r>
          <rPr>
            <sz val="9"/>
            <color indexed="81"/>
            <rFont val="Tahoma"/>
            <family val="2"/>
          </rPr>
          <t xml:space="preserve">
BN Trưởng phòng T10/19</t>
        </r>
      </text>
    </comment>
    <comment ref="G63" authorId="1" shapeId="0" xr:uid="{00000000-0006-0000-0400-00003D000000}">
      <text>
        <r>
          <rPr>
            <b/>
            <sz val="9"/>
            <color indexed="81"/>
            <rFont val="Tahoma"/>
            <family val="2"/>
          </rPr>
          <t>Admin:</t>
        </r>
        <r>
          <rPr>
            <sz val="9"/>
            <color indexed="81"/>
            <rFont val="Tahoma"/>
            <family val="2"/>
          </rPr>
          <t xml:space="preserve">
- HS 3.33 từ 01/01/2016
- HS 3,66 từ 01/01/2019</t>
        </r>
      </text>
    </comment>
    <comment ref="G64" authorId="1" shapeId="0" xr:uid="{00000000-0006-0000-0400-00003E000000}">
      <text>
        <r>
          <rPr>
            <b/>
            <sz val="9"/>
            <color indexed="81"/>
            <rFont val="Tahoma"/>
            <family val="2"/>
          </rPr>
          <t>Admin:</t>
        </r>
        <r>
          <rPr>
            <sz val="9"/>
            <color indexed="81"/>
            <rFont val="Tahoma"/>
            <family val="2"/>
          </rPr>
          <t xml:space="preserve">
- HS 3,00 từ 01/9/2016
- HS 3,33 từ 01/9/2019
- HS 3,66 từ 01/9/2022
</t>
        </r>
      </text>
    </comment>
    <comment ref="G65" authorId="1" shapeId="0" xr:uid="{00000000-0006-0000-04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66" authorId="1" shapeId="0" xr:uid="{00000000-0006-0000-0400-000040000000}">
      <text>
        <r>
          <rPr>
            <b/>
            <sz val="9"/>
            <color indexed="81"/>
            <rFont val="Tahoma"/>
            <family val="2"/>
          </rPr>
          <t>Admin:</t>
        </r>
        <r>
          <rPr>
            <sz val="9"/>
            <color indexed="81"/>
            <rFont val="Tahoma"/>
            <family val="2"/>
          </rPr>
          <t xml:space="preserve">
- HS 3,66 từ 01/9/2016
- HS 3,99 từ 01/9/2019
- HS 4,32 từ 01/9/2022</t>
        </r>
      </text>
    </comment>
    <comment ref="G67" authorId="0" shapeId="0" xr:uid="{00000000-0006-0000-04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xr:uid="{00000000-0006-0000-04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G68" authorId="2" shapeId="0" xr:uid="{00000000-0006-0000-0400-000043000000}">
      <text>
        <r>
          <rPr>
            <b/>
            <sz val="9"/>
            <color indexed="81"/>
            <rFont val="Tahoma"/>
            <family val="2"/>
          </rPr>
          <t>user:</t>
        </r>
        <r>
          <rPr>
            <sz val="9"/>
            <color indexed="81"/>
            <rFont val="Tahoma"/>
            <family val="2"/>
          </rPr>
          <t xml:space="preserve">
- HS 3,33 từ 01/11/2019
- HS 3,66 từ 01/11/2022</t>
        </r>
      </text>
    </comment>
    <comment ref="G69" authorId="1" shapeId="0" xr:uid="{00000000-0006-0000-04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J69" authorId="1" shapeId="0" xr:uid="{00000000-0006-0000-04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G70" authorId="0" shapeId="0" xr:uid="{00000000-0006-0000-04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J70" authorId="3" shapeId="0" xr:uid="{00000000-0006-0000-0400-000047000000}">
      <text>
        <r>
          <rPr>
            <b/>
            <sz val="9"/>
            <color indexed="81"/>
            <rFont val="Tahoma"/>
            <family val="2"/>
          </rPr>
          <t>Windows User:</t>
        </r>
        <r>
          <rPr>
            <sz val="9"/>
            <color indexed="81"/>
            <rFont val="Tahoma"/>
            <family val="2"/>
          </rPr>
          <t xml:space="preserve">
- Phó Trưởng phòng TS - Đào tạo từ T10/22</t>
        </r>
      </text>
    </comment>
    <comment ref="G71" authorId="0" shapeId="0" xr:uid="{00000000-0006-0000-04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G72" authorId="1" shapeId="0" xr:uid="{00000000-0006-0000-04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G73" authorId="1" shapeId="0" xr:uid="{00000000-0006-0000-04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G74" authorId="1" shapeId="0" xr:uid="{00000000-0006-0000-04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G75" authorId="1" shapeId="0" xr:uid="{00000000-0006-0000-04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G76" authorId="1" shapeId="0" xr:uid="{00000000-0006-0000-04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G77" authorId="1" shapeId="0" xr:uid="{00000000-0006-0000-0400-00004E000000}">
      <text>
        <r>
          <rPr>
            <b/>
            <sz val="9"/>
            <color indexed="81"/>
            <rFont val="Tahoma"/>
            <family val="2"/>
          </rPr>
          <t>Admin:</t>
        </r>
        <r>
          <rPr>
            <sz val="9"/>
            <color indexed="81"/>
            <rFont val="Tahoma"/>
            <family val="2"/>
          </rPr>
          <t xml:space="preserve">
- HS 2.67 từ 01/02/2016
- HS 3,00 từ 01/02/2019</t>
        </r>
      </text>
    </comment>
    <comment ref="G78" authorId="0" shapeId="0" xr:uid="{00000000-0006-0000-04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78" authorId="0" shapeId="0" xr:uid="{00000000-0006-0000-0400-000050000000}">
      <text>
        <r>
          <rPr>
            <b/>
            <sz val="9"/>
            <color indexed="81"/>
            <rFont val="Tahoma"/>
            <family val="2"/>
          </rPr>
          <t>User:</t>
        </r>
        <r>
          <rPr>
            <sz val="9"/>
            <color indexed="81"/>
            <rFont val="Tahoma"/>
            <family val="2"/>
          </rPr>
          <t xml:space="preserve">
- Phó Trưởng phòng từ 01/8/2015
- Trưởng phòng từ 01/9/2018</t>
        </r>
      </text>
    </comment>
    <comment ref="G79" authorId="0" shapeId="0" xr:uid="{00000000-0006-0000-04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H80" authorId="0" shapeId="0" xr:uid="{00000000-0006-0000-04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G81" authorId="5" shapeId="0" xr:uid="{00000000-0006-0000-04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xr:uid="{00000000-0006-0000-0400-000054000000}">
      <text>
        <r>
          <rPr>
            <b/>
            <sz val="9"/>
            <color indexed="81"/>
            <rFont val="Tahoma"/>
            <family val="2"/>
          </rPr>
          <t>Admin:</t>
        </r>
        <r>
          <rPr>
            <sz val="9"/>
            <color indexed="81"/>
            <rFont val="Tahoma"/>
            <family val="2"/>
          </rPr>
          <t xml:space="preserve">
Chuyển từ THPT lên khối Cao đẳng từ 01/06/2016</t>
        </r>
      </text>
    </comment>
    <comment ref="G82" authorId="1" shapeId="0" xr:uid="{00000000-0006-0000-04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G83" authorId="8" shapeId="0" xr:uid="{00000000-0006-0000-0400-000056000000}">
      <text>
        <r>
          <rPr>
            <sz val="9"/>
            <color indexed="81"/>
            <rFont val="Tahoma"/>
            <family val="2"/>
          </rPr>
          <t>- HS 3,00 từ 01/11/2017
- HS 3,33 từ 01/11/2020
- HS 3,66 từ 01/11/2022</t>
        </r>
      </text>
    </comment>
    <comment ref="G84" authorId="2" shapeId="0" xr:uid="{00000000-0006-0000-0400-000057000000}">
      <text>
        <r>
          <rPr>
            <b/>
            <sz val="9"/>
            <color indexed="81"/>
            <rFont val="Tahoma"/>
            <family val="2"/>
          </rPr>
          <t>user:</t>
        </r>
        <r>
          <rPr>
            <sz val="9"/>
            <color indexed="81"/>
            <rFont val="Tahoma"/>
            <family val="2"/>
          </rPr>
          <t xml:space="preserve">
- Tuyển dụng từ 01/11/2019
- HS 3,00 từ 01/11/2022 (NL trước hạn)</t>
        </r>
      </text>
    </comment>
    <comment ref="J84" authorId="3" shapeId="0" xr:uid="{00000000-0006-0000-0400-000058000000}">
      <text>
        <r>
          <rPr>
            <b/>
            <sz val="9"/>
            <color indexed="81"/>
            <rFont val="Tahoma"/>
            <family val="2"/>
          </rPr>
          <t>Windows User:</t>
        </r>
        <r>
          <rPr>
            <sz val="9"/>
            <color indexed="81"/>
            <rFont val="Tahoma"/>
            <family val="2"/>
          </rPr>
          <t xml:space="preserve">
- Phó Trưởng TT ĐH&amp;QLDL từ T10/23</t>
        </r>
      </text>
    </comment>
    <comment ref="G85" authorId="0" shapeId="0" xr:uid="{00000000-0006-0000-04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J85" authorId="6" shapeId="0" xr:uid="{00000000-0006-0000-04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G86" authorId="0" shapeId="0" xr:uid="{00000000-0006-0000-0400-00005B000000}">
      <text>
        <r>
          <rPr>
            <b/>
            <sz val="9"/>
            <color indexed="81"/>
            <rFont val="Tahoma"/>
            <family val="2"/>
          </rPr>
          <t>User:</t>
        </r>
        <r>
          <rPr>
            <sz val="9"/>
            <color indexed="81"/>
            <rFont val="Tahoma"/>
            <family val="2"/>
          </rPr>
          <t xml:space="preserve">
- 3.00 từ 01/12/2015
- 3,33 từ 01/12/2018
- 3,66 từ 01/12/2021</t>
        </r>
      </text>
    </comment>
    <comment ref="G87" authorId="1" shapeId="0" xr:uid="{00000000-0006-0000-04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G88" authorId="4" shapeId="0" xr:uid="{00000000-0006-0000-0400-00005D000000}">
      <text>
        <r>
          <rPr>
            <b/>
            <sz val="9"/>
            <color indexed="81"/>
            <rFont val="Tahoma"/>
            <family val="2"/>
          </rPr>
          <t>Quynh:</t>
        </r>
        <r>
          <rPr>
            <sz val="9"/>
            <color indexed="81"/>
            <rFont val="Tahoma"/>
            <family val="2"/>
          </rPr>
          <t xml:space="preserve">
- HS 3,00 từ 01/3/2016
</t>
        </r>
      </text>
    </comment>
    <comment ref="J88" authorId="2" shapeId="0" xr:uid="{00000000-0006-0000-04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G89" authorId="0" shapeId="0" xr:uid="{00000000-0006-0000-04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G90" authorId="1" shapeId="0" xr:uid="{00000000-0006-0000-0400-000060000000}">
      <text>
        <r>
          <rPr>
            <b/>
            <sz val="9"/>
            <color indexed="81"/>
            <rFont val="Tahoma"/>
            <family val="2"/>
          </rPr>
          <t>Admin:</t>
        </r>
        <r>
          <rPr>
            <sz val="9"/>
            <color indexed="81"/>
            <rFont val="Tahoma"/>
            <family val="2"/>
          </rPr>
          <t xml:space="preserve">
- HS 2,67 từ 01/4/2016
- HS 3.00 từ 01/4/2019
- HS 3,33 từ 01/4/2022
</t>
        </r>
      </text>
    </comment>
    <comment ref="G91" authorId="1" shapeId="0" xr:uid="{00000000-0006-0000-0400-000061000000}">
      <text>
        <r>
          <rPr>
            <b/>
            <sz val="9"/>
            <color indexed="81"/>
            <rFont val="Tahoma"/>
            <family val="2"/>
          </rPr>
          <t>Admin:</t>
        </r>
        <r>
          <rPr>
            <sz val="9"/>
            <color indexed="81"/>
            <rFont val="Tahoma"/>
            <family val="2"/>
          </rPr>
          <t xml:space="preserve">
- HS 4,65 từ 01/9/2017
- HS 4,98 từ 01/9/2020</t>
        </r>
      </text>
    </comment>
    <comment ref="H91" authorId="3" shapeId="0" xr:uid="{00000000-0006-0000-0400-000062000000}">
      <text>
        <r>
          <rPr>
            <b/>
            <sz val="9"/>
            <color indexed="81"/>
            <rFont val="Tahoma"/>
            <family val="2"/>
          </rPr>
          <t>Windows User:</t>
        </r>
        <r>
          <rPr>
            <sz val="9"/>
            <color indexed="81"/>
            <rFont val="Tahoma"/>
            <family val="2"/>
          </rPr>
          <t xml:space="preserve">
- 5% từ 01/9/2023</t>
        </r>
      </text>
    </comment>
    <comment ref="G92" authorId="8" shapeId="0" xr:uid="{00000000-0006-0000-0400-000063000000}">
      <text>
        <r>
          <rPr>
            <sz val="9"/>
            <color indexed="81"/>
            <rFont val="Tahoma"/>
            <family val="2"/>
          </rPr>
          <t>- HS 4,32 từ 01/12/2017
- HS 4,65 từ 01/12/2019
- HS 4,98 từ 01/12/2022</t>
        </r>
      </text>
    </comment>
    <comment ref="J92" authorId="0" shapeId="0" xr:uid="{00000000-0006-0000-0400-000064000000}">
      <text>
        <r>
          <rPr>
            <b/>
            <sz val="9"/>
            <color indexed="81"/>
            <rFont val="Tahoma"/>
            <family val="2"/>
          </rPr>
          <t>User:</t>
        </r>
        <r>
          <rPr>
            <sz val="9"/>
            <color indexed="81"/>
            <rFont val="Tahoma"/>
            <family val="2"/>
          </rPr>
          <t xml:space="preserve">
Trưởng khoa Kinh tế từ 20/8/2015
</t>
        </r>
      </text>
    </comment>
    <comment ref="G94" authorId="2" shapeId="0" xr:uid="{00000000-0006-0000-0400-000065000000}">
      <text>
        <r>
          <rPr>
            <b/>
            <sz val="9"/>
            <color indexed="81"/>
            <rFont val="Tahoma"/>
            <family val="2"/>
          </rPr>
          <t>user:</t>
        </r>
        <r>
          <rPr>
            <sz val="9"/>
            <color indexed="81"/>
            <rFont val="Tahoma"/>
            <family val="2"/>
          </rPr>
          <t xml:space="preserve">
- HS 2,34 từ 01/10/2019
- HS 2,67 từ 01/10/2021 (NL trước hạn)</t>
        </r>
      </text>
    </comment>
    <comment ref="J94" authorId="2" shapeId="0" xr:uid="{00000000-0006-0000-04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G95" authorId="1" shapeId="0" xr:uid="{00000000-0006-0000-04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G96" authorId="1" shapeId="0" xr:uid="{00000000-0006-0000-04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J96" authorId="2" shapeId="0" xr:uid="{00000000-0006-0000-0400-000069000000}">
      <text>
        <r>
          <rPr>
            <b/>
            <sz val="9"/>
            <color indexed="81"/>
            <rFont val="Tahoma"/>
            <family val="2"/>
          </rPr>
          <t>user:</t>
        </r>
        <r>
          <rPr>
            <sz val="9"/>
            <color indexed="81"/>
            <rFont val="Tahoma"/>
            <family val="2"/>
          </rPr>
          <t xml:space="preserve">
Phụ trách khoa Xây dựng từ 01/5/2019
- TK từ 01/5/2023</t>
        </r>
      </text>
    </comment>
    <comment ref="G97" authorId="2" shapeId="0" xr:uid="{00000000-0006-0000-0400-00006A000000}">
      <text>
        <r>
          <rPr>
            <b/>
            <sz val="9"/>
            <color indexed="81"/>
            <rFont val="Tahoma"/>
            <family val="2"/>
          </rPr>
          <t>user:</t>
        </r>
        <r>
          <rPr>
            <sz val="9"/>
            <color indexed="81"/>
            <rFont val="Tahoma"/>
            <family val="2"/>
          </rPr>
          <t xml:space="preserve">
- Tuyển dụng từ T5/20
- HS 2,67 từ 01/5/2021
- HS 3,00 từ 01/9/2024</t>
        </r>
      </text>
    </comment>
    <comment ref="G98" authorId="2" shapeId="0" xr:uid="{00000000-0006-0000-0400-00006B000000}">
      <text>
        <r>
          <rPr>
            <b/>
            <sz val="9"/>
            <color indexed="81"/>
            <rFont val="Tahoma"/>
            <family val="2"/>
          </rPr>
          <t>user:</t>
        </r>
        <r>
          <rPr>
            <sz val="9"/>
            <color indexed="81"/>
            <rFont val="Tahoma"/>
            <family val="2"/>
          </rPr>
          <t xml:space="preserve">
- HS 1,989 từ 01/4/21 (Tuyển dụng)
- HS 2,34 từ 01/4/2022</t>
        </r>
      </text>
    </comment>
    <comment ref="G99" authorId="1" shapeId="0" xr:uid="{00000000-0006-0000-0400-00006C000000}">
      <text>
        <r>
          <rPr>
            <b/>
            <sz val="9"/>
            <color indexed="81"/>
            <rFont val="Tahoma"/>
            <family val="2"/>
          </rPr>
          <t>Admin:</t>
        </r>
        <r>
          <rPr>
            <sz val="9"/>
            <color indexed="81"/>
            <rFont val="Tahoma"/>
            <family val="2"/>
          </rPr>
          <t xml:space="preserve">
- HS 3,33 từ 01/9/2016
- HS 3,66 từ 01/9/2019
- HS 3,99 từ 01/9/2022</t>
        </r>
      </text>
    </comment>
    <comment ref="J99" authorId="4" shapeId="0" xr:uid="{00000000-0006-0000-04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G100" authorId="4" shapeId="0" xr:uid="{00000000-0006-0000-0400-00006E000000}">
      <text>
        <r>
          <rPr>
            <b/>
            <sz val="9"/>
            <color indexed="81"/>
            <rFont val="Tahoma"/>
            <family val="2"/>
          </rPr>
          <t>Quynh:</t>
        </r>
        <r>
          <rPr>
            <sz val="9"/>
            <color indexed="81"/>
            <rFont val="Tahoma"/>
            <family val="2"/>
          </rPr>
          <t xml:space="preserve">
- HS 2,67 từ 01/10/2018
- HS 3,00 từ 01/10/2021</t>
        </r>
      </text>
    </comment>
    <comment ref="G101" authorId="2" shapeId="0" xr:uid="{00000000-0006-0000-0400-00006F000000}">
      <text>
        <r>
          <rPr>
            <b/>
            <sz val="9"/>
            <color indexed="81"/>
            <rFont val="Tahoma"/>
            <family val="2"/>
          </rPr>
          <t>user:</t>
        </r>
        <r>
          <rPr>
            <sz val="9"/>
            <color indexed="81"/>
            <rFont val="Tahoma"/>
            <family val="2"/>
          </rPr>
          <t xml:space="preserve">
- HS 2,67 từ 01/10/2019
- HS 3,00 từ 01/10/2022</t>
        </r>
      </text>
    </comment>
    <comment ref="G102" authorId="1" shapeId="0" xr:uid="{00000000-0006-0000-0400-000070000000}">
      <text>
        <r>
          <rPr>
            <b/>
            <sz val="9"/>
            <color indexed="81"/>
            <rFont val="Tahoma"/>
            <family val="2"/>
          </rPr>
          <t>Admin:</t>
        </r>
        <r>
          <rPr>
            <sz val="9"/>
            <color indexed="81"/>
            <rFont val="Tahoma"/>
            <family val="2"/>
          </rPr>
          <t xml:space="preserve">
- HS 3,00 từ 01/12/2016
- HS 3,33 từ 01/12/2019
- HS 3,66 từ 01/12/2021</t>
        </r>
      </text>
    </comment>
    <comment ref="J102" authorId="4" shapeId="0" xr:uid="{00000000-0006-0000-04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G103" authorId="2" shapeId="0" xr:uid="{00000000-0006-0000-04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G104" authorId="1" shapeId="0" xr:uid="{00000000-0006-0000-0400-000073000000}">
      <text>
        <r>
          <rPr>
            <b/>
            <sz val="9"/>
            <color indexed="81"/>
            <rFont val="Tahoma"/>
            <family val="2"/>
          </rPr>
          <t>Admin:</t>
        </r>
        <r>
          <rPr>
            <sz val="9"/>
            <color indexed="81"/>
            <rFont val="Tahoma"/>
            <family val="2"/>
          </rPr>
          <t xml:space="preserve">
- HS 2,67 từ 01/9/2016
- HS 3,00 từ 01/9/2019
- HS 3,33 từ 01/9/2022</t>
        </r>
      </text>
    </comment>
    <comment ref="G105" authorId="4" shapeId="0" xr:uid="{00000000-0006-0000-0400-000074000000}">
      <text>
        <r>
          <rPr>
            <b/>
            <sz val="9"/>
            <color indexed="81"/>
            <rFont val="Tahoma"/>
            <family val="2"/>
          </rPr>
          <t>Quynh:</t>
        </r>
        <r>
          <rPr>
            <sz val="9"/>
            <color indexed="81"/>
            <rFont val="Tahoma"/>
            <family val="2"/>
          </rPr>
          <t xml:space="preserve">
- HS 2,67 từ 01/10/2018
- HS 3,00 từ 01/10/2021</t>
        </r>
      </text>
    </comment>
    <comment ref="G106" authorId="1" shapeId="0" xr:uid="{00000000-0006-0000-0400-000075000000}">
      <text>
        <r>
          <rPr>
            <b/>
            <sz val="9"/>
            <color indexed="81"/>
            <rFont val="Tahoma"/>
            <family val="2"/>
          </rPr>
          <t>Admin:</t>
        </r>
        <r>
          <rPr>
            <sz val="9"/>
            <color indexed="81"/>
            <rFont val="Tahoma"/>
            <family val="2"/>
          </rPr>
          <t xml:space="preserve">
- HS 3,00 từ 01/9/2016
- HS 3,33 từ 01/9/2019
- HS 3,66 từ 01/9/2022</t>
        </r>
      </text>
    </comment>
    <comment ref="G107" authorId="1" shapeId="0" xr:uid="{00000000-0006-0000-0400-000076000000}">
      <text>
        <r>
          <rPr>
            <b/>
            <sz val="9"/>
            <color indexed="81"/>
            <rFont val="Tahoma"/>
            <family val="2"/>
          </rPr>
          <t>Admin:</t>
        </r>
        <r>
          <rPr>
            <sz val="9"/>
            <color indexed="81"/>
            <rFont val="Tahoma"/>
            <family val="2"/>
          </rPr>
          <t xml:space="preserve">
- HS 2,34 từ 01/09/2016
- HS 2,67 từ 01/09/2019
- HS 3,00 từ 01/09/2022
</t>
        </r>
      </text>
    </comment>
    <comment ref="G108" authorId="1" shapeId="0" xr:uid="{00000000-0006-0000-0400-000077000000}">
      <text>
        <r>
          <rPr>
            <sz val="9"/>
            <color indexed="81"/>
            <rFont val="Tahoma"/>
            <family val="2"/>
          </rPr>
          <t>- HS 3,00  từ 01/01/2018
- HS 3,33 từ 01/01/2020 (NL trước hạn)
- HS 3,66 từ 01/01/2023</t>
        </r>
      </text>
    </comment>
    <comment ref="J108" authorId="4" shapeId="0" xr:uid="{00000000-0006-0000-0400-000078000000}">
      <text>
        <r>
          <rPr>
            <b/>
            <sz val="9"/>
            <color indexed="81"/>
            <rFont val="Tahoma"/>
            <family val="2"/>
          </rPr>
          <t>Quynh:</t>
        </r>
        <r>
          <rPr>
            <sz val="9"/>
            <color indexed="81"/>
            <rFont val="Tahoma"/>
            <family val="2"/>
          </rPr>
          <t xml:space="preserve">
- BN Trưởng BM Cơ sở ngành từ 01/1/2019</t>
        </r>
      </text>
    </comment>
    <comment ref="G109" authorId="2" shapeId="0" xr:uid="{00000000-0006-0000-04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G110" authorId="2" shapeId="0" xr:uid="{00000000-0006-0000-0400-00007A000000}">
      <text>
        <r>
          <rPr>
            <b/>
            <sz val="9"/>
            <color indexed="81"/>
            <rFont val="Tahoma"/>
            <family val="2"/>
          </rPr>
          <t>user:</t>
        </r>
        <r>
          <rPr>
            <sz val="9"/>
            <color indexed="81"/>
            <rFont val="Tahoma"/>
            <family val="2"/>
          </rPr>
          <t xml:space="preserve">
- HS 2,34 từ 01/5/2021
- HS 2,67 từ 01/5/2023 (NL trước hạn)</t>
        </r>
      </text>
    </comment>
    <comment ref="J110" authorId="3" shapeId="0" xr:uid="{00000000-0006-0000-0400-00007B000000}">
      <text>
        <r>
          <rPr>
            <b/>
            <sz val="9"/>
            <color indexed="81"/>
            <rFont val="Tahoma"/>
            <family val="2"/>
          </rPr>
          <t>Windows User:</t>
        </r>
        <r>
          <rPr>
            <sz val="9"/>
            <color indexed="81"/>
            <rFont val="Tahoma"/>
            <family val="2"/>
          </rPr>
          <t xml:space="preserve">
- BN Trưởng khoa DL-KS từ 01/12/2023</t>
        </r>
      </text>
    </comment>
    <comment ref="G111" authorId="7" shapeId="0" xr:uid="{00000000-0006-0000-0400-00007C000000}">
      <text>
        <r>
          <rPr>
            <b/>
            <sz val="9"/>
            <color indexed="81"/>
            <rFont val="Tahoma"/>
            <family val="2"/>
          </rPr>
          <t>huynh-panda:</t>
        </r>
        <r>
          <rPr>
            <sz val="9"/>
            <color indexed="81"/>
            <rFont val="Tahoma"/>
            <family val="2"/>
          </rPr>
          <t xml:space="preserve">
- HS 2,34 từ 01/05/2022</t>
        </r>
      </text>
    </comment>
    <comment ref="G112" authorId="7" shapeId="0" xr:uid="{00000000-0006-0000-0400-00007D000000}">
      <text>
        <r>
          <rPr>
            <b/>
            <sz val="9"/>
            <color indexed="81"/>
            <rFont val="Tahoma"/>
            <family val="2"/>
          </rPr>
          <t>huynh-panda:</t>
        </r>
        <r>
          <rPr>
            <sz val="9"/>
            <color indexed="81"/>
            <rFont val="Tahoma"/>
            <family val="2"/>
          </rPr>
          <t xml:space="preserve">
- TD từ 01/7/2022 (HS 1,989)
- HS 2,34 từ 01/7/2023</t>
        </r>
      </text>
    </comment>
    <comment ref="G113" authorId="7" shapeId="0" xr:uid="{00000000-0006-0000-0400-00007E000000}">
      <text>
        <r>
          <rPr>
            <b/>
            <sz val="9"/>
            <color indexed="81"/>
            <rFont val="Tahoma"/>
            <family val="2"/>
          </rPr>
          <t>huynh-panda:</t>
        </r>
        <r>
          <rPr>
            <sz val="9"/>
            <color indexed="81"/>
            <rFont val="Tahoma"/>
            <family val="2"/>
          </rPr>
          <t xml:space="preserve">
- TD từ 01/7/2022 (HS 1,989)
- HS 3,33 từ 01/3/2022
</t>
        </r>
      </text>
    </comment>
    <comment ref="B114" authorId="3" shapeId="0" xr:uid="{00000000-0006-0000-0400-00007F000000}">
      <text>
        <r>
          <rPr>
            <b/>
            <sz val="9"/>
            <color indexed="81"/>
            <rFont val="Tahoma"/>
            <family val="2"/>
          </rPr>
          <t>Windows User:</t>
        </r>
        <r>
          <rPr>
            <sz val="9"/>
            <color indexed="81"/>
            <rFont val="Tahoma"/>
            <family val="2"/>
          </rPr>
          <t xml:space="preserve">
- Thuyên chuyển từ CĐ Kinh tế - Kỹ thuật về từ T10/2022
</t>
        </r>
      </text>
    </comment>
    <comment ref="G115" authorId="3" shapeId="0" xr:uid="{00000000-0006-0000-0400-000080000000}">
      <text>
        <r>
          <rPr>
            <b/>
            <sz val="9"/>
            <color indexed="81"/>
            <rFont val="Tahoma"/>
            <family val="2"/>
          </rPr>
          <t>Windows User:</t>
        </r>
        <r>
          <rPr>
            <sz val="9"/>
            <color indexed="81"/>
            <rFont val="Tahoma"/>
            <family val="2"/>
          </rPr>
          <t xml:space="preserve">
- HS 2,67 từ 01/10/2022
- HS 3,00 từ 01/11/2022</t>
        </r>
      </text>
    </comment>
    <comment ref="B116" authorId="3" shapeId="0" xr:uid="{00000000-0006-0000-0400-000081000000}">
      <text>
        <r>
          <rPr>
            <b/>
            <sz val="9"/>
            <color indexed="81"/>
            <rFont val="Tahoma"/>
            <family val="2"/>
          </rPr>
          <t>Windows User:</t>
        </r>
        <r>
          <rPr>
            <sz val="9"/>
            <color indexed="81"/>
            <rFont val="Tahoma"/>
            <family val="2"/>
          </rPr>
          <t xml:space="preserve">
- Thuyên chuyển từ ĐH GTVT về trường từ T10/2023</t>
        </r>
      </text>
    </comment>
    <comment ref="G117" authorId="1" shapeId="0" xr:uid="{00000000-0006-0000-04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G118" authorId="1" shapeId="0" xr:uid="{00000000-0006-0000-0400-000083000000}">
      <text>
        <r>
          <rPr>
            <b/>
            <sz val="9"/>
            <color indexed="81"/>
            <rFont val="Tahoma"/>
            <family val="2"/>
          </rPr>
          <t>Admin:</t>
        </r>
        <r>
          <rPr>
            <sz val="9"/>
            <color indexed="81"/>
            <rFont val="Tahoma"/>
            <family val="2"/>
          </rPr>
          <t xml:space="preserve">
- HS 3,00 từ 01/9/2016
- HS 3,33 từ 01/9/2019
- HS 3,66 từ 01/9/2022</t>
        </r>
      </text>
    </comment>
    <comment ref="G119" authorId="1" shapeId="0" xr:uid="{00000000-0006-0000-0400-000084000000}">
      <text>
        <r>
          <rPr>
            <b/>
            <sz val="9"/>
            <color indexed="81"/>
            <rFont val="Tahoma"/>
            <family val="2"/>
          </rPr>
          <t>Admin:</t>
        </r>
        <r>
          <rPr>
            <sz val="9"/>
            <color indexed="81"/>
            <rFont val="Tahoma"/>
            <family val="2"/>
          </rPr>
          <t xml:space="preserve">
- HS 2,67 từ 01/9/2016
- HS 3,00 từ 01/9/2019
- HS 3,33 từ 01/9/2022</t>
        </r>
      </text>
    </comment>
    <comment ref="J119" authorId="1" shapeId="0" xr:uid="{00000000-0006-0000-04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G120" authorId="1" shapeId="0" xr:uid="{00000000-0006-0000-0400-000086000000}">
      <text>
        <r>
          <rPr>
            <b/>
            <sz val="9"/>
            <color indexed="81"/>
            <rFont val="Tahoma"/>
            <family val="2"/>
          </rPr>
          <t>Admin:</t>
        </r>
        <r>
          <rPr>
            <sz val="9"/>
            <color indexed="81"/>
            <rFont val="Tahoma"/>
            <family val="2"/>
          </rPr>
          <t xml:space="preserve">
- HS 2,67 từ 01/9/2016
- HS 3,00 từ 01/9/2019
- HS 3,33 từ 01/9/2022</t>
        </r>
      </text>
    </comment>
    <comment ref="G121" authorId="1" shapeId="0" xr:uid="{00000000-0006-0000-04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G122" authorId="8" shapeId="0" xr:uid="{00000000-0006-0000-0400-000088000000}">
      <text>
        <r>
          <rPr>
            <sz val="9"/>
            <color indexed="81"/>
            <rFont val="Tahoma"/>
            <family val="2"/>
          </rPr>
          <t>- HS 2,67 từ 01/12/2017
- HS 3,00 từ 01/12/2020
- HS 3,33 từ 01/12/2022 (NL trước hạn)</t>
        </r>
      </text>
    </comment>
    <comment ref="G123" authorId="0" shapeId="0" xr:uid="{00000000-0006-0000-04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H123" authorId="3" shapeId="0" xr:uid="{00000000-0006-0000-0400-00008A000000}">
      <text>
        <r>
          <rPr>
            <b/>
            <sz val="9"/>
            <color indexed="81"/>
            <rFont val="Tahoma"/>
            <family val="2"/>
          </rPr>
          <t>Windows User:</t>
        </r>
        <r>
          <rPr>
            <sz val="9"/>
            <color indexed="81"/>
            <rFont val="Tahoma"/>
            <family val="2"/>
          </rPr>
          <t xml:space="preserve">
- VK 5% từ 01/11/2023</t>
        </r>
      </text>
    </comment>
    <comment ref="G124" authorId="4" shapeId="0" xr:uid="{00000000-0006-0000-0400-00008B000000}">
      <text>
        <r>
          <rPr>
            <b/>
            <sz val="9"/>
            <color indexed="81"/>
            <rFont val="Tahoma"/>
            <family val="2"/>
          </rPr>
          <t>Quynh:</t>
        </r>
        <r>
          <rPr>
            <sz val="9"/>
            <color indexed="81"/>
            <rFont val="Tahoma"/>
            <family val="2"/>
          </rPr>
          <t xml:space="preserve">
- HS 2,67 từ 01/10/2018
- HS 3,00 từ 01/10/2021
- HS 3,33 từ 01/10/2023 (NL trước hạn)</t>
        </r>
      </text>
    </comment>
    <comment ref="G125" authorId="2" shapeId="0" xr:uid="{00000000-0006-0000-0400-00008C000000}">
      <text>
        <r>
          <rPr>
            <b/>
            <sz val="9"/>
            <color indexed="81"/>
            <rFont val="Tahoma"/>
            <family val="2"/>
          </rPr>
          <t>user:</t>
        </r>
        <r>
          <rPr>
            <sz val="9"/>
            <color indexed="81"/>
            <rFont val="Tahoma"/>
            <family val="2"/>
          </rPr>
          <t xml:space="preserve">
- HS 2,67 từ 01/10/2019
- HS 3,00 từ 01/10/2022</t>
        </r>
      </text>
    </comment>
    <comment ref="G126" authorId="0" shapeId="0" xr:uid="{00000000-0006-0000-04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J126" authorId="2" shapeId="0" xr:uid="{00000000-0006-0000-0400-00008E000000}">
      <text>
        <r>
          <rPr>
            <b/>
            <sz val="9"/>
            <color indexed="81"/>
            <rFont val="Tahoma"/>
            <family val="2"/>
          </rPr>
          <t>user:</t>
        </r>
        <r>
          <rPr>
            <sz val="9"/>
            <color indexed="81"/>
            <rFont val="Tahoma"/>
            <family val="2"/>
          </rPr>
          <t xml:space="preserve">
- Trưởng TT Thư viện từ 01/9/2020</t>
        </r>
      </text>
    </comment>
    <comment ref="K126" authorId="1" shapeId="0" xr:uid="{00000000-0006-0000-04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G127" authorId="1" shapeId="0" xr:uid="{00000000-0006-0000-0400-000090000000}">
      <text>
        <r>
          <rPr>
            <b/>
            <sz val="9"/>
            <color indexed="81"/>
            <rFont val="Tahoma"/>
            <family val="2"/>
          </rPr>
          <t>Admin:</t>
        </r>
        <r>
          <rPr>
            <sz val="9"/>
            <color indexed="81"/>
            <rFont val="Tahoma"/>
            <family val="2"/>
          </rPr>
          <t xml:space="preserve">
- HS 4,65 từ 01/6/2016 (NL Trước hạn năm 2017)</t>
        </r>
      </text>
    </comment>
    <comment ref="H127" authorId="7" shapeId="0" xr:uid="{00000000-0006-0000-0400-000091000000}">
      <text>
        <r>
          <rPr>
            <b/>
            <sz val="9"/>
            <color indexed="81"/>
            <rFont val="Tahoma"/>
            <family val="2"/>
          </rPr>
          <t>Quynh-panda:</t>
        </r>
        <r>
          <rPr>
            <sz val="9"/>
            <color indexed="81"/>
            <rFont val="Tahoma"/>
            <family val="2"/>
          </rPr>
          <t xml:space="preserve">
- VK 5% từ 01/06/2022</t>
        </r>
      </text>
    </comment>
    <comment ref="G128" authorId="0" shapeId="0" xr:uid="{00000000-0006-0000-04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G129" authorId="0" shapeId="0" xr:uid="{00000000-0006-0000-0400-000093000000}">
      <text>
        <r>
          <rPr>
            <b/>
            <sz val="9"/>
            <color indexed="81"/>
            <rFont val="Tahoma"/>
            <family val="2"/>
          </rPr>
          <t>User:</t>
        </r>
        <r>
          <rPr>
            <sz val="9"/>
            <color indexed="81"/>
            <rFont val="Tahoma"/>
            <family val="2"/>
          </rPr>
          <t xml:space="preserve">
' HS 3,33 từ 01/9/15
- HS 3,66 từ 01/9/2018
- HS 3,99 từ 01/9/2021</t>
        </r>
      </text>
    </comment>
    <comment ref="G130" authorId="1" shapeId="0" xr:uid="{00000000-0006-0000-0400-000094000000}">
      <text>
        <r>
          <rPr>
            <b/>
            <sz val="9"/>
            <color indexed="81"/>
            <rFont val="Tahoma"/>
            <family val="2"/>
          </rPr>
          <t>Admin:</t>
        </r>
        <r>
          <rPr>
            <sz val="9"/>
            <color indexed="81"/>
            <rFont val="Tahoma"/>
            <family val="2"/>
          </rPr>
          <t xml:space="preserve">
- HS 3,00 từ 01/12/2016
- HS 3,33 từ 01/12/2019
- HS 3,66 từ 01/12/2022</t>
        </r>
      </text>
    </comment>
    <comment ref="G131" authorId="1" shapeId="0" xr:uid="{00000000-0006-0000-0400-000095000000}">
      <text>
        <r>
          <rPr>
            <b/>
            <sz val="9"/>
            <color indexed="81"/>
            <rFont val="Tahoma"/>
            <family val="2"/>
          </rPr>
          <t>Admin:</t>
        </r>
        <r>
          <rPr>
            <sz val="9"/>
            <color indexed="81"/>
            <rFont val="Tahoma"/>
            <family val="2"/>
          </rPr>
          <t xml:space="preserve">
- HS 3,99 từ 01/12/2015
- HS 4,32 từ 01/12/2018
- HS 4,65 từ 01/12/2021</t>
        </r>
      </text>
    </comment>
    <comment ref="G132" authorId="1" shapeId="0" xr:uid="{00000000-0006-0000-04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33" authorId="0" shapeId="0" xr:uid="{00000000-0006-0000-0400-000097000000}">
      <text>
        <r>
          <rPr>
            <b/>
            <sz val="9"/>
            <color indexed="81"/>
            <rFont val="Tahoma"/>
            <family val="2"/>
          </rPr>
          <t>User:</t>
        </r>
        <r>
          <rPr>
            <sz val="9"/>
            <color indexed="81"/>
            <rFont val="Tahoma"/>
            <family val="2"/>
          </rPr>
          <t xml:space="preserve">
- HS 4,65 từ 01/9/2015
- HS 4,98 từ 01/9/17 (NL trước hạn)</t>
        </r>
      </text>
    </comment>
    <comment ref="H133" authorId="2" shapeId="0" xr:uid="{00000000-0006-0000-0400-000098000000}">
      <text>
        <r>
          <rPr>
            <b/>
            <sz val="9"/>
            <color indexed="81"/>
            <rFont val="Tahoma"/>
            <family val="2"/>
          </rPr>
          <t>user:</t>
        </r>
        <r>
          <rPr>
            <sz val="9"/>
            <color indexed="81"/>
            <rFont val="Tahoma"/>
            <family val="2"/>
          </rPr>
          <t xml:space="preserve">
- 5% từ 01/9/2020
- 6% từ 01/9/2021
- 7% từ 01/9/2022
- 8% từ 01/9/2023</t>
        </r>
      </text>
    </comment>
    <comment ref="G134" authorId="0" shapeId="0" xr:uid="{00000000-0006-0000-04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G135" authorId="1" shapeId="0" xr:uid="{00000000-0006-0000-0400-00009A000000}">
      <text>
        <r>
          <rPr>
            <b/>
            <sz val="9"/>
            <color indexed="81"/>
            <rFont val="Tahoma"/>
            <family val="2"/>
          </rPr>
          <t>Admin:</t>
        </r>
        <r>
          <rPr>
            <sz val="9"/>
            <color indexed="81"/>
            <rFont val="Tahoma"/>
            <family val="2"/>
          </rPr>
          <t xml:space="preserve">
- HS 3,00 từ 01/11/2016
- HS 3,33 từ 01/11/2019
- HS 3,66 từ 01/11/2022</t>
        </r>
      </text>
    </comment>
    <comment ref="G136" authorId="0" shapeId="0" xr:uid="{00000000-0006-0000-04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J136" authorId="1" shapeId="0" xr:uid="{00000000-0006-0000-0400-00009C000000}">
      <text>
        <r>
          <rPr>
            <b/>
            <sz val="9"/>
            <color indexed="81"/>
            <rFont val="Tahoma"/>
            <family val="2"/>
          </rPr>
          <t>Admin:</t>
        </r>
        <r>
          <rPr>
            <sz val="9"/>
            <color indexed="81"/>
            <rFont val="Tahoma"/>
            <family val="2"/>
          </rPr>
          <t xml:space="preserve">
- BN Phó TK từ 01/8/2018</t>
        </r>
      </text>
    </comment>
    <comment ref="G137" authorId="0" shapeId="0" xr:uid="{00000000-0006-0000-0400-00009D000000}">
      <text>
        <r>
          <rPr>
            <b/>
            <sz val="9"/>
            <color indexed="81"/>
            <rFont val="Tahoma"/>
            <family val="2"/>
          </rPr>
          <t>User:</t>
        </r>
        <r>
          <rPr>
            <sz val="9"/>
            <color indexed="81"/>
            <rFont val="Tahoma"/>
            <family val="2"/>
          </rPr>
          <t xml:space="preserve">
- HS 4,32 từ 01/9/2014
- HS 4,65 từ 01/9/2017
- HS 4,98 từ 01/9/2020</t>
        </r>
      </text>
    </comment>
    <comment ref="H137" authorId="3" shapeId="0" xr:uid="{00000000-0006-0000-0400-00009E000000}">
      <text>
        <r>
          <rPr>
            <b/>
            <sz val="9"/>
            <color indexed="81"/>
            <rFont val="Tahoma"/>
            <family val="2"/>
          </rPr>
          <t>Windows User:</t>
        </r>
        <r>
          <rPr>
            <sz val="9"/>
            <color indexed="81"/>
            <rFont val="Tahoma"/>
            <family val="2"/>
          </rPr>
          <t xml:space="preserve">
- VK 5% từ 01/9/2023</t>
        </r>
      </text>
    </comment>
    <comment ref="G138" authorId="0" shapeId="0" xr:uid="{00000000-0006-0000-04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G139" authorId="1" shapeId="0" xr:uid="{00000000-0006-0000-0400-0000A0000000}">
      <text>
        <r>
          <rPr>
            <b/>
            <sz val="9"/>
            <color indexed="81"/>
            <rFont val="Tahoma"/>
            <family val="2"/>
          </rPr>
          <t>Admin:</t>
        </r>
        <r>
          <rPr>
            <sz val="9"/>
            <color indexed="81"/>
            <rFont val="Tahoma"/>
            <family val="2"/>
          </rPr>
          <t xml:space="preserve">
- HS 3,00 từ 01/9/2016
- HS 3,33 từ 01/3/2020
- HS 3,66 từ 01/03/2023</t>
        </r>
      </text>
    </comment>
    <comment ref="G140" authorId="1" shapeId="0" xr:uid="{00000000-0006-0000-0400-0000A1000000}">
      <text>
        <r>
          <rPr>
            <b/>
            <sz val="9"/>
            <color indexed="81"/>
            <rFont val="Tahoma"/>
            <family val="2"/>
          </rPr>
          <t>Admin:</t>
        </r>
        <r>
          <rPr>
            <sz val="9"/>
            <color indexed="81"/>
            <rFont val="Tahoma"/>
            <family val="2"/>
          </rPr>
          <t xml:space="preserve">
- HS 2,67 từ 01/9/2017
- HS 3,00 từ 01/9/2020</t>
        </r>
      </text>
    </comment>
    <comment ref="G141" authorId="1" shapeId="0" xr:uid="{00000000-0006-0000-04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G142" authorId="0" shapeId="0" xr:uid="{00000000-0006-0000-0400-0000A3000000}">
      <text>
        <r>
          <rPr>
            <b/>
            <sz val="9"/>
            <color indexed="81"/>
            <rFont val="Tahoma"/>
            <family val="2"/>
          </rPr>
          <t>User:</t>
        </r>
        <r>
          <rPr>
            <sz val="9"/>
            <color indexed="81"/>
            <rFont val="Tahoma"/>
            <family val="2"/>
          </rPr>
          <t xml:space="preserve">
- HS 3,33 từ 01/9/2015
- HS 3,66 từ 01/9/2018
- HS 3,99 từ 01/9/2021</t>
        </r>
      </text>
    </comment>
    <comment ref="J142" authorId="1" shapeId="0" xr:uid="{00000000-0006-0000-0400-0000A4000000}">
      <text>
        <r>
          <rPr>
            <b/>
            <sz val="9"/>
            <color indexed="81"/>
            <rFont val="Tahoma"/>
            <family val="2"/>
          </rPr>
          <t>Admin:</t>
        </r>
        <r>
          <rPr>
            <sz val="9"/>
            <color indexed="81"/>
            <rFont val="Tahoma"/>
            <family val="2"/>
          </rPr>
          <t xml:space="preserve">
+ BN Tổ trưởng CM từ 03/5/2017</t>
        </r>
      </text>
    </comment>
    <comment ref="G143" authorId="1" shapeId="0" xr:uid="{00000000-0006-0000-0400-0000A5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G144" authorId="8" shapeId="0" xr:uid="{00000000-0006-0000-0400-0000A6000000}">
      <text>
        <r>
          <rPr>
            <sz val="9"/>
            <color indexed="81"/>
            <rFont val="Tahoma"/>
            <family val="2"/>
          </rPr>
          <t>- HS 3,33 từ 01/3/2018
- HS 3,66 từ 01/3/2020 (NL trước hạn)
- HS 3,99 từ 01/3/2023</t>
        </r>
      </text>
    </comment>
    <comment ref="G145" authorId="0" shapeId="0" xr:uid="{00000000-0006-0000-04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G146" authorId="1" shapeId="0" xr:uid="{00000000-0006-0000-0400-0000A8000000}">
      <text>
        <r>
          <rPr>
            <b/>
            <sz val="9"/>
            <color indexed="81"/>
            <rFont val="Tahoma"/>
            <family val="2"/>
          </rPr>
          <t>Admin:</t>
        </r>
        <r>
          <rPr>
            <sz val="9"/>
            <color indexed="81"/>
            <rFont val="Tahoma"/>
            <family val="2"/>
          </rPr>
          <t xml:space="preserve">
- HS 3,66 từ 01/9/2016
- HS 3,99 từ 01/9/2019
- HS 4,32 từ 01/9/2022</t>
        </r>
      </text>
    </comment>
    <comment ref="G147" authorId="8" shapeId="0" xr:uid="{00000000-0006-0000-0400-0000A9000000}">
      <text>
        <r>
          <rPr>
            <sz val="9"/>
            <color indexed="81"/>
            <rFont val="Tahoma"/>
            <family val="2"/>
          </rPr>
          <t xml:space="preserve">- HS 3,99 từ 01/12/2017
- HS 4,32 từ 01/12/2020
- HS 4,65 từ 01/12/2023
</t>
        </r>
      </text>
    </comment>
    <comment ref="G148" authorId="1" shapeId="0" xr:uid="{00000000-0006-0000-0400-0000AA000000}">
      <text>
        <r>
          <rPr>
            <b/>
            <sz val="9"/>
            <color indexed="81"/>
            <rFont val="Tahoma"/>
            <family val="2"/>
          </rPr>
          <t>Admin:</t>
        </r>
        <r>
          <rPr>
            <sz val="9"/>
            <color indexed="81"/>
            <rFont val="Tahoma"/>
            <family val="2"/>
          </rPr>
          <t xml:space="preserve">
- HS 3,99 từ 01/9/2017
- HS 4,32 từ 01/9/2019
- HS 4,65 từ 01/9/2022</t>
        </r>
      </text>
    </comment>
    <comment ref="J148" authorId="2" shapeId="0" xr:uid="{00000000-0006-0000-0400-0000AB000000}">
      <text>
        <r>
          <rPr>
            <b/>
            <sz val="9"/>
            <color indexed="81"/>
            <rFont val="Tahoma"/>
            <family val="2"/>
          </rPr>
          <t>user:</t>
        </r>
        <r>
          <rPr>
            <sz val="9"/>
            <color indexed="81"/>
            <rFont val="Tahoma"/>
            <family val="2"/>
          </rPr>
          <t xml:space="preserve">
- Trưởng BM Cơ điện tử và tự động hóa từ 01/1/2020</t>
        </r>
      </text>
    </comment>
    <comment ref="G149" authorId="1" shapeId="0" xr:uid="{00000000-0006-0000-0400-0000AC000000}">
      <text>
        <r>
          <rPr>
            <b/>
            <sz val="9"/>
            <color indexed="81"/>
            <rFont val="Tahoma"/>
            <family val="2"/>
          </rPr>
          <t>Admin:</t>
        </r>
        <r>
          <rPr>
            <sz val="9"/>
            <color indexed="81"/>
            <rFont val="Tahoma"/>
            <family val="2"/>
          </rPr>
          <t xml:space="preserve">
- HS 3,99 từ 01/9/2017
- HS 4,32 từ 01/9/2020
- HS 4,65 từ 01/9/2023</t>
        </r>
      </text>
    </comment>
    <comment ref="G150" authorId="1" shapeId="0" xr:uid="{00000000-0006-0000-0400-0000AD000000}">
      <text>
        <r>
          <rPr>
            <b/>
            <sz val="9"/>
            <color indexed="81"/>
            <rFont val="Tahoma"/>
            <family val="2"/>
          </rPr>
          <t>Admin:</t>
        </r>
        <r>
          <rPr>
            <sz val="9"/>
            <color indexed="81"/>
            <rFont val="Tahoma"/>
            <family val="2"/>
          </rPr>
          <t xml:space="preserve">
- HS 3,33 từ 01/9/2017
- HS 3,66 từ 01/9/2020
- HS 3,99 từ 01/9/2023</t>
        </r>
      </text>
    </comment>
    <comment ref="G151" authorId="1" shapeId="0" xr:uid="{00000000-0006-0000-0400-0000AE000000}">
      <text>
        <r>
          <rPr>
            <b/>
            <sz val="9"/>
            <color indexed="81"/>
            <rFont val="Tahoma"/>
            <family val="2"/>
          </rPr>
          <t>Admin:</t>
        </r>
        <r>
          <rPr>
            <sz val="9"/>
            <color indexed="81"/>
            <rFont val="Tahoma"/>
            <family val="2"/>
          </rPr>
          <t xml:space="preserve">
- HS 4,32 từ 01/9/2016
- HS 4,65 từ 01/9/2019
- HS 4,98 từ 01/9/2022</t>
        </r>
      </text>
    </comment>
    <comment ref="G152" authorId="1" shapeId="0" xr:uid="{00000000-0006-0000-0400-0000AF000000}">
      <text>
        <r>
          <rPr>
            <b/>
            <sz val="9"/>
            <color indexed="81"/>
            <rFont val="Tahoma"/>
            <family val="2"/>
          </rPr>
          <t>Admin:</t>
        </r>
        <r>
          <rPr>
            <sz val="9"/>
            <color indexed="81"/>
            <rFont val="Tahoma"/>
            <family val="2"/>
          </rPr>
          <t xml:space="preserve">
- HS 3,33 từ 01/9/2017
- HS 3,66 từ 01/9/2020
- HS 3,99 từ 01/9/2023</t>
        </r>
      </text>
    </comment>
    <comment ref="J152" authorId="0" shapeId="0" xr:uid="{00000000-0006-0000-0400-0000B0000000}">
      <text>
        <r>
          <rPr>
            <b/>
            <sz val="9"/>
            <color indexed="81"/>
            <rFont val="Tahoma"/>
            <family val="2"/>
          </rPr>
          <t>User:</t>
        </r>
        <r>
          <rPr>
            <sz val="9"/>
            <color indexed="81"/>
            <rFont val="Tahoma"/>
            <family val="2"/>
          </rPr>
          <t xml:space="preserve">
Miễn nhiệm Phó Trưởng BM từ 01/9/2015. Bảo lưu HS PC hết T02/2016</t>
        </r>
      </text>
    </comment>
    <comment ref="G153" authorId="1" shapeId="0" xr:uid="{00000000-0006-0000-0400-0000B1000000}">
      <text>
        <r>
          <rPr>
            <sz val="9"/>
            <color indexed="81"/>
            <rFont val="Tahoma"/>
            <family val="2"/>
          </rPr>
          <t>- HS 3,00 từ 01/01/2018
- HS 3,33 từ 01/01/2023</t>
        </r>
      </text>
    </comment>
    <comment ref="J153" authorId="2" shapeId="0" xr:uid="{00000000-0006-0000-04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G154" authorId="1" shapeId="0" xr:uid="{00000000-0006-0000-0400-0000B3000000}">
      <text>
        <r>
          <rPr>
            <b/>
            <sz val="9"/>
            <color indexed="81"/>
            <rFont val="Tahoma"/>
            <family val="2"/>
          </rPr>
          <t>Admin:</t>
        </r>
        <r>
          <rPr>
            <sz val="9"/>
            <color indexed="81"/>
            <rFont val="Tahoma"/>
            <family val="2"/>
          </rPr>
          <t xml:space="preserve">
- HS 2,34 từ 01/09/2016
- HS 2,67 từ 01/9/2019
- HS 3,00 từ 0/09/2022</t>
        </r>
      </text>
    </comment>
    <comment ref="G155" authorId="2" shapeId="0" xr:uid="{00000000-0006-0000-0400-0000B4000000}">
      <text>
        <r>
          <rPr>
            <b/>
            <sz val="9"/>
            <color indexed="81"/>
            <rFont val="Tahoma"/>
            <family val="2"/>
          </rPr>
          <t>user:</t>
        </r>
        <r>
          <rPr>
            <sz val="9"/>
            <color indexed="81"/>
            <rFont val="Tahoma"/>
            <family val="2"/>
          </rPr>
          <t xml:space="preserve">
- Tuyển dụng từ 01/10/2020
- HS 2,34 từ 01/10/2021</t>
        </r>
      </text>
    </comment>
    <comment ref="G156" authorId="1" shapeId="0" xr:uid="{00000000-0006-0000-0400-0000B5000000}">
      <text>
        <r>
          <rPr>
            <b/>
            <sz val="9"/>
            <color indexed="81"/>
            <rFont val="Tahoma"/>
            <family val="2"/>
          </rPr>
          <t>Admin:</t>
        </r>
        <r>
          <rPr>
            <sz val="9"/>
            <color indexed="81"/>
            <rFont val="Tahoma"/>
            <family val="2"/>
          </rPr>
          <t xml:space="preserve">
- HS 2,34 từ 01/09/2016
- HS 2,67 từ 01/9/2019
- HS 3,00 từ 01/9/2022</t>
        </r>
      </text>
    </comment>
    <comment ref="G157" authorId="2" shapeId="0" xr:uid="{00000000-0006-0000-0400-0000B6000000}">
      <text>
        <r>
          <rPr>
            <b/>
            <sz val="9"/>
            <color indexed="81"/>
            <rFont val="Tahoma"/>
            <family val="2"/>
          </rPr>
          <t>user:</t>
        </r>
        <r>
          <rPr>
            <sz val="9"/>
            <color indexed="81"/>
            <rFont val="Tahoma"/>
            <family val="2"/>
          </rPr>
          <t xml:space="preserve">
- Tuyển dụng từ 01/5/20
- HS 2,34 từ 01/5/2021
- HS 2,67 từ 01/5/2024</t>
        </r>
      </text>
    </comment>
    <comment ref="G161" authorId="0" shapeId="0" xr:uid="{00000000-0006-0000-04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J161" authorId="0" shapeId="0" xr:uid="{00000000-0006-0000-0400-0000B8000000}">
      <text>
        <r>
          <rPr>
            <b/>
            <sz val="9"/>
            <color indexed="81"/>
            <rFont val="Tahoma"/>
            <family val="2"/>
          </rPr>
          <t>User:</t>
        </r>
        <r>
          <rPr>
            <sz val="9"/>
            <color indexed="81"/>
            <rFont val="Tahoma"/>
            <family val="2"/>
          </rPr>
          <t xml:space="preserve">
HS 0,35 hưởng từ 01/7/2015
</t>
        </r>
      </text>
    </comment>
    <comment ref="G162" authorId="1" shapeId="0" xr:uid="{00000000-0006-0000-04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J162" authorId="0" shapeId="0" xr:uid="{00000000-0006-0000-04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G163" authorId="1" shapeId="0" xr:uid="{00000000-0006-0000-04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J163" authorId="2" shapeId="0" xr:uid="{00000000-0006-0000-0400-0000BC000000}">
      <text>
        <r>
          <rPr>
            <b/>
            <sz val="9"/>
            <color indexed="81"/>
            <rFont val="Tahoma"/>
            <family val="2"/>
          </rPr>
          <t>user:</t>
        </r>
        <r>
          <rPr>
            <sz val="9"/>
            <color indexed="81"/>
            <rFont val="Tahoma"/>
            <family val="2"/>
          </rPr>
          <t xml:space="preserve">
- QĐ BN Trưởng BM GDCT từ 01/4/2021</t>
        </r>
      </text>
    </comment>
    <comment ref="G164" authorId="0" shapeId="0" xr:uid="{00000000-0006-0000-04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G165" authorId="1" shapeId="0" xr:uid="{00000000-0006-0000-0400-0000BE000000}">
      <text>
        <r>
          <rPr>
            <b/>
            <sz val="9"/>
            <color indexed="81"/>
            <rFont val="Tahoma"/>
            <family val="2"/>
          </rPr>
          <t>Admin:</t>
        </r>
        <r>
          <rPr>
            <sz val="9"/>
            <color indexed="81"/>
            <rFont val="Tahoma"/>
            <family val="2"/>
          </rPr>
          <t xml:space="preserve">
- HS 3,99 từ 01/9/2017
- HS 4,32 từ 01/9/2020
- HS 4,65 từ 01/9/2023</t>
        </r>
      </text>
    </comment>
    <comment ref="G166" authorId="0" shapeId="0" xr:uid="{00000000-0006-0000-0400-0000BF000000}">
      <text>
        <r>
          <rPr>
            <b/>
            <sz val="9"/>
            <color indexed="81"/>
            <rFont val="Tahoma"/>
            <family val="2"/>
          </rPr>
          <t>User:</t>
        </r>
        <r>
          <rPr>
            <sz val="9"/>
            <color indexed="81"/>
            <rFont val="Tahoma"/>
            <family val="2"/>
          </rPr>
          <t xml:space="preserve">
- HS 3,00 từ 01/09/2015
- HS 3,33 từ 01/9/2018
- HS 3,66 từ 01/9/2021</t>
        </r>
      </text>
    </comment>
    <comment ref="G167" authorId="0" shapeId="0" xr:uid="{00000000-0006-0000-0400-0000C0000000}">
      <text>
        <r>
          <rPr>
            <b/>
            <sz val="9"/>
            <color indexed="81"/>
            <rFont val="Tahoma"/>
            <family val="2"/>
          </rPr>
          <t>User:</t>
        </r>
        <r>
          <rPr>
            <sz val="9"/>
            <color indexed="81"/>
            <rFont val="Tahoma"/>
            <family val="2"/>
          </rPr>
          <t xml:space="preserve">
- HS 3,66 từ 01/9/2015
- HS 3,99 từ 01/9/2018
- HS 4,32 từ 01/9/2021
</t>
        </r>
      </text>
    </comment>
    <comment ref="G168" authorId="0" shapeId="0" xr:uid="{00000000-0006-0000-04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G169" authorId="0" shapeId="0" xr:uid="{00000000-0006-0000-0400-0000C2000000}">
      <text>
        <r>
          <rPr>
            <b/>
            <sz val="9"/>
            <color indexed="81"/>
            <rFont val="Tahoma"/>
            <family val="2"/>
          </rPr>
          <t>User:</t>
        </r>
        <r>
          <rPr>
            <sz val="9"/>
            <color indexed="81"/>
            <rFont val="Tahoma"/>
            <family val="2"/>
          </rPr>
          <t xml:space="preserve">
- HS 3,00 từ 01/9/2015
- HS 3,33 từ 01/9/2018
- HS 3,66 từ 01/9/2021</t>
        </r>
      </text>
    </comment>
    <comment ref="G170" authorId="0" shapeId="0" xr:uid="{00000000-0006-0000-0400-0000C3000000}">
      <text>
        <r>
          <rPr>
            <b/>
            <sz val="9"/>
            <color indexed="81"/>
            <rFont val="Tahoma"/>
            <family val="2"/>
          </rPr>
          <t>User:</t>
        </r>
        <r>
          <rPr>
            <sz val="9"/>
            <color indexed="81"/>
            <rFont val="Tahoma"/>
            <family val="2"/>
          </rPr>
          <t xml:space="preserve">
- HS 3,00 từ 1/9/2015
- HS 3,33 từ 01/9/2018
- HS 3,66 từ 01/9/2021</t>
        </r>
      </text>
    </comment>
    <comment ref="G171" authorId="1" shapeId="0" xr:uid="{00000000-0006-0000-0400-0000C4000000}">
      <text>
        <r>
          <rPr>
            <b/>
            <sz val="9"/>
            <color indexed="81"/>
            <rFont val="Tahoma"/>
            <family val="2"/>
          </rPr>
          <t>Admin:</t>
        </r>
        <r>
          <rPr>
            <sz val="9"/>
            <color indexed="81"/>
            <rFont val="Tahoma"/>
            <family val="2"/>
          </rPr>
          <t xml:space="preserve">
- HS 3,00 từ 01/9/2015
- HS 3,33 từ 01/9/2018
- HS 3,66 từ 01/9/2021</t>
        </r>
      </text>
    </comment>
    <comment ref="G172" authorId="0" shapeId="0" xr:uid="{00000000-0006-0000-04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G173" authorId="1" shapeId="0" xr:uid="{00000000-0006-0000-04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G174" authorId="1" shapeId="0" xr:uid="{00000000-0006-0000-0400-0000C7000000}">
      <text>
        <r>
          <rPr>
            <b/>
            <sz val="9"/>
            <color indexed="81"/>
            <rFont val="Tahoma"/>
            <family val="2"/>
          </rPr>
          <t>Admin:</t>
        </r>
        <r>
          <rPr>
            <sz val="9"/>
            <color indexed="81"/>
            <rFont val="Tahoma"/>
            <family val="2"/>
          </rPr>
          <t xml:space="preserve">
- HS 3,00 từ 01/03/2017
- HS 3,33 từ 01/03/2020
- HS 3,66 từ 01/03/2023</t>
        </r>
      </text>
    </comment>
    <comment ref="G175" authorId="1" shapeId="0" xr:uid="{00000000-0006-0000-0400-0000C8000000}">
      <text>
        <r>
          <rPr>
            <b/>
            <sz val="9"/>
            <color indexed="81"/>
            <rFont val="Tahoma"/>
            <family val="2"/>
          </rPr>
          <t>Admin:</t>
        </r>
        <r>
          <rPr>
            <sz val="9"/>
            <color indexed="81"/>
            <rFont val="Tahoma"/>
            <family val="2"/>
          </rPr>
          <t xml:space="preserve">
- HS 2,67 từ 01/9/2017
- HS 3,00 từ 01/9/2020
- HS 3,33 từ 01/9/2023</t>
        </r>
      </text>
    </comment>
    <comment ref="G176" authorId="1" shapeId="0" xr:uid="{00000000-0006-0000-0400-0000C9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G177" authorId="1" shapeId="0" xr:uid="{00000000-0006-0000-0400-0000CA000000}">
      <text>
        <r>
          <rPr>
            <b/>
            <sz val="9"/>
            <color indexed="81"/>
            <rFont val="Tahoma"/>
            <family val="2"/>
          </rPr>
          <t>Admin:</t>
        </r>
        <r>
          <rPr>
            <sz val="9"/>
            <color indexed="81"/>
            <rFont val="Tahoma"/>
            <family val="2"/>
          </rPr>
          <t xml:space="preserve">
- 3,33 từ 01/9/2017
- 3,66 từ 01/9/2020
- 3,99 từ 01/9/2023</t>
        </r>
      </text>
    </comment>
    <comment ref="J177" authorId="0" shapeId="0" xr:uid="{00000000-0006-0000-0400-0000CB000000}">
      <text>
        <r>
          <rPr>
            <b/>
            <sz val="9"/>
            <color indexed="81"/>
            <rFont val="Tahoma"/>
            <family val="2"/>
          </rPr>
          <t>User:</t>
        </r>
        <r>
          <rPr>
            <sz val="9"/>
            <color indexed="81"/>
            <rFont val="Tahoma"/>
            <family val="2"/>
          </rPr>
          <t xml:space="preserve">
Miễn nhiệm Trưởng bộ môn từ 01/9/2015</t>
        </r>
      </text>
    </comment>
    <comment ref="G178" authorId="1" shapeId="0" xr:uid="{00000000-0006-0000-0400-0000CC000000}">
      <text>
        <r>
          <rPr>
            <b/>
            <sz val="9"/>
            <color indexed="81"/>
            <rFont val="Tahoma"/>
            <family val="2"/>
          </rPr>
          <t>Admin:</t>
        </r>
        <r>
          <rPr>
            <sz val="9"/>
            <color indexed="81"/>
            <rFont val="Tahoma"/>
            <family val="2"/>
          </rPr>
          <t xml:space="preserve">
- HS 3,33 từ 01/9/2016
- HS 3,66 từ 01/9/2019
- HS 3,99 từ 01/9/2022</t>
        </r>
      </text>
    </comment>
    <comment ref="J178" authorId="0" shapeId="0" xr:uid="{00000000-0006-0000-0400-0000CD000000}">
      <text>
        <r>
          <rPr>
            <b/>
            <sz val="9"/>
            <color indexed="81"/>
            <rFont val="Tahoma"/>
            <family val="2"/>
          </rPr>
          <t>User:</t>
        </r>
        <r>
          <rPr>
            <sz val="9"/>
            <color indexed="81"/>
            <rFont val="Tahoma"/>
            <family val="2"/>
          </rPr>
          <t xml:space="preserve">
Miễn nhiệm Trưởng BM từ 01/9/15
</t>
        </r>
      </text>
    </comment>
    <comment ref="G179" authorId="0" shapeId="0" xr:uid="{00000000-0006-0000-0400-0000CE000000}">
      <text>
        <r>
          <rPr>
            <b/>
            <sz val="9"/>
            <color indexed="81"/>
            <rFont val="Tahoma"/>
            <family val="2"/>
          </rPr>
          <t>User:</t>
        </r>
        <r>
          <rPr>
            <sz val="9"/>
            <color indexed="81"/>
            <rFont val="Tahoma"/>
            <family val="2"/>
          </rPr>
          <t xml:space="preserve">
- HS 3,00 từ 01/9/2015
- HS 3,33 từ 01/9/2018
- HS 3,66 từ 01/9/2021</t>
        </r>
      </text>
    </comment>
    <comment ref="G180" authorId="0" shapeId="0" xr:uid="{00000000-0006-0000-0400-0000CF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J180" authorId="0" shapeId="0" xr:uid="{00000000-0006-0000-0400-0000D0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xr:uid="{00000000-0006-0000-0400-0000D1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G181" authorId="8" shapeId="0" xr:uid="{00000000-0006-0000-0400-0000D2000000}">
      <text>
        <r>
          <rPr>
            <sz val="9"/>
            <color indexed="81"/>
            <rFont val="Tahoma"/>
            <family val="2"/>
          </rPr>
          <t xml:space="preserve">- HS 3,33 từ 01/12/2017
- HS 3,66 từ 01/12/2020
- HS 3,99 từ 01/12/2023
</t>
        </r>
      </text>
    </comment>
    <comment ref="G182" authorId="0" shapeId="0" xr:uid="{00000000-0006-0000-0400-0000D3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182" authorId="0" shapeId="0" xr:uid="{00000000-0006-0000-0400-0000D4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G183" authorId="0" shapeId="0" xr:uid="{00000000-0006-0000-0400-0000D5000000}">
      <text>
        <r>
          <rPr>
            <b/>
            <sz val="9"/>
            <color indexed="81"/>
            <rFont val="Tahoma"/>
            <family val="2"/>
          </rPr>
          <t>User:</t>
        </r>
        <r>
          <rPr>
            <sz val="9"/>
            <color indexed="81"/>
            <rFont val="Tahoma"/>
            <family val="2"/>
          </rPr>
          <t xml:space="preserve">
- HS 3,00 từ 01/9/2015
- HS 3,33 từ 01/9/2018
- HS 3,66 từ 01/9/2021</t>
        </r>
      </text>
    </comment>
    <comment ref="G184" authorId="0" shapeId="0" xr:uid="{00000000-0006-0000-0400-0000D6000000}">
      <text>
        <r>
          <rPr>
            <b/>
            <sz val="9"/>
            <color indexed="81"/>
            <rFont val="Tahoma"/>
            <family val="2"/>
          </rPr>
          <t>User:</t>
        </r>
        <r>
          <rPr>
            <sz val="9"/>
            <color indexed="81"/>
            <rFont val="Tahoma"/>
            <family val="2"/>
          </rPr>
          <t xml:space="preserve">
- HS 3,00 từ 01/9/2015
- HS 3,33 từ 01/9/2018
- HS 3,66 từ 01/9/2021</t>
        </r>
      </text>
    </comment>
    <comment ref="G185" authorId="0" shapeId="0" xr:uid="{00000000-0006-0000-0400-0000D7000000}">
      <text>
        <r>
          <rPr>
            <b/>
            <sz val="9"/>
            <color indexed="81"/>
            <rFont val="Tahoma"/>
            <family val="2"/>
          </rPr>
          <t>User:</t>
        </r>
        <r>
          <rPr>
            <sz val="9"/>
            <color indexed="81"/>
            <rFont val="Tahoma"/>
            <family val="2"/>
          </rPr>
          <t xml:space="preserve">
- HS 3,00 từ 01/10/2015
- HS 3,33 từ 01/10/2018
- HS 3,66 từ 01/10/2021
</t>
        </r>
      </text>
    </comment>
    <comment ref="G186" authorId="1" shapeId="0" xr:uid="{00000000-0006-0000-0400-0000D8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J186" authorId="0" shapeId="0" xr:uid="{00000000-0006-0000-0400-0000D9000000}">
      <text>
        <r>
          <rPr>
            <b/>
            <sz val="9"/>
            <color indexed="81"/>
            <rFont val="Tahoma"/>
            <family val="2"/>
          </rPr>
          <t>User:</t>
        </r>
        <r>
          <rPr>
            <sz val="9"/>
            <color indexed="81"/>
            <rFont val="Tahoma"/>
            <family val="2"/>
          </rPr>
          <t xml:space="preserve">
BN Trưởng BM MẠng Máy tính từ 01/9/2015
- Phó khoa CNTT từ T10/2022</t>
        </r>
      </text>
    </comment>
    <comment ref="G187" authorId="4" shapeId="0" xr:uid="{00000000-0006-0000-0400-0000DA000000}">
      <text>
        <r>
          <rPr>
            <b/>
            <sz val="9"/>
            <color indexed="81"/>
            <rFont val="Tahoma"/>
            <family val="2"/>
          </rPr>
          <t>Quynh:</t>
        </r>
        <r>
          <rPr>
            <sz val="9"/>
            <color indexed="81"/>
            <rFont val="Tahoma"/>
            <family val="2"/>
          </rPr>
          <t xml:space="preserve">
- HS 3,00 từ 01/5/2018
- HS 3,33 từ 01/5/2021
- HS 3,66 từ 01/5/2024</t>
        </r>
      </text>
    </comment>
    <comment ref="G188" authorId="1" shapeId="0" xr:uid="{00000000-0006-0000-0400-0000DB000000}">
      <text>
        <r>
          <rPr>
            <b/>
            <sz val="9"/>
            <color indexed="81"/>
            <rFont val="Tahoma"/>
            <family val="2"/>
          </rPr>
          <t>Admin:</t>
        </r>
        <r>
          <rPr>
            <sz val="9"/>
            <color indexed="81"/>
            <rFont val="Tahoma"/>
            <family val="2"/>
          </rPr>
          <t xml:space="preserve">
- 3,33 từ 01/10/2016
- 3,66 từ 01/10/2019
- 3,99 từ 01/10/2021 (NL trước hạn)</t>
        </r>
      </text>
    </comment>
    <comment ref="J188" authorId="7" shapeId="0" xr:uid="{00000000-0006-0000-0400-0000DC000000}">
      <text>
        <r>
          <rPr>
            <b/>
            <sz val="9"/>
            <color indexed="81"/>
            <rFont val="Tahoma"/>
            <family val="2"/>
          </rPr>
          <t>huynh-panda:</t>
        </r>
        <r>
          <rPr>
            <sz val="9"/>
            <color indexed="81"/>
            <rFont val="Tahoma"/>
            <family val="2"/>
          </rPr>
          <t xml:space="preserve">
Phụ trách BM Khoa học máy tính từ 06/7/2022</t>
        </r>
      </text>
    </comment>
    <comment ref="G189" authorId="1" shapeId="0" xr:uid="{00000000-0006-0000-0400-0000DD000000}">
      <text>
        <r>
          <rPr>
            <b/>
            <sz val="9"/>
            <color indexed="81"/>
            <rFont val="Tahoma"/>
            <family val="2"/>
          </rPr>
          <t>Admin:</t>
        </r>
        <r>
          <rPr>
            <sz val="9"/>
            <color indexed="81"/>
            <rFont val="Tahoma"/>
            <family val="2"/>
          </rPr>
          <t xml:space="preserve">
- HS 2,67 từ 01/9/2016
- HS 3,00 từ 01/9/2019
- HS 3,33 từ 01/9/2021 (NL trước hạn)</t>
        </r>
      </text>
    </comment>
    <comment ref="G190" authorId="1" shapeId="0" xr:uid="{00000000-0006-0000-0400-0000DE000000}">
      <text>
        <r>
          <rPr>
            <b/>
            <sz val="9"/>
            <color indexed="81"/>
            <rFont val="Tahoma"/>
            <family val="2"/>
          </rPr>
          <t>Admin:</t>
        </r>
        <r>
          <rPr>
            <sz val="9"/>
            <color indexed="81"/>
            <rFont val="Tahoma"/>
            <family val="2"/>
          </rPr>
          <t xml:space="preserve">
- HS 3,33 từ 01/9/2016
- HS 3,66 từ 01/9/2018 (NL trước hạn)
- HS 3,99 từ 01/9/2021</t>
        </r>
      </text>
    </comment>
    <comment ref="J190" authorId="0" shapeId="0" xr:uid="{00000000-0006-0000-0400-0000DF000000}">
      <text>
        <r>
          <rPr>
            <b/>
            <sz val="9"/>
            <color indexed="81"/>
            <rFont val="Tahoma"/>
            <family val="2"/>
          </rPr>
          <t>User:</t>
        </r>
        <r>
          <rPr>
            <sz val="9"/>
            <color indexed="81"/>
            <rFont val="Tahoma"/>
            <family val="2"/>
          </rPr>
          <t xml:space="preserve">
+ HS 0,45 được bảo lưu đến hết 31/12/2015</t>
        </r>
      </text>
    </comment>
    <comment ref="G191" authorId="1" shapeId="0" xr:uid="{00000000-0006-0000-0400-0000E000000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xr:uid="{00000000-0006-0000-0400-0000E1000000}">
      <text>
        <r>
          <rPr>
            <b/>
            <sz val="9"/>
            <color indexed="81"/>
            <rFont val="Tahoma"/>
            <family val="2"/>
          </rPr>
          <t>user:</t>
        </r>
        <r>
          <rPr>
            <sz val="9"/>
            <color indexed="81"/>
            <rFont val="Tahoma"/>
            <family val="2"/>
          </rPr>
          <t xml:space="preserve">
- Bảo lưu HS PCCV đến hết 31/3/2020</t>
        </r>
      </text>
    </comment>
    <comment ref="G192" authorId="1" shapeId="0" xr:uid="{00000000-0006-0000-0400-0000E2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J192" authorId="7" shapeId="0" xr:uid="{00000000-0006-0000-0400-0000E3000000}">
      <text>
        <r>
          <rPr>
            <b/>
            <sz val="9"/>
            <color indexed="81"/>
            <rFont val="Tahoma"/>
            <family val="2"/>
          </rPr>
          <t>huynh-panda:</t>
        </r>
        <r>
          <rPr>
            <sz val="9"/>
            <color indexed="81"/>
            <rFont val="Tahoma"/>
            <family val="2"/>
          </rPr>
          <t xml:space="preserve">
- Phụ trách BM Công nghệ phần mềm từ 05/7/2022</t>
        </r>
      </text>
    </comment>
    <comment ref="G193" authorId="1" shapeId="0" xr:uid="{00000000-0006-0000-0400-0000E4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G196" authorId="1" shapeId="0" xr:uid="{00000000-0006-0000-0400-0000E5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196" authorId="0" shapeId="0" xr:uid="{00000000-0006-0000-0400-0000E6000000}">
      <text>
        <r>
          <rPr>
            <b/>
            <sz val="9"/>
            <color indexed="81"/>
            <rFont val="Tahoma"/>
            <family val="2"/>
          </rPr>
          <t>User:</t>
        </r>
        <r>
          <rPr>
            <sz val="9"/>
            <color indexed="81"/>
            <rFont val="Tahoma"/>
            <family val="2"/>
          </rPr>
          <t xml:space="preserve">
- QĐ Bổ nhiệm trưởng khoa từ 01/2/2016</t>
        </r>
      </text>
    </comment>
    <comment ref="G197" authorId="1" shapeId="0" xr:uid="{00000000-0006-0000-0400-0000E7000000}">
      <text>
        <r>
          <rPr>
            <b/>
            <sz val="9"/>
            <color indexed="81"/>
            <rFont val="Tahoma"/>
            <family val="2"/>
          </rPr>
          <t>Admin:</t>
        </r>
        <r>
          <rPr>
            <sz val="9"/>
            <color indexed="81"/>
            <rFont val="Tahoma"/>
            <family val="2"/>
          </rPr>
          <t xml:space="preserve">
- HS 4,65 từ 01/12/2015
- HS 4,98 từ 01/12/2018</t>
        </r>
      </text>
    </comment>
    <comment ref="H197" authorId="2" shapeId="0" xr:uid="{00000000-0006-0000-0400-0000E8000000}">
      <text>
        <r>
          <rPr>
            <b/>
            <sz val="9"/>
            <color indexed="81"/>
            <rFont val="Tahoma"/>
            <family val="2"/>
          </rPr>
          <t>user:</t>
        </r>
        <r>
          <rPr>
            <sz val="9"/>
            <color indexed="81"/>
            <rFont val="Tahoma"/>
            <family val="2"/>
          </rPr>
          <t xml:space="preserve">
- VK 5% từ 01/12/2021
- VK 6% từ 01/12/2022
- VK 7% từ 01/12/2023</t>
        </r>
      </text>
    </comment>
    <comment ref="G198" authorId="1" shapeId="0" xr:uid="{00000000-0006-0000-0400-0000E9000000}">
      <text>
        <r>
          <rPr>
            <b/>
            <sz val="9"/>
            <color indexed="81"/>
            <rFont val="Tahoma"/>
            <family val="2"/>
          </rPr>
          <t>Admin:</t>
        </r>
        <r>
          <rPr>
            <sz val="9"/>
            <color indexed="81"/>
            <rFont val="Tahoma"/>
            <family val="2"/>
          </rPr>
          <t xml:space="preserve">
- HS 4,65 từ 01/9/2015
- HS 4,98 từ 01/9/2018</t>
        </r>
      </text>
    </comment>
    <comment ref="H198" authorId="2" shapeId="0" xr:uid="{00000000-0006-0000-0400-0000EA000000}">
      <text>
        <r>
          <rPr>
            <b/>
            <sz val="9"/>
            <color indexed="81"/>
            <rFont val="Tahoma"/>
            <family val="2"/>
          </rPr>
          <t>user:</t>
        </r>
        <r>
          <rPr>
            <sz val="9"/>
            <color indexed="81"/>
            <rFont val="Tahoma"/>
            <family val="2"/>
          </rPr>
          <t xml:space="preserve">
- VK 5% từ 01/9/2021
- VK 6% từ 01/9/2022
- VK 7% từ 01/9/2023</t>
        </r>
      </text>
    </comment>
    <comment ref="G199" authorId="1" shapeId="0" xr:uid="{00000000-0006-0000-0400-0000EB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H200" authorId="0" shapeId="0" xr:uid="{00000000-0006-0000-0400-0000EC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G201" authorId="1" shapeId="0" xr:uid="{00000000-0006-0000-0400-0000ED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201" authorId="1" shapeId="0" xr:uid="{00000000-0006-0000-0400-0000EE000000}">
      <text>
        <r>
          <rPr>
            <b/>
            <sz val="9"/>
            <color indexed="81"/>
            <rFont val="Tahoma"/>
            <family val="2"/>
          </rPr>
          <t>Admin:</t>
        </r>
        <r>
          <rPr>
            <sz val="9"/>
            <color indexed="81"/>
            <rFont val="Tahoma"/>
            <family val="2"/>
          </rPr>
          <t xml:space="preserve">
QĐ BN Trưởng BM từ 15/5/2016
</t>
        </r>
      </text>
    </comment>
    <comment ref="G202" authorId="1" shapeId="0" xr:uid="{00000000-0006-0000-0400-0000EF000000}">
      <text>
        <r>
          <rPr>
            <b/>
            <sz val="9"/>
            <color indexed="81"/>
            <rFont val="Tahoma"/>
            <family val="2"/>
          </rPr>
          <t>Admin:</t>
        </r>
        <r>
          <rPr>
            <sz val="9"/>
            <color indexed="81"/>
            <rFont val="Tahoma"/>
            <family val="2"/>
          </rPr>
          <t xml:space="preserve">
- HS 4,65 từ 01/9/2016 (NL Trước hạn năm 2017)
- HS 4,98 từ 01/9/2019</t>
        </r>
      </text>
    </comment>
    <comment ref="H202" authorId="7" shapeId="0" xr:uid="{00000000-0006-0000-0400-0000F0000000}">
      <text>
        <r>
          <rPr>
            <b/>
            <sz val="9"/>
            <color indexed="81"/>
            <rFont val="Tahoma"/>
            <family val="2"/>
          </rPr>
          <t>huynh-panda:</t>
        </r>
        <r>
          <rPr>
            <sz val="9"/>
            <color indexed="81"/>
            <rFont val="Tahoma"/>
            <family val="2"/>
          </rPr>
          <t xml:space="preserve">
- VK 5% từ 01/9/2022
- VK 6% từ 01/9/2023</t>
        </r>
      </text>
    </comment>
    <comment ref="J202" authorId="1" shapeId="0" xr:uid="{00000000-0006-0000-0400-0000F1000000}">
      <text>
        <r>
          <rPr>
            <sz val="9"/>
            <color indexed="81"/>
            <rFont val="Tahoma"/>
            <family val="2"/>
          </rPr>
          <t>QĐ phụ trách từ 01/12/2017</t>
        </r>
      </text>
    </comment>
    <comment ref="G203" authorId="1" shapeId="0" xr:uid="{00000000-0006-0000-0400-0000F2000000}">
      <text>
        <r>
          <rPr>
            <b/>
            <sz val="9"/>
            <color indexed="81"/>
            <rFont val="Tahoma"/>
            <family val="2"/>
          </rPr>
          <t>Admin:</t>
        </r>
        <r>
          <rPr>
            <sz val="9"/>
            <color indexed="81"/>
            <rFont val="Tahoma"/>
            <family val="2"/>
          </rPr>
          <t xml:space="preserve">
- HS 3,33 từ 01/9/2017
- HS 3,66 từ 01/9/2020
- HS 3,99 từ 01/9/2023</t>
        </r>
      </text>
    </comment>
    <comment ref="G204" authorId="1" shapeId="0" xr:uid="{00000000-0006-0000-0400-0000F3000000}">
      <text>
        <r>
          <rPr>
            <b/>
            <sz val="9"/>
            <color indexed="81"/>
            <rFont val="Tahoma"/>
            <family val="2"/>
          </rPr>
          <t>Admin:</t>
        </r>
        <r>
          <rPr>
            <sz val="9"/>
            <color indexed="81"/>
            <rFont val="Tahoma"/>
            <family val="2"/>
          </rPr>
          <t xml:space="preserve">
- HS 4,65 từ 01/9/2017
- HS 4,98 từ 01/9/2020</t>
        </r>
      </text>
    </comment>
    <comment ref="H204" authorId="3" shapeId="0" xr:uid="{00000000-0006-0000-0400-0000F4000000}">
      <text>
        <r>
          <rPr>
            <b/>
            <sz val="9"/>
            <color indexed="81"/>
            <rFont val="Tahoma"/>
            <family val="2"/>
          </rPr>
          <t>Windows User:</t>
        </r>
        <r>
          <rPr>
            <sz val="9"/>
            <color indexed="81"/>
            <rFont val="Tahoma"/>
            <family val="2"/>
          </rPr>
          <t xml:space="preserve">
- VK 5% từ 01/9/2023</t>
        </r>
      </text>
    </comment>
    <comment ref="G205" authorId="0" shapeId="0" xr:uid="{00000000-0006-0000-0400-0000F5000000}">
      <text>
        <r>
          <rPr>
            <b/>
            <sz val="9"/>
            <color indexed="81"/>
            <rFont val="Tahoma"/>
            <family val="2"/>
          </rPr>
          <t>User:</t>
        </r>
        <r>
          <rPr>
            <sz val="9"/>
            <color indexed="81"/>
            <rFont val="Tahoma"/>
            <family val="2"/>
          </rPr>
          <t xml:space="preserve">
- HS 3,00 từ 01/9/2015
- HS 3,33 từ 01/9/2018
- HS 3,66 từ 01/9/2021</t>
        </r>
      </text>
    </comment>
    <comment ref="J205" authorId="6" shapeId="0" xr:uid="{00000000-0006-0000-0400-0000F6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G206" authorId="0" shapeId="0" xr:uid="{00000000-0006-0000-0400-0000F7000000}">
      <text>
        <r>
          <rPr>
            <b/>
            <sz val="9"/>
            <color indexed="81"/>
            <rFont val="Tahoma"/>
            <family val="2"/>
          </rPr>
          <t>User:</t>
        </r>
        <r>
          <rPr>
            <sz val="9"/>
            <color indexed="81"/>
            <rFont val="Tahoma"/>
            <family val="2"/>
          </rPr>
          <t xml:space="preserve">
- HS 3,00 từ 01/9/2015
- HS 3,33 từ 01/9/2018
- HS 3,66 từ 01/9/2021</t>
        </r>
      </text>
    </comment>
    <comment ref="G207" authorId="1" shapeId="0" xr:uid="{00000000-0006-0000-0400-0000F8000000}">
      <text>
        <r>
          <rPr>
            <b/>
            <sz val="9"/>
            <color indexed="81"/>
            <rFont val="Tahoma"/>
            <family val="2"/>
          </rPr>
          <t>Admin:</t>
        </r>
        <r>
          <rPr>
            <sz val="9"/>
            <color indexed="81"/>
            <rFont val="Tahoma"/>
            <family val="2"/>
          </rPr>
          <t xml:space="preserve">
- HS 3,00 từ 01/9/2016
- HS 3,33 từ 01/9/2019
- HS 3,66 từ 01/9/2022</t>
        </r>
      </text>
    </comment>
    <comment ref="G208" authorId="1" shapeId="0" xr:uid="{00000000-0006-0000-0400-0000F9000000}">
      <text>
        <r>
          <rPr>
            <b/>
            <sz val="9"/>
            <color indexed="81"/>
            <rFont val="Tahoma"/>
            <family val="2"/>
          </rPr>
          <t>Admin:</t>
        </r>
        <r>
          <rPr>
            <sz val="9"/>
            <color indexed="81"/>
            <rFont val="Tahoma"/>
            <family val="2"/>
          </rPr>
          <t xml:space="preserve">
- HS 3,00 từ 01/9/2016
- HS 3,33 từ 01/9/2019
- HS 3,66 từ 01/9/2022</t>
        </r>
      </text>
    </comment>
    <comment ref="G209" authorId="1" shapeId="0" xr:uid="{00000000-0006-0000-0400-0000FA000000}">
      <text>
        <r>
          <rPr>
            <b/>
            <sz val="9"/>
            <color indexed="81"/>
            <rFont val="Tahoma"/>
            <family val="2"/>
          </rPr>
          <t>Admin:</t>
        </r>
        <r>
          <rPr>
            <sz val="9"/>
            <color indexed="81"/>
            <rFont val="Tahoma"/>
            <family val="2"/>
          </rPr>
          <t xml:space="preserve">
- HS 3,00 từ 01/9/2016
- HS 3,33 từ 01/9/2019
- HS 3,66 từ 01/9/2022</t>
        </r>
      </text>
    </comment>
    <comment ref="G210" authorId="1" shapeId="0" xr:uid="{00000000-0006-0000-0400-0000FB000000}">
      <text>
        <r>
          <rPr>
            <b/>
            <sz val="9"/>
            <color indexed="81"/>
            <rFont val="Tahoma"/>
            <family val="2"/>
          </rPr>
          <t>Admin:</t>
        </r>
        <r>
          <rPr>
            <sz val="9"/>
            <color indexed="81"/>
            <rFont val="Tahoma"/>
            <family val="2"/>
          </rPr>
          <t xml:space="preserve">
- HS 3,00 từ 01/9/2017
- HS 3,33 từ 01/9/2020
- HS 3,66 từ 01/9/2023</t>
        </r>
      </text>
    </comment>
    <comment ref="J210" authorId="0" shapeId="0" xr:uid="{00000000-0006-0000-0400-0000FC000000}">
      <text>
        <r>
          <rPr>
            <b/>
            <sz val="9"/>
            <color indexed="81"/>
            <rFont val="Tahoma"/>
            <family val="2"/>
          </rPr>
          <t>User:</t>
        </r>
        <r>
          <rPr>
            <sz val="9"/>
            <color indexed="81"/>
            <rFont val="Tahoma"/>
            <family val="2"/>
          </rPr>
          <t xml:space="preserve">
BN Trưởng BM Cơ sở Cơ khí từ 01/09/2015</t>
        </r>
      </text>
    </comment>
    <comment ref="K210" authorId="1" shapeId="0" xr:uid="{00000000-0006-0000-0400-0000FD000000}">
      <text>
        <r>
          <rPr>
            <b/>
            <sz val="9"/>
            <color indexed="81"/>
            <rFont val="Tahoma"/>
            <family val="2"/>
          </rPr>
          <t>Admin:</t>
        </r>
        <r>
          <rPr>
            <sz val="9"/>
            <color indexed="81"/>
            <rFont val="Tahoma"/>
            <family val="2"/>
          </rPr>
          <t xml:space="preserve">
- Bảo lưu HSPC chức vụ đến hết T5/2018</t>
        </r>
      </text>
    </comment>
    <comment ref="G211" authorId="1" shapeId="0" xr:uid="{00000000-0006-0000-0400-0000FE000000}">
      <text>
        <r>
          <rPr>
            <b/>
            <sz val="9"/>
            <color indexed="81"/>
            <rFont val="Tahoma"/>
            <family val="2"/>
          </rPr>
          <t>Admin:</t>
        </r>
        <r>
          <rPr>
            <sz val="9"/>
            <color indexed="81"/>
            <rFont val="Tahoma"/>
            <family val="2"/>
          </rPr>
          <t xml:space="preserve">
- HS 2,67 từ 01/9/2016
- HS 3,00 từ 01/9/2019
- HS 3,33 từ 01/9/2021 (NL trước hạn)</t>
        </r>
      </text>
    </comment>
    <comment ref="J211" authorId="0" shapeId="0" xr:uid="{00000000-0006-0000-0400-0000FF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G212" authorId="1" shapeId="0" xr:uid="{00000000-0006-0000-0400-000000010000}">
      <text>
        <r>
          <rPr>
            <b/>
            <sz val="9"/>
            <color indexed="81"/>
            <rFont val="Tahoma"/>
            <family val="2"/>
          </rPr>
          <t>Admin:</t>
        </r>
        <r>
          <rPr>
            <sz val="9"/>
            <color indexed="81"/>
            <rFont val="Tahoma"/>
            <family val="2"/>
          </rPr>
          <t xml:space="preserve">
- HS 3,00 từ 01/10/2016
- HS 3,33 từ 01/10/2019
- HS 3,66 từ 01/10/2022</t>
        </r>
      </text>
    </comment>
    <comment ref="G213" authorId="1" shapeId="0" xr:uid="{00000000-0006-0000-0400-000001010000}">
      <text>
        <r>
          <rPr>
            <b/>
            <sz val="9"/>
            <color indexed="81"/>
            <rFont val="Tahoma"/>
            <family val="2"/>
          </rPr>
          <t>Admin:</t>
        </r>
        <r>
          <rPr>
            <sz val="9"/>
            <color indexed="81"/>
            <rFont val="Tahoma"/>
            <family val="2"/>
          </rPr>
          <t xml:space="preserve">
- HS 2,67 từ 01/10/2016
- HS 3,00 từ 01/10/2019
- HS 3,33 từ 01/10/2022</t>
        </r>
      </text>
    </comment>
    <comment ref="G214" authorId="0" shapeId="0" xr:uid="{00000000-0006-0000-0400-000002010000}">
      <text>
        <r>
          <rPr>
            <b/>
            <sz val="9"/>
            <color indexed="81"/>
            <rFont val="Tahoma"/>
            <family val="2"/>
          </rPr>
          <t>User:</t>
        </r>
        <r>
          <rPr>
            <sz val="9"/>
            <color indexed="81"/>
            <rFont val="Tahoma"/>
            <family val="2"/>
          </rPr>
          <t xml:space="preserve">
- HS 4,65 từ 01/9/2015
- HS 4,98 từ 01/9/2018</t>
        </r>
      </text>
    </comment>
    <comment ref="H214" authorId="2" shapeId="0" xr:uid="{00000000-0006-0000-0400-000003010000}">
      <text>
        <r>
          <rPr>
            <b/>
            <sz val="9"/>
            <color indexed="81"/>
            <rFont val="Tahoma"/>
            <family val="2"/>
          </rPr>
          <t>user:</t>
        </r>
        <r>
          <rPr>
            <sz val="9"/>
            <color indexed="81"/>
            <rFont val="Tahoma"/>
            <family val="2"/>
          </rPr>
          <t xml:space="preserve">
- VK 5% từ 01/9/2021
- VK 6% từ 01/9/2022
- VK 7% từ 01/9/2023</t>
        </r>
      </text>
    </comment>
    <comment ref="G215" authorId="0" shapeId="0" xr:uid="{00000000-0006-0000-0400-000004010000}">
      <text>
        <r>
          <rPr>
            <b/>
            <sz val="9"/>
            <color indexed="81"/>
            <rFont val="Tahoma"/>
            <family val="2"/>
          </rPr>
          <t>User:</t>
        </r>
        <r>
          <rPr>
            <sz val="9"/>
            <color indexed="81"/>
            <rFont val="Tahoma"/>
            <family val="2"/>
          </rPr>
          <t xml:space="preserve">
- HS 4,89 từ 1/5/2014</t>
        </r>
      </text>
    </comment>
    <comment ref="H215" authorId="1" shapeId="0" xr:uid="{00000000-0006-0000-0400-000005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J215" authorId="0" shapeId="0" xr:uid="{00000000-0006-0000-0400-000006010000}">
      <text>
        <r>
          <rPr>
            <b/>
            <sz val="9"/>
            <color indexed="81"/>
            <rFont val="Tahoma"/>
            <family val="2"/>
          </rPr>
          <t>User:</t>
        </r>
        <r>
          <rPr>
            <sz val="9"/>
            <color indexed="81"/>
            <rFont val="Tahoma"/>
            <family val="2"/>
          </rPr>
          <t xml:space="preserve">
- Hết bảo lưu hệ số PCCV từ 01/11/2015</t>
        </r>
      </text>
    </comment>
    <comment ref="G216" authorId="0" shapeId="0" xr:uid="{00000000-0006-0000-0400-000007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G217" authorId="2" shapeId="0" xr:uid="{00000000-0006-0000-0400-000008010000}">
      <text>
        <r>
          <rPr>
            <b/>
            <sz val="9"/>
            <color indexed="81"/>
            <rFont val="Tahoma"/>
            <family val="2"/>
          </rPr>
          <t>user:</t>
        </r>
        <r>
          <rPr>
            <sz val="9"/>
            <color indexed="81"/>
            <rFont val="Tahoma"/>
            <family val="2"/>
          </rPr>
          <t xml:space="preserve">
- BN CDNN từ 01/4/2019 (HS 2.67)
- HS 3,00 từ 01/4/2022</t>
        </r>
      </text>
    </comment>
    <comment ref="G218" authorId="2" shapeId="0" xr:uid="{00000000-0006-0000-0400-000009010000}">
      <text>
        <r>
          <rPr>
            <b/>
            <sz val="9"/>
            <color indexed="81"/>
            <rFont val="Tahoma"/>
            <family val="2"/>
          </rPr>
          <t>user:</t>
        </r>
        <r>
          <rPr>
            <sz val="9"/>
            <color indexed="81"/>
            <rFont val="Tahoma"/>
            <family val="2"/>
          </rPr>
          <t xml:space="preserve">
- HS 2,67 từ 01/10/2019
- HS 3,00 từ 01/10/2022</t>
        </r>
      </text>
    </comment>
    <comment ref="H219" authorId="1" shapeId="0" xr:uid="{00000000-0006-0000-0400-00000A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G220" authorId="4" shapeId="0" xr:uid="{00000000-0006-0000-0400-00000B010000}">
      <text>
        <r>
          <rPr>
            <b/>
            <sz val="9"/>
            <color indexed="81"/>
            <rFont val="Tahoma"/>
            <family val="2"/>
          </rPr>
          <t>Quynh:</t>
        </r>
        <r>
          <rPr>
            <sz val="9"/>
            <color indexed="81"/>
            <rFont val="Tahoma"/>
            <family val="2"/>
          </rPr>
          <t xml:space="preserve">
- Tuyển dụng từ 01/4/2019
- HS 2,34 từ 01/04/2020
- HS 2,67 từ 01/4/2022</t>
        </r>
      </text>
    </comment>
    <comment ref="G221" authorId="2" shapeId="0" xr:uid="{00000000-0006-0000-0400-00000C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G222" authorId="2" shapeId="0" xr:uid="{00000000-0006-0000-0400-00000D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G223" authorId="3" shapeId="0" xr:uid="{00000000-0006-0000-0400-00000E010000}">
      <text>
        <r>
          <rPr>
            <b/>
            <sz val="9"/>
            <color indexed="81"/>
            <rFont val="Tahoma"/>
            <family val="2"/>
          </rPr>
          <t>Windows User:</t>
        </r>
        <r>
          <rPr>
            <sz val="9"/>
            <color indexed="81"/>
            <rFont val="Tahoma"/>
            <family val="2"/>
          </rPr>
          <t xml:space="preserve">
- Tuyển dụng từ T10/2022
- HS 2,67 từ 01/10/2022</t>
        </r>
      </text>
    </comment>
    <comment ref="G224" authorId="1" shapeId="0" xr:uid="{00000000-0006-0000-0400-00000F010000}">
      <text>
        <r>
          <rPr>
            <b/>
            <sz val="9"/>
            <color indexed="81"/>
            <rFont val="Tahoma"/>
            <family val="2"/>
          </rPr>
          <t>Admin:</t>
        </r>
        <r>
          <rPr>
            <sz val="9"/>
            <color indexed="81"/>
            <rFont val="Tahoma"/>
            <family val="2"/>
          </rPr>
          <t xml:space="preserve">
- HS 4.65 từ 01/01/2016
- HS 4,98 từ 01/01/2019</t>
        </r>
      </text>
    </comment>
    <comment ref="H224" authorId="2" shapeId="0" xr:uid="{00000000-0006-0000-0400-000010010000}">
      <text>
        <r>
          <rPr>
            <b/>
            <sz val="9"/>
            <color indexed="81"/>
            <rFont val="Tahoma"/>
            <family val="2"/>
          </rPr>
          <t>user:</t>
        </r>
        <r>
          <rPr>
            <sz val="9"/>
            <color indexed="81"/>
            <rFont val="Tahoma"/>
            <family val="2"/>
          </rPr>
          <t xml:space="preserve">
- VK 5% từ 01/01/2022
- VK 6% từ 01/01/2023
- VK 7% từ 01/01/2023</t>
        </r>
      </text>
    </comment>
    <comment ref="J224" authorId="4" shapeId="0" xr:uid="{00000000-0006-0000-0400-000011010000}">
      <text>
        <r>
          <rPr>
            <b/>
            <sz val="9"/>
            <color indexed="81"/>
            <rFont val="Tahoma"/>
            <family val="2"/>
          </rPr>
          <t>Quynh:</t>
        </r>
        <r>
          <rPr>
            <sz val="9"/>
            <color indexed="81"/>
            <rFont val="Tahoma"/>
            <family val="2"/>
          </rPr>
          <t xml:space="preserve">
- BN Phó Trưởng phòng từ 01/01/2019</t>
        </r>
      </text>
    </comment>
    <comment ref="G225" authorId="0" shapeId="0" xr:uid="{00000000-0006-0000-0400-000012010000}">
      <text>
        <r>
          <rPr>
            <b/>
            <sz val="9"/>
            <color indexed="81"/>
            <rFont val="Tahoma"/>
            <family val="2"/>
          </rPr>
          <t>User:</t>
        </r>
        <r>
          <rPr>
            <sz val="9"/>
            <color indexed="81"/>
            <rFont val="Tahoma"/>
            <family val="2"/>
          </rPr>
          <t xml:space="preserve">
- HS 3,66 từ 01/9/2014
- HS 3,99 từ 01/9/2017
- HS 4,32 từ 01/9/2019
- HS 4,65 từ 01/9/2022</t>
        </r>
      </text>
    </comment>
    <comment ref="J225" authorId="6" shapeId="0" xr:uid="{00000000-0006-0000-0400-000013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H226" authorId="0" shapeId="0" xr:uid="{00000000-0006-0000-0400-000014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J226" authorId="5" shapeId="0" xr:uid="{00000000-0006-0000-0400-000015010000}">
      <text>
        <r>
          <rPr>
            <b/>
            <sz val="8"/>
            <color indexed="81"/>
            <rFont val="Tahoma"/>
            <family val="2"/>
          </rPr>
          <t>HS 0,35 từ 05/7/2015</t>
        </r>
        <r>
          <rPr>
            <sz val="8"/>
            <color indexed="81"/>
            <rFont val="Tahoma"/>
            <family val="2"/>
          </rPr>
          <t xml:space="preserve">
</t>
        </r>
      </text>
    </comment>
    <comment ref="G227" authorId="1" shapeId="0" xr:uid="{00000000-0006-0000-0400-000016010000}">
      <text>
        <r>
          <rPr>
            <b/>
            <sz val="9"/>
            <color indexed="81"/>
            <rFont val="Tahoma"/>
            <family val="2"/>
          </rPr>
          <t>Admin:</t>
        </r>
        <r>
          <rPr>
            <sz val="9"/>
            <color indexed="81"/>
            <rFont val="Tahoma"/>
            <family val="2"/>
          </rPr>
          <t xml:space="preserve">
- 4,65 từ 01/9/2016
- 4,98 từ 01/9/2019</t>
        </r>
      </text>
    </comment>
    <comment ref="H227" authorId="7" shapeId="0" xr:uid="{00000000-0006-0000-0400-000017010000}">
      <text>
        <r>
          <rPr>
            <b/>
            <sz val="9"/>
            <color indexed="81"/>
            <rFont val="Tahoma"/>
            <family val="2"/>
          </rPr>
          <t>huynh-panda:</t>
        </r>
        <r>
          <rPr>
            <sz val="9"/>
            <color indexed="81"/>
            <rFont val="Tahoma"/>
            <family val="2"/>
          </rPr>
          <t xml:space="preserve">
- VK 5% từ 01/9/2022
- VK 6% từ 01/9/2023</t>
        </r>
      </text>
    </comment>
    <comment ref="G228" authorId="1" shapeId="0" xr:uid="{00000000-0006-0000-0400-000018010000}">
      <text>
        <r>
          <rPr>
            <b/>
            <sz val="9"/>
            <color indexed="81"/>
            <rFont val="Tahoma"/>
            <family val="2"/>
          </rPr>
          <t>Admin:</t>
        </r>
        <r>
          <rPr>
            <sz val="9"/>
            <color indexed="81"/>
            <rFont val="Tahoma"/>
            <family val="2"/>
          </rPr>
          <t xml:space="preserve">
- HS 4,65 từ 01/10/2016 (NL Trước hạn 2017)
- HS 4,98 từ 01/10/2019</t>
        </r>
      </text>
    </comment>
    <comment ref="H228" authorId="3" shapeId="0" xr:uid="{00000000-0006-0000-0400-000019010000}">
      <text>
        <r>
          <rPr>
            <b/>
            <sz val="9"/>
            <color indexed="81"/>
            <rFont val="Tahoma"/>
            <family val="2"/>
          </rPr>
          <t>Windows User:</t>
        </r>
        <r>
          <rPr>
            <sz val="9"/>
            <color indexed="81"/>
            <rFont val="Tahoma"/>
            <family val="2"/>
          </rPr>
          <t xml:space="preserve">
- VK 5% từ 01/10/2022
- VK 6% từ 01/10/2023</t>
        </r>
      </text>
    </comment>
    <comment ref="G229" authorId="1" shapeId="0" xr:uid="{00000000-0006-0000-0400-00001A010000}">
      <text>
        <r>
          <rPr>
            <b/>
            <sz val="9"/>
            <color indexed="81"/>
            <rFont val="Tahoma"/>
            <family val="2"/>
          </rPr>
          <t>Admin:</t>
        </r>
        <r>
          <rPr>
            <sz val="9"/>
            <color indexed="81"/>
            <rFont val="Tahoma"/>
            <family val="2"/>
          </rPr>
          <t xml:space="preserve">
- HS 3,99 từ 01/9/2015
- HS 4,32 từ 01/9/2018
- HS 4,65 từ 01/9/2021
</t>
        </r>
      </text>
    </comment>
    <comment ref="J229" authorId="0" shapeId="0" xr:uid="{00000000-0006-0000-0400-00001B010000}">
      <text>
        <r>
          <rPr>
            <b/>
            <sz val="9"/>
            <color indexed="81"/>
            <rFont val="Tahoma"/>
            <family val="2"/>
          </rPr>
          <t>User:</t>
        </r>
        <r>
          <rPr>
            <sz val="9"/>
            <color indexed="81"/>
            <rFont val="Tahoma"/>
            <family val="2"/>
          </rPr>
          <t xml:space="preserve">
Mieễn nhiệm Trưởng BM từ 01/9/2015. Bảo lưu HHS hết T02/2016</t>
        </r>
      </text>
    </comment>
    <comment ref="G230" authorId="1" shapeId="0" xr:uid="{00000000-0006-0000-0400-00001C010000}">
      <text>
        <r>
          <rPr>
            <b/>
            <sz val="9"/>
            <color indexed="81"/>
            <rFont val="Tahoma"/>
            <family val="2"/>
          </rPr>
          <t>Admin:</t>
        </r>
        <r>
          <rPr>
            <sz val="9"/>
            <color indexed="81"/>
            <rFont val="Tahoma"/>
            <family val="2"/>
          </rPr>
          <t xml:space="preserve">
- HS 3,66 từ 01/9/2016
- HS 3,99 từ 01/9/2019
- HS 4,32 từ 01/9/2022</t>
        </r>
      </text>
    </comment>
    <comment ref="G231" authorId="0" shapeId="0" xr:uid="{00000000-0006-0000-0400-00001D010000}">
      <text>
        <r>
          <rPr>
            <b/>
            <sz val="9"/>
            <color indexed="81"/>
            <rFont val="Tahoma"/>
            <family val="2"/>
          </rPr>
          <t>User:</t>
        </r>
        <r>
          <rPr>
            <sz val="9"/>
            <color indexed="81"/>
            <rFont val="Tahoma"/>
            <family val="2"/>
          </rPr>
          <t xml:space="preserve">
- HS 3,66 từ 01/9/2015
- HS 3,99 từ 01/9/2018
- HS 4,32 từ 01/9/2021</t>
        </r>
      </text>
    </comment>
    <comment ref="G232" authorId="1" shapeId="0" xr:uid="{00000000-0006-0000-0400-00001E010000}">
      <text>
        <r>
          <rPr>
            <b/>
            <sz val="9"/>
            <color indexed="81"/>
            <rFont val="Tahoma"/>
            <family val="2"/>
          </rPr>
          <t>Admin:</t>
        </r>
        <r>
          <rPr>
            <sz val="9"/>
            <color indexed="81"/>
            <rFont val="Tahoma"/>
            <family val="2"/>
          </rPr>
          <t xml:space="preserve">
- HS 2,67 từ 01/9/2016
- HS 3,00 từ 01/9/2019
- HS 3,33 từ 01/9/2021 (NL trước hạn)</t>
        </r>
      </text>
    </comment>
    <comment ref="J232" authorId="2" shapeId="0" xr:uid="{00000000-0006-0000-0400-00001F010000}">
      <text>
        <r>
          <rPr>
            <b/>
            <sz val="9"/>
            <color indexed="81"/>
            <rFont val="Tahoma"/>
            <family val="2"/>
          </rPr>
          <t>user:</t>
        </r>
        <r>
          <rPr>
            <sz val="9"/>
            <color indexed="81"/>
            <rFont val="Tahoma"/>
            <family val="2"/>
          </rPr>
          <t xml:space="preserve">
Trưởng BM Cơ điện tử và tự động hóa từ 01/01/2019</t>
        </r>
      </text>
    </comment>
    <comment ref="G233" authorId="1" shapeId="0" xr:uid="{00000000-0006-0000-0400-000020010000}">
      <text>
        <r>
          <rPr>
            <b/>
            <sz val="9"/>
            <color indexed="81"/>
            <rFont val="Tahoma"/>
            <family val="2"/>
          </rPr>
          <t>Admin:</t>
        </r>
        <r>
          <rPr>
            <sz val="9"/>
            <color indexed="81"/>
            <rFont val="Tahoma"/>
            <family val="2"/>
          </rPr>
          <t xml:space="preserve">
- HS 3,66 từ 01/9/2016
- HS 3,99 từ 01/9/2019
- HS 4,32 từ 01/9/2022</t>
        </r>
      </text>
    </comment>
    <comment ref="G234" authorId="1" shapeId="0" xr:uid="{00000000-0006-0000-0400-000021010000}">
      <text>
        <r>
          <rPr>
            <b/>
            <sz val="9"/>
            <color indexed="81"/>
            <rFont val="Tahoma"/>
            <family val="2"/>
          </rPr>
          <t>Admin:</t>
        </r>
        <r>
          <rPr>
            <sz val="9"/>
            <color indexed="81"/>
            <rFont val="Tahoma"/>
            <family val="2"/>
          </rPr>
          <t xml:space="preserve">
- HS 3,99 từ 01/9/2016
- HS 4,32 từ 01/9/2019
- HS 4,65 từ 01/9/2022</t>
        </r>
      </text>
    </comment>
    <comment ref="J234" authorId="0" shapeId="0" xr:uid="{00000000-0006-0000-0400-000022010000}">
      <text>
        <r>
          <rPr>
            <b/>
            <sz val="9"/>
            <color indexed="81"/>
            <rFont val="Tahoma"/>
            <family val="2"/>
          </rPr>
          <t>User:</t>
        </r>
        <r>
          <rPr>
            <sz val="9"/>
            <color indexed="81"/>
            <rFont val="Tahoma"/>
            <family val="2"/>
          </rPr>
          <t xml:space="preserve">
Miễn nhiệm Trưởng BM. Bảo lưu HS hết T02/2015</t>
        </r>
      </text>
    </comment>
    <comment ref="G235" authorId="1" shapeId="0" xr:uid="{00000000-0006-0000-0400-000023010000}">
      <text>
        <r>
          <rPr>
            <b/>
            <sz val="9"/>
            <color indexed="81"/>
            <rFont val="Tahoma"/>
            <family val="2"/>
          </rPr>
          <t>Admin:</t>
        </r>
        <r>
          <rPr>
            <sz val="9"/>
            <color indexed="81"/>
            <rFont val="Tahoma"/>
            <family val="2"/>
          </rPr>
          <t xml:space="preserve">
- HS 3,00 từ 01/9/2016
- HS 3,33 từ 01/9/2019
- HS 3,66 từ 01/9/2022</t>
        </r>
      </text>
    </comment>
    <comment ref="G236" authorId="0" shapeId="0" xr:uid="{00000000-0006-0000-0400-000024010000}">
      <text>
        <r>
          <rPr>
            <b/>
            <sz val="9"/>
            <color indexed="81"/>
            <rFont val="Tahoma"/>
            <family val="2"/>
          </rPr>
          <t>User:</t>
        </r>
        <r>
          <rPr>
            <sz val="9"/>
            <color indexed="81"/>
            <rFont val="Tahoma"/>
            <family val="2"/>
          </rPr>
          <t xml:space="preserve">
- HS 3,33 từ 01/9/2015
- HS 3,66 từ 01/9/2018
- HS 3,99 từ 01/9/2021</t>
        </r>
      </text>
    </comment>
    <comment ref="G237" authorId="1" shapeId="0" xr:uid="{00000000-0006-0000-0400-000025010000}">
      <text>
        <r>
          <rPr>
            <b/>
            <sz val="9"/>
            <color indexed="81"/>
            <rFont val="Tahoma"/>
            <family val="2"/>
          </rPr>
          <t>Admin:</t>
        </r>
        <r>
          <rPr>
            <sz val="9"/>
            <color indexed="81"/>
            <rFont val="Tahoma"/>
            <family val="2"/>
          </rPr>
          <t xml:space="preserve">
- HS 3,00 từ 01/9/2017
- HS 3,33 từ 01/9/2020
- HS 3,66 từ 01/9/2023</t>
        </r>
      </text>
    </comment>
    <comment ref="G238" authorId="1" shapeId="0" xr:uid="{00000000-0006-0000-0400-000026010000}">
      <text>
        <r>
          <rPr>
            <b/>
            <sz val="9"/>
            <color indexed="81"/>
            <rFont val="Tahoma"/>
            <family val="2"/>
          </rPr>
          <t>Admin:</t>
        </r>
        <r>
          <rPr>
            <sz val="9"/>
            <color indexed="81"/>
            <rFont val="Tahoma"/>
            <family val="2"/>
          </rPr>
          <t xml:space="preserve">
- HS 3,00 từ 01/9/2017
- HS 3,33 từ 01/9/2019
- HS 3,66 từ 01/9/2022</t>
        </r>
      </text>
    </comment>
    <comment ref="G239" authorId="0" shapeId="0" xr:uid="{00000000-0006-0000-0400-000027010000}">
      <text>
        <r>
          <rPr>
            <b/>
            <sz val="9"/>
            <color indexed="81"/>
            <rFont val="Tahoma"/>
            <family val="2"/>
          </rPr>
          <t>User:</t>
        </r>
        <r>
          <rPr>
            <sz val="9"/>
            <color indexed="81"/>
            <rFont val="Tahoma"/>
            <family val="2"/>
          </rPr>
          <t xml:space="preserve">
- HS 4,65 từ 01/5/2014
- HS 4,98 từ 01/5/2017</t>
        </r>
      </text>
    </comment>
    <comment ref="H239" authorId="2" shapeId="0" xr:uid="{00000000-0006-0000-0400-000028010000}">
      <text>
        <r>
          <rPr>
            <b/>
            <sz val="9"/>
            <color indexed="81"/>
            <rFont val="Tahoma"/>
            <family val="2"/>
          </rPr>
          <t>user:</t>
        </r>
        <r>
          <rPr>
            <sz val="9"/>
            <color indexed="81"/>
            <rFont val="Tahoma"/>
            <family val="2"/>
          </rPr>
          <t xml:space="preserve">
- 5% từ 01/5/2020
- 6% từ 01/5/2021
- 7% từ 01/5/2022
- 8% từ 01/5/2023
- 9% từ 01/5/2024</t>
        </r>
      </text>
    </comment>
    <comment ref="J239" authorId="2" shapeId="0" xr:uid="{00000000-0006-0000-0400-000029010000}">
      <text>
        <r>
          <rPr>
            <b/>
            <sz val="9"/>
            <color indexed="81"/>
            <rFont val="Tahoma"/>
            <family val="2"/>
          </rPr>
          <t>user:</t>
        </r>
        <r>
          <rPr>
            <sz val="9"/>
            <color indexed="81"/>
            <rFont val="Tahoma"/>
            <family val="2"/>
          </rPr>
          <t xml:space="preserve">
+ QĐ Bổ nhiệm Phó TK Điện - Điện tử từ 10/6/2019
</t>
        </r>
      </text>
    </comment>
    <comment ref="H240" authorId="1" shapeId="0" xr:uid="{00000000-0006-0000-0400-00002A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G241" authorId="0" shapeId="0" xr:uid="{00000000-0006-0000-0400-00002B010000}">
      <text>
        <r>
          <rPr>
            <b/>
            <sz val="9"/>
            <color indexed="81"/>
            <rFont val="Tahoma"/>
            <family val="2"/>
          </rPr>
          <t>User:</t>
        </r>
        <r>
          <rPr>
            <sz val="9"/>
            <color indexed="81"/>
            <rFont val="Tahoma"/>
            <family val="2"/>
          </rPr>
          <t xml:space="preserve">
- HS 4,65 từ 01/5/2014
- HS 4,98 từ 01/5/2017</t>
        </r>
      </text>
    </comment>
    <comment ref="H241" authorId="2" shapeId="0" xr:uid="{00000000-0006-0000-0400-00002C010000}">
      <text>
        <r>
          <rPr>
            <b/>
            <sz val="9"/>
            <color indexed="81"/>
            <rFont val="Tahoma"/>
            <family val="2"/>
          </rPr>
          <t>user:</t>
        </r>
        <r>
          <rPr>
            <sz val="9"/>
            <color indexed="81"/>
            <rFont val="Tahoma"/>
            <family val="2"/>
          </rPr>
          <t xml:space="preserve">
- 5% từ 01/5/2020
- 6% từ 01/5/2021
- 7% từ 01/5/2022
- 8% từ 01/5/2023
- 9% từ 01/9/2024</t>
        </r>
      </text>
    </comment>
    <comment ref="J241" authorId="0" shapeId="0" xr:uid="{00000000-0006-0000-0400-00002D010000}">
      <text>
        <r>
          <rPr>
            <b/>
            <sz val="9"/>
            <color indexed="81"/>
            <rFont val="Tahoma"/>
            <family val="2"/>
          </rPr>
          <t>User:</t>
        </r>
        <r>
          <rPr>
            <sz val="9"/>
            <color indexed="81"/>
            <rFont val="Tahoma"/>
            <family val="2"/>
          </rPr>
          <t xml:space="preserve">
Miễn nhiện Phó Trưởng BM từ 01/9/15. Bảo lưu HS hết T2/2015</t>
        </r>
      </text>
    </comment>
    <comment ref="G242" authorId="0" shapeId="0" xr:uid="{00000000-0006-0000-0400-00002E010000}">
      <text>
        <r>
          <rPr>
            <b/>
            <sz val="9"/>
            <color indexed="81"/>
            <rFont val="Tahoma"/>
            <family val="2"/>
          </rPr>
          <t>User:</t>
        </r>
        <r>
          <rPr>
            <sz val="9"/>
            <color indexed="81"/>
            <rFont val="Tahoma"/>
            <family val="2"/>
          </rPr>
          <t xml:space="preserve">
- HS 3,66 từ 01/9/2015
- HS 3,99 từ 01/9/2018
- HS 4,32 từ 01/9/2021</t>
        </r>
      </text>
    </comment>
    <comment ref="G243" authorId="0" shapeId="0" xr:uid="{00000000-0006-0000-0400-00002F010000}">
      <text>
        <r>
          <rPr>
            <b/>
            <sz val="9"/>
            <color indexed="81"/>
            <rFont val="Tahoma"/>
            <family val="2"/>
          </rPr>
          <t>User:</t>
        </r>
        <r>
          <rPr>
            <sz val="9"/>
            <color indexed="81"/>
            <rFont val="Tahoma"/>
            <family val="2"/>
          </rPr>
          <t xml:space="preserve">
- HS 3,66 từ 01/9/2015
- HS 3,99 từ 01/9/2018
- HS 4,32 từ 01/9/2021</t>
        </r>
      </text>
    </comment>
    <comment ref="J243" authorId="0" shapeId="0" xr:uid="{00000000-0006-0000-0400-000030010000}">
      <text>
        <r>
          <rPr>
            <b/>
            <sz val="9"/>
            <color indexed="81"/>
            <rFont val="Tahoma"/>
            <family val="2"/>
          </rPr>
          <t>User:</t>
        </r>
        <r>
          <rPr>
            <sz val="9"/>
            <color indexed="81"/>
            <rFont val="Tahoma"/>
            <family val="2"/>
          </rPr>
          <t xml:space="preserve">
Miễn nhiệm Phó Trưởng BM từ 01/9/2015. Bảo lưu HS hết T02/2015</t>
        </r>
      </text>
    </comment>
    <comment ref="G244" authorId="0" shapeId="0" xr:uid="{00000000-0006-0000-0400-000031010000}">
      <text>
        <r>
          <rPr>
            <b/>
            <sz val="9"/>
            <color indexed="81"/>
            <rFont val="Tahoma"/>
            <family val="2"/>
          </rPr>
          <t>User:</t>
        </r>
        <r>
          <rPr>
            <sz val="9"/>
            <color indexed="81"/>
            <rFont val="Tahoma"/>
            <family val="2"/>
          </rPr>
          <t xml:space="preserve">
- HS 3,66 từ 01/9/2014
- HS 3,99 từ 01/9/2017
- HS 4,32 từ 01/9/2020
- HS 4,65 từ 01/9/2023</t>
        </r>
      </text>
    </comment>
    <comment ref="G245" authorId="0" shapeId="0" xr:uid="{00000000-0006-0000-0400-000032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G246" authorId="0" shapeId="0" xr:uid="{00000000-0006-0000-0400-000033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7" authorId="0" shapeId="0" xr:uid="{00000000-0006-0000-04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8" authorId="1" shapeId="0" xr:uid="{00000000-0006-0000-0400-000035010000}">
      <text>
        <r>
          <rPr>
            <b/>
            <sz val="9"/>
            <color indexed="81"/>
            <rFont val="Tahoma"/>
            <family val="2"/>
          </rPr>
          <t>Admin:</t>
        </r>
        <r>
          <rPr>
            <sz val="9"/>
            <color indexed="81"/>
            <rFont val="Tahoma"/>
            <family val="2"/>
          </rPr>
          <t xml:space="preserve">
- HS 3,33 từ 01/12/2015
- HS 3,66 từ 01/12/2016
- HS 3,99 từ 01/12/2021</t>
        </r>
      </text>
    </comment>
    <comment ref="G249" authorId="2" shapeId="0" xr:uid="{00000000-0006-0000-0400-00003601000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xr:uid="{00000000-0006-0000-0400-000037010000}">
      <text>
        <r>
          <rPr>
            <sz val="9"/>
            <color indexed="81"/>
            <rFont val="Tahoma"/>
            <family val="2"/>
          </rPr>
          <t>- Tập sự từ 01/4/2018 HS 85% 2,67</t>
        </r>
        <r>
          <rPr>
            <b/>
            <sz val="9"/>
            <color indexed="81"/>
            <rFont val="Tahoma"/>
            <family val="2"/>
          </rPr>
          <t xml:space="preserve">
</t>
        </r>
      </text>
    </comment>
    <comment ref="G250" authorId="2" shapeId="0" xr:uid="{00000000-0006-0000-0400-000038010000}">
      <text>
        <r>
          <rPr>
            <b/>
            <sz val="9"/>
            <color indexed="81"/>
            <rFont val="Tahoma"/>
            <family val="2"/>
          </rPr>
          <t>user:</t>
        </r>
        <r>
          <rPr>
            <sz val="9"/>
            <color indexed="81"/>
            <rFont val="Tahoma"/>
            <family val="2"/>
          </rPr>
          <t xml:space="preserve">
- BN CDNN 2.34 từ 1/4/2019
- HS 2,67 từ 01/4/2022</t>
        </r>
      </text>
    </comment>
    <comment ref="J250" authorId="3" shapeId="0" xr:uid="{00000000-0006-0000-0400-000039010000}">
      <text>
        <r>
          <rPr>
            <b/>
            <sz val="9"/>
            <color indexed="81"/>
            <rFont val="Tahoma"/>
            <family val="2"/>
          </rPr>
          <t>Windows User:</t>
        </r>
        <r>
          <rPr>
            <sz val="9"/>
            <color indexed="81"/>
            <rFont val="Tahoma"/>
            <family val="2"/>
          </rPr>
          <t xml:space="preserve">
- Trưởng BM Điện Công nghiệp từ 01/10/2022</t>
        </r>
      </text>
    </comment>
    <comment ref="K250" authorId="1" shapeId="0" xr:uid="{00000000-0006-0000-0400-00003A010000}">
      <text>
        <r>
          <rPr>
            <sz val="9"/>
            <color indexed="81"/>
            <rFont val="Tahoma"/>
            <family val="2"/>
          </rPr>
          <t>- Tập sự từ 01/4/2018 HS 85% 2,34</t>
        </r>
      </text>
    </comment>
    <comment ref="G251" authorId="2" shapeId="0" xr:uid="{00000000-0006-0000-0400-00003B010000}">
      <text>
        <r>
          <rPr>
            <b/>
            <sz val="9"/>
            <color indexed="81"/>
            <rFont val="Tahoma"/>
            <family val="2"/>
          </rPr>
          <t>user:</t>
        </r>
        <r>
          <rPr>
            <sz val="9"/>
            <color indexed="81"/>
            <rFont val="Tahoma"/>
            <family val="2"/>
          </rPr>
          <t xml:space="preserve">
- HS 2,34 từ 01/01/2020
- HS 2,67 từ 01/01/2022 (NL trước hạn)</t>
        </r>
      </text>
    </comment>
    <comment ref="J251" authorId="7" shapeId="0" xr:uid="{00000000-0006-0000-0400-00003C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G252" authorId="2" shapeId="0" xr:uid="{00000000-0006-0000-0400-00003D010000}">
      <text>
        <r>
          <rPr>
            <b/>
            <sz val="9"/>
            <color indexed="81"/>
            <rFont val="Tahoma"/>
            <family val="2"/>
          </rPr>
          <t>user:</t>
        </r>
        <r>
          <rPr>
            <sz val="9"/>
            <color indexed="81"/>
            <rFont val="Tahoma"/>
            <family val="2"/>
          </rPr>
          <t xml:space="preserve">
Thuyên chuyển về trường từ ngày 15/6/2021
- HS 3,99 từ 01/11/2022</t>
        </r>
      </text>
    </comment>
    <comment ref="G253" authorId="3" shapeId="0" xr:uid="{00000000-0006-0000-0400-00003E010000}">
      <text>
        <r>
          <rPr>
            <b/>
            <sz val="9"/>
            <color indexed="81"/>
            <rFont val="Tahoma"/>
            <family val="2"/>
          </rPr>
          <t>Windows User:</t>
        </r>
        <r>
          <rPr>
            <sz val="9"/>
            <color indexed="81"/>
            <rFont val="Tahoma"/>
            <family val="2"/>
          </rPr>
          <t xml:space="preserve">
- HS 2,67 từ 01/10/2023 (BN CDNN)</t>
        </r>
      </text>
    </comment>
    <comment ref="G254" authorId="3" shapeId="0" xr:uid="{00000000-0006-0000-0400-00003F010000}">
      <text>
        <r>
          <rPr>
            <b/>
            <sz val="9"/>
            <color indexed="81"/>
            <rFont val="Tahoma"/>
            <family val="2"/>
          </rPr>
          <t>Windows User:</t>
        </r>
        <r>
          <rPr>
            <sz val="9"/>
            <color indexed="81"/>
            <rFont val="Tahoma"/>
            <family val="2"/>
          </rPr>
          <t xml:space="preserve">
- HS 2,34 từ 01/10/2023 (BN CDNN)</t>
        </r>
      </text>
    </comment>
    <comment ref="G255" authorId="1" shapeId="0" xr:uid="{00000000-0006-0000-0400-000040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J255" authorId="0" shapeId="0" xr:uid="{00000000-0006-0000-0400-000041010000}">
      <text>
        <r>
          <rPr>
            <b/>
            <sz val="9"/>
            <color indexed="81"/>
            <rFont val="Tahoma"/>
            <family val="2"/>
          </rPr>
          <t>User:</t>
        </r>
        <r>
          <rPr>
            <sz val="9"/>
            <color indexed="81"/>
            <rFont val="Tahoma"/>
            <family val="2"/>
          </rPr>
          <t xml:space="preserve">
- Trưởng khoa Động lực từ 01/8/2015</t>
        </r>
      </text>
    </comment>
    <comment ref="G256" authorId="1" shapeId="0" xr:uid="{00000000-0006-0000-0400-000042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G257" authorId="1" shapeId="0" xr:uid="{00000000-0006-0000-0400-000043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258" authorId="1" shapeId="0" xr:uid="{00000000-0006-0000-0400-000044010000}">
      <text>
        <r>
          <rPr>
            <b/>
            <sz val="9"/>
            <color indexed="81"/>
            <rFont val="Tahoma"/>
            <family val="2"/>
          </rPr>
          <t>Admin:</t>
        </r>
        <r>
          <rPr>
            <sz val="9"/>
            <color indexed="81"/>
            <rFont val="Tahoma"/>
            <family val="2"/>
          </rPr>
          <t xml:space="preserve">
- HS 3,33 từ 01/9/2016
- HS 3,66 từ 01/9/2018 (NL trước hạn)
- HS 3,99 từ 01/9/2021</t>
        </r>
      </text>
    </comment>
    <comment ref="J258" authorId="1" shapeId="0" xr:uid="{00000000-0006-0000-0400-000045010000}">
      <text>
        <r>
          <rPr>
            <b/>
            <sz val="9"/>
            <color indexed="81"/>
            <rFont val="Tahoma"/>
            <family val="2"/>
          </rPr>
          <t>Admin:</t>
        </r>
        <r>
          <rPr>
            <sz val="9"/>
            <color indexed="81"/>
            <rFont val="Tahoma"/>
            <family val="2"/>
          </rPr>
          <t xml:space="preserve">
- Bảo lưu đến hết T5/2018</t>
        </r>
      </text>
    </comment>
    <comment ref="G259" authorId="1" shapeId="0" xr:uid="{00000000-0006-0000-0400-000046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J259" authorId="0" shapeId="0" xr:uid="{00000000-0006-0000-0400-000047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G260" authorId="0" shapeId="0" xr:uid="{00000000-0006-0000-0400-000048010000}">
      <text>
        <r>
          <rPr>
            <b/>
            <sz val="9"/>
            <color indexed="81"/>
            <rFont val="Tahoma"/>
            <family val="2"/>
          </rPr>
          <t>User:</t>
        </r>
        <r>
          <rPr>
            <sz val="9"/>
            <color indexed="81"/>
            <rFont val="Tahoma"/>
            <family val="2"/>
          </rPr>
          <t xml:space="preserve">
- HS 3,00 từ 01/9/2015
- HS 3,33 từ 01/9/2018
- HS 3,66 từ 01/9/2021</t>
        </r>
      </text>
    </comment>
    <comment ref="G261" authorId="1" shapeId="0" xr:uid="{00000000-0006-0000-0400-000049010000}">
      <text>
        <r>
          <rPr>
            <b/>
            <sz val="9"/>
            <color indexed="81"/>
            <rFont val="Tahoma"/>
            <family val="2"/>
          </rPr>
          <t>Admin:</t>
        </r>
        <r>
          <rPr>
            <sz val="9"/>
            <color indexed="81"/>
            <rFont val="Tahoma"/>
            <family val="2"/>
          </rPr>
          <t xml:space="preserve">
- HS 3,00 từ 01/9/2015
- HS 3,33 từ 01/9/2018
- HS 3,66 từ 01/9/2021</t>
        </r>
      </text>
    </comment>
    <comment ref="G262" authorId="0" shapeId="0" xr:uid="{00000000-0006-0000-0400-00004A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262" authorId="0" shapeId="0" xr:uid="{00000000-0006-0000-0400-00004B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G263" authorId="1" shapeId="0" xr:uid="{00000000-0006-0000-0400-00004C010000}">
      <text>
        <r>
          <rPr>
            <b/>
            <sz val="9"/>
            <color indexed="81"/>
            <rFont val="Tahoma"/>
            <family val="2"/>
          </rPr>
          <t>Admin:</t>
        </r>
        <r>
          <rPr>
            <sz val="9"/>
            <color indexed="81"/>
            <rFont val="Tahoma"/>
            <family val="2"/>
          </rPr>
          <t xml:space="preserve">
- HS 3,00 từ 01/9/2015
- HS 3,33 từ 01/9/2018
- HS 3,66 từ 01/9/2021</t>
        </r>
      </text>
    </comment>
    <comment ref="G264" authorId="1" shapeId="0" xr:uid="{00000000-0006-0000-0400-00004D010000}">
      <text>
        <r>
          <rPr>
            <b/>
            <sz val="9"/>
            <color indexed="81"/>
            <rFont val="Tahoma"/>
            <family val="2"/>
          </rPr>
          <t>Admin:</t>
        </r>
        <r>
          <rPr>
            <sz val="9"/>
            <color indexed="81"/>
            <rFont val="Tahoma"/>
            <family val="2"/>
          </rPr>
          <t xml:space="preserve">
- HS 3,00 từ 01/9/2017
- HS 3,33 từ 01/9/2019
- HS 3,66 từ 01/9/2022
</t>
        </r>
      </text>
    </comment>
    <comment ref="G265" authorId="8" shapeId="0" xr:uid="{00000000-0006-0000-0400-00004E010000}">
      <text>
        <r>
          <rPr>
            <sz val="9"/>
            <color indexed="81"/>
            <rFont val="Tahoma"/>
            <family val="2"/>
          </rPr>
          <t>- HS 3,00 từ 01/3/2018
- HS 3,33 từ 01/3/2020 (NL trước hạn)
- HS 3,66 từ 01/03/2023</t>
        </r>
      </text>
    </comment>
    <comment ref="G266" authorId="1" shapeId="0" xr:uid="{00000000-0006-0000-0400-00004F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G267" authorId="1" shapeId="0" xr:uid="{00000000-0006-0000-0400-000050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G268" authorId="1" shapeId="0" xr:uid="{00000000-0006-0000-0400-000051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J268" authorId="4" shapeId="0" xr:uid="{00000000-0006-0000-0400-000052010000}">
      <text>
        <r>
          <rPr>
            <b/>
            <sz val="9"/>
            <color indexed="81"/>
            <rFont val="Tahoma"/>
            <family val="2"/>
          </rPr>
          <t>Quynh:</t>
        </r>
        <r>
          <rPr>
            <sz val="9"/>
            <color indexed="81"/>
            <rFont val="Tahoma"/>
            <family val="2"/>
          </rPr>
          <t xml:space="preserve">
- BN Trưởng BM Điện ô tô từ 01/01/2019 </t>
        </r>
      </text>
    </comment>
    <comment ref="G269" authorId="1" shapeId="0" xr:uid="{00000000-0006-0000-0400-000053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G270" authorId="2" shapeId="0" xr:uid="{00000000-0006-0000-0400-000054010000}">
      <text>
        <r>
          <rPr>
            <b/>
            <sz val="9"/>
            <color indexed="81"/>
            <rFont val="Tahoma"/>
            <family val="2"/>
          </rPr>
          <t>user:</t>
        </r>
        <r>
          <rPr>
            <sz val="9"/>
            <color indexed="81"/>
            <rFont val="Tahoma"/>
            <family val="2"/>
          </rPr>
          <t xml:space="preserve">
- HS 2,34 từ 01/10/2019
- HS 2,67 từ 01/10/2021 (NL trước hạn)</t>
        </r>
      </text>
    </comment>
    <comment ref="G271" authorId="2" shapeId="0" xr:uid="{00000000-0006-0000-0400-000055010000}">
      <text>
        <r>
          <rPr>
            <b/>
            <sz val="9"/>
            <color indexed="81"/>
            <rFont val="Tahoma"/>
            <family val="2"/>
          </rPr>
          <t>user:</t>
        </r>
        <r>
          <rPr>
            <sz val="9"/>
            <color indexed="81"/>
            <rFont val="Tahoma"/>
            <family val="2"/>
          </rPr>
          <t xml:space="preserve">
- HS 2,34 từ 01/10/2019
- HS 2,67 từ 01/10/2022</t>
        </r>
      </text>
    </comment>
    <comment ref="G272" authorId="2" shapeId="0" xr:uid="{00000000-0006-0000-0400-000056010000}">
      <text>
        <r>
          <rPr>
            <b/>
            <sz val="9"/>
            <color indexed="81"/>
            <rFont val="Tahoma"/>
            <family val="2"/>
          </rPr>
          <t>user:</t>
        </r>
        <r>
          <rPr>
            <sz val="9"/>
            <color indexed="81"/>
            <rFont val="Tahoma"/>
            <family val="2"/>
          </rPr>
          <t xml:space="preserve">
- HS 2,67 từ 01/01/2020
- HS 3,00 từ 01/01/2022 (NL trước hạn)</t>
        </r>
      </text>
    </comment>
    <comment ref="G273" authorId="2" shapeId="0" xr:uid="{00000000-0006-0000-0400-000057010000}">
      <text>
        <r>
          <rPr>
            <b/>
            <sz val="9"/>
            <color indexed="81"/>
            <rFont val="Tahoma"/>
            <family val="2"/>
          </rPr>
          <t>user:</t>
        </r>
        <r>
          <rPr>
            <sz val="9"/>
            <color indexed="81"/>
            <rFont val="Tahoma"/>
            <family val="2"/>
          </rPr>
          <t xml:space="preserve">
- HS 3,00 từ 01/11/2019
- HS 3,33 từ 01/12/2020
- HS 3,66 từ 01/12/2022</t>
        </r>
      </text>
    </comment>
    <comment ref="G274" authorId="2" shapeId="0" xr:uid="{00000000-0006-0000-0400-000058010000}">
      <text>
        <r>
          <rPr>
            <b/>
            <sz val="9"/>
            <color indexed="81"/>
            <rFont val="Tahoma"/>
            <family val="2"/>
          </rPr>
          <t>user:</t>
        </r>
        <r>
          <rPr>
            <sz val="9"/>
            <color indexed="81"/>
            <rFont val="Tahoma"/>
            <family val="2"/>
          </rPr>
          <t xml:space="preserve">
Tuyển dụng từ 01/5/20
- HS 2,34 từ 01/5/2021
- HS 2,67 từ 01/5/2024</t>
        </r>
      </text>
    </comment>
    <comment ref="G275" authorId="2" shapeId="0" xr:uid="{00000000-0006-0000-0400-000059010000}">
      <text>
        <r>
          <rPr>
            <b/>
            <sz val="9"/>
            <color indexed="81"/>
            <rFont val="Tahoma"/>
            <family val="2"/>
          </rPr>
          <t>user:</t>
        </r>
        <r>
          <rPr>
            <sz val="9"/>
            <color indexed="81"/>
            <rFont val="Tahoma"/>
            <family val="2"/>
          </rPr>
          <t xml:space="preserve">
- QĐ Tuyển dụng từ 01/3/2021 (HS 2,34- 85%)
- HS 2,34 từ 01/3/2022 (BNN)</t>
        </r>
      </text>
    </comment>
    <comment ref="G276" authorId="2" shapeId="0" xr:uid="{00000000-0006-0000-0400-00005A010000}">
      <text>
        <r>
          <rPr>
            <b/>
            <sz val="9"/>
            <color indexed="81"/>
            <rFont val="Tahoma"/>
            <family val="2"/>
          </rPr>
          <t>user:</t>
        </r>
        <r>
          <rPr>
            <sz val="9"/>
            <color indexed="81"/>
            <rFont val="Tahoma"/>
            <family val="2"/>
          </rPr>
          <t xml:space="preserve">
- Tuyển dụng từ 01/4/2021 (85%)
- HS 2,34 từ 01/4/2022</t>
        </r>
      </text>
    </comment>
    <comment ref="G277" authorId="2" shapeId="0" xr:uid="{00000000-0006-0000-0400-00005B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G278" authorId="3" shapeId="0" xr:uid="{00000000-0006-0000-0400-00005C010000}">
      <text>
        <r>
          <rPr>
            <b/>
            <sz val="9"/>
            <color indexed="81"/>
            <rFont val="Tahoma"/>
            <family val="2"/>
          </rPr>
          <t>Windows User:</t>
        </r>
        <r>
          <rPr>
            <sz val="9"/>
            <color indexed="81"/>
            <rFont val="Tahoma"/>
            <family val="2"/>
          </rPr>
          <t xml:space="preserve">
- HS 3,00 từ 01/10/2022
- HS 3,33 từ 01/01/2023</t>
        </r>
      </text>
    </comment>
    <comment ref="G280" authorId="6" shapeId="0" xr:uid="{00000000-0006-0000-0400-00005D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J280" authorId="0" shapeId="0" xr:uid="{00000000-0006-0000-0400-00005E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G281" authorId="1" shapeId="0" xr:uid="{00000000-0006-0000-0400-00005F010000}">
      <text>
        <r>
          <rPr>
            <b/>
            <sz val="9"/>
            <color indexed="81"/>
            <rFont val="Tahoma"/>
            <family val="2"/>
          </rPr>
          <t>Admin:</t>
        </r>
        <r>
          <rPr>
            <sz val="9"/>
            <color indexed="81"/>
            <rFont val="Tahoma"/>
            <family val="2"/>
          </rPr>
          <t xml:space="preserve">
- HS 3,99 từ 01/9/2017
- HS 4,32 từ 01/9/2020
- HS 4,65 từ 01/9/2022</t>
        </r>
      </text>
    </comment>
    <comment ref="G282" authorId="1" shapeId="0" xr:uid="{00000000-0006-0000-0400-000060010000}">
      <text>
        <r>
          <rPr>
            <b/>
            <sz val="9"/>
            <color indexed="81"/>
            <rFont val="Tahoma"/>
            <family val="2"/>
          </rPr>
          <t>Admin:</t>
        </r>
        <r>
          <rPr>
            <sz val="9"/>
            <color indexed="81"/>
            <rFont val="Tahoma"/>
            <family val="2"/>
          </rPr>
          <t xml:space="preserve">
- HS 3,99 từ 01/9/2017
- HS 4,32 từ 01/9/2020
- HS 4,65 từ 01/9/2023</t>
        </r>
      </text>
    </comment>
    <comment ref="G283" authorId="1" shapeId="0" xr:uid="{00000000-0006-0000-0400-000061010000}">
      <text>
        <r>
          <rPr>
            <b/>
            <sz val="9"/>
            <color indexed="81"/>
            <rFont val="Tahoma"/>
            <family val="2"/>
          </rPr>
          <t>Admin:</t>
        </r>
        <r>
          <rPr>
            <sz val="9"/>
            <color indexed="81"/>
            <rFont val="Tahoma"/>
            <family val="2"/>
          </rPr>
          <t xml:space="preserve">
- HS 3,00 từ 01/9/2016
- HS 3,33 từ 01/9/2019
- HS 3,66 từ 01/9/2022</t>
        </r>
      </text>
    </comment>
    <comment ref="G284" authorId="1" shapeId="0" xr:uid="{00000000-0006-0000-0400-000062010000}">
      <text>
        <r>
          <rPr>
            <b/>
            <sz val="9"/>
            <color indexed="81"/>
            <rFont val="Tahoma"/>
            <family val="2"/>
          </rPr>
          <t>Admin:</t>
        </r>
        <r>
          <rPr>
            <sz val="9"/>
            <color indexed="81"/>
            <rFont val="Tahoma"/>
            <family val="2"/>
          </rPr>
          <t xml:space="preserve">
- HS 3,00 từ 01/9/2017
- HS 3,33 từ 01/9/2020
- HS 3,66 từ 01/9/2023</t>
        </r>
      </text>
    </comment>
    <comment ref="G285" authorId="1" shapeId="0" xr:uid="{00000000-0006-0000-0400-000063010000}">
      <text>
        <r>
          <rPr>
            <b/>
            <sz val="9"/>
            <color indexed="81"/>
            <rFont val="Tahoma"/>
            <family val="2"/>
          </rPr>
          <t>Admin:</t>
        </r>
        <r>
          <rPr>
            <sz val="9"/>
            <color indexed="81"/>
            <rFont val="Tahoma"/>
            <family val="2"/>
          </rPr>
          <t xml:space="preserve">
- HS 3,66 từ 01/9/2016
- HS 3,99 từ 01/9/2019
- HS 4,32 từ 01/9/2022</t>
        </r>
      </text>
    </comment>
    <comment ref="G286" authorId="2" shapeId="0" xr:uid="{00000000-0006-0000-0400-000064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G287" authorId="0" shapeId="0" xr:uid="{00000000-0006-0000-0400-000065010000}">
      <text>
        <r>
          <rPr>
            <b/>
            <sz val="9"/>
            <color indexed="81"/>
            <rFont val="Tahoma"/>
            <family val="2"/>
          </rPr>
          <t>User:</t>
        </r>
        <r>
          <rPr>
            <sz val="9"/>
            <color indexed="81"/>
            <rFont val="Tahoma"/>
            <family val="2"/>
          </rPr>
          <t xml:space="preserve">
- HS 4,32 từ 01/10/2015
- HS 4,65 từ 01/10/2018
- HS 4,98 từ 01/10/2021</t>
        </r>
      </text>
    </comment>
    <comment ref="G288" authorId="8" shapeId="0" xr:uid="{00000000-0006-0000-0400-000066010000}">
      <text>
        <r>
          <rPr>
            <sz val="9"/>
            <color indexed="81"/>
            <rFont val="Tahoma"/>
            <family val="2"/>
          </rPr>
          <t>- HS 2,67 hưởng từ 01/9 làm bảng truy lãnh từ tháng 9-11/2017
- HS 3,00 từ 01/9/2019
- HS 3,33 từ 01/9/2022</t>
        </r>
      </text>
    </comment>
    <comment ref="J288" authorId="1" shapeId="0" xr:uid="{00000000-0006-0000-0400-000067010000}">
      <text>
        <r>
          <rPr>
            <b/>
            <sz val="9"/>
            <color indexed="81"/>
            <rFont val="Tahoma"/>
            <family val="2"/>
          </rPr>
          <t>Admin:</t>
        </r>
        <r>
          <rPr>
            <sz val="9"/>
            <color indexed="81"/>
            <rFont val="Tahoma"/>
            <family val="2"/>
          </rPr>
          <t xml:space="preserve">
- BN Phó TK từ 01/8/2018</t>
        </r>
      </text>
    </comment>
    <comment ref="J290" authorId="1" shapeId="0" xr:uid="{00000000-0006-0000-0400-000068010000}">
      <text>
        <r>
          <rPr>
            <b/>
            <sz val="9"/>
            <color indexed="81"/>
            <rFont val="Tahoma"/>
            <family val="2"/>
          </rPr>
          <t>Admin:</t>
        </r>
        <r>
          <rPr>
            <sz val="9"/>
            <color indexed="81"/>
            <rFont val="Tahoma"/>
            <family val="2"/>
          </rPr>
          <t xml:space="preserve">
4.873.050 từ 01/11/2021
- 5.417.685 từ 01/11/2023</t>
        </r>
      </text>
    </comment>
    <comment ref="I292" authorId="3" shapeId="0" xr:uid="{00000000-0006-0000-0400-000069010000}">
      <text>
        <r>
          <rPr>
            <b/>
            <sz val="9"/>
            <color indexed="81"/>
            <rFont val="Tahoma"/>
            <family val="2"/>
          </rPr>
          <t>Windows User:</t>
        </r>
        <r>
          <rPr>
            <sz val="9"/>
            <color indexed="81"/>
            <rFont val="Tahoma"/>
            <family val="2"/>
          </rPr>
          <t xml:space="preserve">
Chuyển mã D.03 sang D.02 từ 01/9/2023</t>
        </r>
      </text>
    </comment>
    <comment ref="J292" authorId="3" shapeId="0" xr:uid="{00000000-0006-0000-0400-00006A010000}">
      <text>
        <r>
          <rPr>
            <b/>
            <sz val="9"/>
            <color indexed="81"/>
            <rFont val="Tahoma"/>
            <family val="2"/>
          </rPr>
          <t>Windows User:</t>
        </r>
        <r>
          <rPr>
            <sz val="9"/>
            <color indexed="81"/>
            <rFont val="Tahoma"/>
            <family val="2"/>
          </rPr>
          <t xml:space="preserve">
- 5.007.600 từ 01/9/2023</t>
        </r>
      </text>
    </comment>
    <comment ref="J295" authorId="3" shapeId="0" xr:uid="{00000000-0006-0000-0400-00006B010000}">
      <text>
        <r>
          <rPr>
            <b/>
            <sz val="9"/>
            <color indexed="81"/>
            <rFont val="Tahoma"/>
            <family val="2"/>
          </rPr>
          <t>Windows User:</t>
        </r>
        <r>
          <rPr>
            <sz val="9"/>
            <color indexed="81"/>
            <rFont val="Tahoma"/>
            <family val="2"/>
          </rPr>
          <t xml:space="preserve">
- 7.623.227 từ 01/02/2023</t>
        </r>
      </text>
    </comment>
    <comment ref="J296" authorId="2" shapeId="0" xr:uid="{00000000-0006-0000-0400-00006C010000}">
      <text>
        <r>
          <rPr>
            <b/>
            <sz val="9"/>
            <color indexed="81"/>
            <rFont val="Tahoma"/>
            <family val="2"/>
          </rPr>
          <t>user:</t>
        </r>
        <r>
          <rPr>
            <sz val="9"/>
            <color indexed="81"/>
            <rFont val="Tahoma"/>
            <family val="2"/>
          </rPr>
          <t xml:space="preserve">
- 5.372.538 từ 01/11/2021
- 5.972.998 từ 01/11/2023</t>
        </r>
      </text>
    </comment>
    <comment ref="J297" authorId="2" shapeId="0" xr:uid="{00000000-0006-0000-0400-00006D010000}">
      <text>
        <r>
          <rPr>
            <b/>
            <sz val="9"/>
            <color indexed="81"/>
            <rFont val="Tahoma"/>
            <family val="2"/>
          </rPr>
          <t>user:</t>
        </r>
        <r>
          <rPr>
            <sz val="9"/>
            <color indexed="81"/>
            <rFont val="Tahoma"/>
            <family val="2"/>
          </rPr>
          <t xml:space="preserve">
- 5.372.538 từ 01/11/2021
- 5.972.538 từ 01/11/2023</t>
        </r>
      </text>
    </comment>
    <comment ref="J298" authorId="2" shapeId="0" xr:uid="{00000000-0006-0000-0400-00006E010000}">
      <text>
        <r>
          <rPr>
            <b/>
            <sz val="9"/>
            <color indexed="81"/>
            <rFont val="Tahoma"/>
            <family val="2"/>
          </rPr>
          <t>user:</t>
        </r>
        <r>
          <rPr>
            <sz val="9"/>
            <color indexed="81"/>
            <rFont val="Tahoma"/>
            <family val="2"/>
          </rPr>
          <t xml:space="preserve">
- 5.060.458 từ 01/12/2020 (HĐLĐ)
- 5.733. 201 từ 01/12/2023</t>
        </r>
      </text>
    </comment>
    <comment ref="J302" authorId="2" shapeId="0" xr:uid="{00000000-0006-0000-0400-00006F010000}">
      <text>
        <r>
          <rPr>
            <b/>
            <sz val="9"/>
            <color indexed="81"/>
            <rFont val="Tahoma"/>
            <family val="2"/>
          </rPr>
          <t>user:</t>
        </r>
        <r>
          <rPr>
            <sz val="9"/>
            <color indexed="81"/>
            <rFont val="Tahoma"/>
            <family val="2"/>
          </rPr>
          <t xml:space="preserve">
T3: 4301389 (85% của 5.060.458)
- 5.060.458 từ 01/4/2021
- 5.733.201 từ 01/4/2024</t>
        </r>
      </text>
    </comment>
    <comment ref="J303" authorId="3" shapeId="0" xr:uid="{00000000-0006-0000-0400-000070010000}">
      <text>
        <r>
          <rPr>
            <b/>
            <sz val="9"/>
            <color indexed="81"/>
            <rFont val="Tahoma"/>
            <family val="2"/>
          </rPr>
          <t>Windows User:</t>
        </r>
        <r>
          <rPr>
            <sz val="9"/>
            <color indexed="81"/>
            <rFont val="Tahoma"/>
            <family val="2"/>
          </rPr>
          <t xml:space="preserve">
- 8.992.930 từ 01/7/2023</t>
        </r>
      </text>
    </comment>
    <comment ref="J305" authorId="3" shapeId="0" xr:uid="{00000000-0006-0000-0400-000071010000}">
      <text>
        <r>
          <rPr>
            <b/>
            <sz val="9"/>
            <color indexed="81"/>
            <rFont val="Tahoma"/>
            <family val="2"/>
          </rPr>
          <t>Windows User:</t>
        </r>
        <r>
          <rPr>
            <sz val="9"/>
            <color indexed="81"/>
            <rFont val="Tahoma"/>
            <family val="2"/>
          </rPr>
          <t xml:space="preserve">
- 8.041.111 từ 01/7/2023</t>
        </r>
      </text>
    </comment>
    <comment ref="J306" authorId="2" shapeId="0" xr:uid="{00000000-0006-0000-0400-000072010000}">
      <text>
        <r>
          <rPr>
            <b/>
            <sz val="9"/>
            <color indexed="81"/>
            <rFont val="Tahoma"/>
            <family val="2"/>
          </rPr>
          <t>user:</t>
        </r>
        <r>
          <rPr>
            <sz val="9"/>
            <color indexed="81"/>
            <rFont val="Tahoma"/>
            <family val="2"/>
          </rPr>
          <t xml:space="preserve">
- 6.151.018 từ 01/07/2021 (Nâng lương trước hạn)</t>
        </r>
      </text>
    </comment>
    <comment ref="J307" authorId="2" shapeId="0" xr:uid="{00000000-0006-0000-0400-000073010000}">
      <text>
        <r>
          <rPr>
            <b/>
            <sz val="9"/>
            <color indexed="81"/>
            <rFont val="Tahoma"/>
            <family val="2"/>
          </rPr>
          <t>user:</t>
        </r>
        <r>
          <rPr>
            <sz val="9"/>
            <color indexed="81"/>
            <rFont val="Tahoma"/>
            <family val="2"/>
          </rPr>
          <t xml:space="preserve">
- 5.748.615 từ 01/01/2021 (Nâng lương trước hạn)
- 6.391.108 từ 01/01/2023</t>
        </r>
      </text>
    </comment>
    <comment ref="J308" authorId="3" shapeId="0" xr:uid="{00000000-0006-0000-0400-000074010000}">
      <text>
        <r>
          <rPr>
            <b/>
            <sz val="9"/>
            <color indexed="81"/>
            <rFont val="Tahoma"/>
            <family val="2"/>
          </rPr>
          <t>Windows User:</t>
        </r>
        <r>
          <rPr>
            <sz val="9"/>
            <color indexed="81"/>
            <rFont val="Tahoma"/>
            <family val="2"/>
          </rPr>
          <t xml:space="preserve">
- 7.180.409 từ 01/01/2023</t>
        </r>
      </text>
    </comment>
    <comment ref="J309" authorId="2" shapeId="0" xr:uid="{00000000-0006-0000-0400-000075010000}">
      <text>
        <r>
          <rPr>
            <b/>
            <sz val="9"/>
            <color indexed="81"/>
            <rFont val="Tahoma"/>
            <family val="2"/>
          </rPr>
          <t>user:</t>
        </r>
        <r>
          <rPr>
            <sz val="9"/>
            <color indexed="81"/>
            <rFont val="Tahoma"/>
            <family val="2"/>
          </rPr>
          <t xml:space="preserve">
- 4.965.870 từ 01/6/2021
- 5.520.879 từ 01/6/2023</t>
        </r>
      </text>
    </comment>
    <comment ref="J310" authorId="2" shapeId="0" xr:uid="{00000000-0006-0000-0400-000076010000}">
      <text>
        <r>
          <rPr>
            <b/>
            <sz val="9"/>
            <color indexed="81"/>
            <rFont val="Tahoma"/>
            <family val="2"/>
          </rPr>
          <t>user:</t>
        </r>
        <r>
          <rPr>
            <sz val="9"/>
            <color indexed="81"/>
            <rFont val="Tahoma"/>
            <family val="2"/>
          </rPr>
          <t xml:space="preserve">
- 5.474.872 từ 01/01/2021 (Nâng lương trước hạn)
- 6.086.769 từ 01/01/2023</t>
        </r>
      </text>
    </comment>
    <comment ref="I311" authorId="1" shapeId="0" xr:uid="{00000000-0006-0000-0400-000077010000}">
      <text>
        <r>
          <rPr>
            <sz val="9"/>
            <color indexed="81"/>
            <rFont val="Tahoma"/>
            <family val="2"/>
          </rPr>
          <t>QĐ bổ nhiệm Tổ trưởng từ 01/01/2018</t>
        </r>
        <r>
          <rPr>
            <sz val="9"/>
            <color indexed="81"/>
            <rFont val="Tahoma"/>
            <family val="2"/>
          </rPr>
          <t xml:space="preserve">
</t>
        </r>
      </text>
    </comment>
    <comment ref="J311" authorId="2" shapeId="0" xr:uid="{00000000-0006-0000-0400-000078010000}">
      <text>
        <r>
          <rPr>
            <b/>
            <sz val="9"/>
            <color indexed="81"/>
            <rFont val="Tahoma"/>
            <family val="2"/>
          </rPr>
          <t>user:</t>
        </r>
        <r>
          <rPr>
            <sz val="9"/>
            <color indexed="81"/>
            <rFont val="Tahoma"/>
            <family val="2"/>
          </rPr>
          <t xml:space="preserve">
- 7.199.714 từ 01/7/2021
- 8.044.388 từ 01/7/2023</t>
        </r>
      </text>
    </comment>
    <comment ref="J312" authorId="3" shapeId="0" xr:uid="{00000000-0006-0000-0400-000079010000}">
      <text>
        <r>
          <rPr>
            <b/>
            <sz val="9"/>
            <color indexed="81"/>
            <rFont val="Tahoma"/>
            <family val="2"/>
          </rPr>
          <t>Windows User:</t>
        </r>
        <r>
          <rPr>
            <sz val="9"/>
            <color indexed="81"/>
            <rFont val="Tahoma"/>
            <family val="2"/>
          </rPr>
          <t xml:space="preserve">
- 5.159.700 từ 01/1/2024</t>
        </r>
      </text>
    </comment>
    <comment ref="J314" authorId="3" shapeId="0" xr:uid="{00000000-0006-0000-0400-00007A010000}">
      <text>
        <r>
          <rPr>
            <b/>
            <sz val="9"/>
            <color indexed="81"/>
            <rFont val="Tahoma"/>
            <family val="2"/>
          </rPr>
          <t>Windows User:</t>
        </r>
        <r>
          <rPr>
            <sz val="9"/>
            <color indexed="81"/>
            <rFont val="Tahoma"/>
            <family val="2"/>
          </rPr>
          <t xml:space="preserve">
- 4.680.000 lên 4.914.000 từ 01/11/2022</t>
        </r>
      </text>
    </comment>
    <comment ref="J315" authorId="3" shapeId="0" xr:uid="{00000000-0006-0000-0400-00007B010000}">
      <text>
        <r>
          <rPr>
            <b/>
            <sz val="9"/>
            <color indexed="81"/>
            <rFont val="Tahoma"/>
            <family val="2"/>
          </rPr>
          <t>Windows User:</t>
        </r>
        <r>
          <rPr>
            <sz val="9"/>
            <color indexed="81"/>
            <rFont val="Tahoma"/>
            <family val="2"/>
          </rPr>
          <t xml:space="preserve">
- Từ 4.680.000 lên 4.914.000 từ 01/11/2022</t>
        </r>
      </text>
    </comment>
    <comment ref="J316" authorId="2" shapeId="0" xr:uid="{00000000-0006-0000-0400-00007C010000}">
      <text>
        <r>
          <rPr>
            <b/>
            <sz val="9"/>
            <color indexed="81"/>
            <rFont val="Tahoma"/>
            <family val="2"/>
          </rPr>
          <t>user:</t>
        </r>
        <r>
          <rPr>
            <sz val="9"/>
            <color indexed="81"/>
            <rFont val="Tahoma"/>
            <family val="2"/>
          </rPr>
          <t xml:space="preserve">
- 4.420.000 từ 01/4/2021</t>
        </r>
      </text>
    </comment>
    <comment ref="J317" authorId="2" shapeId="0" xr:uid="{00000000-0006-0000-0400-00007D010000}">
      <text>
        <r>
          <rPr>
            <b/>
            <sz val="9"/>
            <color indexed="81"/>
            <rFont val="Tahoma"/>
            <family val="2"/>
          </rPr>
          <t>user:</t>
        </r>
        <r>
          <rPr>
            <sz val="9"/>
            <color indexed="81"/>
            <rFont val="Tahoma"/>
            <family val="2"/>
          </rPr>
          <t xml:space="preserve">
- 4.420.000 từ 01/4/2021</t>
        </r>
      </text>
    </comment>
    <comment ref="J318" authorId="3" shapeId="0" xr:uid="{00000000-0006-0000-0400-00007E010000}">
      <text>
        <r>
          <rPr>
            <b/>
            <sz val="9"/>
            <color indexed="81"/>
            <rFont val="Tahoma"/>
            <family val="2"/>
          </rPr>
          <t>Windows User:</t>
        </r>
        <r>
          <rPr>
            <sz val="9"/>
            <color indexed="81"/>
            <rFont val="Tahoma"/>
            <family val="2"/>
          </rPr>
          <t xml:space="preserve">
- 5.007.600 từ 01/5/2024</t>
        </r>
      </text>
    </comment>
    <comment ref="J320" authorId="3" shapeId="0" xr:uid="{00000000-0006-0000-0400-00007F010000}">
      <text>
        <r>
          <rPr>
            <b/>
            <sz val="9"/>
            <color indexed="81"/>
            <rFont val="Tahoma"/>
            <family val="2"/>
          </rPr>
          <t>Windows User:</t>
        </r>
        <r>
          <rPr>
            <sz val="9"/>
            <color indexed="81"/>
            <rFont val="Tahoma"/>
            <family val="2"/>
          </rPr>
          <t xml:space="preserve">
- 7.046.196 từ 01/01/2024</t>
        </r>
      </text>
    </comment>
    <comment ref="J321" authorId="3" shapeId="0" xr:uid="{00000000-0006-0000-0400-000080010000}">
      <text>
        <r>
          <rPr>
            <b/>
            <sz val="9"/>
            <color indexed="81"/>
            <rFont val="Tahoma"/>
            <family val="2"/>
          </rPr>
          <t>Windows User:</t>
        </r>
        <r>
          <rPr>
            <sz val="9"/>
            <color indexed="81"/>
            <rFont val="Tahoma"/>
            <family val="2"/>
          </rPr>
          <t xml:space="preserve">
- 4.914.000 từ 01/5/2024</t>
        </r>
      </text>
    </comment>
    <comment ref="J322" authorId="2" shapeId="0" xr:uid="{00000000-0006-0000-0400-000081010000}">
      <text>
        <r>
          <rPr>
            <b/>
            <sz val="9"/>
            <color indexed="81"/>
            <rFont val="Tahoma"/>
            <family val="2"/>
          </rPr>
          <t>user:</t>
        </r>
        <r>
          <rPr>
            <sz val="9"/>
            <color indexed="81"/>
            <rFont val="Tahoma"/>
            <family val="2"/>
          </rPr>
          <t xml:space="preserve">
- 9.434.059 từ 01/11/2021
- 10.080.646 từ 01/11/2022
- 12.518.663 từ 01/11/2023</t>
        </r>
      </text>
    </comment>
    <comment ref="J323" authorId="2" shapeId="0" xr:uid="{00000000-0006-0000-0400-000082010000}">
      <text>
        <r>
          <rPr>
            <b/>
            <sz val="9"/>
            <color indexed="81"/>
            <rFont val="Tahoma"/>
            <family val="2"/>
          </rPr>
          <t>user:</t>
        </r>
        <r>
          <rPr>
            <sz val="9"/>
            <color indexed="81"/>
            <rFont val="Tahoma"/>
            <family val="2"/>
          </rPr>
          <t xml:space="preserve">
- 6.151.018 từ T6/20 (Nâng lương trước hạn)
- 7.515.057 từ 01/06/2023</t>
        </r>
      </text>
    </comment>
    <comment ref="J324" authorId="3" shapeId="0" xr:uid="{00000000-0006-0000-0400-000083010000}">
      <text>
        <r>
          <rPr>
            <b/>
            <sz val="9"/>
            <color indexed="81"/>
            <rFont val="Tahoma"/>
            <family val="2"/>
          </rPr>
          <t>Windows User:</t>
        </r>
        <r>
          <rPr>
            <sz val="9"/>
            <color indexed="81"/>
            <rFont val="Tahoma"/>
            <family val="2"/>
          </rPr>
          <t xml:space="preserve">
- 5.733.201 từ 01/8/2023</t>
        </r>
      </text>
    </comment>
    <comment ref="J325" authorId="2" shapeId="0" xr:uid="{00000000-0006-0000-0400-000084010000}">
      <text>
        <r>
          <rPr>
            <b/>
            <sz val="9"/>
            <color indexed="81"/>
            <rFont val="Tahoma"/>
            <family val="2"/>
          </rPr>
          <t>user:</t>
        </r>
        <r>
          <rPr>
            <sz val="9"/>
            <color indexed="81"/>
            <rFont val="Tahoma"/>
            <family val="2"/>
          </rPr>
          <t xml:space="preserve">
T4: 85% lương thử việc của: 5.060.458
- 5.733.201 từ 01/05/2023</t>
        </r>
      </text>
    </comment>
    <comment ref="J327" authorId="2" shapeId="0" xr:uid="{00000000-0006-0000-0400-000085010000}">
      <text>
        <r>
          <rPr>
            <b/>
            <sz val="9"/>
            <color indexed="81"/>
            <rFont val="Tahoma"/>
            <family val="2"/>
          </rPr>
          <t>user:</t>
        </r>
        <r>
          <rPr>
            <sz val="9"/>
            <color indexed="81"/>
            <rFont val="Tahoma"/>
            <family val="2"/>
          </rPr>
          <t xml:space="preserve">
- 6.781.498 từ 01/11/2021 (Nâng lương trước hạn)</t>
        </r>
      </text>
    </comment>
    <comment ref="J328" authorId="2" shapeId="0" xr:uid="{00000000-0006-0000-0400-000086010000}">
      <text>
        <r>
          <rPr>
            <b/>
            <sz val="9"/>
            <color indexed="81"/>
            <rFont val="Tahoma"/>
            <family val="2"/>
          </rPr>
          <t>user:</t>
        </r>
        <r>
          <rPr>
            <sz val="9"/>
            <color indexed="81"/>
            <rFont val="Tahoma"/>
            <family val="2"/>
          </rPr>
          <t xml:space="preserve">
- 5.474.872 từ 01/01/2021
- 6.086.769 từ 01/01/2023</t>
        </r>
      </text>
    </comment>
    <comment ref="J329" authorId="2" shapeId="0" xr:uid="{00000000-0006-0000-0400-000087010000}">
      <text>
        <r>
          <rPr>
            <b/>
            <sz val="9"/>
            <color indexed="81"/>
            <rFont val="Tahoma"/>
            <family val="2"/>
          </rPr>
          <t>user:</t>
        </r>
        <r>
          <rPr>
            <sz val="9"/>
            <color indexed="81"/>
            <rFont val="Tahoma"/>
            <family val="2"/>
          </rPr>
          <t xml:space="preserve">
- 5.474.872 từ 01/01/2021 (Nâng lương trước hạn)
- 6.086.769 từ 01/01/2023</t>
        </r>
      </text>
    </comment>
    <comment ref="J330" authorId="3" shapeId="0" xr:uid="{00000000-0006-0000-0400-000088010000}">
      <text>
        <r>
          <rPr>
            <b/>
            <sz val="9"/>
            <color indexed="81"/>
            <rFont val="Tahoma"/>
            <family val="2"/>
          </rPr>
          <t>Windows User:</t>
        </r>
        <r>
          <rPr>
            <sz val="9"/>
            <color indexed="81"/>
            <rFont val="Tahoma"/>
            <family val="2"/>
          </rPr>
          <t xml:space="preserve">
- 5.733.201 từ 01/12/2023</t>
        </r>
      </text>
    </comment>
    <comment ref="J331" authorId="3" shapeId="0" xr:uid="{00000000-0006-0000-0400-000089010000}">
      <text>
        <r>
          <rPr>
            <b/>
            <sz val="9"/>
            <color indexed="81"/>
            <rFont val="Tahoma"/>
            <family val="2"/>
          </rPr>
          <t>Windows User:</t>
        </r>
        <r>
          <rPr>
            <sz val="9"/>
            <color indexed="81"/>
            <rFont val="Tahoma"/>
            <family val="2"/>
          </rPr>
          <t xml:space="preserve">
- 5.257.980 từ 01/9/2023</t>
        </r>
      </text>
    </comment>
    <comment ref="J332" authorId="2" shapeId="0" xr:uid="{00000000-0006-0000-0400-00008A010000}">
      <text>
        <r>
          <rPr>
            <b/>
            <sz val="9"/>
            <color indexed="81"/>
            <rFont val="Tahoma"/>
            <family val="2"/>
          </rPr>
          <t>user:</t>
        </r>
        <r>
          <rPr>
            <sz val="9"/>
            <color indexed="81"/>
            <rFont val="Tahoma"/>
            <family val="2"/>
          </rPr>
          <t xml:space="preserve">
- 5.257.980 lên 5.520.879 từ 01/11/2022</t>
        </r>
      </text>
    </comment>
    <comment ref="J333" authorId="3" shapeId="0" xr:uid="{00000000-0006-0000-0400-00008B010000}">
      <text>
        <r>
          <rPr>
            <b/>
            <sz val="9"/>
            <color indexed="81"/>
            <rFont val="Tahoma"/>
            <family val="2"/>
          </rPr>
          <t>Windows User:</t>
        </r>
        <r>
          <rPr>
            <sz val="9"/>
            <color indexed="81"/>
            <rFont val="Tahoma"/>
            <family val="2"/>
          </rPr>
          <t xml:space="preserve">
- 5.733.201 từ 01/7/2023</t>
        </r>
      </text>
    </comment>
    <comment ref="J334" authorId="2" shapeId="0" xr:uid="{00000000-0006-0000-0400-00008C010000}">
      <text>
        <r>
          <rPr>
            <b/>
            <sz val="9"/>
            <color indexed="81"/>
            <rFont val="Tahoma"/>
            <family val="2"/>
          </rPr>
          <t>user:</t>
        </r>
        <r>
          <rPr>
            <sz val="9"/>
            <color indexed="81"/>
            <rFont val="Tahoma"/>
            <family val="2"/>
          </rPr>
          <t xml:space="preserve">
- 5.858.113 lên 6.151.018 từ 01/12/2020
- 6.838.485 từ 01/12/2022</t>
        </r>
      </text>
    </comment>
    <comment ref="J336" authorId="3" shapeId="0" xr:uid="{00000000-0006-0000-0400-00008D010000}">
      <text>
        <r>
          <rPr>
            <b/>
            <sz val="9"/>
            <color indexed="81"/>
            <rFont val="Tahoma"/>
            <family val="2"/>
          </rPr>
          <t>Windows User:</t>
        </r>
        <r>
          <rPr>
            <sz val="9"/>
            <color indexed="81"/>
            <rFont val="Tahoma"/>
            <family val="2"/>
          </rPr>
          <t xml:space="preserve">
- 5.626.039 từ 01/01/2023</t>
        </r>
      </text>
    </comment>
    <comment ref="J337" authorId="3" shapeId="0" xr:uid="{00000000-0006-0000-0400-00008E010000}">
      <text>
        <r>
          <rPr>
            <b/>
            <sz val="9"/>
            <color indexed="81"/>
            <rFont val="Tahoma"/>
            <family val="2"/>
          </rPr>
          <t>Windows User:</t>
        </r>
        <r>
          <rPr>
            <sz val="9"/>
            <color indexed="81"/>
            <rFont val="Tahoma"/>
            <family val="2"/>
          </rPr>
          <t xml:space="preserve">
- 6.391.108 từ 01/01/2024</t>
        </r>
      </text>
    </comment>
    <comment ref="J338" authorId="3" shapeId="0" xr:uid="{00000000-0006-0000-0400-00008F010000}">
      <text>
        <r>
          <rPr>
            <b/>
            <sz val="9"/>
            <color indexed="81"/>
            <rFont val="Tahoma"/>
            <family val="2"/>
          </rPr>
          <t>Windows User:</t>
        </r>
        <r>
          <rPr>
            <sz val="9"/>
            <color indexed="81"/>
            <rFont val="Tahoma"/>
            <family val="2"/>
          </rPr>
          <t xml:space="preserve">
- 6.202.708 từ 01/04/2022</t>
        </r>
      </text>
    </comment>
    <comment ref="J339" authorId="3" shapeId="0" xr:uid="{00000000-0006-0000-0400-000090010000}">
      <text>
        <r>
          <rPr>
            <b/>
            <sz val="9"/>
            <color indexed="81"/>
            <rFont val="Tahoma"/>
            <family val="2"/>
          </rPr>
          <t>Windows User:</t>
        </r>
        <r>
          <rPr>
            <sz val="9"/>
            <color indexed="81"/>
            <rFont val="Tahoma"/>
            <family val="2"/>
          </rPr>
          <t xml:space="preserve">
- 5.626.039 từ 01/01/2023</t>
        </r>
      </text>
    </comment>
    <comment ref="J340" authorId="2" shapeId="0" xr:uid="{00000000-0006-0000-0400-000091010000}">
      <text>
        <r>
          <rPr>
            <b/>
            <sz val="9"/>
            <color indexed="81"/>
            <rFont val="Tahoma"/>
            <family val="2"/>
          </rPr>
          <t>user:</t>
        </r>
        <r>
          <rPr>
            <sz val="9"/>
            <color indexed="81"/>
            <rFont val="Tahoma"/>
            <family val="2"/>
          </rPr>
          <t xml:space="preserve">
- 6,151,018 từ 01/01/2021
- 6.838.485 từ 01/01/2023</t>
        </r>
      </text>
    </comment>
    <comment ref="J341" authorId="3" shapeId="0" xr:uid="{00000000-0006-0000-0400-000092010000}">
      <text>
        <r>
          <rPr>
            <b/>
            <sz val="9"/>
            <color indexed="81"/>
            <rFont val="Tahoma"/>
            <family val="2"/>
          </rPr>
          <t>Windows User:</t>
        </r>
        <r>
          <rPr>
            <sz val="9"/>
            <color indexed="81"/>
            <rFont val="Tahoma"/>
            <family val="2"/>
          </rPr>
          <t xml:space="preserve">
- 7.180.409 từ 01/01/2022</t>
        </r>
      </text>
    </comment>
    <comment ref="J343" authorId="2" shapeId="0" xr:uid="{00000000-0006-0000-0400-000093010000}">
      <text>
        <r>
          <rPr>
            <b/>
            <sz val="9"/>
            <color indexed="81"/>
            <rFont val="Tahoma"/>
            <family val="2"/>
          </rPr>
          <t>user:</t>
        </r>
        <r>
          <rPr>
            <sz val="9"/>
            <color indexed="81"/>
            <rFont val="Tahoma"/>
            <family val="2"/>
          </rPr>
          <t xml:space="preserve">
- 4.873.050 từ 01/3/2021
- 5.417.685 từ 01/3/2023</t>
        </r>
      </text>
    </comment>
    <comment ref="J346" authorId="2" shapeId="0" xr:uid="{00000000-0006-0000-0400-000094010000}">
      <text>
        <r>
          <rPr>
            <b/>
            <sz val="9"/>
            <color indexed="81"/>
            <rFont val="Tahoma"/>
            <family val="2"/>
          </rPr>
          <t>user:</t>
        </r>
        <r>
          <rPr>
            <sz val="9"/>
            <color indexed="81"/>
            <rFont val="Tahoma"/>
            <family val="2"/>
          </rPr>
          <t xml:space="preserve">
- 6151018 từ T9/20 (Trước hạn)
- 7.515.057 từ T9/2023</t>
        </r>
      </text>
    </comment>
    <comment ref="J347" authorId="3" shapeId="0" xr:uid="{00000000-0006-0000-0400-000095010000}">
      <text>
        <r>
          <rPr>
            <b/>
            <sz val="9"/>
            <color indexed="81"/>
            <rFont val="Tahoma"/>
            <family val="2"/>
          </rPr>
          <t>Windows User:</t>
        </r>
        <r>
          <rPr>
            <sz val="9"/>
            <color indexed="81"/>
            <rFont val="Tahoma"/>
            <family val="2"/>
          </rPr>
          <t xml:space="preserve">
- 8.727.832 từ 01/06/2022</t>
        </r>
      </text>
    </comment>
    <comment ref="J348" authorId="3" shapeId="0" xr:uid="{00000000-0006-0000-0400-000096010000}">
      <text>
        <r>
          <rPr>
            <b/>
            <sz val="9"/>
            <color indexed="81"/>
            <rFont val="Tahoma"/>
            <family val="2"/>
          </rPr>
          <t>Windows User:</t>
        </r>
        <r>
          <rPr>
            <sz val="9"/>
            <color indexed="81"/>
            <rFont val="Tahoma"/>
            <family val="2"/>
          </rPr>
          <t xml:space="preserve">
- 6.086.769 từ 01/7/2023</t>
        </r>
      </text>
    </comment>
    <comment ref="J349" authorId="3" shapeId="0" xr:uid="{00000000-0006-0000-0400-000097010000}">
      <text>
        <r>
          <rPr>
            <b/>
            <sz val="9"/>
            <color indexed="81"/>
            <rFont val="Tahoma"/>
            <family val="2"/>
          </rPr>
          <t>Windows User:</t>
        </r>
        <r>
          <rPr>
            <sz val="9"/>
            <color indexed="81"/>
            <rFont val="Tahoma"/>
            <family val="2"/>
          </rPr>
          <t xml:space="preserve">
4.680.000đ từ 10/7/2023</t>
        </r>
      </text>
    </comment>
    <comment ref="J351" authorId="3" shapeId="0" xr:uid="{00000000-0006-0000-0400-000098010000}">
      <text>
        <r>
          <rPr>
            <b/>
            <sz val="9"/>
            <color indexed="81"/>
            <rFont val="Tahoma"/>
            <family val="2"/>
          </rPr>
          <t>Windows User:</t>
        </r>
        <r>
          <rPr>
            <sz val="9"/>
            <color indexed="81"/>
            <rFont val="Tahoma"/>
            <family val="2"/>
          </rPr>
          <t xml:space="preserve">
- 5.520.879 từ 01/12/2023</t>
        </r>
      </text>
    </comment>
    <comment ref="J352" authorId="3" shapeId="0" xr:uid="{00000000-0006-0000-0400-000099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13" authorId="0" shapeId="0" xr:uid="{00000000-0006-0000-05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4" authorId="1" shapeId="0" xr:uid="{00000000-0006-0000-0500-000002000000}">
      <text>
        <r>
          <rPr>
            <b/>
            <sz val="9"/>
            <color indexed="81"/>
            <rFont val="Tahoma"/>
            <family val="2"/>
          </rPr>
          <t>Admin:</t>
        </r>
        <r>
          <rPr>
            <sz val="9"/>
            <color indexed="81"/>
            <rFont val="Tahoma"/>
            <family val="2"/>
          </rPr>
          <t xml:space="preserve">
- HS 4,65 từ 01/12/2015
- HS 4,98 từ 01/12/2018</t>
        </r>
      </text>
    </comment>
    <comment ref="G14" authorId="2" shapeId="0" xr:uid="{00000000-0006-0000-0500-000003000000}">
      <text>
        <r>
          <rPr>
            <b/>
            <sz val="9"/>
            <color indexed="81"/>
            <rFont val="Tahoma"/>
            <family val="2"/>
          </rPr>
          <t>user:</t>
        </r>
        <r>
          <rPr>
            <sz val="9"/>
            <color indexed="81"/>
            <rFont val="Tahoma"/>
            <family val="2"/>
          </rPr>
          <t xml:space="preserve">
- VK 5% từ 01/12/2021
- VK 6% từ 01/12/2022
- VK 7% từ 01/12/2023</t>
        </r>
      </text>
    </comment>
    <comment ref="F15" authorId="0" shapeId="0" xr:uid="{00000000-0006-0000-0500-000004000000}">
      <text>
        <r>
          <rPr>
            <b/>
            <sz val="9"/>
            <color indexed="81"/>
            <rFont val="Tahoma"/>
            <family val="2"/>
          </rPr>
          <t>User:</t>
        </r>
        <r>
          <rPr>
            <sz val="9"/>
            <color indexed="81"/>
            <rFont val="Tahoma"/>
            <family val="2"/>
          </rPr>
          <t xml:space="preserve">
- 4,65 từ 01/10/2015
- HS 4,98 từ 01/10/17 (NL trước hạn)</t>
        </r>
      </text>
    </comment>
    <comment ref="G15" authorId="2" shapeId="0" xr:uid="{00000000-0006-0000-0500-00000500000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15" authorId="1" shapeId="0" xr:uid="{00000000-0006-0000-0500-000006000000}">
      <text>
        <r>
          <rPr>
            <b/>
            <sz val="9"/>
            <color indexed="81"/>
            <rFont val="Tahoma"/>
            <family val="2"/>
          </rPr>
          <t>Admin:</t>
        </r>
        <r>
          <rPr>
            <sz val="9"/>
            <color indexed="81"/>
            <rFont val="Tahoma"/>
            <family val="2"/>
          </rPr>
          <t xml:space="preserve">
- HS 0,7 từ 01/11/2016</t>
        </r>
      </text>
    </comment>
    <comment ref="F16" authorId="2" shapeId="0" xr:uid="{00000000-0006-0000-0500-000007000000}">
      <text>
        <r>
          <rPr>
            <b/>
            <sz val="9"/>
            <color indexed="81"/>
            <rFont val="Tahoma"/>
            <family val="2"/>
          </rPr>
          <t>user:</t>
        </r>
        <r>
          <rPr>
            <sz val="9"/>
            <color indexed="81"/>
            <rFont val="Tahoma"/>
            <family val="2"/>
          </rPr>
          <t xml:space="preserve">
- HS 4.32 từ 01/4/2019
- HS 4,65 từ 01/4/2021 (NL trước hạn)
- HS 4,98 từ 01/4/2024</t>
        </r>
      </text>
    </comment>
    <comment ref="I16" authorId="2" shapeId="0" xr:uid="{00000000-0006-0000-0500-000008000000}">
      <text>
        <r>
          <rPr>
            <b/>
            <sz val="9"/>
            <color indexed="81"/>
            <rFont val="Tahoma"/>
            <family val="2"/>
          </rPr>
          <t>user:</t>
        </r>
        <r>
          <rPr>
            <sz val="9"/>
            <color indexed="81"/>
            <rFont val="Tahoma"/>
            <family val="2"/>
          </rPr>
          <t xml:space="preserve">
- HS 0.7 từ 15/4/2019</t>
        </r>
      </text>
    </comment>
    <comment ref="F17" authorId="0" shapeId="0" xr:uid="{00000000-0006-0000-05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17" authorId="3" shapeId="0" xr:uid="{00000000-0006-0000-0500-00000A000000}">
      <text>
        <r>
          <rPr>
            <b/>
            <sz val="9"/>
            <color indexed="81"/>
            <rFont val="Tahoma"/>
            <family val="2"/>
          </rPr>
          <t>Windows User:</t>
        </r>
        <r>
          <rPr>
            <sz val="9"/>
            <color indexed="81"/>
            <rFont val="Tahoma"/>
            <family val="2"/>
          </rPr>
          <t xml:space="preserve">
- VK 5% từ 01/9/2023
- VK 6% từ 01/9/2024</t>
        </r>
      </text>
    </comment>
    <comment ref="F18" authorId="4" shapeId="0" xr:uid="{00000000-0006-0000-05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18" authorId="2" shapeId="0" xr:uid="{00000000-0006-0000-0500-00000C000000}">
      <text>
        <r>
          <rPr>
            <b/>
            <sz val="9"/>
            <color indexed="81"/>
            <rFont val="Tahoma"/>
            <family val="2"/>
          </rPr>
          <t>user:</t>
        </r>
        <r>
          <rPr>
            <sz val="9"/>
            <color indexed="81"/>
            <rFont val="Tahoma"/>
            <family val="2"/>
          </rPr>
          <t xml:space="preserve">
- PP TC-HC-TH từ 01/9/2020</t>
        </r>
      </text>
    </comment>
    <comment ref="F19" authorId="0" shapeId="0" xr:uid="{00000000-0006-0000-05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19" authorId="2" shapeId="0" xr:uid="{00000000-0006-0000-0500-00000E000000}">
      <text>
        <r>
          <rPr>
            <b/>
            <sz val="9"/>
            <color indexed="81"/>
            <rFont val="Tahoma"/>
            <family val="2"/>
          </rPr>
          <t>user:</t>
        </r>
        <r>
          <rPr>
            <sz val="9"/>
            <color indexed="81"/>
            <rFont val="Tahoma"/>
            <family val="2"/>
          </rPr>
          <t xml:space="preserve">
BN Phó TP từ 01/03/2021</t>
        </r>
      </text>
    </comment>
    <comment ref="F20" authorId="5" shapeId="0" xr:uid="{00000000-0006-0000-05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1" authorId="0" shapeId="0" xr:uid="{00000000-0006-0000-05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2" authorId="1" shapeId="0" xr:uid="{00000000-0006-0000-05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3" authorId="1" shapeId="0" xr:uid="{00000000-0006-0000-05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4" authorId="5" shapeId="0" xr:uid="{00000000-0006-0000-05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25" authorId="5" shapeId="0" xr:uid="{00000000-0006-0000-05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26" authorId="1" shapeId="0" xr:uid="{00000000-0006-0000-05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27" authorId="1" shapeId="0" xr:uid="{00000000-0006-0000-05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F28" authorId="0" shapeId="0" xr:uid="{00000000-0006-0000-0500-000017000000}">
      <text>
        <r>
          <rPr>
            <b/>
            <sz val="9"/>
            <color indexed="81"/>
            <rFont val="Tahoma"/>
            <family val="2"/>
          </rPr>
          <t>User:</t>
        </r>
        <r>
          <rPr>
            <sz val="9"/>
            <color indexed="81"/>
            <rFont val="Tahoma"/>
            <family val="2"/>
          </rPr>
          <t xml:space="preserve">
- HS 4,32 từ 01/9/2015
- HS 4,65 từ 01/9/17 (NL trước hạn 2017)
- HS 4,98 từ 01/9/2020</t>
        </r>
      </text>
    </comment>
    <comment ref="G28" authorId="3" shapeId="0" xr:uid="{00000000-0006-0000-0500-000018000000}">
      <text>
        <r>
          <rPr>
            <b/>
            <sz val="9"/>
            <color indexed="81"/>
            <rFont val="Tahoma"/>
            <family val="2"/>
          </rPr>
          <t>Windows User:</t>
        </r>
        <r>
          <rPr>
            <sz val="9"/>
            <color indexed="81"/>
            <rFont val="Tahoma"/>
            <family val="2"/>
          </rPr>
          <t xml:space="preserve">
- VK 5% từ 01/9/2023
- VK 6% từ 01/9/2024</t>
        </r>
      </text>
    </comment>
    <comment ref="F29" authorId="1" shapeId="0" xr:uid="{00000000-0006-0000-0500-000019000000}">
      <text>
        <r>
          <rPr>
            <b/>
            <sz val="9"/>
            <color indexed="81"/>
            <rFont val="Tahoma"/>
            <family val="2"/>
          </rPr>
          <t>Admin:</t>
        </r>
        <r>
          <rPr>
            <sz val="9"/>
            <color indexed="81"/>
            <rFont val="Tahoma"/>
            <family val="2"/>
          </rPr>
          <t xml:space="preserve">
- HS 4,65 từ 01/12/2015
- HS 4,98 từ 01/12/2018</t>
        </r>
      </text>
    </comment>
    <comment ref="G29" authorId="2" shapeId="0" xr:uid="{00000000-0006-0000-0500-00001A000000}">
      <text>
        <r>
          <rPr>
            <b/>
            <sz val="9"/>
            <color indexed="81"/>
            <rFont val="Tahoma"/>
            <family val="2"/>
          </rPr>
          <t>user:</t>
        </r>
        <r>
          <rPr>
            <sz val="9"/>
            <color indexed="81"/>
            <rFont val="Tahoma"/>
            <family val="2"/>
          </rPr>
          <t xml:space="preserve">
- VK 5% từ 01/12/2021
- VK 6% từ 01/12/2022
- VK 7% từ 01/12/2023</t>
        </r>
      </text>
    </comment>
    <comment ref="I29" authorId="6" shapeId="0" xr:uid="{00000000-0006-0000-0500-00001B000000}">
      <text>
        <r>
          <rPr>
            <b/>
            <sz val="8"/>
            <color indexed="81"/>
            <rFont val="Tahoma"/>
            <family val="2"/>
          </rPr>
          <t>admin:</t>
        </r>
        <r>
          <rPr>
            <sz val="8"/>
            <color indexed="81"/>
            <rFont val="Tahoma"/>
            <family val="2"/>
          </rPr>
          <t xml:space="preserve">
+ QĐ Bổ nhiệm Phó Trưởng phòng QT CSVC từ 01/06/2014</t>
        </r>
      </text>
    </comment>
    <comment ref="F30" authorId="0" shapeId="0" xr:uid="{00000000-0006-0000-0500-00001C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1" authorId="1" shapeId="0" xr:uid="{00000000-0006-0000-0500-00001D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2" authorId="1" shapeId="0" xr:uid="{00000000-0006-0000-0500-00001E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33" authorId="1" shapeId="0" xr:uid="{00000000-0006-0000-0500-00001F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4" authorId="0" shapeId="0" xr:uid="{00000000-0006-0000-0500-000020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35" authorId="1" shapeId="0" xr:uid="{00000000-0006-0000-0500-000021000000}">
      <text>
        <r>
          <rPr>
            <b/>
            <sz val="9"/>
            <color indexed="81"/>
            <rFont val="Tahoma"/>
            <family val="2"/>
          </rPr>
          <t>Admin:</t>
        </r>
        <r>
          <rPr>
            <sz val="9"/>
            <color indexed="81"/>
            <rFont val="Tahoma"/>
            <family val="2"/>
          </rPr>
          <t xml:space="preserve">
- HS 2,41 từ 01/11/2015
- HS 2,72 từ 01/11/2018
- HS 3,03 từ 01/11/2021</t>
        </r>
      </text>
    </comment>
    <comment ref="F36" authorId="0" shapeId="0" xr:uid="{00000000-0006-0000-0500-000022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36" authorId="0" shapeId="0" xr:uid="{00000000-0006-0000-0500-000023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37" authorId="1" shapeId="0" xr:uid="{00000000-0006-0000-0500-000024000000}">
      <text>
        <r>
          <rPr>
            <b/>
            <sz val="9"/>
            <color indexed="81"/>
            <rFont val="Tahoma"/>
            <family val="2"/>
          </rPr>
          <t>Admin:</t>
        </r>
        <r>
          <rPr>
            <sz val="9"/>
            <color indexed="81"/>
            <rFont val="Tahoma"/>
            <family val="2"/>
          </rPr>
          <t xml:space="preserve">
- Bổ nhiệm CDNN từ 01/4/2018
- HS 2,34 từ 01/2/2017
- HS 2,67 từ 01/2/2019</t>
        </r>
      </text>
    </comment>
    <comment ref="I37" authorId="7" shapeId="0" xr:uid="{00000000-0006-0000-0500-000025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38" authorId="2" shapeId="0" xr:uid="{00000000-0006-0000-0500-000026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39" authorId="0" shapeId="0" xr:uid="{00000000-0006-0000-0500-000027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39" authorId="3" shapeId="0" xr:uid="{00000000-0006-0000-0500-000028000000}">
      <text>
        <r>
          <rPr>
            <b/>
            <sz val="9"/>
            <color indexed="81"/>
            <rFont val="Tahoma"/>
            <family val="2"/>
          </rPr>
          <t>Windows User:</t>
        </r>
        <r>
          <rPr>
            <sz val="9"/>
            <color indexed="81"/>
            <rFont val="Tahoma"/>
            <family val="2"/>
          </rPr>
          <t xml:space="preserve">
- VK 5% từ 01/9/2023
- VK 6% từ 01/9/2024</t>
        </r>
      </text>
    </comment>
    <comment ref="I39" authorId="0" shapeId="0" xr:uid="{00000000-0006-0000-0500-000029000000}">
      <text>
        <r>
          <rPr>
            <b/>
            <sz val="9"/>
            <color indexed="81"/>
            <rFont val="Tahoma"/>
            <family val="2"/>
          </rPr>
          <t>User:</t>
        </r>
        <r>
          <rPr>
            <sz val="9"/>
            <color indexed="81"/>
            <rFont val="Tahoma"/>
            <family val="2"/>
          </rPr>
          <t xml:space="preserve">
- QĐ Bổ nhiệm Tổ trưởng tổ Ký túc xá SV từ 15/9/2015</t>
        </r>
      </text>
    </comment>
    <comment ref="F40" authorId="0" shapeId="0" xr:uid="{00000000-0006-0000-0500-00002A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1" authorId="3" shapeId="0" xr:uid="{00000000-0006-0000-0500-00002B000000}">
      <text>
        <r>
          <rPr>
            <b/>
            <sz val="9"/>
            <color indexed="81"/>
            <rFont val="Tahoma"/>
            <family val="2"/>
          </rPr>
          <t>Windows User:</t>
        </r>
        <r>
          <rPr>
            <sz val="9"/>
            <color indexed="81"/>
            <rFont val="Tahoma"/>
            <family val="2"/>
          </rPr>
          <t xml:space="preserve">
- VK 10% từ 01/9/2023
- VK 11% từ 01/9/2024</t>
        </r>
      </text>
    </comment>
    <comment ref="I41" authorId="3" shapeId="0" xr:uid="{00000000-0006-0000-0500-00002C000000}">
      <text>
        <r>
          <rPr>
            <b/>
            <sz val="9"/>
            <color indexed="81"/>
            <rFont val="Tahoma"/>
            <family val="2"/>
          </rPr>
          <t>Windows User:</t>
        </r>
        <r>
          <rPr>
            <sz val="9"/>
            <color indexed="81"/>
            <rFont val="Tahoma"/>
            <family val="2"/>
          </rPr>
          <t xml:space="preserve">
- Phó TP QT-DV từ T10/23</t>
        </r>
      </text>
    </comment>
    <comment ref="F42" authorId="1" shapeId="0" xr:uid="{00000000-0006-0000-0500-00002D000000}">
      <text>
        <r>
          <rPr>
            <b/>
            <sz val="9"/>
            <color indexed="81"/>
            <rFont val="Tahoma"/>
            <family val="2"/>
          </rPr>
          <t>Admin:</t>
        </r>
        <r>
          <rPr>
            <sz val="9"/>
            <color indexed="81"/>
            <rFont val="Tahoma"/>
            <family val="2"/>
          </rPr>
          <t xml:space="preserve">
- HS 3,99 từ 01/12/2016
- HS 4,32 từ 01/12/2019
- HS 4,65 từ 01/12/2021 (NL trước hạn)</t>
        </r>
      </text>
    </comment>
    <comment ref="F43" authorId="1" shapeId="0" xr:uid="{00000000-0006-0000-0500-00002E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4" authorId="1" shapeId="0" xr:uid="{00000000-0006-0000-0500-00002F000000}">
      <text>
        <r>
          <rPr>
            <sz val="9"/>
            <color indexed="81"/>
            <rFont val="Tahoma"/>
            <family val="2"/>
          </rPr>
          <t>- 31% từ 01/10/2017
- 32% từ 01/10/2018
- 33% từ 01/10/2019
- 34% từ 01/10/2020
- 35% từ 01/10/2021
- 36% từ 01/10/2022
- 38% từ 01/10/2024</t>
        </r>
      </text>
    </comment>
    <comment ref="I44" authorId="0" shapeId="0" xr:uid="{00000000-0006-0000-0500-000030000000}">
      <text>
        <r>
          <rPr>
            <b/>
            <sz val="9"/>
            <color indexed="81"/>
            <rFont val="Tahoma"/>
            <family val="2"/>
          </rPr>
          <t>User:</t>
        </r>
        <r>
          <rPr>
            <sz val="9"/>
            <color indexed="81"/>
            <rFont val="Tahoma"/>
            <family val="2"/>
          </rPr>
          <t xml:space="preserve">
Trưởng phòng Kế toán từ 19/8/2015
</t>
        </r>
      </text>
    </comment>
    <comment ref="F45" authorId="0" shapeId="0" xr:uid="{00000000-0006-0000-0500-000031000000}">
      <text>
        <r>
          <rPr>
            <b/>
            <sz val="9"/>
            <color indexed="81"/>
            <rFont val="Tahoma"/>
            <family val="2"/>
          </rPr>
          <t>User:</t>
        </r>
        <r>
          <rPr>
            <sz val="9"/>
            <color indexed="81"/>
            <rFont val="Tahoma"/>
            <family val="2"/>
          </rPr>
          <t xml:space="preserve">
- HS 3,00 từ 01/4/2014
- HS 3,33 từ 01/4/2017
- HS 3,66 từ 01/4/2019
- HS 3,99 từ 01/4/2022</t>
        </r>
      </text>
    </comment>
    <comment ref="F46" authorId="0" shapeId="0" xr:uid="{00000000-0006-0000-0500-000032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47" authorId="1" shapeId="0" xr:uid="{00000000-0006-0000-0500-000033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48" authorId="0" shapeId="0" xr:uid="{00000000-0006-0000-0500-000034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49" authorId="1" shapeId="0" xr:uid="{00000000-0006-0000-0500-000035000000}">
      <text>
        <r>
          <rPr>
            <b/>
            <sz val="9"/>
            <color indexed="81"/>
            <rFont val="Tahoma"/>
            <family val="2"/>
          </rPr>
          <t>Admin:</t>
        </r>
        <r>
          <rPr>
            <sz val="9"/>
            <color indexed="81"/>
            <rFont val="Tahoma"/>
            <family val="2"/>
          </rPr>
          <t xml:space="preserve">
- HS 3,66 từ 01/01/2017
- HS 3,99 từ 01/01/2019</t>
        </r>
      </text>
    </comment>
    <comment ref="I49" authorId="1" shapeId="0" xr:uid="{00000000-0006-0000-0500-000036000000}">
      <text>
        <r>
          <rPr>
            <b/>
            <sz val="9"/>
            <color indexed="81"/>
            <rFont val="Tahoma"/>
            <family val="2"/>
          </rPr>
          <t>Admin:</t>
        </r>
        <r>
          <rPr>
            <sz val="9"/>
            <color indexed="81"/>
            <rFont val="Tahoma"/>
            <family val="2"/>
          </rPr>
          <t xml:space="preserve">
- Phụ trách TT Quan hệ DN từ 01/5/2018
- Trưởng TT từ 01/12/2019</t>
        </r>
      </text>
    </comment>
    <comment ref="F50" authorId="0" shapeId="0" xr:uid="{00000000-0006-0000-0500-000037000000}">
      <text>
        <r>
          <rPr>
            <b/>
            <sz val="9"/>
            <color indexed="81"/>
            <rFont val="Tahoma"/>
            <family val="2"/>
          </rPr>
          <t>User:</t>
        </r>
        <r>
          <rPr>
            <sz val="9"/>
            <color indexed="81"/>
            <rFont val="Tahoma"/>
            <family val="2"/>
          </rPr>
          <t xml:space="preserve">
- HS 3,33 từ 01/9/2015
- HS 3,66 từ 01/9/2018
- HS 3,99 từ 01/9/2021
- HS 4,32 từ 01/9/2024</t>
        </r>
      </text>
    </comment>
    <comment ref="F51" authorId="1" shapeId="0" xr:uid="{00000000-0006-0000-0500-000038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52" authorId="1" shapeId="0" xr:uid="{00000000-0006-0000-0500-000039000000}">
      <text>
        <r>
          <rPr>
            <b/>
            <sz val="9"/>
            <color indexed="81"/>
            <rFont val="Tahoma"/>
            <family val="2"/>
          </rPr>
          <t>Admin:</t>
        </r>
        <r>
          <rPr>
            <sz val="9"/>
            <color indexed="81"/>
            <rFont val="Tahoma"/>
            <family val="2"/>
          </rPr>
          <t xml:space="preserve">
- HS 4,65 từ 01/9/2016
- HS 4,98 từ 01/9/2018 (NL trước hạn)</t>
        </r>
      </text>
    </comment>
    <comment ref="G52" authorId="2" shapeId="0" xr:uid="{00000000-0006-0000-0500-00003A000000}">
      <text>
        <r>
          <rPr>
            <b/>
            <sz val="9"/>
            <color indexed="81"/>
            <rFont val="Tahoma"/>
            <family val="2"/>
          </rPr>
          <t>user:</t>
        </r>
        <r>
          <rPr>
            <sz val="9"/>
            <color indexed="81"/>
            <rFont val="Tahoma"/>
            <family val="2"/>
          </rPr>
          <t xml:space="preserve">
- VK 5% từ 01/9/2021
- VK 6% từ 01/9/2022
- VK 7% từ 01/9/2023
- VK 8% từ 01/9/2024</t>
        </r>
      </text>
    </comment>
    <comment ref="I52" authorId="2" shapeId="0" xr:uid="{00000000-0006-0000-0500-00003B000000}">
      <text>
        <r>
          <rPr>
            <b/>
            <sz val="9"/>
            <color indexed="81"/>
            <rFont val="Tahoma"/>
            <family val="2"/>
          </rPr>
          <t>user:</t>
        </r>
        <r>
          <rPr>
            <sz val="9"/>
            <color indexed="81"/>
            <rFont val="Tahoma"/>
            <family val="2"/>
          </rPr>
          <t xml:space="preserve">
BN Trưởng phòng T10/19</t>
        </r>
      </text>
    </comment>
    <comment ref="F53" authorId="1" shapeId="0" xr:uid="{00000000-0006-0000-0500-00003C000000}">
      <text>
        <r>
          <rPr>
            <b/>
            <sz val="9"/>
            <color indexed="81"/>
            <rFont val="Tahoma"/>
            <family val="2"/>
          </rPr>
          <t>Admin:</t>
        </r>
        <r>
          <rPr>
            <sz val="9"/>
            <color indexed="81"/>
            <rFont val="Tahoma"/>
            <family val="2"/>
          </rPr>
          <t xml:space="preserve">
- HS 3.33 từ 01/01/2016
- HS 3,66 từ 01/01/2019</t>
        </r>
      </text>
    </comment>
    <comment ref="F54" authorId="1" shapeId="0" xr:uid="{00000000-0006-0000-0500-00003D000000}">
      <text>
        <r>
          <rPr>
            <b/>
            <sz val="9"/>
            <color indexed="81"/>
            <rFont val="Tahoma"/>
            <family val="2"/>
          </rPr>
          <t>Admin:</t>
        </r>
        <r>
          <rPr>
            <sz val="9"/>
            <color indexed="81"/>
            <rFont val="Tahoma"/>
            <family val="2"/>
          </rPr>
          <t xml:space="preserve">
- HS 3,00 từ 01/9/2016
- HS 3,33 từ 01/9/2019
- HS 3,66 từ 01/9/2022
</t>
        </r>
      </text>
    </comment>
    <comment ref="F55" authorId="1" shapeId="0" xr:uid="{00000000-0006-0000-0500-00003E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56" authorId="1" shapeId="0" xr:uid="{00000000-0006-0000-0500-00003F000000}">
      <text>
        <r>
          <rPr>
            <b/>
            <sz val="9"/>
            <color indexed="81"/>
            <rFont val="Tahoma"/>
            <family val="2"/>
          </rPr>
          <t>Admin:</t>
        </r>
        <r>
          <rPr>
            <sz val="9"/>
            <color indexed="81"/>
            <rFont val="Tahoma"/>
            <family val="2"/>
          </rPr>
          <t xml:space="preserve">
- HS 3,66 từ 01/9/2016
- HS 3,99 từ 01/9/2019
- HS 4,32 từ 01/9/2022</t>
        </r>
      </text>
    </comment>
    <comment ref="F57" authorId="0" shapeId="0" xr:uid="{00000000-0006-0000-0500-000040000000}">
      <text>
        <r>
          <rPr>
            <b/>
            <sz val="9"/>
            <color indexed="81"/>
            <rFont val="Tahoma"/>
            <family val="2"/>
          </rPr>
          <t>User:</t>
        </r>
        <r>
          <rPr>
            <sz val="9"/>
            <color indexed="81"/>
            <rFont val="Tahoma"/>
            <family val="2"/>
          </rPr>
          <t xml:space="preserve">
- HS 2,67 từ 01/8/2014
- HS 3,00 từ 01/8/2017
- HS 3,33 từ 01/8/2020
- HS 3,66 từ 01/09/2023</t>
        </r>
      </text>
    </comment>
    <comment ref="B58" authorId="1" shapeId="0" xr:uid="{00000000-0006-0000-0500-000041000000}">
      <text>
        <r>
          <rPr>
            <b/>
            <sz val="9"/>
            <color indexed="81"/>
            <rFont val="Tahoma"/>
            <family val="2"/>
          </rPr>
          <t>Admin:</t>
        </r>
        <r>
          <rPr>
            <sz val="9"/>
            <color indexed="81"/>
            <rFont val="Tahoma"/>
            <family val="2"/>
          </rPr>
          <t xml:space="preserve">
Thuyên chuyển từ Trường CĐ Kinh tế Phú Lâm về trường từ 15/7/2017</t>
        </r>
      </text>
    </comment>
    <comment ref="F58" authorId="2" shapeId="0" xr:uid="{00000000-0006-0000-0500-000042000000}">
      <text>
        <r>
          <rPr>
            <b/>
            <sz val="9"/>
            <color indexed="81"/>
            <rFont val="Tahoma"/>
            <family val="2"/>
          </rPr>
          <t>user:</t>
        </r>
        <r>
          <rPr>
            <sz val="9"/>
            <color indexed="81"/>
            <rFont val="Tahoma"/>
            <family val="2"/>
          </rPr>
          <t xml:space="preserve">
- HS 3,33 từ 01/11/2019
- HS 3,66 từ 01/11/2022</t>
        </r>
      </text>
    </comment>
    <comment ref="F59" authorId="1" shapeId="0" xr:uid="{00000000-0006-0000-0500-000043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59" authorId="1" shapeId="0" xr:uid="{00000000-0006-0000-0500-000044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0" authorId="0" shapeId="0" xr:uid="{00000000-0006-0000-0500-000045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0" authorId="3" shapeId="0" xr:uid="{00000000-0006-0000-0500-000046000000}">
      <text>
        <r>
          <rPr>
            <b/>
            <sz val="9"/>
            <color indexed="81"/>
            <rFont val="Tahoma"/>
            <family val="2"/>
          </rPr>
          <t>Windows User:</t>
        </r>
        <r>
          <rPr>
            <sz val="9"/>
            <color indexed="81"/>
            <rFont val="Tahoma"/>
            <family val="2"/>
          </rPr>
          <t xml:space="preserve">
- Phó Trưởng phòng TS - Đào tạo từ T10/22</t>
        </r>
      </text>
    </comment>
    <comment ref="F61" authorId="0" shapeId="0" xr:uid="{00000000-0006-0000-0500-000047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2" authorId="1" shapeId="0" xr:uid="{00000000-0006-0000-0500-000048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3" authorId="1" shapeId="0" xr:uid="{00000000-0006-0000-0500-000049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4" authorId="1" shapeId="0" xr:uid="{00000000-0006-0000-0500-00004A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65" authorId="1" shapeId="0" xr:uid="{00000000-0006-0000-0500-00004B000000}">
      <text>
        <r>
          <rPr>
            <b/>
            <sz val="9"/>
            <color indexed="81"/>
            <rFont val="Tahoma"/>
            <family val="2"/>
          </rPr>
          <t>Admin:</t>
        </r>
        <r>
          <rPr>
            <sz val="9"/>
            <color indexed="81"/>
            <rFont val="Tahoma"/>
            <family val="2"/>
          </rPr>
          <t xml:space="preserve">
- HS 2.72 từ 01/01/2016
- HS 3.03 từ 01/01/2019
- HS 3,33 từ 01/6/21 (Thi nâng ngạch)</t>
        </r>
      </text>
    </comment>
    <comment ref="F66" authorId="1" shapeId="0" xr:uid="{00000000-0006-0000-0500-00004C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67" authorId="1" shapeId="0" xr:uid="{00000000-0006-0000-0500-00004D000000}">
      <text>
        <r>
          <rPr>
            <b/>
            <sz val="9"/>
            <color indexed="81"/>
            <rFont val="Tahoma"/>
            <family val="2"/>
          </rPr>
          <t>Admin:</t>
        </r>
        <r>
          <rPr>
            <sz val="9"/>
            <color indexed="81"/>
            <rFont val="Tahoma"/>
            <family val="2"/>
          </rPr>
          <t xml:space="preserve">
- HS 2.67 từ 01/02/2016
- HS 3,00 từ 01/02/2019</t>
        </r>
      </text>
    </comment>
    <comment ref="F68" authorId="0" shapeId="0" xr:uid="{00000000-0006-0000-0500-00004E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68" authorId="0" shapeId="0" xr:uid="{00000000-0006-0000-0500-00004F000000}">
      <text>
        <r>
          <rPr>
            <b/>
            <sz val="9"/>
            <color indexed="81"/>
            <rFont val="Tahoma"/>
            <family val="2"/>
          </rPr>
          <t>User:</t>
        </r>
        <r>
          <rPr>
            <sz val="9"/>
            <color indexed="81"/>
            <rFont val="Tahoma"/>
            <family val="2"/>
          </rPr>
          <t xml:space="preserve">
- Phó Trưởng phòng từ 01/8/2015
- Trưởng phòng từ 01/9/2018</t>
        </r>
      </text>
    </comment>
    <comment ref="F69" authorId="0" shapeId="0" xr:uid="{00000000-0006-0000-0500-000050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0" authorId="0" shapeId="0" xr:uid="{00000000-0006-0000-0500-000051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1" authorId="5" shapeId="0" xr:uid="{00000000-0006-0000-0500-000052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2" authorId="1" shapeId="0" xr:uid="{00000000-0006-0000-0500-000053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3" authorId="8" shapeId="0" xr:uid="{00000000-0006-0000-0500-000054000000}">
      <text>
        <r>
          <rPr>
            <sz val="9"/>
            <color indexed="81"/>
            <rFont val="Tahoma"/>
            <family val="2"/>
          </rPr>
          <t>- HS 3,00 từ 01/11/2017
- HS 3,33 từ 01/11/2020
- HS 3,66 từ 01/11/2022</t>
        </r>
      </text>
    </comment>
    <comment ref="F74" authorId="2" shapeId="0" xr:uid="{00000000-0006-0000-0500-000055000000}">
      <text>
        <r>
          <rPr>
            <b/>
            <sz val="9"/>
            <color indexed="81"/>
            <rFont val="Tahoma"/>
            <family val="2"/>
          </rPr>
          <t>user:</t>
        </r>
        <r>
          <rPr>
            <sz val="9"/>
            <color indexed="81"/>
            <rFont val="Tahoma"/>
            <family val="2"/>
          </rPr>
          <t xml:space="preserve">
- Tuyển dụng từ 01/11/2019
- HS 3,00 từ 01/11/2022 (NL trước hạn)</t>
        </r>
      </text>
    </comment>
    <comment ref="I74" authorId="3" shapeId="0" xr:uid="{00000000-0006-0000-0500-000056000000}">
      <text>
        <r>
          <rPr>
            <b/>
            <sz val="9"/>
            <color indexed="81"/>
            <rFont val="Tahoma"/>
            <family val="2"/>
          </rPr>
          <t>Windows User:</t>
        </r>
        <r>
          <rPr>
            <sz val="9"/>
            <color indexed="81"/>
            <rFont val="Tahoma"/>
            <family val="2"/>
          </rPr>
          <t xml:space="preserve">
- Phó Trưởng TT ĐH&amp;QLDL từ T10/23</t>
        </r>
      </text>
    </comment>
    <comment ref="F75" authorId="0" shapeId="0" xr:uid="{00000000-0006-0000-0500-000057000000}">
      <text>
        <r>
          <rPr>
            <b/>
            <sz val="9"/>
            <color indexed="81"/>
            <rFont val="Tahoma"/>
            <family val="2"/>
          </rPr>
          <t>User:</t>
        </r>
        <r>
          <rPr>
            <sz val="9"/>
            <color indexed="81"/>
            <rFont val="Tahoma"/>
            <family val="2"/>
          </rPr>
          <t xml:space="preserve">
- HS 2,67 từ 01/4/2014
- HS 3,00 từ 01/4/2017
- HS 3,33 từ 01/4/2019
- HS 3,66 từ 01/4/2022</t>
        </r>
      </text>
    </comment>
    <comment ref="I75" authorId="6" shapeId="0" xr:uid="{00000000-0006-0000-0500-000058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76" authorId="0" shapeId="0" xr:uid="{00000000-0006-0000-0500-000059000000}">
      <text>
        <r>
          <rPr>
            <b/>
            <sz val="9"/>
            <color indexed="81"/>
            <rFont val="Tahoma"/>
            <family val="2"/>
          </rPr>
          <t>User:</t>
        </r>
        <r>
          <rPr>
            <sz val="9"/>
            <color indexed="81"/>
            <rFont val="Tahoma"/>
            <family val="2"/>
          </rPr>
          <t xml:space="preserve">
- 3.00 từ 01/12/2015
- 3,33 từ 01/12/2018
- 3,66 từ 01/12/2021</t>
        </r>
      </text>
    </comment>
    <comment ref="F77" authorId="1" shapeId="0" xr:uid="{00000000-0006-0000-0500-00005A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78" authorId="4" shapeId="0" xr:uid="{00000000-0006-0000-0500-00005B000000}">
      <text>
        <r>
          <rPr>
            <b/>
            <sz val="9"/>
            <color indexed="81"/>
            <rFont val="Tahoma"/>
            <family val="2"/>
          </rPr>
          <t>Quynh:</t>
        </r>
        <r>
          <rPr>
            <sz val="9"/>
            <color indexed="81"/>
            <rFont val="Tahoma"/>
            <family val="2"/>
          </rPr>
          <t xml:space="preserve">
- HS 3,00 từ 01/3/2016
</t>
        </r>
      </text>
    </comment>
    <comment ref="I78" authorId="2" shapeId="0" xr:uid="{00000000-0006-0000-0500-00005C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79" authorId="0" shapeId="0" xr:uid="{00000000-0006-0000-0500-00005D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0" authorId="1" shapeId="0" xr:uid="{00000000-0006-0000-0500-00005E000000}">
      <text>
        <r>
          <rPr>
            <b/>
            <sz val="9"/>
            <color indexed="81"/>
            <rFont val="Tahoma"/>
            <family val="2"/>
          </rPr>
          <t>Admin:</t>
        </r>
        <r>
          <rPr>
            <sz val="9"/>
            <color indexed="81"/>
            <rFont val="Tahoma"/>
            <family val="2"/>
          </rPr>
          <t xml:space="preserve">
- HS 2,67 từ 01/4/2016
- HS 3.00 từ 01/4/2019
- HS 3,33 từ 01/4/2022
</t>
        </r>
      </text>
    </comment>
    <comment ref="F81" authorId="1" shapeId="0" xr:uid="{00000000-0006-0000-0500-00005F000000}">
      <text>
        <r>
          <rPr>
            <b/>
            <sz val="9"/>
            <color indexed="81"/>
            <rFont val="Tahoma"/>
            <family val="2"/>
          </rPr>
          <t>Admin:</t>
        </r>
        <r>
          <rPr>
            <sz val="9"/>
            <color indexed="81"/>
            <rFont val="Tahoma"/>
            <family val="2"/>
          </rPr>
          <t xml:space="preserve">
- HS 4,65 từ 01/9/2017
- HS 4,98 từ 01/9/2020</t>
        </r>
      </text>
    </comment>
    <comment ref="G81" authorId="3" shapeId="0" xr:uid="{00000000-0006-0000-0500-000060000000}">
      <text>
        <r>
          <rPr>
            <b/>
            <sz val="9"/>
            <color indexed="81"/>
            <rFont val="Tahoma"/>
            <family val="2"/>
          </rPr>
          <t>Windows User:</t>
        </r>
        <r>
          <rPr>
            <sz val="9"/>
            <color indexed="81"/>
            <rFont val="Tahoma"/>
            <family val="2"/>
          </rPr>
          <t xml:space="preserve">
- 5% từ 01/9/2023
- 6% từ 01/9/2024</t>
        </r>
      </text>
    </comment>
    <comment ref="F82" authorId="8" shapeId="0" xr:uid="{00000000-0006-0000-0500-000061000000}">
      <text>
        <r>
          <rPr>
            <sz val="9"/>
            <color indexed="81"/>
            <rFont val="Tahoma"/>
            <family val="2"/>
          </rPr>
          <t>- HS 4,32 từ 01/12/2017
- HS 4,65 từ 01/12/2019
- HS 4,98 từ 01/12/2022</t>
        </r>
      </text>
    </comment>
    <comment ref="I82" authorId="0" shapeId="0" xr:uid="{00000000-0006-0000-0500-000062000000}">
      <text>
        <r>
          <rPr>
            <b/>
            <sz val="9"/>
            <color indexed="81"/>
            <rFont val="Tahoma"/>
            <family val="2"/>
          </rPr>
          <t>User:</t>
        </r>
        <r>
          <rPr>
            <sz val="9"/>
            <color indexed="81"/>
            <rFont val="Tahoma"/>
            <family val="2"/>
          </rPr>
          <t xml:space="preserve">
Trưởng khoa Kinh tế từ 20/8/2015
</t>
        </r>
      </text>
    </comment>
    <comment ref="F84" authorId="2" shapeId="0" xr:uid="{00000000-0006-0000-0500-000063000000}">
      <text>
        <r>
          <rPr>
            <b/>
            <sz val="9"/>
            <color indexed="81"/>
            <rFont val="Tahoma"/>
            <family val="2"/>
          </rPr>
          <t>user:</t>
        </r>
        <r>
          <rPr>
            <sz val="9"/>
            <color indexed="81"/>
            <rFont val="Tahoma"/>
            <family val="2"/>
          </rPr>
          <t xml:space="preserve">
- HS 2,34 từ 01/10/2019
- HS 2,67 từ 01/10/2021 (NL trước hạn)
- HS 3,00 từ 01/10/2024</t>
        </r>
      </text>
    </comment>
    <comment ref="I84" authorId="2" shapeId="0" xr:uid="{00000000-0006-0000-0500-000064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85" authorId="1" shapeId="0" xr:uid="{00000000-0006-0000-0500-000065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86" authorId="1" shapeId="0" xr:uid="{00000000-0006-0000-0500-000066000000}">
      <text>
        <r>
          <rPr>
            <b/>
            <sz val="9"/>
            <color indexed="81"/>
            <rFont val="Tahoma"/>
            <family val="2"/>
          </rPr>
          <t>Admin:</t>
        </r>
        <r>
          <rPr>
            <sz val="9"/>
            <color indexed="81"/>
            <rFont val="Tahoma"/>
            <family val="2"/>
          </rPr>
          <t xml:space="preserve">
'- HS 3.00 (BN từ 01/4/18)
- HS 3,33 từ 01/02/2020
- HS 3,66 từ 01/02/2022 (NL trước hạn)</t>
        </r>
      </text>
    </comment>
    <comment ref="I86" authorId="2" shapeId="0" xr:uid="{00000000-0006-0000-0500-000067000000}">
      <text>
        <r>
          <rPr>
            <b/>
            <sz val="9"/>
            <color indexed="81"/>
            <rFont val="Tahoma"/>
            <family val="2"/>
          </rPr>
          <t>user:</t>
        </r>
        <r>
          <rPr>
            <sz val="9"/>
            <color indexed="81"/>
            <rFont val="Tahoma"/>
            <family val="2"/>
          </rPr>
          <t xml:space="preserve">
Phụ trách khoa Xây dựng từ 01/5/2019
- TK từ 01/5/2023</t>
        </r>
      </text>
    </comment>
    <comment ref="F87" authorId="2" shapeId="0" xr:uid="{00000000-0006-0000-0500-000068000000}">
      <text>
        <r>
          <rPr>
            <b/>
            <sz val="9"/>
            <color indexed="81"/>
            <rFont val="Tahoma"/>
            <family val="2"/>
          </rPr>
          <t>user:</t>
        </r>
        <r>
          <rPr>
            <sz val="9"/>
            <color indexed="81"/>
            <rFont val="Tahoma"/>
            <family val="2"/>
          </rPr>
          <t xml:space="preserve">
- Tuyển dụng từ T5/20
- HS 2,67 từ 01/5/2021
- HS 3,00 từ 01/9/2024</t>
        </r>
      </text>
    </comment>
    <comment ref="F88" authorId="2" shapeId="0" xr:uid="{00000000-0006-0000-0500-000069000000}">
      <text>
        <r>
          <rPr>
            <b/>
            <sz val="9"/>
            <color indexed="81"/>
            <rFont val="Tahoma"/>
            <family val="2"/>
          </rPr>
          <t>user:</t>
        </r>
        <r>
          <rPr>
            <sz val="9"/>
            <color indexed="81"/>
            <rFont val="Tahoma"/>
            <family val="2"/>
          </rPr>
          <t xml:space="preserve">
- HS 1,989 từ 01/4/21 (Tuyển dụng)
- HS 2,34 từ 01/4/2022</t>
        </r>
      </text>
    </comment>
    <comment ref="F89" authorId="1" shapeId="0" xr:uid="{00000000-0006-0000-0500-00006A000000}">
      <text>
        <r>
          <rPr>
            <b/>
            <sz val="9"/>
            <color indexed="81"/>
            <rFont val="Tahoma"/>
            <family val="2"/>
          </rPr>
          <t>Admin:</t>
        </r>
        <r>
          <rPr>
            <sz val="9"/>
            <color indexed="81"/>
            <rFont val="Tahoma"/>
            <family val="2"/>
          </rPr>
          <t xml:space="preserve">
- HS 3,33 từ 01/9/2016
- HS 3,66 từ 01/9/2019
- HS 3,99 từ 01/9/2022</t>
        </r>
      </text>
    </comment>
    <comment ref="I89" authorId="4" shapeId="0" xr:uid="{00000000-0006-0000-0500-00006B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0" authorId="4" shapeId="0" xr:uid="{00000000-0006-0000-0500-00006C000000}">
      <text>
        <r>
          <rPr>
            <b/>
            <sz val="9"/>
            <color indexed="81"/>
            <rFont val="Tahoma"/>
            <family val="2"/>
          </rPr>
          <t>Quynh:</t>
        </r>
        <r>
          <rPr>
            <sz val="9"/>
            <color indexed="81"/>
            <rFont val="Tahoma"/>
            <family val="2"/>
          </rPr>
          <t xml:space="preserve">
- HS 2,67 từ 01/10/2018
- HS 3,00 từ 01/10/2021
- HS 3,33 từ 01/10/2024</t>
        </r>
      </text>
    </comment>
    <comment ref="F91" authorId="2" shapeId="0" xr:uid="{00000000-0006-0000-0500-00006D000000}">
      <text>
        <r>
          <rPr>
            <b/>
            <sz val="9"/>
            <color indexed="81"/>
            <rFont val="Tahoma"/>
            <family val="2"/>
          </rPr>
          <t>user:</t>
        </r>
        <r>
          <rPr>
            <sz val="9"/>
            <color indexed="81"/>
            <rFont val="Tahoma"/>
            <family val="2"/>
          </rPr>
          <t xml:space="preserve">
- HS 2,67 từ 01/10/2019
- HS 3,00 từ 01/10/2022</t>
        </r>
      </text>
    </comment>
    <comment ref="F92" authorId="1" shapeId="0" xr:uid="{00000000-0006-0000-0500-00006E000000}">
      <text>
        <r>
          <rPr>
            <b/>
            <sz val="9"/>
            <color indexed="81"/>
            <rFont val="Tahoma"/>
            <family val="2"/>
          </rPr>
          <t>Admin:</t>
        </r>
        <r>
          <rPr>
            <sz val="9"/>
            <color indexed="81"/>
            <rFont val="Tahoma"/>
            <family val="2"/>
          </rPr>
          <t xml:space="preserve">
- HS 3,00 từ 01/12/2016
- HS 3,33 từ 01/12/2019
- HS 3,66 từ 01/12/2021</t>
        </r>
      </text>
    </comment>
    <comment ref="I92" authorId="4" shapeId="0" xr:uid="{00000000-0006-0000-0500-00006F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3" authorId="2" shapeId="0" xr:uid="{00000000-0006-0000-0500-000070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4" authorId="1" shapeId="0" xr:uid="{00000000-0006-0000-0500-000071000000}">
      <text>
        <r>
          <rPr>
            <b/>
            <sz val="9"/>
            <color indexed="81"/>
            <rFont val="Tahoma"/>
            <family val="2"/>
          </rPr>
          <t>Admin:</t>
        </r>
        <r>
          <rPr>
            <sz val="9"/>
            <color indexed="81"/>
            <rFont val="Tahoma"/>
            <family val="2"/>
          </rPr>
          <t xml:space="preserve">
- HS 2,67 từ 01/9/2016
- HS 3,00 từ 01/9/2019
- HS 3,33 từ 01/9/2022</t>
        </r>
      </text>
    </comment>
    <comment ref="F95" authorId="4" shapeId="0" xr:uid="{00000000-0006-0000-0500-000072000000}">
      <text>
        <r>
          <rPr>
            <b/>
            <sz val="9"/>
            <color indexed="81"/>
            <rFont val="Tahoma"/>
            <family val="2"/>
          </rPr>
          <t>Quynh:</t>
        </r>
        <r>
          <rPr>
            <sz val="9"/>
            <color indexed="81"/>
            <rFont val="Tahoma"/>
            <family val="2"/>
          </rPr>
          <t xml:space="preserve">
- HS 2,67 từ 01/10/2018
- HS 3,00 từ 01/10/2021
- HS 3,33 từ 01/10/2024</t>
        </r>
      </text>
    </comment>
    <comment ref="F96" authorId="1" shapeId="0" xr:uid="{00000000-0006-0000-0500-000073000000}">
      <text>
        <r>
          <rPr>
            <b/>
            <sz val="9"/>
            <color indexed="81"/>
            <rFont val="Tahoma"/>
            <family val="2"/>
          </rPr>
          <t>Admin:</t>
        </r>
        <r>
          <rPr>
            <sz val="9"/>
            <color indexed="81"/>
            <rFont val="Tahoma"/>
            <family val="2"/>
          </rPr>
          <t xml:space="preserve">
- HS 3,00 từ 01/9/2016
- HS 3,33 từ 01/9/2019
- HS 3,66 từ 01/9/2022</t>
        </r>
      </text>
    </comment>
    <comment ref="F97" authorId="1" shapeId="0" xr:uid="{00000000-0006-0000-0500-000074000000}">
      <text>
        <r>
          <rPr>
            <b/>
            <sz val="9"/>
            <color indexed="81"/>
            <rFont val="Tahoma"/>
            <family val="2"/>
          </rPr>
          <t>Admin:</t>
        </r>
        <r>
          <rPr>
            <sz val="9"/>
            <color indexed="81"/>
            <rFont val="Tahoma"/>
            <family val="2"/>
          </rPr>
          <t xml:space="preserve">
- HS 2,34 từ 01/09/2016
- HS 2,67 từ 01/09/2019
- HS 3,00 từ 01/09/2022
</t>
        </r>
      </text>
    </comment>
    <comment ref="F98" authorId="1" shapeId="0" xr:uid="{00000000-0006-0000-0500-000075000000}">
      <text>
        <r>
          <rPr>
            <sz val="9"/>
            <color indexed="81"/>
            <rFont val="Tahoma"/>
            <family val="2"/>
          </rPr>
          <t>- HS 3,00  từ 01/01/2018
- HS 3,33 từ 01/01/2020 (NL trước hạn)
- HS 3,66 từ 01/01/2023</t>
        </r>
      </text>
    </comment>
    <comment ref="I98" authorId="4" shapeId="0" xr:uid="{00000000-0006-0000-0500-000076000000}">
      <text>
        <r>
          <rPr>
            <b/>
            <sz val="9"/>
            <color indexed="81"/>
            <rFont val="Tahoma"/>
            <family val="2"/>
          </rPr>
          <t>Quynh:</t>
        </r>
        <r>
          <rPr>
            <sz val="9"/>
            <color indexed="81"/>
            <rFont val="Tahoma"/>
            <family val="2"/>
          </rPr>
          <t xml:space="preserve">
- BN Trưởng BM Cơ sở ngành từ 01/1/2019</t>
        </r>
      </text>
    </comment>
    <comment ref="F99" authorId="2" shapeId="0" xr:uid="{00000000-0006-0000-0500-000077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0" authorId="2" shapeId="0" xr:uid="{00000000-0006-0000-0500-000078000000}">
      <text>
        <r>
          <rPr>
            <b/>
            <sz val="9"/>
            <color indexed="81"/>
            <rFont val="Tahoma"/>
            <family val="2"/>
          </rPr>
          <t>user:</t>
        </r>
        <r>
          <rPr>
            <sz val="9"/>
            <color indexed="81"/>
            <rFont val="Tahoma"/>
            <family val="2"/>
          </rPr>
          <t xml:space="preserve">
- HS 2,34 từ 01/5/2021
- HS 2,67 từ 01/5/2023 (NL trước hạn)</t>
        </r>
      </text>
    </comment>
    <comment ref="I100" authorId="3" shapeId="0" xr:uid="{00000000-0006-0000-0500-000079000000}">
      <text>
        <r>
          <rPr>
            <b/>
            <sz val="9"/>
            <color indexed="81"/>
            <rFont val="Tahoma"/>
            <family val="2"/>
          </rPr>
          <t>Windows User:</t>
        </r>
        <r>
          <rPr>
            <sz val="9"/>
            <color indexed="81"/>
            <rFont val="Tahoma"/>
            <family val="2"/>
          </rPr>
          <t xml:space="preserve">
- BN Trưởng khoa DL-KS từ 01/12/2023</t>
        </r>
      </text>
    </comment>
    <comment ref="F101" authorId="7" shapeId="0" xr:uid="{00000000-0006-0000-0500-00007A000000}">
      <text>
        <r>
          <rPr>
            <b/>
            <sz val="9"/>
            <color indexed="81"/>
            <rFont val="Tahoma"/>
            <family val="2"/>
          </rPr>
          <t>huynh-panda:</t>
        </r>
        <r>
          <rPr>
            <sz val="9"/>
            <color indexed="81"/>
            <rFont val="Tahoma"/>
            <family val="2"/>
          </rPr>
          <t xml:space="preserve">
- HS 2,34 từ 01/05/2022</t>
        </r>
      </text>
    </comment>
    <comment ref="F102" authorId="7" shapeId="0" xr:uid="{00000000-0006-0000-0500-00007B000000}">
      <text>
        <r>
          <rPr>
            <b/>
            <sz val="9"/>
            <color indexed="81"/>
            <rFont val="Tahoma"/>
            <family val="2"/>
          </rPr>
          <t>huynh-panda:</t>
        </r>
        <r>
          <rPr>
            <sz val="9"/>
            <color indexed="81"/>
            <rFont val="Tahoma"/>
            <family val="2"/>
          </rPr>
          <t xml:space="preserve">
- TD từ 01/7/2022 (HS 1,989)
- HS 2,34 từ 01/7/2023</t>
        </r>
      </text>
    </comment>
    <comment ref="F103" authorId="7" shapeId="0" xr:uid="{00000000-0006-0000-0500-00007C000000}">
      <text>
        <r>
          <rPr>
            <b/>
            <sz val="9"/>
            <color indexed="81"/>
            <rFont val="Tahoma"/>
            <family val="2"/>
          </rPr>
          <t>huynh-panda:</t>
        </r>
        <r>
          <rPr>
            <sz val="9"/>
            <color indexed="81"/>
            <rFont val="Tahoma"/>
            <family val="2"/>
          </rPr>
          <t xml:space="preserve">
- TD từ 01/7/2022 (HS 1,989)
- HS 3,33 từ 01/3/2022
</t>
        </r>
      </text>
    </comment>
    <comment ref="B104" authorId="3" shapeId="0" xr:uid="{00000000-0006-0000-0500-00007D000000}">
      <text>
        <r>
          <rPr>
            <b/>
            <sz val="9"/>
            <color indexed="81"/>
            <rFont val="Tahoma"/>
            <family val="2"/>
          </rPr>
          <t>Windows User:</t>
        </r>
        <r>
          <rPr>
            <sz val="9"/>
            <color indexed="81"/>
            <rFont val="Tahoma"/>
            <family val="2"/>
          </rPr>
          <t xml:space="preserve">
- Thuyên chuyển từ CĐ Kinh tế - Kỹ thuật về từ T10/2022
</t>
        </r>
      </text>
    </comment>
    <comment ref="F105" authorId="3" shapeId="0" xr:uid="{00000000-0006-0000-0500-00007E000000}">
      <text>
        <r>
          <rPr>
            <b/>
            <sz val="9"/>
            <color indexed="81"/>
            <rFont val="Tahoma"/>
            <family val="2"/>
          </rPr>
          <t>Windows User:</t>
        </r>
        <r>
          <rPr>
            <sz val="9"/>
            <color indexed="81"/>
            <rFont val="Tahoma"/>
            <family val="2"/>
          </rPr>
          <t xml:space="preserve">
- HS 2,67 từ 01/10/2022
- HS 3,00 từ 01/11/2022</t>
        </r>
      </text>
    </comment>
    <comment ref="B107" authorId="3" shapeId="0" xr:uid="{00000000-0006-0000-0500-00007F000000}">
      <text>
        <r>
          <rPr>
            <b/>
            <sz val="9"/>
            <color indexed="81"/>
            <rFont val="Tahoma"/>
            <family val="2"/>
          </rPr>
          <t>Windows User:</t>
        </r>
        <r>
          <rPr>
            <sz val="9"/>
            <color indexed="81"/>
            <rFont val="Tahoma"/>
            <family val="2"/>
          </rPr>
          <t xml:space="preserve">
- Thuyên chuyển từ ĐH GTVT về trường từ T10/2023</t>
        </r>
      </text>
    </comment>
    <comment ref="F108" authorId="1" shapeId="0" xr:uid="{00000000-0006-0000-0500-000080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09" authorId="1" shapeId="0" xr:uid="{00000000-0006-0000-0500-000081000000}">
      <text>
        <r>
          <rPr>
            <b/>
            <sz val="9"/>
            <color indexed="81"/>
            <rFont val="Tahoma"/>
            <family val="2"/>
          </rPr>
          <t>Admin:</t>
        </r>
        <r>
          <rPr>
            <sz val="9"/>
            <color indexed="81"/>
            <rFont val="Tahoma"/>
            <family val="2"/>
          </rPr>
          <t xml:space="preserve">
- HS 3,00 từ 01/9/2016
- HS 3,33 từ 01/9/2019
- HS 3,66 từ 01/9/2022</t>
        </r>
      </text>
    </comment>
    <comment ref="F110" authorId="1" shapeId="0" xr:uid="{00000000-0006-0000-0500-000082000000}">
      <text>
        <r>
          <rPr>
            <b/>
            <sz val="9"/>
            <color indexed="81"/>
            <rFont val="Tahoma"/>
            <family val="2"/>
          </rPr>
          <t>Admin:</t>
        </r>
        <r>
          <rPr>
            <sz val="9"/>
            <color indexed="81"/>
            <rFont val="Tahoma"/>
            <family val="2"/>
          </rPr>
          <t xml:space="preserve">
- HS 2,67 từ 01/9/2016
- HS 3,00 từ 01/9/2019
- HS 3,33 từ 01/9/2022</t>
        </r>
      </text>
    </comment>
    <comment ref="I110" authorId="1" shapeId="0" xr:uid="{00000000-0006-0000-0500-000083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1" authorId="1" shapeId="0" xr:uid="{00000000-0006-0000-0500-000084000000}">
      <text>
        <r>
          <rPr>
            <b/>
            <sz val="9"/>
            <color indexed="81"/>
            <rFont val="Tahoma"/>
            <family val="2"/>
          </rPr>
          <t>Admin:</t>
        </r>
        <r>
          <rPr>
            <sz val="9"/>
            <color indexed="81"/>
            <rFont val="Tahoma"/>
            <family val="2"/>
          </rPr>
          <t xml:space="preserve">
- HS 2,67 từ 01/9/2016
- HS 3,00 từ 01/9/2019
- HS 3,33 từ 01/9/2022</t>
        </r>
      </text>
    </comment>
    <comment ref="F112" authorId="1" shapeId="0" xr:uid="{00000000-0006-0000-0500-00008500000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13" authorId="8" shapeId="0" xr:uid="{00000000-0006-0000-0500-000086000000}">
      <text>
        <r>
          <rPr>
            <sz val="9"/>
            <color indexed="81"/>
            <rFont val="Tahoma"/>
            <family val="2"/>
          </rPr>
          <t>- HS 2,67 từ 01/12/2017
- HS 3,00 từ 01/12/2020
- HS 3,33 từ 01/12/2022 (NL trước hạn)</t>
        </r>
      </text>
    </comment>
    <comment ref="F114" authorId="0" shapeId="0" xr:uid="{00000000-0006-0000-0500-000087000000}">
      <text>
        <r>
          <rPr>
            <b/>
            <sz val="9"/>
            <color indexed="81"/>
            <rFont val="Tahoma"/>
            <family val="2"/>
          </rPr>
          <t>User:</t>
        </r>
        <r>
          <rPr>
            <sz val="9"/>
            <color indexed="81"/>
            <rFont val="Tahoma"/>
            <family val="2"/>
          </rPr>
          <t xml:space="preserve">
- HS 4,32 từ 01/11/2015
- HS 4,65 từ 01/11/2018
- HS 4,98 từ 01/11/2020 (NL trước hạn)</t>
        </r>
      </text>
    </comment>
    <comment ref="G114" authorId="3" shapeId="0" xr:uid="{00000000-0006-0000-0500-000088000000}">
      <text>
        <r>
          <rPr>
            <b/>
            <sz val="9"/>
            <color indexed="81"/>
            <rFont val="Tahoma"/>
            <family val="2"/>
          </rPr>
          <t>Windows User:</t>
        </r>
        <r>
          <rPr>
            <sz val="9"/>
            <color indexed="81"/>
            <rFont val="Tahoma"/>
            <family val="2"/>
          </rPr>
          <t xml:space="preserve">
- VK 5% từ 01/11/2023</t>
        </r>
      </text>
    </comment>
    <comment ref="F115" authorId="4" shapeId="0" xr:uid="{00000000-0006-0000-0500-000089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16" authorId="2" shapeId="0" xr:uid="{00000000-0006-0000-0500-00008A000000}">
      <text>
        <r>
          <rPr>
            <b/>
            <sz val="9"/>
            <color indexed="81"/>
            <rFont val="Tahoma"/>
            <family val="2"/>
          </rPr>
          <t>user:</t>
        </r>
        <r>
          <rPr>
            <sz val="9"/>
            <color indexed="81"/>
            <rFont val="Tahoma"/>
            <family val="2"/>
          </rPr>
          <t xml:space="preserve">
- HS 2,67 từ 01/10/2019
- HS 3,00 từ 01/10/2022</t>
        </r>
      </text>
    </comment>
    <comment ref="F117" authorId="0" shapeId="0" xr:uid="{00000000-0006-0000-0500-00008B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17" authorId="2" shapeId="0" xr:uid="{00000000-0006-0000-0500-00008C000000}">
      <text>
        <r>
          <rPr>
            <b/>
            <sz val="9"/>
            <color indexed="81"/>
            <rFont val="Tahoma"/>
            <family val="2"/>
          </rPr>
          <t>user:</t>
        </r>
        <r>
          <rPr>
            <sz val="9"/>
            <color indexed="81"/>
            <rFont val="Tahoma"/>
            <family val="2"/>
          </rPr>
          <t xml:space="preserve">
- Trưởng TT Thư viện từ 01/9/2020</t>
        </r>
      </text>
    </comment>
    <comment ref="F118" authorId="1" shapeId="0" xr:uid="{00000000-0006-0000-0500-00008D000000}">
      <text>
        <r>
          <rPr>
            <b/>
            <sz val="9"/>
            <color indexed="81"/>
            <rFont val="Tahoma"/>
            <family val="2"/>
          </rPr>
          <t>Admin:</t>
        </r>
        <r>
          <rPr>
            <sz val="9"/>
            <color indexed="81"/>
            <rFont val="Tahoma"/>
            <family val="2"/>
          </rPr>
          <t xml:space="preserve">
- HS 4,65 từ 01/6/2016 (NL Trước hạn năm 2017)</t>
        </r>
      </text>
    </comment>
    <comment ref="G118" authorId="7" shapeId="0" xr:uid="{00000000-0006-0000-0500-00008E000000}">
      <text>
        <r>
          <rPr>
            <b/>
            <sz val="9"/>
            <color indexed="81"/>
            <rFont val="Tahoma"/>
            <family val="2"/>
          </rPr>
          <t>Quynh-panda:</t>
        </r>
        <r>
          <rPr>
            <sz val="9"/>
            <color indexed="81"/>
            <rFont val="Tahoma"/>
            <family val="2"/>
          </rPr>
          <t xml:space="preserve">
- VK 5% từ 01/06/2022
- VK 6% từ 01/06/2023
- VK 7% từ 01/06/2024</t>
        </r>
      </text>
    </comment>
    <comment ref="F119" authorId="0" shapeId="0" xr:uid="{00000000-0006-0000-0500-00008F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0" authorId="0" shapeId="0" xr:uid="{00000000-0006-0000-0500-000090000000}">
      <text>
        <r>
          <rPr>
            <b/>
            <sz val="9"/>
            <color indexed="81"/>
            <rFont val="Tahoma"/>
            <family val="2"/>
          </rPr>
          <t>User:</t>
        </r>
        <r>
          <rPr>
            <sz val="9"/>
            <color indexed="81"/>
            <rFont val="Tahoma"/>
            <family val="2"/>
          </rPr>
          <t xml:space="preserve">
' HS 3,33 từ 01/9/15
- HS 3,66 từ 01/9/2018
- HS 3,99 từ 01/9/2021
- HS 4,32 từ 01/9/2024</t>
        </r>
      </text>
    </comment>
    <comment ref="F121" authorId="1" shapeId="0" xr:uid="{00000000-0006-0000-0500-000091000000}">
      <text>
        <r>
          <rPr>
            <b/>
            <sz val="9"/>
            <color indexed="81"/>
            <rFont val="Tahoma"/>
            <family val="2"/>
          </rPr>
          <t>Admin:</t>
        </r>
        <r>
          <rPr>
            <sz val="9"/>
            <color indexed="81"/>
            <rFont val="Tahoma"/>
            <family val="2"/>
          </rPr>
          <t xml:space="preserve">
- HS 3,00 từ 01/12/2016
- HS 3,33 từ 01/12/2019
- HS 3,66 từ 01/12/2022</t>
        </r>
      </text>
    </comment>
    <comment ref="F122" authorId="1" shapeId="0" xr:uid="{00000000-0006-0000-0500-000092000000}">
      <text>
        <r>
          <rPr>
            <b/>
            <sz val="9"/>
            <color indexed="81"/>
            <rFont val="Tahoma"/>
            <family val="2"/>
          </rPr>
          <t>Admin:</t>
        </r>
        <r>
          <rPr>
            <sz val="9"/>
            <color indexed="81"/>
            <rFont val="Tahoma"/>
            <family val="2"/>
          </rPr>
          <t xml:space="preserve">
- HS 3,99 từ 01/12/2015
- HS 4,32 từ 01/12/2018
- HS 4,65 từ 01/12/2021</t>
        </r>
      </text>
    </comment>
    <comment ref="F123" authorId="1" shapeId="0" xr:uid="{00000000-0006-0000-0500-000093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4" authorId="0" shapeId="0" xr:uid="{00000000-0006-0000-0500-000094000000}">
      <text>
        <r>
          <rPr>
            <b/>
            <sz val="9"/>
            <color indexed="81"/>
            <rFont val="Tahoma"/>
            <family val="2"/>
          </rPr>
          <t>User:</t>
        </r>
        <r>
          <rPr>
            <sz val="9"/>
            <color indexed="81"/>
            <rFont val="Tahoma"/>
            <family val="2"/>
          </rPr>
          <t xml:space="preserve">
- HS 4,65 từ 01/9/2015
- HS 4,98 từ 01/9/17 (NL trước hạn)</t>
        </r>
      </text>
    </comment>
    <comment ref="G124" authorId="2" shapeId="0" xr:uid="{00000000-0006-0000-0500-000095000000}">
      <text>
        <r>
          <rPr>
            <b/>
            <sz val="9"/>
            <color indexed="81"/>
            <rFont val="Tahoma"/>
            <family val="2"/>
          </rPr>
          <t>user:</t>
        </r>
        <r>
          <rPr>
            <sz val="9"/>
            <color indexed="81"/>
            <rFont val="Tahoma"/>
            <family val="2"/>
          </rPr>
          <t xml:space="preserve">
- 5% từ 01/9/2020
- 6% từ 01/9/2021
- 7% từ 01/9/2022
- 8% từ 01/9/2023
- 9% từ 01/9/2024</t>
        </r>
      </text>
    </comment>
    <comment ref="F125" authorId="0" shapeId="0" xr:uid="{00000000-0006-0000-0500-000096000000}">
      <text>
        <r>
          <rPr>
            <b/>
            <sz val="9"/>
            <color indexed="81"/>
            <rFont val="Tahoma"/>
            <family val="2"/>
          </rPr>
          <t>User:</t>
        </r>
        <r>
          <rPr>
            <sz val="9"/>
            <color indexed="81"/>
            <rFont val="Tahoma"/>
            <family val="2"/>
          </rPr>
          <t xml:space="preserve">
- HS 3,00 từ 01/9/2014
- HS 3,33 từ 01/9/2017
- HS 3,66 từ 01/9/2019
- HS 3,99 từ 01/9/2022</t>
        </r>
      </text>
    </comment>
    <comment ref="F126" authorId="1" shapeId="0" xr:uid="{00000000-0006-0000-0500-000097000000}">
      <text>
        <r>
          <rPr>
            <b/>
            <sz val="9"/>
            <color indexed="81"/>
            <rFont val="Tahoma"/>
            <family val="2"/>
          </rPr>
          <t>Admin:</t>
        </r>
        <r>
          <rPr>
            <sz val="9"/>
            <color indexed="81"/>
            <rFont val="Tahoma"/>
            <family val="2"/>
          </rPr>
          <t xml:space="preserve">
- HS 3,00 từ 01/11/2016
- HS 3,33 từ 01/11/2019
- HS 3,66 từ 01/11/2022</t>
        </r>
      </text>
    </comment>
    <comment ref="F127" authorId="0" shapeId="0" xr:uid="{00000000-0006-0000-0500-000098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27" authorId="1" shapeId="0" xr:uid="{00000000-0006-0000-0500-000099000000}">
      <text>
        <r>
          <rPr>
            <b/>
            <sz val="9"/>
            <color indexed="81"/>
            <rFont val="Tahoma"/>
            <family val="2"/>
          </rPr>
          <t>Admin:</t>
        </r>
        <r>
          <rPr>
            <sz val="9"/>
            <color indexed="81"/>
            <rFont val="Tahoma"/>
            <family val="2"/>
          </rPr>
          <t xml:space="preserve">
- BN Phó TK từ 01/8/2018</t>
        </r>
      </text>
    </comment>
    <comment ref="F128" authorId="0" shapeId="0" xr:uid="{00000000-0006-0000-0500-00009A000000}">
      <text>
        <r>
          <rPr>
            <b/>
            <sz val="9"/>
            <color indexed="81"/>
            <rFont val="Tahoma"/>
            <family val="2"/>
          </rPr>
          <t>User:</t>
        </r>
        <r>
          <rPr>
            <sz val="9"/>
            <color indexed="81"/>
            <rFont val="Tahoma"/>
            <family val="2"/>
          </rPr>
          <t xml:space="preserve">
- HS 4,32 từ 01/9/2014
- HS 4,65 từ 01/9/2017
- HS 4,98 từ 01/9/2020</t>
        </r>
      </text>
    </comment>
    <comment ref="G128" authorId="3" shapeId="0" xr:uid="{00000000-0006-0000-0500-00009B000000}">
      <text>
        <r>
          <rPr>
            <b/>
            <sz val="9"/>
            <color indexed="81"/>
            <rFont val="Tahoma"/>
            <family val="2"/>
          </rPr>
          <t>Windows User:</t>
        </r>
        <r>
          <rPr>
            <sz val="9"/>
            <color indexed="81"/>
            <rFont val="Tahoma"/>
            <family val="2"/>
          </rPr>
          <t xml:space="preserve">
- VK 5% từ 01/9/2023
- VK 6% từ 01/9/2024</t>
        </r>
      </text>
    </comment>
    <comment ref="F129" authorId="0" shapeId="0" xr:uid="{00000000-0006-0000-0500-00009C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0" authorId="1" shapeId="0" xr:uid="{00000000-0006-0000-0500-00009D000000}">
      <text>
        <r>
          <rPr>
            <b/>
            <sz val="9"/>
            <color indexed="81"/>
            <rFont val="Tahoma"/>
            <family val="2"/>
          </rPr>
          <t>Admin:</t>
        </r>
        <r>
          <rPr>
            <sz val="9"/>
            <color indexed="81"/>
            <rFont val="Tahoma"/>
            <family val="2"/>
          </rPr>
          <t xml:space="preserve">
- HS 3,00 từ 01/9/2016
- HS 3,33 từ 01/3/2020
- HS 3,66 từ 01/03/2023</t>
        </r>
      </text>
    </comment>
    <comment ref="F131" authorId="1" shapeId="0" xr:uid="{00000000-0006-0000-0500-00009E000000}">
      <text>
        <r>
          <rPr>
            <b/>
            <sz val="9"/>
            <color indexed="81"/>
            <rFont val="Tahoma"/>
            <family val="2"/>
          </rPr>
          <t>Admin:</t>
        </r>
        <r>
          <rPr>
            <sz val="9"/>
            <color indexed="81"/>
            <rFont val="Tahoma"/>
            <family val="2"/>
          </rPr>
          <t xml:space="preserve">
- HS 2,67 từ 01/9/2017
- HS 3,00 từ 01/9/2020</t>
        </r>
      </text>
    </comment>
    <comment ref="F132" authorId="1" shapeId="0" xr:uid="{00000000-0006-0000-0500-00009F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33" authorId="0" shapeId="0" xr:uid="{00000000-0006-0000-0500-0000A0000000}">
      <text>
        <r>
          <rPr>
            <b/>
            <sz val="9"/>
            <color indexed="81"/>
            <rFont val="Tahoma"/>
            <family val="2"/>
          </rPr>
          <t>User:</t>
        </r>
        <r>
          <rPr>
            <sz val="9"/>
            <color indexed="81"/>
            <rFont val="Tahoma"/>
            <family val="2"/>
          </rPr>
          <t xml:space="preserve">
- HS 3,33 từ 01/9/2015
- HS 3,66 từ 01/9/2018
- HS 3,99 từ 01/9/2021
- HS 4,32 từ 01/9/2024</t>
        </r>
      </text>
    </comment>
    <comment ref="I133" authorId="1" shapeId="0" xr:uid="{00000000-0006-0000-0500-0000A1000000}">
      <text>
        <r>
          <rPr>
            <b/>
            <sz val="9"/>
            <color indexed="81"/>
            <rFont val="Tahoma"/>
            <family val="2"/>
          </rPr>
          <t>Admin:</t>
        </r>
        <r>
          <rPr>
            <sz val="9"/>
            <color indexed="81"/>
            <rFont val="Tahoma"/>
            <family val="2"/>
          </rPr>
          <t xml:space="preserve">
+ BN Tổ trưởng CM từ 03/5/2017</t>
        </r>
      </text>
    </comment>
    <comment ref="F134" authorId="1" shapeId="0" xr:uid="{00000000-0006-0000-0500-0000A2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5" authorId="8" shapeId="0" xr:uid="{00000000-0006-0000-0500-0000A3000000}">
      <text>
        <r>
          <rPr>
            <sz val="9"/>
            <color indexed="81"/>
            <rFont val="Tahoma"/>
            <family val="2"/>
          </rPr>
          <t>- HS 3,33 từ 01/3/2018
- HS 3,66 từ 01/3/2020 (NL trước hạn)
- HS 3,99 từ 01/3/2023</t>
        </r>
      </text>
    </comment>
    <comment ref="F136" authorId="0" shapeId="0" xr:uid="{00000000-0006-0000-0500-0000A4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37" authorId="1" shapeId="0" xr:uid="{00000000-0006-0000-0500-0000A5000000}">
      <text>
        <r>
          <rPr>
            <b/>
            <sz val="9"/>
            <color indexed="81"/>
            <rFont val="Tahoma"/>
            <family val="2"/>
          </rPr>
          <t>Admin:</t>
        </r>
        <r>
          <rPr>
            <sz val="9"/>
            <color indexed="81"/>
            <rFont val="Tahoma"/>
            <family val="2"/>
          </rPr>
          <t xml:space="preserve">
- HS 3,66 từ 01/9/2016
- HS 3,99 từ 01/9/2019
- HS 4,32 từ 01/9/2022</t>
        </r>
      </text>
    </comment>
    <comment ref="F138" authorId="8" shapeId="0" xr:uid="{00000000-0006-0000-0500-0000A6000000}">
      <text>
        <r>
          <rPr>
            <sz val="9"/>
            <color indexed="81"/>
            <rFont val="Tahoma"/>
            <family val="2"/>
          </rPr>
          <t xml:space="preserve">- HS 3,99 từ 01/12/2017
- HS 4,32 từ 01/12/2020
- HS 4,65 từ 01/12/2023
</t>
        </r>
      </text>
    </comment>
    <comment ref="F139" authorId="1" shapeId="0" xr:uid="{00000000-0006-0000-0500-0000A7000000}">
      <text>
        <r>
          <rPr>
            <b/>
            <sz val="9"/>
            <color indexed="81"/>
            <rFont val="Tahoma"/>
            <family val="2"/>
          </rPr>
          <t>Admin:</t>
        </r>
        <r>
          <rPr>
            <sz val="9"/>
            <color indexed="81"/>
            <rFont val="Tahoma"/>
            <family val="2"/>
          </rPr>
          <t xml:space="preserve">
- HS 3,99 từ 01/9/2017
- HS 4,32 từ 01/9/2019
- HS 4,65 từ 01/9/2022</t>
        </r>
      </text>
    </comment>
    <comment ref="I139" authorId="2" shapeId="0" xr:uid="{00000000-0006-0000-0500-0000A8000000}">
      <text>
        <r>
          <rPr>
            <b/>
            <sz val="9"/>
            <color indexed="81"/>
            <rFont val="Tahoma"/>
            <family val="2"/>
          </rPr>
          <t>user:</t>
        </r>
        <r>
          <rPr>
            <sz val="9"/>
            <color indexed="81"/>
            <rFont val="Tahoma"/>
            <family val="2"/>
          </rPr>
          <t xml:space="preserve">
- Trưởng BM Cơ điện tử và tự động hóa từ 01/1/2020</t>
        </r>
      </text>
    </comment>
    <comment ref="F140" authorId="1" shapeId="0" xr:uid="{00000000-0006-0000-0500-0000A9000000}">
      <text>
        <r>
          <rPr>
            <b/>
            <sz val="9"/>
            <color indexed="81"/>
            <rFont val="Tahoma"/>
            <family val="2"/>
          </rPr>
          <t>Admin:</t>
        </r>
        <r>
          <rPr>
            <sz val="9"/>
            <color indexed="81"/>
            <rFont val="Tahoma"/>
            <family val="2"/>
          </rPr>
          <t xml:space="preserve">
- HS 3,99 từ 01/9/2017
- HS 4,32 từ 01/9/2020
- HS 4,65 từ 01/9/2023</t>
        </r>
      </text>
    </comment>
    <comment ref="F141" authorId="1" shapeId="0" xr:uid="{00000000-0006-0000-0500-0000AA000000}">
      <text>
        <r>
          <rPr>
            <b/>
            <sz val="9"/>
            <color indexed="81"/>
            <rFont val="Tahoma"/>
            <family val="2"/>
          </rPr>
          <t>Admin:</t>
        </r>
        <r>
          <rPr>
            <sz val="9"/>
            <color indexed="81"/>
            <rFont val="Tahoma"/>
            <family val="2"/>
          </rPr>
          <t xml:space="preserve">
- HS 3,33 từ 01/9/2017
- HS 3,66 từ 01/9/2020
- HS 3,99 từ 01/9/2023</t>
        </r>
      </text>
    </comment>
    <comment ref="F142" authorId="1" shapeId="0" xr:uid="{00000000-0006-0000-0500-0000AB000000}">
      <text>
        <r>
          <rPr>
            <b/>
            <sz val="9"/>
            <color indexed="81"/>
            <rFont val="Tahoma"/>
            <family val="2"/>
          </rPr>
          <t>Admin:</t>
        </r>
        <r>
          <rPr>
            <sz val="9"/>
            <color indexed="81"/>
            <rFont val="Tahoma"/>
            <family val="2"/>
          </rPr>
          <t xml:space="preserve">
- HS 4,32 từ 01/9/2016
- HS 4,65 từ 01/9/2019
- HS 4,98 từ 01/9/2022</t>
        </r>
      </text>
    </comment>
    <comment ref="F143" authorId="1" shapeId="0" xr:uid="{00000000-0006-0000-0500-0000AC000000}">
      <text>
        <r>
          <rPr>
            <b/>
            <sz val="9"/>
            <color indexed="81"/>
            <rFont val="Tahoma"/>
            <family val="2"/>
          </rPr>
          <t>Admin:</t>
        </r>
        <r>
          <rPr>
            <sz val="9"/>
            <color indexed="81"/>
            <rFont val="Tahoma"/>
            <family val="2"/>
          </rPr>
          <t xml:space="preserve">
- HS 3,33 từ 01/9/2017
- HS 3,66 từ 01/9/2020
- HS 3,99 từ 01/9/2023</t>
        </r>
      </text>
    </comment>
    <comment ref="I143" authorId="0" shapeId="0" xr:uid="{00000000-0006-0000-0500-0000AD000000}">
      <text>
        <r>
          <rPr>
            <b/>
            <sz val="9"/>
            <color indexed="81"/>
            <rFont val="Tahoma"/>
            <family val="2"/>
          </rPr>
          <t>User:</t>
        </r>
        <r>
          <rPr>
            <sz val="9"/>
            <color indexed="81"/>
            <rFont val="Tahoma"/>
            <family val="2"/>
          </rPr>
          <t xml:space="preserve">
Miễn nhiệm Phó Trưởng BM từ 01/9/2015. Bảo lưu HS PC hết T02/2016</t>
        </r>
      </text>
    </comment>
    <comment ref="F144" authorId="1" shapeId="0" xr:uid="{00000000-0006-0000-0500-0000AE000000}">
      <text>
        <r>
          <rPr>
            <sz val="9"/>
            <color indexed="81"/>
            <rFont val="Tahoma"/>
            <family val="2"/>
          </rPr>
          <t>- HS 3,00 từ 01/01/2018
- HS 3,33 từ 01/01/2023</t>
        </r>
      </text>
    </comment>
    <comment ref="I144" authorId="2" shapeId="0" xr:uid="{00000000-0006-0000-0500-0000AF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5" authorId="1" shapeId="0" xr:uid="{00000000-0006-0000-0500-0000B0000000}">
      <text>
        <r>
          <rPr>
            <b/>
            <sz val="9"/>
            <color indexed="81"/>
            <rFont val="Tahoma"/>
            <family val="2"/>
          </rPr>
          <t>Admin:</t>
        </r>
        <r>
          <rPr>
            <sz val="9"/>
            <color indexed="81"/>
            <rFont val="Tahoma"/>
            <family val="2"/>
          </rPr>
          <t xml:space="preserve">
- HS 2,34 từ 01/09/2016
- HS 2,67 từ 01/9/2019
- HS 3,00 từ 0/09/2022</t>
        </r>
      </text>
    </comment>
    <comment ref="F146" authorId="2" shapeId="0" xr:uid="{00000000-0006-0000-0500-0000B1000000}">
      <text>
        <r>
          <rPr>
            <b/>
            <sz val="9"/>
            <color indexed="81"/>
            <rFont val="Tahoma"/>
            <family val="2"/>
          </rPr>
          <t>user:</t>
        </r>
        <r>
          <rPr>
            <sz val="9"/>
            <color indexed="81"/>
            <rFont val="Tahoma"/>
            <family val="2"/>
          </rPr>
          <t xml:space="preserve">
- Tuyển dụng từ 01/10/2020
- HS 2,34 từ 01/10/2021
- HS 2,67 từ 01/10/2024</t>
        </r>
      </text>
    </comment>
    <comment ref="F147" authorId="1" shapeId="0" xr:uid="{00000000-0006-0000-0500-0000B2000000}">
      <text>
        <r>
          <rPr>
            <b/>
            <sz val="9"/>
            <color indexed="81"/>
            <rFont val="Tahoma"/>
            <family val="2"/>
          </rPr>
          <t>Admin:</t>
        </r>
        <r>
          <rPr>
            <sz val="9"/>
            <color indexed="81"/>
            <rFont val="Tahoma"/>
            <family val="2"/>
          </rPr>
          <t xml:space="preserve">
- HS 2,34 từ 01/09/2016
- HS 2,67 từ 01/9/2019
- HS 3,00 từ 01/9/2022</t>
        </r>
      </text>
    </comment>
    <comment ref="F148" authorId="2" shapeId="0" xr:uid="{00000000-0006-0000-0500-0000B3000000}">
      <text>
        <r>
          <rPr>
            <b/>
            <sz val="9"/>
            <color indexed="81"/>
            <rFont val="Tahoma"/>
            <family val="2"/>
          </rPr>
          <t>user:</t>
        </r>
        <r>
          <rPr>
            <sz val="9"/>
            <color indexed="81"/>
            <rFont val="Tahoma"/>
            <family val="2"/>
          </rPr>
          <t xml:space="preserve">
- Tuyển dụng từ 01/5/20
- HS 2,34 từ 01/5/2021
- HS 2,67 từ 01/5/2024</t>
        </r>
      </text>
    </comment>
    <comment ref="F154" authorId="0" shapeId="0" xr:uid="{00000000-0006-0000-0500-0000B4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4" authorId="0" shapeId="0" xr:uid="{00000000-0006-0000-0500-0000B5000000}">
      <text>
        <r>
          <rPr>
            <b/>
            <sz val="9"/>
            <color indexed="81"/>
            <rFont val="Tahoma"/>
            <family val="2"/>
          </rPr>
          <t>User:</t>
        </r>
        <r>
          <rPr>
            <sz val="9"/>
            <color indexed="81"/>
            <rFont val="Tahoma"/>
            <family val="2"/>
          </rPr>
          <t xml:space="preserve">
HS 0,35 hưởng từ 01/7/2015
</t>
        </r>
      </text>
    </comment>
    <comment ref="F155" authorId="1" shapeId="0" xr:uid="{00000000-0006-0000-0500-0000B600000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55" authorId="0" shapeId="0" xr:uid="{00000000-0006-0000-0500-0000B7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6" authorId="1" shapeId="0" xr:uid="{00000000-0006-0000-0500-0000B800000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56" authorId="2" shapeId="0" xr:uid="{00000000-0006-0000-0500-0000B9000000}">
      <text>
        <r>
          <rPr>
            <b/>
            <sz val="9"/>
            <color indexed="81"/>
            <rFont val="Tahoma"/>
            <family val="2"/>
          </rPr>
          <t>user:</t>
        </r>
        <r>
          <rPr>
            <sz val="9"/>
            <color indexed="81"/>
            <rFont val="Tahoma"/>
            <family val="2"/>
          </rPr>
          <t xml:space="preserve">
- QĐ BN Trưởng BM GDCT từ 01/4/2021</t>
        </r>
      </text>
    </comment>
    <comment ref="F157" authorId="0" shapeId="0" xr:uid="{00000000-0006-0000-0500-0000BA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58" authorId="1" shapeId="0" xr:uid="{00000000-0006-0000-0500-0000BB000000}">
      <text>
        <r>
          <rPr>
            <b/>
            <sz val="9"/>
            <color indexed="81"/>
            <rFont val="Tahoma"/>
            <family val="2"/>
          </rPr>
          <t>Admin:</t>
        </r>
        <r>
          <rPr>
            <sz val="9"/>
            <color indexed="81"/>
            <rFont val="Tahoma"/>
            <family val="2"/>
          </rPr>
          <t xml:space="preserve">
- HS 3,99 từ 01/9/2017
- HS 4,32 từ 01/9/2020
- HS 4,65 từ 01/9/2023</t>
        </r>
      </text>
    </comment>
    <comment ref="F159" authorId="0" shapeId="0" xr:uid="{00000000-0006-0000-0500-0000BC000000}">
      <text>
        <r>
          <rPr>
            <b/>
            <sz val="9"/>
            <color indexed="81"/>
            <rFont val="Tahoma"/>
            <family val="2"/>
          </rPr>
          <t>User:</t>
        </r>
        <r>
          <rPr>
            <sz val="9"/>
            <color indexed="81"/>
            <rFont val="Tahoma"/>
            <family val="2"/>
          </rPr>
          <t xml:space="preserve">
- HS 3,00 từ 01/09/2015
- HS 3,33 từ 01/9/2018
- HS 3,66 từ 01/9/2021
- HS 3,99 từ 01/9/2024</t>
        </r>
      </text>
    </comment>
    <comment ref="F160" authorId="0" shapeId="0" xr:uid="{00000000-0006-0000-0500-0000BD000000}">
      <text>
        <r>
          <rPr>
            <b/>
            <sz val="9"/>
            <color indexed="81"/>
            <rFont val="Tahoma"/>
            <family val="2"/>
          </rPr>
          <t>User:</t>
        </r>
        <r>
          <rPr>
            <sz val="9"/>
            <color indexed="81"/>
            <rFont val="Tahoma"/>
            <family val="2"/>
          </rPr>
          <t xml:space="preserve">
- HS 3,66 từ 01/9/2015
- HS 3,99 từ 01/9/2018
- HS 4,32 từ 01/9/2021
- HS 4,65 từ 01/9/2024</t>
        </r>
      </text>
    </comment>
    <comment ref="F161" authorId="0" shapeId="0" xr:uid="{00000000-0006-0000-0500-0000BE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2" authorId="0" shapeId="0" xr:uid="{00000000-0006-0000-0500-0000BF000000}">
      <text>
        <r>
          <rPr>
            <b/>
            <sz val="9"/>
            <color indexed="81"/>
            <rFont val="Tahoma"/>
            <family val="2"/>
          </rPr>
          <t>User:</t>
        </r>
        <r>
          <rPr>
            <sz val="9"/>
            <color indexed="81"/>
            <rFont val="Tahoma"/>
            <family val="2"/>
          </rPr>
          <t xml:space="preserve">
- HS 3,00 từ 01/9/2015
- HS 3,33 từ 01/9/2018
- HS 3,66 từ 01/9/2021
- HS 3,99 từ 01/9/2024</t>
        </r>
      </text>
    </comment>
    <comment ref="F163" authorId="0" shapeId="0" xr:uid="{00000000-0006-0000-0500-0000C0000000}">
      <text>
        <r>
          <rPr>
            <b/>
            <sz val="9"/>
            <color indexed="81"/>
            <rFont val="Tahoma"/>
            <family val="2"/>
          </rPr>
          <t>User:</t>
        </r>
        <r>
          <rPr>
            <sz val="9"/>
            <color indexed="81"/>
            <rFont val="Tahoma"/>
            <family val="2"/>
          </rPr>
          <t xml:space="preserve">
- HS 3,00 từ 1/9/2015
- HS 3,33 từ 01/9/2018
- HS 3,66 từ 01/9/2021
- HS 3,99 từ 01/9/2024
</t>
        </r>
      </text>
    </comment>
    <comment ref="F164" authorId="1" shapeId="0" xr:uid="{00000000-0006-0000-0500-0000C1000000}">
      <text>
        <r>
          <rPr>
            <b/>
            <sz val="9"/>
            <color indexed="81"/>
            <rFont val="Tahoma"/>
            <family val="2"/>
          </rPr>
          <t>Admin:</t>
        </r>
        <r>
          <rPr>
            <sz val="9"/>
            <color indexed="81"/>
            <rFont val="Tahoma"/>
            <family val="2"/>
          </rPr>
          <t xml:space="preserve">
- HS 3,00 từ 01/9/2015
- HS 3,33 từ 01/9/2018
- HS 3,66 từ 01/9/2021
- HS 3,99 từ 01/9/2024</t>
        </r>
      </text>
    </comment>
    <comment ref="F165" authorId="0" shapeId="0" xr:uid="{00000000-0006-0000-0500-0000C2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6" authorId="1" shapeId="0" xr:uid="{00000000-0006-0000-0500-0000C3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67" authorId="1" shapeId="0" xr:uid="{00000000-0006-0000-0500-0000C4000000}">
      <text>
        <r>
          <rPr>
            <b/>
            <sz val="9"/>
            <color indexed="81"/>
            <rFont val="Tahoma"/>
            <family val="2"/>
          </rPr>
          <t>Admin:</t>
        </r>
        <r>
          <rPr>
            <sz val="9"/>
            <color indexed="81"/>
            <rFont val="Tahoma"/>
            <family val="2"/>
          </rPr>
          <t xml:space="preserve">
- HS 3,00 từ 01/03/2017
- HS 3,33 từ 01/03/2020
- HS 3,66 từ 01/03/2023</t>
        </r>
      </text>
    </comment>
    <comment ref="F168" authorId="1" shapeId="0" xr:uid="{00000000-0006-0000-0500-0000C5000000}">
      <text>
        <r>
          <rPr>
            <b/>
            <sz val="9"/>
            <color indexed="81"/>
            <rFont val="Tahoma"/>
            <family val="2"/>
          </rPr>
          <t>Admin:</t>
        </r>
        <r>
          <rPr>
            <sz val="9"/>
            <color indexed="81"/>
            <rFont val="Tahoma"/>
            <family val="2"/>
          </rPr>
          <t xml:space="preserve">
- HS 2,67 từ 01/9/2017
- HS 3,00 từ 01/9/2020
- HS 3,33 từ 01/9/2023</t>
        </r>
      </text>
    </comment>
    <comment ref="F169" authorId="1" shapeId="0" xr:uid="{00000000-0006-0000-0500-0000C6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0" authorId="1" shapeId="0" xr:uid="{00000000-0006-0000-0500-0000C7000000}">
      <text>
        <r>
          <rPr>
            <b/>
            <sz val="9"/>
            <color indexed="81"/>
            <rFont val="Tahoma"/>
            <family val="2"/>
          </rPr>
          <t>Admin:</t>
        </r>
        <r>
          <rPr>
            <sz val="9"/>
            <color indexed="81"/>
            <rFont val="Tahoma"/>
            <family val="2"/>
          </rPr>
          <t xml:space="preserve">
- 3,33 từ 01/9/2017
- 3,66 từ 01/9/2020
- 3,99 từ 01/9/2023</t>
        </r>
      </text>
    </comment>
    <comment ref="I170" authorId="0" shapeId="0" xr:uid="{00000000-0006-0000-0500-0000C8000000}">
      <text>
        <r>
          <rPr>
            <b/>
            <sz val="9"/>
            <color indexed="81"/>
            <rFont val="Tahoma"/>
            <family val="2"/>
          </rPr>
          <t>User:</t>
        </r>
        <r>
          <rPr>
            <sz val="9"/>
            <color indexed="81"/>
            <rFont val="Tahoma"/>
            <family val="2"/>
          </rPr>
          <t xml:space="preserve">
Miễn nhiệm Trưởng bộ môn từ 01/9/2015</t>
        </r>
      </text>
    </comment>
    <comment ref="F171" authorId="1" shapeId="0" xr:uid="{00000000-0006-0000-0500-0000C9000000}">
      <text>
        <r>
          <rPr>
            <b/>
            <sz val="9"/>
            <color indexed="81"/>
            <rFont val="Tahoma"/>
            <family val="2"/>
          </rPr>
          <t>Admin:</t>
        </r>
        <r>
          <rPr>
            <sz val="9"/>
            <color indexed="81"/>
            <rFont val="Tahoma"/>
            <family val="2"/>
          </rPr>
          <t xml:space="preserve">
- HS 3,33 từ 01/9/2016
- HS 3,66 từ 01/9/2019
- HS 3,99 từ 01/9/2022</t>
        </r>
      </text>
    </comment>
    <comment ref="I171" authorId="0" shapeId="0" xr:uid="{00000000-0006-0000-0500-0000CA000000}">
      <text>
        <r>
          <rPr>
            <b/>
            <sz val="9"/>
            <color indexed="81"/>
            <rFont val="Tahoma"/>
            <family val="2"/>
          </rPr>
          <t>User:</t>
        </r>
        <r>
          <rPr>
            <sz val="9"/>
            <color indexed="81"/>
            <rFont val="Tahoma"/>
            <family val="2"/>
          </rPr>
          <t xml:space="preserve">
Miễn nhiệm Trưởng BM từ 01/9/15
</t>
        </r>
      </text>
    </comment>
    <comment ref="F172" authorId="0" shapeId="0" xr:uid="{00000000-0006-0000-0500-0000CB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2" authorId="0" shapeId="0" xr:uid="{00000000-0006-0000-0500-0000CC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3" authorId="8" shapeId="0" xr:uid="{00000000-0006-0000-0500-0000CD000000}">
      <text>
        <r>
          <rPr>
            <sz val="9"/>
            <color indexed="81"/>
            <rFont val="Tahoma"/>
            <family val="2"/>
          </rPr>
          <t xml:space="preserve">- HS 3,33 từ 01/12/2017
- HS 3,66 từ 01/12/2020
- HS 3,99 từ 01/12/2023
</t>
        </r>
      </text>
    </comment>
    <comment ref="F174" authorId="0" shapeId="0" xr:uid="{00000000-0006-0000-0500-0000CE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4" authorId="0" shapeId="0" xr:uid="{00000000-0006-0000-0500-0000CF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5" authorId="0" shapeId="0" xr:uid="{00000000-0006-0000-0500-0000D000000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xr:uid="{00000000-0006-0000-0500-0000D1000000}">
      <text>
        <r>
          <rPr>
            <b/>
            <sz val="9"/>
            <color indexed="81"/>
            <rFont val="Tahoma"/>
            <family val="2"/>
          </rPr>
          <t>User:</t>
        </r>
        <r>
          <rPr>
            <sz val="9"/>
            <color indexed="81"/>
            <rFont val="Tahoma"/>
            <family val="2"/>
          </rPr>
          <t xml:space="preserve">
- HS 3,00 từ 01/9/2015
- HS 3,33 từ 01/9/2018
- HS 3,66 từ 01/9/2021
- HS 3,99 từ 01/9/2024</t>
        </r>
      </text>
    </comment>
    <comment ref="F177" authorId="0" shapeId="0" xr:uid="{00000000-0006-0000-0500-0000D2000000}">
      <text>
        <r>
          <rPr>
            <b/>
            <sz val="9"/>
            <color indexed="81"/>
            <rFont val="Tahoma"/>
            <family val="2"/>
          </rPr>
          <t>User:</t>
        </r>
        <r>
          <rPr>
            <sz val="9"/>
            <color indexed="81"/>
            <rFont val="Tahoma"/>
            <family val="2"/>
          </rPr>
          <t xml:space="preserve">
- HS 3,00 từ 01/10/2015
- HS 3,33 từ 01/10/2018
- HS 3,66 từ 01/10/2021
- HS 3,99 từ 01/10/2024</t>
        </r>
      </text>
    </comment>
    <comment ref="F178" authorId="1" shapeId="0" xr:uid="{00000000-0006-0000-0500-0000D3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78" authorId="0" shapeId="0" xr:uid="{00000000-0006-0000-0500-0000D4000000}">
      <text>
        <r>
          <rPr>
            <b/>
            <sz val="9"/>
            <color indexed="81"/>
            <rFont val="Tahoma"/>
            <family val="2"/>
          </rPr>
          <t>User:</t>
        </r>
        <r>
          <rPr>
            <sz val="9"/>
            <color indexed="81"/>
            <rFont val="Tahoma"/>
            <family val="2"/>
          </rPr>
          <t xml:space="preserve">
BN Trưởng BM MẠng Máy tính từ 01/9/2015
- Phó khoa CNTT từ T10/2022</t>
        </r>
      </text>
    </comment>
    <comment ref="F179" authorId="4" shapeId="0" xr:uid="{00000000-0006-0000-0500-0000D5000000}">
      <text>
        <r>
          <rPr>
            <b/>
            <sz val="9"/>
            <color indexed="81"/>
            <rFont val="Tahoma"/>
            <family val="2"/>
          </rPr>
          <t>Quynh:</t>
        </r>
        <r>
          <rPr>
            <sz val="9"/>
            <color indexed="81"/>
            <rFont val="Tahoma"/>
            <family val="2"/>
          </rPr>
          <t xml:space="preserve">
- HS 3,00 từ 01/5/2018
- HS 3,33 từ 01/5/2021
- HS 3,66 từ 01/5/2024</t>
        </r>
      </text>
    </comment>
    <comment ref="F180" authorId="1" shapeId="0" xr:uid="{00000000-0006-0000-0500-0000D600000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80" authorId="7" shapeId="0" xr:uid="{00000000-0006-0000-0500-0000D7000000}">
      <text>
        <r>
          <rPr>
            <b/>
            <sz val="9"/>
            <color indexed="81"/>
            <rFont val="Tahoma"/>
            <family val="2"/>
          </rPr>
          <t>huynh-panda:</t>
        </r>
        <r>
          <rPr>
            <sz val="9"/>
            <color indexed="81"/>
            <rFont val="Tahoma"/>
            <family val="2"/>
          </rPr>
          <t xml:space="preserve">
Phụ trách BM Khoa học máy tính từ 06/7/2022</t>
        </r>
      </text>
    </comment>
    <comment ref="F181" authorId="1" shapeId="0" xr:uid="{00000000-0006-0000-0500-0000D8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2" authorId="1" shapeId="0" xr:uid="{00000000-0006-0000-0500-0000D900000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82" authorId="0" shapeId="0" xr:uid="{00000000-0006-0000-0500-0000DA000000}">
      <text>
        <r>
          <rPr>
            <b/>
            <sz val="9"/>
            <color indexed="81"/>
            <rFont val="Tahoma"/>
            <family val="2"/>
          </rPr>
          <t>User:</t>
        </r>
        <r>
          <rPr>
            <sz val="9"/>
            <color indexed="81"/>
            <rFont val="Tahoma"/>
            <family val="2"/>
          </rPr>
          <t xml:space="preserve">
+ HS 0,45 được bảo lưu đến hết 31/12/2015</t>
        </r>
      </text>
    </comment>
    <comment ref="F183" authorId="1" shapeId="0" xr:uid="{00000000-0006-0000-0500-0000DB00000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4" authorId="1" shapeId="0" xr:uid="{00000000-0006-0000-0500-0000DC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4" authorId="7" shapeId="0" xr:uid="{00000000-0006-0000-0500-0000DD000000}">
      <text>
        <r>
          <rPr>
            <b/>
            <sz val="9"/>
            <color indexed="81"/>
            <rFont val="Tahoma"/>
            <family val="2"/>
          </rPr>
          <t>huynh-panda:</t>
        </r>
        <r>
          <rPr>
            <sz val="9"/>
            <color indexed="81"/>
            <rFont val="Tahoma"/>
            <family val="2"/>
          </rPr>
          <t xml:space="preserve">
- Phụ trách BM Công nghệ phần mềm từ 05/7/2022</t>
        </r>
      </text>
    </comment>
    <comment ref="F185" authorId="1" shapeId="0" xr:uid="{00000000-0006-0000-0500-0000DE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88" authorId="1" shapeId="0" xr:uid="{00000000-0006-0000-0500-0000DF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88" authorId="0" shapeId="0" xr:uid="{00000000-0006-0000-0500-0000E0000000}">
      <text>
        <r>
          <rPr>
            <b/>
            <sz val="9"/>
            <color indexed="81"/>
            <rFont val="Tahoma"/>
            <family val="2"/>
          </rPr>
          <t>User:</t>
        </r>
        <r>
          <rPr>
            <sz val="9"/>
            <color indexed="81"/>
            <rFont val="Tahoma"/>
            <family val="2"/>
          </rPr>
          <t xml:space="preserve">
- QĐ Bổ nhiệm trưởng khoa từ 01/2/2016</t>
        </r>
      </text>
    </comment>
    <comment ref="F189" authorId="1" shapeId="0" xr:uid="{00000000-0006-0000-0500-0000E1000000}">
      <text>
        <r>
          <rPr>
            <b/>
            <sz val="9"/>
            <color indexed="81"/>
            <rFont val="Tahoma"/>
            <family val="2"/>
          </rPr>
          <t>Admin:</t>
        </r>
        <r>
          <rPr>
            <sz val="9"/>
            <color indexed="81"/>
            <rFont val="Tahoma"/>
            <family val="2"/>
          </rPr>
          <t xml:space="preserve">
- HS 4,65 từ 01/12/2015
- HS 4,98 từ 01/12/2018</t>
        </r>
      </text>
    </comment>
    <comment ref="G189" authorId="2" shapeId="0" xr:uid="{00000000-0006-0000-0500-0000E2000000}">
      <text>
        <r>
          <rPr>
            <b/>
            <sz val="9"/>
            <color indexed="81"/>
            <rFont val="Tahoma"/>
            <family val="2"/>
          </rPr>
          <t>user:</t>
        </r>
        <r>
          <rPr>
            <sz val="9"/>
            <color indexed="81"/>
            <rFont val="Tahoma"/>
            <family val="2"/>
          </rPr>
          <t xml:space="preserve">
- VK 5% từ 01/12/2021
- VK 6% từ 01/12/2022
- VK 7% từ 01/12/2023</t>
        </r>
      </text>
    </comment>
    <comment ref="F190" authorId="1" shapeId="0" xr:uid="{00000000-0006-0000-0500-0000E3000000}">
      <text>
        <r>
          <rPr>
            <b/>
            <sz val="9"/>
            <color indexed="81"/>
            <rFont val="Tahoma"/>
            <family val="2"/>
          </rPr>
          <t>Admin:</t>
        </r>
        <r>
          <rPr>
            <sz val="9"/>
            <color indexed="81"/>
            <rFont val="Tahoma"/>
            <family val="2"/>
          </rPr>
          <t xml:space="preserve">
- HS 4,65 từ 01/9/2015
- HS 4,98 từ 01/9/2018</t>
        </r>
      </text>
    </comment>
    <comment ref="G190" authorId="2" shapeId="0" xr:uid="{00000000-0006-0000-0500-0000E4000000}">
      <text>
        <r>
          <rPr>
            <b/>
            <sz val="9"/>
            <color indexed="81"/>
            <rFont val="Tahoma"/>
            <family val="2"/>
          </rPr>
          <t>user:</t>
        </r>
        <r>
          <rPr>
            <sz val="9"/>
            <color indexed="81"/>
            <rFont val="Tahoma"/>
            <family val="2"/>
          </rPr>
          <t xml:space="preserve">
- VK 5% từ 01/9/2021
- VK 6% từ 01/9/2022
- VK 7% từ 01/9/2023
- VK 8% từ 01/9/2024</t>
        </r>
      </text>
    </comment>
    <comment ref="F191" authorId="1" shapeId="0" xr:uid="{00000000-0006-0000-0500-0000E5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2" authorId="0" shapeId="0" xr:uid="{00000000-0006-0000-0500-0000E6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193" authorId="1" shapeId="0" xr:uid="{00000000-0006-0000-0500-0000E7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3" authorId="1" shapeId="0" xr:uid="{00000000-0006-0000-0500-0000E8000000}">
      <text>
        <r>
          <rPr>
            <b/>
            <sz val="9"/>
            <color indexed="81"/>
            <rFont val="Tahoma"/>
            <family val="2"/>
          </rPr>
          <t>Admin:</t>
        </r>
        <r>
          <rPr>
            <sz val="9"/>
            <color indexed="81"/>
            <rFont val="Tahoma"/>
            <family val="2"/>
          </rPr>
          <t xml:space="preserve">
QĐ BN Trưởng BM từ 15/5/2016
</t>
        </r>
      </text>
    </comment>
    <comment ref="F194" authorId="1" shapeId="0" xr:uid="{00000000-0006-0000-0500-0000E9000000}">
      <text>
        <r>
          <rPr>
            <b/>
            <sz val="9"/>
            <color indexed="81"/>
            <rFont val="Tahoma"/>
            <family val="2"/>
          </rPr>
          <t>Admin:</t>
        </r>
        <r>
          <rPr>
            <sz val="9"/>
            <color indexed="81"/>
            <rFont val="Tahoma"/>
            <family val="2"/>
          </rPr>
          <t xml:space="preserve">
- HS 4,65 từ 01/9/2016 (NL Trước hạn năm 2017)
- HS 4,98 từ 01/9/2019</t>
        </r>
      </text>
    </comment>
    <comment ref="G194" authorId="7" shapeId="0" xr:uid="{00000000-0006-0000-0500-0000EA000000}">
      <text>
        <r>
          <rPr>
            <b/>
            <sz val="9"/>
            <color indexed="81"/>
            <rFont val="Tahoma"/>
            <family val="2"/>
          </rPr>
          <t>huynh-panda:</t>
        </r>
        <r>
          <rPr>
            <sz val="9"/>
            <color indexed="81"/>
            <rFont val="Tahoma"/>
            <family val="2"/>
          </rPr>
          <t xml:space="preserve">
- VK 5% từ 01/9/2022
- VK 6% từ 01/9/2023
- VK 7% từ 01/9/2024</t>
        </r>
      </text>
    </comment>
    <comment ref="I194" authorId="1" shapeId="0" xr:uid="{00000000-0006-0000-0500-0000EB000000}">
      <text>
        <r>
          <rPr>
            <sz val="9"/>
            <color indexed="81"/>
            <rFont val="Tahoma"/>
            <family val="2"/>
          </rPr>
          <t>QĐ phụ trách từ 01/12/2017</t>
        </r>
      </text>
    </comment>
    <comment ref="F195" authorId="1" shapeId="0" xr:uid="{00000000-0006-0000-0500-0000EC000000}">
      <text>
        <r>
          <rPr>
            <b/>
            <sz val="9"/>
            <color indexed="81"/>
            <rFont val="Tahoma"/>
            <family val="2"/>
          </rPr>
          <t>Admin:</t>
        </r>
        <r>
          <rPr>
            <sz val="9"/>
            <color indexed="81"/>
            <rFont val="Tahoma"/>
            <family val="2"/>
          </rPr>
          <t xml:space="preserve">
- HS 3,33 từ 01/9/2017
- HS 3,66 từ 01/9/2020
- HS 3,99 từ 01/9/2023</t>
        </r>
      </text>
    </comment>
    <comment ref="F196" authorId="1" shapeId="0" xr:uid="{00000000-0006-0000-0500-0000ED000000}">
      <text>
        <r>
          <rPr>
            <b/>
            <sz val="9"/>
            <color indexed="81"/>
            <rFont val="Tahoma"/>
            <family val="2"/>
          </rPr>
          <t>Admin:</t>
        </r>
        <r>
          <rPr>
            <sz val="9"/>
            <color indexed="81"/>
            <rFont val="Tahoma"/>
            <family val="2"/>
          </rPr>
          <t xml:space="preserve">
- HS 4,65 từ 01/9/2017
- HS 4,98 từ 01/9/2020</t>
        </r>
      </text>
    </comment>
    <comment ref="G196" authorId="3" shapeId="0" xr:uid="{00000000-0006-0000-0500-0000EE000000}">
      <text>
        <r>
          <rPr>
            <b/>
            <sz val="9"/>
            <color indexed="81"/>
            <rFont val="Tahoma"/>
            <family val="2"/>
          </rPr>
          <t>Windows User:</t>
        </r>
        <r>
          <rPr>
            <sz val="9"/>
            <color indexed="81"/>
            <rFont val="Tahoma"/>
            <family val="2"/>
          </rPr>
          <t xml:space="preserve">
- VK 5% từ 01/9/2023
- VK 6% từ 01/9/2024</t>
        </r>
      </text>
    </comment>
    <comment ref="F197" authorId="0" shapeId="0" xr:uid="{00000000-0006-0000-0500-0000EF000000}">
      <text>
        <r>
          <rPr>
            <b/>
            <sz val="9"/>
            <color indexed="81"/>
            <rFont val="Tahoma"/>
            <family val="2"/>
          </rPr>
          <t>User:</t>
        </r>
        <r>
          <rPr>
            <sz val="9"/>
            <color indexed="81"/>
            <rFont val="Tahoma"/>
            <family val="2"/>
          </rPr>
          <t xml:space="preserve">
- HS 3,00 từ 01/9/2015
- HS 3,33 từ 01/9/2018
- HS 3,66 từ 01/9/2021
- HS 3,99 từ 01/9/2024</t>
        </r>
      </text>
    </comment>
    <comment ref="I197" authorId="6" shapeId="0" xr:uid="{00000000-0006-0000-0500-0000F0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98" authorId="0" shapeId="0" xr:uid="{00000000-0006-0000-0500-0000F1000000}">
      <text>
        <r>
          <rPr>
            <b/>
            <sz val="9"/>
            <color indexed="81"/>
            <rFont val="Tahoma"/>
            <family val="2"/>
          </rPr>
          <t>User:</t>
        </r>
        <r>
          <rPr>
            <sz val="9"/>
            <color indexed="81"/>
            <rFont val="Tahoma"/>
            <family val="2"/>
          </rPr>
          <t xml:space="preserve">
- HS 3,00 từ 01/9/2015
- HS 3,33 từ 01/9/2018
- HS 3,66 từ 01/9/2021
- HS 3,99 từ 01/9/2024</t>
        </r>
      </text>
    </comment>
    <comment ref="F199" authorId="1" shapeId="0" xr:uid="{00000000-0006-0000-0500-0000F2000000}">
      <text>
        <r>
          <rPr>
            <b/>
            <sz val="9"/>
            <color indexed="81"/>
            <rFont val="Tahoma"/>
            <family val="2"/>
          </rPr>
          <t>Admin:</t>
        </r>
        <r>
          <rPr>
            <sz val="9"/>
            <color indexed="81"/>
            <rFont val="Tahoma"/>
            <family val="2"/>
          </rPr>
          <t xml:space="preserve">
- HS 3,00 từ 01/9/2016
- HS 3,33 từ 01/9/2019
- HS 3,66 từ 01/9/2022</t>
        </r>
      </text>
    </comment>
    <comment ref="F200" authorId="1" shapeId="0" xr:uid="{00000000-0006-0000-0500-0000F3000000}">
      <text>
        <r>
          <rPr>
            <b/>
            <sz val="9"/>
            <color indexed="81"/>
            <rFont val="Tahoma"/>
            <family val="2"/>
          </rPr>
          <t>Admin:</t>
        </r>
        <r>
          <rPr>
            <sz val="9"/>
            <color indexed="81"/>
            <rFont val="Tahoma"/>
            <family val="2"/>
          </rPr>
          <t xml:space="preserve">
- HS 3,00 từ 01/9/2016
- HS 3,33 từ 01/9/2019
- HS 3,66 từ 01/9/2022</t>
        </r>
      </text>
    </comment>
    <comment ref="F201" authorId="1" shapeId="0" xr:uid="{00000000-0006-0000-0500-0000F4000000}">
      <text>
        <r>
          <rPr>
            <b/>
            <sz val="9"/>
            <color indexed="81"/>
            <rFont val="Tahoma"/>
            <family val="2"/>
          </rPr>
          <t>Admin:</t>
        </r>
        <r>
          <rPr>
            <sz val="9"/>
            <color indexed="81"/>
            <rFont val="Tahoma"/>
            <family val="2"/>
          </rPr>
          <t xml:space="preserve">
- HS 3,00 từ 01/9/2016
- HS 3,33 từ 01/9/2019
- HS 3,66 từ 01/9/2022</t>
        </r>
      </text>
    </comment>
    <comment ref="F202" authorId="1" shapeId="0" xr:uid="{00000000-0006-0000-0500-0000F5000000}">
      <text>
        <r>
          <rPr>
            <b/>
            <sz val="9"/>
            <color indexed="81"/>
            <rFont val="Tahoma"/>
            <family val="2"/>
          </rPr>
          <t>Admin:</t>
        </r>
        <r>
          <rPr>
            <sz val="9"/>
            <color indexed="81"/>
            <rFont val="Tahoma"/>
            <family val="2"/>
          </rPr>
          <t xml:space="preserve">
- HS 3,00 từ 01/9/2017
- HS 3,33 từ 01/9/2020
- HS 3,66 từ 01/9/2023</t>
        </r>
      </text>
    </comment>
    <comment ref="I202" authorId="0" shapeId="0" xr:uid="{00000000-0006-0000-0500-0000F6000000}">
      <text>
        <r>
          <rPr>
            <b/>
            <sz val="9"/>
            <color indexed="81"/>
            <rFont val="Tahoma"/>
            <family val="2"/>
          </rPr>
          <t>User:</t>
        </r>
        <r>
          <rPr>
            <sz val="9"/>
            <color indexed="81"/>
            <rFont val="Tahoma"/>
            <family val="2"/>
          </rPr>
          <t xml:space="preserve">
BN Trưởng BM Cơ sở Cơ khí từ 01/09/2015</t>
        </r>
      </text>
    </comment>
    <comment ref="F203" authorId="1" shapeId="0" xr:uid="{00000000-0006-0000-0500-0000F7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03" authorId="0" shapeId="0" xr:uid="{00000000-0006-0000-0500-0000F8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4" authorId="1" shapeId="0" xr:uid="{00000000-0006-0000-0500-0000F9000000}">
      <text>
        <r>
          <rPr>
            <b/>
            <sz val="9"/>
            <color indexed="81"/>
            <rFont val="Tahoma"/>
            <family val="2"/>
          </rPr>
          <t>Admin:</t>
        </r>
        <r>
          <rPr>
            <sz val="9"/>
            <color indexed="81"/>
            <rFont val="Tahoma"/>
            <family val="2"/>
          </rPr>
          <t xml:space="preserve">
- HS 3,00 từ 01/10/2016
- HS 3,33 từ 01/10/2019
- HS 3,66 từ 01/10/2022</t>
        </r>
      </text>
    </comment>
    <comment ref="F205" authorId="1" shapeId="0" xr:uid="{00000000-0006-0000-0500-0000FA000000}">
      <text>
        <r>
          <rPr>
            <b/>
            <sz val="9"/>
            <color indexed="81"/>
            <rFont val="Tahoma"/>
            <family val="2"/>
          </rPr>
          <t>Admin:</t>
        </r>
        <r>
          <rPr>
            <sz val="9"/>
            <color indexed="81"/>
            <rFont val="Tahoma"/>
            <family val="2"/>
          </rPr>
          <t xml:space="preserve">
- HS 2,67 từ 01/10/2016
- HS 3,00 từ 01/10/2019
- HS 3,33 từ 01/10/2022</t>
        </r>
      </text>
    </comment>
    <comment ref="F206" authorId="0" shapeId="0" xr:uid="{00000000-0006-0000-0500-0000FB000000}">
      <text>
        <r>
          <rPr>
            <b/>
            <sz val="9"/>
            <color indexed="81"/>
            <rFont val="Tahoma"/>
            <family val="2"/>
          </rPr>
          <t>User:</t>
        </r>
        <r>
          <rPr>
            <sz val="9"/>
            <color indexed="81"/>
            <rFont val="Tahoma"/>
            <family val="2"/>
          </rPr>
          <t xml:space="preserve">
- HS 4,65 từ 01/9/2015
- HS 4,98 từ 01/9/2018</t>
        </r>
      </text>
    </comment>
    <comment ref="G206" authorId="2" shapeId="0" xr:uid="{00000000-0006-0000-0500-0000FC000000}">
      <text>
        <r>
          <rPr>
            <b/>
            <sz val="9"/>
            <color indexed="81"/>
            <rFont val="Tahoma"/>
            <family val="2"/>
          </rPr>
          <t>user:</t>
        </r>
        <r>
          <rPr>
            <sz val="9"/>
            <color indexed="81"/>
            <rFont val="Tahoma"/>
            <family val="2"/>
          </rPr>
          <t xml:space="preserve">
- VK 5% từ 01/9/2021
- VK 6% từ 01/9/2022
- VK 7% từ 01/9/2023
- VK 8% từ 01/9/2024</t>
        </r>
      </text>
    </comment>
    <comment ref="F207" authorId="0" shapeId="0" xr:uid="{00000000-0006-0000-0500-0000FD00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08" authorId="2" shapeId="0" xr:uid="{00000000-0006-0000-0500-0000FE000000}">
      <text>
        <r>
          <rPr>
            <b/>
            <sz val="9"/>
            <color indexed="81"/>
            <rFont val="Tahoma"/>
            <family val="2"/>
          </rPr>
          <t>user:</t>
        </r>
        <r>
          <rPr>
            <sz val="9"/>
            <color indexed="81"/>
            <rFont val="Tahoma"/>
            <family val="2"/>
          </rPr>
          <t xml:space="preserve">
- BN CDNN từ 01/4/2019 (HS 2.67)
- HS 3,00 từ 01/4/2022</t>
        </r>
      </text>
    </comment>
    <comment ref="F209" authorId="2" shapeId="0" xr:uid="{00000000-0006-0000-0500-0000FF000000}">
      <text>
        <r>
          <rPr>
            <b/>
            <sz val="9"/>
            <color indexed="81"/>
            <rFont val="Tahoma"/>
            <family val="2"/>
          </rPr>
          <t>user:</t>
        </r>
        <r>
          <rPr>
            <sz val="9"/>
            <color indexed="81"/>
            <rFont val="Tahoma"/>
            <family val="2"/>
          </rPr>
          <t xml:space="preserve">
- HS 2,67 từ 01/10/2019
- HS 3,00 từ 01/10/2022</t>
        </r>
      </text>
    </comment>
    <comment ref="G210" authorId="1" shapeId="0" xr:uid="{00000000-0006-0000-0500-000000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1" authorId="4" shapeId="0" xr:uid="{00000000-0006-0000-0500-000001010000}">
      <text>
        <r>
          <rPr>
            <b/>
            <sz val="9"/>
            <color indexed="81"/>
            <rFont val="Tahoma"/>
            <family val="2"/>
          </rPr>
          <t>Quynh:</t>
        </r>
        <r>
          <rPr>
            <sz val="9"/>
            <color indexed="81"/>
            <rFont val="Tahoma"/>
            <family val="2"/>
          </rPr>
          <t xml:space="preserve">
- Tuyển dụng từ 01/4/2019
- HS 2,34 từ 01/04/2020
- HS 2,67 từ 01/4/2022</t>
        </r>
      </text>
    </comment>
    <comment ref="F212" authorId="2" shapeId="0" xr:uid="{00000000-0006-0000-0500-000002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3" authorId="2" shapeId="0" xr:uid="{00000000-0006-0000-0500-000003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4" authorId="3" shapeId="0" xr:uid="{00000000-0006-0000-0500-000004010000}">
      <text>
        <r>
          <rPr>
            <b/>
            <sz val="9"/>
            <color indexed="81"/>
            <rFont val="Tahoma"/>
            <family val="2"/>
          </rPr>
          <t>Windows User:</t>
        </r>
        <r>
          <rPr>
            <sz val="9"/>
            <color indexed="81"/>
            <rFont val="Tahoma"/>
            <family val="2"/>
          </rPr>
          <t xml:space="preserve">
- Tuyển dụng từ T10/2022
- HS 2,67 từ 01/10/2022</t>
        </r>
      </text>
    </comment>
    <comment ref="F215" authorId="1" shapeId="0" xr:uid="{00000000-0006-0000-0500-000005010000}">
      <text>
        <r>
          <rPr>
            <b/>
            <sz val="9"/>
            <color indexed="81"/>
            <rFont val="Tahoma"/>
            <family val="2"/>
          </rPr>
          <t>Admin:</t>
        </r>
        <r>
          <rPr>
            <sz val="9"/>
            <color indexed="81"/>
            <rFont val="Tahoma"/>
            <family val="2"/>
          </rPr>
          <t xml:space="preserve">
- HS 4.65 từ 01/01/2016
- HS 4,98 từ 01/01/2019</t>
        </r>
      </text>
    </comment>
    <comment ref="G215" authorId="2" shapeId="0" xr:uid="{00000000-0006-0000-0500-000006010000}">
      <text>
        <r>
          <rPr>
            <b/>
            <sz val="9"/>
            <color indexed="81"/>
            <rFont val="Tahoma"/>
            <family val="2"/>
          </rPr>
          <t>user:</t>
        </r>
        <r>
          <rPr>
            <sz val="9"/>
            <color indexed="81"/>
            <rFont val="Tahoma"/>
            <family val="2"/>
          </rPr>
          <t xml:space="preserve">
- VK 5% từ 01/01/2022
- VK 6% từ 01/01/2023
- VK 7% từ 01/01/2023</t>
        </r>
      </text>
    </comment>
    <comment ref="I215" authorId="4" shapeId="0" xr:uid="{00000000-0006-0000-0500-000007010000}">
      <text>
        <r>
          <rPr>
            <b/>
            <sz val="9"/>
            <color indexed="81"/>
            <rFont val="Tahoma"/>
            <family val="2"/>
          </rPr>
          <t>Quynh:</t>
        </r>
        <r>
          <rPr>
            <sz val="9"/>
            <color indexed="81"/>
            <rFont val="Tahoma"/>
            <family val="2"/>
          </rPr>
          <t xml:space="preserve">
- BN Phó Trưởng phòng từ 01/01/2019</t>
        </r>
      </text>
    </comment>
    <comment ref="F216" authorId="0" shapeId="0" xr:uid="{00000000-0006-0000-0500-000008010000}">
      <text>
        <r>
          <rPr>
            <b/>
            <sz val="9"/>
            <color indexed="81"/>
            <rFont val="Tahoma"/>
            <family val="2"/>
          </rPr>
          <t>User:</t>
        </r>
        <r>
          <rPr>
            <sz val="9"/>
            <color indexed="81"/>
            <rFont val="Tahoma"/>
            <family val="2"/>
          </rPr>
          <t xml:space="preserve">
- HS 3,66 từ 01/9/2014
- HS 3,99 từ 01/9/2017
- HS 4,32 từ 01/9/2019
- HS 4,65 từ 01/9/2022</t>
        </r>
      </text>
    </comment>
    <comment ref="I216" authorId="6" shapeId="0" xr:uid="{00000000-0006-0000-0500-000009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17" authorId="0" shapeId="0" xr:uid="{00000000-0006-0000-0500-00000A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17" authorId="5" shapeId="0" xr:uid="{00000000-0006-0000-0500-00000B010000}">
      <text>
        <r>
          <rPr>
            <b/>
            <sz val="8"/>
            <color indexed="81"/>
            <rFont val="Tahoma"/>
            <family val="2"/>
          </rPr>
          <t>HS 0,35 từ 05/7/2015</t>
        </r>
        <r>
          <rPr>
            <sz val="8"/>
            <color indexed="81"/>
            <rFont val="Tahoma"/>
            <family val="2"/>
          </rPr>
          <t xml:space="preserve">
</t>
        </r>
      </text>
    </comment>
    <comment ref="F218" authorId="1" shapeId="0" xr:uid="{00000000-0006-0000-0500-00000C010000}">
      <text>
        <r>
          <rPr>
            <b/>
            <sz val="9"/>
            <color indexed="81"/>
            <rFont val="Tahoma"/>
            <family val="2"/>
          </rPr>
          <t>Admin:</t>
        </r>
        <r>
          <rPr>
            <sz val="9"/>
            <color indexed="81"/>
            <rFont val="Tahoma"/>
            <family val="2"/>
          </rPr>
          <t xml:space="preserve">
- 4,65 từ 01/9/2016
- 4,98 từ 01/9/2019</t>
        </r>
      </text>
    </comment>
    <comment ref="G218" authorId="7" shapeId="0" xr:uid="{00000000-0006-0000-0500-00000D010000}">
      <text>
        <r>
          <rPr>
            <b/>
            <sz val="9"/>
            <color indexed="81"/>
            <rFont val="Tahoma"/>
            <family val="2"/>
          </rPr>
          <t>huynh-panda:</t>
        </r>
        <r>
          <rPr>
            <sz val="9"/>
            <color indexed="81"/>
            <rFont val="Tahoma"/>
            <family val="2"/>
          </rPr>
          <t xml:space="preserve">
- VK 5% từ 01/9/2022
- VK 6% từ 01/9/2023
- VK 7% từ 01/9/2024</t>
        </r>
      </text>
    </comment>
    <comment ref="F219" authorId="1" shapeId="0" xr:uid="{00000000-0006-0000-0500-00000E010000}">
      <text>
        <r>
          <rPr>
            <b/>
            <sz val="9"/>
            <color indexed="81"/>
            <rFont val="Tahoma"/>
            <family val="2"/>
          </rPr>
          <t>Admin:</t>
        </r>
        <r>
          <rPr>
            <sz val="9"/>
            <color indexed="81"/>
            <rFont val="Tahoma"/>
            <family val="2"/>
          </rPr>
          <t xml:space="preserve">
- HS 4,65 từ 01/10/2016 (NL Trước hạn 2017)
- HS 4,98 từ 01/10/2019</t>
        </r>
      </text>
    </comment>
    <comment ref="G219" authorId="3" shapeId="0" xr:uid="{00000000-0006-0000-0500-00000F010000}">
      <text>
        <r>
          <rPr>
            <b/>
            <sz val="9"/>
            <color indexed="81"/>
            <rFont val="Tahoma"/>
            <family val="2"/>
          </rPr>
          <t>Windows User:</t>
        </r>
        <r>
          <rPr>
            <sz val="9"/>
            <color indexed="81"/>
            <rFont val="Tahoma"/>
            <family val="2"/>
          </rPr>
          <t xml:space="preserve">
- VK 5% từ 01/10/2022
- VK 6% từ 01/10/2023
- VK 7% từ 01/10/2024</t>
        </r>
      </text>
    </comment>
    <comment ref="F220" authorId="1" shapeId="0" xr:uid="{00000000-0006-0000-0500-000010010000}">
      <text>
        <r>
          <rPr>
            <b/>
            <sz val="9"/>
            <color indexed="81"/>
            <rFont val="Tahoma"/>
            <family val="2"/>
          </rPr>
          <t>Admin:</t>
        </r>
        <r>
          <rPr>
            <sz val="9"/>
            <color indexed="81"/>
            <rFont val="Tahoma"/>
            <family val="2"/>
          </rPr>
          <t xml:space="preserve">
- HS 3,99 từ 01/9/2015
- HS 4,32 từ 01/9/2018
- HS 4,65 từ 01/9/2021
- HS 4,98 từ 01/9/2024</t>
        </r>
      </text>
    </comment>
    <comment ref="I220" authorId="0" shapeId="0" xr:uid="{00000000-0006-0000-0500-000011010000}">
      <text>
        <r>
          <rPr>
            <b/>
            <sz val="9"/>
            <color indexed="81"/>
            <rFont val="Tahoma"/>
            <family val="2"/>
          </rPr>
          <t>User:</t>
        </r>
        <r>
          <rPr>
            <sz val="9"/>
            <color indexed="81"/>
            <rFont val="Tahoma"/>
            <family val="2"/>
          </rPr>
          <t xml:space="preserve">
Mieễn nhiệm Trưởng BM từ 01/9/2015. Bảo lưu HHS hết T02/2016</t>
        </r>
      </text>
    </comment>
    <comment ref="F221" authorId="1" shapeId="0" xr:uid="{00000000-0006-0000-0500-000012010000}">
      <text>
        <r>
          <rPr>
            <b/>
            <sz val="9"/>
            <color indexed="81"/>
            <rFont val="Tahoma"/>
            <family val="2"/>
          </rPr>
          <t>Admin:</t>
        </r>
        <r>
          <rPr>
            <sz val="9"/>
            <color indexed="81"/>
            <rFont val="Tahoma"/>
            <family val="2"/>
          </rPr>
          <t xml:space="preserve">
- HS 3,66 từ 01/9/2016
- HS 3,99 từ 01/9/2019
- HS 4,32 từ 01/9/2022</t>
        </r>
      </text>
    </comment>
    <comment ref="F222" authorId="0" shapeId="0" xr:uid="{00000000-0006-0000-0500-000013010000}">
      <text>
        <r>
          <rPr>
            <b/>
            <sz val="9"/>
            <color indexed="81"/>
            <rFont val="Tahoma"/>
            <family val="2"/>
          </rPr>
          <t>User:</t>
        </r>
        <r>
          <rPr>
            <sz val="9"/>
            <color indexed="81"/>
            <rFont val="Tahoma"/>
            <family val="2"/>
          </rPr>
          <t xml:space="preserve">
- HS 3,66 từ 01/9/2015
- HS 3,99 từ 01/9/2018
- HS 4,32 từ 01/9/2021
- HS 4,65 từ 01/9/2024</t>
        </r>
      </text>
    </comment>
    <comment ref="F223" authorId="1" shapeId="0" xr:uid="{00000000-0006-0000-0500-00001401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23" authorId="2" shapeId="0" xr:uid="{00000000-0006-0000-0500-000015010000}">
      <text>
        <r>
          <rPr>
            <b/>
            <sz val="9"/>
            <color indexed="81"/>
            <rFont val="Tahoma"/>
            <family val="2"/>
          </rPr>
          <t>user:</t>
        </r>
        <r>
          <rPr>
            <sz val="9"/>
            <color indexed="81"/>
            <rFont val="Tahoma"/>
            <family val="2"/>
          </rPr>
          <t xml:space="preserve">
Trưởng BM Cơ điện tử và tự động hóa từ 01/01/2019</t>
        </r>
      </text>
    </comment>
    <comment ref="F224" authorId="1" shapeId="0" xr:uid="{00000000-0006-0000-0500-000016010000}">
      <text>
        <r>
          <rPr>
            <b/>
            <sz val="9"/>
            <color indexed="81"/>
            <rFont val="Tahoma"/>
            <family val="2"/>
          </rPr>
          <t>Admin:</t>
        </r>
        <r>
          <rPr>
            <sz val="9"/>
            <color indexed="81"/>
            <rFont val="Tahoma"/>
            <family val="2"/>
          </rPr>
          <t xml:space="preserve">
- HS 3,66 từ 01/9/2016
- HS 3,99 từ 01/9/2019
- HS 4,32 từ 01/9/2022</t>
        </r>
      </text>
    </comment>
    <comment ref="F225" authorId="1" shapeId="0" xr:uid="{00000000-0006-0000-0500-000017010000}">
      <text>
        <r>
          <rPr>
            <b/>
            <sz val="9"/>
            <color indexed="81"/>
            <rFont val="Tahoma"/>
            <family val="2"/>
          </rPr>
          <t>Admin:</t>
        </r>
        <r>
          <rPr>
            <sz val="9"/>
            <color indexed="81"/>
            <rFont val="Tahoma"/>
            <family val="2"/>
          </rPr>
          <t xml:space="preserve">
- HS 3,99 từ 01/9/2016
- HS 4,32 từ 01/9/2019
- HS 4,65 từ 01/9/2022</t>
        </r>
      </text>
    </comment>
    <comment ref="I225" authorId="0" shapeId="0" xr:uid="{00000000-0006-0000-0500-000018010000}">
      <text>
        <r>
          <rPr>
            <b/>
            <sz val="9"/>
            <color indexed="81"/>
            <rFont val="Tahoma"/>
            <family val="2"/>
          </rPr>
          <t>User:</t>
        </r>
        <r>
          <rPr>
            <sz val="9"/>
            <color indexed="81"/>
            <rFont val="Tahoma"/>
            <family val="2"/>
          </rPr>
          <t xml:space="preserve">
Miễn nhiệm Trưởng BM. Bảo lưu HS hết T02/2015</t>
        </r>
      </text>
    </comment>
    <comment ref="F226" authorId="1" shapeId="0" xr:uid="{00000000-0006-0000-0500-000019010000}">
      <text>
        <r>
          <rPr>
            <b/>
            <sz val="9"/>
            <color indexed="81"/>
            <rFont val="Tahoma"/>
            <family val="2"/>
          </rPr>
          <t>Admin:</t>
        </r>
        <r>
          <rPr>
            <sz val="9"/>
            <color indexed="81"/>
            <rFont val="Tahoma"/>
            <family val="2"/>
          </rPr>
          <t xml:space="preserve">
- HS 3,00 từ 01/9/2016
- HS 3,33 từ 01/9/2019
- HS 3,66 từ 01/9/2022</t>
        </r>
      </text>
    </comment>
    <comment ref="F227" authorId="0" shapeId="0" xr:uid="{00000000-0006-0000-0500-00001A010000}">
      <text>
        <r>
          <rPr>
            <b/>
            <sz val="9"/>
            <color indexed="81"/>
            <rFont val="Tahoma"/>
            <family val="2"/>
          </rPr>
          <t>User:</t>
        </r>
        <r>
          <rPr>
            <sz val="9"/>
            <color indexed="81"/>
            <rFont val="Tahoma"/>
            <family val="2"/>
          </rPr>
          <t xml:space="preserve">
- HS 3,33 từ 01/9/2015
- HS 3,66 từ 01/9/2018
- HS 3,99 từ 01/9/2021
- HS 4,32 từ 01/9/2024</t>
        </r>
      </text>
    </comment>
    <comment ref="F228" authorId="1" shapeId="0" xr:uid="{00000000-0006-0000-0500-00001B010000}">
      <text>
        <r>
          <rPr>
            <b/>
            <sz val="9"/>
            <color indexed="81"/>
            <rFont val="Tahoma"/>
            <family val="2"/>
          </rPr>
          <t>Admin:</t>
        </r>
        <r>
          <rPr>
            <sz val="9"/>
            <color indexed="81"/>
            <rFont val="Tahoma"/>
            <family val="2"/>
          </rPr>
          <t xml:space="preserve">
- HS 3,00 từ 01/9/2017
- HS 3,33 từ 01/9/2020
- HS 3,66 từ 01/9/2023</t>
        </r>
      </text>
    </comment>
    <comment ref="F229" authorId="1" shapeId="0" xr:uid="{00000000-0006-0000-0500-00001C010000}">
      <text>
        <r>
          <rPr>
            <b/>
            <sz val="9"/>
            <color indexed="81"/>
            <rFont val="Tahoma"/>
            <family val="2"/>
          </rPr>
          <t>Admin:</t>
        </r>
        <r>
          <rPr>
            <sz val="9"/>
            <color indexed="81"/>
            <rFont val="Tahoma"/>
            <family val="2"/>
          </rPr>
          <t xml:space="preserve">
- HS 3,00 từ 01/9/2017
- HS 3,33 từ 01/9/2019
- HS 3,66 từ 01/9/2022</t>
        </r>
      </text>
    </comment>
    <comment ref="F230" authorId="0" shapeId="0" xr:uid="{00000000-0006-0000-0500-00001D010000}">
      <text>
        <r>
          <rPr>
            <b/>
            <sz val="9"/>
            <color indexed="81"/>
            <rFont val="Tahoma"/>
            <family val="2"/>
          </rPr>
          <t>User:</t>
        </r>
        <r>
          <rPr>
            <sz val="9"/>
            <color indexed="81"/>
            <rFont val="Tahoma"/>
            <family val="2"/>
          </rPr>
          <t xml:space="preserve">
- HS 4,65 từ 01/5/2014
- HS 4,98 từ 01/5/2017</t>
        </r>
      </text>
    </comment>
    <comment ref="G230" authorId="2" shapeId="0" xr:uid="{00000000-0006-0000-0500-00001E010000}">
      <text>
        <r>
          <rPr>
            <b/>
            <sz val="9"/>
            <color indexed="81"/>
            <rFont val="Tahoma"/>
            <family val="2"/>
          </rPr>
          <t>user:</t>
        </r>
        <r>
          <rPr>
            <sz val="9"/>
            <color indexed="81"/>
            <rFont val="Tahoma"/>
            <family val="2"/>
          </rPr>
          <t xml:space="preserve">
- 5% từ 01/5/2020
- 6% từ 01/5/2021
- 7% từ 01/5/2022
- 8% từ 01/5/2023
- 9% từ 01/5/2024</t>
        </r>
      </text>
    </comment>
    <comment ref="I230" authorId="2" shapeId="0" xr:uid="{00000000-0006-0000-0500-00001F010000}">
      <text>
        <r>
          <rPr>
            <b/>
            <sz val="9"/>
            <color indexed="81"/>
            <rFont val="Tahoma"/>
            <family val="2"/>
          </rPr>
          <t>user:</t>
        </r>
        <r>
          <rPr>
            <sz val="9"/>
            <color indexed="81"/>
            <rFont val="Tahoma"/>
            <family val="2"/>
          </rPr>
          <t xml:space="preserve">
+ QĐ Bổ nhiệm Phó TK Điện - Điện tử từ 10/6/2019
</t>
        </r>
      </text>
    </comment>
    <comment ref="G231" authorId="1" shapeId="0" xr:uid="{00000000-0006-0000-0500-000020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2" authorId="0" shapeId="0" xr:uid="{00000000-0006-0000-0500-000021010000}">
      <text>
        <r>
          <rPr>
            <b/>
            <sz val="9"/>
            <color indexed="81"/>
            <rFont val="Tahoma"/>
            <family val="2"/>
          </rPr>
          <t>User:</t>
        </r>
        <r>
          <rPr>
            <sz val="9"/>
            <color indexed="81"/>
            <rFont val="Tahoma"/>
            <family val="2"/>
          </rPr>
          <t xml:space="preserve">
- HS 4,65 từ 01/5/2014
- HS 4,98 từ 01/5/2017</t>
        </r>
      </text>
    </comment>
    <comment ref="G232" authorId="2" shapeId="0" xr:uid="{00000000-0006-0000-0500-000022010000}">
      <text>
        <r>
          <rPr>
            <b/>
            <sz val="9"/>
            <color indexed="81"/>
            <rFont val="Tahoma"/>
            <family val="2"/>
          </rPr>
          <t>user:</t>
        </r>
        <r>
          <rPr>
            <sz val="9"/>
            <color indexed="81"/>
            <rFont val="Tahoma"/>
            <family val="2"/>
          </rPr>
          <t xml:space="preserve">
- 5% từ 01/5/2020
- 6% từ 01/5/2021
- 7% từ 01/5/2022
- 8% từ 01/5/2023
- 9% từ 01/9/2024</t>
        </r>
      </text>
    </comment>
    <comment ref="I232" authorId="0" shapeId="0" xr:uid="{00000000-0006-0000-0500-000023010000}">
      <text>
        <r>
          <rPr>
            <b/>
            <sz val="9"/>
            <color indexed="81"/>
            <rFont val="Tahoma"/>
            <family val="2"/>
          </rPr>
          <t>User:</t>
        </r>
        <r>
          <rPr>
            <sz val="9"/>
            <color indexed="81"/>
            <rFont val="Tahoma"/>
            <family val="2"/>
          </rPr>
          <t xml:space="preserve">
Miễn nhiện Phó Trưởng BM từ 01/9/15. Bảo lưu HS hết T2/2015</t>
        </r>
      </text>
    </comment>
    <comment ref="F233" authorId="0" shapeId="0" xr:uid="{00000000-0006-0000-0500-000024010000}">
      <text>
        <r>
          <rPr>
            <b/>
            <sz val="9"/>
            <color indexed="81"/>
            <rFont val="Tahoma"/>
            <family val="2"/>
          </rPr>
          <t>User:</t>
        </r>
        <r>
          <rPr>
            <sz val="9"/>
            <color indexed="81"/>
            <rFont val="Tahoma"/>
            <family val="2"/>
          </rPr>
          <t xml:space="preserve">
- HS 3,66 từ 01/9/2015
- HS 3,99 từ 01/9/2018
- HS 4,32 từ 01/9/2021
- HS 4,65 từ 01/9/2024</t>
        </r>
      </text>
    </comment>
    <comment ref="F234" authorId="0" shapeId="0" xr:uid="{00000000-0006-0000-0500-000025010000}">
      <text>
        <r>
          <rPr>
            <b/>
            <sz val="9"/>
            <color indexed="81"/>
            <rFont val="Tahoma"/>
            <family val="2"/>
          </rPr>
          <t>User:</t>
        </r>
        <r>
          <rPr>
            <sz val="9"/>
            <color indexed="81"/>
            <rFont val="Tahoma"/>
            <family val="2"/>
          </rPr>
          <t xml:space="preserve">
- HS 3,66 từ 01/9/2015
- HS 3,99 từ 01/9/2018
- HS 4,32 từ 01/9/2021
- HS 4,65 từ 01/9/2024</t>
        </r>
      </text>
    </comment>
    <comment ref="I234" authorId="0" shapeId="0" xr:uid="{00000000-0006-0000-0500-000026010000}">
      <text>
        <r>
          <rPr>
            <b/>
            <sz val="9"/>
            <color indexed="81"/>
            <rFont val="Tahoma"/>
            <family val="2"/>
          </rPr>
          <t>User:</t>
        </r>
        <r>
          <rPr>
            <sz val="9"/>
            <color indexed="81"/>
            <rFont val="Tahoma"/>
            <family val="2"/>
          </rPr>
          <t xml:space="preserve">
Miễn nhiệm Phó Trưởng BM từ 01/9/2015. Bảo lưu HS hết T02/2015</t>
        </r>
      </text>
    </comment>
    <comment ref="F235" authorId="0" shapeId="0" xr:uid="{00000000-0006-0000-0500-000027010000}">
      <text>
        <r>
          <rPr>
            <b/>
            <sz val="9"/>
            <color indexed="81"/>
            <rFont val="Tahoma"/>
            <family val="2"/>
          </rPr>
          <t>User:</t>
        </r>
        <r>
          <rPr>
            <sz val="9"/>
            <color indexed="81"/>
            <rFont val="Tahoma"/>
            <family val="2"/>
          </rPr>
          <t xml:space="preserve">
- HS 3,66 từ 01/9/2014
- HS 3,99 từ 01/9/2017
- HS 4,32 từ 01/9/2020
- HS 4,65 từ 01/9/2023</t>
        </r>
      </text>
    </comment>
    <comment ref="F236" authorId="0" shapeId="0" xr:uid="{00000000-0006-0000-0500-000028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37" authorId="0" shapeId="0" xr:uid="{00000000-0006-0000-0500-000029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8" authorId="0" shapeId="0" xr:uid="{00000000-0006-0000-0500-00002A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9" authorId="1" shapeId="0" xr:uid="{00000000-0006-0000-0500-00002B010000}">
      <text>
        <r>
          <rPr>
            <b/>
            <sz val="9"/>
            <color indexed="81"/>
            <rFont val="Tahoma"/>
            <family val="2"/>
          </rPr>
          <t>Admin:</t>
        </r>
        <r>
          <rPr>
            <sz val="9"/>
            <color indexed="81"/>
            <rFont val="Tahoma"/>
            <family val="2"/>
          </rPr>
          <t xml:space="preserve">
- HS 3,33 từ 01/12/2015
- HS 3,66 từ 01/12/2016
- HS 3,99 từ 01/12/2021</t>
        </r>
      </text>
    </comment>
    <comment ref="F240" authorId="2" shapeId="0" xr:uid="{00000000-0006-0000-0500-00002C010000}">
      <text>
        <r>
          <rPr>
            <b/>
            <sz val="9"/>
            <color indexed="81"/>
            <rFont val="Tahoma"/>
            <family val="2"/>
          </rPr>
          <t>user:</t>
        </r>
        <r>
          <rPr>
            <sz val="9"/>
            <color indexed="81"/>
            <rFont val="Tahoma"/>
            <family val="2"/>
          </rPr>
          <t xml:space="preserve">
- BN CDNN từ 01/4/2019
- HS 3,00 từ 01/04/2021 (NL trước hạn)
- HS 3,33 từ 01/04/2024</t>
        </r>
      </text>
    </comment>
    <comment ref="F241" authorId="2" shapeId="0" xr:uid="{00000000-0006-0000-0500-00002D010000}">
      <text>
        <r>
          <rPr>
            <b/>
            <sz val="9"/>
            <color indexed="81"/>
            <rFont val="Tahoma"/>
            <family val="2"/>
          </rPr>
          <t>user:</t>
        </r>
        <r>
          <rPr>
            <sz val="9"/>
            <color indexed="81"/>
            <rFont val="Tahoma"/>
            <family val="2"/>
          </rPr>
          <t xml:space="preserve">
- BN CDNN 2.34 từ 1/4/2019
- HS 2,67 từ 01/4/2022</t>
        </r>
      </text>
    </comment>
    <comment ref="I241" authorId="3" shapeId="0" xr:uid="{00000000-0006-0000-0500-00002E010000}">
      <text>
        <r>
          <rPr>
            <b/>
            <sz val="9"/>
            <color indexed="81"/>
            <rFont val="Tahoma"/>
            <family val="2"/>
          </rPr>
          <t>Windows User:</t>
        </r>
        <r>
          <rPr>
            <sz val="9"/>
            <color indexed="81"/>
            <rFont val="Tahoma"/>
            <family val="2"/>
          </rPr>
          <t xml:space="preserve">
- Trưởng BM Điện Công nghiệp từ 01/10/2022</t>
        </r>
      </text>
    </comment>
    <comment ref="F242" authorId="2" shapeId="0" xr:uid="{00000000-0006-0000-0500-00002F010000}">
      <text>
        <r>
          <rPr>
            <b/>
            <sz val="9"/>
            <color indexed="81"/>
            <rFont val="Tahoma"/>
            <family val="2"/>
          </rPr>
          <t>user:</t>
        </r>
        <r>
          <rPr>
            <sz val="9"/>
            <color indexed="81"/>
            <rFont val="Tahoma"/>
            <family val="2"/>
          </rPr>
          <t xml:space="preserve">
- HS 2,34 từ 01/01/2020
- HS 2,67 từ 01/01/2022 (NL trước hạn)</t>
        </r>
      </text>
    </comment>
    <comment ref="I242" authorId="7" shapeId="0" xr:uid="{00000000-0006-0000-0500-000030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3" authorId="2" shapeId="0" xr:uid="{00000000-0006-0000-0500-000031010000}">
      <text>
        <r>
          <rPr>
            <b/>
            <sz val="9"/>
            <color indexed="81"/>
            <rFont val="Tahoma"/>
            <family val="2"/>
          </rPr>
          <t>user:</t>
        </r>
        <r>
          <rPr>
            <sz val="9"/>
            <color indexed="81"/>
            <rFont val="Tahoma"/>
            <family val="2"/>
          </rPr>
          <t xml:space="preserve">
Thuyên chuyển về trường từ ngày 15/6/2021
- HS 3,99 từ 01/11/2022</t>
        </r>
      </text>
    </comment>
    <comment ref="F244" authorId="3" shapeId="0" xr:uid="{00000000-0006-0000-0500-000032010000}">
      <text>
        <r>
          <rPr>
            <b/>
            <sz val="9"/>
            <color indexed="81"/>
            <rFont val="Tahoma"/>
            <family val="2"/>
          </rPr>
          <t>Windows User:</t>
        </r>
        <r>
          <rPr>
            <sz val="9"/>
            <color indexed="81"/>
            <rFont val="Tahoma"/>
            <family val="2"/>
          </rPr>
          <t xml:space="preserve">
- HS 2,67 từ 01/10/2023 (BN CDNN)</t>
        </r>
      </text>
    </comment>
    <comment ref="F245" authorId="3" shapeId="0" xr:uid="{00000000-0006-0000-0500-000033010000}">
      <text>
        <r>
          <rPr>
            <b/>
            <sz val="9"/>
            <color indexed="81"/>
            <rFont val="Tahoma"/>
            <family val="2"/>
          </rPr>
          <t>Windows User:</t>
        </r>
        <r>
          <rPr>
            <sz val="9"/>
            <color indexed="81"/>
            <rFont val="Tahoma"/>
            <family val="2"/>
          </rPr>
          <t xml:space="preserve">
- HS 2,34 từ 01/10/2023 (BN CDNN)</t>
        </r>
      </text>
    </comment>
    <comment ref="F246" authorId="1" shapeId="0" xr:uid="{00000000-0006-0000-0500-000034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46" authorId="0" shapeId="0" xr:uid="{00000000-0006-0000-0500-000035010000}">
      <text>
        <r>
          <rPr>
            <b/>
            <sz val="9"/>
            <color indexed="81"/>
            <rFont val="Tahoma"/>
            <family val="2"/>
          </rPr>
          <t>User:</t>
        </r>
        <r>
          <rPr>
            <sz val="9"/>
            <color indexed="81"/>
            <rFont val="Tahoma"/>
            <family val="2"/>
          </rPr>
          <t xml:space="preserve">
- Trưởng khoa Động lực từ 01/8/2015</t>
        </r>
      </text>
    </comment>
    <comment ref="F247" authorId="1" shapeId="0" xr:uid="{00000000-0006-0000-0500-000036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48" authorId="1" shapeId="0" xr:uid="{00000000-0006-0000-0500-000037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49" authorId="1" shapeId="0" xr:uid="{00000000-0006-0000-0500-00003801000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49" authorId="1" shapeId="0" xr:uid="{00000000-0006-0000-0500-000039010000}">
      <text>
        <r>
          <rPr>
            <b/>
            <sz val="9"/>
            <color indexed="81"/>
            <rFont val="Tahoma"/>
            <family val="2"/>
          </rPr>
          <t>Admin:</t>
        </r>
        <r>
          <rPr>
            <sz val="9"/>
            <color indexed="81"/>
            <rFont val="Tahoma"/>
            <family val="2"/>
          </rPr>
          <t xml:space="preserve">
- Bảo lưu đến hết T5/2018</t>
        </r>
      </text>
    </comment>
    <comment ref="F250" authorId="1" shapeId="0" xr:uid="{00000000-0006-0000-0500-00003A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0" authorId="0" shapeId="0" xr:uid="{00000000-0006-0000-0500-00003B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1" authorId="0" shapeId="0" xr:uid="{00000000-0006-0000-0500-00003C010000}">
      <text>
        <r>
          <rPr>
            <b/>
            <sz val="9"/>
            <color indexed="81"/>
            <rFont val="Tahoma"/>
            <family val="2"/>
          </rPr>
          <t>User:</t>
        </r>
        <r>
          <rPr>
            <sz val="9"/>
            <color indexed="81"/>
            <rFont val="Tahoma"/>
            <family val="2"/>
          </rPr>
          <t xml:space="preserve">
- HS 3,00 từ 01/9/2015
- HS 3,33 từ 01/9/2018
- HS 3,66 từ 01/9/2021
- HS 3,99 từ 01/9/2024</t>
        </r>
      </text>
    </comment>
    <comment ref="F252" authorId="1" shapeId="0" xr:uid="{00000000-0006-0000-0500-00003D010000}">
      <text>
        <r>
          <rPr>
            <b/>
            <sz val="9"/>
            <color indexed="81"/>
            <rFont val="Tahoma"/>
            <family val="2"/>
          </rPr>
          <t>Admin:</t>
        </r>
        <r>
          <rPr>
            <sz val="9"/>
            <color indexed="81"/>
            <rFont val="Tahoma"/>
            <family val="2"/>
          </rPr>
          <t xml:space="preserve">
- HS 3,00 từ 01/9/2015
- HS 3,33 từ 01/9/2018
- HS 3,66 từ 01/9/2021
- HS 3,99 từ 01/9/2024</t>
        </r>
      </text>
    </comment>
    <comment ref="F253" authorId="0" shapeId="0" xr:uid="{00000000-0006-0000-0500-00003E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3" authorId="0" shapeId="0" xr:uid="{00000000-0006-0000-0500-00003F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4" authorId="1" shapeId="0" xr:uid="{00000000-0006-0000-0500-000040010000}">
      <text>
        <r>
          <rPr>
            <b/>
            <sz val="9"/>
            <color indexed="81"/>
            <rFont val="Tahoma"/>
            <family val="2"/>
          </rPr>
          <t>Admin:</t>
        </r>
        <r>
          <rPr>
            <sz val="9"/>
            <color indexed="81"/>
            <rFont val="Tahoma"/>
            <family val="2"/>
          </rPr>
          <t xml:space="preserve">
- HS 3,00 từ 01/9/2015
- HS 3,33 từ 01/9/2018
- HS 3,66 từ 01/9/2021
- HS 3,99 từ 01/9/2024
</t>
        </r>
      </text>
    </comment>
    <comment ref="F255" authorId="1" shapeId="0" xr:uid="{00000000-0006-0000-0500-000041010000}">
      <text>
        <r>
          <rPr>
            <b/>
            <sz val="9"/>
            <color indexed="81"/>
            <rFont val="Tahoma"/>
            <family val="2"/>
          </rPr>
          <t>Admin:</t>
        </r>
        <r>
          <rPr>
            <sz val="9"/>
            <color indexed="81"/>
            <rFont val="Tahoma"/>
            <family val="2"/>
          </rPr>
          <t xml:space="preserve">
- HS 3,00 từ 01/9/2017
- HS 3,33 từ 01/9/2019
- HS 3,66 từ 01/9/2022
</t>
        </r>
      </text>
    </comment>
    <comment ref="F256" authorId="8" shapeId="0" xr:uid="{00000000-0006-0000-0500-000042010000}">
      <text>
        <r>
          <rPr>
            <sz val="9"/>
            <color indexed="81"/>
            <rFont val="Tahoma"/>
            <family val="2"/>
          </rPr>
          <t>- HS 3,00 từ 01/3/2018
- HS 3,33 từ 01/3/2020 (NL trước hạn)
- HS 3,66 từ 01/03/2023</t>
        </r>
      </text>
    </comment>
    <comment ref="F257" authorId="1" shapeId="0" xr:uid="{00000000-0006-0000-0500-000043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58" authorId="1" shapeId="0" xr:uid="{00000000-0006-0000-0500-000044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59" authorId="1" shapeId="0" xr:uid="{00000000-0006-0000-0500-00004501000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59" authorId="4" shapeId="0" xr:uid="{00000000-0006-0000-0500-000046010000}">
      <text>
        <r>
          <rPr>
            <b/>
            <sz val="9"/>
            <color indexed="81"/>
            <rFont val="Tahoma"/>
            <family val="2"/>
          </rPr>
          <t>Quynh:</t>
        </r>
        <r>
          <rPr>
            <sz val="9"/>
            <color indexed="81"/>
            <rFont val="Tahoma"/>
            <family val="2"/>
          </rPr>
          <t xml:space="preserve">
- BN Trưởng BM Điện ô tô từ 01/01/2019 </t>
        </r>
      </text>
    </comment>
    <comment ref="F260" authorId="1" shapeId="0" xr:uid="{00000000-0006-0000-0500-00004701000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1" authorId="2" shapeId="0" xr:uid="{00000000-0006-0000-0500-000048010000}">
      <text>
        <r>
          <rPr>
            <b/>
            <sz val="9"/>
            <color indexed="81"/>
            <rFont val="Tahoma"/>
            <family val="2"/>
          </rPr>
          <t>user:</t>
        </r>
        <r>
          <rPr>
            <sz val="9"/>
            <color indexed="81"/>
            <rFont val="Tahoma"/>
            <family val="2"/>
          </rPr>
          <t xml:space="preserve">
- HS 2,34 từ 01/10/2019
- HS 2,67 từ 01/10/2021 (NL trước hạn)
- HS 3,00 từ 01/10/2024</t>
        </r>
      </text>
    </comment>
    <comment ref="F262" authorId="2" shapeId="0" xr:uid="{00000000-0006-0000-0500-000049010000}">
      <text>
        <r>
          <rPr>
            <b/>
            <sz val="9"/>
            <color indexed="81"/>
            <rFont val="Tahoma"/>
            <family val="2"/>
          </rPr>
          <t>user:</t>
        </r>
        <r>
          <rPr>
            <sz val="9"/>
            <color indexed="81"/>
            <rFont val="Tahoma"/>
            <family val="2"/>
          </rPr>
          <t xml:space="preserve">
- HS 2,34 từ 01/10/2019
- HS 2,67 từ 01/10/2022</t>
        </r>
      </text>
    </comment>
    <comment ref="F263" authorId="2" shapeId="0" xr:uid="{00000000-0006-0000-0500-00004A010000}">
      <text>
        <r>
          <rPr>
            <b/>
            <sz val="9"/>
            <color indexed="81"/>
            <rFont val="Tahoma"/>
            <family val="2"/>
          </rPr>
          <t>user:</t>
        </r>
        <r>
          <rPr>
            <sz val="9"/>
            <color indexed="81"/>
            <rFont val="Tahoma"/>
            <family val="2"/>
          </rPr>
          <t xml:space="preserve">
- HS 2,67 từ 01/01/2020
- HS 3,00 từ 01/01/2022 (NL trước hạn)</t>
        </r>
      </text>
    </comment>
    <comment ref="F264" authorId="2" shapeId="0" xr:uid="{00000000-0006-0000-0500-00004B010000}">
      <text>
        <r>
          <rPr>
            <b/>
            <sz val="9"/>
            <color indexed="81"/>
            <rFont val="Tahoma"/>
            <family val="2"/>
          </rPr>
          <t>user:</t>
        </r>
        <r>
          <rPr>
            <sz val="9"/>
            <color indexed="81"/>
            <rFont val="Tahoma"/>
            <family val="2"/>
          </rPr>
          <t xml:space="preserve">
- HS 3,00 từ 01/11/2019
- HS 3,33 từ 01/12/2020
- HS 3,66 từ 01/12/2022</t>
        </r>
      </text>
    </comment>
    <comment ref="F265" authorId="2" shapeId="0" xr:uid="{00000000-0006-0000-0500-00004C010000}">
      <text>
        <r>
          <rPr>
            <b/>
            <sz val="9"/>
            <color indexed="81"/>
            <rFont val="Tahoma"/>
            <family val="2"/>
          </rPr>
          <t>user:</t>
        </r>
        <r>
          <rPr>
            <sz val="9"/>
            <color indexed="81"/>
            <rFont val="Tahoma"/>
            <family val="2"/>
          </rPr>
          <t xml:space="preserve">
Tuyển dụng từ 01/5/20
- HS 2,34 từ 01/5/2021
- HS 2,67 từ 01/5/2024</t>
        </r>
      </text>
    </comment>
    <comment ref="F266" authorId="2" shapeId="0" xr:uid="{00000000-0006-0000-0500-00004D010000}">
      <text>
        <r>
          <rPr>
            <b/>
            <sz val="9"/>
            <color indexed="81"/>
            <rFont val="Tahoma"/>
            <family val="2"/>
          </rPr>
          <t>user:</t>
        </r>
        <r>
          <rPr>
            <sz val="9"/>
            <color indexed="81"/>
            <rFont val="Tahoma"/>
            <family val="2"/>
          </rPr>
          <t xml:space="preserve">
- QĐ Tuyển dụng từ 01/3/2021 (HS 2,34- 85%)
- HS 2,34 từ 01/3/2022 (BNN)</t>
        </r>
      </text>
    </comment>
    <comment ref="F267" authorId="2" shapeId="0" xr:uid="{00000000-0006-0000-0500-00004E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68" authorId="3" shapeId="0" xr:uid="{00000000-0006-0000-0500-00004F010000}">
      <text>
        <r>
          <rPr>
            <b/>
            <sz val="9"/>
            <color indexed="81"/>
            <rFont val="Tahoma"/>
            <family val="2"/>
          </rPr>
          <t>Windows User:</t>
        </r>
        <r>
          <rPr>
            <sz val="9"/>
            <color indexed="81"/>
            <rFont val="Tahoma"/>
            <family val="2"/>
          </rPr>
          <t xml:space="preserve">
- HS 3,00 từ 01/10/2022
- HS 3,33 từ 01/01/2023</t>
        </r>
      </text>
    </comment>
    <comment ref="F270" authorId="6" shapeId="0" xr:uid="{00000000-0006-0000-0500-000050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0" authorId="0" shapeId="0" xr:uid="{00000000-0006-0000-0500-000051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1" authorId="1" shapeId="0" xr:uid="{00000000-0006-0000-0500-000052010000}">
      <text>
        <r>
          <rPr>
            <b/>
            <sz val="9"/>
            <color indexed="81"/>
            <rFont val="Tahoma"/>
            <family val="2"/>
          </rPr>
          <t>Admin:</t>
        </r>
        <r>
          <rPr>
            <sz val="9"/>
            <color indexed="81"/>
            <rFont val="Tahoma"/>
            <family val="2"/>
          </rPr>
          <t xml:space="preserve">
- HS 3,99 từ 01/9/2017
- HS 4,32 từ 01/9/2020
- HS 4,65 từ 01/9/2022</t>
        </r>
      </text>
    </comment>
    <comment ref="F272" authorId="1" shapeId="0" xr:uid="{00000000-0006-0000-0500-000053010000}">
      <text>
        <r>
          <rPr>
            <b/>
            <sz val="9"/>
            <color indexed="81"/>
            <rFont val="Tahoma"/>
            <family val="2"/>
          </rPr>
          <t>Admin:</t>
        </r>
        <r>
          <rPr>
            <sz val="9"/>
            <color indexed="81"/>
            <rFont val="Tahoma"/>
            <family val="2"/>
          </rPr>
          <t xml:space="preserve">
- HS 3,99 từ 01/9/2017
- HS 4,32 từ 01/9/2020
- HS 4,65 từ 01/9/2023</t>
        </r>
      </text>
    </comment>
    <comment ref="F273" authorId="1" shapeId="0" xr:uid="{00000000-0006-0000-0500-000054010000}">
      <text>
        <r>
          <rPr>
            <b/>
            <sz val="9"/>
            <color indexed="81"/>
            <rFont val="Tahoma"/>
            <family val="2"/>
          </rPr>
          <t>Admin:</t>
        </r>
        <r>
          <rPr>
            <sz val="9"/>
            <color indexed="81"/>
            <rFont val="Tahoma"/>
            <family val="2"/>
          </rPr>
          <t xml:space="preserve">
- HS 3,00 từ 01/9/2016
- HS 3,33 từ 01/9/2019
- HS 3,66 từ 01/9/2022</t>
        </r>
      </text>
    </comment>
    <comment ref="F274" authorId="1" shapeId="0" xr:uid="{00000000-0006-0000-0500-000055010000}">
      <text>
        <r>
          <rPr>
            <b/>
            <sz val="9"/>
            <color indexed="81"/>
            <rFont val="Tahoma"/>
            <family val="2"/>
          </rPr>
          <t>Admin:</t>
        </r>
        <r>
          <rPr>
            <sz val="9"/>
            <color indexed="81"/>
            <rFont val="Tahoma"/>
            <family val="2"/>
          </rPr>
          <t xml:space="preserve">
- HS 3,00 từ 01/9/2017
- HS 3,33 từ 01/9/2020
- HS 3,66 từ 01/9/2023</t>
        </r>
      </text>
    </comment>
    <comment ref="F275" authorId="1" shapeId="0" xr:uid="{00000000-0006-0000-0500-000056010000}">
      <text>
        <r>
          <rPr>
            <b/>
            <sz val="9"/>
            <color indexed="81"/>
            <rFont val="Tahoma"/>
            <family val="2"/>
          </rPr>
          <t>Admin:</t>
        </r>
        <r>
          <rPr>
            <sz val="9"/>
            <color indexed="81"/>
            <rFont val="Tahoma"/>
            <family val="2"/>
          </rPr>
          <t xml:space="preserve">
- HS 3,66 từ 01/9/2016
- HS 3,99 từ 01/9/2019
- HS 4,32 từ 01/9/2022</t>
        </r>
      </text>
    </comment>
    <comment ref="F276" authorId="2" shapeId="0" xr:uid="{00000000-0006-0000-0500-000057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77" authorId="0" shapeId="0" xr:uid="{00000000-0006-0000-0500-000058010000}">
      <text>
        <r>
          <rPr>
            <b/>
            <sz val="9"/>
            <color indexed="81"/>
            <rFont val="Tahoma"/>
            <family val="2"/>
          </rPr>
          <t>User:</t>
        </r>
        <r>
          <rPr>
            <sz val="9"/>
            <color indexed="81"/>
            <rFont val="Tahoma"/>
            <family val="2"/>
          </rPr>
          <t xml:space="preserve">
- HS 4,32 từ 01/10/2015
- HS 4,65 từ 01/10/2018
- HS 4,98 từ 01/10/2021</t>
        </r>
      </text>
    </comment>
    <comment ref="G277" authorId="3" shapeId="0" xr:uid="{00000000-0006-0000-0500-000059010000}">
      <text>
        <r>
          <rPr>
            <b/>
            <sz val="9"/>
            <color indexed="81"/>
            <rFont val="Tahoma"/>
            <family val="2"/>
          </rPr>
          <t>Windows User:</t>
        </r>
        <r>
          <rPr>
            <sz val="9"/>
            <color indexed="81"/>
            <rFont val="Tahoma"/>
            <family val="2"/>
          </rPr>
          <t xml:space="preserve">
- VK 5% từ 01/10/2024</t>
        </r>
      </text>
    </comment>
    <comment ref="F278" authorId="8" shapeId="0" xr:uid="{00000000-0006-0000-0500-00005A010000}">
      <text>
        <r>
          <rPr>
            <sz val="9"/>
            <color indexed="81"/>
            <rFont val="Tahoma"/>
            <family val="2"/>
          </rPr>
          <t>- HS 2,67 hưởng từ 01/9 làm bảng truy lãnh từ tháng 9-11/2017
- HS 3,00 từ 01/9/2019
- HS 3,33 từ 01/9/2022</t>
        </r>
      </text>
    </comment>
    <comment ref="I278" authorId="1" shapeId="0" xr:uid="{00000000-0006-0000-0500-00005B010000}">
      <text>
        <r>
          <rPr>
            <b/>
            <sz val="9"/>
            <color indexed="81"/>
            <rFont val="Tahoma"/>
            <family val="2"/>
          </rPr>
          <t>Admin:</t>
        </r>
        <r>
          <rPr>
            <sz val="9"/>
            <color indexed="81"/>
            <rFont val="Tahoma"/>
            <family val="2"/>
          </rPr>
          <t xml:space="preserve">
- BN Phó TK từ 01/8/2018</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18" authorId="0" shapeId="0" xr:uid="{00000000-0006-0000-06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K18" authorId="0" shapeId="0" xr:uid="{00000000-0006-0000-0600-000002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O18" authorId="0" shapeId="0" xr:uid="{00000000-0006-0000-0600-000003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9" authorId="1" shapeId="0" xr:uid="{00000000-0006-0000-0600-000004000000}">
      <text>
        <r>
          <rPr>
            <b/>
            <sz val="9"/>
            <color indexed="81"/>
            <rFont val="Tahoma"/>
            <family val="2"/>
          </rPr>
          <t>Admin:</t>
        </r>
        <r>
          <rPr>
            <sz val="9"/>
            <color indexed="81"/>
            <rFont val="Tahoma"/>
            <family val="2"/>
          </rPr>
          <t xml:space="preserve">
- HS 4,65 từ 01/12/2015
- HS 4,98 từ 01/12/2018</t>
        </r>
      </text>
    </comment>
    <comment ref="G19" authorId="2" shapeId="0" xr:uid="{00000000-0006-0000-0600-000005000000}">
      <text>
        <r>
          <rPr>
            <b/>
            <sz val="9"/>
            <color indexed="81"/>
            <rFont val="Tahoma"/>
            <family val="2"/>
          </rPr>
          <t>user:</t>
        </r>
        <r>
          <rPr>
            <sz val="9"/>
            <color indexed="81"/>
            <rFont val="Tahoma"/>
            <family val="2"/>
          </rPr>
          <t xml:space="preserve">
- VK 5% từ 01/12/2021
- VK 6% từ 01/12/2022
- VK 7% từ 01/12/2023</t>
        </r>
      </text>
    </comment>
    <comment ref="J19" authorId="1" shapeId="0" xr:uid="{00000000-0006-0000-0600-000006000000}">
      <text>
        <r>
          <rPr>
            <b/>
            <sz val="9"/>
            <color indexed="81"/>
            <rFont val="Tahoma"/>
            <family val="2"/>
          </rPr>
          <t>Admin:</t>
        </r>
        <r>
          <rPr>
            <sz val="9"/>
            <color indexed="81"/>
            <rFont val="Tahoma"/>
            <family val="2"/>
          </rPr>
          <t xml:space="preserve">
- HS 4,65 từ 01/12/2015
- HS 4,98 từ 01/12/2018</t>
        </r>
      </text>
    </comment>
    <comment ref="K19" authorId="2" shapeId="0" xr:uid="{00000000-0006-0000-0600-000007000000}">
      <text>
        <r>
          <rPr>
            <b/>
            <sz val="9"/>
            <color indexed="81"/>
            <rFont val="Tahoma"/>
            <family val="2"/>
          </rPr>
          <t>user:</t>
        </r>
        <r>
          <rPr>
            <sz val="9"/>
            <color indexed="81"/>
            <rFont val="Tahoma"/>
            <family val="2"/>
          </rPr>
          <t xml:space="preserve">
- VK 5% từ 01/12/2021
- VK 6% từ 01/12/2022
- VK 7% từ 01/12/2023</t>
        </r>
      </text>
    </comment>
    <comment ref="N19" authorId="1" shapeId="0" xr:uid="{00000000-0006-0000-0600-000008000000}">
      <text>
        <r>
          <rPr>
            <b/>
            <sz val="9"/>
            <color indexed="81"/>
            <rFont val="Tahoma"/>
            <family val="2"/>
          </rPr>
          <t>Admin:</t>
        </r>
        <r>
          <rPr>
            <sz val="9"/>
            <color indexed="81"/>
            <rFont val="Tahoma"/>
            <family val="2"/>
          </rPr>
          <t xml:space="preserve">
- HS 4,65 từ 01/12/2015
- HS 4,98 từ 01/12/2018</t>
        </r>
      </text>
    </comment>
    <comment ref="O19" authorId="2" shapeId="0" xr:uid="{00000000-0006-0000-0600-000009000000}">
      <text>
        <r>
          <rPr>
            <b/>
            <sz val="9"/>
            <color indexed="81"/>
            <rFont val="Tahoma"/>
            <family val="2"/>
          </rPr>
          <t>user:</t>
        </r>
        <r>
          <rPr>
            <sz val="9"/>
            <color indexed="81"/>
            <rFont val="Tahoma"/>
            <family val="2"/>
          </rPr>
          <t xml:space="preserve">
- VK 5% từ 01/12/2021
- VK 6% từ 01/12/2022
- VK 7% từ 01/12/2023</t>
        </r>
      </text>
    </comment>
    <comment ref="F20" authorId="0" shapeId="0" xr:uid="{00000000-0006-0000-0600-00000A000000}">
      <text>
        <r>
          <rPr>
            <b/>
            <sz val="9"/>
            <color indexed="81"/>
            <rFont val="Tahoma"/>
            <family val="2"/>
          </rPr>
          <t>User:</t>
        </r>
        <r>
          <rPr>
            <sz val="9"/>
            <color indexed="81"/>
            <rFont val="Tahoma"/>
            <family val="2"/>
          </rPr>
          <t xml:space="preserve">
- 4,65 từ 01/10/2015
- HS 4,98 từ 01/10/17 (NL trước hạn)</t>
        </r>
      </text>
    </comment>
    <comment ref="G20" authorId="2" shapeId="0" xr:uid="{00000000-0006-0000-0600-00000B000000}">
      <text>
        <r>
          <rPr>
            <b/>
            <sz val="9"/>
            <color indexed="81"/>
            <rFont val="Tahoma"/>
            <family val="2"/>
          </rPr>
          <t>user:</t>
        </r>
        <r>
          <rPr>
            <sz val="9"/>
            <color indexed="81"/>
            <rFont val="Tahoma"/>
            <family val="2"/>
          </rPr>
          <t xml:space="preserve">
- VK 5% từ 01/10/2020
- VK 6% từ 01/10/2021
- VK 7% từ 01/10/2022
- VK 8% từ 01/10/2023</t>
        </r>
      </text>
    </comment>
    <comment ref="I20" authorId="1" shapeId="0" xr:uid="{00000000-0006-0000-0600-00000C000000}">
      <text>
        <r>
          <rPr>
            <b/>
            <sz val="9"/>
            <color indexed="81"/>
            <rFont val="Tahoma"/>
            <family val="2"/>
          </rPr>
          <t>Admin:</t>
        </r>
        <r>
          <rPr>
            <sz val="9"/>
            <color indexed="81"/>
            <rFont val="Tahoma"/>
            <family val="2"/>
          </rPr>
          <t xml:space="preserve">
- HS 0,7 từ 01/11/2016</t>
        </r>
      </text>
    </comment>
    <comment ref="J20" authorId="0" shapeId="0" xr:uid="{00000000-0006-0000-0600-00000D000000}">
      <text>
        <r>
          <rPr>
            <b/>
            <sz val="9"/>
            <color indexed="81"/>
            <rFont val="Tahoma"/>
            <family val="2"/>
          </rPr>
          <t>User:</t>
        </r>
        <r>
          <rPr>
            <sz val="9"/>
            <color indexed="81"/>
            <rFont val="Tahoma"/>
            <family val="2"/>
          </rPr>
          <t xml:space="preserve">
- 4,65 từ 01/10/2015
- HS 4,98 từ 01/10/17 (NL trước hạn)</t>
        </r>
      </text>
    </comment>
    <comment ref="K20" authorId="2" shapeId="0" xr:uid="{00000000-0006-0000-0600-00000E000000}">
      <text>
        <r>
          <rPr>
            <b/>
            <sz val="9"/>
            <color indexed="81"/>
            <rFont val="Tahoma"/>
            <family val="2"/>
          </rPr>
          <t>user:</t>
        </r>
        <r>
          <rPr>
            <sz val="9"/>
            <color indexed="81"/>
            <rFont val="Tahoma"/>
            <family val="2"/>
          </rPr>
          <t xml:space="preserve">
- VK 5% từ 01/10/2020
- VK 6% từ 01/10/2021
- VK 7% từ 01/10/2022
- VK 8% từ 01/10/2023</t>
        </r>
      </text>
    </comment>
    <comment ref="M20" authorId="1" shapeId="0" xr:uid="{00000000-0006-0000-0600-00000F000000}">
      <text>
        <r>
          <rPr>
            <b/>
            <sz val="9"/>
            <color indexed="81"/>
            <rFont val="Tahoma"/>
            <family val="2"/>
          </rPr>
          <t>Admin:</t>
        </r>
        <r>
          <rPr>
            <sz val="9"/>
            <color indexed="81"/>
            <rFont val="Tahoma"/>
            <family val="2"/>
          </rPr>
          <t xml:space="preserve">
- HS 0,7 từ 01/11/2016</t>
        </r>
      </text>
    </comment>
    <comment ref="N20" authorId="0" shapeId="0" xr:uid="{00000000-0006-0000-0600-000010000000}">
      <text>
        <r>
          <rPr>
            <b/>
            <sz val="9"/>
            <color indexed="81"/>
            <rFont val="Tahoma"/>
            <family val="2"/>
          </rPr>
          <t>User:</t>
        </r>
        <r>
          <rPr>
            <sz val="9"/>
            <color indexed="81"/>
            <rFont val="Tahoma"/>
            <family val="2"/>
          </rPr>
          <t xml:space="preserve">
- 4,65 từ 01/10/2015
- HS 4,98 từ 01/10/17 (NL trước hạn)</t>
        </r>
      </text>
    </comment>
    <comment ref="O20" authorId="2" shapeId="0" xr:uid="{00000000-0006-0000-0600-000011000000}">
      <text>
        <r>
          <rPr>
            <b/>
            <sz val="9"/>
            <color indexed="81"/>
            <rFont val="Tahoma"/>
            <family val="2"/>
          </rPr>
          <t>user:</t>
        </r>
        <r>
          <rPr>
            <sz val="9"/>
            <color indexed="81"/>
            <rFont val="Tahoma"/>
            <family val="2"/>
          </rPr>
          <t xml:space="preserve">
- VK 5% từ 01/10/2020
- VK 6% từ 01/10/2021
- VK 7% từ 01/10/2022
- VK 8% từ 01/10/2023</t>
        </r>
      </text>
    </comment>
    <comment ref="Q20" authorId="1" shapeId="0" xr:uid="{00000000-0006-0000-0600-000012000000}">
      <text>
        <r>
          <rPr>
            <b/>
            <sz val="9"/>
            <color indexed="81"/>
            <rFont val="Tahoma"/>
            <family val="2"/>
          </rPr>
          <t>Admin:</t>
        </r>
        <r>
          <rPr>
            <sz val="9"/>
            <color indexed="81"/>
            <rFont val="Tahoma"/>
            <family val="2"/>
          </rPr>
          <t xml:space="preserve">
- HS 0,7 từ 01/11/2016</t>
        </r>
      </text>
    </comment>
    <comment ref="F21" authorId="2" shapeId="0" xr:uid="{00000000-0006-0000-0600-000013000000}">
      <text>
        <r>
          <rPr>
            <b/>
            <sz val="9"/>
            <color indexed="81"/>
            <rFont val="Tahoma"/>
            <family val="2"/>
          </rPr>
          <t>user:</t>
        </r>
        <r>
          <rPr>
            <sz val="9"/>
            <color indexed="81"/>
            <rFont val="Tahoma"/>
            <family val="2"/>
          </rPr>
          <t xml:space="preserve">
- HS 4.32 từ 01/4/2019
- HS 4,65 từ 01/4/2021 (NL trước hạn)
</t>
        </r>
      </text>
    </comment>
    <comment ref="I21" authorId="2" shapeId="0" xr:uid="{00000000-0006-0000-0600-000014000000}">
      <text>
        <r>
          <rPr>
            <b/>
            <sz val="9"/>
            <color indexed="81"/>
            <rFont val="Tahoma"/>
            <family val="2"/>
          </rPr>
          <t>user:</t>
        </r>
        <r>
          <rPr>
            <sz val="9"/>
            <color indexed="81"/>
            <rFont val="Tahoma"/>
            <family val="2"/>
          </rPr>
          <t xml:space="preserve">
- HS 0.7 từ 15/4/2019</t>
        </r>
      </text>
    </comment>
    <comment ref="J21" authorId="2" shapeId="0" xr:uid="{00000000-0006-0000-0600-000015000000}">
      <text>
        <r>
          <rPr>
            <b/>
            <sz val="9"/>
            <color indexed="81"/>
            <rFont val="Tahoma"/>
            <family val="2"/>
          </rPr>
          <t>user:</t>
        </r>
        <r>
          <rPr>
            <sz val="9"/>
            <color indexed="81"/>
            <rFont val="Tahoma"/>
            <family val="2"/>
          </rPr>
          <t xml:space="preserve">
- HS 4.32 từ 01/4/2019
- HS 4,65 từ 01/4/2021 (NL trước hạn)
</t>
        </r>
      </text>
    </comment>
    <comment ref="M21" authorId="2" shapeId="0" xr:uid="{00000000-0006-0000-0600-000016000000}">
      <text>
        <r>
          <rPr>
            <b/>
            <sz val="9"/>
            <color indexed="81"/>
            <rFont val="Tahoma"/>
            <family val="2"/>
          </rPr>
          <t>user:</t>
        </r>
        <r>
          <rPr>
            <sz val="9"/>
            <color indexed="81"/>
            <rFont val="Tahoma"/>
            <family val="2"/>
          </rPr>
          <t xml:space="preserve">
- HS 0.7 từ 15/4/2019</t>
        </r>
      </text>
    </comment>
    <comment ref="N21" authorId="2" shapeId="0" xr:uid="{00000000-0006-0000-0600-000017000000}">
      <text>
        <r>
          <rPr>
            <b/>
            <sz val="9"/>
            <color indexed="81"/>
            <rFont val="Tahoma"/>
            <family val="2"/>
          </rPr>
          <t>user:</t>
        </r>
        <r>
          <rPr>
            <sz val="9"/>
            <color indexed="81"/>
            <rFont val="Tahoma"/>
            <family val="2"/>
          </rPr>
          <t xml:space="preserve">
- HS 4.32 từ 01/4/2019
- HS 4,65 từ 01/4/2021 (NL trước hạn)
- HS 4,98 từ 01/4/2024</t>
        </r>
      </text>
    </comment>
    <comment ref="Q21" authorId="2" shapeId="0" xr:uid="{00000000-0006-0000-0600-000018000000}">
      <text>
        <r>
          <rPr>
            <b/>
            <sz val="9"/>
            <color indexed="81"/>
            <rFont val="Tahoma"/>
            <family val="2"/>
          </rPr>
          <t>user:</t>
        </r>
        <r>
          <rPr>
            <sz val="9"/>
            <color indexed="81"/>
            <rFont val="Tahoma"/>
            <family val="2"/>
          </rPr>
          <t xml:space="preserve">
- HS 0.7 từ 15/4/2019</t>
        </r>
      </text>
    </comment>
    <comment ref="F22" authorId="0" shapeId="0" xr:uid="{00000000-0006-0000-0600-000019000000}">
      <text>
        <r>
          <rPr>
            <b/>
            <sz val="9"/>
            <color indexed="81"/>
            <rFont val="Tahoma"/>
            <family val="2"/>
          </rPr>
          <t>User:</t>
        </r>
        <r>
          <rPr>
            <sz val="9"/>
            <color indexed="81"/>
            <rFont val="Tahoma"/>
            <family val="2"/>
          </rPr>
          <t xml:space="preserve">
HS 4,32 từ 01/9/2015
- HS 4,65 từ 01/9/17 (NL trước hạn 2017)
- HS 4,98 từ 01/9/2020</t>
        </r>
      </text>
    </comment>
    <comment ref="G22" authorId="3" shapeId="0" xr:uid="{00000000-0006-0000-0600-00001A000000}">
      <text>
        <r>
          <rPr>
            <b/>
            <sz val="9"/>
            <color indexed="81"/>
            <rFont val="Tahoma"/>
            <family val="2"/>
          </rPr>
          <t>Windows User:</t>
        </r>
        <r>
          <rPr>
            <sz val="9"/>
            <color indexed="81"/>
            <rFont val="Tahoma"/>
            <family val="2"/>
          </rPr>
          <t xml:space="preserve">
- VK 5% từ 01/9/2023</t>
        </r>
      </text>
    </comment>
    <comment ref="J22" authorId="0" shapeId="0" xr:uid="{00000000-0006-0000-0600-00001B000000}">
      <text>
        <r>
          <rPr>
            <b/>
            <sz val="9"/>
            <color indexed="81"/>
            <rFont val="Tahoma"/>
            <family val="2"/>
          </rPr>
          <t>User:</t>
        </r>
        <r>
          <rPr>
            <sz val="9"/>
            <color indexed="81"/>
            <rFont val="Tahoma"/>
            <family val="2"/>
          </rPr>
          <t xml:space="preserve">
HS 4,32 từ 01/9/2015
- HS 4,65 từ 01/9/17 (NL trước hạn 2017)
- HS 4,98 từ 01/9/2020</t>
        </r>
      </text>
    </comment>
    <comment ref="K22" authorId="3" shapeId="0" xr:uid="{00000000-0006-0000-0600-00001C000000}">
      <text>
        <r>
          <rPr>
            <b/>
            <sz val="9"/>
            <color indexed="81"/>
            <rFont val="Tahoma"/>
            <family val="2"/>
          </rPr>
          <t>Windows User:</t>
        </r>
        <r>
          <rPr>
            <sz val="9"/>
            <color indexed="81"/>
            <rFont val="Tahoma"/>
            <family val="2"/>
          </rPr>
          <t xml:space="preserve">
- VK 5% từ 01/9/2023</t>
        </r>
      </text>
    </comment>
    <comment ref="N22" authorId="0" shapeId="0" xr:uid="{00000000-0006-0000-0600-00001D000000}">
      <text>
        <r>
          <rPr>
            <b/>
            <sz val="9"/>
            <color indexed="81"/>
            <rFont val="Tahoma"/>
            <family val="2"/>
          </rPr>
          <t>User:</t>
        </r>
        <r>
          <rPr>
            <sz val="9"/>
            <color indexed="81"/>
            <rFont val="Tahoma"/>
            <family val="2"/>
          </rPr>
          <t xml:space="preserve">
HS 4,32 từ 01/9/2015
- HS 4,65 từ 01/9/17 (NL trước hạn 2017)
- HS 4,98 từ 01/9/2020</t>
        </r>
      </text>
    </comment>
    <comment ref="O22" authorId="3" shapeId="0" xr:uid="{00000000-0006-0000-0600-00001E000000}">
      <text>
        <r>
          <rPr>
            <b/>
            <sz val="9"/>
            <color indexed="81"/>
            <rFont val="Tahoma"/>
            <family val="2"/>
          </rPr>
          <t>Windows User:</t>
        </r>
        <r>
          <rPr>
            <sz val="9"/>
            <color indexed="81"/>
            <rFont val="Tahoma"/>
            <family val="2"/>
          </rPr>
          <t xml:space="preserve">
- VK 5% từ 01/9/2023
- VK 6% từ 01/9/2024</t>
        </r>
      </text>
    </comment>
    <comment ref="F23" authorId="4" shapeId="0" xr:uid="{00000000-0006-0000-0600-00001F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3" authorId="2" shapeId="0" xr:uid="{00000000-0006-0000-0600-000020000000}">
      <text>
        <r>
          <rPr>
            <b/>
            <sz val="9"/>
            <color indexed="81"/>
            <rFont val="Tahoma"/>
            <family val="2"/>
          </rPr>
          <t>user:</t>
        </r>
        <r>
          <rPr>
            <sz val="9"/>
            <color indexed="81"/>
            <rFont val="Tahoma"/>
            <family val="2"/>
          </rPr>
          <t xml:space="preserve">
- PP TC-HC-TH từ 01/9/2020</t>
        </r>
      </text>
    </comment>
    <comment ref="J23" authorId="4" shapeId="0" xr:uid="{00000000-0006-0000-0600-000021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M23" authorId="2" shapeId="0" xr:uid="{00000000-0006-0000-0600-000022000000}">
      <text>
        <r>
          <rPr>
            <b/>
            <sz val="9"/>
            <color indexed="81"/>
            <rFont val="Tahoma"/>
            <family val="2"/>
          </rPr>
          <t>user:</t>
        </r>
        <r>
          <rPr>
            <sz val="9"/>
            <color indexed="81"/>
            <rFont val="Tahoma"/>
            <family val="2"/>
          </rPr>
          <t xml:space="preserve">
- PP TC-HC-TH từ 01/9/2020</t>
        </r>
      </text>
    </comment>
    <comment ref="N23" authorId="4" shapeId="0" xr:uid="{00000000-0006-0000-0600-000023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Q23" authorId="2" shapeId="0" xr:uid="{00000000-0006-0000-0600-000024000000}">
      <text>
        <r>
          <rPr>
            <b/>
            <sz val="9"/>
            <color indexed="81"/>
            <rFont val="Tahoma"/>
            <family val="2"/>
          </rPr>
          <t>user:</t>
        </r>
        <r>
          <rPr>
            <sz val="9"/>
            <color indexed="81"/>
            <rFont val="Tahoma"/>
            <family val="2"/>
          </rPr>
          <t xml:space="preserve">
- PP TC-HC-TH từ 01/9/2020</t>
        </r>
      </text>
    </comment>
    <comment ref="F24" authorId="0" shapeId="0" xr:uid="{00000000-0006-0000-0600-000025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4" authorId="2" shapeId="0" xr:uid="{00000000-0006-0000-0600-000026000000}">
      <text>
        <r>
          <rPr>
            <b/>
            <sz val="9"/>
            <color indexed="81"/>
            <rFont val="Tahoma"/>
            <family val="2"/>
          </rPr>
          <t>user:</t>
        </r>
        <r>
          <rPr>
            <sz val="9"/>
            <color indexed="81"/>
            <rFont val="Tahoma"/>
            <family val="2"/>
          </rPr>
          <t xml:space="preserve">
BN Phó TP từ 01/03/2021</t>
        </r>
      </text>
    </comment>
    <comment ref="J24" authorId="0" shapeId="0" xr:uid="{00000000-0006-0000-0600-000027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M24" authorId="2" shapeId="0" xr:uid="{00000000-0006-0000-0600-000028000000}">
      <text>
        <r>
          <rPr>
            <b/>
            <sz val="9"/>
            <color indexed="81"/>
            <rFont val="Tahoma"/>
            <family val="2"/>
          </rPr>
          <t>user:</t>
        </r>
        <r>
          <rPr>
            <sz val="9"/>
            <color indexed="81"/>
            <rFont val="Tahoma"/>
            <family val="2"/>
          </rPr>
          <t xml:space="preserve">
BN Phó TP từ 01/03/2021</t>
        </r>
      </text>
    </comment>
    <comment ref="N24" authorId="0" shapeId="0" xr:uid="{00000000-0006-0000-0600-000029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Q24" authorId="2" shapeId="0" xr:uid="{00000000-0006-0000-0600-00002A000000}">
      <text>
        <r>
          <rPr>
            <b/>
            <sz val="9"/>
            <color indexed="81"/>
            <rFont val="Tahoma"/>
            <family val="2"/>
          </rPr>
          <t>user:</t>
        </r>
        <r>
          <rPr>
            <sz val="9"/>
            <color indexed="81"/>
            <rFont val="Tahoma"/>
            <family val="2"/>
          </rPr>
          <t xml:space="preserve">
BN Phó TP từ 01/03/2021</t>
        </r>
      </text>
    </comment>
    <comment ref="F25" authorId="5" shapeId="0" xr:uid="{00000000-0006-0000-0600-00002B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J25" authorId="5" shapeId="0" xr:uid="{00000000-0006-0000-0600-00002C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N25" authorId="5" shapeId="0" xr:uid="{00000000-0006-0000-0600-00002D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6" authorId="0" shapeId="0" xr:uid="{00000000-0006-0000-0600-00002E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J26" authorId="0" shapeId="0" xr:uid="{00000000-0006-0000-0600-00002F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N26" authorId="0" shapeId="0" xr:uid="{00000000-0006-0000-0600-00003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7" authorId="1" shapeId="0" xr:uid="{00000000-0006-0000-0600-00003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J27" authorId="1" shapeId="0" xr:uid="{00000000-0006-0000-0600-000032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N27" authorId="1" shapeId="0" xr:uid="{00000000-0006-0000-0600-000033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8" authorId="1" shapeId="0" xr:uid="{00000000-0006-0000-0600-000034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J28" authorId="1" shapeId="0" xr:uid="{00000000-0006-0000-0600-000035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N28" authorId="1" shapeId="0" xr:uid="{00000000-0006-0000-0600-000036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9" authorId="5" shapeId="0" xr:uid="{00000000-0006-0000-0600-000037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J29" authorId="5" shapeId="0" xr:uid="{00000000-0006-0000-0600-000038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N29" authorId="5" shapeId="0" xr:uid="{00000000-0006-0000-0600-000039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0" authorId="5" shapeId="0" xr:uid="{00000000-0006-0000-0600-00003A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J30" authorId="5" shapeId="0" xr:uid="{00000000-0006-0000-0600-00003B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N30" authorId="5" shapeId="0" xr:uid="{00000000-0006-0000-0600-00003C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1" authorId="1" shapeId="0" xr:uid="{00000000-0006-0000-0600-00003D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J31" authorId="1" shapeId="0" xr:uid="{00000000-0006-0000-0600-00003E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N31" authorId="1" shapeId="0" xr:uid="{00000000-0006-0000-0600-00003F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2" authorId="1" shapeId="0" xr:uid="{00000000-0006-0000-0600-000040000000}">
      <text>
        <r>
          <rPr>
            <sz val="9"/>
            <color indexed="81"/>
            <rFont val="Tahoma"/>
            <family val="2"/>
          </rPr>
          <t>Hợp đồng thử việc từ 10/11/2017 hưởng 85% lương
Tháng 12 hưởng 100% lương
- BNCDNN từ 01/4/2019 (2.10)
- HS 2,41 từ 01/4/2022
- HS 2,61 từ 01/4/2023 (NL trước hạn)</t>
        </r>
      </text>
    </comment>
    <comment ref="J32" authorId="1" shapeId="0" xr:uid="{00000000-0006-0000-0600-000041000000}">
      <text>
        <r>
          <rPr>
            <sz val="9"/>
            <color indexed="81"/>
            <rFont val="Tahoma"/>
            <family val="2"/>
          </rPr>
          <t>Hợp đồng thử việc từ 10/11/2017 hưởng 85% lương
Tháng 12 hưởng 100% lương
- BNCDNN từ 01/4/2019 (2.10)
- HS 2,41 từ 01/4/2022
- HS 2,61 từ 01/4/2023 (NL trước hạn)</t>
        </r>
      </text>
    </comment>
    <comment ref="N32" authorId="1" shapeId="0" xr:uid="{00000000-0006-0000-0600-000042000000}">
      <text>
        <r>
          <rPr>
            <sz val="9"/>
            <color indexed="81"/>
            <rFont val="Tahoma"/>
            <family val="2"/>
          </rPr>
          <t>Hợp đồng thử việc từ 10/11/2017 hưởng 85% lương
Tháng 12 hưởng 100% lương
- BNCDNN từ 01/4/2019 (2.10)
- HS 2,41 từ 01/4/2022
- HS 2,61 từ 01/4/2023 (NL trước hạn)</t>
        </r>
      </text>
    </comment>
    <comment ref="F33" authorId="0" shapeId="0" xr:uid="{00000000-0006-0000-0600-000043000000}">
      <text>
        <r>
          <rPr>
            <b/>
            <sz val="9"/>
            <color indexed="81"/>
            <rFont val="Tahoma"/>
            <family val="2"/>
          </rPr>
          <t>User:</t>
        </r>
        <r>
          <rPr>
            <sz val="9"/>
            <color indexed="81"/>
            <rFont val="Tahoma"/>
            <family val="2"/>
          </rPr>
          <t xml:space="preserve">
- HS 4,32 từ 01/9/2015
- HS 4,65 từ 01/9/17 (NL trước hạn 2017)
- HS 4,98 từ 01/9/2020</t>
        </r>
      </text>
    </comment>
    <comment ref="G33" authorId="3" shapeId="0" xr:uid="{00000000-0006-0000-0600-000044000000}">
      <text>
        <r>
          <rPr>
            <b/>
            <sz val="9"/>
            <color indexed="81"/>
            <rFont val="Tahoma"/>
            <family val="2"/>
          </rPr>
          <t>Windows User:</t>
        </r>
        <r>
          <rPr>
            <sz val="9"/>
            <color indexed="81"/>
            <rFont val="Tahoma"/>
            <family val="2"/>
          </rPr>
          <t xml:space="preserve">
- VK 5% từ 01/9/2023</t>
        </r>
      </text>
    </comment>
    <comment ref="J33" authorId="0" shapeId="0" xr:uid="{00000000-0006-0000-0600-000045000000}">
      <text>
        <r>
          <rPr>
            <b/>
            <sz val="9"/>
            <color indexed="81"/>
            <rFont val="Tahoma"/>
            <family val="2"/>
          </rPr>
          <t>User:</t>
        </r>
        <r>
          <rPr>
            <sz val="9"/>
            <color indexed="81"/>
            <rFont val="Tahoma"/>
            <family val="2"/>
          </rPr>
          <t xml:space="preserve">
- HS 4,32 từ 01/9/2015
- HS 4,65 từ 01/9/17 (NL trước hạn 2017)
- HS 4,98 từ 01/9/2020</t>
        </r>
      </text>
    </comment>
    <comment ref="K33" authorId="3" shapeId="0" xr:uid="{00000000-0006-0000-0600-000046000000}">
      <text>
        <r>
          <rPr>
            <b/>
            <sz val="9"/>
            <color indexed="81"/>
            <rFont val="Tahoma"/>
            <family val="2"/>
          </rPr>
          <t>Windows User:</t>
        </r>
        <r>
          <rPr>
            <sz val="9"/>
            <color indexed="81"/>
            <rFont val="Tahoma"/>
            <family val="2"/>
          </rPr>
          <t xml:space="preserve">
- VK 5% từ 01/9/2023</t>
        </r>
      </text>
    </comment>
    <comment ref="N33" authorId="0" shapeId="0" xr:uid="{00000000-0006-0000-0600-000047000000}">
      <text>
        <r>
          <rPr>
            <b/>
            <sz val="9"/>
            <color indexed="81"/>
            <rFont val="Tahoma"/>
            <family val="2"/>
          </rPr>
          <t>User:</t>
        </r>
        <r>
          <rPr>
            <sz val="9"/>
            <color indexed="81"/>
            <rFont val="Tahoma"/>
            <family val="2"/>
          </rPr>
          <t xml:space="preserve">
- HS 4,32 từ 01/9/2015
- HS 4,65 từ 01/9/17 (NL trước hạn 2017)
- HS 4,98 từ 01/9/2020</t>
        </r>
      </text>
    </comment>
    <comment ref="O33" authorId="3" shapeId="0" xr:uid="{00000000-0006-0000-0600-000048000000}">
      <text>
        <r>
          <rPr>
            <b/>
            <sz val="9"/>
            <color indexed="81"/>
            <rFont val="Tahoma"/>
            <family val="2"/>
          </rPr>
          <t>Windows User:</t>
        </r>
        <r>
          <rPr>
            <sz val="9"/>
            <color indexed="81"/>
            <rFont val="Tahoma"/>
            <family val="2"/>
          </rPr>
          <t xml:space="preserve">
- VK 5% từ 01/9/2023
- VK 6% từ 01/9/2024</t>
        </r>
      </text>
    </comment>
    <comment ref="F34" authorId="1" shapeId="0" xr:uid="{00000000-0006-0000-0600-000049000000}">
      <text>
        <r>
          <rPr>
            <b/>
            <sz val="9"/>
            <color indexed="81"/>
            <rFont val="Tahoma"/>
            <family val="2"/>
          </rPr>
          <t>Admin:</t>
        </r>
        <r>
          <rPr>
            <sz val="9"/>
            <color indexed="81"/>
            <rFont val="Tahoma"/>
            <family val="2"/>
          </rPr>
          <t xml:space="preserve">
- HS 4,65 từ 01/12/2015
- HS 4,98 từ 01/12/2018</t>
        </r>
      </text>
    </comment>
    <comment ref="G34" authorId="2" shapeId="0" xr:uid="{00000000-0006-0000-0600-00004A000000}">
      <text>
        <r>
          <rPr>
            <b/>
            <sz val="9"/>
            <color indexed="81"/>
            <rFont val="Tahoma"/>
            <family val="2"/>
          </rPr>
          <t>user:</t>
        </r>
        <r>
          <rPr>
            <sz val="9"/>
            <color indexed="81"/>
            <rFont val="Tahoma"/>
            <family val="2"/>
          </rPr>
          <t xml:space="preserve">
- VK 5% từ 01/12/2021
- VK 6% từ 01/12/2022
- VK 7% từ 01/12/2023</t>
        </r>
      </text>
    </comment>
    <comment ref="I34" authorId="6" shapeId="0" xr:uid="{00000000-0006-0000-0600-00004B000000}">
      <text>
        <r>
          <rPr>
            <b/>
            <sz val="8"/>
            <color indexed="81"/>
            <rFont val="Tahoma"/>
            <family val="2"/>
          </rPr>
          <t>admin:</t>
        </r>
        <r>
          <rPr>
            <sz val="8"/>
            <color indexed="81"/>
            <rFont val="Tahoma"/>
            <family val="2"/>
          </rPr>
          <t xml:space="preserve">
+ QĐ Bổ nhiệm Phó Trưởng phòng QT CSVC từ 01/06/2014</t>
        </r>
      </text>
    </comment>
    <comment ref="J34" authorId="1" shapeId="0" xr:uid="{00000000-0006-0000-0600-00004C000000}">
      <text>
        <r>
          <rPr>
            <b/>
            <sz val="9"/>
            <color indexed="81"/>
            <rFont val="Tahoma"/>
            <family val="2"/>
          </rPr>
          <t>Admin:</t>
        </r>
        <r>
          <rPr>
            <sz val="9"/>
            <color indexed="81"/>
            <rFont val="Tahoma"/>
            <family val="2"/>
          </rPr>
          <t xml:space="preserve">
- HS 4,65 từ 01/12/2015
- HS 4,98 từ 01/12/2018</t>
        </r>
      </text>
    </comment>
    <comment ref="K34" authorId="2" shapeId="0" xr:uid="{00000000-0006-0000-0600-00004D000000}">
      <text>
        <r>
          <rPr>
            <b/>
            <sz val="9"/>
            <color indexed="81"/>
            <rFont val="Tahoma"/>
            <family val="2"/>
          </rPr>
          <t>user:</t>
        </r>
        <r>
          <rPr>
            <sz val="9"/>
            <color indexed="81"/>
            <rFont val="Tahoma"/>
            <family val="2"/>
          </rPr>
          <t xml:space="preserve">
- VK 5% từ 01/12/2021
- VK 6% từ 01/12/2022
- VK 7% từ 01/12/2023</t>
        </r>
      </text>
    </comment>
    <comment ref="M34" authorId="6" shapeId="0" xr:uid="{00000000-0006-0000-0600-00004E000000}">
      <text>
        <r>
          <rPr>
            <b/>
            <sz val="8"/>
            <color indexed="81"/>
            <rFont val="Tahoma"/>
            <family val="2"/>
          </rPr>
          <t>admin:</t>
        </r>
        <r>
          <rPr>
            <sz val="8"/>
            <color indexed="81"/>
            <rFont val="Tahoma"/>
            <family val="2"/>
          </rPr>
          <t xml:space="preserve">
+ QĐ Bổ nhiệm Phó Trưởng phòng QT CSVC từ 01/06/2014</t>
        </r>
      </text>
    </comment>
    <comment ref="N34" authorId="1" shapeId="0" xr:uid="{00000000-0006-0000-0600-00004F000000}">
      <text>
        <r>
          <rPr>
            <b/>
            <sz val="9"/>
            <color indexed="81"/>
            <rFont val="Tahoma"/>
            <family val="2"/>
          </rPr>
          <t>Admin:</t>
        </r>
        <r>
          <rPr>
            <sz val="9"/>
            <color indexed="81"/>
            <rFont val="Tahoma"/>
            <family val="2"/>
          </rPr>
          <t xml:space="preserve">
- HS 4,65 từ 01/12/2015
- HS 4,98 từ 01/12/2018</t>
        </r>
      </text>
    </comment>
    <comment ref="O34" authorId="2" shapeId="0" xr:uid="{00000000-0006-0000-0600-000050000000}">
      <text>
        <r>
          <rPr>
            <b/>
            <sz val="9"/>
            <color indexed="81"/>
            <rFont val="Tahoma"/>
            <family val="2"/>
          </rPr>
          <t>user:</t>
        </r>
        <r>
          <rPr>
            <sz val="9"/>
            <color indexed="81"/>
            <rFont val="Tahoma"/>
            <family val="2"/>
          </rPr>
          <t xml:space="preserve">
- VK 5% từ 01/12/2021
- VK 6% từ 01/12/2022
- VK 7% từ 01/12/2023</t>
        </r>
      </text>
    </comment>
    <comment ref="Q34" authorId="6" shapeId="0" xr:uid="{00000000-0006-0000-0600-000051000000}">
      <text>
        <r>
          <rPr>
            <b/>
            <sz val="8"/>
            <color indexed="81"/>
            <rFont val="Tahoma"/>
            <family val="2"/>
          </rPr>
          <t>admin:</t>
        </r>
        <r>
          <rPr>
            <sz val="8"/>
            <color indexed="81"/>
            <rFont val="Tahoma"/>
            <family val="2"/>
          </rPr>
          <t xml:space="preserve">
+ QĐ Bổ nhiệm Phó Trưởng phòng QT CSVC từ 01/06/2014</t>
        </r>
      </text>
    </comment>
    <comment ref="F35" authorId="0" shapeId="0" xr:uid="{00000000-0006-0000-0600-000052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J35" authorId="0" shapeId="0" xr:uid="{00000000-0006-0000-0600-000053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N35" authorId="0" shapeId="0" xr:uid="{00000000-0006-0000-0600-000054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6" authorId="1" shapeId="0" xr:uid="{00000000-0006-0000-0600-000055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J36" authorId="1" shapeId="0" xr:uid="{00000000-0006-0000-0600-000056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N36" authorId="1" shapeId="0" xr:uid="{00000000-0006-0000-0600-000057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7" authorId="1" shapeId="0" xr:uid="{00000000-0006-0000-0600-000058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J37" authorId="1" shapeId="0" xr:uid="{00000000-0006-0000-0600-000059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N37" authorId="1" shapeId="0" xr:uid="{00000000-0006-0000-0600-00005A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38" authorId="1" shapeId="0" xr:uid="{00000000-0006-0000-0600-00005B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J38" authorId="1" shapeId="0" xr:uid="{00000000-0006-0000-0600-00005C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N38" authorId="1" shapeId="0" xr:uid="{00000000-0006-0000-0600-00005D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9" authorId="0" shapeId="0" xr:uid="{00000000-0006-0000-0600-00005E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J39" authorId="0" shapeId="0" xr:uid="{00000000-0006-0000-0600-00005F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N39" authorId="0" shapeId="0" xr:uid="{00000000-0006-0000-0600-000060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0" authorId="1" shapeId="0" xr:uid="{00000000-0006-0000-0600-000061000000}">
      <text>
        <r>
          <rPr>
            <b/>
            <sz val="9"/>
            <color indexed="81"/>
            <rFont val="Tahoma"/>
            <family val="2"/>
          </rPr>
          <t>Admin:</t>
        </r>
        <r>
          <rPr>
            <sz val="9"/>
            <color indexed="81"/>
            <rFont val="Tahoma"/>
            <family val="2"/>
          </rPr>
          <t xml:space="preserve">
- HS 2,41 từ 01/11/2015
- HS 2,72 từ 01/11/2018
- HS 3,03 từ 01/11/2021</t>
        </r>
      </text>
    </comment>
    <comment ref="J40" authorId="1" shapeId="0" xr:uid="{00000000-0006-0000-0600-000062000000}">
      <text>
        <r>
          <rPr>
            <b/>
            <sz val="9"/>
            <color indexed="81"/>
            <rFont val="Tahoma"/>
            <family val="2"/>
          </rPr>
          <t>Admin:</t>
        </r>
        <r>
          <rPr>
            <sz val="9"/>
            <color indexed="81"/>
            <rFont val="Tahoma"/>
            <family val="2"/>
          </rPr>
          <t xml:space="preserve">
- HS 2,41 từ 01/11/2015
- HS 2,72 từ 01/11/2018
- HS 3,03 từ 01/11/2021</t>
        </r>
      </text>
    </comment>
    <comment ref="N40" authorId="1" shapeId="0" xr:uid="{00000000-0006-0000-0600-000063000000}">
      <text>
        <r>
          <rPr>
            <b/>
            <sz val="9"/>
            <color indexed="81"/>
            <rFont val="Tahoma"/>
            <family val="2"/>
          </rPr>
          <t>Admin:</t>
        </r>
        <r>
          <rPr>
            <sz val="9"/>
            <color indexed="81"/>
            <rFont val="Tahoma"/>
            <family val="2"/>
          </rPr>
          <t xml:space="preserve">
- HS 2,41 từ 01/11/2015
- HS 2,72 từ 01/11/2018
- HS 3,03 từ 01/11/2021</t>
        </r>
      </text>
    </comment>
    <comment ref="F41" authorId="0" shapeId="0" xr:uid="{00000000-0006-0000-0600-000064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1" authorId="0" shapeId="0" xr:uid="{00000000-0006-0000-0600-000065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J41" authorId="0" shapeId="0" xr:uid="{00000000-0006-0000-0600-000066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M41" authorId="0" shapeId="0" xr:uid="{00000000-0006-0000-0600-000067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N41" authorId="0" shapeId="0" xr:uid="{00000000-0006-0000-0600-000068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Q41" authorId="0" shapeId="0" xr:uid="{00000000-0006-0000-0600-000069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2" authorId="1" shapeId="0" xr:uid="{00000000-0006-0000-0600-00006A000000}">
      <text>
        <r>
          <rPr>
            <b/>
            <sz val="9"/>
            <color indexed="81"/>
            <rFont val="Tahoma"/>
            <family val="2"/>
          </rPr>
          <t>Admin:</t>
        </r>
        <r>
          <rPr>
            <sz val="9"/>
            <color indexed="81"/>
            <rFont val="Tahoma"/>
            <family val="2"/>
          </rPr>
          <t xml:space="preserve">
- Bổ nhiệm CDNN từ 01/4/2018
- HS 2,34 từ 01/2/2017
- HS 2,67 từ 01/2/2019</t>
        </r>
      </text>
    </comment>
    <comment ref="I42" authorId="7" shapeId="0" xr:uid="{00000000-0006-0000-0600-00006B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J42" authorId="1" shapeId="0" xr:uid="{00000000-0006-0000-0600-00006C000000}">
      <text>
        <r>
          <rPr>
            <b/>
            <sz val="9"/>
            <color indexed="81"/>
            <rFont val="Tahoma"/>
            <family val="2"/>
          </rPr>
          <t>Admin:</t>
        </r>
        <r>
          <rPr>
            <sz val="9"/>
            <color indexed="81"/>
            <rFont val="Tahoma"/>
            <family val="2"/>
          </rPr>
          <t xml:space="preserve">
- Bổ nhiệm CDNN từ 01/4/2018
- HS 2,34 từ 01/2/2017
- HS 2,67 từ 01/2/2019</t>
        </r>
      </text>
    </comment>
    <comment ref="M42" authorId="7" shapeId="0" xr:uid="{00000000-0006-0000-0600-00006D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N42" authorId="1" shapeId="0" xr:uid="{00000000-0006-0000-0600-00006E000000}">
      <text>
        <r>
          <rPr>
            <b/>
            <sz val="9"/>
            <color indexed="81"/>
            <rFont val="Tahoma"/>
            <family val="2"/>
          </rPr>
          <t>Admin:</t>
        </r>
        <r>
          <rPr>
            <sz val="9"/>
            <color indexed="81"/>
            <rFont val="Tahoma"/>
            <family val="2"/>
          </rPr>
          <t xml:space="preserve">
- Bổ nhiệm CDNN từ 01/4/2018
- HS 2,34 từ 01/2/2017
- HS 2,67 từ 01/2/2019</t>
        </r>
      </text>
    </comment>
    <comment ref="Q42" authorId="7" shapeId="0" xr:uid="{00000000-0006-0000-0600-00006F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3" authorId="2" shapeId="0" xr:uid="{00000000-0006-0000-0600-000070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J43" authorId="2" shapeId="0" xr:uid="{00000000-0006-0000-0600-000071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N43" authorId="2" shapeId="0" xr:uid="{00000000-0006-0000-0600-000072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4" authorId="0" shapeId="0" xr:uid="{00000000-0006-0000-0600-000073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4" authorId="3" shapeId="0" xr:uid="{00000000-0006-0000-0600-000074000000}">
      <text>
        <r>
          <rPr>
            <b/>
            <sz val="9"/>
            <color indexed="81"/>
            <rFont val="Tahoma"/>
            <family val="2"/>
          </rPr>
          <t>Windows User:</t>
        </r>
        <r>
          <rPr>
            <sz val="9"/>
            <color indexed="81"/>
            <rFont val="Tahoma"/>
            <family val="2"/>
          </rPr>
          <t xml:space="preserve">
- VK 5% từ 01/9/2023</t>
        </r>
      </text>
    </comment>
    <comment ref="I44" authorId="0" shapeId="0" xr:uid="{00000000-0006-0000-0600-000075000000}">
      <text>
        <r>
          <rPr>
            <b/>
            <sz val="9"/>
            <color indexed="81"/>
            <rFont val="Tahoma"/>
            <family val="2"/>
          </rPr>
          <t>User:</t>
        </r>
        <r>
          <rPr>
            <sz val="9"/>
            <color indexed="81"/>
            <rFont val="Tahoma"/>
            <family val="2"/>
          </rPr>
          <t xml:space="preserve">
- QĐ Bổ nhiệm Tổ trưởng tổ Ký túc xá SV từ 15/9/2015</t>
        </r>
      </text>
    </comment>
    <comment ref="J44" authorId="0" shapeId="0" xr:uid="{00000000-0006-0000-0600-000076000000}">
      <text>
        <r>
          <rPr>
            <b/>
            <sz val="9"/>
            <color indexed="81"/>
            <rFont val="Tahoma"/>
            <family val="2"/>
          </rPr>
          <t>User:</t>
        </r>
        <r>
          <rPr>
            <sz val="9"/>
            <color indexed="81"/>
            <rFont val="Tahoma"/>
            <family val="2"/>
          </rPr>
          <t xml:space="preserve">
- HS 4,32 từ 01/9/2015
- HS 4,65 từ 01/9/2017 (NL trước hạn 2017)
- HS 4,98 từ 01/9/2020</t>
        </r>
      </text>
    </comment>
    <comment ref="K44" authorId="3" shapeId="0" xr:uid="{00000000-0006-0000-0600-000077000000}">
      <text>
        <r>
          <rPr>
            <b/>
            <sz val="9"/>
            <color indexed="81"/>
            <rFont val="Tahoma"/>
            <family val="2"/>
          </rPr>
          <t>Windows User:</t>
        </r>
        <r>
          <rPr>
            <sz val="9"/>
            <color indexed="81"/>
            <rFont val="Tahoma"/>
            <family val="2"/>
          </rPr>
          <t xml:space="preserve">
- VK 5% từ 01/9/2023</t>
        </r>
      </text>
    </comment>
    <comment ref="M44" authorId="0" shapeId="0" xr:uid="{00000000-0006-0000-0600-000078000000}">
      <text>
        <r>
          <rPr>
            <b/>
            <sz val="9"/>
            <color indexed="81"/>
            <rFont val="Tahoma"/>
            <family val="2"/>
          </rPr>
          <t>User:</t>
        </r>
        <r>
          <rPr>
            <sz val="9"/>
            <color indexed="81"/>
            <rFont val="Tahoma"/>
            <family val="2"/>
          </rPr>
          <t xml:space="preserve">
- QĐ Bổ nhiệm Tổ trưởng tổ Ký túc xá SV từ 15/9/2015</t>
        </r>
      </text>
    </comment>
    <comment ref="N44" authorId="0" shapeId="0" xr:uid="{00000000-0006-0000-0600-000079000000}">
      <text>
        <r>
          <rPr>
            <b/>
            <sz val="9"/>
            <color indexed="81"/>
            <rFont val="Tahoma"/>
            <family val="2"/>
          </rPr>
          <t>User:</t>
        </r>
        <r>
          <rPr>
            <sz val="9"/>
            <color indexed="81"/>
            <rFont val="Tahoma"/>
            <family val="2"/>
          </rPr>
          <t xml:space="preserve">
- HS 4,32 từ 01/9/2015
- HS 4,65 từ 01/9/2017 (NL trước hạn 2017)
- HS 4,98 từ 01/9/2020</t>
        </r>
      </text>
    </comment>
    <comment ref="O44" authorId="3" shapeId="0" xr:uid="{00000000-0006-0000-0600-00007A000000}">
      <text>
        <r>
          <rPr>
            <b/>
            <sz val="9"/>
            <color indexed="81"/>
            <rFont val="Tahoma"/>
            <family val="2"/>
          </rPr>
          <t>Windows User:</t>
        </r>
        <r>
          <rPr>
            <sz val="9"/>
            <color indexed="81"/>
            <rFont val="Tahoma"/>
            <family val="2"/>
          </rPr>
          <t xml:space="preserve">
- VK 5% từ 01/9/2023
- VK 6% từ 01/9/2024</t>
        </r>
      </text>
    </comment>
    <comment ref="Q44" authorId="0" shapeId="0" xr:uid="{00000000-0006-0000-0600-00007B000000}">
      <text>
        <r>
          <rPr>
            <b/>
            <sz val="9"/>
            <color indexed="81"/>
            <rFont val="Tahoma"/>
            <family val="2"/>
          </rPr>
          <t>User:</t>
        </r>
        <r>
          <rPr>
            <sz val="9"/>
            <color indexed="81"/>
            <rFont val="Tahoma"/>
            <family val="2"/>
          </rPr>
          <t xml:space="preserve">
- QĐ Bổ nhiệm Tổ trưởng tổ Ký túc xá SV từ 15/9/2015</t>
        </r>
      </text>
    </comment>
    <comment ref="F45" authorId="0" shapeId="0" xr:uid="{00000000-0006-0000-0600-00007C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J45" authorId="0" shapeId="0" xr:uid="{00000000-0006-0000-0600-00007D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N45" authorId="0" shapeId="0" xr:uid="{00000000-0006-0000-0600-00007E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6" authorId="3" shapeId="0" xr:uid="{00000000-0006-0000-0600-00007F000000}">
      <text>
        <r>
          <rPr>
            <b/>
            <sz val="9"/>
            <color indexed="81"/>
            <rFont val="Tahoma"/>
            <family val="2"/>
          </rPr>
          <t>Windows User:</t>
        </r>
        <r>
          <rPr>
            <sz val="9"/>
            <color indexed="81"/>
            <rFont val="Tahoma"/>
            <family val="2"/>
          </rPr>
          <t xml:space="preserve">
- VK 10% từ 01/9/2023</t>
        </r>
      </text>
    </comment>
    <comment ref="I46" authorId="3" shapeId="0" xr:uid="{00000000-0006-0000-0600-000080000000}">
      <text>
        <r>
          <rPr>
            <b/>
            <sz val="9"/>
            <color indexed="81"/>
            <rFont val="Tahoma"/>
            <family val="2"/>
          </rPr>
          <t>Windows User:</t>
        </r>
        <r>
          <rPr>
            <sz val="9"/>
            <color indexed="81"/>
            <rFont val="Tahoma"/>
            <family val="2"/>
          </rPr>
          <t xml:space="preserve">
- Phó TP QT-DV từ T10/23</t>
        </r>
      </text>
    </comment>
    <comment ref="K46" authorId="3" shapeId="0" xr:uid="{00000000-0006-0000-0600-000081000000}">
      <text>
        <r>
          <rPr>
            <b/>
            <sz val="9"/>
            <color indexed="81"/>
            <rFont val="Tahoma"/>
            <family val="2"/>
          </rPr>
          <t>Windows User:</t>
        </r>
        <r>
          <rPr>
            <sz val="9"/>
            <color indexed="81"/>
            <rFont val="Tahoma"/>
            <family val="2"/>
          </rPr>
          <t xml:space="preserve">
- VK 10% từ 01/9/2023</t>
        </r>
      </text>
    </comment>
    <comment ref="M46" authorId="3" shapeId="0" xr:uid="{00000000-0006-0000-0600-000082000000}">
      <text>
        <r>
          <rPr>
            <b/>
            <sz val="9"/>
            <color indexed="81"/>
            <rFont val="Tahoma"/>
            <family val="2"/>
          </rPr>
          <t>Windows User:</t>
        </r>
        <r>
          <rPr>
            <sz val="9"/>
            <color indexed="81"/>
            <rFont val="Tahoma"/>
            <family val="2"/>
          </rPr>
          <t xml:space="preserve">
- Phó TP QT-DV từ T10/23</t>
        </r>
      </text>
    </comment>
    <comment ref="O46" authorId="3" shapeId="0" xr:uid="{00000000-0006-0000-0600-000083000000}">
      <text>
        <r>
          <rPr>
            <b/>
            <sz val="9"/>
            <color indexed="81"/>
            <rFont val="Tahoma"/>
            <family val="2"/>
          </rPr>
          <t>Windows User:</t>
        </r>
        <r>
          <rPr>
            <sz val="9"/>
            <color indexed="81"/>
            <rFont val="Tahoma"/>
            <family val="2"/>
          </rPr>
          <t xml:space="preserve">
- VK 10% từ 01/9/2023
- VK 11% từ 01/9/2024</t>
        </r>
      </text>
    </comment>
    <comment ref="Q46" authorId="3" shapeId="0" xr:uid="{00000000-0006-0000-0600-000084000000}">
      <text>
        <r>
          <rPr>
            <b/>
            <sz val="9"/>
            <color indexed="81"/>
            <rFont val="Tahoma"/>
            <family val="2"/>
          </rPr>
          <t>Windows User:</t>
        </r>
        <r>
          <rPr>
            <sz val="9"/>
            <color indexed="81"/>
            <rFont val="Tahoma"/>
            <family val="2"/>
          </rPr>
          <t xml:space="preserve">
- Phó TP QT-DV từ T10/23</t>
        </r>
      </text>
    </comment>
    <comment ref="F47" authorId="1" shapeId="0" xr:uid="{00000000-0006-0000-0600-000085000000}">
      <text>
        <r>
          <rPr>
            <b/>
            <sz val="9"/>
            <color indexed="81"/>
            <rFont val="Tahoma"/>
            <family val="2"/>
          </rPr>
          <t>Admin:</t>
        </r>
        <r>
          <rPr>
            <sz val="9"/>
            <color indexed="81"/>
            <rFont val="Tahoma"/>
            <family val="2"/>
          </rPr>
          <t xml:space="preserve">
- HS 3,99 từ 01/12/2016
- HS 4,32 từ 01/12/2019
- HS 4,65 từ 01/12/2021 (NL trước hạn)</t>
        </r>
      </text>
    </comment>
    <comment ref="J47" authorId="1" shapeId="0" xr:uid="{00000000-0006-0000-0600-000086000000}">
      <text>
        <r>
          <rPr>
            <b/>
            <sz val="9"/>
            <color indexed="81"/>
            <rFont val="Tahoma"/>
            <family val="2"/>
          </rPr>
          <t>Admin:</t>
        </r>
        <r>
          <rPr>
            <sz val="9"/>
            <color indexed="81"/>
            <rFont val="Tahoma"/>
            <family val="2"/>
          </rPr>
          <t xml:space="preserve">
- HS 3,99 từ 01/12/2016
- HS 4,32 từ 01/12/2019
- HS 4,65 từ 01/12/2021 (NL trước hạn)</t>
        </r>
      </text>
    </comment>
    <comment ref="N47" authorId="1" shapeId="0" xr:uid="{00000000-0006-0000-0600-000087000000}">
      <text>
        <r>
          <rPr>
            <b/>
            <sz val="9"/>
            <color indexed="81"/>
            <rFont val="Tahoma"/>
            <family val="2"/>
          </rPr>
          <t>Admin:</t>
        </r>
        <r>
          <rPr>
            <sz val="9"/>
            <color indexed="81"/>
            <rFont val="Tahoma"/>
            <family val="2"/>
          </rPr>
          <t xml:space="preserve">
- HS 3,99 từ 01/12/2016
- HS 4,32 từ 01/12/2019
- HS 4,65 từ 01/12/2021 (NL trước hạn)</t>
        </r>
      </text>
    </comment>
    <comment ref="F48" authorId="1" shapeId="0" xr:uid="{00000000-0006-0000-0600-000088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J48" authorId="1" shapeId="0" xr:uid="{00000000-0006-0000-0600-000089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N48" authorId="1" shapeId="0" xr:uid="{00000000-0006-0000-0600-00008A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9" authorId="1" shapeId="0" xr:uid="{00000000-0006-0000-0600-00008B000000}">
      <text>
        <r>
          <rPr>
            <sz val="9"/>
            <color indexed="81"/>
            <rFont val="Tahoma"/>
            <family val="2"/>
          </rPr>
          <t>- 31% từ 01/10/2017
- 32% từ 01/10/2018
- 33% từ 01/10/2019
- 34% từ 01/10/2020
- 35% từ 01/10/2021
- 36% từ 01/10/2022</t>
        </r>
      </text>
    </comment>
    <comment ref="I49" authorId="0" shapeId="0" xr:uid="{00000000-0006-0000-0600-00008C000000}">
      <text>
        <r>
          <rPr>
            <b/>
            <sz val="9"/>
            <color indexed="81"/>
            <rFont val="Tahoma"/>
            <family val="2"/>
          </rPr>
          <t>User:</t>
        </r>
        <r>
          <rPr>
            <sz val="9"/>
            <color indexed="81"/>
            <rFont val="Tahoma"/>
            <family val="2"/>
          </rPr>
          <t xml:space="preserve">
Trưởng phòng Kế toán từ 19/8/2015
</t>
        </r>
      </text>
    </comment>
    <comment ref="K49" authorId="1" shapeId="0" xr:uid="{00000000-0006-0000-0600-00008D000000}">
      <text>
        <r>
          <rPr>
            <sz val="9"/>
            <color indexed="81"/>
            <rFont val="Tahoma"/>
            <family val="2"/>
          </rPr>
          <t>- 31% từ 01/10/2017
- 32% từ 01/10/2018
- 33% từ 01/10/2019
- 34% từ 01/10/2020
- 35% từ 01/10/2021
- 36% từ 01/10/2022</t>
        </r>
      </text>
    </comment>
    <comment ref="M49" authorId="0" shapeId="0" xr:uid="{00000000-0006-0000-0600-00008E000000}">
      <text>
        <r>
          <rPr>
            <b/>
            <sz val="9"/>
            <color indexed="81"/>
            <rFont val="Tahoma"/>
            <family val="2"/>
          </rPr>
          <t>User:</t>
        </r>
        <r>
          <rPr>
            <sz val="9"/>
            <color indexed="81"/>
            <rFont val="Tahoma"/>
            <family val="2"/>
          </rPr>
          <t xml:space="preserve">
Trưởng phòng Kế toán từ 19/8/2015
</t>
        </r>
      </text>
    </comment>
    <comment ref="O49" authorId="1" shapeId="0" xr:uid="{00000000-0006-0000-0600-00008F000000}">
      <text>
        <r>
          <rPr>
            <sz val="9"/>
            <color indexed="81"/>
            <rFont val="Tahoma"/>
            <family val="2"/>
          </rPr>
          <t>- 31% từ 01/10/2017
- 32% từ 01/10/2018
- 33% từ 01/10/2019
- 34% từ 01/10/2020
- 35% từ 01/10/2021
- 36% từ 01/10/2022</t>
        </r>
      </text>
    </comment>
    <comment ref="Q49" authorId="0" shapeId="0" xr:uid="{00000000-0006-0000-0600-000090000000}">
      <text>
        <r>
          <rPr>
            <b/>
            <sz val="9"/>
            <color indexed="81"/>
            <rFont val="Tahoma"/>
            <family val="2"/>
          </rPr>
          <t>User:</t>
        </r>
        <r>
          <rPr>
            <sz val="9"/>
            <color indexed="81"/>
            <rFont val="Tahoma"/>
            <family val="2"/>
          </rPr>
          <t xml:space="preserve">
Trưởng phòng Kế toán từ 19/8/2015
</t>
        </r>
      </text>
    </comment>
    <comment ref="F50" authorId="0" shapeId="0" xr:uid="{00000000-0006-0000-0600-000091000000}">
      <text>
        <r>
          <rPr>
            <b/>
            <sz val="9"/>
            <color indexed="81"/>
            <rFont val="Tahoma"/>
            <family val="2"/>
          </rPr>
          <t>User:</t>
        </r>
        <r>
          <rPr>
            <sz val="9"/>
            <color indexed="81"/>
            <rFont val="Tahoma"/>
            <family val="2"/>
          </rPr>
          <t xml:space="preserve">
- HS 3,00 từ 01/4/2014
- HS 3,33 từ 01/4/2017
- HS 3,66 từ 01/4/2019
- HS 3,99 từ 01/4/2022</t>
        </r>
      </text>
    </comment>
    <comment ref="J50" authorId="0" shapeId="0" xr:uid="{00000000-0006-0000-0600-000092000000}">
      <text>
        <r>
          <rPr>
            <b/>
            <sz val="9"/>
            <color indexed="81"/>
            <rFont val="Tahoma"/>
            <family val="2"/>
          </rPr>
          <t>User:</t>
        </r>
        <r>
          <rPr>
            <sz val="9"/>
            <color indexed="81"/>
            <rFont val="Tahoma"/>
            <family val="2"/>
          </rPr>
          <t xml:space="preserve">
- HS 3,00 từ 01/4/2014
- HS 3,33 từ 01/4/2017
- HS 3,66 từ 01/4/2019
- HS 3,99 từ 01/4/2022</t>
        </r>
      </text>
    </comment>
    <comment ref="N50" authorId="0" shapeId="0" xr:uid="{00000000-0006-0000-0600-000093000000}">
      <text>
        <r>
          <rPr>
            <b/>
            <sz val="9"/>
            <color indexed="81"/>
            <rFont val="Tahoma"/>
            <family val="2"/>
          </rPr>
          <t>User:</t>
        </r>
        <r>
          <rPr>
            <sz val="9"/>
            <color indexed="81"/>
            <rFont val="Tahoma"/>
            <family val="2"/>
          </rPr>
          <t xml:space="preserve">
- HS 3,00 từ 01/4/2014
- HS 3,33 từ 01/4/2017
- HS 3,66 từ 01/4/2019
- HS 3,99 từ 01/4/2022</t>
        </r>
      </text>
    </comment>
    <comment ref="F51" authorId="0" shapeId="0" xr:uid="{00000000-0006-0000-0600-000094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J51" authorId="0" shapeId="0" xr:uid="{00000000-0006-0000-0600-000095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N51" authorId="0" shapeId="0" xr:uid="{00000000-0006-0000-0600-000096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2" authorId="1" shapeId="0" xr:uid="{00000000-0006-0000-0600-000097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J52" authorId="1" shapeId="0" xr:uid="{00000000-0006-0000-0600-000098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N52" authorId="1" shapeId="0" xr:uid="{00000000-0006-0000-0600-000099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3" authorId="0" shapeId="0" xr:uid="{00000000-0006-0000-0600-00009A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J53" authorId="0" shapeId="0" xr:uid="{00000000-0006-0000-0600-00009B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N53" authorId="0" shapeId="0" xr:uid="{00000000-0006-0000-0600-00009C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4" authorId="1" shapeId="0" xr:uid="{00000000-0006-0000-0600-00009D000000}">
      <text>
        <r>
          <rPr>
            <b/>
            <sz val="9"/>
            <color indexed="81"/>
            <rFont val="Tahoma"/>
            <family val="2"/>
          </rPr>
          <t>Admin:</t>
        </r>
        <r>
          <rPr>
            <sz val="9"/>
            <color indexed="81"/>
            <rFont val="Tahoma"/>
            <family val="2"/>
          </rPr>
          <t xml:space="preserve">
- HS 3,66 từ 01/01/2017
- HS 3,99 từ 01/01/2019</t>
        </r>
      </text>
    </comment>
    <comment ref="I54" authorId="1" shapeId="0" xr:uid="{00000000-0006-0000-0600-00009E000000}">
      <text>
        <r>
          <rPr>
            <b/>
            <sz val="9"/>
            <color indexed="81"/>
            <rFont val="Tahoma"/>
            <family val="2"/>
          </rPr>
          <t>Admin:</t>
        </r>
        <r>
          <rPr>
            <sz val="9"/>
            <color indexed="81"/>
            <rFont val="Tahoma"/>
            <family val="2"/>
          </rPr>
          <t xml:space="preserve">
- Phụ trách TT Quan hệ DN từ 01/5/2018
- Trưởng TT từ 01/12/2019</t>
        </r>
      </text>
    </comment>
    <comment ref="J54" authorId="1" shapeId="0" xr:uid="{00000000-0006-0000-0600-00009F000000}">
      <text>
        <r>
          <rPr>
            <b/>
            <sz val="9"/>
            <color indexed="81"/>
            <rFont val="Tahoma"/>
            <family val="2"/>
          </rPr>
          <t>Admin:</t>
        </r>
        <r>
          <rPr>
            <sz val="9"/>
            <color indexed="81"/>
            <rFont val="Tahoma"/>
            <family val="2"/>
          </rPr>
          <t xml:space="preserve">
- HS 3,66 từ 01/01/2017
- HS 3,99 từ 01/01/2019</t>
        </r>
      </text>
    </comment>
    <comment ref="M54" authorId="1" shapeId="0" xr:uid="{00000000-0006-0000-0600-0000A0000000}">
      <text>
        <r>
          <rPr>
            <b/>
            <sz val="9"/>
            <color indexed="81"/>
            <rFont val="Tahoma"/>
            <family val="2"/>
          </rPr>
          <t>Admin:</t>
        </r>
        <r>
          <rPr>
            <sz val="9"/>
            <color indexed="81"/>
            <rFont val="Tahoma"/>
            <family val="2"/>
          </rPr>
          <t xml:space="preserve">
- Phụ trách TT Quan hệ DN từ 01/5/2018
- Trưởng TT từ 01/12/2019</t>
        </r>
      </text>
    </comment>
    <comment ref="N54" authorId="1" shapeId="0" xr:uid="{00000000-0006-0000-0600-0000A1000000}">
      <text>
        <r>
          <rPr>
            <b/>
            <sz val="9"/>
            <color indexed="81"/>
            <rFont val="Tahoma"/>
            <family val="2"/>
          </rPr>
          <t>Admin:</t>
        </r>
        <r>
          <rPr>
            <sz val="9"/>
            <color indexed="81"/>
            <rFont val="Tahoma"/>
            <family val="2"/>
          </rPr>
          <t xml:space="preserve">
- HS 3,66 từ 01/01/2017
- HS 3,99 từ 01/01/2019</t>
        </r>
      </text>
    </comment>
    <comment ref="Q54" authorId="1" shapeId="0" xr:uid="{00000000-0006-0000-0600-0000A2000000}">
      <text>
        <r>
          <rPr>
            <b/>
            <sz val="9"/>
            <color indexed="81"/>
            <rFont val="Tahoma"/>
            <family val="2"/>
          </rPr>
          <t>Admin:</t>
        </r>
        <r>
          <rPr>
            <sz val="9"/>
            <color indexed="81"/>
            <rFont val="Tahoma"/>
            <family val="2"/>
          </rPr>
          <t xml:space="preserve">
- Phụ trách TT Quan hệ DN từ 01/5/2018
- Trưởng TT từ 01/12/2019</t>
        </r>
      </text>
    </comment>
    <comment ref="F55" authorId="0" shapeId="0" xr:uid="{00000000-0006-0000-0600-0000A3000000}">
      <text>
        <r>
          <rPr>
            <b/>
            <sz val="9"/>
            <color indexed="81"/>
            <rFont val="Tahoma"/>
            <family val="2"/>
          </rPr>
          <t>User:</t>
        </r>
        <r>
          <rPr>
            <sz val="9"/>
            <color indexed="81"/>
            <rFont val="Tahoma"/>
            <family val="2"/>
          </rPr>
          <t xml:space="preserve">
- HS 3,33 từ 01/9/2015
- HS 3,66 từ 01/9/2018
- HS 3,99 từ 01/9/2021</t>
        </r>
      </text>
    </comment>
    <comment ref="J55" authorId="0" shapeId="0" xr:uid="{00000000-0006-0000-0600-0000A4000000}">
      <text>
        <r>
          <rPr>
            <b/>
            <sz val="9"/>
            <color indexed="81"/>
            <rFont val="Tahoma"/>
            <family val="2"/>
          </rPr>
          <t>User:</t>
        </r>
        <r>
          <rPr>
            <sz val="9"/>
            <color indexed="81"/>
            <rFont val="Tahoma"/>
            <family val="2"/>
          </rPr>
          <t xml:space="preserve">
- HS 3,33 từ 01/9/2015
- HS 3,66 từ 01/9/2018
- HS 3,99 từ 01/9/2021</t>
        </r>
      </text>
    </comment>
    <comment ref="N55" authorId="0" shapeId="0" xr:uid="{00000000-0006-0000-0600-0000A5000000}">
      <text>
        <r>
          <rPr>
            <b/>
            <sz val="9"/>
            <color indexed="81"/>
            <rFont val="Tahoma"/>
            <family val="2"/>
          </rPr>
          <t>User:</t>
        </r>
        <r>
          <rPr>
            <sz val="9"/>
            <color indexed="81"/>
            <rFont val="Tahoma"/>
            <family val="2"/>
          </rPr>
          <t xml:space="preserve">
- HS 3,33 từ 01/9/2015
- HS 3,66 từ 01/9/2018
- HS 3,99 từ 01/9/2021
- HS 4,32 từ 01/9/2024</t>
        </r>
      </text>
    </comment>
    <comment ref="F56" authorId="1" shapeId="0" xr:uid="{00000000-0006-0000-0600-0000A6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J56" authorId="1" shapeId="0" xr:uid="{00000000-0006-0000-0600-0000A7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N56" authorId="1" shapeId="0" xr:uid="{00000000-0006-0000-0600-0000A8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57" authorId="1" shapeId="0" xr:uid="{00000000-0006-0000-0600-0000A9000000}">
      <text>
        <r>
          <rPr>
            <b/>
            <sz val="9"/>
            <color indexed="81"/>
            <rFont val="Tahoma"/>
            <family val="2"/>
          </rPr>
          <t>Admin:</t>
        </r>
        <r>
          <rPr>
            <sz val="9"/>
            <color indexed="81"/>
            <rFont val="Tahoma"/>
            <family val="2"/>
          </rPr>
          <t xml:space="preserve">
- HS 4,65 từ 01/9/2016
- HS 4,98 từ 01/9/2018 (NL trước hạn)</t>
        </r>
      </text>
    </comment>
    <comment ref="G57" authorId="2" shapeId="0" xr:uid="{00000000-0006-0000-0600-0000AA000000}">
      <text>
        <r>
          <rPr>
            <b/>
            <sz val="9"/>
            <color indexed="81"/>
            <rFont val="Tahoma"/>
            <family val="2"/>
          </rPr>
          <t>user:</t>
        </r>
        <r>
          <rPr>
            <sz val="9"/>
            <color indexed="81"/>
            <rFont val="Tahoma"/>
            <family val="2"/>
          </rPr>
          <t xml:space="preserve">
- VK 5% từ 01/9/2021
- VK 6% từ 01/9/2022
- VK 7% từ 01/9/2023</t>
        </r>
      </text>
    </comment>
    <comment ref="I57" authorId="2" shapeId="0" xr:uid="{00000000-0006-0000-0600-0000AB000000}">
      <text>
        <r>
          <rPr>
            <b/>
            <sz val="9"/>
            <color indexed="81"/>
            <rFont val="Tahoma"/>
            <family val="2"/>
          </rPr>
          <t>user:</t>
        </r>
        <r>
          <rPr>
            <sz val="9"/>
            <color indexed="81"/>
            <rFont val="Tahoma"/>
            <family val="2"/>
          </rPr>
          <t xml:space="preserve">
BN Trưởng phòng T10/19</t>
        </r>
      </text>
    </comment>
    <comment ref="J57" authorId="1" shapeId="0" xr:uid="{00000000-0006-0000-0600-0000AC000000}">
      <text>
        <r>
          <rPr>
            <b/>
            <sz val="9"/>
            <color indexed="81"/>
            <rFont val="Tahoma"/>
            <family val="2"/>
          </rPr>
          <t>Admin:</t>
        </r>
        <r>
          <rPr>
            <sz val="9"/>
            <color indexed="81"/>
            <rFont val="Tahoma"/>
            <family val="2"/>
          </rPr>
          <t xml:space="preserve">
- HS 4,65 từ 01/9/2016
- HS 4,98 từ 01/9/2018 (NL trước hạn)</t>
        </r>
      </text>
    </comment>
    <comment ref="K57" authorId="2" shapeId="0" xr:uid="{00000000-0006-0000-0600-0000AD000000}">
      <text>
        <r>
          <rPr>
            <b/>
            <sz val="9"/>
            <color indexed="81"/>
            <rFont val="Tahoma"/>
            <family val="2"/>
          </rPr>
          <t>user:</t>
        </r>
        <r>
          <rPr>
            <sz val="9"/>
            <color indexed="81"/>
            <rFont val="Tahoma"/>
            <family val="2"/>
          </rPr>
          <t xml:space="preserve">
- VK 5% từ 01/9/2021
- VK 6% từ 01/9/2022
- VK 7% từ 01/9/2023</t>
        </r>
      </text>
    </comment>
    <comment ref="M57" authorId="2" shapeId="0" xr:uid="{00000000-0006-0000-0600-0000AE000000}">
      <text>
        <r>
          <rPr>
            <b/>
            <sz val="9"/>
            <color indexed="81"/>
            <rFont val="Tahoma"/>
            <family val="2"/>
          </rPr>
          <t>user:</t>
        </r>
        <r>
          <rPr>
            <sz val="9"/>
            <color indexed="81"/>
            <rFont val="Tahoma"/>
            <family val="2"/>
          </rPr>
          <t xml:space="preserve">
BN Trưởng phòng T10/19</t>
        </r>
      </text>
    </comment>
    <comment ref="N57" authorId="1" shapeId="0" xr:uid="{00000000-0006-0000-0600-0000AF000000}">
      <text>
        <r>
          <rPr>
            <b/>
            <sz val="9"/>
            <color indexed="81"/>
            <rFont val="Tahoma"/>
            <family val="2"/>
          </rPr>
          <t>Admin:</t>
        </r>
        <r>
          <rPr>
            <sz val="9"/>
            <color indexed="81"/>
            <rFont val="Tahoma"/>
            <family val="2"/>
          </rPr>
          <t xml:space="preserve">
- HS 4,65 từ 01/9/2016
- HS 4,98 từ 01/9/2018 (NL trước hạn)</t>
        </r>
      </text>
    </comment>
    <comment ref="O57" authorId="2" shapeId="0" xr:uid="{00000000-0006-0000-0600-0000B0000000}">
      <text>
        <r>
          <rPr>
            <b/>
            <sz val="9"/>
            <color indexed="81"/>
            <rFont val="Tahoma"/>
            <family val="2"/>
          </rPr>
          <t>user:</t>
        </r>
        <r>
          <rPr>
            <sz val="9"/>
            <color indexed="81"/>
            <rFont val="Tahoma"/>
            <family val="2"/>
          </rPr>
          <t xml:space="preserve">
- VK 5% từ 01/9/2021
- VK 6% từ 01/9/2022
- VK 7% từ 01/9/2023
- VK 8% từ 01/9/2024</t>
        </r>
      </text>
    </comment>
    <comment ref="Q57" authorId="2" shapeId="0" xr:uid="{00000000-0006-0000-0600-0000B1000000}">
      <text>
        <r>
          <rPr>
            <b/>
            <sz val="9"/>
            <color indexed="81"/>
            <rFont val="Tahoma"/>
            <family val="2"/>
          </rPr>
          <t>user:</t>
        </r>
        <r>
          <rPr>
            <sz val="9"/>
            <color indexed="81"/>
            <rFont val="Tahoma"/>
            <family val="2"/>
          </rPr>
          <t xml:space="preserve">
BN Trưởng phòng T10/19</t>
        </r>
      </text>
    </comment>
    <comment ref="F58" authorId="1" shapeId="0" xr:uid="{00000000-0006-0000-0600-0000B2000000}">
      <text>
        <r>
          <rPr>
            <b/>
            <sz val="9"/>
            <color indexed="81"/>
            <rFont val="Tahoma"/>
            <family val="2"/>
          </rPr>
          <t>Admin:</t>
        </r>
        <r>
          <rPr>
            <sz val="9"/>
            <color indexed="81"/>
            <rFont val="Tahoma"/>
            <family val="2"/>
          </rPr>
          <t xml:space="preserve">
- HS 3.33 từ 01/01/2016
- HS 3,66 từ 01/01/2019</t>
        </r>
      </text>
    </comment>
    <comment ref="J58" authorId="1" shapeId="0" xr:uid="{00000000-0006-0000-0600-0000B3000000}">
      <text>
        <r>
          <rPr>
            <b/>
            <sz val="9"/>
            <color indexed="81"/>
            <rFont val="Tahoma"/>
            <family val="2"/>
          </rPr>
          <t>Admin:</t>
        </r>
        <r>
          <rPr>
            <sz val="9"/>
            <color indexed="81"/>
            <rFont val="Tahoma"/>
            <family val="2"/>
          </rPr>
          <t xml:space="preserve">
- HS 3.33 từ 01/01/2016
- HS 3,66 từ 01/01/2019</t>
        </r>
      </text>
    </comment>
    <comment ref="N58" authorId="1" shapeId="0" xr:uid="{00000000-0006-0000-0600-0000B4000000}">
      <text>
        <r>
          <rPr>
            <b/>
            <sz val="9"/>
            <color indexed="81"/>
            <rFont val="Tahoma"/>
            <family val="2"/>
          </rPr>
          <t>Admin:</t>
        </r>
        <r>
          <rPr>
            <sz val="9"/>
            <color indexed="81"/>
            <rFont val="Tahoma"/>
            <family val="2"/>
          </rPr>
          <t xml:space="preserve">
- HS 3.33 từ 01/01/2016
- HS 3,66 từ 01/01/2019</t>
        </r>
      </text>
    </comment>
    <comment ref="F59" authorId="1" shapeId="0" xr:uid="{00000000-0006-0000-0600-0000B5000000}">
      <text>
        <r>
          <rPr>
            <b/>
            <sz val="9"/>
            <color indexed="81"/>
            <rFont val="Tahoma"/>
            <family val="2"/>
          </rPr>
          <t>Admin:</t>
        </r>
        <r>
          <rPr>
            <sz val="9"/>
            <color indexed="81"/>
            <rFont val="Tahoma"/>
            <family val="2"/>
          </rPr>
          <t xml:space="preserve">
- HS 3,00 từ 01/9/2016
- HS 3,33 từ 01/9/2019
- HS 3,66 từ 01/9/2022
</t>
        </r>
      </text>
    </comment>
    <comment ref="J59" authorId="1" shapeId="0" xr:uid="{00000000-0006-0000-0600-0000B6000000}">
      <text>
        <r>
          <rPr>
            <b/>
            <sz val="9"/>
            <color indexed="81"/>
            <rFont val="Tahoma"/>
            <family val="2"/>
          </rPr>
          <t>Admin:</t>
        </r>
        <r>
          <rPr>
            <sz val="9"/>
            <color indexed="81"/>
            <rFont val="Tahoma"/>
            <family val="2"/>
          </rPr>
          <t xml:space="preserve">
- HS 3,00 từ 01/9/2016
- HS 3,33 từ 01/9/2019
- HS 3,66 từ 01/9/2022
</t>
        </r>
      </text>
    </comment>
    <comment ref="N59" authorId="1" shapeId="0" xr:uid="{00000000-0006-0000-0600-0000B7000000}">
      <text>
        <r>
          <rPr>
            <b/>
            <sz val="9"/>
            <color indexed="81"/>
            <rFont val="Tahoma"/>
            <family val="2"/>
          </rPr>
          <t>Admin:</t>
        </r>
        <r>
          <rPr>
            <sz val="9"/>
            <color indexed="81"/>
            <rFont val="Tahoma"/>
            <family val="2"/>
          </rPr>
          <t xml:space="preserve">
- HS 3,00 từ 01/9/2016
- HS 3,33 từ 01/9/2019
- HS 3,66 từ 01/9/2022
</t>
        </r>
      </text>
    </comment>
    <comment ref="F60" authorId="1" shapeId="0" xr:uid="{00000000-0006-0000-0600-0000B8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60" authorId="1" shapeId="0" xr:uid="{00000000-0006-0000-0600-0000B9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60" authorId="1" shapeId="0" xr:uid="{00000000-0006-0000-0600-0000BA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1" authorId="1" shapeId="0" xr:uid="{00000000-0006-0000-0600-0000BB000000}">
      <text>
        <r>
          <rPr>
            <b/>
            <sz val="9"/>
            <color indexed="81"/>
            <rFont val="Tahoma"/>
            <family val="2"/>
          </rPr>
          <t>Admin:</t>
        </r>
        <r>
          <rPr>
            <sz val="9"/>
            <color indexed="81"/>
            <rFont val="Tahoma"/>
            <family val="2"/>
          </rPr>
          <t xml:space="preserve">
- HS 3,66 từ 01/9/2016
- HS 3,99 từ 01/9/2019
- HS 4,32 từ 01/9/2022</t>
        </r>
      </text>
    </comment>
    <comment ref="J61" authorId="1" shapeId="0" xr:uid="{00000000-0006-0000-0600-0000BC000000}">
      <text>
        <r>
          <rPr>
            <b/>
            <sz val="9"/>
            <color indexed="81"/>
            <rFont val="Tahoma"/>
            <family val="2"/>
          </rPr>
          <t>Admin:</t>
        </r>
        <r>
          <rPr>
            <sz val="9"/>
            <color indexed="81"/>
            <rFont val="Tahoma"/>
            <family val="2"/>
          </rPr>
          <t xml:space="preserve">
- HS 3,66 từ 01/9/2016
- HS 3,99 từ 01/9/2019
- HS 4,32 từ 01/9/2022</t>
        </r>
      </text>
    </comment>
    <comment ref="N61" authorId="1" shapeId="0" xr:uid="{00000000-0006-0000-0600-0000BD000000}">
      <text>
        <r>
          <rPr>
            <b/>
            <sz val="9"/>
            <color indexed="81"/>
            <rFont val="Tahoma"/>
            <family val="2"/>
          </rPr>
          <t>Admin:</t>
        </r>
        <r>
          <rPr>
            <sz val="9"/>
            <color indexed="81"/>
            <rFont val="Tahoma"/>
            <family val="2"/>
          </rPr>
          <t xml:space="preserve">
- HS 3,66 từ 01/9/2016
- HS 3,99 từ 01/9/2019
- HS 4,32 từ 01/9/2022</t>
        </r>
      </text>
    </comment>
    <comment ref="F62" authorId="0" shapeId="0" xr:uid="{00000000-0006-0000-0600-0000BE000000}">
      <text>
        <r>
          <rPr>
            <b/>
            <sz val="9"/>
            <color indexed="81"/>
            <rFont val="Tahoma"/>
            <family val="2"/>
          </rPr>
          <t>User:</t>
        </r>
        <r>
          <rPr>
            <sz val="9"/>
            <color indexed="81"/>
            <rFont val="Tahoma"/>
            <family val="2"/>
          </rPr>
          <t xml:space="preserve">
- HS 2,67 từ 01/8/2014
- HS 3,00 từ 01/8/2017
- HS 3,33 từ 01/8/2020
- HS 3,66 từ 01/09/2023</t>
        </r>
      </text>
    </comment>
    <comment ref="J62" authorId="0" shapeId="0" xr:uid="{00000000-0006-0000-0600-0000BF000000}">
      <text>
        <r>
          <rPr>
            <b/>
            <sz val="9"/>
            <color indexed="81"/>
            <rFont val="Tahoma"/>
            <family val="2"/>
          </rPr>
          <t>User:</t>
        </r>
        <r>
          <rPr>
            <sz val="9"/>
            <color indexed="81"/>
            <rFont val="Tahoma"/>
            <family val="2"/>
          </rPr>
          <t xml:space="preserve">
- HS 2,67 từ 01/8/2014
- HS 3,00 từ 01/8/2017
- HS 3,33 từ 01/8/2020
- HS 3,66 từ 01/09/2023</t>
        </r>
      </text>
    </comment>
    <comment ref="N62" authorId="0" shapeId="0" xr:uid="{00000000-0006-0000-0600-0000C0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3" authorId="1" shapeId="0" xr:uid="{00000000-0006-0000-0600-0000C1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3" authorId="2" shapeId="0" xr:uid="{00000000-0006-0000-0600-0000C2000000}">
      <text>
        <r>
          <rPr>
            <b/>
            <sz val="9"/>
            <color indexed="81"/>
            <rFont val="Tahoma"/>
            <family val="2"/>
          </rPr>
          <t>user:</t>
        </r>
        <r>
          <rPr>
            <sz val="9"/>
            <color indexed="81"/>
            <rFont val="Tahoma"/>
            <family val="2"/>
          </rPr>
          <t xml:space="preserve">
- HS 3,33 từ 01/11/2019
- HS 3,66 từ 01/11/2022</t>
        </r>
      </text>
    </comment>
    <comment ref="J63" authorId="2" shapeId="0" xr:uid="{00000000-0006-0000-0600-0000C3000000}">
      <text>
        <r>
          <rPr>
            <b/>
            <sz val="9"/>
            <color indexed="81"/>
            <rFont val="Tahoma"/>
            <family val="2"/>
          </rPr>
          <t>user:</t>
        </r>
        <r>
          <rPr>
            <sz val="9"/>
            <color indexed="81"/>
            <rFont val="Tahoma"/>
            <family val="2"/>
          </rPr>
          <t xml:space="preserve">
- HS 3,33 từ 01/11/2019
- HS 3,66 từ 01/11/2022</t>
        </r>
      </text>
    </comment>
    <comment ref="N63" authorId="2" shapeId="0" xr:uid="{00000000-0006-0000-0600-0000C4000000}">
      <text>
        <r>
          <rPr>
            <b/>
            <sz val="9"/>
            <color indexed="81"/>
            <rFont val="Tahoma"/>
            <family val="2"/>
          </rPr>
          <t>user:</t>
        </r>
        <r>
          <rPr>
            <sz val="9"/>
            <color indexed="81"/>
            <rFont val="Tahoma"/>
            <family val="2"/>
          </rPr>
          <t xml:space="preserve">
- HS 3,33 từ 01/11/2019
- HS 3,66 từ 01/11/2022</t>
        </r>
      </text>
    </comment>
    <comment ref="F64" authorId="1" shapeId="0" xr:uid="{00000000-0006-0000-0600-0000C5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4" authorId="1" shapeId="0" xr:uid="{00000000-0006-0000-0600-0000C6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J64" authorId="1" shapeId="0" xr:uid="{00000000-0006-0000-0600-0000C7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M64" authorId="1" shapeId="0" xr:uid="{00000000-0006-0000-0600-0000C8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N64" authorId="1" shapeId="0" xr:uid="{00000000-0006-0000-0600-0000C9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Q64" authorId="1" shapeId="0" xr:uid="{00000000-0006-0000-0600-0000CA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5" authorId="0" shapeId="0" xr:uid="{00000000-0006-0000-0600-0000CB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5" authorId="3" shapeId="0" xr:uid="{00000000-0006-0000-0600-0000CC000000}">
      <text>
        <r>
          <rPr>
            <b/>
            <sz val="9"/>
            <color indexed="81"/>
            <rFont val="Tahoma"/>
            <family val="2"/>
          </rPr>
          <t>Windows User:</t>
        </r>
        <r>
          <rPr>
            <sz val="9"/>
            <color indexed="81"/>
            <rFont val="Tahoma"/>
            <family val="2"/>
          </rPr>
          <t xml:space="preserve">
- Phó Trưởng phòng TS - Đào tạo từ T10/22</t>
        </r>
      </text>
    </comment>
    <comment ref="J65" authorId="0" shapeId="0" xr:uid="{00000000-0006-0000-0600-0000CD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M65" authorId="3" shapeId="0" xr:uid="{00000000-0006-0000-0600-0000CE000000}">
      <text>
        <r>
          <rPr>
            <b/>
            <sz val="9"/>
            <color indexed="81"/>
            <rFont val="Tahoma"/>
            <family val="2"/>
          </rPr>
          <t>Windows User:</t>
        </r>
        <r>
          <rPr>
            <sz val="9"/>
            <color indexed="81"/>
            <rFont val="Tahoma"/>
            <family val="2"/>
          </rPr>
          <t xml:space="preserve">
- Phó Trưởng phòng TS - Đào tạo từ T10/22</t>
        </r>
      </text>
    </comment>
    <comment ref="N65" authorId="0" shapeId="0" xr:uid="{00000000-0006-0000-0600-0000CF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Q65" authorId="3" shapeId="0" xr:uid="{00000000-0006-0000-0600-0000D0000000}">
      <text>
        <r>
          <rPr>
            <b/>
            <sz val="9"/>
            <color indexed="81"/>
            <rFont val="Tahoma"/>
            <family val="2"/>
          </rPr>
          <t>Windows User:</t>
        </r>
        <r>
          <rPr>
            <sz val="9"/>
            <color indexed="81"/>
            <rFont val="Tahoma"/>
            <family val="2"/>
          </rPr>
          <t xml:space="preserve">
- Phó Trưởng phòng TS - Đào tạo từ T10/22</t>
        </r>
      </text>
    </comment>
    <comment ref="F66" authorId="0" shapeId="0" xr:uid="{00000000-0006-0000-0600-0000D1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J66" authorId="0" shapeId="0" xr:uid="{00000000-0006-0000-0600-0000D2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N66" authorId="0" shapeId="0" xr:uid="{00000000-0006-0000-0600-0000D3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7" authorId="1" shapeId="0" xr:uid="{00000000-0006-0000-0600-0000D4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J67" authorId="1" shapeId="0" xr:uid="{00000000-0006-0000-0600-0000D5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N67" authorId="1" shapeId="0" xr:uid="{00000000-0006-0000-0600-0000D6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8" authorId="1" shapeId="0" xr:uid="{00000000-0006-0000-0600-0000D7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J68" authorId="1" shapeId="0" xr:uid="{00000000-0006-0000-0600-0000D8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N68" authorId="1" shapeId="0" xr:uid="{00000000-0006-0000-0600-0000D9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9" authorId="1" shapeId="0" xr:uid="{00000000-0006-0000-0600-0000DA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J69" authorId="1" shapeId="0" xr:uid="{00000000-0006-0000-0600-0000D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N69" authorId="1" shapeId="0" xr:uid="{00000000-0006-0000-0600-0000DC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0" authorId="1" shapeId="0" xr:uid="{00000000-0006-0000-0600-0000DD000000}">
      <text>
        <r>
          <rPr>
            <b/>
            <sz val="9"/>
            <color indexed="81"/>
            <rFont val="Tahoma"/>
            <family val="2"/>
          </rPr>
          <t>Admin:</t>
        </r>
        <r>
          <rPr>
            <sz val="9"/>
            <color indexed="81"/>
            <rFont val="Tahoma"/>
            <family val="2"/>
          </rPr>
          <t xml:space="preserve">
- HS 2.72 từ 01/01/2016
- HS 3.03 từ 01/01/2019
- HS 3,33 từ 01/6/21 (Thi nâng ngạch)</t>
        </r>
      </text>
    </comment>
    <comment ref="J70" authorId="1" shapeId="0" xr:uid="{00000000-0006-0000-0600-0000DE000000}">
      <text>
        <r>
          <rPr>
            <b/>
            <sz val="9"/>
            <color indexed="81"/>
            <rFont val="Tahoma"/>
            <family val="2"/>
          </rPr>
          <t>Admin:</t>
        </r>
        <r>
          <rPr>
            <sz val="9"/>
            <color indexed="81"/>
            <rFont val="Tahoma"/>
            <family val="2"/>
          </rPr>
          <t xml:space="preserve">
- HS 2.72 từ 01/01/2016
- HS 3.03 từ 01/01/2019
- HS 3,33 từ 01/6/21 (Thi nâng ngạch)</t>
        </r>
      </text>
    </comment>
    <comment ref="N70" authorId="1" shapeId="0" xr:uid="{00000000-0006-0000-0600-0000DF000000}">
      <text>
        <r>
          <rPr>
            <b/>
            <sz val="9"/>
            <color indexed="81"/>
            <rFont val="Tahoma"/>
            <family val="2"/>
          </rPr>
          <t>Admin:</t>
        </r>
        <r>
          <rPr>
            <sz val="9"/>
            <color indexed="81"/>
            <rFont val="Tahoma"/>
            <family val="2"/>
          </rPr>
          <t xml:space="preserve">
- HS 2.72 từ 01/01/2016
- HS 3.03 từ 01/01/2019
- HS 3,33 từ 01/6/21 (Thi nâng ngạch)</t>
        </r>
      </text>
    </comment>
    <comment ref="F71" authorId="1" shapeId="0" xr:uid="{00000000-0006-0000-0600-0000E0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J71" authorId="1" shapeId="0" xr:uid="{00000000-0006-0000-0600-0000E1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N71" authorId="1" shapeId="0" xr:uid="{00000000-0006-0000-0600-0000E2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2" authorId="1" shapeId="0" xr:uid="{00000000-0006-0000-0600-0000E3000000}">
      <text>
        <r>
          <rPr>
            <b/>
            <sz val="9"/>
            <color indexed="81"/>
            <rFont val="Tahoma"/>
            <family val="2"/>
          </rPr>
          <t>Admin:</t>
        </r>
        <r>
          <rPr>
            <sz val="9"/>
            <color indexed="81"/>
            <rFont val="Tahoma"/>
            <family val="2"/>
          </rPr>
          <t xml:space="preserve">
- HS 2.67 từ 01/02/2016
- HS 3,00 từ 01/02/2019</t>
        </r>
      </text>
    </comment>
    <comment ref="J72" authorId="1" shapeId="0" xr:uid="{00000000-0006-0000-0600-0000E4000000}">
      <text>
        <r>
          <rPr>
            <b/>
            <sz val="9"/>
            <color indexed="81"/>
            <rFont val="Tahoma"/>
            <family val="2"/>
          </rPr>
          <t>Admin:</t>
        </r>
        <r>
          <rPr>
            <sz val="9"/>
            <color indexed="81"/>
            <rFont val="Tahoma"/>
            <family val="2"/>
          </rPr>
          <t xml:space="preserve">
- HS 2.67 từ 01/02/2016
- HS 3,00 từ 01/02/2019</t>
        </r>
      </text>
    </comment>
    <comment ref="N72" authorId="1" shapeId="0" xr:uid="{00000000-0006-0000-0600-0000E5000000}">
      <text>
        <r>
          <rPr>
            <b/>
            <sz val="9"/>
            <color indexed="81"/>
            <rFont val="Tahoma"/>
            <family val="2"/>
          </rPr>
          <t>Admin:</t>
        </r>
        <r>
          <rPr>
            <sz val="9"/>
            <color indexed="81"/>
            <rFont val="Tahoma"/>
            <family val="2"/>
          </rPr>
          <t xml:space="preserve">
- HS 2.67 từ 01/02/2016
- HS 3,00 từ 01/02/2019</t>
        </r>
      </text>
    </comment>
    <comment ref="F73" authorId="0" shapeId="0" xr:uid="{00000000-0006-0000-0600-0000E6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3" authorId="0" shapeId="0" xr:uid="{00000000-0006-0000-0600-0000E7000000}">
      <text>
        <r>
          <rPr>
            <b/>
            <sz val="9"/>
            <color indexed="81"/>
            <rFont val="Tahoma"/>
            <family val="2"/>
          </rPr>
          <t>User:</t>
        </r>
        <r>
          <rPr>
            <sz val="9"/>
            <color indexed="81"/>
            <rFont val="Tahoma"/>
            <family val="2"/>
          </rPr>
          <t xml:space="preserve">
- Phó Trưởng phòng từ 01/8/2015
- Trưởng phòng từ 01/9/2018</t>
        </r>
      </text>
    </comment>
    <comment ref="J73" authorId="0" shapeId="0" xr:uid="{00000000-0006-0000-0600-0000E8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M73" authorId="0" shapeId="0" xr:uid="{00000000-0006-0000-0600-0000E9000000}">
      <text>
        <r>
          <rPr>
            <b/>
            <sz val="9"/>
            <color indexed="81"/>
            <rFont val="Tahoma"/>
            <family val="2"/>
          </rPr>
          <t>User:</t>
        </r>
        <r>
          <rPr>
            <sz val="9"/>
            <color indexed="81"/>
            <rFont val="Tahoma"/>
            <family val="2"/>
          </rPr>
          <t xml:space="preserve">
- Phó Trưởng phòng từ 01/8/2015
- Trưởng phòng từ 01/9/2018</t>
        </r>
      </text>
    </comment>
    <comment ref="N73" authorId="0" shapeId="0" xr:uid="{00000000-0006-0000-0600-0000EA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Q73" authorId="0" shapeId="0" xr:uid="{00000000-0006-0000-0600-0000EB000000}">
      <text>
        <r>
          <rPr>
            <b/>
            <sz val="9"/>
            <color indexed="81"/>
            <rFont val="Tahoma"/>
            <family val="2"/>
          </rPr>
          <t>User:</t>
        </r>
        <r>
          <rPr>
            <sz val="9"/>
            <color indexed="81"/>
            <rFont val="Tahoma"/>
            <family val="2"/>
          </rPr>
          <t xml:space="preserve">
- Phó Trưởng phòng từ 01/8/2015
- Trưởng phòng từ 01/9/2018</t>
        </r>
      </text>
    </comment>
    <comment ref="F74" authorId="0" shapeId="0" xr:uid="{00000000-0006-0000-0600-0000EC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J74" authorId="0" shapeId="0" xr:uid="{00000000-0006-0000-0600-0000ED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N74" authorId="0" shapeId="0" xr:uid="{00000000-0006-0000-0600-0000EE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5" authorId="0" shapeId="0" xr:uid="{00000000-0006-0000-0600-0000EF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K75" authorId="0" shapeId="0" xr:uid="{00000000-0006-0000-0600-0000F0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O75" authorId="0" shapeId="0" xr:uid="{00000000-0006-0000-0600-0000F1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6" authorId="5" shapeId="0" xr:uid="{00000000-0006-0000-0600-0000F2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J76" authorId="5" shapeId="0" xr:uid="{00000000-0006-0000-0600-0000F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N76" authorId="5" shapeId="0" xr:uid="{00000000-0006-0000-0600-0000F4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7" authorId="1" shapeId="0" xr:uid="{00000000-0006-0000-0600-0000F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J77" authorId="1" shapeId="0" xr:uid="{00000000-0006-0000-0600-0000F6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N77" authorId="1" shapeId="0" xr:uid="{00000000-0006-0000-0600-0000F7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8" authorId="8" shapeId="0" xr:uid="{00000000-0006-0000-0600-0000F8000000}">
      <text>
        <r>
          <rPr>
            <sz val="9"/>
            <color indexed="81"/>
            <rFont val="Tahoma"/>
            <family val="2"/>
          </rPr>
          <t>- HS 3,00 từ 01/11/2017
- HS 3,33 từ 01/11/2020
- HS 3,66 từ 01/11/2022</t>
        </r>
      </text>
    </comment>
    <comment ref="J78" authorId="8" shapeId="0" xr:uid="{00000000-0006-0000-0600-0000F9000000}">
      <text>
        <r>
          <rPr>
            <sz val="9"/>
            <color indexed="81"/>
            <rFont val="Tahoma"/>
            <family val="2"/>
          </rPr>
          <t>- HS 3,00 từ 01/11/2017
- HS 3,33 từ 01/11/2020
- HS 3,66 từ 01/11/2022</t>
        </r>
      </text>
    </comment>
    <comment ref="N78" authorId="8" shapeId="0" xr:uid="{00000000-0006-0000-0600-0000FA000000}">
      <text>
        <r>
          <rPr>
            <sz val="9"/>
            <color indexed="81"/>
            <rFont val="Tahoma"/>
            <family val="2"/>
          </rPr>
          <t>- HS 3,00 từ 01/11/2017
- HS 3,33 từ 01/11/2020
- HS 3,66 từ 01/11/2022</t>
        </r>
      </text>
    </comment>
    <comment ref="F79" authorId="2" shapeId="0" xr:uid="{00000000-0006-0000-0600-0000FB000000}">
      <text>
        <r>
          <rPr>
            <b/>
            <sz val="9"/>
            <color indexed="81"/>
            <rFont val="Tahoma"/>
            <family val="2"/>
          </rPr>
          <t>user:</t>
        </r>
        <r>
          <rPr>
            <sz val="9"/>
            <color indexed="81"/>
            <rFont val="Tahoma"/>
            <family val="2"/>
          </rPr>
          <t xml:space="preserve">
- Tuyển dụng từ 01/11/2019
- HS 3,00 từ 01/11/2022 (NL trước hạn)</t>
        </r>
      </text>
    </comment>
    <comment ref="I79" authorId="3" shapeId="0" xr:uid="{00000000-0006-0000-0600-0000FC000000}">
      <text>
        <r>
          <rPr>
            <b/>
            <sz val="9"/>
            <color indexed="81"/>
            <rFont val="Tahoma"/>
            <family val="2"/>
          </rPr>
          <t>Windows User:</t>
        </r>
        <r>
          <rPr>
            <sz val="9"/>
            <color indexed="81"/>
            <rFont val="Tahoma"/>
            <family val="2"/>
          </rPr>
          <t xml:space="preserve">
- Phó Trưởng TT ĐH&amp;QLDL từ T10/23</t>
        </r>
      </text>
    </comment>
    <comment ref="J79" authorId="2" shapeId="0" xr:uid="{00000000-0006-0000-0600-0000FD000000}">
      <text>
        <r>
          <rPr>
            <b/>
            <sz val="9"/>
            <color indexed="81"/>
            <rFont val="Tahoma"/>
            <family val="2"/>
          </rPr>
          <t>user:</t>
        </r>
        <r>
          <rPr>
            <sz val="9"/>
            <color indexed="81"/>
            <rFont val="Tahoma"/>
            <family val="2"/>
          </rPr>
          <t xml:space="preserve">
- Tuyển dụng từ 01/11/2019
- HS 3,00 từ 01/11/2022 (NL trước hạn)</t>
        </r>
      </text>
    </comment>
    <comment ref="M79" authorId="3" shapeId="0" xr:uid="{00000000-0006-0000-0600-0000FE000000}">
      <text>
        <r>
          <rPr>
            <b/>
            <sz val="9"/>
            <color indexed="81"/>
            <rFont val="Tahoma"/>
            <family val="2"/>
          </rPr>
          <t>Windows User:</t>
        </r>
        <r>
          <rPr>
            <sz val="9"/>
            <color indexed="81"/>
            <rFont val="Tahoma"/>
            <family val="2"/>
          </rPr>
          <t xml:space="preserve">
- Phó Trưởng TT ĐH&amp;QLDL từ T10/23</t>
        </r>
      </text>
    </comment>
    <comment ref="N79" authorId="2" shapeId="0" xr:uid="{00000000-0006-0000-0600-0000FF000000}">
      <text>
        <r>
          <rPr>
            <b/>
            <sz val="9"/>
            <color indexed="81"/>
            <rFont val="Tahoma"/>
            <family val="2"/>
          </rPr>
          <t>user:</t>
        </r>
        <r>
          <rPr>
            <sz val="9"/>
            <color indexed="81"/>
            <rFont val="Tahoma"/>
            <family val="2"/>
          </rPr>
          <t xml:space="preserve">
- Tuyển dụng từ 01/11/2019
- HS 3,00 từ 01/11/2022 (NL trước hạn)</t>
        </r>
      </text>
    </comment>
    <comment ref="Q79" authorId="3" shapeId="0" xr:uid="{00000000-0006-0000-0600-000000010000}">
      <text>
        <r>
          <rPr>
            <b/>
            <sz val="9"/>
            <color indexed="81"/>
            <rFont val="Tahoma"/>
            <family val="2"/>
          </rPr>
          <t>Windows User:</t>
        </r>
        <r>
          <rPr>
            <sz val="9"/>
            <color indexed="81"/>
            <rFont val="Tahoma"/>
            <family val="2"/>
          </rPr>
          <t xml:space="preserve">
- Phó Trưởng TT ĐH&amp;QLDL từ T10/23</t>
        </r>
      </text>
    </comment>
    <comment ref="F80" authorId="0" shapeId="0" xr:uid="{00000000-0006-0000-0600-000001010000}">
      <text>
        <r>
          <rPr>
            <b/>
            <sz val="9"/>
            <color indexed="81"/>
            <rFont val="Tahoma"/>
            <family val="2"/>
          </rPr>
          <t>User:</t>
        </r>
        <r>
          <rPr>
            <sz val="9"/>
            <color indexed="81"/>
            <rFont val="Tahoma"/>
            <family val="2"/>
          </rPr>
          <t xml:space="preserve">
- HS 2,67 từ 01/4/2014
- HS 3,00 từ 01/4/2017
- HS 3,33 từ 01/4/2019
- HS 3,66 từ 01/4/2022</t>
        </r>
      </text>
    </comment>
    <comment ref="I80" authorId="6" shapeId="0" xr:uid="{00000000-0006-0000-0600-00000201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J80" authorId="0" shapeId="0" xr:uid="{00000000-0006-0000-0600-000003010000}">
      <text>
        <r>
          <rPr>
            <b/>
            <sz val="9"/>
            <color indexed="81"/>
            <rFont val="Tahoma"/>
            <family val="2"/>
          </rPr>
          <t>User:</t>
        </r>
        <r>
          <rPr>
            <sz val="9"/>
            <color indexed="81"/>
            <rFont val="Tahoma"/>
            <family val="2"/>
          </rPr>
          <t xml:space="preserve">
- HS 2,67 từ 01/4/2014
- HS 3,00 từ 01/4/2017
- HS 3,33 từ 01/4/2019
- HS 3,66 từ 01/4/2022</t>
        </r>
      </text>
    </comment>
    <comment ref="M80" authorId="6" shapeId="0" xr:uid="{00000000-0006-0000-0600-00000401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N80" authorId="0" shapeId="0" xr:uid="{00000000-0006-0000-0600-000005010000}">
      <text>
        <r>
          <rPr>
            <b/>
            <sz val="9"/>
            <color indexed="81"/>
            <rFont val="Tahoma"/>
            <family val="2"/>
          </rPr>
          <t>User:</t>
        </r>
        <r>
          <rPr>
            <sz val="9"/>
            <color indexed="81"/>
            <rFont val="Tahoma"/>
            <family val="2"/>
          </rPr>
          <t xml:space="preserve">
- HS 2,67 từ 01/4/2014
- HS 3,00 từ 01/4/2017
- HS 3,33 từ 01/4/2019
- HS 3,66 từ 01/4/2022</t>
        </r>
      </text>
    </comment>
    <comment ref="Q80" authorId="6" shapeId="0" xr:uid="{00000000-0006-0000-0600-00000601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1" authorId="0" shapeId="0" xr:uid="{00000000-0006-0000-0600-000007010000}">
      <text>
        <r>
          <rPr>
            <b/>
            <sz val="9"/>
            <color indexed="81"/>
            <rFont val="Tahoma"/>
            <family val="2"/>
          </rPr>
          <t>User:</t>
        </r>
        <r>
          <rPr>
            <sz val="9"/>
            <color indexed="81"/>
            <rFont val="Tahoma"/>
            <family val="2"/>
          </rPr>
          <t xml:space="preserve">
- 3.00 từ 01/12/2015
- 3,33 từ 01/12/2018
- 3,66 từ 01/12/2021</t>
        </r>
      </text>
    </comment>
    <comment ref="J81" authorId="0" shapeId="0" xr:uid="{00000000-0006-0000-0600-000008010000}">
      <text>
        <r>
          <rPr>
            <b/>
            <sz val="9"/>
            <color indexed="81"/>
            <rFont val="Tahoma"/>
            <family val="2"/>
          </rPr>
          <t>User:</t>
        </r>
        <r>
          <rPr>
            <sz val="9"/>
            <color indexed="81"/>
            <rFont val="Tahoma"/>
            <family val="2"/>
          </rPr>
          <t xml:space="preserve">
- 3.00 từ 01/12/2015
- 3,33 từ 01/12/2018
- 3,66 từ 01/12/2021</t>
        </r>
      </text>
    </comment>
    <comment ref="N81" authorId="0" shapeId="0" xr:uid="{00000000-0006-0000-0600-000009010000}">
      <text>
        <r>
          <rPr>
            <b/>
            <sz val="9"/>
            <color indexed="81"/>
            <rFont val="Tahoma"/>
            <family val="2"/>
          </rPr>
          <t>User:</t>
        </r>
        <r>
          <rPr>
            <sz val="9"/>
            <color indexed="81"/>
            <rFont val="Tahoma"/>
            <family val="2"/>
          </rPr>
          <t xml:space="preserve">
- 3.00 từ 01/12/2015
- 3,33 từ 01/12/2018
- 3,66 từ 01/12/2021</t>
        </r>
      </text>
    </comment>
    <comment ref="F82" authorId="1" shapeId="0" xr:uid="{00000000-0006-0000-0600-00000A01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J82" authorId="1" shapeId="0" xr:uid="{00000000-0006-0000-0600-00000B01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N82" authorId="1" shapeId="0" xr:uid="{00000000-0006-0000-0600-00000C01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3" authorId="4" shapeId="0" xr:uid="{00000000-0006-0000-0600-00000D010000}">
      <text>
        <r>
          <rPr>
            <b/>
            <sz val="9"/>
            <color indexed="81"/>
            <rFont val="Tahoma"/>
            <family val="2"/>
          </rPr>
          <t>Quynh:</t>
        </r>
        <r>
          <rPr>
            <sz val="9"/>
            <color indexed="81"/>
            <rFont val="Tahoma"/>
            <family val="2"/>
          </rPr>
          <t xml:space="preserve">
- HS 3,00 từ 01/3/2016
</t>
        </r>
      </text>
    </comment>
    <comment ref="I83" authorId="2" shapeId="0" xr:uid="{00000000-0006-0000-0600-00000E01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J83" authorId="4" shapeId="0" xr:uid="{00000000-0006-0000-0600-00000F010000}">
      <text>
        <r>
          <rPr>
            <b/>
            <sz val="9"/>
            <color indexed="81"/>
            <rFont val="Tahoma"/>
            <family val="2"/>
          </rPr>
          <t>Quynh:</t>
        </r>
        <r>
          <rPr>
            <sz val="9"/>
            <color indexed="81"/>
            <rFont val="Tahoma"/>
            <family val="2"/>
          </rPr>
          <t xml:space="preserve">
- HS 3,00 từ 01/3/2016
</t>
        </r>
      </text>
    </comment>
    <comment ref="M83" authorId="2" shapeId="0" xr:uid="{00000000-0006-0000-0600-00001001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N83" authorId="4" shapeId="0" xr:uid="{00000000-0006-0000-0600-000011010000}">
      <text>
        <r>
          <rPr>
            <b/>
            <sz val="9"/>
            <color indexed="81"/>
            <rFont val="Tahoma"/>
            <family val="2"/>
          </rPr>
          <t>Quynh:</t>
        </r>
        <r>
          <rPr>
            <sz val="9"/>
            <color indexed="81"/>
            <rFont val="Tahoma"/>
            <family val="2"/>
          </rPr>
          <t xml:space="preserve">
- HS 3,00 từ 01/3/2016
</t>
        </r>
      </text>
    </comment>
    <comment ref="Q83" authorId="2" shapeId="0" xr:uid="{00000000-0006-0000-0600-00001201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4" authorId="0" shapeId="0" xr:uid="{00000000-0006-0000-0600-000013010000}">
      <text>
        <r>
          <rPr>
            <b/>
            <sz val="9"/>
            <color indexed="81"/>
            <rFont val="Tahoma"/>
            <family val="2"/>
          </rPr>
          <t>User:</t>
        </r>
        <r>
          <rPr>
            <sz val="9"/>
            <color indexed="81"/>
            <rFont val="Tahoma"/>
            <family val="2"/>
          </rPr>
          <t xml:space="preserve">
- HS 2,34 từ 01/12/2014
- hs 2,67 từ 01/12/2017
- HS 3,00 từ 01/12/2020
- HS 3,33 từ 01/12/2023</t>
        </r>
      </text>
    </comment>
    <comment ref="J84" authorId="0" shapeId="0" xr:uid="{00000000-0006-0000-0600-000014010000}">
      <text>
        <r>
          <rPr>
            <b/>
            <sz val="9"/>
            <color indexed="81"/>
            <rFont val="Tahoma"/>
            <family val="2"/>
          </rPr>
          <t>User:</t>
        </r>
        <r>
          <rPr>
            <sz val="9"/>
            <color indexed="81"/>
            <rFont val="Tahoma"/>
            <family val="2"/>
          </rPr>
          <t xml:space="preserve">
- HS 2,34 từ 01/12/2014
- hs 2,67 từ 01/12/2017
- HS 3,00 từ 01/12/2020
- HS 3,33 từ 01/12/2023</t>
        </r>
      </text>
    </comment>
    <comment ref="N84" authorId="0" shapeId="0" xr:uid="{00000000-0006-0000-0600-00001501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5" authorId="1" shapeId="0" xr:uid="{00000000-0006-0000-0600-000016010000}">
      <text>
        <r>
          <rPr>
            <b/>
            <sz val="9"/>
            <color indexed="81"/>
            <rFont val="Tahoma"/>
            <family val="2"/>
          </rPr>
          <t>Admin:</t>
        </r>
        <r>
          <rPr>
            <sz val="9"/>
            <color indexed="81"/>
            <rFont val="Tahoma"/>
            <family val="2"/>
          </rPr>
          <t xml:space="preserve">
- HS 2,67 từ 01/4/2016
- HS 3.00 từ 01/4/2019
- HS 3,33 từ 01/4/2022
</t>
        </r>
      </text>
    </comment>
    <comment ref="J85" authorId="1" shapeId="0" xr:uid="{00000000-0006-0000-0600-000017010000}">
      <text>
        <r>
          <rPr>
            <b/>
            <sz val="9"/>
            <color indexed="81"/>
            <rFont val="Tahoma"/>
            <family val="2"/>
          </rPr>
          <t>Admin:</t>
        </r>
        <r>
          <rPr>
            <sz val="9"/>
            <color indexed="81"/>
            <rFont val="Tahoma"/>
            <family val="2"/>
          </rPr>
          <t xml:space="preserve">
- HS 2,67 từ 01/4/2016
- HS 3.00 từ 01/4/2019
- HS 3,33 từ 01/4/2022
</t>
        </r>
      </text>
    </comment>
    <comment ref="N85" authorId="1" shapeId="0" xr:uid="{00000000-0006-0000-0600-000018010000}">
      <text>
        <r>
          <rPr>
            <b/>
            <sz val="9"/>
            <color indexed="81"/>
            <rFont val="Tahoma"/>
            <family val="2"/>
          </rPr>
          <t>Admin:</t>
        </r>
        <r>
          <rPr>
            <sz val="9"/>
            <color indexed="81"/>
            <rFont val="Tahoma"/>
            <family val="2"/>
          </rPr>
          <t xml:space="preserve">
- HS 2,67 từ 01/4/2016
- HS 3.00 từ 01/4/2019
- HS 3,33 từ 01/4/2022
</t>
        </r>
      </text>
    </comment>
    <comment ref="F86" authorId="1" shapeId="0" xr:uid="{00000000-0006-0000-0600-000019010000}">
      <text>
        <r>
          <rPr>
            <b/>
            <sz val="9"/>
            <color indexed="81"/>
            <rFont val="Tahoma"/>
            <family val="2"/>
          </rPr>
          <t>Admin:</t>
        </r>
        <r>
          <rPr>
            <sz val="9"/>
            <color indexed="81"/>
            <rFont val="Tahoma"/>
            <family val="2"/>
          </rPr>
          <t xml:space="preserve">
- HS 4,65 từ 01/9/2017
- HS 4,98 từ 01/9/2020</t>
        </r>
      </text>
    </comment>
    <comment ref="G86" authorId="3" shapeId="0" xr:uid="{00000000-0006-0000-0600-00001A010000}">
      <text>
        <r>
          <rPr>
            <b/>
            <sz val="9"/>
            <color indexed="81"/>
            <rFont val="Tahoma"/>
            <family val="2"/>
          </rPr>
          <t>Windows User:</t>
        </r>
        <r>
          <rPr>
            <sz val="9"/>
            <color indexed="81"/>
            <rFont val="Tahoma"/>
            <family val="2"/>
          </rPr>
          <t xml:space="preserve">
- 5% từ 01/9/2023</t>
        </r>
      </text>
    </comment>
    <comment ref="J86" authorId="1" shapeId="0" xr:uid="{00000000-0006-0000-0600-00001B010000}">
      <text>
        <r>
          <rPr>
            <b/>
            <sz val="9"/>
            <color indexed="81"/>
            <rFont val="Tahoma"/>
            <family val="2"/>
          </rPr>
          <t>Admin:</t>
        </r>
        <r>
          <rPr>
            <sz val="9"/>
            <color indexed="81"/>
            <rFont val="Tahoma"/>
            <family val="2"/>
          </rPr>
          <t xml:space="preserve">
- HS 4,65 từ 01/9/2017
- HS 4,98 từ 01/9/2020</t>
        </r>
      </text>
    </comment>
    <comment ref="K86" authorId="3" shapeId="0" xr:uid="{00000000-0006-0000-0600-00001C010000}">
      <text>
        <r>
          <rPr>
            <b/>
            <sz val="9"/>
            <color indexed="81"/>
            <rFont val="Tahoma"/>
            <family val="2"/>
          </rPr>
          <t>Windows User:</t>
        </r>
        <r>
          <rPr>
            <sz val="9"/>
            <color indexed="81"/>
            <rFont val="Tahoma"/>
            <family val="2"/>
          </rPr>
          <t xml:space="preserve">
- 5% từ 01/9/2023</t>
        </r>
      </text>
    </comment>
    <comment ref="N86" authorId="1" shapeId="0" xr:uid="{00000000-0006-0000-0600-00001D010000}">
      <text>
        <r>
          <rPr>
            <b/>
            <sz val="9"/>
            <color indexed="81"/>
            <rFont val="Tahoma"/>
            <family val="2"/>
          </rPr>
          <t>Admin:</t>
        </r>
        <r>
          <rPr>
            <sz val="9"/>
            <color indexed="81"/>
            <rFont val="Tahoma"/>
            <family val="2"/>
          </rPr>
          <t xml:space="preserve">
- HS 4,65 từ 01/9/2017
- HS 4,98 từ 01/9/2020</t>
        </r>
      </text>
    </comment>
    <comment ref="O86" authorId="3" shapeId="0" xr:uid="{00000000-0006-0000-0600-00001E010000}">
      <text>
        <r>
          <rPr>
            <b/>
            <sz val="9"/>
            <color indexed="81"/>
            <rFont val="Tahoma"/>
            <family val="2"/>
          </rPr>
          <t>Windows User:</t>
        </r>
        <r>
          <rPr>
            <sz val="9"/>
            <color indexed="81"/>
            <rFont val="Tahoma"/>
            <family val="2"/>
          </rPr>
          <t xml:space="preserve">
- 5% từ 01/9/2023
- 6% từ 01/9/2024</t>
        </r>
      </text>
    </comment>
    <comment ref="F87" authorId="8" shapeId="0" xr:uid="{00000000-0006-0000-0600-00001F010000}">
      <text>
        <r>
          <rPr>
            <sz val="9"/>
            <color indexed="81"/>
            <rFont val="Tahoma"/>
            <family val="2"/>
          </rPr>
          <t>- HS 4,32 từ 01/12/2017
- HS 4,65 từ 01/12/2019
- HS 4,98 từ 01/12/2022</t>
        </r>
      </text>
    </comment>
    <comment ref="I87" authorId="0" shapeId="0" xr:uid="{00000000-0006-0000-0600-000020010000}">
      <text>
        <r>
          <rPr>
            <b/>
            <sz val="9"/>
            <color indexed="81"/>
            <rFont val="Tahoma"/>
            <family val="2"/>
          </rPr>
          <t>User:</t>
        </r>
        <r>
          <rPr>
            <sz val="9"/>
            <color indexed="81"/>
            <rFont val="Tahoma"/>
            <family val="2"/>
          </rPr>
          <t xml:space="preserve">
Trưởng khoa Kinh tế từ 20/8/2015
</t>
        </r>
      </text>
    </comment>
    <comment ref="J87" authorId="8" shapeId="0" xr:uid="{00000000-0006-0000-0600-000021010000}">
      <text>
        <r>
          <rPr>
            <sz val="9"/>
            <color indexed="81"/>
            <rFont val="Tahoma"/>
            <family val="2"/>
          </rPr>
          <t>- HS 4,32 từ 01/12/2017
- HS 4,65 từ 01/12/2019
- HS 4,98 từ 01/12/2022</t>
        </r>
      </text>
    </comment>
    <comment ref="M87" authorId="0" shapeId="0" xr:uid="{00000000-0006-0000-0600-000022010000}">
      <text>
        <r>
          <rPr>
            <b/>
            <sz val="9"/>
            <color indexed="81"/>
            <rFont val="Tahoma"/>
            <family val="2"/>
          </rPr>
          <t>User:</t>
        </r>
        <r>
          <rPr>
            <sz val="9"/>
            <color indexed="81"/>
            <rFont val="Tahoma"/>
            <family val="2"/>
          </rPr>
          <t xml:space="preserve">
Trưởng khoa Kinh tế từ 20/8/2015
</t>
        </r>
      </text>
    </comment>
    <comment ref="N87" authorId="8" shapeId="0" xr:uid="{00000000-0006-0000-0600-000023010000}">
      <text>
        <r>
          <rPr>
            <sz val="9"/>
            <color indexed="81"/>
            <rFont val="Tahoma"/>
            <family val="2"/>
          </rPr>
          <t>- HS 4,32 từ 01/12/2017
- HS 4,65 từ 01/12/2019
- HS 4,98 từ 01/12/2022</t>
        </r>
      </text>
    </comment>
    <comment ref="Q87" authorId="0" shapeId="0" xr:uid="{00000000-0006-0000-0600-000024010000}">
      <text>
        <r>
          <rPr>
            <b/>
            <sz val="9"/>
            <color indexed="81"/>
            <rFont val="Tahoma"/>
            <family val="2"/>
          </rPr>
          <t>User:</t>
        </r>
        <r>
          <rPr>
            <sz val="9"/>
            <color indexed="81"/>
            <rFont val="Tahoma"/>
            <family val="2"/>
          </rPr>
          <t xml:space="preserve">
Trưởng khoa Kinh tế từ 20/8/2015
</t>
        </r>
      </text>
    </comment>
    <comment ref="F89" authorId="2" shapeId="0" xr:uid="{00000000-0006-0000-0600-000025010000}">
      <text>
        <r>
          <rPr>
            <b/>
            <sz val="9"/>
            <color indexed="81"/>
            <rFont val="Tahoma"/>
            <family val="2"/>
          </rPr>
          <t>user:</t>
        </r>
        <r>
          <rPr>
            <sz val="9"/>
            <color indexed="81"/>
            <rFont val="Tahoma"/>
            <family val="2"/>
          </rPr>
          <t xml:space="preserve">
- HS 2,34 từ 01/10/2019
- HS 2,67 từ 01/10/2021 (NL trước hạn)</t>
        </r>
      </text>
    </comment>
    <comment ref="I89" authorId="2" shapeId="0" xr:uid="{00000000-0006-0000-0600-00002601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J89" authorId="2" shapeId="0" xr:uid="{00000000-0006-0000-0600-000027010000}">
      <text>
        <r>
          <rPr>
            <b/>
            <sz val="9"/>
            <color indexed="81"/>
            <rFont val="Tahoma"/>
            <family val="2"/>
          </rPr>
          <t>user:</t>
        </r>
        <r>
          <rPr>
            <sz val="9"/>
            <color indexed="81"/>
            <rFont val="Tahoma"/>
            <family val="2"/>
          </rPr>
          <t xml:space="preserve">
- HS 2,34 từ 01/10/2019
- HS 2,67 từ 01/10/2021 (NL trước hạn)</t>
        </r>
      </text>
    </comment>
    <comment ref="M89" authorId="2" shapeId="0" xr:uid="{00000000-0006-0000-0600-00002801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N89" authorId="2" shapeId="0" xr:uid="{00000000-0006-0000-0600-000029010000}">
      <text>
        <r>
          <rPr>
            <b/>
            <sz val="9"/>
            <color indexed="81"/>
            <rFont val="Tahoma"/>
            <family val="2"/>
          </rPr>
          <t>user:</t>
        </r>
        <r>
          <rPr>
            <sz val="9"/>
            <color indexed="81"/>
            <rFont val="Tahoma"/>
            <family val="2"/>
          </rPr>
          <t xml:space="preserve">
- HS 2,34 từ 01/10/2019
- HS 2,67 từ 01/10/2021 (NL trước hạn)</t>
        </r>
      </text>
    </comment>
    <comment ref="Q89" authorId="2" shapeId="0" xr:uid="{00000000-0006-0000-0600-00002A01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0" authorId="1" shapeId="0" xr:uid="{00000000-0006-0000-0600-00002B01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J90" authorId="1" shapeId="0" xr:uid="{00000000-0006-0000-0600-00002C01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N90" authorId="1" shapeId="0" xr:uid="{00000000-0006-0000-0600-00002D01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1" authorId="1" shapeId="0" xr:uid="{00000000-0006-0000-0600-00002E010000}">
      <text>
        <r>
          <rPr>
            <b/>
            <sz val="9"/>
            <color indexed="81"/>
            <rFont val="Tahoma"/>
            <family val="2"/>
          </rPr>
          <t>Admin:</t>
        </r>
        <r>
          <rPr>
            <sz val="9"/>
            <color indexed="81"/>
            <rFont val="Tahoma"/>
            <family val="2"/>
          </rPr>
          <t xml:space="preserve">
'- HS 3.00 (BN từ 01/4/18)
- HS 3,33 từ 01/02/2020
- HS 3,66 từ 01/02/2022 (NL trước hạn)</t>
        </r>
      </text>
    </comment>
    <comment ref="I91" authorId="2" shapeId="0" xr:uid="{00000000-0006-0000-0600-00002F010000}">
      <text>
        <r>
          <rPr>
            <b/>
            <sz val="9"/>
            <color indexed="81"/>
            <rFont val="Tahoma"/>
            <family val="2"/>
          </rPr>
          <t>user:</t>
        </r>
        <r>
          <rPr>
            <sz val="9"/>
            <color indexed="81"/>
            <rFont val="Tahoma"/>
            <family val="2"/>
          </rPr>
          <t xml:space="preserve">
Phụ trách khoa Xây dựng từ 01/5/2019
- TK từ 01/5/2023</t>
        </r>
      </text>
    </comment>
    <comment ref="J91" authorId="1" shapeId="0" xr:uid="{00000000-0006-0000-0600-000030010000}">
      <text>
        <r>
          <rPr>
            <b/>
            <sz val="9"/>
            <color indexed="81"/>
            <rFont val="Tahoma"/>
            <family val="2"/>
          </rPr>
          <t>Admin:</t>
        </r>
        <r>
          <rPr>
            <sz val="9"/>
            <color indexed="81"/>
            <rFont val="Tahoma"/>
            <family val="2"/>
          </rPr>
          <t xml:space="preserve">
'- HS 3.00 (BN từ 01/4/18)
- HS 3,33 từ 01/02/2020
- HS 3,66 từ 01/02/2022 (NL trước hạn)</t>
        </r>
      </text>
    </comment>
    <comment ref="M91" authorId="2" shapeId="0" xr:uid="{00000000-0006-0000-0600-000031010000}">
      <text>
        <r>
          <rPr>
            <b/>
            <sz val="9"/>
            <color indexed="81"/>
            <rFont val="Tahoma"/>
            <family val="2"/>
          </rPr>
          <t>user:</t>
        </r>
        <r>
          <rPr>
            <sz val="9"/>
            <color indexed="81"/>
            <rFont val="Tahoma"/>
            <family val="2"/>
          </rPr>
          <t xml:space="preserve">
Phụ trách khoa Xây dựng từ 01/5/2019
- TK từ 01/5/2023</t>
        </r>
      </text>
    </comment>
    <comment ref="N91" authorId="1" shapeId="0" xr:uid="{00000000-0006-0000-0600-000032010000}">
      <text>
        <r>
          <rPr>
            <b/>
            <sz val="9"/>
            <color indexed="81"/>
            <rFont val="Tahoma"/>
            <family val="2"/>
          </rPr>
          <t>Admin:</t>
        </r>
        <r>
          <rPr>
            <sz val="9"/>
            <color indexed="81"/>
            <rFont val="Tahoma"/>
            <family val="2"/>
          </rPr>
          <t xml:space="preserve">
'- HS 3.00 (BN từ 01/4/18)
- HS 3,33 từ 01/02/2020
- HS 3,66 từ 01/02/2022 (NL trước hạn)</t>
        </r>
      </text>
    </comment>
    <comment ref="Q91" authorId="2" shapeId="0" xr:uid="{00000000-0006-0000-0600-000033010000}">
      <text>
        <r>
          <rPr>
            <b/>
            <sz val="9"/>
            <color indexed="81"/>
            <rFont val="Tahoma"/>
            <family val="2"/>
          </rPr>
          <t>user:</t>
        </r>
        <r>
          <rPr>
            <sz val="9"/>
            <color indexed="81"/>
            <rFont val="Tahoma"/>
            <family val="2"/>
          </rPr>
          <t xml:space="preserve">
Phụ trách khoa Xây dựng từ 01/5/2019
- TK từ 01/5/2023</t>
        </r>
      </text>
    </comment>
    <comment ref="F92" authorId="2" shapeId="0" xr:uid="{00000000-0006-0000-0600-000034010000}">
      <text>
        <r>
          <rPr>
            <b/>
            <sz val="9"/>
            <color indexed="81"/>
            <rFont val="Tahoma"/>
            <family val="2"/>
          </rPr>
          <t>user:</t>
        </r>
        <r>
          <rPr>
            <sz val="9"/>
            <color indexed="81"/>
            <rFont val="Tahoma"/>
            <family val="2"/>
          </rPr>
          <t xml:space="preserve">
- Tuyển dụng từ T5/20
- HS 2,67 từ 01/5/2021
- HS 3,00 từ 01/9/2024</t>
        </r>
      </text>
    </comment>
    <comment ref="J92" authorId="2" shapeId="0" xr:uid="{00000000-0006-0000-0600-000035010000}">
      <text>
        <r>
          <rPr>
            <b/>
            <sz val="9"/>
            <color indexed="81"/>
            <rFont val="Tahoma"/>
            <family val="2"/>
          </rPr>
          <t>user:</t>
        </r>
        <r>
          <rPr>
            <sz val="9"/>
            <color indexed="81"/>
            <rFont val="Tahoma"/>
            <family val="2"/>
          </rPr>
          <t xml:space="preserve">
- Tuyển dụng từ T5/20
- HS 2,67 từ 01/5/2021
- HS 3,00 từ 01/9/2024</t>
        </r>
      </text>
    </comment>
    <comment ref="N92" authorId="2" shapeId="0" xr:uid="{00000000-0006-0000-0600-000036010000}">
      <text>
        <r>
          <rPr>
            <b/>
            <sz val="9"/>
            <color indexed="81"/>
            <rFont val="Tahoma"/>
            <family val="2"/>
          </rPr>
          <t>user:</t>
        </r>
        <r>
          <rPr>
            <sz val="9"/>
            <color indexed="81"/>
            <rFont val="Tahoma"/>
            <family val="2"/>
          </rPr>
          <t xml:space="preserve">
- Tuyển dụng từ T5/20
- HS 2,67 từ 01/5/2021
- HS 3,00 từ 01/9/2024</t>
        </r>
      </text>
    </comment>
    <comment ref="F93" authorId="2" shapeId="0" xr:uid="{00000000-0006-0000-0600-000037010000}">
      <text>
        <r>
          <rPr>
            <b/>
            <sz val="9"/>
            <color indexed="81"/>
            <rFont val="Tahoma"/>
            <family val="2"/>
          </rPr>
          <t>user:</t>
        </r>
        <r>
          <rPr>
            <sz val="9"/>
            <color indexed="81"/>
            <rFont val="Tahoma"/>
            <family val="2"/>
          </rPr>
          <t xml:space="preserve">
- HS 1,989 từ 01/4/21 (Tuyển dụng)
- HS 2,34 từ 01/4/2022</t>
        </r>
      </text>
    </comment>
    <comment ref="J93" authorId="2" shapeId="0" xr:uid="{00000000-0006-0000-0600-000038010000}">
      <text>
        <r>
          <rPr>
            <b/>
            <sz val="9"/>
            <color indexed="81"/>
            <rFont val="Tahoma"/>
            <family val="2"/>
          </rPr>
          <t>user:</t>
        </r>
        <r>
          <rPr>
            <sz val="9"/>
            <color indexed="81"/>
            <rFont val="Tahoma"/>
            <family val="2"/>
          </rPr>
          <t xml:space="preserve">
- HS 1,989 từ 01/4/21 (Tuyển dụng)
- HS 2,34 từ 01/4/2022</t>
        </r>
      </text>
    </comment>
    <comment ref="N93" authorId="2" shapeId="0" xr:uid="{00000000-0006-0000-0600-000039010000}">
      <text>
        <r>
          <rPr>
            <b/>
            <sz val="9"/>
            <color indexed="81"/>
            <rFont val="Tahoma"/>
            <family val="2"/>
          </rPr>
          <t>user:</t>
        </r>
        <r>
          <rPr>
            <sz val="9"/>
            <color indexed="81"/>
            <rFont val="Tahoma"/>
            <family val="2"/>
          </rPr>
          <t xml:space="preserve">
- HS 1,989 từ 01/4/21 (Tuyển dụng)
- HS 2,34 từ 01/4/2022</t>
        </r>
      </text>
    </comment>
    <comment ref="F94" authorId="1" shapeId="0" xr:uid="{00000000-0006-0000-0600-00003A010000}">
      <text>
        <r>
          <rPr>
            <b/>
            <sz val="9"/>
            <color indexed="81"/>
            <rFont val="Tahoma"/>
            <family val="2"/>
          </rPr>
          <t>Admin:</t>
        </r>
        <r>
          <rPr>
            <sz val="9"/>
            <color indexed="81"/>
            <rFont val="Tahoma"/>
            <family val="2"/>
          </rPr>
          <t xml:space="preserve">
- HS 3,33 từ 01/9/2016
- HS 3,66 từ 01/9/2019
- HS 3,99 từ 01/9/2022</t>
        </r>
      </text>
    </comment>
    <comment ref="I94" authorId="4" shapeId="0" xr:uid="{00000000-0006-0000-0600-00003B01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J94" authorId="1" shapeId="0" xr:uid="{00000000-0006-0000-0600-00003C010000}">
      <text>
        <r>
          <rPr>
            <b/>
            <sz val="9"/>
            <color indexed="81"/>
            <rFont val="Tahoma"/>
            <family val="2"/>
          </rPr>
          <t>Admin:</t>
        </r>
        <r>
          <rPr>
            <sz val="9"/>
            <color indexed="81"/>
            <rFont val="Tahoma"/>
            <family val="2"/>
          </rPr>
          <t xml:space="preserve">
- HS 3,33 từ 01/9/2016
- HS 3,66 từ 01/9/2019
- HS 3,99 từ 01/9/2022</t>
        </r>
      </text>
    </comment>
    <comment ref="M94" authorId="4" shapeId="0" xr:uid="{00000000-0006-0000-0600-00003D01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N94" authorId="1" shapeId="0" xr:uid="{00000000-0006-0000-0600-00003E010000}">
      <text>
        <r>
          <rPr>
            <b/>
            <sz val="9"/>
            <color indexed="81"/>
            <rFont val="Tahoma"/>
            <family val="2"/>
          </rPr>
          <t>Admin:</t>
        </r>
        <r>
          <rPr>
            <sz val="9"/>
            <color indexed="81"/>
            <rFont val="Tahoma"/>
            <family val="2"/>
          </rPr>
          <t xml:space="preserve">
- HS 3,33 từ 01/9/2016
- HS 3,66 từ 01/9/2019
- HS 3,99 từ 01/9/2022</t>
        </r>
      </text>
    </comment>
    <comment ref="Q94" authorId="4" shapeId="0" xr:uid="{00000000-0006-0000-0600-00003F01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5" authorId="4" shapeId="0" xr:uid="{00000000-0006-0000-0600-000040010000}">
      <text>
        <r>
          <rPr>
            <b/>
            <sz val="9"/>
            <color indexed="81"/>
            <rFont val="Tahoma"/>
            <family val="2"/>
          </rPr>
          <t>Quynh:</t>
        </r>
        <r>
          <rPr>
            <sz val="9"/>
            <color indexed="81"/>
            <rFont val="Tahoma"/>
            <family val="2"/>
          </rPr>
          <t xml:space="preserve">
- HS 2,67 từ 01/10/2018
- HS 3,00 từ 01/10/2021</t>
        </r>
      </text>
    </comment>
    <comment ref="J95" authorId="4" shapeId="0" xr:uid="{00000000-0006-0000-0600-000041010000}">
      <text>
        <r>
          <rPr>
            <b/>
            <sz val="9"/>
            <color indexed="81"/>
            <rFont val="Tahoma"/>
            <family val="2"/>
          </rPr>
          <t>Quynh:</t>
        </r>
        <r>
          <rPr>
            <sz val="9"/>
            <color indexed="81"/>
            <rFont val="Tahoma"/>
            <family val="2"/>
          </rPr>
          <t xml:space="preserve">
- HS 2,67 từ 01/10/2018
- HS 3,00 từ 01/10/2021</t>
        </r>
      </text>
    </comment>
    <comment ref="N95" authorId="4" shapeId="0" xr:uid="{00000000-0006-0000-0600-000042010000}">
      <text>
        <r>
          <rPr>
            <b/>
            <sz val="9"/>
            <color indexed="81"/>
            <rFont val="Tahoma"/>
            <family val="2"/>
          </rPr>
          <t>Quynh:</t>
        </r>
        <r>
          <rPr>
            <sz val="9"/>
            <color indexed="81"/>
            <rFont val="Tahoma"/>
            <family val="2"/>
          </rPr>
          <t xml:space="preserve">
- HS 2,67 từ 01/10/2018
- HS 3,00 từ 01/10/2021</t>
        </r>
      </text>
    </comment>
    <comment ref="F96" authorId="2" shapeId="0" xr:uid="{00000000-0006-0000-0600-000043010000}">
      <text>
        <r>
          <rPr>
            <b/>
            <sz val="9"/>
            <color indexed="81"/>
            <rFont val="Tahoma"/>
            <family val="2"/>
          </rPr>
          <t>user:</t>
        </r>
        <r>
          <rPr>
            <sz val="9"/>
            <color indexed="81"/>
            <rFont val="Tahoma"/>
            <family val="2"/>
          </rPr>
          <t xml:space="preserve">
- HS 2,67 từ 01/10/2019
- HS 3,00 từ 01/10/2022</t>
        </r>
      </text>
    </comment>
    <comment ref="J96" authorId="2" shapeId="0" xr:uid="{00000000-0006-0000-0600-000044010000}">
      <text>
        <r>
          <rPr>
            <b/>
            <sz val="9"/>
            <color indexed="81"/>
            <rFont val="Tahoma"/>
            <family val="2"/>
          </rPr>
          <t>user:</t>
        </r>
        <r>
          <rPr>
            <sz val="9"/>
            <color indexed="81"/>
            <rFont val="Tahoma"/>
            <family val="2"/>
          </rPr>
          <t xml:space="preserve">
- HS 2,67 từ 01/10/2019
- HS 3,00 từ 01/10/2022</t>
        </r>
      </text>
    </comment>
    <comment ref="N96" authorId="2" shapeId="0" xr:uid="{00000000-0006-0000-0600-000045010000}">
      <text>
        <r>
          <rPr>
            <b/>
            <sz val="9"/>
            <color indexed="81"/>
            <rFont val="Tahoma"/>
            <family val="2"/>
          </rPr>
          <t>user:</t>
        </r>
        <r>
          <rPr>
            <sz val="9"/>
            <color indexed="81"/>
            <rFont val="Tahoma"/>
            <family val="2"/>
          </rPr>
          <t xml:space="preserve">
- HS 2,67 từ 01/10/2019
- HS 3,00 từ 01/10/2022</t>
        </r>
      </text>
    </comment>
    <comment ref="F97" authorId="1" shapeId="0" xr:uid="{00000000-0006-0000-0600-000046010000}">
      <text>
        <r>
          <rPr>
            <b/>
            <sz val="9"/>
            <color indexed="81"/>
            <rFont val="Tahoma"/>
            <family val="2"/>
          </rPr>
          <t>Admin:</t>
        </r>
        <r>
          <rPr>
            <sz val="9"/>
            <color indexed="81"/>
            <rFont val="Tahoma"/>
            <family val="2"/>
          </rPr>
          <t xml:space="preserve">
- HS 3,00 từ 01/12/2016
- HS 3,33 từ 01/12/2019
- HS 3,66 từ 01/12/2021</t>
        </r>
      </text>
    </comment>
    <comment ref="I97" authorId="4" shapeId="0" xr:uid="{00000000-0006-0000-0600-00004701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J97" authorId="1" shapeId="0" xr:uid="{00000000-0006-0000-0600-000048010000}">
      <text>
        <r>
          <rPr>
            <b/>
            <sz val="9"/>
            <color indexed="81"/>
            <rFont val="Tahoma"/>
            <family val="2"/>
          </rPr>
          <t>Admin:</t>
        </r>
        <r>
          <rPr>
            <sz val="9"/>
            <color indexed="81"/>
            <rFont val="Tahoma"/>
            <family val="2"/>
          </rPr>
          <t xml:space="preserve">
- HS 3,00 từ 01/12/2016
- HS 3,33 từ 01/12/2019
- HS 3,66 từ 01/12/2021</t>
        </r>
      </text>
    </comment>
    <comment ref="M97" authorId="4" shapeId="0" xr:uid="{00000000-0006-0000-0600-00004901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N97" authorId="1" shapeId="0" xr:uid="{00000000-0006-0000-0600-00004A010000}">
      <text>
        <r>
          <rPr>
            <b/>
            <sz val="9"/>
            <color indexed="81"/>
            <rFont val="Tahoma"/>
            <family val="2"/>
          </rPr>
          <t>Admin:</t>
        </r>
        <r>
          <rPr>
            <sz val="9"/>
            <color indexed="81"/>
            <rFont val="Tahoma"/>
            <family val="2"/>
          </rPr>
          <t xml:space="preserve">
- HS 3,00 từ 01/12/2016
- HS 3,33 từ 01/12/2019
- HS 3,66 từ 01/12/2021</t>
        </r>
      </text>
    </comment>
    <comment ref="Q97" authorId="4" shapeId="0" xr:uid="{00000000-0006-0000-0600-00004B01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8" authorId="2" shapeId="0" xr:uid="{00000000-0006-0000-0600-00004C01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J98" authorId="2" shapeId="0" xr:uid="{00000000-0006-0000-0600-00004D01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N98" authorId="2" shapeId="0" xr:uid="{00000000-0006-0000-0600-00004E01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9" authorId="1" shapeId="0" xr:uid="{00000000-0006-0000-0600-00004F010000}">
      <text>
        <r>
          <rPr>
            <b/>
            <sz val="9"/>
            <color indexed="81"/>
            <rFont val="Tahoma"/>
            <family val="2"/>
          </rPr>
          <t>Admin:</t>
        </r>
        <r>
          <rPr>
            <sz val="9"/>
            <color indexed="81"/>
            <rFont val="Tahoma"/>
            <family val="2"/>
          </rPr>
          <t xml:space="preserve">
- HS 2,67 từ 01/9/2016
- HS 3,00 từ 01/9/2019
- HS 3,33 từ 01/9/2022</t>
        </r>
      </text>
    </comment>
    <comment ref="J99" authorId="1" shapeId="0" xr:uid="{00000000-0006-0000-0600-000050010000}">
      <text>
        <r>
          <rPr>
            <b/>
            <sz val="9"/>
            <color indexed="81"/>
            <rFont val="Tahoma"/>
            <family val="2"/>
          </rPr>
          <t>Admin:</t>
        </r>
        <r>
          <rPr>
            <sz val="9"/>
            <color indexed="81"/>
            <rFont val="Tahoma"/>
            <family val="2"/>
          </rPr>
          <t xml:space="preserve">
- HS 2,67 từ 01/9/2016
- HS 3,00 từ 01/9/2019
- HS 3,33 từ 01/9/2022</t>
        </r>
      </text>
    </comment>
    <comment ref="N99" authorId="1" shapeId="0" xr:uid="{00000000-0006-0000-0600-000051010000}">
      <text>
        <r>
          <rPr>
            <b/>
            <sz val="9"/>
            <color indexed="81"/>
            <rFont val="Tahoma"/>
            <family val="2"/>
          </rPr>
          <t>Admin:</t>
        </r>
        <r>
          <rPr>
            <sz val="9"/>
            <color indexed="81"/>
            <rFont val="Tahoma"/>
            <family val="2"/>
          </rPr>
          <t xml:space="preserve">
- HS 2,67 từ 01/9/2016
- HS 3,00 từ 01/9/2019
- HS 3,33 từ 01/9/2022</t>
        </r>
      </text>
    </comment>
    <comment ref="F100" authorId="4" shapeId="0" xr:uid="{00000000-0006-0000-0600-000052010000}">
      <text>
        <r>
          <rPr>
            <b/>
            <sz val="9"/>
            <color indexed="81"/>
            <rFont val="Tahoma"/>
            <family val="2"/>
          </rPr>
          <t>Quynh:</t>
        </r>
        <r>
          <rPr>
            <sz val="9"/>
            <color indexed="81"/>
            <rFont val="Tahoma"/>
            <family val="2"/>
          </rPr>
          <t xml:space="preserve">
- HS 2,67 từ 01/10/2018
- HS 3,00 từ 01/10/2021</t>
        </r>
      </text>
    </comment>
    <comment ref="J100" authorId="4" shapeId="0" xr:uid="{00000000-0006-0000-0600-000053010000}">
      <text>
        <r>
          <rPr>
            <b/>
            <sz val="9"/>
            <color indexed="81"/>
            <rFont val="Tahoma"/>
            <family val="2"/>
          </rPr>
          <t>Quynh:</t>
        </r>
        <r>
          <rPr>
            <sz val="9"/>
            <color indexed="81"/>
            <rFont val="Tahoma"/>
            <family val="2"/>
          </rPr>
          <t xml:space="preserve">
- HS 2,67 từ 01/10/2018
- HS 3,00 từ 01/10/2021</t>
        </r>
      </text>
    </comment>
    <comment ref="N100" authorId="4" shapeId="0" xr:uid="{00000000-0006-0000-0600-000054010000}">
      <text>
        <r>
          <rPr>
            <b/>
            <sz val="9"/>
            <color indexed="81"/>
            <rFont val="Tahoma"/>
            <family val="2"/>
          </rPr>
          <t>Quynh:</t>
        </r>
        <r>
          <rPr>
            <sz val="9"/>
            <color indexed="81"/>
            <rFont val="Tahoma"/>
            <family val="2"/>
          </rPr>
          <t xml:space="preserve">
- HS 2,67 từ 01/10/2018
- HS 3,00 từ 01/10/2021</t>
        </r>
      </text>
    </comment>
    <comment ref="F101" authorId="1" shapeId="0" xr:uid="{00000000-0006-0000-0600-000055010000}">
      <text>
        <r>
          <rPr>
            <b/>
            <sz val="9"/>
            <color indexed="81"/>
            <rFont val="Tahoma"/>
            <family val="2"/>
          </rPr>
          <t>Admin:</t>
        </r>
        <r>
          <rPr>
            <sz val="9"/>
            <color indexed="81"/>
            <rFont val="Tahoma"/>
            <family val="2"/>
          </rPr>
          <t xml:space="preserve">
- HS 3,00 từ 01/9/2016
- HS 3,33 từ 01/9/2019
- HS 3,66 từ 01/9/2022</t>
        </r>
      </text>
    </comment>
    <comment ref="J101" authorId="1" shapeId="0" xr:uid="{00000000-0006-0000-0600-000056010000}">
      <text>
        <r>
          <rPr>
            <b/>
            <sz val="9"/>
            <color indexed="81"/>
            <rFont val="Tahoma"/>
            <family val="2"/>
          </rPr>
          <t>Admin:</t>
        </r>
        <r>
          <rPr>
            <sz val="9"/>
            <color indexed="81"/>
            <rFont val="Tahoma"/>
            <family val="2"/>
          </rPr>
          <t xml:space="preserve">
- HS 3,00 từ 01/9/2016
- HS 3,33 từ 01/9/2019
- HS 3,66 từ 01/9/2022</t>
        </r>
      </text>
    </comment>
    <comment ref="N101" authorId="1" shapeId="0" xr:uid="{00000000-0006-0000-0600-000057010000}">
      <text>
        <r>
          <rPr>
            <b/>
            <sz val="9"/>
            <color indexed="81"/>
            <rFont val="Tahoma"/>
            <family val="2"/>
          </rPr>
          <t>Admin:</t>
        </r>
        <r>
          <rPr>
            <sz val="9"/>
            <color indexed="81"/>
            <rFont val="Tahoma"/>
            <family val="2"/>
          </rPr>
          <t xml:space="preserve">
- HS 3,00 từ 01/9/2016
- HS 3,33 từ 01/9/2019
- HS 3,66 từ 01/9/2022</t>
        </r>
      </text>
    </comment>
    <comment ref="F102" authorId="1" shapeId="0" xr:uid="{00000000-0006-0000-0600-000058010000}">
      <text>
        <r>
          <rPr>
            <b/>
            <sz val="9"/>
            <color indexed="81"/>
            <rFont val="Tahoma"/>
            <family val="2"/>
          </rPr>
          <t>Admin:</t>
        </r>
        <r>
          <rPr>
            <sz val="9"/>
            <color indexed="81"/>
            <rFont val="Tahoma"/>
            <family val="2"/>
          </rPr>
          <t xml:space="preserve">
- HS 2,34 từ 01/09/2016
- HS 2,67 từ 01/09/2019
- HS 3,00 từ 01/09/2022
</t>
        </r>
      </text>
    </comment>
    <comment ref="J102" authorId="1" shapeId="0" xr:uid="{00000000-0006-0000-0600-000059010000}">
      <text>
        <r>
          <rPr>
            <b/>
            <sz val="9"/>
            <color indexed="81"/>
            <rFont val="Tahoma"/>
            <family val="2"/>
          </rPr>
          <t>Admin:</t>
        </r>
        <r>
          <rPr>
            <sz val="9"/>
            <color indexed="81"/>
            <rFont val="Tahoma"/>
            <family val="2"/>
          </rPr>
          <t xml:space="preserve">
- HS 2,34 từ 01/09/2016
- HS 2,67 từ 01/09/2019
- HS 3,00 từ 01/09/2022
</t>
        </r>
      </text>
    </comment>
    <comment ref="N102" authorId="1" shapeId="0" xr:uid="{00000000-0006-0000-0600-00005A010000}">
      <text>
        <r>
          <rPr>
            <b/>
            <sz val="9"/>
            <color indexed="81"/>
            <rFont val="Tahoma"/>
            <family val="2"/>
          </rPr>
          <t>Admin:</t>
        </r>
        <r>
          <rPr>
            <sz val="9"/>
            <color indexed="81"/>
            <rFont val="Tahoma"/>
            <family val="2"/>
          </rPr>
          <t xml:space="preserve">
- HS 2,34 từ 01/09/2016
- HS 2,67 từ 01/09/2019
- HS 3,00 từ 01/09/2022
</t>
        </r>
      </text>
    </comment>
    <comment ref="F103" authorId="1" shapeId="0" xr:uid="{00000000-0006-0000-0600-00005B010000}">
      <text>
        <r>
          <rPr>
            <sz val="9"/>
            <color indexed="81"/>
            <rFont val="Tahoma"/>
            <family val="2"/>
          </rPr>
          <t>- HS 3,00  từ 01/01/2018
- HS 3,33 từ 01/01/2020 (NL trước hạn)
- HS 3,66 từ 01/01/2023</t>
        </r>
      </text>
    </comment>
    <comment ref="I103" authorId="4" shapeId="0" xr:uid="{00000000-0006-0000-0600-00005C010000}">
      <text>
        <r>
          <rPr>
            <b/>
            <sz val="9"/>
            <color indexed="81"/>
            <rFont val="Tahoma"/>
            <family val="2"/>
          </rPr>
          <t>Quynh:</t>
        </r>
        <r>
          <rPr>
            <sz val="9"/>
            <color indexed="81"/>
            <rFont val="Tahoma"/>
            <family val="2"/>
          </rPr>
          <t xml:space="preserve">
- BN Trưởng BM Cơ sở ngành từ 01/1/2019</t>
        </r>
      </text>
    </comment>
    <comment ref="J103" authorId="1" shapeId="0" xr:uid="{00000000-0006-0000-0600-00005D010000}">
      <text>
        <r>
          <rPr>
            <sz val="9"/>
            <color indexed="81"/>
            <rFont val="Tahoma"/>
            <family val="2"/>
          </rPr>
          <t>- HS 3,00  từ 01/01/2018
- HS 3,33 từ 01/01/2020 (NL trước hạn)
- HS 3,66 từ 01/01/2023</t>
        </r>
      </text>
    </comment>
    <comment ref="M103" authorId="4" shapeId="0" xr:uid="{00000000-0006-0000-0600-00005E010000}">
      <text>
        <r>
          <rPr>
            <b/>
            <sz val="9"/>
            <color indexed="81"/>
            <rFont val="Tahoma"/>
            <family val="2"/>
          </rPr>
          <t>Quynh:</t>
        </r>
        <r>
          <rPr>
            <sz val="9"/>
            <color indexed="81"/>
            <rFont val="Tahoma"/>
            <family val="2"/>
          </rPr>
          <t xml:space="preserve">
- BN Trưởng BM Cơ sở ngành từ 01/1/2019</t>
        </r>
      </text>
    </comment>
    <comment ref="N103" authorId="1" shapeId="0" xr:uid="{00000000-0006-0000-0600-00005F010000}">
      <text>
        <r>
          <rPr>
            <sz val="9"/>
            <color indexed="81"/>
            <rFont val="Tahoma"/>
            <family val="2"/>
          </rPr>
          <t>- HS 3,00  từ 01/01/2018
- HS 3,33 từ 01/01/2020 (NL trước hạn)
- HS 3,66 từ 01/01/2023</t>
        </r>
      </text>
    </comment>
    <comment ref="Q103" authorId="4" shapeId="0" xr:uid="{00000000-0006-0000-0600-000060010000}">
      <text>
        <r>
          <rPr>
            <b/>
            <sz val="9"/>
            <color indexed="81"/>
            <rFont val="Tahoma"/>
            <family val="2"/>
          </rPr>
          <t>Quynh:</t>
        </r>
        <r>
          <rPr>
            <sz val="9"/>
            <color indexed="81"/>
            <rFont val="Tahoma"/>
            <family val="2"/>
          </rPr>
          <t xml:space="preserve">
- BN Trưởng BM Cơ sở ngành từ 01/1/2019</t>
        </r>
      </text>
    </comment>
    <comment ref="F104" authorId="2" shapeId="0" xr:uid="{00000000-0006-0000-0600-00006101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J104" authorId="2" shapeId="0" xr:uid="{00000000-0006-0000-0600-00006201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N104" authorId="2" shapeId="0" xr:uid="{00000000-0006-0000-0600-00006301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5" authorId="2" shapeId="0" xr:uid="{00000000-0006-0000-0600-000064010000}">
      <text>
        <r>
          <rPr>
            <b/>
            <sz val="9"/>
            <color indexed="81"/>
            <rFont val="Tahoma"/>
            <family val="2"/>
          </rPr>
          <t>user:</t>
        </r>
        <r>
          <rPr>
            <sz val="9"/>
            <color indexed="81"/>
            <rFont val="Tahoma"/>
            <family val="2"/>
          </rPr>
          <t xml:space="preserve">
- HS 2,34 từ 01/5/2021
- HS 2,67 từ 01/5/2023 (NL trước hạn)</t>
        </r>
      </text>
    </comment>
    <comment ref="I105" authorId="3" shapeId="0" xr:uid="{00000000-0006-0000-0600-000065010000}">
      <text>
        <r>
          <rPr>
            <b/>
            <sz val="9"/>
            <color indexed="81"/>
            <rFont val="Tahoma"/>
            <family val="2"/>
          </rPr>
          <t>Windows User:</t>
        </r>
        <r>
          <rPr>
            <sz val="9"/>
            <color indexed="81"/>
            <rFont val="Tahoma"/>
            <family val="2"/>
          </rPr>
          <t xml:space="preserve">
- BN Trưởng khoa DL-KS từ 01/12/2023</t>
        </r>
      </text>
    </comment>
    <comment ref="J105" authorId="2" shapeId="0" xr:uid="{00000000-0006-0000-0600-000066010000}">
      <text>
        <r>
          <rPr>
            <b/>
            <sz val="9"/>
            <color indexed="81"/>
            <rFont val="Tahoma"/>
            <family val="2"/>
          </rPr>
          <t>user:</t>
        </r>
        <r>
          <rPr>
            <sz val="9"/>
            <color indexed="81"/>
            <rFont val="Tahoma"/>
            <family val="2"/>
          </rPr>
          <t xml:space="preserve">
- HS 2,34 từ 01/5/2021
- HS 2,67 từ 01/5/2023 (NL trước hạn)</t>
        </r>
      </text>
    </comment>
    <comment ref="M105" authorId="3" shapeId="0" xr:uid="{00000000-0006-0000-0600-000067010000}">
      <text>
        <r>
          <rPr>
            <b/>
            <sz val="9"/>
            <color indexed="81"/>
            <rFont val="Tahoma"/>
            <family val="2"/>
          </rPr>
          <t>Windows User:</t>
        </r>
        <r>
          <rPr>
            <sz val="9"/>
            <color indexed="81"/>
            <rFont val="Tahoma"/>
            <family val="2"/>
          </rPr>
          <t xml:space="preserve">
- BN Trưởng khoa DL-KS từ 01/12/2023</t>
        </r>
      </text>
    </comment>
    <comment ref="N105" authorId="2" shapeId="0" xr:uid="{00000000-0006-0000-0600-000068010000}">
      <text>
        <r>
          <rPr>
            <b/>
            <sz val="9"/>
            <color indexed="81"/>
            <rFont val="Tahoma"/>
            <family val="2"/>
          </rPr>
          <t>user:</t>
        </r>
        <r>
          <rPr>
            <sz val="9"/>
            <color indexed="81"/>
            <rFont val="Tahoma"/>
            <family val="2"/>
          </rPr>
          <t xml:space="preserve">
- HS 2,34 từ 01/5/2021
- HS 2,67 từ 01/5/2023 (NL trước hạn)</t>
        </r>
      </text>
    </comment>
    <comment ref="Q105" authorId="3" shapeId="0" xr:uid="{00000000-0006-0000-0600-000069010000}">
      <text>
        <r>
          <rPr>
            <b/>
            <sz val="9"/>
            <color indexed="81"/>
            <rFont val="Tahoma"/>
            <family val="2"/>
          </rPr>
          <t>Windows User:</t>
        </r>
        <r>
          <rPr>
            <sz val="9"/>
            <color indexed="81"/>
            <rFont val="Tahoma"/>
            <family val="2"/>
          </rPr>
          <t xml:space="preserve">
- BN Trưởng khoa DL-KS từ 01/12/2023</t>
        </r>
      </text>
    </comment>
    <comment ref="F106" authorId="7" shapeId="0" xr:uid="{00000000-0006-0000-0600-00006A010000}">
      <text>
        <r>
          <rPr>
            <b/>
            <sz val="9"/>
            <color indexed="81"/>
            <rFont val="Tahoma"/>
            <family val="2"/>
          </rPr>
          <t>huynh-panda:</t>
        </r>
        <r>
          <rPr>
            <sz val="9"/>
            <color indexed="81"/>
            <rFont val="Tahoma"/>
            <family val="2"/>
          </rPr>
          <t xml:space="preserve">
- HS 2,34 từ 01/05/2022</t>
        </r>
      </text>
    </comment>
    <comment ref="J106" authorId="7" shapeId="0" xr:uid="{00000000-0006-0000-0600-00006B010000}">
      <text>
        <r>
          <rPr>
            <b/>
            <sz val="9"/>
            <color indexed="81"/>
            <rFont val="Tahoma"/>
            <family val="2"/>
          </rPr>
          <t>huynh-panda:</t>
        </r>
        <r>
          <rPr>
            <sz val="9"/>
            <color indexed="81"/>
            <rFont val="Tahoma"/>
            <family val="2"/>
          </rPr>
          <t xml:space="preserve">
- HS 2,34 từ 01/05/2022</t>
        </r>
      </text>
    </comment>
    <comment ref="N106" authorId="7" shapeId="0" xr:uid="{00000000-0006-0000-0600-00006C010000}">
      <text>
        <r>
          <rPr>
            <b/>
            <sz val="9"/>
            <color indexed="81"/>
            <rFont val="Tahoma"/>
            <family val="2"/>
          </rPr>
          <t>huynh-panda:</t>
        </r>
        <r>
          <rPr>
            <sz val="9"/>
            <color indexed="81"/>
            <rFont val="Tahoma"/>
            <family val="2"/>
          </rPr>
          <t xml:space="preserve">
- HS 2,34 từ 01/05/2022</t>
        </r>
      </text>
    </comment>
    <comment ref="F107" authorId="7" shapeId="0" xr:uid="{00000000-0006-0000-0600-00006D010000}">
      <text>
        <r>
          <rPr>
            <b/>
            <sz val="9"/>
            <color indexed="81"/>
            <rFont val="Tahoma"/>
            <family val="2"/>
          </rPr>
          <t>huynh-panda:</t>
        </r>
        <r>
          <rPr>
            <sz val="9"/>
            <color indexed="81"/>
            <rFont val="Tahoma"/>
            <family val="2"/>
          </rPr>
          <t xml:space="preserve">
- TD từ 01/7/2022 (HS 1,989)
- HS 2,34 từ 01/7/2023</t>
        </r>
      </text>
    </comment>
    <comment ref="J107" authorId="7" shapeId="0" xr:uid="{00000000-0006-0000-0600-00006E010000}">
      <text>
        <r>
          <rPr>
            <b/>
            <sz val="9"/>
            <color indexed="81"/>
            <rFont val="Tahoma"/>
            <family val="2"/>
          </rPr>
          <t>huynh-panda:</t>
        </r>
        <r>
          <rPr>
            <sz val="9"/>
            <color indexed="81"/>
            <rFont val="Tahoma"/>
            <family val="2"/>
          </rPr>
          <t xml:space="preserve">
- TD từ 01/7/2022 (HS 1,989)
- HS 2,34 từ 01/7/2023</t>
        </r>
      </text>
    </comment>
    <comment ref="N107" authorId="7" shapeId="0" xr:uid="{00000000-0006-0000-0600-00006F010000}">
      <text>
        <r>
          <rPr>
            <b/>
            <sz val="9"/>
            <color indexed="81"/>
            <rFont val="Tahoma"/>
            <family val="2"/>
          </rPr>
          <t>huynh-panda:</t>
        </r>
        <r>
          <rPr>
            <sz val="9"/>
            <color indexed="81"/>
            <rFont val="Tahoma"/>
            <family val="2"/>
          </rPr>
          <t xml:space="preserve">
- TD từ 01/7/2022 (HS 1,989)
- HS 2,34 từ 01/7/2023</t>
        </r>
      </text>
    </comment>
    <comment ref="F108" authorId="7" shapeId="0" xr:uid="{00000000-0006-0000-0600-000070010000}">
      <text>
        <r>
          <rPr>
            <b/>
            <sz val="9"/>
            <color indexed="81"/>
            <rFont val="Tahoma"/>
            <family val="2"/>
          </rPr>
          <t>huynh-panda:</t>
        </r>
        <r>
          <rPr>
            <sz val="9"/>
            <color indexed="81"/>
            <rFont val="Tahoma"/>
            <family val="2"/>
          </rPr>
          <t xml:space="preserve">
- TD từ 01/7/2022 (HS 1,989)
- HS 3,33 từ 01/3/2022
</t>
        </r>
      </text>
    </comment>
    <comment ref="J108" authorId="7" shapeId="0" xr:uid="{00000000-0006-0000-0600-000071010000}">
      <text>
        <r>
          <rPr>
            <b/>
            <sz val="9"/>
            <color indexed="81"/>
            <rFont val="Tahoma"/>
            <family val="2"/>
          </rPr>
          <t>huynh-panda:</t>
        </r>
        <r>
          <rPr>
            <sz val="9"/>
            <color indexed="81"/>
            <rFont val="Tahoma"/>
            <family val="2"/>
          </rPr>
          <t xml:space="preserve">
- TD từ 01/7/2022 (HS 1,989)
- HS 3,33 từ 01/3/2022
</t>
        </r>
      </text>
    </comment>
    <comment ref="N108" authorId="7" shapeId="0" xr:uid="{00000000-0006-0000-0600-000072010000}">
      <text>
        <r>
          <rPr>
            <b/>
            <sz val="9"/>
            <color indexed="81"/>
            <rFont val="Tahoma"/>
            <family val="2"/>
          </rPr>
          <t>huynh-panda:</t>
        </r>
        <r>
          <rPr>
            <sz val="9"/>
            <color indexed="81"/>
            <rFont val="Tahoma"/>
            <family val="2"/>
          </rPr>
          <t xml:space="preserve">
- TD từ 01/7/2022 (HS 1,989)
- HS 3,33 từ 01/3/2022
</t>
        </r>
      </text>
    </comment>
    <comment ref="B109" authorId="3" shapeId="0" xr:uid="{00000000-0006-0000-0600-000073010000}">
      <text>
        <r>
          <rPr>
            <b/>
            <sz val="9"/>
            <color indexed="81"/>
            <rFont val="Tahoma"/>
            <family val="2"/>
          </rPr>
          <t>Windows User:</t>
        </r>
        <r>
          <rPr>
            <sz val="9"/>
            <color indexed="81"/>
            <rFont val="Tahoma"/>
            <family val="2"/>
          </rPr>
          <t xml:space="preserve">
- Thuyên chuyển từ CĐ Kinh tế - Kỹ thuật về từ T10/2022
</t>
        </r>
      </text>
    </comment>
    <comment ref="F110" authorId="3" shapeId="0" xr:uid="{00000000-0006-0000-0600-000074010000}">
      <text>
        <r>
          <rPr>
            <b/>
            <sz val="9"/>
            <color indexed="81"/>
            <rFont val="Tahoma"/>
            <family val="2"/>
          </rPr>
          <t>Windows User:</t>
        </r>
        <r>
          <rPr>
            <sz val="9"/>
            <color indexed="81"/>
            <rFont val="Tahoma"/>
            <family val="2"/>
          </rPr>
          <t xml:space="preserve">
- HS 2,67 từ 01/10/2022
- HS 3,00 từ 01/11/2022</t>
        </r>
      </text>
    </comment>
    <comment ref="J110" authorId="3" shapeId="0" xr:uid="{00000000-0006-0000-0600-000075010000}">
      <text>
        <r>
          <rPr>
            <b/>
            <sz val="9"/>
            <color indexed="81"/>
            <rFont val="Tahoma"/>
            <family val="2"/>
          </rPr>
          <t>Windows User:</t>
        </r>
        <r>
          <rPr>
            <sz val="9"/>
            <color indexed="81"/>
            <rFont val="Tahoma"/>
            <family val="2"/>
          </rPr>
          <t xml:space="preserve">
- HS 2,67 từ 01/10/2022
- HS 3,00 từ 01/11/2022</t>
        </r>
      </text>
    </comment>
    <comment ref="N110" authorId="3" shapeId="0" xr:uid="{00000000-0006-0000-0600-000076010000}">
      <text>
        <r>
          <rPr>
            <b/>
            <sz val="9"/>
            <color indexed="81"/>
            <rFont val="Tahoma"/>
            <family val="2"/>
          </rPr>
          <t>Windows User:</t>
        </r>
        <r>
          <rPr>
            <sz val="9"/>
            <color indexed="81"/>
            <rFont val="Tahoma"/>
            <family val="2"/>
          </rPr>
          <t xml:space="preserve">
- HS 2,67 từ 01/10/2022
- HS 3,00 từ 01/11/2022</t>
        </r>
      </text>
    </comment>
    <comment ref="B111" authorId="3" shapeId="0" xr:uid="{00000000-0006-0000-0600-000077010000}">
      <text>
        <r>
          <rPr>
            <b/>
            <sz val="9"/>
            <color indexed="81"/>
            <rFont val="Tahoma"/>
            <family val="2"/>
          </rPr>
          <t>Windows User:</t>
        </r>
        <r>
          <rPr>
            <sz val="9"/>
            <color indexed="81"/>
            <rFont val="Tahoma"/>
            <family val="2"/>
          </rPr>
          <t xml:space="preserve">
- Thuyên chuyển từ ĐH GTVT về trường từ T10/2023</t>
        </r>
      </text>
    </comment>
    <comment ref="F112" authorId="1" shapeId="0" xr:uid="{00000000-0006-0000-0600-00007801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J112" authorId="1" shapeId="0" xr:uid="{00000000-0006-0000-0600-00007901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N112" authorId="1" shapeId="0" xr:uid="{00000000-0006-0000-0600-00007A01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3" authorId="1" shapeId="0" xr:uid="{00000000-0006-0000-0600-00007B010000}">
      <text>
        <r>
          <rPr>
            <b/>
            <sz val="9"/>
            <color indexed="81"/>
            <rFont val="Tahoma"/>
            <family val="2"/>
          </rPr>
          <t>Admin:</t>
        </r>
        <r>
          <rPr>
            <sz val="9"/>
            <color indexed="81"/>
            <rFont val="Tahoma"/>
            <family val="2"/>
          </rPr>
          <t xml:space="preserve">
- HS 3,00 từ 01/9/2016
- HS 3,33 từ 01/9/2019
- HS 3,66 từ 01/9/2022</t>
        </r>
      </text>
    </comment>
    <comment ref="J113" authorId="1" shapeId="0" xr:uid="{00000000-0006-0000-0600-00007C010000}">
      <text>
        <r>
          <rPr>
            <b/>
            <sz val="9"/>
            <color indexed="81"/>
            <rFont val="Tahoma"/>
            <family val="2"/>
          </rPr>
          <t>Admin:</t>
        </r>
        <r>
          <rPr>
            <sz val="9"/>
            <color indexed="81"/>
            <rFont val="Tahoma"/>
            <family val="2"/>
          </rPr>
          <t xml:space="preserve">
- HS 3,00 từ 01/9/2016
- HS 3,33 từ 01/9/2019
- HS 3,66 từ 01/9/2022</t>
        </r>
      </text>
    </comment>
    <comment ref="N113" authorId="1" shapeId="0" xr:uid="{00000000-0006-0000-0600-00007D010000}">
      <text>
        <r>
          <rPr>
            <b/>
            <sz val="9"/>
            <color indexed="81"/>
            <rFont val="Tahoma"/>
            <family val="2"/>
          </rPr>
          <t>Admin:</t>
        </r>
        <r>
          <rPr>
            <sz val="9"/>
            <color indexed="81"/>
            <rFont val="Tahoma"/>
            <family val="2"/>
          </rPr>
          <t xml:space="preserve">
- HS 3,00 từ 01/9/2016
- HS 3,33 từ 01/9/2019
- HS 3,66 từ 01/9/2022</t>
        </r>
      </text>
    </comment>
    <comment ref="F114" authorId="1" shapeId="0" xr:uid="{00000000-0006-0000-0600-00007E010000}">
      <text>
        <r>
          <rPr>
            <b/>
            <sz val="9"/>
            <color indexed="81"/>
            <rFont val="Tahoma"/>
            <family val="2"/>
          </rPr>
          <t>Admin:</t>
        </r>
        <r>
          <rPr>
            <sz val="9"/>
            <color indexed="81"/>
            <rFont val="Tahoma"/>
            <family val="2"/>
          </rPr>
          <t xml:space="preserve">
- HS 2,67 từ 01/9/2016
- HS 3,00 từ 01/9/2019
- HS 3,33 từ 01/9/2022</t>
        </r>
      </text>
    </comment>
    <comment ref="I114" authorId="1" shapeId="0" xr:uid="{00000000-0006-0000-0600-00007F01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J114" authorId="1" shapeId="0" xr:uid="{00000000-0006-0000-0600-000080010000}">
      <text>
        <r>
          <rPr>
            <b/>
            <sz val="9"/>
            <color indexed="81"/>
            <rFont val="Tahoma"/>
            <family val="2"/>
          </rPr>
          <t>Admin:</t>
        </r>
        <r>
          <rPr>
            <sz val="9"/>
            <color indexed="81"/>
            <rFont val="Tahoma"/>
            <family val="2"/>
          </rPr>
          <t xml:space="preserve">
- HS 2,67 từ 01/9/2016
- HS 3,00 từ 01/9/2019
- HS 3,33 từ 01/9/2022</t>
        </r>
      </text>
    </comment>
    <comment ref="M114" authorId="1" shapeId="0" xr:uid="{00000000-0006-0000-0600-00008101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N114" authorId="1" shapeId="0" xr:uid="{00000000-0006-0000-0600-000082010000}">
      <text>
        <r>
          <rPr>
            <b/>
            <sz val="9"/>
            <color indexed="81"/>
            <rFont val="Tahoma"/>
            <family val="2"/>
          </rPr>
          <t>Admin:</t>
        </r>
        <r>
          <rPr>
            <sz val="9"/>
            <color indexed="81"/>
            <rFont val="Tahoma"/>
            <family val="2"/>
          </rPr>
          <t xml:space="preserve">
- HS 2,67 từ 01/9/2016
- HS 3,00 từ 01/9/2019
- HS 3,33 từ 01/9/2022</t>
        </r>
      </text>
    </comment>
    <comment ref="Q114" authorId="1" shapeId="0" xr:uid="{00000000-0006-0000-0600-00008301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5" authorId="1" shapeId="0" xr:uid="{00000000-0006-0000-0600-000084010000}">
      <text>
        <r>
          <rPr>
            <b/>
            <sz val="9"/>
            <color indexed="81"/>
            <rFont val="Tahoma"/>
            <family val="2"/>
          </rPr>
          <t>Admin:</t>
        </r>
        <r>
          <rPr>
            <sz val="9"/>
            <color indexed="81"/>
            <rFont val="Tahoma"/>
            <family val="2"/>
          </rPr>
          <t xml:space="preserve">
- HS 2,67 từ 01/9/2016
- HS 3,00 từ 01/9/2019
- HS 3,33 từ 01/9/2022</t>
        </r>
      </text>
    </comment>
    <comment ref="J115" authorId="1" shapeId="0" xr:uid="{00000000-0006-0000-0600-000085010000}">
      <text>
        <r>
          <rPr>
            <b/>
            <sz val="9"/>
            <color indexed="81"/>
            <rFont val="Tahoma"/>
            <family val="2"/>
          </rPr>
          <t>Admin:</t>
        </r>
        <r>
          <rPr>
            <sz val="9"/>
            <color indexed="81"/>
            <rFont val="Tahoma"/>
            <family val="2"/>
          </rPr>
          <t xml:space="preserve">
- HS 2,67 từ 01/9/2016
- HS 3,00 từ 01/9/2019
- HS 3,33 từ 01/9/2022</t>
        </r>
      </text>
    </comment>
    <comment ref="N115" authorId="1" shapeId="0" xr:uid="{00000000-0006-0000-0600-000086010000}">
      <text>
        <r>
          <rPr>
            <b/>
            <sz val="9"/>
            <color indexed="81"/>
            <rFont val="Tahoma"/>
            <family val="2"/>
          </rPr>
          <t>Admin:</t>
        </r>
        <r>
          <rPr>
            <sz val="9"/>
            <color indexed="81"/>
            <rFont val="Tahoma"/>
            <family val="2"/>
          </rPr>
          <t xml:space="preserve">
- HS 2,67 từ 01/9/2016
- HS 3,00 từ 01/9/2019
- HS 3,33 từ 01/9/2022</t>
        </r>
      </text>
    </comment>
    <comment ref="F116" authorId="1" shapeId="0" xr:uid="{00000000-0006-0000-0600-000087010000}">
      <text>
        <r>
          <rPr>
            <b/>
            <sz val="9"/>
            <color indexed="81"/>
            <rFont val="Tahoma"/>
            <family val="2"/>
          </rPr>
          <t>Admin:</t>
        </r>
        <r>
          <rPr>
            <sz val="9"/>
            <color indexed="81"/>
            <rFont val="Tahoma"/>
            <family val="2"/>
          </rPr>
          <t xml:space="preserve">
- HS 2,67 từ 01/10/2016
- HS 3,00 từ 01/10/2019
- HS 3,33 từ 01/10/2021 (NL trước hạn)</t>
        </r>
      </text>
    </comment>
    <comment ref="J116" authorId="1" shapeId="0" xr:uid="{00000000-0006-0000-0600-000088010000}">
      <text>
        <r>
          <rPr>
            <b/>
            <sz val="9"/>
            <color indexed="81"/>
            <rFont val="Tahoma"/>
            <family val="2"/>
          </rPr>
          <t>Admin:</t>
        </r>
        <r>
          <rPr>
            <sz val="9"/>
            <color indexed="81"/>
            <rFont val="Tahoma"/>
            <family val="2"/>
          </rPr>
          <t xml:space="preserve">
- HS 2,67 từ 01/10/2016
- HS 3,00 từ 01/10/2019
- HS 3,33 từ 01/10/2021 (NL trước hạn)</t>
        </r>
      </text>
    </comment>
    <comment ref="N116" authorId="1" shapeId="0" xr:uid="{00000000-0006-0000-0600-000089010000}">
      <text>
        <r>
          <rPr>
            <b/>
            <sz val="9"/>
            <color indexed="81"/>
            <rFont val="Tahoma"/>
            <family val="2"/>
          </rPr>
          <t>Admin:</t>
        </r>
        <r>
          <rPr>
            <sz val="9"/>
            <color indexed="81"/>
            <rFont val="Tahoma"/>
            <family val="2"/>
          </rPr>
          <t xml:space="preserve">
- HS 2,67 từ 01/10/2016
- HS 3,00 từ 01/10/2019
- HS 3,33 từ 01/10/2021 (NL trước hạn)</t>
        </r>
      </text>
    </comment>
    <comment ref="F117" authorId="8" shapeId="0" xr:uid="{00000000-0006-0000-0600-00008A010000}">
      <text>
        <r>
          <rPr>
            <sz val="9"/>
            <color indexed="81"/>
            <rFont val="Tahoma"/>
            <family val="2"/>
          </rPr>
          <t>- HS 2,67 từ 01/12/2017
- HS 3,00 từ 01/12/2020
- HS 3,33 từ 01/12/2022 (NL trước hạn)</t>
        </r>
      </text>
    </comment>
    <comment ref="J117" authorId="8" shapeId="0" xr:uid="{00000000-0006-0000-0600-00008B010000}">
      <text>
        <r>
          <rPr>
            <sz val="9"/>
            <color indexed="81"/>
            <rFont val="Tahoma"/>
            <family val="2"/>
          </rPr>
          <t>- HS 2,67 từ 01/12/2017
- HS 3,00 từ 01/12/2020
- HS 3,33 từ 01/12/2022 (NL trước hạn)</t>
        </r>
      </text>
    </comment>
    <comment ref="N117" authorId="8" shapeId="0" xr:uid="{00000000-0006-0000-0600-00008C010000}">
      <text>
        <r>
          <rPr>
            <sz val="9"/>
            <color indexed="81"/>
            <rFont val="Tahoma"/>
            <family val="2"/>
          </rPr>
          <t>- HS 2,67 từ 01/12/2017
- HS 3,00 từ 01/12/2020
- HS 3,33 từ 01/12/2022 (NL trước hạn)</t>
        </r>
      </text>
    </comment>
    <comment ref="F118" authorId="0" shapeId="0" xr:uid="{00000000-0006-0000-0600-00008D010000}">
      <text>
        <r>
          <rPr>
            <b/>
            <sz val="9"/>
            <color indexed="81"/>
            <rFont val="Tahoma"/>
            <family val="2"/>
          </rPr>
          <t>User:</t>
        </r>
        <r>
          <rPr>
            <sz val="9"/>
            <color indexed="81"/>
            <rFont val="Tahoma"/>
            <family val="2"/>
          </rPr>
          <t xml:space="preserve">
- HS 4,32 từ 01/11/2015
- HS 4,65 từ 01/11/2018
- HS 4,98 từ 01/11/2020 (NL trước hạn)</t>
        </r>
      </text>
    </comment>
    <comment ref="G118" authorId="3" shapeId="0" xr:uid="{00000000-0006-0000-0600-00008E010000}">
      <text>
        <r>
          <rPr>
            <b/>
            <sz val="9"/>
            <color indexed="81"/>
            <rFont val="Tahoma"/>
            <family val="2"/>
          </rPr>
          <t>Windows User:</t>
        </r>
        <r>
          <rPr>
            <sz val="9"/>
            <color indexed="81"/>
            <rFont val="Tahoma"/>
            <family val="2"/>
          </rPr>
          <t xml:space="preserve">
- VK 5% từ 01/11/2023</t>
        </r>
      </text>
    </comment>
    <comment ref="J118" authorId="0" shapeId="0" xr:uid="{00000000-0006-0000-0600-00008F010000}">
      <text>
        <r>
          <rPr>
            <b/>
            <sz val="9"/>
            <color indexed="81"/>
            <rFont val="Tahoma"/>
            <family val="2"/>
          </rPr>
          <t>User:</t>
        </r>
        <r>
          <rPr>
            <sz val="9"/>
            <color indexed="81"/>
            <rFont val="Tahoma"/>
            <family val="2"/>
          </rPr>
          <t xml:space="preserve">
- HS 4,32 từ 01/11/2015
- HS 4,65 từ 01/11/2018
- HS 4,98 từ 01/11/2020 (NL trước hạn)</t>
        </r>
      </text>
    </comment>
    <comment ref="K118" authorId="3" shapeId="0" xr:uid="{00000000-0006-0000-0600-000090010000}">
      <text>
        <r>
          <rPr>
            <b/>
            <sz val="9"/>
            <color indexed="81"/>
            <rFont val="Tahoma"/>
            <family val="2"/>
          </rPr>
          <t>Windows User:</t>
        </r>
        <r>
          <rPr>
            <sz val="9"/>
            <color indexed="81"/>
            <rFont val="Tahoma"/>
            <family val="2"/>
          </rPr>
          <t xml:space="preserve">
- VK 5% từ 01/11/2023</t>
        </r>
      </text>
    </comment>
    <comment ref="N118" authorId="0" shapeId="0" xr:uid="{00000000-0006-0000-0600-000091010000}">
      <text>
        <r>
          <rPr>
            <b/>
            <sz val="9"/>
            <color indexed="81"/>
            <rFont val="Tahoma"/>
            <family val="2"/>
          </rPr>
          <t>User:</t>
        </r>
        <r>
          <rPr>
            <sz val="9"/>
            <color indexed="81"/>
            <rFont val="Tahoma"/>
            <family val="2"/>
          </rPr>
          <t xml:space="preserve">
- HS 4,32 từ 01/11/2015
- HS 4,65 từ 01/11/2018
- HS 4,98 từ 01/11/2020 (NL trước hạn)</t>
        </r>
      </text>
    </comment>
    <comment ref="O118" authorId="3" shapeId="0" xr:uid="{00000000-0006-0000-0600-000092010000}">
      <text>
        <r>
          <rPr>
            <b/>
            <sz val="9"/>
            <color indexed="81"/>
            <rFont val="Tahoma"/>
            <family val="2"/>
          </rPr>
          <t>Windows User:</t>
        </r>
        <r>
          <rPr>
            <sz val="9"/>
            <color indexed="81"/>
            <rFont val="Tahoma"/>
            <family val="2"/>
          </rPr>
          <t xml:space="preserve">
- VK 5% từ 01/11/2023</t>
        </r>
      </text>
    </comment>
    <comment ref="F119" authorId="4" shapeId="0" xr:uid="{00000000-0006-0000-0600-000093010000}">
      <text>
        <r>
          <rPr>
            <b/>
            <sz val="9"/>
            <color indexed="81"/>
            <rFont val="Tahoma"/>
            <family val="2"/>
          </rPr>
          <t>Quynh:</t>
        </r>
        <r>
          <rPr>
            <sz val="9"/>
            <color indexed="81"/>
            <rFont val="Tahoma"/>
            <family val="2"/>
          </rPr>
          <t xml:space="preserve">
- HS 2,67 từ 01/10/2018
- HS 3,00 từ 01/10/2021
- HS 3,33 từ 01/10/2023 (NL trước hạn)</t>
        </r>
      </text>
    </comment>
    <comment ref="J119" authorId="4" shapeId="0" xr:uid="{00000000-0006-0000-0600-000094010000}">
      <text>
        <r>
          <rPr>
            <b/>
            <sz val="9"/>
            <color indexed="81"/>
            <rFont val="Tahoma"/>
            <family val="2"/>
          </rPr>
          <t>Quynh:</t>
        </r>
        <r>
          <rPr>
            <sz val="9"/>
            <color indexed="81"/>
            <rFont val="Tahoma"/>
            <family val="2"/>
          </rPr>
          <t xml:space="preserve">
- HS 2,67 từ 01/10/2018
- HS 3,00 từ 01/10/2021
- HS 3,33 từ 01/10/2023 (NL trước hạn)</t>
        </r>
      </text>
    </comment>
    <comment ref="N119" authorId="4" shapeId="0" xr:uid="{00000000-0006-0000-0600-000095010000}">
      <text>
        <r>
          <rPr>
            <b/>
            <sz val="9"/>
            <color indexed="81"/>
            <rFont val="Tahoma"/>
            <family val="2"/>
          </rPr>
          <t>Quynh:</t>
        </r>
        <r>
          <rPr>
            <sz val="9"/>
            <color indexed="81"/>
            <rFont val="Tahoma"/>
            <family val="2"/>
          </rPr>
          <t xml:space="preserve">
- HS 2,67 từ 01/10/2018
- HS 3,00 từ 01/10/2021
- HS 3,33 từ 01/10/2023 (NL trước hạn)</t>
        </r>
      </text>
    </comment>
    <comment ref="F120" authorId="2" shapeId="0" xr:uid="{00000000-0006-0000-0600-000096010000}">
      <text>
        <r>
          <rPr>
            <b/>
            <sz val="9"/>
            <color indexed="81"/>
            <rFont val="Tahoma"/>
            <family val="2"/>
          </rPr>
          <t>user:</t>
        </r>
        <r>
          <rPr>
            <sz val="9"/>
            <color indexed="81"/>
            <rFont val="Tahoma"/>
            <family val="2"/>
          </rPr>
          <t xml:space="preserve">
- HS 2,67 từ 01/10/2019
- HS 3,00 từ 01/10/2022</t>
        </r>
      </text>
    </comment>
    <comment ref="J120" authorId="2" shapeId="0" xr:uid="{00000000-0006-0000-0600-000097010000}">
      <text>
        <r>
          <rPr>
            <b/>
            <sz val="9"/>
            <color indexed="81"/>
            <rFont val="Tahoma"/>
            <family val="2"/>
          </rPr>
          <t>user:</t>
        </r>
        <r>
          <rPr>
            <sz val="9"/>
            <color indexed="81"/>
            <rFont val="Tahoma"/>
            <family val="2"/>
          </rPr>
          <t xml:space="preserve">
- HS 2,67 từ 01/10/2019
- HS 3,00 từ 01/10/2022</t>
        </r>
      </text>
    </comment>
    <comment ref="N120" authorId="2" shapeId="0" xr:uid="{00000000-0006-0000-0600-000098010000}">
      <text>
        <r>
          <rPr>
            <b/>
            <sz val="9"/>
            <color indexed="81"/>
            <rFont val="Tahoma"/>
            <family val="2"/>
          </rPr>
          <t>user:</t>
        </r>
        <r>
          <rPr>
            <sz val="9"/>
            <color indexed="81"/>
            <rFont val="Tahoma"/>
            <family val="2"/>
          </rPr>
          <t xml:space="preserve">
- HS 2,67 từ 01/10/2019
- HS 3,00 từ 01/10/2022</t>
        </r>
      </text>
    </comment>
    <comment ref="F121" authorId="0" shapeId="0" xr:uid="{00000000-0006-0000-0600-00009901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1" authorId="2" shapeId="0" xr:uid="{00000000-0006-0000-0600-00009A010000}">
      <text>
        <r>
          <rPr>
            <b/>
            <sz val="9"/>
            <color indexed="81"/>
            <rFont val="Tahoma"/>
            <family val="2"/>
          </rPr>
          <t>user:</t>
        </r>
        <r>
          <rPr>
            <sz val="9"/>
            <color indexed="81"/>
            <rFont val="Tahoma"/>
            <family val="2"/>
          </rPr>
          <t xml:space="preserve">
- Trưởng TT Thư viện từ 01/9/2020</t>
        </r>
      </text>
    </comment>
    <comment ref="J121" authorId="0" shapeId="0" xr:uid="{00000000-0006-0000-0600-00009B01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M121" authorId="2" shapeId="0" xr:uid="{00000000-0006-0000-0600-00009C010000}">
      <text>
        <r>
          <rPr>
            <b/>
            <sz val="9"/>
            <color indexed="81"/>
            <rFont val="Tahoma"/>
            <family val="2"/>
          </rPr>
          <t>user:</t>
        </r>
        <r>
          <rPr>
            <sz val="9"/>
            <color indexed="81"/>
            <rFont val="Tahoma"/>
            <family val="2"/>
          </rPr>
          <t xml:space="preserve">
- Trưởng TT Thư viện từ 01/9/2020</t>
        </r>
      </text>
    </comment>
    <comment ref="N121" authorId="0" shapeId="0" xr:uid="{00000000-0006-0000-0600-00009D01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Q121" authorId="2" shapeId="0" xr:uid="{00000000-0006-0000-0600-00009E010000}">
      <text>
        <r>
          <rPr>
            <b/>
            <sz val="9"/>
            <color indexed="81"/>
            <rFont val="Tahoma"/>
            <family val="2"/>
          </rPr>
          <t>user:</t>
        </r>
        <r>
          <rPr>
            <sz val="9"/>
            <color indexed="81"/>
            <rFont val="Tahoma"/>
            <family val="2"/>
          </rPr>
          <t xml:space="preserve">
- Trưởng TT Thư viện từ 01/9/2020</t>
        </r>
      </text>
    </comment>
    <comment ref="F122" authorId="1" shapeId="0" xr:uid="{00000000-0006-0000-0600-00009F010000}">
      <text>
        <r>
          <rPr>
            <b/>
            <sz val="9"/>
            <color indexed="81"/>
            <rFont val="Tahoma"/>
            <family val="2"/>
          </rPr>
          <t>Admin:</t>
        </r>
        <r>
          <rPr>
            <sz val="9"/>
            <color indexed="81"/>
            <rFont val="Tahoma"/>
            <family val="2"/>
          </rPr>
          <t xml:space="preserve">
- HS 4,65 từ 01/6/2016 (NL Trước hạn năm 2017)</t>
        </r>
      </text>
    </comment>
    <comment ref="G122" authorId="7" shapeId="0" xr:uid="{00000000-0006-0000-0600-0000A0010000}">
      <text>
        <r>
          <rPr>
            <b/>
            <sz val="9"/>
            <color indexed="81"/>
            <rFont val="Tahoma"/>
            <family val="2"/>
          </rPr>
          <t>Quynh-panda:</t>
        </r>
        <r>
          <rPr>
            <sz val="9"/>
            <color indexed="81"/>
            <rFont val="Tahoma"/>
            <family val="2"/>
          </rPr>
          <t xml:space="preserve">
- VK 5% từ 01/06/2022
- VK 6% từ 01/06/2023
- VK 7% từ 01/06/2024</t>
        </r>
      </text>
    </comment>
    <comment ref="J122" authorId="1" shapeId="0" xr:uid="{00000000-0006-0000-0600-0000A1010000}">
      <text>
        <r>
          <rPr>
            <b/>
            <sz val="9"/>
            <color indexed="81"/>
            <rFont val="Tahoma"/>
            <family val="2"/>
          </rPr>
          <t>Admin:</t>
        </r>
        <r>
          <rPr>
            <sz val="9"/>
            <color indexed="81"/>
            <rFont val="Tahoma"/>
            <family val="2"/>
          </rPr>
          <t xml:space="preserve">
- HS 4,65 từ 01/6/2016 (NL Trước hạn năm 2017)</t>
        </r>
      </text>
    </comment>
    <comment ref="K122" authorId="7" shapeId="0" xr:uid="{00000000-0006-0000-0600-0000A2010000}">
      <text>
        <r>
          <rPr>
            <b/>
            <sz val="9"/>
            <color indexed="81"/>
            <rFont val="Tahoma"/>
            <family val="2"/>
          </rPr>
          <t>Quynh-panda:</t>
        </r>
        <r>
          <rPr>
            <sz val="9"/>
            <color indexed="81"/>
            <rFont val="Tahoma"/>
            <family val="2"/>
          </rPr>
          <t xml:space="preserve">
- VK 5% từ 01/06/2022
- VK 6% từ 01/06/2023
- VK 7% từ 01/06/2024</t>
        </r>
      </text>
    </comment>
    <comment ref="N122" authorId="1" shapeId="0" xr:uid="{00000000-0006-0000-0600-0000A3010000}">
      <text>
        <r>
          <rPr>
            <b/>
            <sz val="9"/>
            <color indexed="81"/>
            <rFont val="Tahoma"/>
            <family val="2"/>
          </rPr>
          <t>Admin:</t>
        </r>
        <r>
          <rPr>
            <sz val="9"/>
            <color indexed="81"/>
            <rFont val="Tahoma"/>
            <family val="2"/>
          </rPr>
          <t xml:space="preserve">
- HS 4,65 từ 01/6/2016 (NL Trước hạn năm 2017)</t>
        </r>
      </text>
    </comment>
    <comment ref="O122" authorId="7" shapeId="0" xr:uid="{00000000-0006-0000-0600-0000A4010000}">
      <text>
        <r>
          <rPr>
            <b/>
            <sz val="9"/>
            <color indexed="81"/>
            <rFont val="Tahoma"/>
            <family val="2"/>
          </rPr>
          <t>Quynh-panda:</t>
        </r>
        <r>
          <rPr>
            <sz val="9"/>
            <color indexed="81"/>
            <rFont val="Tahoma"/>
            <family val="2"/>
          </rPr>
          <t xml:space="preserve">
- VK 5% từ 01/06/2022
- VK 6% từ 01/06/2023
- VK 7% từ 01/06/2024</t>
        </r>
      </text>
    </comment>
    <comment ref="F123" authorId="0" shapeId="0" xr:uid="{00000000-0006-0000-0600-0000A5010000}">
      <text>
        <r>
          <rPr>
            <b/>
            <sz val="9"/>
            <color indexed="81"/>
            <rFont val="Tahoma"/>
            <family val="2"/>
          </rPr>
          <t>User:</t>
        </r>
        <r>
          <rPr>
            <sz val="9"/>
            <color indexed="81"/>
            <rFont val="Tahoma"/>
            <family val="2"/>
          </rPr>
          <t xml:space="preserve">
- HS 3,33 từ 01/9/2014
- HS 3,66 từ 01/9/2017
- HS 3,99 từ 01/9/2020
- HS 4,32 từ 01/9/2023
</t>
        </r>
      </text>
    </comment>
    <comment ref="J123" authorId="0" shapeId="0" xr:uid="{00000000-0006-0000-0600-0000A6010000}">
      <text>
        <r>
          <rPr>
            <b/>
            <sz val="9"/>
            <color indexed="81"/>
            <rFont val="Tahoma"/>
            <family val="2"/>
          </rPr>
          <t>User:</t>
        </r>
        <r>
          <rPr>
            <sz val="9"/>
            <color indexed="81"/>
            <rFont val="Tahoma"/>
            <family val="2"/>
          </rPr>
          <t xml:space="preserve">
- HS 3,33 từ 01/9/2014
- HS 3,66 từ 01/9/2017
- HS 3,99 từ 01/9/2020
- HS 4,32 từ 01/9/2023
</t>
        </r>
      </text>
    </comment>
    <comment ref="N123" authorId="0" shapeId="0" xr:uid="{00000000-0006-0000-0600-0000A7010000}">
      <text>
        <r>
          <rPr>
            <b/>
            <sz val="9"/>
            <color indexed="81"/>
            <rFont val="Tahoma"/>
            <family val="2"/>
          </rPr>
          <t>User:</t>
        </r>
        <r>
          <rPr>
            <sz val="9"/>
            <color indexed="81"/>
            <rFont val="Tahoma"/>
            <family val="2"/>
          </rPr>
          <t xml:space="preserve">
- HS 3,33 từ 01/9/2014
- HS 3,66 từ 01/9/2017
- HS 3,99 từ 01/9/2020
- HS 4,32 từ 01/9/2023
</t>
        </r>
      </text>
    </comment>
    <comment ref="F124" authorId="0" shapeId="0" xr:uid="{00000000-0006-0000-0600-0000A8010000}">
      <text>
        <r>
          <rPr>
            <b/>
            <sz val="9"/>
            <color indexed="81"/>
            <rFont val="Tahoma"/>
            <family val="2"/>
          </rPr>
          <t>User:</t>
        </r>
        <r>
          <rPr>
            <sz val="9"/>
            <color indexed="81"/>
            <rFont val="Tahoma"/>
            <family val="2"/>
          </rPr>
          <t xml:space="preserve">
' HS 3,33 từ 01/9/15
- HS 3,66 từ 01/9/2018
- HS 3,99 từ 01/9/2021</t>
        </r>
      </text>
    </comment>
    <comment ref="J124" authorId="0" shapeId="0" xr:uid="{00000000-0006-0000-0600-0000A9010000}">
      <text>
        <r>
          <rPr>
            <b/>
            <sz val="9"/>
            <color indexed="81"/>
            <rFont val="Tahoma"/>
            <family val="2"/>
          </rPr>
          <t>User:</t>
        </r>
        <r>
          <rPr>
            <sz val="9"/>
            <color indexed="81"/>
            <rFont val="Tahoma"/>
            <family val="2"/>
          </rPr>
          <t xml:space="preserve">
' HS 3,33 từ 01/9/15
- HS 3,66 từ 01/9/2018
- HS 3,99 từ 01/9/2021</t>
        </r>
      </text>
    </comment>
    <comment ref="N124" authorId="0" shapeId="0" xr:uid="{00000000-0006-0000-0600-0000AA010000}">
      <text>
        <r>
          <rPr>
            <b/>
            <sz val="9"/>
            <color indexed="81"/>
            <rFont val="Tahoma"/>
            <family val="2"/>
          </rPr>
          <t>User:</t>
        </r>
        <r>
          <rPr>
            <sz val="9"/>
            <color indexed="81"/>
            <rFont val="Tahoma"/>
            <family val="2"/>
          </rPr>
          <t xml:space="preserve">
' HS 3,33 từ 01/9/15
- HS 3,66 từ 01/9/2018
- HS 3,99 từ 01/9/2021
- HS 4,32 từ 01/9/2024</t>
        </r>
      </text>
    </comment>
    <comment ref="F125" authorId="1" shapeId="0" xr:uid="{00000000-0006-0000-0600-0000AB010000}">
      <text>
        <r>
          <rPr>
            <b/>
            <sz val="9"/>
            <color indexed="81"/>
            <rFont val="Tahoma"/>
            <family val="2"/>
          </rPr>
          <t>Admin:</t>
        </r>
        <r>
          <rPr>
            <sz val="9"/>
            <color indexed="81"/>
            <rFont val="Tahoma"/>
            <family val="2"/>
          </rPr>
          <t xml:space="preserve">
- HS 3,00 từ 01/12/2016
- HS 3,33 từ 01/12/2019
- HS 3,66 từ 01/12/2022</t>
        </r>
      </text>
    </comment>
    <comment ref="J125" authorId="1" shapeId="0" xr:uid="{00000000-0006-0000-0600-0000AC010000}">
      <text>
        <r>
          <rPr>
            <b/>
            <sz val="9"/>
            <color indexed="81"/>
            <rFont val="Tahoma"/>
            <family val="2"/>
          </rPr>
          <t>Admin:</t>
        </r>
        <r>
          <rPr>
            <sz val="9"/>
            <color indexed="81"/>
            <rFont val="Tahoma"/>
            <family val="2"/>
          </rPr>
          <t xml:space="preserve">
- HS 3,00 từ 01/12/2016
- HS 3,33 từ 01/12/2019
- HS 3,66 từ 01/12/2022</t>
        </r>
      </text>
    </comment>
    <comment ref="N125" authorId="1" shapeId="0" xr:uid="{00000000-0006-0000-0600-0000AD010000}">
      <text>
        <r>
          <rPr>
            <b/>
            <sz val="9"/>
            <color indexed="81"/>
            <rFont val="Tahoma"/>
            <family val="2"/>
          </rPr>
          <t>Admin:</t>
        </r>
        <r>
          <rPr>
            <sz val="9"/>
            <color indexed="81"/>
            <rFont val="Tahoma"/>
            <family val="2"/>
          </rPr>
          <t xml:space="preserve">
- HS 3,00 từ 01/12/2016
- HS 3,33 từ 01/12/2019
- HS 3,66 từ 01/12/2022</t>
        </r>
      </text>
    </comment>
    <comment ref="F126" authorId="1" shapeId="0" xr:uid="{00000000-0006-0000-0600-0000AE010000}">
      <text>
        <r>
          <rPr>
            <b/>
            <sz val="9"/>
            <color indexed="81"/>
            <rFont val="Tahoma"/>
            <family val="2"/>
          </rPr>
          <t>Admin:</t>
        </r>
        <r>
          <rPr>
            <sz val="9"/>
            <color indexed="81"/>
            <rFont val="Tahoma"/>
            <family val="2"/>
          </rPr>
          <t xml:space="preserve">
- HS 3,99 từ 01/12/2015
- HS 4,32 từ 01/12/2018
- HS 4,65 từ 01/12/2021</t>
        </r>
      </text>
    </comment>
    <comment ref="J126" authorId="1" shapeId="0" xr:uid="{00000000-0006-0000-0600-0000AF010000}">
      <text>
        <r>
          <rPr>
            <b/>
            <sz val="9"/>
            <color indexed="81"/>
            <rFont val="Tahoma"/>
            <family val="2"/>
          </rPr>
          <t>Admin:</t>
        </r>
        <r>
          <rPr>
            <sz val="9"/>
            <color indexed="81"/>
            <rFont val="Tahoma"/>
            <family val="2"/>
          </rPr>
          <t xml:space="preserve">
- HS 3,99 từ 01/12/2015
- HS 4,32 từ 01/12/2018
- HS 4,65 từ 01/12/2021</t>
        </r>
      </text>
    </comment>
    <comment ref="N126" authorId="1" shapeId="0" xr:uid="{00000000-0006-0000-0600-0000B0010000}">
      <text>
        <r>
          <rPr>
            <b/>
            <sz val="9"/>
            <color indexed="81"/>
            <rFont val="Tahoma"/>
            <family val="2"/>
          </rPr>
          <t>Admin:</t>
        </r>
        <r>
          <rPr>
            <sz val="9"/>
            <color indexed="81"/>
            <rFont val="Tahoma"/>
            <family val="2"/>
          </rPr>
          <t xml:space="preserve">
- HS 3,99 từ 01/12/2015
- HS 4,32 từ 01/12/2018
- HS 4,65 từ 01/12/2021</t>
        </r>
      </text>
    </comment>
    <comment ref="F127" authorId="1" shapeId="0" xr:uid="{00000000-0006-0000-0600-0000B101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27" authorId="1" shapeId="0" xr:uid="{00000000-0006-0000-0600-0000B201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27" authorId="1" shapeId="0" xr:uid="{00000000-0006-0000-0600-0000B301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8" authorId="0" shapeId="0" xr:uid="{00000000-0006-0000-0600-0000B4010000}">
      <text>
        <r>
          <rPr>
            <b/>
            <sz val="9"/>
            <color indexed="81"/>
            <rFont val="Tahoma"/>
            <family val="2"/>
          </rPr>
          <t>User:</t>
        </r>
        <r>
          <rPr>
            <sz val="9"/>
            <color indexed="81"/>
            <rFont val="Tahoma"/>
            <family val="2"/>
          </rPr>
          <t xml:space="preserve">
- HS 4,65 từ 01/9/2015
- HS 4,98 từ 01/9/17 (NL trước hạn)</t>
        </r>
      </text>
    </comment>
    <comment ref="G128" authorId="2" shapeId="0" xr:uid="{00000000-0006-0000-0600-0000B5010000}">
      <text>
        <r>
          <rPr>
            <b/>
            <sz val="9"/>
            <color indexed="81"/>
            <rFont val="Tahoma"/>
            <family val="2"/>
          </rPr>
          <t>user:</t>
        </r>
        <r>
          <rPr>
            <sz val="9"/>
            <color indexed="81"/>
            <rFont val="Tahoma"/>
            <family val="2"/>
          </rPr>
          <t xml:space="preserve">
- 5% từ 01/9/2020
- 6% từ 01/9/2021
- 7% từ 01/9/2022
- 8% từ 01/9/2023</t>
        </r>
      </text>
    </comment>
    <comment ref="J128" authorId="0" shapeId="0" xr:uid="{00000000-0006-0000-0600-0000B6010000}">
      <text>
        <r>
          <rPr>
            <b/>
            <sz val="9"/>
            <color indexed="81"/>
            <rFont val="Tahoma"/>
            <family val="2"/>
          </rPr>
          <t>User:</t>
        </r>
        <r>
          <rPr>
            <sz val="9"/>
            <color indexed="81"/>
            <rFont val="Tahoma"/>
            <family val="2"/>
          </rPr>
          <t xml:space="preserve">
- HS 4,65 từ 01/9/2015
- HS 4,98 từ 01/9/17 (NL trước hạn)</t>
        </r>
      </text>
    </comment>
    <comment ref="K128" authorId="2" shapeId="0" xr:uid="{00000000-0006-0000-0600-0000B7010000}">
      <text>
        <r>
          <rPr>
            <b/>
            <sz val="9"/>
            <color indexed="81"/>
            <rFont val="Tahoma"/>
            <family val="2"/>
          </rPr>
          <t>user:</t>
        </r>
        <r>
          <rPr>
            <sz val="9"/>
            <color indexed="81"/>
            <rFont val="Tahoma"/>
            <family val="2"/>
          </rPr>
          <t xml:space="preserve">
- 5% từ 01/9/2020
- 6% từ 01/9/2021
- 7% từ 01/9/2022
- 8% từ 01/9/2023</t>
        </r>
      </text>
    </comment>
    <comment ref="N128" authorId="0" shapeId="0" xr:uid="{00000000-0006-0000-0600-0000B8010000}">
      <text>
        <r>
          <rPr>
            <b/>
            <sz val="9"/>
            <color indexed="81"/>
            <rFont val="Tahoma"/>
            <family val="2"/>
          </rPr>
          <t>User:</t>
        </r>
        <r>
          <rPr>
            <sz val="9"/>
            <color indexed="81"/>
            <rFont val="Tahoma"/>
            <family val="2"/>
          </rPr>
          <t xml:space="preserve">
- HS 4,65 từ 01/9/2015
- HS 4,98 từ 01/9/17 (NL trước hạn)</t>
        </r>
      </text>
    </comment>
    <comment ref="O128" authorId="2" shapeId="0" xr:uid="{00000000-0006-0000-0600-0000B9010000}">
      <text>
        <r>
          <rPr>
            <b/>
            <sz val="9"/>
            <color indexed="81"/>
            <rFont val="Tahoma"/>
            <family val="2"/>
          </rPr>
          <t>user:</t>
        </r>
        <r>
          <rPr>
            <sz val="9"/>
            <color indexed="81"/>
            <rFont val="Tahoma"/>
            <family val="2"/>
          </rPr>
          <t xml:space="preserve">
- 5% từ 01/9/2020
- 6% từ 01/9/2021
- 7% từ 01/9/2022
- 8% từ 01/9/2023
- 9% từ 01/9/2024</t>
        </r>
      </text>
    </comment>
    <comment ref="F129" authorId="0" shapeId="0" xr:uid="{00000000-0006-0000-0600-0000BA010000}">
      <text>
        <r>
          <rPr>
            <b/>
            <sz val="9"/>
            <color indexed="81"/>
            <rFont val="Tahoma"/>
            <family val="2"/>
          </rPr>
          <t>User:</t>
        </r>
        <r>
          <rPr>
            <sz val="9"/>
            <color indexed="81"/>
            <rFont val="Tahoma"/>
            <family val="2"/>
          </rPr>
          <t xml:space="preserve">
- HS 3,00 từ 01/9/2014
- HS 3,33 từ 01/9/2017
- HS 3,66 từ 01/9/2019
- HS 3,99 từ 01/9/2022</t>
        </r>
      </text>
    </comment>
    <comment ref="J129" authorId="0" shapeId="0" xr:uid="{00000000-0006-0000-0600-0000BB010000}">
      <text>
        <r>
          <rPr>
            <b/>
            <sz val="9"/>
            <color indexed="81"/>
            <rFont val="Tahoma"/>
            <family val="2"/>
          </rPr>
          <t>User:</t>
        </r>
        <r>
          <rPr>
            <sz val="9"/>
            <color indexed="81"/>
            <rFont val="Tahoma"/>
            <family val="2"/>
          </rPr>
          <t xml:space="preserve">
- HS 3,00 từ 01/9/2014
- HS 3,33 từ 01/9/2017
- HS 3,66 từ 01/9/2019
- HS 3,99 từ 01/9/2022</t>
        </r>
      </text>
    </comment>
    <comment ref="N129" authorId="0" shapeId="0" xr:uid="{00000000-0006-0000-0600-0000BC010000}">
      <text>
        <r>
          <rPr>
            <b/>
            <sz val="9"/>
            <color indexed="81"/>
            <rFont val="Tahoma"/>
            <family val="2"/>
          </rPr>
          <t>User:</t>
        </r>
        <r>
          <rPr>
            <sz val="9"/>
            <color indexed="81"/>
            <rFont val="Tahoma"/>
            <family val="2"/>
          </rPr>
          <t xml:space="preserve">
- HS 3,00 từ 01/9/2014
- HS 3,33 từ 01/9/2017
- HS 3,66 từ 01/9/2019
- HS 3,99 từ 01/9/2022</t>
        </r>
      </text>
    </comment>
    <comment ref="F130" authorId="1" shapeId="0" xr:uid="{00000000-0006-0000-0600-0000BD010000}">
      <text>
        <r>
          <rPr>
            <b/>
            <sz val="9"/>
            <color indexed="81"/>
            <rFont val="Tahoma"/>
            <family val="2"/>
          </rPr>
          <t>Admin:</t>
        </r>
        <r>
          <rPr>
            <sz val="9"/>
            <color indexed="81"/>
            <rFont val="Tahoma"/>
            <family val="2"/>
          </rPr>
          <t xml:space="preserve">
- HS 3,00 từ 01/11/2016
- HS 3,33 từ 01/11/2019
- HS 3,66 từ 01/11/2022</t>
        </r>
      </text>
    </comment>
    <comment ref="J130" authorId="1" shapeId="0" xr:uid="{00000000-0006-0000-0600-0000BE010000}">
      <text>
        <r>
          <rPr>
            <b/>
            <sz val="9"/>
            <color indexed="81"/>
            <rFont val="Tahoma"/>
            <family val="2"/>
          </rPr>
          <t>Admin:</t>
        </r>
        <r>
          <rPr>
            <sz val="9"/>
            <color indexed="81"/>
            <rFont val="Tahoma"/>
            <family val="2"/>
          </rPr>
          <t xml:space="preserve">
- HS 3,00 từ 01/11/2016
- HS 3,33 từ 01/11/2019
- HS 3,66 từ 01/11/2022</t>
        </r>
      </text>
    </comment>
    <comment ref="N130" authorId="1" shapeId="0" xr:uid="{00000000-0006-0000-0600-0000BF010000}">
      <text>
        <r>
          <rPr>
            <b/>
            <sz val="9"/>
            <color indexed="81"/>
            <rFont val="Tahoma"/>
            <family val="2"/>
          </rPr>
          <t>Admin:</t>
        </r>
        <r>
          <rPr>
            <sz val="9"/>
            <color indexed="81"/>
            <rFont val="Tahoma"/>
            <family val="2"/>
          </rPr>
          <t xml:space="preserve">
- HS 3,00 từ 01/11/2016
- HS 3,33 từ 01/11/2019
- HS 3,66 từ 01/11/2022</t>
        </r>
      </text>
    </comment>
    <comment ref="F131" authorId="0" shapeId="0" xr:uid="{00000000-0006-0000-0600-0000C001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1" authorId="1" shapeId="0" xr:uid="{00000000-0006-0000-0600-0000C1010000}">
      <text>
        <r>
          <rPr>
            <b/>
            <sz val="9"/>
            <color indexed="81"/>
            <rFont val="Tahoma"/>
            <family val="2"/>
          </rPr>
          <t>Admin:</t>
        </r>
        <r>
          <rPr>
            <sz val="9"/>
            <color indexed="81"/>
            <rFont val="Tahoma"/>
            <family val="2"/>
          </rPr>
          <t xml:space="preserve">
- BN Phó TK từ 01/8/2018</t>
        </r>
      </text>
    </comment>
    <comment ref="J131" authorId="0" shapeId="0" xr:uid="{00000000-0006-0000-0600-0000C201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M131" authorId="1" shapeId="0" xr:uid="{00000000-0006-0000-0600-0000C3010000}">
      <text>
        <r>
          <rPr>
            <b/>
            <sz val="9"/>
            <color indexed="81"/>
            <rFont val="Tahoma"/>
            <family val="2"/>
          </rPr>
          <t>Admin:</t>
        </r>
        <r>
          <rPr>
            <sz val="9"/>
            <color indexed="81"/>
            <rFont val="Tahoma"/>
            <family val="2"/>
          </rPr>
          <t xml:space="preserve">
- BN Phó TK từ 01/8/2018</t>
        </r>
      </text>
    </comment>
    <comment ref="N131" authorId="0" shapeId="0" xr:uid="{00000000-0006-0000-0600-0000C401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Q131" authorId="1" shapeId="0" xr:uid="{00000000-0006-0000-0600-0000C5010000}">
      <text>
        <r>
          <rPr>
            <b/>
            <sz val="9"/>
            <color indexed="81"/>
            <rFont val="Tahoma"/>
            <family val="2"/>
          </rPr>
          <t>Admin:</t>
        </r>
        <r>
          <rPr>
            <sz val="9"/>
            <color indexed="81"/>
            <rFont val="Tahoma"/>
            <family val="2"/>
          </rPr>
          <t xml:space="preserve">
- BN Phó TK từ 01/8/2018</t>
        </r>
      </text>
    </comment>
    <comment ref="F132" authorId="0" shapeId="0" xr:uid="{00000000-0006-0000-0600-0000C6010000}">
      <text>
        <r>
          <rPr>
            <b/>
            <sz val="9"/>
            <color indexed="81"/>
            <rFont val="Tahoma"/>
            <family val="2"/>
          </rPr>
          <t>User:</t>
        </r>
        <r>
          <rPr>
            <sz val="9"/>
            <color indexed="81"/>
            <rFont val="Tahoma"/>
            <family val="2"/>
          </rPr>
          <t xml:space="preserve">
- HS 4,32 từ 01/9/2014
- HS 4,65 từ 01/9/2017
- HS 4,98 từ 01/9/2020</t>
        </r>
      </text>
    </comment>
    <comment ref="G132" authorId="3" shapeId="0" xr:uid="{00000000-0006-0000-0600-0000C7010000}">
      <text>
        <r>
          <rPr>
            <b/>
            <sz val="9"/>
            <color indexed="81"/>
            <rFont val="Tahoma"/>
            <family val="2"/>
          </rPr>
          <t>Windows User:</t>
        </r>
        <r>
          <rPr>
            <sz val="9"/>
            <color indexed="81"/>
            <rFont val="Tahoma"/>
            <family val="2"/>
          </rPr>
          <t xml:space="preserve">
- VK 5% từ 01/9/2023</t>
        </r>
      </text>
    </comment>
    <comment ref="J132" authorId="0" shapeId="0" xr:uid="{00000000-0006-0000-0600-0000C8010000}">
      <text>
        <r>
          <rPr>
            <b/>
            <sz val="9"/>
            <color indexed="81"/>
            <rFont val="Tahoma"/>
            <family val="2"/>
          </rPr>
          <t>User:</t>
        </r>
        <r>
          <rPr>
            <sz val="9"/>
            <color indexed="81"/>
            <rFont val="Tahoma"/>
            <family val="2"/>
          </rPr>
          <t xml:space="preserve">
- HS 4,32 từ 01/9/2014
- HS 4,65 từ 01/9/2017
- HS 4,98 từ 01/9/2020</t>
        </r>
      </text>
    </comment>
    <comment ref="K132" authorId="3" shapeId="0" xr:uid="{00000000-0006-0000-0600-0000C9010000}">
      <text>
        <r>
          <rPr>
            <b/>
            <sz val="9"/>
            <color indexed="81"/>
            <rFont val="Tahoma"/>
            <family val="2"/>
          </rPr>
          <t>Windows User:</t>
        </r>
        <r>
          <rPr>
            <sz val="9"/>
            <color indexed="81"/>
            <rFont val="Tahoma"/>
            <family val="2"/>
          </rPr>
          <t xml:space="preserve">
- VK 5% từ 01/9/2023</t>
        </r>
      </text>
    </comment>
    <comment ref="N132" authorId="0" shapeId="0" xr:uid="{00000000-0006-0000-0600-0000CA010000}">
      <text>
        <r>
          <rPr>
            <b/>
            <sz val="9"/>
            <color indexed="81"/>
            <rFont val="Tahoma"/>
            <family val="2"/>
          </rPr>
          <t>User:</t>
        </r>
        <r>
          <rPr>
            <sz val="9"/>
            <color indexed="81"/>
            <rFont val="Tahoma"/>
            <family val="2"/>
          </rPr>
          <t xml:space="preserve">
- HS 4,32 từ 01/9/2014
- HS 4,65 từ 01/9/2017
- HS 4,98 từ 01/9/2020</t>
        </r>
      </text>
    </comment>
    <comment ref="O132" authorId="3" shapeId="0" xr:uid="{00000000-0006-0000-0600-0000CB010000}">
      <text>
        <r>
          <rPr>
            <b/>
            <sz val="9"/>
            <color indexed="81"/>
            <rFont val="Tahoma"/>
            <family val="2"/>
          </rPr>
          <t>Windows User:</t>
        </r>
        <r>
          <rPr>
            <sz val="9"/>
            <color indexed="81"/>
            <rFont val="Tahoma"/>
            <family val="2"/>
          </rPr>
          <t xml:space="preserve">
- VK 5% từ 01/9/2023
- VK 6% từ 01/9/2024</t>
        </r>
      </text>
    </comment>
    <comment ref="F133" authorId="0" shapeId="0" xr:uid="{00000000-0006-0000-0600-0000CC01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J133" authorId="0" shapeId="0" xr:uid="{00000000-0006-0000-0600-0000CD01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N133" authorId="0" shapeId="0" xr:uid="{00000000-0006-0000-0600-0000CE01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4" authorId="1" shapeId="0" xr:uid="{00000000-0006-0000-0600-0000CF010000}">
      <text>
        <r>
          <rPr>
            <b/>
            <sz val="9"/>
            <color indexed="81"/>
            <rFont val="Tahoma"/>
            <family val="2"/>
          </rPr>
          <t>Admin:</t>
        </r>
        <r>
          <rPr>
            <sz val="9"/>
            <color indexed="81"/>
            <rFont val="Tahoma"/>
            <family val="2"/>
          </rPr>
          <t xml:space="preserve">
- HS 3,00 từ 01/9/2016
- HS 3,33 từ 01/3/2020
- HS 3,66 từ 01/03/2023</t>
        </r>
      </text>
    </comment>
    <comment ref="J134" authorId="1" shapeId="0" xr:uid="{00000000-0006-0000-0600-0000D0010000}">
      <text>
        <r>
          <rPr>
            <b/>
            <sz val="9"/>
            <color indexed="81"/>
            <rFont val="Tahoma"/>
            <family val="2"/>
          </rPr>
          <t>Admin:</t>
        </r>
        <r>
          <rPr>
            <sz val="9"/>
            <color indexed="81"/>
            <rFont val="Tahoma"/>
            <family val="2"/>
          </rPr>
          <t xml:space="preserve">
- HS 3,00 từ 01/9/2016
- HS 3,33 từ 01/3/2020
- HS 3,66 từ 01/03/2023</t>
        </r>
      </text>
    </comment>
    <comment ref="N134" authorId="1" shapeId="0" xr:uid="{00000000-0006-0000-0600-0000D1010000}">
      <text>
        <r>
          <rPr>
            <b/>
            <sz val="9"/>
            <color indexed="81"/>
            <rFont val="Tahoma"/>
            <family val="2"/>
          </rPr>
          <t>Admin:</t>
        </r>
        <r>
          <rPr>
            <sz val="9"/>
            <color indexed="81"/>
            <rFont val="Tahoma"/>
            <family val="2"/>
          </rPr>
          <t xml:space="preserve">
- HS 3,00 từ 01/9/2016
- HS 3,33 từ 01/3/2020
- HS 3,66 từ 01/03/2023</t>
        </r>
      </text>
    </comment>
    <comment ref="F135" authorId="1" shapeId="0" xr:uid="{00000000-0006-0000-0600-0000D2010000}">
      <text>
        <r>
          <rPr>
            <b/>
            <sz val="9"/>
            <color indexed="81"/>
            <rFont val="Tahoma"/>
            <family val="2"/>
          </rPr>
          <t>Admin:</t>
        </r>
        <r>
          <rPr>
            <sz val="9"/>
            <color indexed="81"/>
            <rFont val="Tahoma"/>
            <family val="2"/>
          </rPr>
          <t xml:space="preserve">
- HS 2,67 từ 01/9/2017
- HS 3,00 từ 01/9/2020</t>
        </r>
      </text>
    </comment>
    <comment ref="J135" authorId="1" shapeId="0" xr:uid="{00000000-0006-0000-0600-0000D3010000}">
      <text>
        <r>
          <rPr>
            <b/>
            <sz val="9"/>
            <color indexed="81"/>
            <rFont val="Tahoma"/>
            <family val="2"/>
          </rPr>
          <t>Admin:</t>
        </r>
        <r>
          <rPr>
            <sz val="9"/>
            <color indexed="81"/>
            <rFont val="Tahoma"/>
            <family val="2"/>
          </rPr>
          <t xml:space="preserve">
- HS 2,67 từ 01/9/2017
- HS 3,00 từ 01/9/2020</t>
        </r>
      </text>
    </comment>
    <comment ref="N135" authorId="1" shapeId="0" xr:uid="{00000000-0006-0000-0600-0000D4010000}">
      <text>
        <r>
          <rPr>
            <b/>
            <sz val="9"/>
            <color indexed="81"/>
            <rFont val="Tahoma"/>
            <family val="2"/>
          </rPr>
          <t>Admin:</t>
        </r>
        <r>
          <rPr>
            <sz val="9"/>
            <color indexed="81"/>
            <rFont val="Tahoma"/>
            <family val="2"/>
          </rPr>
          <t xml:space="preserve">
- HS 2,67 từ 01/9/2017
- HS 3,00 từ 01/9/2020</t>
        </r>
      </text>
    </comment>
    <comment ref="F136" authorId="1" shapeId="0" xr:uid="{00000000-0006-0000-0600-0000D5010000}">
      <text>
        <r>
          <rPr>
            <b/>
            <sz val="9"/>
            <color indexed="81"/>
            <rFont val="Tahoma"/>
            <family val="2"/>
          </rPr>
          <t>Admin:</t>
        </r>
        <r>
          <rPr>
            <sz val="9"/>
            <color indexed="81"/>
            <rFont val="Tahoma"/>
            <family val="2"/>
          </rPr>
          <t xml:space="preserve">
- HS 2,67 từ 01/9/2017
- HS 3,00 từ 01/9/2020
- HS 3,33 từ 01/9/2023
- HS 3,33 từ 01/9/2023
</t>
        </r>
      </text>
    </comment>
    <comment ref="J136" authorId="1" shapeId="0" xr:uid="{00000000-0006-0000-0600-0000D6010000}">
      <text>
        <r>
          <rPr>
            <b/>
            <sz val="9"/>
            <color indexed="81"/>
            <rFont val="Tahoma"/>
            <family val="2"/>
          </rPr>
          <t>Admin:</t>
        </r>
        <r>
          <rPr>
            <sz val="9"/>
            <color indexed="81"/>
            <rFont val="Tahoma"/>
            <family val="2"/>
          </rPr>
          <t xml:space="preserve">
- HS 2,67 từ 01/9/2017
- HS 3,00 từ 01/9/2020
- HS 3,33 từ 01/9/2023
- HS 3,33 từ 01/9/2023
</t>
        </r>
      </text>
    </comment>
    <comment ref="N136" authorId="1" shapeId="0" xr:uid="{00000000-0006-0000-0600-0000D7010000}">
      <text>
        <r>
          <rPr>
            <b/>
            <sz val="9"/>
            <color indexed="81"/>
            <rFont val="Tahoma"/>
            <family val="2"/>
          </rPr>
          <t>Admin:</t>
        </r>
        <r>
          <rPr>
            <sz val="9"/>
            <color indexed="81"/>
            <rFont val="Tahoma"/>
            <family val="2"/>
          </rPr>
          <t xml:space="preserve">
- HS 2,67 từ 01/9/2017
- HS 3,00 từ 01/9/2020
- HS 3,33 từ 01/9/2023
- HS 3,33 từ 01/9/2023
</t>
        </r>
      </text>
    </comment>
    <comment ref="F137" authorId="0" shapeId="0" xr:uid="{00000000-0006-0000-0600-0000D8010000}">
      <text>
        <r>
          <rPr>
            <b/>
            <sz val="9"/>
            <color indexed="81"/>
            <rFont val="Tahoma"/>
            <family val="2"/>
          </rPr>
          <t>User:</t>
        </r>
        <r>
          <rPr>
            <sz val="9"/>
            <color indexed="81"/>
            <rFont val="Tahoma"/>
            <family val="2"/>
          </rPr>
          <t xml:space="preserve">
- HS 3,33 từ 01/9/2015
- HS 3,66 từ 01/9/2018
- HS 3,99 từ 01/9/2021</t>
        </r>
      </text>
    </comment>
    <comment ref="I137" authorId="1" shapeId="0" xr:uid="{00000000-0006-0000-0600-0000D9010000}">
      <text>
        <r>
          <rPr>
            <b/>
            <sz val="9"/>
            <color indexed="81"/>
            <rFont val="Tahoma"/>
            <family val="2"/>
          </rPr>
          <t>Admin:</t>
        </r>
        <r>
          <rPr>
            <sz val="9"/>
            <color indexed="81"/>
            <rFont val="Tahoma"/>
            <family val="2"/>
          </rPr>
          <t xml:space="preserve">
+ BN Tổ trưởng CM từ 03/5/2017</t>
        </r>
      </text>
    </comment>
    <comment ref="J137" authorId="0" shapeId="0" xr:uid="{00000000-0006-0000-0600-0000DA010000}">
      <text>
        <r>
          <rPr>
            <b/>
            <sz val="9"/>
            <color indexed="81"/>
            <rFont val="Tahoma"/>
            <family val="2"/>
          </rPr>
          <t>User:</t>
        </r>
        <r>
          <rPr>
            <sz val="9"/>
            <color indexed="81"/>
            <rFont val="Tahoma"/>
            <family val="2"/>
          </rPr>
          <t xml:space="preserve">
- HS 3,33 từ 01/9/2015
- HS 3,66 từ 01/9/2018
- HS 3,99 từ 01/9/2021</t>
        </r>
      </text>
    </comment>
    <comment ref="M137" authorId="1" shapeId="0" xr:uid="{00000000-0006-0000-0600-0000DB010000}">
      <text>
        <r>
          <rPr>
            <b/>
            <sz val="9"/>
            <color indexed="81"/>
            <rFont val="Tahoma"/>
            <family val="2"/>
          </rPr>
          <t>Admin:</t>
        </r>
        <r>
          <rPr>
            <sz val="9"/>
            <color indexed="81"/>
            <rFont val="Tahoma"/>
            <family val="2"/>
          </rPr>
          <t xml:space="preserve">
+ BN Tổ trưởng CM từ 03/5/2017</t>
        </r>
      </text>
    </comment>
    <comment ref="N137" authorId="0" shapeId="0" xr:uid="{00000000-0006-0000-0600-0000DC010000}">
      <text>
        <r>
          <rPr>
            <b/>
            <sz val="9"/>
            <color indexed="81"/>
            <rFont val="Tahoma"/>
            <family val="2"/>
          </rPr>
          <t>User:</t>
        </r>
        <r>
          <rPr>
            <sz val="9"/>
            <color indexed="81"/>
            <rFont val="Tahoma"/>
            <family val="2"/>
          </rPr>
          <t xml:space="preserve">
- HS 3,33 từ 01/9/2015
- HS 3,66 từ 01/9/2018
- HS 3,99 từ 01/9/2021
- HS 4,32 từ 01/9/2024</t>
        </r>
      </text>
    </comment>
    <comment ref="Q137" authorId="1" shapeId="0" xr:uid="{00000000-0006-0000-0600-0000DD010000}">
      <text>
        <r>
          <rPr>
            <b/>
            <sz val="9"/>
            <color indexed="81"/>
            <rFont val="Tahoma"/>
            <family val="2"/>
          </rPr>
          <t>Admin:</t>
        </r>
        <r>
          <rPr>
            <sz val="9"/>
            <color indexed="81"/>
            <rFont val="Tahoma"/>
            <family val="2"/>
          </rPr>
          <t xml:space="preserve">
+ BN Tổ trưởng CM từ 03/5/2017</t>
        </r>
      </text>
    </comment>
    <comment ref="F138" authorId="1" shapeId="0" xr:uid="{00000000-0006-0000-0600-0000DE01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J138" authorId="1" shapeId="0" xr:uid="{00000000-0006-0000-0600-0000DF01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N138" authorId="1" shapeId="0" xr:uid="{00000000-0006-0000-0600-0000E001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9" authorId="8" shapeId="0" xr:uid="{00000000-0006-0000-0600-0000E1010000}">
      <text>
        <r>
          <rPr>
            <sz val="9"/>
            <color indexed="81"/>
            <rFont val="Tahoma"/>
            <family val="2"/>
          </rPr>
          <t>- HS 3,33 từ 01/3/2018
- HS 3,66 từ 01/3/2020 (NL trước hạn)
- HS 3,99 từ 01/3/2023</t>
        </r>
      </text>
    </comment>
    <comment ref="J139" authorId="8" shapeId="0" xr:uid="{00000000-0006-0000-0600-0000E2010000}">
      <text>
        <r>
          <rPr>
            <sz val="9"/>
            <color indexed="81"/>
            <rFont val="Tahoma"/>
            <family val="2"/>
          </rPr>
          <t>- HS 3,33 từ 01/3/2018
- HS 3,66 từ 01/3/2020 (NL trước hạn)
- HS 3,99 từ 01/3/2023</t>
        </r>
      </text>
    </comment>
    <comment ref="N139" authorId="8" shapeId="0" xr:uid="{00000000-0006-0000-0600-0000E3010000}">
      <text>
        <r>
          <rPr>
            <sz val="9"/>
            <color indexed="81"/>
            <rFont val="Tahoma"/>
            <family val="2"/>
          </rPr>
          <t>- HS 3,33 từ 01/3/2018
- HS 3,66 từ 01/3/2020 (NL trước hạn)
- HS 3,99 từ 01/3/2023</t>
        </r>
      </text>
    </comment>
    <comment ref="F140" authorId="0" shapeId="0" xr:uid="{00000000-0006-0000-0600-0000E401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J140" authorId="0" shapeId="0" xr:uid="{00000000-0006-0000-0600-0000E501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N140" authorId="0" shapeId="0" xr:uid="{00000000-0006-0000-0600-0000E601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1" authorId="1" shapeId="0" xr:uid="{00000000-0006-0000-0600-0000E7010000}">
      <text>
        <r>
          <rPr>
            <b/>
            <sz val="9"/>
            <color indexed="81"/>
            <rFont val="Tahoma"/>
            <family val="2"/>
          </rPr>
          <t>Admin:</t>
        </r>
        <r>
          <rPr>
            <sz val="9"/>
            <color indexed="81"/>
            <rFont val="Tahoma"/>
            <family val="2"/>
          </rPr>
          <t xml:space="preserve">
- HS 3,66 từ 01/9/2016
- HS 3,99 từ 01/9/2019
- HS 4,32 từ 01/9/2022</t>
        </r>
      </text>
    </comment>
    <comment ref="J141" authorId="1" shapeId="0" xr:uid="{00000000-0006-0000-0600-0000E8010000}">
      <text>
        <r>
          <rPr>
            <b/>
            <sz val="9"/>
            <color indexed="81"/>
            <rFont val="Tahoma"/>
            <family val="2"/>
          </rPr>
          <t>Admin:</t>
        </r>
        <r>
          <rPr>
            <sz val="9"/>
            <color indexed="81"/>
            <rFont val="Tahoma"/>
            <family val="2"/>
          </rPr>
          <t xml:space="preserve">
- HS 3,66 từ 01/9/2016
- HS 3,99 từ 01/9/2019
- HS 4,32 từ 01/9/2022</t>
        </r>
      </text>
    </comment>
    <comment ref="N141" authorId="1" shapeId="0" xr:uid="{00000000-0006-0000-0600-0000E9010000}">
      <text>
        <r>
          <rPr>
            <b/>
            <sz val="9"/>
            <color indexed="81"/>
            <rFont val="Tahoma"/>
            <family val="2"/>
          </rPr>
          <t>Admin:</t>
        </r>
        <r>
          <rPr>
            <sz val="9"/>
            <color indexed="81"/>
            <rFont val="Tahoma"/>
            <family val="2"/>
          </rPr>
          <t xml:space="preserve">
- HS 3,66 từ 01/9/2016
- HS 3,99 từ 01/9/2019
- HS 4,32 từ 01/9/2022</t>
        </r>
      </text>
    </comment>
    <comment ref="F142" authorId="8" shapeId="0" xr:uid="{00000000-0006-0000-0600-0000EA010000}">
      <text>
        <r>
          <rPr>
            <sz val="9"/>
            <color indexed="81"/>
            <rFont val="Tahoma"/>
            <family val="2"/>
          </rPr>
          <t xml:space="preserve">- HS 3,99 từ 01/12/2017
- HS 4,32 từ 01/12/2020
- HS 4,65 từ 01/12/2023
</t>
        </r>
      </text>
    </comment>
    <comment ref="J142" authorId="8" shapeId="0" xr:uid="{00000000-0006-0000-0600-0000EB010000}">
      <text>
        <r>
          <rPr>
            <sz val="9"/>
            <color indexed="81"/>
            <rFont val="Tahoma"/>
            <family val="2"/>
          </rPr>
          <t xml:space="preserve">- HS 3,99 từ 01/12/2017
- HS 4,32 từ 01/12/2020
- HS 4,65 từ 01/12/2023
</t>
        </r>
      </text>
    </comment>
    <comment ref="N142" authorId="8" shapeId="0" xr:uid="{00000000-0006-0000-0600-0000EC010000}">
      <text>
        <r>
          <rPr>
            <sz val="9"/>
            <color indexed="81"/>
            <rFont val="Tahoma"/>
            <family val="2"/>
          </rPr>
          <t xml:space="preserve">- HS 3,99 từ 01/12/2017
- HS 4,32 từ 01/12/2020
- HS 4,65 từ 01/12/2023
</t>
        </r>
      </text>
    </comment>
    <comment ref="F143" authorId="1" shapeId="0" xr:uid="{00000000-0006-0000-0600-0000ED010000}">
      <text>
        <r>
          <rPr>
            <b/>
            <sz val="9"/>
            <color indexed="81"/>
            <rFont val="Tahoma"/>
            <family val="2"/>
          </rPr>
          <t>Admin:</t>
        </r>
        <r>
          <rPr>
            <sz val="9"/>
            <color indexed="81"/>
            <rFont val="Tahoma"/>
            <family val="2"/>
          </rPr>
          <t xml:space="preserve">
- HS 3,99 từ 01/9/2017
- HS 4,32 từ 01/9/2019
- HS 4,65 từ 01/9/2022</t>
        </r>
      </text>
    </comment>
    <comment ref="I143" authorId="2" shapeId="0" xr:uid="{00000000-0006-0000-0600-0000EE010000}">
      <text>
        <r>
          <rPr>
            <b/>
            <sz val="9"/>
            <color indexed="81"/>
            <rFont val="Tahoma"/>
            <family val="2"/>
          </rPr>
          <t>user:</t>
        </r>
        <r>
          <rPr>
            <sz val="9"/>
            <color indexed="81"/>
            <rFont val="Tahoma"/>
            <family val="2"/>
          </rPr>
          <t xml:space="preserve">
- Trưởng BM Cơ điện tử và tự động hóa từ 01/1/2020</t>
        </r>
      </text>
    </comment>
    <comment ref="J143" authorId="1" shapeId="0" xr:uid="{00000000-0006-0000-0600-0000EF010000}">
      <text>
        <r>
          <rPr>
            <b/>
            <sz val="9"/>
            <color indexed="81"/>
            <rFont val="Tahoma"/>
            <family val="2"/>
          </rPr>
          <t>Admin:</t>
        </r>
        <r>
          <rPr>
            <sz val="9"/>
            <color indexed="81"/>
            <rFont val="Tahoma"/>
            <family val="2"/>
          </rPr>
          <t xml:space="preserve">
- HS 3,99 từ 01/9/2017
- HS 4,32 từ 01/9/2019
- HS 4,65 từ 01/9/2022</t>
        </r>
      </text>
    </comment>
    <comment ref="M143" authorId="2" shapeId="0" xr:uid="{00000000-0006-0000-0600-0000F0010000}">
      <text>
        <r>
          <rPr>
            <b/>
            <sz val="9"/>
            <color indexed="81"/>
            <rFont val="Tahoma"/>
            <family val="2"/>
          </rPr>
          <t>user:</t>
        </r>
        <r>
          <rPr>
            <sz val="9"/>
            <color indexed="81"/>
            <rFont val="Tahoma"/>
            <family val="2"/>
          </rPr>
          <t xml:space="preserve">
- Trưởng BM Cơ điện tử và tự động hóa từ 01/1/2020</t>
        </r>
      </text>
    </comment>
    <comment ref="N143" authorId="1" shapeId="0" xr:uid="{00000000-0006-0000-0600-0000F1010000}">
      <text>
        <r>
          <rPr>
            <b/>
            <sz val="9"/>
            <color indexed="81"/>
            <rFont val="Tahoma"/>
            <family val="2"/>
          </rPr>
          <t>Admin:</t>
        </r>
        <r>
          <rPr>
            <sz val="9"/>
            <color indexed="81"/>
            <rFont val="Tahoma"/>
            <family val="2"/>
          </rPr>
          <t xml:space="preserve">
- HS 3,99 từ 01/9/2017
- HS 4,32 từ 01/9/2019
- HS 4,65 từ 01/9/2022</t>
        </r>
      </text>
    </comment>
    <comment ref="Q143" authorId="2" shapeId="0" xr:uid="{00000000-0006-0000-0600-0000F2010000}">
      <text>
        <r>
          <rPr>
            <b/>
            <sz val="9"/>
            <color indexed="81"/>
            <rFont val="Tahoma"/>
            <family val="2"/>
          </rPr>
          <t>user:</t>
        </r>
        <r>
          <rPr>
            <sz val="9"/>
            <color indexed="81"/>
            <rFont val="Tahoma"/>
            <family val="2"/>
          </rPr>
          <t xml:space="preserve">
- Trưởng BM Cơ điện tử và tự động hóa từ 01/1/2020</t>
        </r>
      </text>
    </comment>
    <comment ref="F144" authorId="1" shapeId="0" xr:uid="{00000000-0006-0000-0600-0000F3010000}">
      <text>
        <r>
          <rPr>
            <b/>
            <sz val="9"/>
            <color indexed="81"/>
            <rFont val="Tahoma"/>
            <family val="2"/>
          </rPr>
          <t>Admin:</t>
        </r>
        <r>
          <rPr>
            <sz val="9"/>
            <color indexed="81"/>
            <rFont val="Tahoma"/>
            <family val="2"/>
          </rPr>
          <t xml:space="preserve">
- HS 3,99 từ 01/9/2017
- HS 4,32 từ 01/9/2020
- HS 4,65 từ 01/9/2023</t>
        </r>
      </text>
    </comment>
    <comment ref="J144" authorId="1" shapeId="0" xr:uid="{00000000-0006-0000-0600-0000F4010000}">
      <text>
        <r>
          <rPr>
            <b/>
            <sz val="9"/>
            <color indexed="81"/>
            <rFont val="Tahoma"/>
            <family val="2"/>
          </rPr>
          <t>Admin:</t>
        </r>
        <r>
          <rPr>
            <sz val="9"/>
            <color indexed="81"/>
            <rFont val="Tahoma"/>
            <family val="2"/>
          </rPr>
          <t xml:space="preserve">
- HS 3,99 từ 01/9/2017
- HS 4,32 từ 01/9/2020
- HS 4,65 từ 01/9/2023</t>
        </r>
      </text>
    </comment>
    <comment ref="N144" authorId="1" shapeId="0" xr:uid="{00000000-0006-0000-0600-0000F5010000}">
      <text>
        <r>
          <rPr>
            <b/>
            <sz val="9"/>
            <color indexed="81"/>
            <rFont val="Tahoma"/>
            <family val="2"/>
          </rPr>
          <t>Admin:</t>
        </r>
        <r>
          <rPr>
            <sz val="9"/>
            <color indexed="81"/>
            <rFont val="Tahoma"/>
            <family val="2"/>
          </rPr>
          <t xml:space="preserve">
- HS 3,99 từ 01/9/2017
- HS 4,32 từ 01/9/2020
- HS 4,65 từ 01/9/2023</t>
        </r>
      </text>
    </comment>
    <comment ref="F145" authorId="1" shapeId="0" xr:uid="{00000000-0006-0000-0600-0000F6010000}">
      <text>
        <r>
          <rPr>
            <b/>
            <sz val="9"/>
            <color indexed="81"/>
            <rFont val="Tahoma"/>
            <family val="2"/>
          </rPr>
          <t>Admin:</t>
        </r>
        <r>
          <rPr>
            <sz val="9"/>
            <color indexed="81"/>
            <rFont val="Tahoma"/>
            <family val="2"/>
          </rPr>
          <t xml:space="preserve">
- HS 3,33 từ 01/9/2017
- HS 3,66 từ 01/9/2020
- HS 3,99 từ 01/9/2023</t>
        </r>
      </text>
    </comment>
    <comment ref="J145" authorId="1" shapeId="0" xr:uid="{00000000-0006-0000-0600-0000F7010000}">
      <text>
        <r>
          <rPr>
            <b/>
            <sz val="9"/>
            <color indexed="81"/>
            <rFont val="Tahoma"/>
            <family val="2"/>
          </rPr>
          <t>Admin:</t>
        </r>
        <r>
          <rPr>
            <sz val="9"/>
            <color indexed="81"/>
            <rFont val="Tahoma"/>
            <family val="2"/>
          </rPr>
          <t xml:space="preserve">
- HS 3,33 từ 01/9/2017
- HS 3,66 từ 01/9/2020
- HS 3,99 từ 01/9/2023</t>
        </r>
      </text>
    </comment>
    <comment ref="N145" authorId="1" shapeId="0" xr:uid="{00000000-0006-0000-0600-0000F8010000}">
      <text>
        <r>
          <rPr>
            <b/>
            <sz val="9"/>
            <color indexed="81"/>
            <rFont val="Tahoma"/>
            <family val="2"/>
          </rPr>
          <t>Admin:</t>
        </r>
        <r>
          <rPr>
            <sz val="9"/>
            <color indexed="81"/>
            <rFont val="Tahoma"/>
            <family val="2"/>
          </rPr>
          <t xml:space="preserve">
- HS 3,33 từ 01/9/2017
- HS 3,66 từ 01/9/2020
- HS 3,99 từ 01/9/2023</t>
        </r>
      </text>
    </comment>
    <comment ref="F146" authorId="1" shapeId="0" xr:uid="{00000000-0006-0000-0600-0000F9010000}">
      <text>
        <r>
          <rPr>
            <b/>
            <sz val="9"/>
            <color indexed="81"/>
            <rFont val="Tahoma"/>
            <family val="2"/>
          </rPr>
          <t>Admin:</t>
        </r>
        <r>
          <rPr>
            <sz val="9"/>
            <color indexed="81"/>
            <rFont val="Tahoma"/>
            <family val="2"/>
          </rPr>
          <t xml:space="preserve">
- HS 4,32 từ 01/9/2016
- HS 4,65 từ 01/9/2019
- HS 4,98 từ 01/9/2022</t>
        </r>
      </text>
    </comment>
    <comment ref="J146" authorId="1" shapeId="0" xr:uid="{00000000-0006-0000-0600-0000FA010000}">
      <text>
        <r>
          <rPr>
            <b/>
            <sz val="9"/>
            <color indexed="81"/>
            <rFont val="Tahoma"/>
            <family val="2"/>
          </rPr>
          <t>Admin:</t>
        </r>
        <r>
          <rPr>
            <sz val="9"/>
            <color indexed="81"/>
            <rFont val="Tahoma"/>
            <family val="2"/>
          </rPr>
          <t xml:space="preserve">
- HS 4,32 từ 01/9/2016
- HS 4,65 từ 01/9/2019
- HS 4,98 từ 01/9/2022</t>
        </r>
      </text>
    </comment>
    <comment ref="N146" authorId="1" shapeId="0" xr:uid="{00000000-0006-0000-0600-0000FB010000}">
      <text>
        <r>
          <rPr>
            <b/>
            <sz val="9"/>
            <color indexed="81"/>
            <rFont val="Tahoma"/>
            <family val="2"/>
          </rPr>
          <t>Admin:</t>
        </r>
        <r>
          <rPr>
            <sz val="9"/>
            <color indexed="81"/>
            <rFont val="Tahoma"/>
            <family val="2"/>
          </rPr>
          <t xml:space="preserve">
- HS 4,32 từ 01/9/2016
- HS 4,65 từ 01/9/2019
- HS 4,98 từ 01/9/2022</t>
        </r>
      </text>
    </comment>
    <comment ref="F147" authorId="1" shapeId="0" xr:uid="{00000000-0006-0000-0600-0000FC010000}">
      <text>
        <r>
          <rPr>
            <b/>
            <sz val="9"/>
            <color indexed="81"/>
            <rFont val="Tahoma"/>
            <family val="2"/>
          </rPr>
          <t>Admin:</t>
        </r>
        <r>
          <rPr>
            <sz val="9"/>
            <color indexed="81"/>
            <rFont val="Tahoma"/>
            <family val="2"/>
          </rPr>
          <t xml:space="preserve">
- HS 3,33 từ 01/9/2017
- HS 3,66 từ 01/9/2020
- HS 3,99 từ 01/9/2023</t>
        </r>
      </text>
    </comment>
    <comment ref="I147" authorId="0" shapeId="0" xr:uid="{00000000-0006-0000-0600-0000FD010000}">
      <text>
        <r>
          <rPr>
            <b/>
            <sz val="9"/>
            <color indexed="81"/>
            <rFont val="Tahoma"/>
            <family val="2"/>
          </rPr>
          <t>User:</t>
        </r>
        <r>
          <rPr>
            <sz val="9"/>
            <color indexed="81"/>
            <rFont val="Tahoma"/>
            <family val="2"/>
          </rPr>
          <t xml:space="preserve">
Miễn nhiệm Phó Trưởng BM từ 01/9/2015. Bảo lưu HS PC hết T02/2016</t>
        </r>
      </text>
    </comment>
    <comment ref="J147" authorId="1" shapeId="0" xr:uid="{00000000-0006-0000-0600-0000FE010000}">
      <text>
        <r>
          <rPr>
            <b/>
            <sz val="9"/>
            <color indexed="81"/>
            <rFont val="Tahoma"/>
            <family val="2"/>
          </rPr>
          <t>Admin:</t>
        </r>
        <r>
          <rPr>
            <sz val="9"/>
            <color indexed="81"/>
            <rFont val="Tahoma"/>
            <family val="2"/>
          </rPr>
          <t xml:space="preserve">
- HS 3,33 từ 01/9/2017
- HS 3,66 từ 01/9/2020
- HS 3,99 từ 01/9/2023</t>
        </r>
      </text>
    </comment>
    <comment ref="M147" authorId="0" shapeId="0" xr:uid="{00000000-0006-0000-0600-0000FF010000}">
      <text>
        <r>
          <rPr>
            <b/>
            <sz val="9"/>
            <color indexed="81"/>
            <rFont val="Tahoma"/>
            <family val="2"/>
          </rPr>
          <t>User:</t>
        </r>
        <r>
          <rPr>
            <sz val="9"/>
            <color indexed="81"/>
            <rFont val="Tahoma"/>
            <family val="2"/>
          </rPr>
          <t xml:space="preserve">
Miễn nhiệm Phó Trưởng BM từ 01/9/2015. Bảo lưu HS PC hết T02/2016</t>
        </r>
      </text>
    </comment>
    <comment ref="N147" authorId="1" shapeId="0" xr:uid="{00000000-0006-0000-0600-000000020000}">
      <text>
        <r>
          <rPr>
            <b/>
            <sz val="9"/>
            <color indexed="81"/>
            <rFont val="Tahoma"/>
            <family val="2"/>
          </rPr>
          <t>Admin:</t>
        </r>
        <r>
          <rPr>
            <sz val="9"/>
            <color indexed="81"/>
            <rFont val="Tahoma"/>
            <family val="2"/>
          </rPr>
          <t xml:space="preserve">
- HS 3,33 từ 01/9/2017
- HS 3,66 từ 01/9/2020
- HS 3,99 từ 01/9/2023</t>
        </r>
      </text>
    </comment>
    <comment ref="Q147" authorId="0" shapeId="0" xr:uid="{00000000-0006-0000-0600-000001020000}">
      <text>
        <r>
          <rPr>
            <b/>
            <sz val="9"/>
            <color indexed="81"/>
            <rFont val="Tahoma"/>
            <family val="2"/>
          </rPr>
          <t>User:</t>
        </r>
        <r>
          <rPr>
            <sz val="9"/>
            <color indexed="81"/>
            <rFont val="Tahoma"/>
            <family val="2"/>
          </rPr>
          <t xml:space="preserve">
Miễn nhiệm Phó Trưởng BM từ 01/9/2015. Bảo lưu HS PC hết T02/2016</t>
        </r>
      </text>
    </comment>
    <comment ref="F148" authorId="1" shapeId="0" xr:uid="{00000000-0006-0000-0600-000002020000}">
      <text>
        <r>
          <rPr>
            <sz val="9"/>
            <color indexed="81"/>
            <rFont val="Tahoma"/>
            <family val="2"/>
          </rPr>
          <t>- HS 3,00 từ 01/01/2018
- HS 3,33 từ 01/01/2023</t>
        </r>
      </text>
    </comment>
    <comment ref="I148" authorId="2" shapeId="0" xr:uid="{00000000-0006-0000-0600-00000302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J148" authorId="1" shapeId="0" xr:uid="{00000000-0006-0000-0600-000004020000}">
      <text>
        <r>
          <rPr>
            <sz val="9"/>
            <color indexed="81"/>
            <rFont val="Tahoma"/>
            <family val="2"/>
          </rPr>
          <t>- HS 3,00 từ 01/01/2018
- HS 3,33 từ 01/01/2023</t>
        </r>
      </text>
    </comment>
    <comment ref="M148" authorId="2" shapeId="0" xr:uid="{00000000-0006-0000-0600-00000502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N148" authorId="1" shapeId="0" xr:uid="{00000000-0006-0000-0600-000006020000}">
      <text>
        <r>
          <rPr>
            <sz val="9"/>
            <color indexed="81"/>
            <rFont val="Tahoma"/>
            <family val="2"/>
          </rPr>
          <t>- HS 3,00 từ 01/01/2018
- HS 3,33 từ 01/01/2023</t>
        </r>
      </text>
    </comment>
    <comment ref="Q148" authorId="2" shapeId="0" xr:uid="{00000000-0006-0000-0600-00000702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9" authorId="1" shapeId="0" xr:uid="{00000000-0006-0000-0600-000008020000}">
      <text>
        <r>
          <rPr>
            <b/>
            <sz val="9"/>
            <color indexed="81"/>
            <rFont val="Tahoma"/>
            <family val="2"/>
          </rPr>
          <t>Admin:</t>
        </r>
        <r>
          <rPr>
            <sz val="9"/>
            <color indexed="81"/>
            <rFont val="Tahoma"/>
            <family val="2"/>
          </rPr>
          <t xml:space="preserve">
- HS 2,34 từ 01/09/2016
- HS 2,67 từ 01/9/2019
- HS 3,00 từ 0/09/2022</t>
        </r>
      </text>
    </comment>
    <comment ref="J149" authorId="1" shapeId="0" xr:uid="{00000000-0006-0000-0600-000009020000}">
      <text>
        <r>
          <rPr>
            <b/>
            <sz val="9"/>
            <color indexed="81"/>
            <rFont val="Tahoma"/>
            <family val="2"/>
          </rPr>
          <t>Admin:</t>
        </r>
        <r>
          <rPr>
            <sz val="9"/>
            <color indexed="81"/>
            <rFont val="Tahoma"/>
            <family val="2"/>
          </rPr>
          <t xml:space="preserve">
- HS 2,34 từ 01/09/2016
- HS 2,67 từ 01/9/2019
- HS 3,00 từ 0/09/2022</t>
        </r>
      </text>
    </comment>
    <comment ref="N149" authorId="1" shapeId="0" xr:uid="{00000000-0006-0000-0600-00000A020000}">
      <text>
        <r>
          <rPr>
            <b/>
            <sz val="9"/>
            <color indexed="81"/>
            <rFont val="Tahoma"/>
            <family val="2"/>
          </rPr>
          <t>Admin:</t>
        </r>
        <r>
          <rPr>
            <sz val="9"/>
            <color indexed="81"/>
            <rFont val="Tahoma"/>
            <family val="2"/>
          </rPr>
          <t xml:space="preserve">
- HS 2,34 từ 01/09/2016
- HS 2,67 từ 01/9/2019
- HS 3,00 từ 0/09/2022</t>
        </r>
      </text>
    </comment>
    <comment ref="F150" authorId="2" shapeId="0" xr:uid="{00000000-0006-0000-0600-00000B020000}">
      <text>
        <r>
          <rPr>
            <b/>
            <sz val="9"/>
            <color indexed="81"/>
            <rFont val="Tahoma"/>
            <family val="2"/>
          </rPr>
          <t>user:</t>
        </r>
        <r>
          <rPr>
            <sz val="9"/>
            <color indexed="81"/>
            <rFont val="Tahoma"/>
            <family val="2"/>
          </rPr>
          <t xml:space="preserve">
- Tuyển dụng từ 01/10/2020
- HS 2,34 từ 01/10/2021</t>
        </r>
      </text>
    </comment>
    <comment ref="J150" authorId="2" shapeId="0" xr:uid="{00000000-0006-0000-0600-00000C020000}">
      <text>
        <r>
          <rPr>
            <b/>
            <sz val="9"/>
            <color indexed="81"/>
            <rFont val="Tahoma"/>
            <family val="2"/>
          </rPr>
          <t>user:</t>
        </r>
        <r>
          <rPr>
            <sz val="9"/>
            <color indexed="81"/>
            <rFont val="Tahoma"/>
            <family val="2"/>
          </rPr>
          <t xml:space="preserve">
- Tuyển dụng từ 01/10/2020
- HS 2,34 từ 01/10/2021</t>
        </r>
      </text>
    </comment>
    <comment ref="N150" authorId="2" shapeId="0" xr:uid="{00000000-0006-0000-0600-00000D020000}">
      <text>
        <r>
          <rPr>
            <b/>
            <sz val="9"/>
            <color indexed="81"/>
            <rFont val="Tahoma"/>
            <family val="2"/>
          </rPr>
          <t>user:</t>
        </r>
        <r>
          <rPr>
            <sz val="9"/>
            <color indexed="81"/>
            <rFont val="Tahoma"/>
            <family val="2"/>
          </rPr>
          <t xml:space="preserve">
- Tuyển dụng từ 01/10/2020
- HS 2,34 từ 01/10/2021</t>
        </r>
      </text>
    </comment>
    <comment ref="F151" authorId="1" shapeId="0" xr:uid="{00000000-0006-0000-0600-00000E020000}">
      <text>
        <r>
          <rPr>
            <b/>
            <sz val="9"/>
            <color indexed="81"/>
            <rFont val="Tahoma"/>
            <family val="2"/>
          </rPr>
          <t>Admin:</t>
        </r>
        <r>
          <rPr>
            <sz val="9"/>
            <color indexed="81"/>
            <rFont val="Tahoma"/>
            <family val="2"/>
          </rPr>
          <t xml:space="preserve">
- HS 2,34 từ 01/09/2016
- HS 2,67 từ 01/9/2019
- HS 3,00 từ 01/9/2022</t>
        </r>
      </text>
    </comment>
    <comment ref="J151" authorId="1" shapeId="0" xr:uid="{00000000-0006-0000-0600-00000F020000}">
      <text>
        <r>
          <rPr>
            <b/>
            <sz val="9"/>
            <color indexed="81"/>
            <rFont val="Tahoma"/>
            <family val="2"/>
          </rPr>
          <t>Admin:</t>
        </r>
        <r>
          <rPr>
            <sz val="9"/>
            <color indexed="81"/>
            <rFont val="Tahoma"/>
            <family val="2"/>
          </rPr>
          <t xml:space="preserve">
- HS 2,34 từ 01/09/2016
- HS 2,67 từ 01/9/2019
- HS 3,00 từ 01/9/2022</t>
        </r>
      </text>
    </comment>
    <comment ref="N151" authorId="1" shapeId="0" xr:uid="{00000000-0006-0000-0600-000010020000}">
      <text>
        <r>
          <rPr>
            <b/>
            <sz val="9"/>
            <color indexed="81"/>
            <rFont val="Tahoma"/>
            <family val="2"/>
          </rPr>
          <t>Admin:</t>
        </r>
        <r>
          <rPr>
            <sz val="9"/>
            <color indexed="81"/>
            <rFont val="Tahoma"/>
            <family val="2"/>
          </rPr>
          <t xml:space="preserve">
- HS 2,34 từ 01/09/2016
- HS 2,67 từ 01/9/2019
- HS 3,00 từ 01/9/2022</t>
        </r>
      </text>
    </comment>
    <comment ref="F152" authorId="2" shapeId="0" xr:uid="{00000000-0006-0000-0600-000011020000}">
      <text>
        <r>
          <rPr>
            <b/>
            <sz val="9"/>
            <color indexed="81"/>
            <rFont val="Tahoma"/>
            <family val="2"/>
          </rPr>
          <t>user:</t>
        </r>
        <r>
          <rPr>
            <sz val="9"/>
            <color indexed="81"/>
            <rFont val="Tahoma"/>
            <family val="2"/>
          </rPr>
          <t xml:space="preserve">
- Tuyển dụng từ 01/5/20
- HS 2,34 từ 01/5/2021
- HS 2,67 từ 01/5/2024</t>
        </r>
      </text>
    </comment>
    <comment ref="J152" authorId="2" shapeId="0" xr:uid="{00000000-0006-0000-0600-000012020000}">
      <text>
        <r>
          <rPr>
            <b/>
            <sz val="9"/>
            <color indexed="81"/>
            <rFont val="Tahoma"/>
            <family val="2"/>
          </rPr>
          <t>user:</t>
        </r>
        <r>
          <rPr>
            <sz val="9"/>
            <color indexed="81"/>
            <rFont val="Tahoma"/>
            <family val="2"/>
          </rPr>
          <t xml:space="preserve">
- Tuyển dụng từ 01/5/20
- HS 2,34 từ 01/5/2021
- HS 2,67 từ 01/5/2024</t>
        </r>
      </text>
    </comment>
    <comment ref="N152" authorId="2" shapeId="0" xr:uid="{00000000-0006-0000-0600-000013020000}">
      <text>
        <r>
          <rPr>
            <b/>
            <sz val="9"/>
            <color indexed="81"/>
            <rFont val="Tahoma"/>
            <family val="2"/>
          </rPr>
          <t>user:</t>
        </r>
        <r>
          <rPr>
            <sz val="9"/>
            <color indexed="81"/>
            <rFont val="Tahoma"/>
            <family val="2"/>
          </rPr>
          <t xml:space="preserve">
- Tuyển dụng từ 01/5/20
- HS 2,34 từ 01/5/2021
- HS 2,67 từ 01/5/2024</t>
        </r>
      </text>
    </comment>
    <comment ref="F157" authorId="0" shapeId="0" xr:uid="{00000000-0006-0000-0600-00001402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7" authorId="0" shapeId="0" xr:uid="{00000000-0006-0000-0600-000015020000}">
      <text>
        <r>
          <rPr>
            <b/>
            <sz val="9"/>
            <color indexed="81"/>
            <rFont val="Tahoma"/>
            <family val="2"/>
          </rPr>
          <t>User:</t>
        </r>
        <r>
          <rPr>
            <sz val="9"/>
            <color indexed="81"/>
            <rFont val="Tahoma"/>
            <family val="2"/>
          </rPr>
          <t xml:space="preserve">
HS 0,35 hưởng từ 01/7/2015
</t>
        </r>
      </text>
    </comment>
    <comment ref="J157" authorId="0" shapeId="0" xr:uid="{00000000-0006-0000-0600-00001602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M157" authorId="0" shapeId="0" xr:uid="{00000000-0006-0000-0600-000017020000}">
      <text>
        <r>
          <rPr>
            <b/>
            <sz val="9"/>
            <color indexed="81"/>
            <rFont val="Tahoma"/>
            <family val="2"/>
          </rPr>
          <t>User:</t>
        </r>
        <r>
          <rPr>
            <sz val="9"/>
            <color indexed="81"/>
            <rFont val="Tahoma"/>
            <family val="2"/>
          </rPr>
          <t xml:space="preserve">
HS 0,35 hưởng từ 01/7/2015
</t>
        </r>
      </text>
    </comment>
    <comment ref="N157" authorId="0" shapeId="0" xr:uid="{00000000-0006-0000-0600-00001802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Q157" authorId="0" shapeId="0" xr:uid="{00000000-0006-0000-0600-000019020000}">
      <text>
        <r>
          <rPr>
            <b/>
            <sz val="9"/>
            <color indexed="81"/>
            <rFont val="Tahoma"/>
            <family val="2"/>
          </rPr>
          <t>User:</t>
        </r>
        <r>
          <rPr>
            <sz val="9"/>
            <color indexed="81"/>
            <rFont val="Tahoma"/>
            <family val="2"/>
          </rPr>
          <t xml:space="preserve">
HS 0,35 hưởng từ 01/7/2015
</t>
        </r>
      </text>
    </comment>
    <comment ref="F158" authorId="1" shapeId="0" xr:uid="{00000000-0006-0000-0600-00001A020000}">
      <text>
        <r>
          <rPr>
            <b/>
            <sz val="9"/>
            <color indexed="81"/>
            <rFont val="Tahoma"/>
            <family val="2"/>
          </rPr>
          <t>Admin:</t>
        </r>
        <r>
          <rPr>
            <sz val="9"/>
            <color indexed="81"/>
            <rFont val="Tahoma"/>
            <family val="2"/>
          </rPr>
          <t xml:space="preserve">
- HS 3,33 từ 01/9/2016
- HS 3,66 từ 01/9/2019
- HS 3,99 từ 01/9/2021 (NL trước hạn)</t>
        </r>
      </text>
    </comment>
    <comment ref="I158" authorId="0" shapeId="0" xr:uid="{00000000-0006-0000-0600-00001B02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J158" authorId="1" shapeId="0" xr:uid="{00000000-0006-0000-0600-00001C020000}">
      <text>
        <r>
          <rPr>
            <b/>
            <sz val="9"/>
            <color indexed="81"/>
            <rFont val="Tahoma"/>
            <family val="2"/>
          </rPr>
          <t>Admin:</t>
        </r>
        <r>
          <rPr>
            <sz val="9"/>
            <color indexed="81"/>
            <rFont val="Tahoma"/>
            <family val="2"/>
          </rPr>
          <t xml:space="preserve">
- HS 3,33 từ 01/9/2016
- HS 3,66 từ 01/9/2019
- HS 3,99 từ 01/9/2021 (NL trước hạn)</t>
        </r>
      </text>
    </comment>
    <comment ref="M158" authorId="0" shapeId="0" xr:uid="{00000000-0006-0000-0600-00001D02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N158" authorId="1" shapeId="0" xr:uid="{00000000-0006-0000-0600-00001E02000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Q158" authorId="0" shapeId="0" xr:uid="{00000000-0006-0000-0600-00001F02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9" authorId="1" shapeId="0" xr:uid="{00000000-0006-0000-0600-00002002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59" authorId="2" shapeId="0" xr:uid="{00000000-0006-0000-0600-000021020000}">
      <text>
        <r>
          <rPr>
            <b/>
            <sz val="9"/>
            <color indexed="81"/>
            <rFont val="Tahoma"/>
            <family val="2"/>
          </rPr>
          <t>user:</t>
        </r>
        <r>
          <rPr>
            <sz val="9"/>
            <color indexed="81"/>
            <rFont val="Tahoma"/>
            <family val="2"/>
          </rPr>
          <t xml:space="preserve">
- QĐ BN Trưởng BM GDCT từ 01/4/2021</t>
        </r>
      </text>
    </comment>
    <comment ref="J159" authorId="1" shapeId="0" xr:uid="{00000000-0006-0000-0600-00002202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M159" authorId="2" shapeId="0" xr:uid="{00000000-0006-0000-0600-000023020000}">
      <text>
        <r>
          <rPr>
            <b/>
            <sz val="9"/>
            <color indexed="81"/>
            <rFont val="Tahoma"/>
            <family val="2"/>
          </rPr>
          <t>user:</t>
        </r>
        <r>
          <rPr>
            <sz val="9"/>
            <color indexed="81"/>
            <rFont val="Tahoma"/>
            <family val="2"/>
          </rPr>
          <t xml:space="preserve">
- QĐ BN Trưởng BM GDCT từ 01/4/2021</t>
        </r>
      </text>
    </comment>
    <comment ref="N159" authorId="1" shapeId="0" xr:uid="{00000000-0006-0000-0600-00002402000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Q159" authorId="2" shapeId="0" xr:uid="{00000000-0006-0000-0600-000025020000}">
      <text>
        <r>
          <rPr>
            <b/>
            <sz val="9"/>
            <color indexed="81"/>
            <rFont val="Tahoma"/>
            <family val="2"/>
          </rPr>
          <t>user:</t>
        </r>
        <r>
          <rPr>
            <sz val="9"/>
            <color indexed="81"/>
            <rFont val="Tahoma"/>
            <family val="2"/>
          </rPr>
          <t xml:space="preserve">
- QĐ BN Trưởng BM GDCT từ 01/4/2021</t>
        </r>
      </text>
    </comment>
    <comment ref="F160" authorId="0" shapeId="0" xr:uid="{00000000-0006-0000-0600-00002602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J160" authorId="0" shapeId="0" xr:uid="{00000000-0006-0000-0600-00002702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N160" authorId="0" shapeId="0" xr:uid="{00000000-0006-0000-0600-00002802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1" authorId="1" shapeId="0" xr:uid="{00000000-0006-0000-0600-000029020000}">
      <text>
        <r>
          <rPr>
            <b/>
            <sz val="9"/>
            <color indexed="81"/>
            <rFont val="Tahoma"/>
            <family val="2"/>
          </rPr>
          <t>Admin:</t>
        </r>
        <r>
          <rPr>
            <sz val="9"/>
            <color indexed="81"/>
            <rFont val="Tahoma"/>
            <family val="2"/>
          </rPr>
          <t xml:space="preserve">
- HS 3,99 từ 01/9/2017
- HS 4,32 từ 01/9/2020
- HS 4,65 từ 01/9/2023</t>
        </r>
      </text>
    </comment>
    <comment ref="J161" authorId="1" shapeId="0" xr:uid="{00000000-0006-0000-0600-00002A020000}">
      <text>
        <r>
          <rPr>
            <b/>
            <sz val="9"/>
            <color indexed="81"/>
            <rFont val="Tahoma"/>
            <family val="2"/>
          </rPr>
          <t>Admin:</t>
        </r>
        <r>
          <rPr>
            <sz val="9"/>
            <color indexed="81"/>
            <rFont val="Tahoma"/>
            <family val="2"/>
          </rPr>
          <t xml:space="preserve">
- HS 3,99 từ 01/9/2017
- HS 4,32 từ 01/9/2020
- HS 4,65 từ 01/9/2023</t>
        </r>
      </text>
    </comment>
    <comment ref="N161" authorId="1" shapeId="0" xr:uid="{00000000-0006-0000-0600-00002B020000}">
      <text>
        <r>
          <rPr>
            <b/>
            <sz val="9"/>
            <color indexed="81"/>
            <rFont val="Tahoma"/>
            <family val="2"/>
          </rPr>
          <t>Admin:</t>
        </r>
        <r>
          <rPr>
            <sz val="9"/>
            <color indexed="81"/>
            <rFont val="Tahoma"/>
            <family val="2"/>
          </rPr>
          <t xml:space="preserve">
- HS 3,99 từ 01/9/2017
- HS 4,32 từ 01/9/2020
- HS 4,65 từ 01/9/2023</t>
        </r>
      </text>
    </comment>
    <comment ref="F162" authorId="0" shapeId="0" xr:uid="{00000000-0006-0000-0600-00002C020000}">
      <text>
        <r>
          <rPr>
            <b/>
            <sz val="9"/>
            <color indexed="81"/>
            <rFont val="Tahoma"/>
            <family val="2"/>
          </rPr>
          <t>User:</t>
        </r>
        <r>
          <rPr>
            <sz val="9"/>
            <color indexed="81"/>
            <rFont val="Tahoma"/>
            <family val="2"/>
          </rPr>
          <t xml:space="preserve">
- HS 3,00 từ 01/09/2015
- HS 3,33 từ 01/9/2018
- HS 3,66 từ 01/9/2021</t>
        </r>
      </text>
    </comment>
    <comment ref="J162" authorId="0" shapeId="0" xr:uid="{00000000-0006-0000-0600-00002D020000}">
      <text>
        <r>
          <rPr>
            <b/>
            <sz val="9"/>
            <color indexed="81"/>
            <rFont val="Tahoma"/>
            <family val="2"/>
          </rPr>
          <t>User:</t>
        </r>
        <r>
          <rPr>
            <sz val="9"/>
            <color indexed="81"/>
            <rFont val="Tahoma"/>
            <family val="2"/>
          </rPr>
          <t xml:space="preserve">
- HS 3,00 từ 01/09/2015
- HS 3,33 từ 01/9/2018
- HS 3,66 từ 01/9/2021</t>
        </r>
      </text>
    </comment>
    <comment ref="N162" authorId="0" shapeId="0" xr:uid="{00000000-0006-0000-0600-00002E020000}">
      <text>
        <r>
          <rPr>
            <b/>
            <sz val="9"/>
            <color indexed="81"/>
            <rFont val="Tahoma"/>
            <family val="2"/>
          </rPr>
          <t>User:</t>
        </r>
        <r>
          <rPr>
            <sz val="9"/>
            <color indexed="81"/>
            <rFont val="Tahoma"/>
            <family val="2"/>
          </rPr>
          <t xml:space="preserve">
- HS 3,00 từ 01/09/2015
- HS 3,33 từ 01/9/2018
- HS 3,66 từ 01/9/2021
- HS 3,99 từ 01/9/2024</t>
        </r>
      </text>
    </comment>
    <comment ref="F163" authorId="0" shapeId="0" xr:uid="{00000000-0006-0000-0600-00002F020000}">
      <text>
        <r>
          <rPr>
            <b/>
            <sz val="9"/>
            <color indexed="81"/>
            <rFont val="Tahoma"/>
            <family val="2"/>
          </rPr>
          <t>User:</t>
        </r>
        <r>
          <rPr>
            <sz val="9"/>
            <color indexed="81"/>
            <rFont val="Tahoma"/>
            <family val="2"/>
          </rPr>
          <t xml:space="preserve">
- HS 3,66 từ 01/9/2015
- HS 3,99 từ 01/9/2018
- HS 4,32 từ 01/9/2021
</t>
        </r>
      </text>
    </comment>
    <comment ref="J163" authorId="0" shapeId="0" xr:uid="{00000000-0006-0000-0600-000030020000}">
      <text>
        <r>
          <rPr>
            <b/>
            <sz val="9"/>
            <color indexed="81"/>
            <rFont val="Tahoma"/>
            <family val="2"/>
          </rPr>
          <t>User:</t>
        </r>
        <r>
          <rPr>
            <sz val="9"/>
            <color indexed="81"/>
            <rFont val="Tahoma"/>
            <family val="2"/>
          </rPr>
          <t xml:space="preserve">
- HS 3,66 từ 01/9/2015
- HS 3,99 từ 01/9/2018
- HS 4,32 từ 01/9/2021
</t>
        </r>
      </text>
    </comment>
    <comment ref="N163" authorId="0" shapeId="0" xr:uid="{00000000-0006-0000-0600-000031020000}">
      <text>
        <r>
          <rPr>
            <b/>
            <sz val="9"/>
            <color indexed="81"/>
            <rFont val="Tahoma"/>
            <family val="2"/>
          </rPr>
          <t>User:</t>
        </r>
        <r>
          <rPr>
            <sz val="9"/>
            <color indexed="81"/>
            <rFont val="Tahoma"/>
            <family val="2"/>
          </rPr>
          <t xml:space="preserve">
- HS 3,66 từ 01/9/2015
- HS 3,99 từ 01/9/2018
- HS 4,32 từ 01/9/2021
- HS 4,65 từ 01/9/2024</t>
        </r>
      </text>
    </comment>
    <comment ref="F164" authorId="0" shapeId="0" xr:uid="{00000000-0006-0000-0600-00003202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J164" authorId="0" shapeId="0" xr:uid="{00000000-0006-0000-0600-00003302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N164" authorId="0" shapeId="0" xr:uid="{00000000-0006-0000-0600-00003402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5" authorId="0" shapeId="0" xr:uid="{00000000-0006-0000-0600-000035020000}">
      <text>
        <r>
          <rPr>
            <b/>
            <sz val="9"/>
            <color indexed="81"/>
            <rFont val="Tahoma"/>
            <family val="2"/>
          </rPr>
          <t>User:</t>
        </r>
        <r>
          <rPr>
            <sz val="9"/>
            <color indexed="81"/>
            <rFont val="Tahoma"/>
            <family val="2"/>
          </rPr>
          <t xml:space="preserve">
- HS 3,00 từ 01/9/2015
- HS 3,33 từ 01/9/2018
- HS 3,66 từ 01/9/2021</t>
        </r>
      </text>
    </comment>
    <comment ref="J165" authorId="0" shapeId="0" xr:uid="{00000000-0006-0000-0600-000036020000}">
      <text>
        <r>
          <rPr>
            <b/>
            <sz val="9"/>
            <color indexed="81"/>
            <rFont val="Tahoma"/>
            <family val="2"/>
          </rPr>
          <t>User:</t>
        </r>
        <r>
          <rPr>
            <sz val="9"/>
            <color indexed="81"/>
            <rFont val="Tahoma"/>
            <family val="2"/>
          </rPr>
          <t xml:space="preserve">
- HS 3,00 từ 01/9/2015
- HS 3,33 từ 01/9/2018
- HS 3,66 từ 01/9/2021</t>
        </r>
      </text>
    </comment>
    <comment ref="N165" authorId="0" shapeId="0" xr:uid="{00000000-0006-0000-0600-000037020000}">
      <text>
        <r>
          <rPr>
            <b/>
            <sz val="9"/>
            <color indexed="81"/>
            <rFont val="Tahoma"/>
            <family val="2"/>
          </rPr>
          <t>User:</t>
        </r>
        <r>
          <rPr>
            <sz val="9"/>
            <color indexed="81"/>
            <rFont val="Tahoma"/>
            <family val="2"/>
          </rPr>
          <t xml:space="preserve">
- HS 3,00 từ 01/9/2015
- HS 3,33 từ 01/9/2018
- HS 3,66 từ 01/9/2021
- HS 3,99 từ 01/9/2024</t>
        </r>
      </text>
    </comment>
    <comment ref="F166" authorId="0" shapeId="0" xr:uid="{00000000-0006-0000-0600-000038020000}">
      <text>
        <r>
          <rPr>
            <b/>
            <sz val="9"/>
            <color indexed="81"/>
            <rFont val="Tahoma"/>
            <family val="2"/>
          </rPr>
          <t>User:</t>
        </r>
        <r>
          <rPr>
            <sz val="9"/>
            <color indexed="81"/>
            <rFont val="Tahoma"/>
            <family val="2"/>
          </rPr>
          <t xml:space="preserve">
- HS 3,00 từ 1/9/2015
- HS 3,33 từ 01/9/2018
- HS 3,66 từ 01/9/2021</t>
        </r>
      </text>
    </comment>
    <comment ref="J166" authorId="0" shapeId="0" xr:uid="{00000000-0006-0000-0600-000039020000}">
      <text>
        <r>
          <rPr>
            <b/>
            <sz val="9"/>
            <color indexed="81"/>
            <rFont val="Tahoma"/>
            <family val="2"/>
          </rPr>
          <t>User:</t>
        </r>
        <r>
          <rPr>
            <sz val="9"/>
            <color indexed="81"/>
            <rFont val="Tahoma"/>
            <family val="2"/>
          </rPr>
          <t xml:space="preserve">
- HS 3,00 từ 1/9/2015
- HS 3,33 từ 01/9/2018
- HS 3,66 từ 01/9/2021</t>
        </r>
      </text>
    </comment>
    <comment ref="N166" authorId="0" shapeId="0" xr:uid="{00000000-0006-0000-0600-00003A020000}">
      <text>
        <r>
          <rPr>
            <b/>
            <sz val="9"/>
            <color indexed="81"/>
            <rFont val="Tahoma"/>
            <family val="2"/>
          </rPr>
          <t>User:</t>
        </r>
        <r>
          <rPr>
            <sz val="9"/>
            <color indexed="81"/>
            <rFont val="Tahoma"/>
            <family val="2"/>
          </rPr>
          <t xml:space="preserve">
- HS 3,00 từ 1/9/2015
- HS 3,33 từ 01/9/2018
- HS 3,66 từ 01/9/2021
- HS 3,99 từ 01/9/2024
</t>
        </r>
      </text>
    </comment>
    <comment ref="F167" authorId="1" shapeId="0" xr:uid="{00000000-0006-0000-0600-00003B020000}">
      <text>
        <r>
          <rPr>
            <b/>
            <sz val="9"/>
            <color indexed="81"/>
            <rFont val="Tahoma"/>
            <family val="2"/>
          </rPr>
          <t>Admin:</t>
        </r>
        <r>
          <rPr>
            <sz val="9"/>
            <color indexed="81"/>
            <rFont val="Tahoma"/>
            <family val="2"/>
          </rPr>
          <t xml:space="preserve">
- HS 3,00 từ 01/9/2015
- HS 3,33 từ 01/9/2018
- HS 3,66 từ 01/9/2021</t>
        </r>
      </text>
    </comment>
    <comment ref="J167" authorId="1" shapeId="0" xr:uid="{00000000-0006-0000-0600-00003C020000}">
      <text>
        <r>
          <rPr>
            <b/>
            <sz val="9"/>
            <color indexed="81"/>
            <rFont val="Tahoma"/>
            <family val="2"/>
          </rPr>
          <t>Admin:</t>
        </r>
        <r>
          <rPr>
            <sz val="9"/>
            <color indexed="81"/>
            <rFont val="Tahoma"/>
            <family val="2"/>
          </rPr>
          <t xml:space="preserve">
- HS 3,00 từ 01/9/2015
- HS 3,33 từ 01/9/2018
- HS 3,66 từ 01/9/2021</t>
        </r>
      </text>
    </comment>
    <comment ref="N167" authorId="1" shapeId="0" xr:uid="{00000000-0006-0000-0600-00003D020000}">
      <text>
        <r>
          <rPr>
            <b/>
            <sz val="9"/>
            <color indexed="81"/>
            <rFont val="Tahoma"/>
            <family val="2"/>
          </rPr>
          <t>Admin:</t>
        </r>
        <r>
          <rPr>
            <sz val="9"/>
            <color indexed="81"/>
            <rFont val="Tahoma"/>
            <family val="2"/>
          </rPr>
          <t xml:space="preserve">
- HS 3,00 từ 01/9/2015
- HS 3,33 từ 01/9/2018
- HS 3,66 từ 01/9/2021
- HS 3,99 từ 01/9/2024</t>
        </r>
      </text>
    </comment>
    <comment ref="F168" authorId="0" shapeId="0" xr:uid="{00000000-0006-0000-0600-00003E02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J168" authorId="0" shapeId="0" xr:uid="{00000000-0006-0000-0600-00003F02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N168" authorId="0" shapeId="0" xr:uid="{00000000-0006-0000-0600-00004002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9" authorId="1" shapeId="0" xr:uid="{00000000-0006-0000-0600-000041020000}">
      <text>
        <r>
          <rPr>
            <b/>
            <sz val="9"/>
            <color indexed="81"/>
            <rFont val="Tahoma"/>
            <family val="2"/>
          </rPr>
          <t>Admin:</t>
        </r>
        <r>
          <rPr>
            <sz val="9"/>
            <color indexed="81"/>
            <rFont val="Tahoma"/>
            <family val="2"/>
          </rPr>
          <t xml:space="preserve">
- HS 2,67 từ 01/9/2016
- HS 3,00 từ 01/9/2019
- HS 3,33 từ 01/9/2021 (NL trước hạn)</t>
        </r>
      </text>
    </comment>
    <comment ref="J169" authorId="1" shapeId="0" xr:uid="{00000000-0006-0000-0600-000042020000}">
      <text>
        <r>
          <rPr>
            <b/>
            <sz val="9"/>
            <color indexed="81"/>
            <rFont val="Tahoma"/>
            <family val="2"/>
          </rPr>
          <t>Admin:</t>
        </r>
        <r>
          <rPr>
            <sz val="9"/>
            <color indexed="81"/>
            <rFont val="Tahoma"/>
            <family val="2"/>
          </rPr>
          <t xml:space="preserve">
- HS 2,67 từ 01/9/2016
- HS 3,00 từ 01/9/2019
- HS 3,33 từ 01/9/2021 (NL trước hạn)</t>
        </r>
      </text>
    </comment>
    <comment ref="N169" authorId="1" shapeId="0" xr:uid="{00000000-0006-0000-0600-00004302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0" authorId="1" shapeId="0" xr:uid="{00000000-0006-0000-0600-000044020000}">
      <text>
        <r>
          <rPr>
            <b/>
            <sz val="9"/>
            <color indexed="81"/>
            <rFont val="Tahoma"/>
            <family val="2"/>
          </rPr>
          <t>Admin:</t>
        </r>
        <r>
          <rPr>
            <sz val="9"/>
            <color indexed="81"/>
            <rFont val="Tahoma"/>
            <family val="2"/>
          </rPr>
          <t xml:space="preserve">
- HS 3,00 từ 01/03/2017
- HS 3,33 từ 01/03/2020
- HS 3,66 từ 01/03/2023</t>
        </r>
      </text>
    </comment>
    <comment ref="J170" authorId="1" shapeId="0" xr:uid="{00000000-0006-0000-0600-000045020000}">
      <text>
        <r>
          <rPr>
            <b/>
            <sz val="9"/>
            <color indexed="81"/>
            <rFont val="Tahoma"/>
            <family val="2"/>
          </rPr>
          <t>Admin:</t>
        </r>
        <r>
          <rPr>
            <sz val="9"/>
            <color indexed="81"/>
            <rFont val="Tahoma"/>
            <family val="2"/>
          </rPr>
          <t xml:space="preserve">
- HS 3,00 từ 01/03/2017
- HS 3,33 từ 01/03/2020
- HS 3,66 từ 01/03/2023</t>
        </r>
      </text>
    </comment>
    <comment ref="N170" authorId="1" shapeId="0" xr:uid="{00000000-0006-0000-0600-000046020000}">
      <text>
        <r>
          <rPr>
            <b/>
            <sz val="9"/>
            <color indexed="81"/>
            <rFont val="Tahoma"/>
            <family val="2"/>
          </rPr>
          <t>Admin:</t>
        </r>
        <r>
          <rPr>
            <sz val="9"/>
            <color indexed="81"/>
            <rFont val="Tahoma"/>
            <family val="2"/>
          </rPr>
          <t xml:space="preserve">
- HS 3,00 từ 01/03/2017
- HS 3,33 từ 01/03/2020
- HS 3,66 từ 01/03/2023</t>
        </r>
      </text>
    </comment>
    <comment ref="F171" authorId="1" shapeId="0" xr:uid="{00000000-0006-0000-0600-000047020000}">
      <text>
        <r>
          <rPr>
            <b/>
            <sz val="9"/>
            <color indexed="81"/>
            <rFont val="Tahoma"/>
            <family val="2"/>
          </rPr>
          <t>Admin:</t>
        </r>
        <r>
          <rPr>
            <sz val="9"/>
            <color indexed="81"/>
            <rFont val="Tahoma"/>
            <family val="2"/>
          </rPr>
          <t xml:space="preserve">
- HS 2,67 từ 01/9/2017
- HS 3,00 từ 01/9/2020
- HS 3,33 từ 01/9/2023</t>
        </r>
      </text>
    </comment>
    <comment ref="J171" authorId="1" shapeId="0" xr:uid="{00000000-0006-0000-0600-000048020000}">
      <text>
        <r>
          <rPr>
            <b/>
            <sz val="9"/>
            <color indexed="81"/>
            <rFont val="Tahoma"/>
            <family val="2"/>
          </rPr>
          <t>Admin:</t>
        </r>
        <r>
          <rPr>
            <sz val="9"/>
            <color indexed="81"/>
            <rFont val="Tahoma"/>
            <family val="2"/>
          </rPr>
          <t xml:space="preserve">
- HS 2,67 từ 01/9/2017
- HS 3,00 từ 01/9/2020
- HS 3,33 từ 01/9/2023</t>
        </r>
      </text>
    </comment>
    <comment ref="N171" authorId="1" shapeId="0" xr:uid="{00000000-0006-0000-0600-000049020000}">
      <text>
        <r>
          <rPr>
            <b/>
            <sz val="9"/>
            <color indexed="81"/>
            <rFont val="Tahoma"/>
            <family val="2"/>
          </rPr>
          <t>Admin:</t>
        </r>
        <r>
          <rPr>
            <sz val="9"/>
            <color indexed="81"/>
            <rFont val="Tahoma"/>
            <family val="2"/>
          </rPr>
          <t xml:space="preserve">
- HS 2,67 từ 01/9/2017
- HS 3,00 từ 01/9/2020
- HS 3,33 từ 01/9/2023</t>
        </r>
      </text>
    </comment>
    <comment ref="F172" authorId="1" shapeId="0" xr:uid="{00000000-0006-0000-0600-00004A02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J172" authorId="1" shapeId="0" xr:uid="{00000000-0006-0000-0600-00004B02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N172" authorId="1" shapeId="0" xr:uid="{00000000-0006-0000-0600-00004C02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3" authorId="1" shapeId="0" xr:uid="{00000000-0006-0000-0600-00004D020000}">
      <text>
        <r>
          <rPr>
            <b/>
            <sz val="9"/>
            <color indexed="81"/>
            <rFont val="Tahoma"/>
            <family val="2"/>
          </rPr>
          <t>Admin:</t>
        </r>
        <r>
          <rPr>
            <sz val="9"/>
            <color indexed="81"/>
            <rFont val="Tahoma"/>
            <family val="2"/>
          </rPr>
          <t xml:space="preserve">
- 3,33 từ 01/9/2017
- 3,66 từ 01/9/2020
- 3,99 từ 01/9/2023</t>
        </r>
      </text>
    </comment>
    <comment ref="I173" authorId="0" shapeId="0" xr:uid="{00000000-0006-0000-0600-00004E020000}">
      <text>
        <r>
          <rPr>
            <b/>
            <sz val="9"/>
            <color indexed="81"/>
            <rFont val="Tahoma"/>
            <family val="2"/>
          </rPr>
          <t>User:</t>
        </r>
        <r>
          <rPr>
            <sz val="9"/>
            <color indexed="81"/>
            <rFont val="Tahoma"/>
            <family val="2"/>
          </rPr>
          <t xml:space="preserve">
Miễn nhiệm Trưởng bộ môn từ 01/9/2015</t>
        </r>
      </text>
    </comment>
    <comment ref="J173" authorId="1" shapeId="0" xr:uid="{00000000-0006-0000-0600-00004F020000}">
      <text>
        <r>
          <rPr>
            <b/>
            <sz val="9"/>
            <color indexed="81"/>
            <rFont val="Tahoma"/>
            <family val="2"/>
          </rPr>
          <t>Admin:</t>
        </r>
        <r>
          <rPr>
            <sz val="9"/>
            <color indexed="81"/>
            <rFont val="Tahoma"/>
            <family val="2"/>
          </rPr>
          <t xml:space="preserve">
- 3,33 từ 01/9/2017
- 3,66 từ 01/9/2020
- 3,99 từ 01/9/2023</t>
        </r>
      </text>
    </comment>
    <comment ref="M173" authorId="0" shapeId="0" xr:uid="{00000000-0006-0000-0600-000050020000}">
      <text>
        <r>
          <rPr>
            <b/>
            <sz val="9"/>
            <color indexed="81"/>
            <rFont val="Tahoma"/>
            <family val="2"/>
          </rPr>
          <t>User:</t>
        </r>
        <r>
          <rPr>
            <sz val="9"/>
            <color indexed="81"/>
            <rFont val="Tahoma"/>
            <family val="2"/>
          </rPr>
          <t xml:space="preserve">
Miễn nhiệm Trưởng bộ môn từ 01/9/2015</t>
        </r>
      </text>
    </comment>
    <comment ref="N173" authorId="1" shapeId="0" xr:uid="{00000000-0006-0000-0600-000051020000}">
      <text>
        <r>
          <rPr>
            <b/>
            <sz val="9"/>
            <color indexed="81"/>
            <rFont val="Tahoma"/>
            <family val="2"/>
          </rPr>
          <t>Admin:</t>
        </r>
        <r>
          <rPr>
            <sz val="9"/>
            <color indexed="81"/>
            <rFont val="Tahoma"/>
            <family val="2"/>
          </rPr>
          <t xml:space="preserve">
- 3,33 từ 01/9/2017
- 3,66 từ 01/9/2020
- 3,99 từ 01/9/2023</t>
        </r>
      </text>
    </comment>
    <comment ref="Q173" authorId="0" shapeId="0" xr:uid="{00000000-0006-0000-0600-000052020000}">
      <text>
        <r>
          <rPr>
            <b/>
            <sz val="9"/>
            <color indexed="81"/>
            <rFont val="Tahoma"/>
            <family val="2"/>
          </rPr>
          <t>User:</t>
        </r>
        <r>
          <rPr>
            <sz val="9"/>
            <color indexed="81"/>
            <rFont val="Tahoma"/>
            <family val="2"/>
          </rPr>
          <t xml:space="preserve">
Miễn nhiệm Trưởng bộ môn từ 01/9/2015</t>
        </r>
      </text>
    </comment>
    <comment ref="F174" authorId="1" shapeId="0" xr:uid="{00000000-0006-0000-0600-000053020000}">
      <text>
        <r>
          <rPr>
            <b/>
            <sz val="9"/>
            <color indexed="81"/>
            <rFont val="Tahoma"/>
            <family val="2"/>
          </rPr>
          <t>Admin:</t>
        </r>
        <r>
          <rPr>
            <sz val="9"/>
            <color indexed="81"/>
            <rFont val="Tahoma"/>
            <family val="2"/>
          </rPr>
          <t xml:space="preserve">
- HS 3,33 từ 01/9/2016
- HS 3,66 từ 01/9/2019
- HS 3,99 từ 01/9/2022</t>
        </r>
      </text>
    </comment>
    <comment ref="I174" authorId="0" shapeId="0" xr:uid="{00000000-0006-0000-0600-000054020000}">
      <text>
        <r>
          <rPr>
            <b/>
            <sz val="9"/>
            <color indexed="81"/>
            <rFont val="Tahoma"/>
            <family val="2"/>
          </rPr>
          <t>User:</t>
        </r>
        <r>
          <rPr>
            <sz val="9"/>
            <color indexed="81"/>
            <rFont val="Tahoma"/>
            <family val="2"/>
          </rPr>
          <t xml:space="preserve">
Miễn nhiệm Trưởng BM từ 01/9/15
</t>
        </r>
      </text>
    </comment>
    <comment ref="J174" authorId="1" shapeId="0" xr:uid="{00000000-0006-0000-0600-000055020000}">
      <text>
        <r>
          <rPr>
            <b/>
            <sz val="9"/>
            <color indexed="81"/>
            <rFont val="Tahoma"/>
            <family val="2"/>
          </rPr>
          <t>Admin:</t>
        </r>
        <r>
          <rPr>
            <sz val="9"/>
            <color indexed="81"/>
            <rFont val="Tahoma"/>
            <family val="2"/>
          </rPr>
          <t xml:space="preserve">
- HS 3,33 từ 01/9/2016
- HS 3,66 từ 01/9/2019
- HS 3,99 từ 01/9/2022</t>
        </r>
      </text>
    </comment>
    <comment ref="M174" authorId="0" shapeId="0" xr:uid="{00000000-0006-0000-0600-000056020000}">
      <text>
        <r>
          <rPr>
            <b/>
            <sz val="9"/>
            <color indexed="81"/>
            <rFont val="Tahoma"/>
            <family val="2"/>
          </rPr>
          <t>User:</t>
        </r>
        <r>
          <rPr>
            <sz val="9"/>
            <color indexed="81"/>
            <rFont val="Tahoma"/>
            <family val="2"/>
          </rPr>
          <t xml:space="preserve">
Miễn nhiệm Trưởng BM từ 01/9/15
</t>
        </r>
      </text>
    </comment>
    <comment ref="N174" authorId="1" shapeId="0" xr:uid="{00000000-0006-0000-0600-000057020000}">
      <text>
        <r>
          <rPr>
            <b/>
            <sz val="9"/>
            <color indexed="81"/>
            <rFont val="Tahoma"/>
            <family val="2"/>
          </rPr>
          <t>Admin:</t>
        </r>
        <r>
          <rPr>
            <sz val="9"/>
            <color indexed="81"/>
            <rFont val="Tahoma"/>
            <family val="2"/>
          </rPr>
          <t xml:space="preserve">
- HS 3,33 từ 01/9/2016
- HS 3,66 từ 01/9/2019
- HS 3,99 từ 01/9/2022</t>
        </r>
      </text>
    </comment>
    <comment ref="Q174" authorId="0" shapeId="0" xr:uid="{00000000-0006-0000-0600-000058020000}">
      <text>
        <r>
          <rPr>
            <b/>
            <sz val="9"/>
            <color indexed="81"/>
            <rFont val="Tahoma"/>
            <family val="2"/>
          </rPr>
          <t>User:</t>
        </r>
        <r>
          <rPr>
            <sz val="9"/>
            <color indexed="81"/>
            <rFont val="Tahoma"/>
            <family val="2"/>
          </rPr>
          <t xml:space="preserve">
Miễn nhiệm Trưởng BM từ 01/9/15
</t>
        </r>
      </text>
    </comment>
    <comment ref="F175" authorId="0" shapeId="0" xr:uid="{00000000-0006-0000-0600-000059020000}">
      <text>
        <r>
          <rPr>
            <b/>
            <sz val="9"/>
            <color indexed="81"/>
            <rFont val="Tahoma"/>
            <family val="2"/>
          </rPr>
          <t>User:</t>
        </r>
        <r>
          <rPr>
            <sz val="9"/>
            <color indexed="81"/>
            <rFont val="Tahoma"/>
            <family val="2"/>
          </rPr>
          <t xml:space="preserve">
- HS 3,00 từ 01/9/2015
- HS 3,33 từ 01/9/2018
- HS 3,66 từ 01/9/2021</t>
        </r>
      </text>
    </comment>
    <comment ref="J175" authorId="0" shapeId="0" xr:uid="{00000000-0006-0000-0600-00005A020000}">
      <text>
        <r>
          <rPr>
            <b/>
            <sz val="9"/>
            <color indexed="81"/>
            <rFont val="Tahoma"/>
            <family val="2"/>
          </rPr>
          <t>User:</t>
        </r>
        <r>
          <rPr>
            <sz val="9"/>
            <color indexed="81"/>
            <rFont val="Tahoma"/>
            <family val="2"/>
          </rPr>
          <t xml:space="preserve">
- HS 3,00 từ 01/9/2015
- HS 3,33 từ 01/9/2018
- HS 3,66 từ 01/9/2021</t>
        </r>
      </text>
    </comment>
    <comment ref="N175" authorId="0" shapeId="0" xr:uid="{00000000-0006-0000-0600-00005B02000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xr:uid="{00000000-0006-0000-0600-00005C02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6" authorId="0" shapeId="0" xr:uid="{00000000-0006-0000-0600-00005D02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176" authorId="0" shapeId="0" xr:uid="{00000000-0006-0000-0600-00005E02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M176" authorId="0" shapeId="0" xr:uid="{00000000-0006-0000-0600-00005F02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N176" authorId="0" shapeId="0" xr:uid="{00000000-0006-0000-0600-00006002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Q176" authorId="0" shapeId="0" xr:uid="{00000000-0006-0000-0600-00006102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7" authorId="8" shapeId="0" xr:uid="{00000000-0006-0000-0600-000062020000}">
      <text>
        <r>
          <rPr>
            <sz val="9"/>
            <color indexed="81"/>
            <rFont val="Tahoma"/>
            <family val="2"/>
          </rPr>
          <t xml:space="preserve">- HS 3,33 từ 01/12/2017
- HS 3,66 từ 01/12/2020
- HS 3,99 từ 01/12/2023
</t>
        </r>
      </text>
    </comment>
    <comment ref="J177" authorId="8" shapeId="0" xr:uid="{00000000-0006-0000-0600-000063020000}">
      <text>
        <r>
          <rPr>
            <sz val="9"/>
            <color indexed="81"/>
            <rFont val="Tahoma"/>
            <family val="2"/>
          </rPr>
          <t xml:space="preserve">- HS 3,33 từ 01/12/2017
- HS 3,66 từ 01/12/2020
- HS 3,99 từ 01/12/2023
</t>
        </r>
      </text>
    </comment>
    <comment ref="N177" authorId="8" shapeId="0" xr:uid="{00000000-0006-0000-0600-000064020000}">
      <text>
        <r>
          <rPr>
            <sz val="9"/>
            <color indexed="81"/>
            <rFont val="Tahoma"/>
            <family val="2"/>
          </rPr>
          <t xml:space="preserve">- HS 3,33 từ 01/12/2017
- HS 3,66 từ 01/12/2020
- HS 3,99 từ 01/12/2023
</t>
        </r>
      </text>
    </comment>
    <comment ref="F178" authorId="0" shapeId="0" xr:uid="{00000000-0006-0000-0600-00006502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8" authorId="0" shapeId="0" xr:uid="{00000000-0006-0000-0600-00006602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J178" authorId="0" shapeId="0" xr:uid="{00000000-0006-0000-0600-00006702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178" authorId="0" shapeId="0" xr:uid="{00000000-0006-0000-0600-00006802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N178" authorId="0" shapeId="0" xr:uid="{00000000-0006-0000-0600-00006902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178" authorId="0" shapeId="0" xr:uid="{00000000-0006-0000-0600-00006A02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9" authorId="0" shapeId="0" xr:uid="{00000000-0006-0000-0600-00006B020000}">
      <text>
        <r>
          <rPr>
            <b/>
            <sz val="9"/>
            <color indexed="81"/>
            <rFont val="Tahoma"/>
            <family val="2"/>
          </rPr>
          <t>User:</t>
        </r>
        <r>
          <rPr>
            <sz val="9"/>
            <color indexed="81"/>
            <rFont val="Tahoma"/>
            <family val="2"/>
          </rPr>
          <t xml:space="preserve">
- HS 3,00 từ 01/9/2015
- HS 3,33 từ 01/9/2018
- HS 3,66 từ 01/9/2021</t>
        </r>
      </text>
    </comment>
    <comment ref="J179" authorId="0" shapeId="0" xr:uid="{00000000-0006-0000-0600-00006C020000}">
      <text>
        <r>
          <rPr>
            <b/>
            <sz val="9"/>
            <color indexed="81"/>
            <rFont val="Tahoma"/>
            <family val="2"/>
          </rPr>
          <t>User:</t>
        </r>
        <r>
          <rPr>
            <sz val="9"/>
            <color indexed="81"/>
            <rFont val="Tahoma"/>
            <family val="2"/>
          </rPr>
          <t xml:space="preserve">
- HS 3,00 từ 01/9/2015
- HS 3,33 từ 01/9/2018
- HS 3,66 từ 01/9/2021</t>
        </r>
      </text>
    </comment>
    <comment ref="N179" authorId="0" shapeId="0" xr:uid="{00000000-0006-0000-0600-00006D020000}">
      <text>
        <r>
          <rPr>
            <b/>
            <sz val="9"/>
            <color indexed="81"/>
            <rFont val="Tahoma"/>
            <family val="2"/>
          </rPr>
          <t>User:</t>
        </r>
        <r>
          <rPr>
            <sz val="9"/>
            <color indexed="81"/>
            <rFont val="Tahoma"/>
            <family val="2"/>
          </rPr>
          <t xml:space="preserve">
- HS 3,00 từ 01/9/2015
- HS 3,33 từ 01/9/2018
- HS 3,66 từ 01/9/2021
- HS 3,99 từ 01/9/2024</t>
        </r>
      </text>
    </comment>
    <comment ref="F180" authorId="0" shapeId="0" xr:uid="{00000000-0006-0000-0600-00006E020000}">
      <text>
        <r>
          <rPr>
            <b/>
            <sz val="9"/>
            <color indexed="81"/>
            <rFont val="Tahoma"/>
            <family val="2"/>
          </rPr>
          <t>User:</t>
        </r>
        <r>
          <rPr>
            <sz val="9"/>
            <color indexed="81"/>
            <rFont val="Tahoma"/>
            <family val="2"/>
          </rPr>
          <t xml:space="preserve">
- HS 3,00 từ 01/9/2015
- HS 3,33 từ 01/9/2018
- HS 3,66 từ 01/9/2021</t>
        </r>
      </text>
    </comment>
    <comment ref="J180" authorId="0" shapeId="0" xr:uid="{00000000-0006-0000-0600-00006F020000}">
      <text>
        <r>
          <rPr>
            <b/>
            <sz val="9"/>
            <color indexed="81"/>
            <rFont val="Tahoma"/>
            <family val="2"/>
          </rPr>
          <t>User:</t>
        </r>
        <r>
          <rPr>
            <sz val="9"/>
            <color indexed="81"/>
            <rFont val="Tahoma"/>
            <family val="2"/>
          </rPr>
          <t xml:space="preserve">
- HS 3,00 từ 01/9/2015
- HS 3,33 từ 01/9/2018
- HS 3,66 từ 01/9/2021</t>
        </r>
      </text>
    </comment>
    <comment ref="N180" authorId="0" shapeId="0" xr:uid="{00000000-0006-0000-0600-000070020000}">
      <text>
        <r>
          <rPr>
            <b/>
            <sz val="9"/>
            <color indexed="81"/>
            <rFont val="Tahoma"/>
            <family val="2"/>
          </rPr>
          <t>User:</t>
        </r>
        <r>
          <rPr>
            <sz val="9"/>
            <color indexed="81"/>
            <rFont val="Tahoma"/>
            <family val="2"/>
          </rPr>
          <t xml:space="preserve">
- HS 3,00 từ 01/9/2015
- HS 3,33 từ 01/9/2018
- HS 3,66 từ 01/9/2021
- HS 3,99 từ 01/9/2024</t>
        </r>
      </text>
    </comment>
    <comment ref="F181" authorId="0" shapeId="0" xr:uid="{00000000-0006-0000-0600-000071020000}">
      <text>
        <r>
          <rPr>
            <b/>
            <sz val="9"/>
            <color indexed="81"/>
            <rFont val="Tahoma"/>
            <family val="2"/>
          </rPr>
          <t>User:</t>
        </r>
        <r>
          <rPr>
            <sz val="9"/>
            <color indexed="81"/>
            <rFont val="Tahoma"/>
            <family val="2"/>
          </rPr>
          <t xml:space="preserve">
- HS 3,00 từ 01/10/2015
- HS 3,33 từ 01/10/2018
- HS 3,66 từ 01/10/2021
</t>
        </r>
      </text>
    </comment>
    <comment ref="J181" authorId="0" shapeId="0" xr:uid="{00000000-0006-0000-0600-000072020000}">
      <text>
        <r>
          <rPr>
            <b/>
            <sz val="9"/>
            <color indexed="81"/>
            <rFont val="Tahoma"/>
            <family val="2"/>
          </rPr>
          <t>User:</t>
        </r>
        <r>
          <rPr>
            <sz val="9"/>
            <color indexed="81"/>
            <rFont val="Tahoma"/>
            <family val="2"/>
          </rPr>
          <t xml:space="preserve">
- HS 3,00 từ 01/10/2015
- HS 3,33 từ 01/10/2018
- HS 3,66 từ 01/10/2021
</t>
        </r>
      </text>
    </comment>
    <comment ref="N181" authorId="0" shapeId="0" xr:uid="{00000000-0006-0000-0600-000073020000}">
      <text>
        <r>
          <rPr>
            <b/>
            <sz val="9"/>
            <color indexed="81"/>
            <rFont val="Tahoma"/>
            <family val="2"/>
          </rPr>
          <t>User:</t>
        </r>
        <r>
          <rPr>
            <sz val="9"/>
            <color indexed="81"/>
            <rFont val="Tahoma"/>
            <family val="2"/>
          </rPr>
          <t xml:space="preserve">
- HS 3,00 từ 01/10/2015
- HS 3,33 từ 01/10/2018
- HS 3,66 từ 01/10/2021
</t>
        </r>
      </text>
    </comment>
    <comment ref="F182" authorId="1" shapeId="0" xr:uid="{00000000-0006-0000-0600-00007402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2" authorId="0" shapeId="0" xr:uid="{00000000-0006-0000-0600-000075020000}">
      <text>
        <r>
          <rPr>
            <b/>
            <sz val="9"/>
            <color indexed="81"/>
            <rFont val="Tahoma"/>
            <family val="2"/>
          </rPr>
          <t>User:</t>
        </r>
        <r>
          <rPr>
            <sz val="9"/>
            <color indexed="81"/>
            <rFont val="Tahoma"/>
            <family val="2"/>
          </rPr>
          <t xml:space="preserve">
BN Trưởng BM MẠng Máy tính từ 01/9/2015
- Phó khoa CNTT từ T10/2022</t>
        </r>
      </text>
    </comment>
    <comment ref="J182" authorId="1" shapeId="0" xr:uid="{00000000-0006-0000-0600-00007602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M182" authorId="0" shapeId="0" xr:uid="{00000000-0006-0000-0600-000077020000}">
      <text>
        <r>
          <rPr>
            <b/>
            <sz val="9"/>
            <color indexed="81"/>
            <rFont val="Tahoma"/>
            <family val="2"/>
          </rPr>
          <t>User:</t>
        </r>
        <r>
          <rPr>
            <sz val="9"/>
            <color indexed="81"/>
            <rFont val="Tahoma"/>
            <family val="2"/>
          </rPr>
          <t xml:space="preserve">
BN Trưởng BM MẠng Máy tính từ 01/9/2015
- Phó khoa CNTT từ T10/2022</t>
        </r>
      </text>
    </comment>
    <comment ref="N182" authorId="1" shapeId="0" xr:uid="{00000000-0006-0000-0600-00007802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Q182" authorId="0" shapeId="0" xr:uid="{00000000-0006-0000-0600-000079020000}">
      <text>
        <r>
          <rPr>
            <b/>
            <sz val="9"/>
            <color indexed="81"/>
            <rFont val="Tahoma"/>
            <family val="2"/>
          </rPr>
          <t>User:</t>
        </r>
        <r>
          <rPr>
            <sz val="9"/>
            <color indexed="81"/>
            <rFont val="Tahoma"/>
            <family val="2"/>
          </rPr>
          <t xml:space="preserve">
BN Trưởng BM MẠng Máy tính từ 01/9/2015
- Phó khoa CNTT từ T10/2022</t>
        </r>
      </text>
    </comment>
    <comment ref="F183" authorId="4" shapeId="0" xr:uid="{00000000-0006-0000-0600-00007A020000}">
      <text>
        <r>
          <rPr>
            <b/>
            <sz val="9"/>
            <color indexed="81"/>
            <rFont val="Tahoma"/>
            <family val="2"/>
          </rPr>
          <t>Quynh:</t>
        </r>
        <r>
          <rPr>
            <sz val="9"/>
            <color indexed="81"/>
            <rFont val="Tahoma"/>
            <family val="2"/>
          </rPr>
          <t xml:space="preserve">
- HS 3,00 từ 01/5/2018
- HS 3,33 từ 01/5/2021
- HS 3,66 từ 01/5/2024</t>
        </r>
      </text>
    </comment>
    <comment ref="J183" authorId="4" shapeId="0" xr:uid="{00000000-0006-0000-0600-00007B020000}">
      <text>
        <r>
          <rPr>
            <b/>
            <sz val="9"/>
            <color indexed="81"/>
            <rFont val="Tahoma"/>
            <family val="2"/>
          </rPr>
          <t>Quynh:</t>
        </r>
        <r>
          <rPr>
            <sz val="9"/>
            <color indexed="81"/>
            <rFont val="Tahoma"/>
            <family val="2"/>
          </rPr>
          <t xml:space="preserve">
- HS 3,00 từ 01/5/2018
- HS 3,33 từ 01/5/2021
- HS 3,66 từ 01/5/2024</t>
        </r>
      </text>
    </comment>
    <comment ref="N183" authorId="4" shapeId="0" xr:uid="{00000000-0006-0000-0600-00007C020000}">
      <text>
        <r>
          <rPr>
            <b/>
            <sz val="9"/>
            <color indexed="81"/>
            <rFont val="Tahoma"/>
            <family val="2"/>
          </rPr>
          <t>Quynh:</t>
        </r>
        <r>
          <rPr>
            <sz val="9"/>
            <color indexed="81"/>
            <rFont val="Tahoma"/>
            <family val="2"/>
          </rPr>
          <t xml:space="preserve">
- HS 3,00 từ 01/5/2018
- HS 3,33 từ 01/5/2021
- HS 3,66 từ 01/5/2024</t>
        </r>
      </text>
    </comment>
    <comment ref="F184" authorId="1" shapeId="0" xr:uid="{00000000-0006-0000-0600-00007D020000}">
      <text>
        <r>
          <rPr>
            <b/>
            <sz val="9"/>
            <color indexed="81"/>
            <rFont val="Tahoma"/>
            <family val="2"/>
          </rPr>
          <t>Admin:</t>
        </r>
        <r>
          <rPr>
            <sz val="9"/>
            <color indexed="81"/>
            <rFont val="Tahoma"/>
            <family val="2"/>
          </rPr>
          <t xml:space="preserve">
- 3,33 từ 01/10/2016
- 3,66 từ 01/10/2019
- 3,99 từ 01/10/2021 (NL trước hạn)</t>
        </r>
      </text>
    </comment>
    <comment ref="I184" authorId="7" shapeId="0" xr:uid="{00000000-0006-0000-0600-00007E020000}">
      <text>
        <r>
          <rPr>
            <b/>
            <sz val="9"/>
            <color indexed="81"/>
            <rFont val="Tahoma"/>
            <family val="2"/>
          </rPr>
          <t>huynh-panda:</t>
        </r>
        <r>
          <rPr>
            <sz val="9"/>
            <color indexed="81"/>
            <rFont val="Tahoma"/>
            <family val="2"/>
          </rPr>
          <t xml:space="preserve">
Phụ trách BM Khoa học máy tính từ 06/7/2022</t>
        </r>
      </text>
    </comment>
    <comment ref="J184" authorId="1" shapeId="0" xr:uid="{00000000-0006-0000-0600-00007F020000}">
      <text>
        <r>
          <rPr>
            <b/>
            <sz val="9"/>
            <color indexed="81"/>
            <rFont val="Tahoma"/>
            <family val="2"/>
          </rPr>
          <t>Admin:</t>
        </r>
        <r>
          <rPr>
            <sz val="9"/>
            <color indexed="81"/>
            <rFont val="Tahoma"/>
            <family val="2"/>
          </rPr>
          <t xml:space="preserve">
- 3,33 từ 01/10/2016
- 3,66 từ 01/10/2019
- 3,99 từ 01/10/2021 (NL trước hạn)</t>
        </r>
      </text>
    </comment>
    <comment ref="M184" authorId="7" shapeId="0" xr:uid="{00000000-0006-0000-0600-000080020000}">
      <text>
        <r>
          <rPr>
            <b/>
            <sz val="9"/>
            <color indexed="81"/>
            <rFont val="Tahoma"/>
            <family val="2"/>
          </rPr>
          <t>huynh-panda:</t>
        </r>
        <r>
          <rPr>
            <sz val="9"/>
            <color indexed="81"/>
            <rFont val="Tahoma"/>
            <family val="2"/>
          </rPr>
          <t xml:space="preserve">
Phụ trách BM Khoa học máy tính từ 06/7/2022</t>
        </r>
      </text>
    </comment>
    <comment ref="N184" authorId="1" shapeId="0" xr:uid="{00000000-0006-0000-0600-000081020000}">
      <text>
        <r>
          <rPr>
            <b/>
            <sz val="9"/>
            <color indexed="81"/>
            <rFont val="Tahoma"/>
            <family val="2"/>
          </rPr>
          <t>Admin:</t>
        </r>
        <r>
          <rPr>
            <sz val="9"/>
            <color indexed="81"/>
            <rFont val="Tahoma"/>
            <family val="2"/>
          </rPr>
          <t xml:space="preserve">
- 3,33 từ 01/10/2016
- 3,66 từ 01/10/2019
- 3,99 từ 01/10/2021 (NL trước hạn)</t>
        </r>
      </text>
    </comment>
    <comment ref="Q184" authorId="7" shapeId="0" xr:uid="{00000000-0006-0000-0600-000082020000}">
      <text>
        <r>
          <rPr>
            <b/>
            <sz val="9"/>
            <color indexed="81"/>
            <rFont val="Tahoma"/>
            <family val="2"/>
          </rPr>
          <t>huynh-panda:</t>
        </r>
        <r>
          <rPr>
            <sz val="9"/>
            <color indexed="81"/>
            <rFont val="Tahoma"/>
            <family val="2"/>
          </rPr>
          <t xml:space="preserve">
Phụ trách BM Khoa học máy tính từ 06/7/2022</t>
        </r>
      </text>
    </comment>
    <comment ref="F185" authorId="1" shapeId="0" xr:uid="{00000000-0006-0000-0600-000083020000}">
      <text>
        <r>
          <rPr>
            <b/>
            <sz val="9"/>
            <color indexed="81"/>
            <rFont val="Tahoma"/>
            <family val="2"/>
          </rPr>
          <t>Admin:</t>
        </r>
        <r>
          <rPr>
            <sz val="9"/>
            <color indexed="81"/>
            <rFont val="Tahoma"/>
            <family val="2"/>
          </rPr>
          <t xml:space="preserve">
- HS 2,67 từ 01/9/2016
- HS 3,00 từ 01/9/2019
- HS 3,33 từ 01/9/2021 (NL trước hạn)</t>
        </r>
      </text>
    </comment>
    <comment ref="J185" authorId="1" shapeId="0" xr:uid="{00000000-0006-0000-0600-000084020000}">
      <text>
        <r>
          <rPr>
            <b/>
            <sz val="9"/>
            <color indexed="81"/>
            <rFont val="Tahoma"/>
            <family val="2"/>
          </rPr>
          <t>Admin:</t>
        </r>
        <r>
          <rPr>
            <sz val="9"/>
            <color indexed="81"/>
            <rFont val="Tahoma"/>
            <family val="2"/>
          </rPr>
          <t xml:space="preserve">
- HS 2,67 từ 01/9/2016
- HS 3,00 từ 01/9/2019
- HS 3,33 từ 01/9/2021 (NL trước hạn)</t>
        </r>
      </text>
    </comment>
    <comment ref="N185" authorId="1" shapeId="0" xr:uid="{00000000-0006-0000-0600-00008502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6" authorId="1" shapeId="0" xr:uid="{00000000-0006-0000-0600-000086020000}">
      <text>
        <r>
          <rPr>
            <b/>
            <sz val="9"/>
            <color indexed="81"/>
            <rFont val="Tahoma"/>
            <family val="2"/>
          </rPr>
          <t>Admin:</t>
        </r>
        <r>
          <rPr>
            <sz val="9"/>
            <color indexed="81"/>
            <rFont val="Tahoma"/>
            <family val="2"/>
          </rPr>
          <t xml:space="preserve">
- HS 3,33 từ 01/9/2016
- HS 3,66 từ 01/9/2018 (NL trước hạn)
- HS 3,99 từ 01/9/2021</t>
        </r>
      </text>
    </comment>
    <comment ref="I186" authorId="0" shapeId="0" xr:uid="{00000000-0006-0000-0600-000087020000}">
      <text>
        <r>
          <rPr>
            <b/>
            <sz val="9"/>
            <color indexed="81"/>
            <rFont val="Tahoma"/>
            <family val="2"/>
          </rPr>
          <t>User:</t>
        </r>
        <r>
          <rPr>
            <sz val="9"/>
            <color indexed="81"/>
            <rFont val="Tahoma"/>
            <family val="2"/>
          </rPr>
          <t xml:space="preserve">
+ HS 0,45 được bảo lưu đến hết 31/12/2015</t>
        </r>
      </text>
    </comment>
    <comment ref="J186" authorId="1" shapeId="0" xr:uid="{00000000-0006-0000-0600-000088020000}">
      <text>
        <r>
          <rPr>
            <b/>
            <sz val="9"/>
            <color indexed="81"/>
            <rFont val="Tahoma"/>
            <family val="2"/>
          </rPr>
          <t>Admin:</t>
        </r>
        <r>
          <rPr>
            <sz val="9"/>
            <color indexed="81"/>
            <rFont val="Tahoma"/>
            <family val="2"/>
          </rPr>
          <t xml:space="preserve">
- HS 3,33 từ 01/9/2016
- HS 3,66 từ 01/9/2018 (NL trước hạn)
- HS 3,99 từ 01/9/2021</t>
        </r>
      </text>
    </comment>
    <comment ref="M186" authorId="0" shapeId="0" xr:uid="{00000000-0006-0000-0600-000089020000}">
      <text>
        <r>
          <rPr>
            <b/>
            <sz val="9"/>
            <color indexed="81"/>
            <rFont val="Tahoma"/>
            <family val="2"/>
          </rPr>
          <t>User:</t>
        </r>
        <r>
          <rPr>
            <sz val="9"/>
            <color indexed="81"/>
            <rFont val="Tahoma"/>
            <family val="2"/>
          </rPr>
          <t xml:space="preserve">
+ HS 0,45 được bảo lưu đến hết 31/12/2015</t>
        </r>
      </text>
    </comment>
    <comment ref="N186" authorId="1" shapeId="0" xr:uid="{00000000-0006-0000-0600-00008A02000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Q186" authorId="0" shapeId="0" xr:uid="{00000000-0006-0000-0600-00008B020000}">
      <text>
        <r>
          <rPr>
            <b/>
            <sz val="9"/>
            <color indexed="81"/>
            <rFont val="Tahoma"/>
            <family val="2"/>
          </rPr>
          <t>User:</t>
        </r>
        <r>
          <rPr>
            <sz val="9"/>
            <color indexed="81"/>
            <rFont val="Tahoma"/>
            <family val="2"/>
          </rPr>
          <t xml:space="preserve">
+ HS 0,45 được bảo lưu đến hết 31/12/2015</t>
        </r>
      </text>
    </comment>
    <comment ref="F187" authorId="1" shapeId="0" xr:uid="{00000000-0006-0000-0600-00008C020000}">
      <text>
        <r>
          <rPr>
            <b/>
            <sz val="9"/>
            <color indexed="81"/>
            <rFont val="Tahoma"/>
            <family val="2"/>
          </rPr>
          <t>Admin:</t>
        </r>
        <r>
          <rPr>
            <sz val="9"/>
            <color indexed="81"/>
            <rFont val="Tahoma"/>
            <family val="2"/>
          </rPr>
          <t xml:space="preserve">
- 3,00 từ 01/9/2016
- HS 3,33 từ 01/9/2019
- HS 3,66 từ 01/9/2021 (NL trước hạn)</t>
        </r>
      </text>
    </comment>
    <comment ref="J187" authorId="1" shapeId="0" xr:uid="{00000000-0006-0000-0600-00008D020000}">
      <text>
        <r>
          <rPr>
            <b/>
            <sz val="9"/>
            <color indexed="81"/>
            <rFont val="Tahoma"/>
            <family val="2"/>
          </rPr>
          <t>Admin:</t>
        </r>
        <r>
          <rPr>
            <sz val="9"/>
            <color indexed="81"/>
            <rFont val="Tahoma"/>
            <family val="2"/>
          </rPr>
          <t xml:space="preserve">
- 3,00 từ 01/9/2016
- HS 3,33 từ 01/9/2019
- HS 3,66 từ 01/9/2021 (NL trước hạn)</t>
        </r>
      </text>
    </comment>
    <comment ref="N187" authorId="1" shapeId="0" xr:uid="{00000000-0006-0000-0600-00008E02000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8" authorId="1" shapeId="0" xr:uid="{00000000-0006-0000-0600-00008F02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8" authorId="7" shapeId="0" xr:uid="{00000000-0006-0000-0600-000090020000}">
      <text>
        <r>
          <rPr>
            <b/>
            <sz val="9"/>
            <color indexed="81"/>
            <rFont val="Tahoma"/>
            <family val="2"/>
          </rPr>
          <t>huynh-panda:</t>
        </r>
        <r>
          <rPr>
            <sz val="9"/>
            <color indexed="81"/>
            <rFont val="Tahoma"/>
            <family val="2"/>
          </rPr>
          <t xml:space="preserve">
- Phụ trách BM Công nghệ phần mềm từ 05/7/2022</t>
        </r>
      </text>
    </comment>
    <comment ref="J188" authorId="1" shapeId="0" xr:uid="{00000000-0006-0000-0600-00009102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M188" authorId="7" shapeId="0" xr:uid="{00000000-0006-0000-0600-000092020000}">
      <text>
        <r>
          <rPr>
            <b/>
            <sz val="9"/>
            <color indexed="81"/>
            <rFont val="Tahoma"/>
            <family val="2"/>
          </rPr>
          <t>huynh-panda:</t>
        </r>
        <r>
          <rPr>
            <sz val="9"/>
            <color indexed="81"/>
            <rFont val="Tahoma"/>
            <family val="2"/>
          </rPr>
          <t xml:space="preserve">
- Phụ trách BM Công nghệ phần mềm từ 05/7/2022</t>
        </r>
      </text>
    </comment>
    <comment ref="N188" authorId="1" shapeId="0" xr:uid="{00000000-0006-0000-0600-00009302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Q188" authorId="7" shapeId="0" xr:uid="{00000000-0006-0000-0600-000094020000}">
      <text>
        <r>
          <rPr>
            <b/>
            <sz val="9"/>
            <color indexed="81"/>
            <rFont val="Tahoma"/>
            <family val="2"/>
          </rPr>
          <t>huynh-panda:</t>
        </r>
        <r>
          <rPr>
            <sz val="9"/>
            <color indexed="81"/>
            <rFont val="Tahoma"/>
            <family val="2"/>
          </rPr>
          <t xml:space="preserve">
- Phụ trách BM Công nghệ phần mềm từ 05/7/2022</t>
        </r>
      </text>
    </comment>
    <comment ref="F189" authorId="1" shapeId="0" xr:uid="{00000000-0006-0000-0600-00009502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J189" authorId="1" shapeId="0" xr:uid="{00000000-0006-0000-0600-00009602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N189" authorId="1" shapeId="0" xr:uid="{00000000-0006-0000-0600-00009702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2" authorId="1" shapeId="0" xr:uid="{00000000-0006-0000-0600-000098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2" authorId="0" shapeId="0" xr:uid="{00000000-0006-0000-0600-000099020000}">
      <text>
        <r>
          <rPr>
            <b/>
            <sz val="9"/>
            <color indexed="81"/>
            <rFont val="Tahoma"/>
            <family val="2"/>
          </rPr>
          <t>User:</t>
        </r>
        <r>
          <rPr>
            <sz val="9"/>
            <color indexed="81"/>
            <rFont val="Tahoma"/>
            <family val="2"/>
          </rPr>
          <t xml:space="preserve">
- QĐ Bổ nhiệm trưởng khoa từ 01/2/2016</t>
        </r>
      </text>
    </comment>
    <comment ref="J192" authorId="1" shapeId="0" xr:uid="{00000000-0006-0000-0600-00009A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2" authorId="0" shapeId="0" xr:uid="{00000000-0006-0000-0600-00009B020000}">
      <text>
        <r>
          <rPr>
            <b/>
            <sz val="9"/>
            <color indexed="81"/>
            <rFont val="Tahoma"/>
            <family val="2"/>
          </rPr>
          <t>User:</t>
        </r>
        <r>
          <rPr>
            <sz val="9"/>
            <color indexed="81"/>
            <rFont val="Tahoma"/>
            <family val="2"/>
          </rPr>
          <t xml:space="preserve">
- QĐ Bổ nhiệm trưởng khoa từ 01/2/2016</t>
        </r>
      </text>
    </comment>
    <comment ref="N192" authorId="1" shapeId="0" xr:uid="{00000000-0006-0000-0600-00009C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2" authorId="0" shapeId="0" xr:uid="{00000000-0006-0000-0600-00009D020000}">
      <text>
        <r>
          <rPr>
            <b/>
            <sz val="9"/>
            <color indexed="81"/>
            <rFont val="Tahoma"/>
            <family val="2"/>
          </rPr>
          <t>User:</t>
        </r>
        <r>
          <rPr>
            <sz val="9"/>
            <color indexed="81"/>
            <rFont val="Tahoma"/>
            <family val="2"/>
          </rPr>
          <t xml:space="preserve">
- QĐ Bổ nhiệm trưởng khoa từ 01/2/2016</t>
        </r>
      </text>
    </comment>
    <comment ref="F193" authorId="1" shapeId="0" xr:uid="{00000000-0006-0000-0600-00009E020000}">
      <text>
        <r>
          <rPr>
            <b/>
            <sz val="9"/>
            <color indexed="81"/>
            <rFont val="Tahoma"/>
            <family val="2"/>
          </rPr>
          <t>Admin:</t>
        </r>
        <r>
          <rPr>
            <sz val="9"/>
            <color indexed="81"/>
            <rFont val="Tahoma"/>
            <family val="2"/>
          </rPr>
          <t xml:space="preserve">
- HS 4,65 từ 01/12/2015
- HS 4,98 từ 01/12/2018</t>
        </r>
      </text>
    </comment>
    <comment ref="G193" authorId="2" shapeId="0" xr:uid="{00000000-0006-0000-0600-00009F020000}">
      <text>
        <r>
          <rPr>
            <b/>
            <sz val="9"/>
            <color indexed="81"/>
            <rFont val="Tahoma"/>
            <family val="2"/>
          </rPr>
          <t>user:</t>
        </r>
        <r>
          <rPr>
            <sz val="9"/>
            <color indexed="81"/>
            <rFont val="Tahoma"/>
            <family val="2"/>
          </rPr>
          <t xml:space="preserve">
- VK 5% từ 01/12/2021
- VK 6% từ 01/12/2022
- VK 7% từ 01/12/2023</t>
        </r>
      </text>
    </comment>
    <comment ref="J193" authorId="1" shapeId="0" xr:uid="{00000000-0006-0000-0600-0000A0020000}">
      <text>
        <r>
          <rPr>
            <b/>
            <sz val="9"/>
            <color indexed="81"/>
            <rFont val="Tahoma"/>
            <family val="2"/>
          </rPr>
          <t>Admin:</t>
        </r>
        <r>
          <rPr>
            <sz val="9"/>
            <color indexed="81"/>
            <rFont val="Tahoma"/>
            <family val="2"/>
          </rPr>
          <t xml:space="preserve">
- HS 4,65 từ 01/12/2015
- HS 4,98 từ 01/12/2018</t>
        </r>
      </text>
    </comment>
    <comment ref="K193" authorId="2" shapeId="0" xr:uid="{00000000-0006-0000-0600-0000A1020000}">
      <text>
        <r>
          <rPr>
            <b/>
            <sz val="9"/>
            <color indexed="81"/>
            <rFont val="Tahoma"/>
            <family val="2"/>
          </rPr>
          <t>user:</t>
        </r>
        <r>
          <rPr>
            <sz val="9"/>
            <color indexed="81"/>
            <rFont val="Tahoma"/>
            <family val="2"/>
          </rPr>
          <t xml:space="preserve">
- VK 5% từ 01/12/2021
- VK 6% từ 01/12/2022
- VK 7% từ 01/12/2023</t>
        </r>
      </text>
    </comment>
    <comment ref="N193" authorId="1" shapeId="0" xr:uid="{00000000-0006-0000-0600-0000A2020000}">
      <text>
        <r>
          <rPr>
            <b/>
            <sz val="9"/>
            <color indexed="81"/>
            <rFont val="Tahoma"/>
            <family val="2"/>
          </rPr>
          <t>Admin:</t>
        </r>
        <r>
          <rPr>
            <sz val="9"/>
            <color indexed="81"/>
            <rFont val="Tahoma"/>
            <family val="2"/>
          </rPr>
          <t xml:space="preserve">
- HS 4,65 từ 01/12/2015
- HS 4,98 từ 01/12/2018</t>
        </r>
      </text>
    </comment>
    <comment ref="O193" authorId="2" shapeId="0" xr:uid="{00000000-0006-0000-0600-0000A3020000}">
      <text>
        <r>
          <rPr>
            <b/>
            <sz val="9"/>
            <color indexed="81"/>
            <rFont val="Tahoma"/>
            <family val="2"/>
          </rPr>
          <t>user:</t>
        </r>
        <r>
          <rPr>
            <sz val="9"/>
            <color indexed="81"/>
            <rFont val="Tahoma"/>
            <family val="2"/>
          </rPr>
          <t xml:space="preserve">
- VK 5% từ 01/12/2021
- VK 6% từ 01/12/2022
- VK 7% từ 01/12/2023</t>
        </r>
      </text>
    </comment>
    <comment ref="F194" authorId="1" shapeId="0" xr:uid="{00000000-0006-0000-0600-0000A4020000}">
      <text>
        <r>
          <rPr>
            <b/>
            <sz val="9"/>
            <color indexed="81"/>
            <rFont val="Tahoma"/>
            <family val="2"/>
          </rPr>
          <t>Admin:</t>
        </r>
        <r>
          <rPr>
            <sz val="9"/>
            <color indexed="81"/>
            <rFont val="Tahoma"/>
            <family val="2"/>
          </rPr>
          <t xml:space="preserve">
- HS 4,65 từ 01/9/2015
- HS 4,98 từ 01/9/2018</t>
        </r>
      </text>
    </comment>
    <comment ref="G194" authorId="2" shapeId="0" xr:uid="{00000000-0006-0000-0600-0000A5020000}">
      <text>
        <r>
          <rPr>
            <b/>
            <sz val="9"/>
            <color indexed="81"/>
            <rFont val="Tahoma"/>
            <family val="2"/>
          </rPr>
          <t>user:</t>
        </r>
        <r>
          <rPr>
            <sz val="9"/>
            <color indexed="81"/>
            <rFont val="Tahoma"/>
            <family val="2"/>
          </rPr>
          <t xml:space="preserve">
- VK 5% từ 01/9/2021
- VK 6% từ 01/9/2022
- VK 7% từ 01/9/2023</t>
        </r>
      </text>
    </comment>
    <comment ref="J194" authorId="1" shapeId="0" xr:uid="{00000000-0006-0000-0600-0000A6020000}">
      <text>
        <r>
          <rPr>
            <b/>
            <sz val="9"/>
            <color indexed="81"/>
            <rFont val="Tahoma"/>
            <family val="2"/>
          </rPr>
          <t>Admin:</t>
        </r>
        <r>
          <rPr>
            <sz val="9"/>
            <color indexed="81"/>
            <rFont val="Tahoma"/>
            <family val="2"/>
          </rPr>
          <t xml:space="preserve">
- HS 4,65 từ 01/9/2015
- HS 4,98 từ 01/9/2018</t>
        </r>
      </text>
    </comment>
    <comment ref="K194" authorId="2" shapeId="0" xr:uid="{00000000-0006-0000-0600-0000A7020000}">
      <text>
        <r>
          <rPr>
            <b/>
            <sz val="9"/>
            <color indexed="81"/>
            <rFont val="Tahoma"/>
            <family val="2"/>
          </rPr>
          <t>user:</t>
        </r>
        <r>
          <rPr>
            <sz val="9"/>
            <color indexed="81"/>
            <rFont val="Tahoma"/>
            <family val="2"/>
          </rPr>
          <t xml:space="preserve">
- VK 5% từ 01/9/2021
- VK 6% từ 01/9/2022
- VK 7% từ 01/9/2023</t>
        </r>
      </text>
    </comment>
    <comment ref="N194" authorId="1" shapeId="0" xr:uid="{00000000-0006-0000-0600-0000A8020000}">
      <text>
        <r>
          <rPr>
            <b/>
            <sz val="9"/>
            <color indexed="81"/>
            <rFont val="Tahoma"/>
            <family val="2"/>
          </rPr>
          <t>Admin:</t>
        </r>
        <r>
          <rPr>
            <sz val="9"/>
            <color indexed="81"/>
            <rFont val="Tahoma"/>
            <family val="2"/>
          </rPr>
          <t xml:space="preserve">
- HS 4,65 từ 01/9/2015
- HS 4,98 từ 01/9/2018</t>
        </r>
      </text>
    </comment>
    <comment ref="O194" authorId="2" shapeId="0" xr:uid="{00000000-0006-0000-0600-0000A9020000}">
      <text>
        <r>
          <rPr>
            <b/>
            <sz val="9"/>
            <color indexed="81"/>
            <rFont val="Tahoma"/>
            <family val="2"/>
          </rPr>
          <t>user:</t>
        </r>
        <r>
          <rPr>
            <sz val="9"/>
            <color indexed="81"/>
            <rFont val="Tahoma"/>
            <family val="2"/>
          </rPr>
          <t xml:space="preserve">
- VK 5% từ 01/9/2021
- VK 6% từ 01/9/2022
- VK 7% từ 01/9/2023
- VK 8% từ 01/9/2024</t>
        </r>
      </text>
    </comment>
    <comment ref="F195" authorId="1" shapeId="0" xr:uid="{00000000-0006-0000-0600-0000AA02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95" authorId="1" shapeId="0" xr:uid="{00000000-0006-0000-0600-0000AB02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95" authorId="1" shapeId="0" xr:uid="{00000000-0006-0000-0600-0000AC02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6" authorId="0" shapeId="0" xr:uid="{00000000-0006-0000-0600-0000AD02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K196" authorId="0" shapeId="0" xr:uid="{00000000-0006-0000-0600-0000AE02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O196" authorId="0" shapeId="0" xr:uid="{00000000-0006-0000-0600-0000AF02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7" authorId="1" shapeId="0" xr:uid="{00000000-0006-0000-0600-0000B0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7" authorId="1" shapeId="0" xr:uid="{00000000-0006-0000-0600-0000B1020000}">
      <text>
        <r>
          <rPr>
            <b/>
            <sz val="9"/>
            <color indexed="81"/>
            <rFont val="Tahoma"/>
            <family val="2"/>
          </rPr>
          <t>Admin:</t>
        </r>
        <r>
          <rPr>
            <sz val="9"/>
            <color indexed="81"/>
            <rFont val="Tahoma"/>
            <family val="2"/>
          </rPr>
          <t xml:space="preserve">
QĐ BN Trưởng BM từ 15/5/2016
</t>
        </r>
      </text>
    </comment>
    <comment ref="J197" authorId="1" shapeId="0" xr:uid="{00000000-0006-0000-0600-0000B2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7" authorId="1" shapeId="0" xr:uid="{00000000-0006-0000-0600-0000B3020000}">
      <text>
        <r>
          <rPr>
            <b/>
            <sz val="9"/>
            <color indexed="81"/>
            <rFont val="Tahoma"/>
            <family val="2"/>
          </rPr>
          <t>Admin:</t>
        </r>
        <r>
          <rPr>
            <sz val="9"/>
            <color indexed="81"/>
            <rFont val="Tahoma"/>
            <family val="2"/>
          </rPr>
          <t xml:space="preserve">
QĐ BN Trưởng BM từ 15/5/2016
</t>
        </r>
      </text>
    </comment>
    <comment ref="N197" authorId="1" shapeId="0" xr:uid="{00000000-0006-0000-0600-0000B4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7" authorId="1" shapeId="0" xr:uid="{00000000-0006-0000-0600-0000B5020000}">
      <text>
        <r>
          <rPr>
            <b/>
            <sz val="9"/>
            <color indexed="81"/>
            <rFont val="Tahoma"/>
            <family val="2"/>
          </rPr>
          <t>Admin:</t>
        </r>
        <r>
          <rPr>
            <sz val="9"/>
            <color indexed="81"/>
            <rFont val="Tahoma"/>
            <family val="2"/>
          </rPr>
          <t xml:space="preserve">
QĐ BN Trưởng BM từ 15/5/2016
</t>
        </r>
      </text>
    </comment>
    <comment ref="F198" authorId="1" shapeId="0" xr:uid="{00000000-0006-0000-0600-0000B6020000}">
      <text>
        <r>
          <rPr>
            <b/>
            <sz val="9"/>
            <color indexed="81"/>
            <rFont val="Tahoma"/>
            <family val="2"/>
          </rPr>
          <t>Admin:</t>
        </r>
        <r>
          <rPr>
            <sz val="9"/>
            <color indexed="81"/>
            <rFont val="Tahoma"/>
            <family val="2"/>
          </rPr>
          <t xml:space="preserve">
- HS 4,65 từ 01/9/2016 (NL Trước hạn năm 2017)
- HS 4,98 từ 01/9/2019</t>
        </r>
      </text>
    </comment>
    <comment ref="G198" authorId="7" shapeId="0" xr:uid="{00000000-0006-0000-0600-0000B7020000}">
      <text>
        <r>
          <rPr>
            <b/>
            <sz val="9"/>
            <color indexed="81"/>
            <rFont val="Tahoma"/>
            <family val="2"/>
          </rPr>
          <t>huynh-panda:</t>
        </r>
        <r>
          <rPr>
            <sz val="9"/>
            <color indexed="81"/>
            <rFont val="Tahoma"/>
            <family val="2"/>
          </rPr>
          <t xml:space="preserve">
- VK 5% từ 01/9/2022
- VK 6% từ 01/9/2023</t>
        </r>
      </text>
    </comment>
    <comment ref="I198" authorId="1" shapeId="0" xr:uid="{00000000-0006-0000-0600-0000B8020000}">
      <text>
        <r>
          <rPr>
            <sz val="9"/>
            <color indexed="81"/>
            <rFont val="Tahoma"/>
            <family val="2"/>
          </rPr>
          <t>QĐ phụ trách từ 01/12/2017</t>
        </r>
      </text>
    </comment>
    <comment ref="J198" authorId="1" shapeId="0" xr:uid="{00000000-0006-0000-0600-0000B9020000}">
      <text>
        <r>
          <rPr>
            <b/>
            <sz val="9"/>
            <color indexed="81"/>
            <rFont val="Tahoma"/>
            <family val="2"/>
          </rPr>
          <t>Admin:</t>
        </r>
        <r>
          <rPr>
            <sz val="9"/>
            <color indexed="81"/>
            <rFont val="Tahoma"/>
            <family val="2"/>
          </rPr>
          <t xml:space="preserve">
- HS 4,65 từ 01/9/2016 (NL Trước hạn năm 2017)
- HS 4,98 từ 01/9/2019</t>
        </r>
      </text>
    </comment>
    <comment ref="K198" authorId="7" shapeId="0" xr:uid="{00000000-0006-0000-0600-0000BA020000}">
      <text>
        <r>
          <rPr>
            <b/>
            <sz val="9"/>
            <color indexed="81"/>
            <rFont val="Tahoma"/>
            <family val="2"/>
          </rPr>
          <t>huynh-panda:</t>
        </r>
        <r>
          <rPr>
            <sz val="9"/>
            <color indexed="81"/>
            <rFont val="Tahoma"/>
            <family val="2"/>
          </rPr>
          <t xml:space="preserve">
- VK 5% từ 01/9/2022
- VK 6% từ 01/9/2023</t>
        </r>
      </text>
    </comment>
    <comment ref="M198" authorId="1" shapeId="0" xr:uid="{00000000-0006-0000-0600-0000BB020000}">
      <text>
        <r>
          <rPr>
            <sz val="9"/>
            <color indexed="81"/>
            <rFont val="Tahoma"/>
            <family val="2"/>
          </rPr>
          <t>QĐ phụ trách từ 01/12/2017</t>
        </r>
      </text>
    </comment>
    <comment ref="N198" authorId="1" shapeId="0" xr:uid="{00000000-0006-0000-0600-0000BC020000}">
      <text>
        <r>
          <rPr>
            <b/>
            <sz val="9"/>
            <color indexed="81"/>
            <rFont val="Tahoma"/>
            <family val="2"/>
          </rPr>
          <t>Admin:</t>
        </r>
        <r>
          <rPr>
            <sz val="9"/>
            <color indexed="81"/>
            <rFont val="Tahoma"/>
            <family val="2"/>
          </rPr>
          <t xml:space="preserve">
- HS 4,65 từ 01/9/2016 (NL Trước hạn năm 2017)
- HS 4,98 từ 01/9/2019</t>
        </r>
      </text>
    </comment>
    <comment ref="O198" authorId="7" shapeId="0" xr:uid="{00000000-0006-0000-0600-0000BD020000}">
      <text>
        <r>
          <rPr>
            <b/>
            <sz val="9"/>
            <color indexed="81"/>
            <rFont val="Tahoma"/>
            <family val="2"/>
          </rPr>
          <t>huynh-panda:</t>
        </r>
        <r>
          <rPr>
            <sz val="9"/>
            <color indexed="81"/>
            <rFont val="Tahoma"/>
            <family val="2"/>
          </rPr>
          <t xml:space="preserve">
- VK 5% từ 01/9/2022
- VK 6% từ 01/9/2023
- VK 7% từ 01/9/2024</t>
        </r>
      </text>
    </comment>
    <comment ref="Q198" authorId="1" shapeId="0" xr:uid="{00000000-0006-0000-0600-0000BE020000}">
      <text>
        <r>
          <rPr>
            <sz val="9"/>
            <color indexed="81"/>
            <rFont val="Tahoma"/>
            <family val="2"/>
          </rPr>
          <t>QĐ phụ trách từ 01/12/2017</t>
        </r>
      </text>
    </comment>
    <comment ref="F199" authorId="1" shapeId="0" xr:uid="{00000000-0006-0000-0600-0000BF020000}">
      <text>
        <r>
          <rPr>
            <b/>
            <sz val="9"/>
            <color indexed="81"/>
            <rFont val="Tahoma"/>
            <family val="2"/>
          </rPr>
          <t>Admin:</t>
        </r>
        <r>
          <rPr>
            <sz val="9"/>
            <color indexed="81"/>
            <rFont val="Tahoma"/>
            <family val="2"/>
          </rPr>
          <t xml:space="preserve">
- HS 3,33 từ 01/9/2017
- HS 3,66 từ 01/9/2020
- HS 3,99 từ 01/9/2023</t>
        </r>
      </text>
    </comment>
    <comment ref="J199" authorId="1" shapeId="0" xr:uid="{00000000-0006-0000-0600-0000C0020000}">
      <text>
        <r>
          <rPr>
            <b/>
            <sz val="9"/>
            <color indexed="81"/>
            <rFont val="Tahoma"/>
            <family val="2"/>
          </rPr>
          <t>Admin:</t>
        </r>
        <r>
          <rPr>
            <sz val="9"/>
            <color indexed="81"/>
            <rFont val="Tahoma"/>
            <family val="2"/>
          </rPr>
          <t xml:space="preserve">
- HS 3,33 từ 01/9/2017
- HS 3,66 từ 01/9/2020
- HS 3,99 từ 01/9/2023</t>
        </r>
      </text>
    </comment>
    <comment ref="N199" authorId="1" shapeId="0" xr:uid="{00000000-0006-0000-0600-0000C1020000}">
      <text>
        <r>
          <rPr>
            <b/>
            <sz val="9"/>
            <color indexed="81"/>
            <rFont val="Tahoma"/>
            <family val="2"/>
          </rPr>
          <t>Admin:</t>
        </r>
        <r>
          <rPr>
            <sz val="9"/>
            <color indexed="81"/>
            <rFont val="Tahoma"/>
            <family val="2"/>
          </rPr>
          <t xml:space="preserve">
- HS 3,33 từ 01/9/2017
- HS 3,66 từ 01/9/2020
- HS 3,99 từ 01/9/2023</t>
        </r>
      </text>
    </comment>
    <comment ref="F200" authorId="1" shapeId="0" xr:uid="{00000000-0006-0000-0600-0000C2020000}">
      <text>
        <r>
          <rPr>
            <b/>
            <sz val="9"/>
            <color indexed="81"/>
            <rFont val="Tahoma"/>
            <family val="2"/>
          </rPr>
          <t>Admin:</t>
        </r>
        <r>
          <rPr>
            <sz val="9"/>
            <color indexed="81"/>
            <rFont val="Tahoma"/>
            <family val="2"/>
          </rPr>
          <t xml:space="preserve">
- HS 4,65 từ 01/9/2017
- HS 4,98 từ 01/9/2020</t>
        </r>
      </text>
    </comment>
    <comment ref="G200" authorId="3" shapeId="0" xr:uid="{00000000-0006-0000-0600-0000C3020000}">
      <text>
        <r>
          <rPr>
            <b/>
            <sz val="9"/>
            <color indexed="81"/>
            <rFont val="Tahoma"/>
            <family val="2"/>
          </rPr>
          <t>Windows User:</t>
        </r>
        <r>
          <rPr>
            <sz val="9"/>
            <color indexed="81"/>
            <rFont val="Tahoma"/>
            <family val="2"/>
          </rPr>
          <t xml:space="preserve">
- VK 5% từ 01/9/2023</t>
        </r>
      </text>
    </comment>
    <comment ref="J200" authorId="1" shapeId="0" xr:uid="{00000000-0006-0000-0600-0000C4020000}">
      <text>
        <r>
          <rPr>
            <b/>
            <sz val="9"/>
            <color indexed="81"/>
            <rFont val="Tahoma"/>
            <family val="2"/>
          </rPr>
          <t>Admin:</t>
        </r>
        <r>
          <rPr>
            <sz val="9"/>
            <color indexed="81"/>
            <rFont val="Tahoma"/>
            <family val="2"/>
          </rPr>
          <t xml:space="preserve">
- HS 4,65 từ 01/9/2017
- HS 4,98 từ 01/9/2020</t>
        </r>
      </text>
    </comment>
    <comment ref="K200" authorId="3" shapeId="0" xr:uid="{00000000-0006-0000-0600-0000C5020000}">
      <text>
        <r>
          <rPr>
            <b/>
            <sz val="9"/>
            <color indexed="81"/>
            <rFont val="Tahoma"/>
            <family val="2"/>
          </rPr>
          <t>Windows User:</t>
        </r>
        <r>
          <rPr>
            <sz val="9"/>
            <color indexed="81"/>
            <rFont val="Tahoma"/>
            <family val="2"/>
          </rPr>
          <t xml:space="preserve">
- VK 5% từ 01/9/2023</t>
        </r>
      </text>
    </comment>
    <comment ref="N200" authorId="1" shapeId="0" xr:uid="{00000000-0006-0000-0600-0000C6020000}">
      <text>
        <r>
          <rPr>
            <b/>
            <sz val="9"/>
            <color indexed="81"/>
            <rFont val="Tahoma"/>
            <family val="2"/>
          </rPr>
          <t>Admin:</t>
        </r>
        <r>
          <rPr>
            <sz val="9"/>
            <color indexed="81"/>
            <rFont val="Tahoma"/>
            <family val="2"/>
          </rPr>
          <t xml:space="preserve">
- HS 4,65 từ 01/9/2017
- HS 4,98 từ 01/9/2020</t>
        </r>
      </text>
    </comment>
    <comment ref="O200" authorId="3" shapeId="0" xr:uid="{00000000-0006-0000-0600-0000C7020000}">
      <text>
        <r>
          <rPr>
            <b/>
            <sz val="9"/>
            <color indexed="81"/>
            <rFont val="Tahoma"/>
            <family val="2"/>
          </rPr>
          <t>Windows User:</t>
        </r>
        <r>
          <rPr>
            <sz val="9"/>
            <color indexed="81"/>
            <rFont val="Tahoma"/>
            <family val="2"/>
          </rPr>
          <t xml:space="preserve">
- VK 5% từ 01/9/2023
- VK 6% từ 01/9/2024</t>
        </r>
      </text>
    </comment>
    <comment ref="F201" authorId="0" shapeId="0" xr:uid="{00000000-0006-0000-0600-0000C8020000}">
      <text>
        <r>
          <rPr>
            <b/>
            <sz val="9"/>
            <color indexed="81"/>
            <rFont val="Tahoma"/>
            <family val="2"/>
          </rPr>
          <t>User:</t>
        </r>
        <r>
          <rPr>
            <sz val="9"/>
            <color indexed="81"/>
            <rFont val="Tahoma"/>
            <family val="2"/>
          </rPr>
          <t xml:space="preserve">
- HS 3,00 từ 01/9/2015
- HS 3,33 từ 01/9/2018
- HS 3,66 từ 01/9/2021</t>
        </r>
      </text>
    </comment>
    <comment ref="I201" authorId="6" shapeId="0" xr:uid="{00000000-0006-0000-0600-0000C902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J201" authorId="0" shapeId="0" xr:uid="{00000000-0006-0000-0600-0000CA020000}">
      <text>
        <r>
          <rPr>
            <b/>
            <sz val="9"/>
            <color indexed="81"/>
            <rFont val="Tahoma"/>
            <family val="2"/>
          </rPr>
          <t>User:</t>
        </r>
        <r>
          <rPr>
            <sz val="9"/>
            <color indexed="81"/>
            <rFont val="Tahoma"/>
            <family val="2"/>
          </rPr>
          <t xml:space="preserve">
- HS 3,00 từ 01/9/2015
- HS 3,33 từ 01/9/2018
- HS 3,66 từ 01/9/2021</t>
        </r>
      </text>
    </comment>
    <comment ref="M201" authorId="6" shapeId="0" xr:uid="{00000000-0006-0000-0600-0000CB02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N201" authorId="0" shapeId="0" xr:uid="{00000000-0006-0000-0600-0000CC020000}">
      <text>
        <r>
          <rPr>
            <b/>
            <sz val="9"/>
            <color indexed="81"/>
            <rFont val="Tahoma"/>
            <family val="2"/>
          </rPr>
          <t>User:</t>
        </r>
        <r>
          <rPr>
            <sz val="9"/>
            <color indexed="81"/>
            <rFont val="Tahoma"/>
            <family val="2"/>
          </rPr>
          <t xml:space="preserve">
- HS 3,00 từ 01/9/2015
- HS 3,33 từ 01/9/2018
- HS 3,66 từ 01/9/2021
- HS 3,99 từ 01/9/2024</t>
        </r>
      </text>
    </comment>
    <comment ref="Q201" authorId="6" shapeId="0" xr:uid="{00000000-0006-0000-0600-0000CD02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2" authorId="0" shapeId="0" xr:uid="{00000000-0006-0000-0600-0000CE020000}">
      <text>
        <r>
          <rPr>
            <b/>
            <sz val="9"/>
            <color indexed="81"/>
            <rFont val="Tahoma"/>
            <family val="2"/>
          </rPr>
          <t>User:</t>
        </r>
        <r>
          <rPr>
            <sz val="9"/>
            <color indexed="81"/>
            <rFont val="Tahoma"/>
            <family val="2"/>
          </rPr>
          <t xml:space="preserve">
- HS 3,00 từ 01/9/2015
- HS 3,33 từ 01/9/2018
- HS 3,66 từ 01/9/2021</t>
        </r>
      </text>
    </comment>
    <comment ref="J202" authorId="0" shapeId="0" xr:uid="{00000000-0006-0000-0600-0000CF020000}">
      <text>
        <r>
          <rPr>
            <b/>
            <sz val="9"/>
            <color indexed="81"/>
            <rFont val="Tahoma"/>
            <family val="2"/>
          </rPr>
          <t>User:</t>
        </r>
        <r>
          <rPr>
            <sz val="9"/>
            <color indexed="81"/>
            <rFont val="Tahoma"/>
            <family val="2"/>
          </rPr>
          <t xml:space="preserve">
- HS 3,00 từ 01/9/2015
- HS 3,33 từ 01/9/2018
- HS 3,66 từ 01/9/2021</t>
        </r>
      </text>
    </comment>
    <comment ref="N202" authorId="0" shapeId="0" xr:uid="{00000000-0006-0000-0600-0000D0020000}">
      <text>
        <r>
          <rPr>
            <b/>
            <sz val="9"/>
            <color indexed="81"/>
            <rFont val="Tahoma"/>
            <family val="2"/>
          </rPr>
          <t>User:</t>
        </r>
        <r>
          <rPr>
            <sz val="9"/>
            <color indexed="81"/>
            <rFont val="Tahoma"/>
            <family val="2"/>
          </rPr>
          <t xml:space="preserve">
- HS 3,00 từ 01/9/2015
- HS 3,33 từ 01/9/2018
- HS 3,66 từ 01/9/2021
- HS 3,99 từ 01/9/2024</t>
        </r>
      </text>
    </comment>
    <comment ref="F203" authorId="1" shapeId="0" xr:uid="{00000000-0006-0000-0600-0000D1020000}">
      <text>
        <r>
          <rPr>
            <b/>
            <sz val="9"/>
            <color indexed="81"/>
            <rFont val="Tahoma"/>
            <family val="2"/>
          </rPr>
          <t>Admin:</t>
        </r>
        <r>
          <rPr>
            <sz val="9"/>
            <color indexed="81"/>
            <rFont val="Tahoma"/>
            <family val="2"/>
          </rPr>
          <t xml:space="preserve">
- HS 3,00 từ 01/9/2016
- HS 3,33 từ 01/9/2019
- HS 3,66 từ 01/9/2022</t>
        </r>
      </text>
    </comment>
    <comment ref="J203" authorId="1" shapeId="0" xr:uid="{00000000-0006-0000-0600-0000D2020000}">
      <text>
        <r>
          <rPr>
            <b/>
            <sz val="9"/>
            <color indexed="81"/>
            <rFont val="Tahoma"/>
            <family val="2"/>
          </rPr>
          <t>Admin:</t>
        </r>
        <r>
          <rPr>
            <sz val="9"/>
            <color indexed="81"/>
            <rFont val="Tahoma"/>
            <family val="2"/>
          </rPr>
          <t xml:space="preserve">
- HS 3,00 từ 01/9/2016
- HS 3,33 từ 01/9/2019
- HS 3,66 từ 01/9/2022</t>
        </r>
      </text>
    </comment>
    <comment ref="N203" authorId="1" shapeId="0" xr:uid="{00000000-0006-0000-0600-0000D3020000}">
      <text>
        <r>
          <rPr>
            <b/>
            <sz val="9"/>
            <color indexed="81"/>
            <rFont val="Tahoma"/>
            <family val="2"/>
          </rPr>
          <t>Admin:</t>
        </r>
        <r>
          <rPr>
            <sz val="9"/>
            <color indexed="81"/>
            <rFont val="Tahoma"/>
            <family val="2"/>
          </rPr>
          <t xml:space="preserve">
- HS 3,00 từ 01/9/2016
- HS 3,33 từ 01/9/2019
- HS 3,66 từ 01/9/2022</t>
        </r>
      </text>
    </comment>
    <comment ref="F204" authorId="1" shapeId="0" xr:uid="{00000000-0006-0000-0600-0000D4020000}">
      <text>
        <r>
          <rPr>
            <b/>
            <sz val="9"/>
            <color indexed="81"/>
            <rFont val="Tahoma"/>
            <family val="2"/>
          </rPr>
          <t>Admin:</t>
        </r>
        <r>
          <rPr>
            <sz val="9"/>
            <color indexed="81"/>
            <rFont val="Tahoma"/>
            <family val="2"/>
          </rPr>
          <t xml:space="preserve">
- HS 3,00 từ 01/9/2016
- HS 3,33 từ 01/9/2019
- HS 3,66 từ 01/9/2022</t>
        </r>
      </text>
    </comment>
    <comment ref="J204" authorId="1" shapeId="0" xr:uid="{00000000-0006-0000-0600-0000D5020000}">
      <text>
        <r>
          <rPr>
            <b/>
            <sz val="9"/>
            <color indexed="81"/>
            <rFont val="Tahoma"/>
            <family val="2"/>
          </rPr>
          <t>Admin:</t>
        </r>
        <r>
          <rPr>
            <sz val="9"/>
            <color indexed="81"/>
            <rFont val="Tahoma"/>
            <family val="2"/>
          </rPr>
          <t xml:space="preserve">
- HS 3,00 từ 01/9/2016
- HS 3,33 từ 01/9/2019
- HS 3,66 từ 01/9/2022</t>
        </r>
      </text>
    </comment>
    <comment ref="N204" authorId="1" shapeId="0" xr:uid="{00000000-0006-0000-0600-0000D6020000}">
      <text>
        <r>
          <rPr>
            <b/>
            <sz val="9"/>
            <color indexed="81"/>
            <rFont val="Tahoma"/>
            <family val="2"/>
          </rPr>
          <t>Admin:</t>
        </r>
        <r>
          <rPr>
            <sz val="9"/>
            <color indexed="81"/>
            <rFont val="Tahoma"/>
            <family val="2"/>
          </rPr>
          <t xml:space="preserve">
- HS 3,00 từ 01/9/2016
- HS 3,33 từ 01/9/2019
- HS 3,66 từ 01/9/2022</t>
        </r>
      </text>
    </comment>
    <comment ref="F205" authorId="1" shapeId="0" xr:uid="{00000000-0006-0000-0600-0000D7020000}">
      <text>
        <r>
          <rPr>
            <b/>
            <sz val="9"/>
            <color indexed="81"/>
            <rFont val="Tahoma"/>
            <family val="2"/>
          </rPr>
          <t>Admin:</t>
        </r>
        <r>
          <rPr>
            <sz val="9"/>
            <color indexed="81"/>
            <rFont val="Tahoma"/>
            <family val="2"/>
          </rPr>
          <t xml:space="preserve">
- HS 3,00 từ 01/9/2016
- HS 3,33 từ 01/9/2019
- HS 3,66 từ 01/9/2022</t>
        </r>
      </text>
    </comment>
    <comment ref="J205" authorId="1" shapeId="0" xr:uid="{00000000-0006-0000-0600-0000D8020000}">
      <text>
        <r>
          <rPr>
            <b/>
            <sz val="9"/>
            <color indexed="81"/>
            <rFont val="Tahoma"/>
            <family val="2"/>
          </rPr>
          <t>Admin:</t>
        </r>
        <r>
          <rPr>
            <sz val="9"/>
            <color indexed="81"/>
            <rFont val="Tahoma"/>
            <family val="2"/>
          </rPr>
          <t xml:space="preserve">
- HS 3,00 từ 01/9/2016
- HS 3,33 từ 01/9/2019
- HS 3,66 từ 01/9/2022</t>
        </r>
      </text>
    </comment>
    <comment ref="N205" authorId="1" shapeId="0" xr:uid="{00000000-0006-0000-0600-0000D9020000}">
      <text>
        <r>
          <rPr>
            <b/>
            <sz val="9"/>
            <color indexed="81"/>
            <rFont val="Tahoma"/>
            <family val="2"/>
          </rPr>
          <t>Admin:</t>
        </r>
        <r>
          <rPr>
            <sz val="9"/>
            <color indexed="81"/>
            <rFont val="Tahoma"/>
            <family val="2"/>
          </rPr>
          <t xml:space="preserve">
- HS 3,00 từ 01/9/2016
- HS 3,33 từ 01/9/2019
- HS 3,66 từ 01/9/2022</t>
        </r>
      </text>
    </comment>
    <comment ref="F206" authorId="1" shapeId="0" xr:uid="{00000000-0006-0000-0600-0000DA020000}">
      <text>
        <r>
          <rPr>
            <b/>
            <sz val="9"/>
            <color indexed="81"/>
            <rFont val="Tahoma"/>
            <family val="2"/>
          </rPr>
          <t>Admin:</t>
        </r>
        <r>
          <rPr>
            <sz val="9"/>
            <color indexed="81"/>
            <rFont val="Tahoma"/>
            <family val="2"/>
          </rPr>
          <t xml:space="preserve">
- HS 3,00 từ 01/9/2017
- HS 3,33 từ 01/9/2020
- HS 3,66 từ 01/9/2023</t>
        </r>
      </text>
    </comment>
    <comment ref="I206" authorId="0" shapeId="0" xr:uid="{00000000-0006-0000-0600-0000DB020000}">
      <text>
        <r>
          <rPr>
            <b/>
            <sz val="9"/>
            <color indexed="81"/>
            <rFont val="Tahoma"/>
            <family val="2"/>
          </rPr>
          <t>User:</t>
        </r>
        <r>
          <rPr>
            <sz val="9"/>
            <color indexed="81"/>
            <rFont val="Tahoma"/>
            <family val="2"/>
          </rPr>
          <t xml:space="preserve">
BN Trưởng BM Cơ sở Cơ khí từ 01/09/2015</t>
        </r>
      </text>
    </comment>
    <comment ref="J206" authorId="1" shapeId="0" xr:uid="{00000000-0006-0000-0600-0000DC020000}">
      <text>
        <r>
          <rPr>
            <b/>
            <sz val="9"/>
            <color indexed="81"/>
            <rFont val="Tahoma"/>
            <family val="2"/>
          </rPr>
          <t>Admin:</t>
        </r>
        <r>
          <rPr>
            <sz val="9"/>
            <color indexed="81"/>
            <rFont val="Tahoma"/>
            <family val="2"/>
          </rPr>
          <t xml:space="preserve">
- HS 3,00 từ 01/9/2017
- HS 3,33 từ 01/9/2020
- HS 3,66 từ 01/9/2023</t>
        </r>
      </text>
    </comment>
    <comment ref="M206" authorId="0" shapeId="0" xr:uid="{00000000-0006-0000-0600-0000DD020000}">
      <text>
        <r>
          <rPr>
            <b/>
            <sz val="9"/>
            <color indexed="81"/>
            <rFont val="Tahoma"/>
            <family val="2"/>
          </rPr>
          <t>User:</t>
        </r>
        <r>
          <rPr>
            <sz val="9"/>
            <color indexed="81"/>
            <rFont val="Tahoma"/>
            <family val="2"/>
          </rPr>
          <t xml:space="preserve">
BN Trưởng BM Cơ sở Cơ khí từ 01/09/2015</t>
        </r>
      </text>
    </comment>
    <comment ref="N206" authorId="1" shapeId="0" xr:uid="{00000000-0006-0000-0600-0000DE020000}">
      <text>
        <r>
          <rPr>
            <b/>
            <sz val="9"/>
            <color indexed="81"/>
            <rFont val="Tahoma"/>
            <family val="2"/>
          </rPr>
          <t>Admin:</t>
        </r>
        <r>
          <rPr>
            <sz val="9"/>
            <color indexed="81"/>
            <rFont val="Tahoma"/>
            <family val="2"/>
          </rPr>
          <t xml:space="preserve">
- HS 3,00 từ 01/9/2017
- HS 3,33 từ 01/9/2020
- HS 3,66 từ 01/9/2023</t>
        </r>
      </text>
    </comment>
    <comment ref="Q206" authorId="0" shapeId="0" xr:uid="{00000000-0006-0000-0600-0000DF020000}">
      <text>
        <r>
          <rPr>
            <b/>
            <sz val="9"/>
            <color indexed="81"/>
            <rFont val="Tahoma"/>
            <family val="2"/>
          </rPr>
          <t>User:</t>
        </r>
        <r>
          <rPr>
            <sz val="9"/>
            <color indexed="81"/>
            <rFont val="Tahoma"/>
            <family val="2"/>
          </rPr>
          <t xml:space="preserve">
BN Trưởng BM Cơ sở Cơ khí từ 01/09/2015</t>
        </r>
      </text>
    </comment>
    <comment ref="F207" authorId="1" shapeId="0" xr:uid="{00000000-0006-0000-0600-0000E0020000}">
      <text>
        <r>
          <rPr>
            <b/>
            <sz val="9"/>
            <color indexed="81"/>
            <rFont val="Tahoma"/>
            <family val="2"/>
          </rPr>
          <t>Admin:</t>
        </r>
        <r>
          <rPr>
            <sz val="9"/>
            <color indexed="81"/>
            <rFont val="Tahoma"/>
            <family val="2"/>
          </rPr>
          <t xml:space="preserve">
- HS 2,67 từ 01/9/2016
- HS 3,00 từ 01/9/2019
- HS 3,33 từ 01/9/2021 (NL trước hạn)</t>
        </r>
      </text>
    </comment>
    <comment ref="I207" authorId="0" shapeId="0" xr:uid="{00000000-0006-0000-0600-0000E102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J207" authorId="1" shapeId="0" xr:uid="{00000000-0006-0000-0600-0000E2020000}">
      <text>
        <r>
          <rPr>
            <b/>
            <sz val="9"/>
            <color indexed="81"/>
            <rFont val="Tahoma"/>
            <family val="2"/>
          </rPr>
          <t>Admin:</t>
        </r>
        <r>
          <rPr>
            <sz val="9"/>
            <color indexed="81"/>
            <rFont val="Tahoma"/>
            <family val="2"/>
          </rPr>
          <t xml:space="preserve">
- HS 2,67 từ 01/9/2016
- HS 3,00 từ 01/9/2019
- HS 3,33 từ 01/9/2021 (NL trước hạn)</t>
        </r>
      </text>
    </comment>
    <comment ref="M207" authorId="0" shapeId="0" xr:uid="{00000000-0006-0000-0600-0000E302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N207" authorId="1" shapeId="0" xr:uid="{00000000-0006-0000-0600-0000E402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07" authorId="0" shapeId="0" xr:uid="{00000000-0006-0000-0600-0000E502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8" authorId="1" shapeId="0" xr:uid="{00000000-0006-0000-0600-0000E6020000}">
      <text>
        <r>
          <rPr>
            <b/>
            <sz val="9"/>
            <color indexed="81"/>
            <rFont val="Tahoma"/>
            <family val="2"/>
          </rPr>
          <t>Admin:</t>
        </r>
        <r>
          <rPr>
            <sz val="9"/>
            <color indexed="81"/>
            <rFont val="Tahoma"/>
            <family val="2"/>
          </rPr>
          <t xml:space="preserve">
- HS 3,00 từ 01/10/2016
- HS 3,33 từ 01/10/2019
- HS 3,66 từ 01/10/2022</t>
        </r>
      </text>
    </comment>
    <comment ref="J208" authorId="1" shapeId="0" xr:uid="{00000000-0006-0000-0600-0000E7020000}">
      <text>
        <r>
          <rPr>
            <b/>
            <sz val="9"/>
            <color indexed="81"/>
            <rFont val="Tahoma"/>
            <family val="2"/>
          </rPr>
          <t>Admin:</t>
        </r>
        <r>
          <rPr>
            <sz val="9"/>
            <color indexed="81"/>
            <rFont val="Tahoma"/>
            <family val="2"/>
          </rPr>
          <t xml:space="preserve">
- HS 3,00 từ 01/10/2016
- HS 3,33 từ 01/10/2019
- HS 3,66 từ 01/10/2022</t>
        </r>
      </text>
    </comment>
    <comment ref="N208" authorId="1" shapeId="0" xr:uid="{00000000-0006-0000-0600-0000E8020000}">
      <text>
        <r>
          <rPr>
            <b/>
            <sz val="9"/>
            <color indexed="81"/>
            <rFont val="Tahoma"/>
            <family val="2"/>
          </rPr>
          <t>Admin:</t>
        </r>
        <r>
          <rPr>
            <sz val="9"/>
            <color indexed="81"/>
            <rFont val="Tahoma"/>
            <family val="2"/>
          </rPr>
          <t xml:space="preserve">
- HS 3,00 từ 01/10/2016
- HS 3,33 từ 01/10/2019
- HS 3,66 từ 01/10/2022</t>
        </r>
      </text>
    </comment>
    <comment ref="F209" authorId="1" shapeId="0" xr:uid="{00000000-0006-0000-0600-0000E9020000}">
      <text>
        <r>
          <rPr>
            <b/>
            <sz val="9"/>
            <color indexed="81"/>
            <rFont val="Tahoma"/>
            <family val="2"/>
          </rPr>
          <t>Admin:</t>
        </r>
        <r>
          <rPr>
            <sz val="9"/>
            <color indexed="81"/>
            <rFont val="Tahoma"/>
            <family val="2"/>
          </rPr>
          <t xml:space="preserve">
- HS 2,67 từ 01/10/2016
- HS 3,00 từ 01/10/2019
- HS 3,33 từ 01/10/2022</t>
        </r>
      </text>
    </comment>
    <comment ref="J209" authorId="1" shapeId="0" xr:uid="{00000000-0006-0000-0600-0000EA020000}">
      <text>
        <r>
          <rPr>
            <b/>
            <sz val="9"/>
            <color indexed="81"/>
            <rFont val="Tahoma"/>
            <family val="2"/>
          </rPr>
          <t>Admin:</t>
        </r>
        <r>
          <rPr>
            <sz val="9"/>
            <color indexed="81"/>
            <rFont val="Tahoma"/>
            <family val="2"/>
          </rPr>
          <t xml:space="preserve">
- HS 2,67 từ 01/10/2016
- HS 3,00 từ 01/10/2019
- HS 3,33 từ 01/10/2022</t>
        </r>
      </text>
    </comment>
    <comment ref="N209" authorId="1" shapeId="0" xr:uid="{00000000-0006-0000-0600-0000EB020000}">
      <text>
        <r>
          <rPr>
            <b/>
            <sz val="9"/>
            <color indexed="81"/>
            <rFont val="Tahoma"/>
            <family val="2"/>
          </rPr>
          <t>Admin:</t>
        </r>
        <r>
          <rPr>
            <sz val="9"/>
            <color indexed="81"/>
            <rFont val="Tahoma"/>
            <family val="2"/>
          </rPr>
          <t xml:space="preserve">
- HS 2,67 từ 01/10/2016
- HS 3,00 từ 01/10/2019
- HS 3,33 từ 01/10/2022</t>
        </r>
      </text>
    </comment>
    <comment ref="F210" authorId="0" shapeId="0" xr:uid="{00000000-0006-0000-0600-0000EC020000}">
      <text>
        <r>
          <rPr>
            <b/>
            <sz val="9"/>
            <color indexed="81"/>
            <rFont val="Tahoma"/>
            <family val="2"/>
          </rPr>
          <t>User:</t>
        </r>
        <r>
          <rPr>
            <sz val="9"/>
            <color indexed="81"/>
            <rFont val="Tahoma"/>
            <family val="2"/>
          </rPr>
          <t xml:space="preserve">
- HS 4,65 từ 01/9/2015
- HS 4,98 từ 01/9/2018</t>
        </r>
      </text>
    </comment>
    <comment ref="G210" authorId="2" shapeId="0" xr:uid="{00000000-0006-0000-0600-0000ED020000}">
      <text>
        <r>
          <rPr>
            <b/>
            <sz val="9"/>
            <color indexed="81"/>
            <rFont val="Tahoma"/>
            <family val="2"/>
          </rPr>
          <t>user:</t>
        </r>
        <r>
          <rPr>
            <sz val="9"/>
            <color indexed="81"/>
            <rFont val="Tahoma"/>
            <family val="2"/>
          </rPr>
          <t xml:space="preserve">
- VK 5% từ 01/9/2021
- VK 6% từ 01/9/2022
- VK 7% từ 01/9/2023</t>
        </r>
      </text>
    </comment>
    <comment ref="J210" authorId="0" shapeId="0" xr:uid="{00000000-0006-0000-0600-0000EE020000}">
      <text>
        <r>
          <rPr>
            <b/>
            <sz val="9"/>
            <color indexed="81"/>
            <rFont val="Tahoma"/>
            <family val="2"/>
          </rPr>
          <t>User:</t>
        </r>
        <r>
          <rPr>
            <sz val="9"/>
            <color indexed="81"/>
            <rFont val="Tahoma"/>
            <family val="2"/>
          </rPr>
          <t xml:space="preserve">
- HS 4,65 từ 01/9/2015
- HS 4,98 từ 01/9/2018</t>
        </r>
      </text>
    </comment>
    <comment ref="K210" authorId="2" shapeId="0" xr:uid="{00000000-0006-0000-0600-0000EF020000}">
      <text>
        <r>
          <rPr>
            <b/>
            <sz val="9"/>
            <color indexed="81"/>
            <rFont val="Tahoma"/>
            <family val="2"/>
          </rPr>
          <t>user:</t>
        </r>
        <r>
          <rPr>
            <sz val="9"/>
            <color indexed="81"/>
            <rFont val="Tahoma"/>
            <family val="2"/>
          </rPr>
          <t xml:space="preserve">
- VK 5% từ 01/9/2021
- VK 6% từ 01/9/2022
- VK 7% từ 01/9/2023</t>
        </r>
      </text>
    </comment>
    <comment ref="N210" authorId="0" shapeId="0" xr:uid="{00000000-0006-0000-0600-0000F0020000}">
      <text>
        <r>
          <rPr>
            <b/>
            <sz val="9"/>
            <color indexed="81"/>
            <rFont val="Tahoma"/>
            <family val="2"/>
          </rPr>
          <t>User:</t>
        </r>
        <r>
          <rPr>
            <sz val="9"/>
            <color indexed="81"/>
            <rFont val="Tahoma"/>
            <family val="2"/>
          </rPr>
          <t xml:space="preserve">
- HS 4,65 từ 01/9/2015
- HS 4,98 từ 01/9/2018</t>
        </r>
      </text>
    </comment>
    <comment ref="O210" authorId="2" shapeId="0" xr:uid="{00000000-0006-0000-0600-0000F1020000}">
      <text>
        <r>
          <rPr>
            <b/>
            <sz val="9"/>
            <color indexed="81"/>
            <rFont val="Tahoma"/>
            <family val="2"/>
          </rPr>
          <t>user:</t>
        </r>
        <r>
          <rPr>
            <sz val="9"/>
            <color indexed="81"/>
            <rFont val="Tahoma"/>
            <family val="2"/>
          </rPr>
          <t xml:space="preserve">
- VK 5% từ 01/9/2021
- VK 6% từ 01/9/2022
- VK 7% từ 01/9/2023
- VK 8% từ 01/9/2024</t>
        </r>
      </text>
    </comment>
    <comment ref="F211" authorId="0" shapeId="0" xr:uid="{00000000-0006-0000-0600-0000F2020000}">
      <text>
        <r>
          <rPr>
            <b/>
            <sz val="9"/>
            <color indexed="81"/>
            <rFont val="Tahoma"/>
            <family val="2"/>
          </rPr>
          <t>User:</t>
        </r>
        <r>
          <rPr>
            <sz val="9"/>
            <color indexed="81"/>
            <rFont val="Tahoma"/>
            <family val="2"/>
          </rPr>
          <t xml:space="preserve">
- HS 4,89 từ 1/5/2014</t>
        </r>
      </text>
    </comment>
    <comment ref="G211" authorId="1" shapeId="0" xr:uid="{00000000-0006-0000-0600-0000F302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1" authorId="0" shapeId="0" xr:uid="{00000000-0006-0000-0600-0000F4020000}">
      <text>
        <r>
          <rPr>
            <b/>
            <sz val="9"/>
            <color indexed="81"/>
            <rFont val="Tahoma"/>
            <family val="2"/>
          </rPr>
          <t>User:</t>
        </r>
        <r>
          <rPr>
            <sz val="9"/>
            <color indexed="81"/>
            <rFont val="Tahoma"/>
            <family val="2"/>
          </rPr>
          <t xml:space="preserve">
- Hết bảo lưu hệ số PCCV từ 01/11/2015</t>
        </r>
      </text>
    </comment>
    <comment ref="J211" authorId="0" shapeId="0" xr:uid="{00000000-0006-0000-0600-0000F5020000}">
      <text>
        <r>
          <rPr>
            <b/>
            <sz val="9"/>
            <color indexed="81"/>
            <rFont val="Tahoma"/>
            <family val="2"/>
          </rPr>
          <t>User:</t>
        </r>
        <r>
          <rPr>
            <sz val="9"/>
            <color indexed="81"/>
            <rFont val="Tahoma"/>
            <family val="2"/>
          </rPr>
          <t xml:space="preserve">
- HS 4,89 từ 1/5/2014</t>
        </r>
      </text>
    </comment>
    <comment ref="K211" authorId="1" shapeId="0" xr:uid="{00000000-0006-0000-0600-0000F602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M211" authorId="0" shapeId="0" xr:uid="{00000000-0006-0000-0600-0000F7020000}">
      <text>
        <r>
          <rPr>
            <b/>
            <sz val="9"/>
            <color indexed="81"/>
            <rFont val="Tahoma"/>
            <family val="2"/>
          </rPr>
          <t>User:</t>
        </r>
        <r>
          <rPr>
            <sz val="9"/>
            <color indexed="81"/>
            <rFont val="Tahoma"/>
            <family val="2"/>
          </rPr>
          <t xml:space="preserve">
- Hết bảo lưu hệ số PCCV từ 01/11/2015</t>
        </r>
      </text>
    </comment>
    <comment ref="N211" authorId="0" shapeId="0" xr:uid="{00000000-0006-0000-0600-0000F8020000}">
      <text>
        <r>
          <rPr>
            <b/>
            <sz val="9"/>
            <color indexed="81"/>
            <rFont val="Tahoma"/>
            <family val="2"/>
          </rPr>
          <t>User:</t>
        </r>
        <r>
          <rPr>
            <sz val="9"/>
            <color indexed="81"/>
            <rFont val="Tahoma"/>
            <family val="2"/>
          </rPr>
          <t xml:space="preserve">
- HS 4,89 từ 1/5/2014</t>
        </r>
      </text>
    </comment>
    <comment ref="O211" authorId="1" shapeId="0" xr:uid="{00000000-0006-0000-0600-0000F902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Q211" authorId="0" shapeId="0" xr:uid="{00000000-0006-0000-0600-0000FA020000}">
      <text>
        <r>
          <rPr>
            <b/>
            <sz val="9"/>
            <color indexed="81"/>
            <rFont val="Tahoma"/>
            <family val="2"/>
          </rPr>
          <t>User:</t>
        </r>
        <r>
          <rPr>
            <sz val="9"/>
            <color indexed="81"/>
            <rFont val="Tahoma"/>
            <family val="2"/>
          </rPr>
          <t xml:space="preserve">
- Hết bảo lưu hệ số PCCV từ 01/11/2015</t>
        </r>
      </text>
    </comment>
    <comment ref="F212" authorId="0" shapeId="0" xr:uid="{00000000-0006-0000-0600-0000FB02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J212" authorId="0" shapeId="0" xr:uid="{00000000-0006-0000-0600-0000FC02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N212" authorId="0" shapeId="0" xr:uid="{00000000-0006-0000-0600-0000FD02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3" authorId="2" shapeId="0" xr:uid="{00000000-0006-0000-0600-0000FE020000}">
      <text>
        <r>
          <rPr>
            <b/>
            <sz val="9"/>
            <color indexed="81"/>
            <rFont val="Tahoma"/>
            <family val="2"/>
          </rPr>
          <t>user:</t>
        </r>
        <r>
          <rPr>
            <sz val="9"/>
            <color indexed="81"/>
            <rFont val="Tahoma"/>
            <family val="2"/>
          </rPr>
          <t xml:space="preserve">
- BN CDNN từ 01/4/2019 (HS 2.67)
- HS 3,00 từ 01/4/2022</t>
        </r>
      </text>
    </comment>
    <comment ref="J213" authorId="2" shapeId="0" xr:uid="{00000000-0006-0000-0600-0000FF020000}">
      <text>
        <r>
          <rPr>
            <b/>
            <sz val="9"/>
            <color indexed="81"/>
            <rFont val="Tahoma"/>
            <family val="2"/>
          </rPr>
          <t>user:</t>
        </r>
        <r>
          <rPr>
            <sz val="9"/>
            <color indexed="81"/>
            <rFont val="Tahoma"/>
            <family val="2"/>
          </rPr>
          <t xml:space="preserve">
- BN CDNN từ 01/4/2019 (HS 2.67)
- HS 3,00 từ 01/4/2022</t>
        </r>
      </text>
    </comment>
    <comment ref="N213" authorId="2" shapeId="0" xr:uid="{00000000-0006-0000-0600-000000030000}">
      <text>
        <r>
          <rPr>
            <b/>
            <sz val="9"/>
            <color indexed="81"/>
            <rFont val="Tahoma"/>
            <family val="2"/>
          </rPr>
          <t>user:</t>
        </r>
        <r>
          <rPr>
            <sz val="9"/>
            <color indexed="81"/>
            <rFont val="Tahoma"/>
            <family val="2"/>
          </rPr>
          <t xml:space="preserve">
- BN CDNN từ 01/4/2019 (HS 2.67)
- HS 3,00 từ 01/4/2022</t>
        </r>
      </text>
    </comment>
    <comment ref="F214" authorId="2" shapeId="0" xr:uid="{00000000-0006-0000-0600-000001030000}">
      <text>
        <r>
          <rPr>
            <b/>
            <sz val="9"/>
            <color indexed="81"/>
            <rFont val="Tahoma"/>
            <family val="2"/>
          </rPr>
          <t>user:</t>
        </r>
        <r>
          <rPr>
            <sz val="9"/>
            <color indexed="81"/>
            <rFont val="Tahoma"/>
            <family val="2"/>
          </rPr>
          <t xml:space="preserve">
- HS 2,67 từ 01/10/2019
- HS 3,00 từ 01/10/2022</t>
        </r>
      </text>
    </comment>
    <comment ref="J214" authorId="2" shapeId="0" xr:uid="{00000000-0006-0000-0600-000002030000}">
      <text>
        <r>
          <rPr>
            <b/>
            <sz val="9"/>
            <color indexed="81"/>
            <rFont val="Tahoma"/>
            <family val="2"/>
          </rPr>
          <t>user:</t>
        </r>
        <r>
          <rPr>
            <sz val="9"/>
            <color indexed="81"/>
            <rFont val="Tahoma"/>
            <family val="2"/>
          </rPr>
          <t xml:space="preserve">
- HS 2,67 từ 01/10/2019
- HS 3,00 từ 01/10/2022</t>
        </r>
      </text>
    </comment>
    <comment ref="N214" authorId="2" shapeId="0" xr:uid="{00000000-0006-0000-0600-000003030000}">
      <text>
        <r>
          <rPr>
            <b/>
            <sz val="9"/>
            <color indexed="81"/>
            <rFont val="Tahoma"/>
            <family val="2"/>
          </rPr>
          <t>user:</t>
        </r>
        <r>
          <rPr>
            <sz val="9"/>
            <color indexed="81"/>
            <rFont val="Tahoma"/>
            <family val="2"/>
          </rPr>
          <t xml:space="preserve">
- HS 2,67 từ 01/10/2019
- HS 3,00 từ 01/10/2022</t>
        </r>
      </text>
    </comment>
    <comment ref="G215" authorId="1" shapeId="0" xr:uid="{00000000-0006-0000-0600-00000403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K215" authorId="1" shapeId="0" xr:uid="{00000000-0006-0000-0600-00000503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O215" authorId="1" shapeId="0" xr:uid="{00000000-0006-0000-0600-00000603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6" authorId="4" shapeId="0" xr:uid="{00000000-0006-0000-0600-000007030000}">
      <text>
        <r>
          <rPr>
            <b/>
            <sz val="9"/>
            <color indexed="81"/>
            <rFont val="Tahoma"/>
            <family val="2"/>
          </rPr>
          <t>Quynh:</t>
        </r>
        <r>
          <rPr>
            <sz val="9"/>
            <color indexed="81"/>
            <rFont val="Tahoma"/>
            <family val="2"/>
          </rPr>
          <t xml:space="preserve">
- Tuyển dụng từ 01/4/2019
- HS 2,34 từ 01/04/2020
- HS 2,67 từ 01/4/2022</t>
        </r>
      </text>
    </comment>
    <comment ref="J216" authorId="4" shapeId="0" xr:uid="{00000000-0006-0000-0600-000008030000}">
      <text>
        <r>
          <rPr>
            <b/>
            <sz val="9"/>
            <color indexed="81"/>
            <rFont val="Tahoma"/>
            <family val="2"/>
          </rPr>
          <t>Quynh:</t>
        </r>
        <r>
          <rPr>
            <sz val="9"/>
            <color indexed="81"/>
            <rFont val="Tahoma"/>
            <family val="2"/>
          </rPr>
          <t xml:space="preserve">
- Tuyển dụng từ 01/4/2019
- HS 2,34 từ 01/04/2020
- HS 2,67 từ 01/4/2022</t>
        </r>
      </text>
    </comment>
    <comment ref="N216" authorId="4" shapeId="0" xr:uid="{00000000-0006-0000-0600-000009030000}">
      <text>
        <r>
          <rPr>
            <b/>
            <sz val="9"/>
            <color indexed="81"/>
            <rFont val="Tahoma"/>
            <family val="2"/>
          </rPr>
          <t>Quynh:</t>
        </r>
        <r>
          <rPr>
            <sz val="9"/>
            <color indexed="81"/>
            <rFont val="Tahoma"/>
            <family val="2"/>
          </rPr>
          <t xml:space="preserve">
- Tuyển dụng từ 01/4/2019
- HS 2,34 từ 01/04/2020
- HS 2,67 từ 01/4/2022</t>
        </r>
      </text>
    </comment>
    <comment ref="F217" authorId="2" shapeId="0" xr:uid="{00000000-0006-0000-0600-00000A03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J217" authorId="2" shapeId="0" xr:uid="{00000000-0006-0000-0600-00000B03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N217" authorId="2" shapeId="0" xr:uid="{00000000-0006-0000-0600-00000C03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8" authorId="2" shapeId="0" xr:uid="{00000000-0006-0000-0600-00000D03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J218" authorId="2" shapeId="0" xr:uid="{00000000-0006-0000-0600-00000E03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N218" authorId="2" shapeId="0" xr:uid="{00000000-0006-0000-0600-00000F03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9" authorId="3" shapeId="0" xr:uid="{00000000-0006-0000-0600-000010030000}">
      <text>
        <r>
          <rPr>
            <b/>
            <sz val="9"/>
            <color indexed="81"/>
            <rFont val="Tahoma"/>
            <family val="2"/>
          </rPr>
          <t>Windows User:</t>
        </r>
        <r>
          <rPr>
            <sz val="9"/>
            <color indexed="81"/>
            <rFont val="Tahoma"/>
            <family val="2"/>
          </rPr>
          <t xml:space="preserve">
- Tuyển dụng từ T10/2022
- HS 2,67 từ 01/10/2022</t>
        </r>
      </text>
    </comment>
    <comment ref="J219" authorId="3" shapeId="0" xr:uid="{00000000-0006-0000-0600-000011030000}">
      <text>
        <r>
          <rPr>
            <b/>
            <sz val="9"/>
            <color indexed="81"/>
            <rFont val="Tahoma"/>
            <family val="2"/>
          </rPr>
          <t>Windows User:</t>
        </r>
        <r>
          <rPr>
            <sz val="9"/>
            <color indexed="81"/>
            <rFont val="Tahoma"/>
            <family val="2"/>
          </rPr>
          <t xml:space="preserve">
- Tuyển dụng từ T10/2022
- HS 2,67 từ 01/10/2022</t>
        </r>
      </text>
    </comment>
    <comment ref="N219" authorId="3" shapeId="0" xr:uid="{00000000-0006-0000-0600-000012030000}">
      <text>
        <r>
          <rPr>
            <b/>
            <sz val="9"/>
            <color indexed="81"/>
            <rFont val="Tahoma"/>
            <family val="2"/>
          </rPr>
          <t>Windows User:</t>
        </r>
        <r>
          <rPr>
            <sz val="9"/>
            <color indexed="81"/>
            <rFont val="Tahoma"/>
            <family val="2"/>
          </rPr>
          <t xml:space="preserve">
- Tuyển dụng từ T10/2022
- HS 2,67 từ 01/10/2022</t>
        </r>
      </text>
    </comment>
    <comment ref="F220" authorId="1" shapeId="0" xr:uid="{00000000-0006-0000-0600-000013030000}">
      <text>
        <r>
          <rPr>
            <b/>
            <sz val="9"/>
            <color indexed="81"/>
            <rFont val="Tahoma"/>
            <family val="2"/>
          </rPr>
          <t>Admin:</t>
        </r>
        <r>
          <rPr>
            <sz val="9"/>
            <color indexed="81"/>
            <rFont val="Tahoma"/>
            <family val="2"/>
          </rPr>
          <t xml:space="preserve">
- HS 4.65 từ 01/01/2016
- HS 4,98 từ 01/01/2019</t>
        </r>
      </text>
    </comment>
    <comment ref="G220" authorId="2" shapeId="0" xr:uid="{00000000-0006-0000-0600-000014030000}">
      <text>
        <r>
          <rPr>
            <b/>
            <sz val="9"/>
            <color indexed="81"/>
            <rFont val="Tahoma"/>
            <family val="2"/>
          </rPr>
          <t>user:</t>
        </r>
        <r>
          <rPr>
            <sz val="9"/>
            <color indexed="81"/>
            <rFont val="Tahoma"/>
            <family val="2"/>
          </rPr>
          <t xml:space="preserve">
- VK 5% từ 01/01/2022
- VK 6% từ 01/01/2023
- VK 7% từ 01/01/2023</t>
        </r>
      </text>
    </comment>
    <comment ref="I220" authorId="4" shapeId="0" xr:uid="{00000000-0006-0000-0600-000015030000}">
      <text>
        <r>
          <rPr>
            <b/>
            <sz val="9"/>
            <color indexed="81"/>
            <rFont val="Tahoma"/>
            <family val="2"/>
          </rPr>
          <t>Quynh:</t>
        </r>
        <r>
          <rPr>
            <sz val="9"/>
            <color indexed="81"/>
            <rFont val="Tahoma"/>
            <family val="2"/>
          </rPr>
          <t xml:space="preserve">
- BN Phó Trưởng phòng từ 01/01/2019</t>
        </r>
      </text>
    </comment>
    <comment ref="J220" authorId="1" shapeId="0" xr:uid="{00000000-0006-0000-0600-000016030000}">
      <text>
        <r>
          <rPr>
            <b/>
            <sz val="9"/>
            <color indexed="81"/>
            <rFont val="Tahoma"/>
            <family val="2"/>
          </rPr>
          <t>Admin:</t>
        </r>
        <r>
          <rPr>
            <sz val="9"/>
            <color indexed="81"/>
            <rFont val="Tahoma"/>
            <family val="2"/>
          </rPr>
          <t xml:space="preserve">
- HS 4.65 từ 01/01/2016
- HS 4,98 từ 01/01/2019</t>
        </r>
      </text>
    </comment>
    <comment ref="K220" authorId="2" shapeId="0" xr:uid="{00000000-0006-0000-0600-000017030000}">
      <text>
        <r>
          <rPr>
            <b/>
            <sz val="9"/>
            <color indexed="81"/>
            <rFont val="Tahoma"/>
            <family val="2"/>
          </rPr>
          <t>user:</t>
        </r>
        <r>
          <rPr>
            <sz val="9"/>
            <color indexed="81"/>
            <rFont val="Tahoma"/>
            <family val="2"/>
          </rPr>
          <t xml:space="preserve">
- VK 5% từ 01/01/2022
- VK 6% từ 01/01/2023
- VK 7% từ 01/01/2023</t>
        </r>
      </text>
    </comment>
    <comment ref="M220" authorId="4" shapeId="0" xr:uid="{00000000-0006-0000-0600-000018030000}">
      <text>
        <r>
          <rPr>
            <b/>
            <sz val="9"/>
            <color indexed="81"/>
            <rFont val="Tahoma"/>
            <family val="2"/>
          </rPr>
          <t>Quynh:</t>
        </r>
        <r>
          <rPr>
            <sz val="9"/>
            <color indexed="81"/>
            <rFont val="Tahoma"/>
            <family val="2"/>
          </rPr>
          <t xml:space="preserve">
- BN Phó Trưởng phòng từ 01/01/2019</t>
        </r>
      </text>
    </comment>
    <comment ref="N220" authorId="1" shapeId="0" xr:uid="{00000000-0006-0000-0600-000019030000}">
      <text>
        <r>
          <rPr>
            <b/>
            <sz val="9"/>
            <color indexed="81"/>
            <rFont val="Tahoma"/>
            <family val="2"/>
          </rPr>
          <t>Admin:</t>
        </r>
        <r>
          <rPr>
            <sz val="9"/>
            <color indexed="81"/>
            <rFont val="Tahoma"/>
            <family val="2"/>
          </rPr>
          <t xml:space="preserve">
- HS 4.65 từ 01/01/2016
- HS 4,98 từ 01/01/2019</t>
        </r>
      </text>
    </comment>
    <comment ref="O220" authorId="2" shapeId="0" xr:uid="{00000000-0006-0000-0600-00001A030000}">
      <text>
        <r>
          <rPr>
            <b/>
            <sz val="9"/>
            <color indexed="81"/>
            <rFont val="Tahoma"/>
            <family val="2"/>
          </rPr>
          <t>user:</t>
        </r>
        <r>
          <rPr>
            <sz val="9"/>
            <color indexed="81"/>
            <rFont val="Tahoma"/>
            <family val="2"/>
          </rPr>
          <t xml:space="preserve">
- VK 5% từ 01/01/2022
- VK 6% từ 01/01/2023
- VK 7% từ 01/01/2023</t>
        </r>
      </text>
    </comment>
    <comment ref="Q220" authorId="4" shapeId="0" xr:uid="{00000000-0006-0000-0600-00001B030000}">
      <text>
        <r>
          <rPr>
            <b/>
            <sz val="9"/>
            <color indexed="81"/>
            <rFont val="Tahoma"/>
            <family val="2"/>
          </rPr>
          <t>Quynh:</t>
        </r>
        <r>
          <rPr>
            <sz val="9"/>
            <color indexed="81"/>
            <rFont val="Tahoma"/>
            <family val="2"/>
          </rPr>
          <t xml:space="preserve">
- BN Phó Trưởng phòng từ 01/01/2019</t>
        </r>
      </text>
    </comment>
    <comment ref="F221" authorId="0" shapeId="0" xr:uid="{00000000-0006-0000-0600-00001C030000}">
      <text>
        <r>
          <rPr>
            <b/>
            <sz val="9"/>
            <color indexed="81"/>
            <rFont val="Tahoma"/>
            <family val="2"/>
          </rPr>
          <t>User:</t>
        </r>
        <r>
          <rPr>
            <sz val="9"/>
            <color indexed="81"/>
            <rFont val="Tahoma"/>
            <family val="2"/>
          </rPr>
          <t xml:space="preserve">
- HS 3,66 từ 01/9/2014
- HS 3,99 từ 01/9/2017
- HS 4,32 từ 01/9/2019
- HS 4,65 từ 01/9/2022</t>
        </r>
      </text>
    </comment>
    <comment ref="I221" authorId="6" shapeId="0" xr:uid="{00000000-0006-0000-0600-00001D03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J221" authorId="0" shapeId="0" xr:uid="{00000000-0006-0000-0600-00001E030000}">
      <text>
        <r>
          <rPr>
            <b/>
            <sz val="9"/>
            <color indexed="81"/>
            <rFont val="Tahoma"/>
            <family val="2"/>
          </rPr>
          <t>User:</t>
        </r>
        <r>
          <rPr>
            <sz val="9"/>
            <color indexed="81"/>
            <rFont val="Tahoma"/>
            <family val="2"/>
          </rPr>
          <t xml:space="preserve">
- HS 3,66 từ 01/9/2014
- HS 3,99 từ 01/9/2017
- HS 4,32 từ 01/9/2019
- HS 4,65 từ 01/9/2022</t>
        </r>
      </text>
    </comment>
    <comment ref="M221" authorId="6" shapeId="0" xr:uid="{00000000-0006-0000-0600-00001F03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N221" authorId="0" shapeId="0" xr:uid="{00000000-0006-0000-0600-000020030000}">
      <text>
        <r>
          <rPr>
            <b/>
            <sz val="9"/>
            <color indexed="81"/>
            <rFont val="Tahoma"/>
            <family val="2"/>
          </rPr>
          <t>User:</t>
        </r>
        <r>
          <rPr>
            <sz val="9"/>
            <color indexed="81"/>
            <rFont val="Tahoma"/>
            <family val="2"/>
          </rPr>
          <t xml:space="preserve">
- HS 3,66 từ 01/9/2014
- HS 3,99 từ 01/9/2017
- HS 4,32 từ 01/9/2019
- HS 4,65 từ 01/9/2022</t>
        </r>
      </text>
    </comment>
    <comment ref="Q221" authorId="6" shapeId="0" xr:uid="{00000000-0006-0000-0600-00002103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2" authorId="0" shapeId="0" xr:uid="{00000000-0006-0000-0600-00002203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2" authorId="5" shapeId="0" xr:uid="{00000000-0006-0000-0600-000023030000}">
      <text>
        <r>
          <rPr>
            <b/>
            <sz val="8"/>
            <color indexed="81"/>
            <rFont val="Tahoma"/>
            <family val="2"/>
          </rPr>
          <t>HS 0,35 từ 05/7/2015</t>
        </r>
        <r>
          <rPr>
            <sz val="8"/>
            <color indexed="81"/>
            <rFont val="Tahoma"/>
            <family val="2"/>
          </rPr>
          <t xml:space="preserve">
</t>
        </r>
      </text>
    </comment>
    <comment ref="K222" authorId="0" shapeId="0" xr:uid="{00000000-0006-0000-0600-00002403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M222" authorId="5" shapeId="0" xr:uid="{00000000-0006-0000-0600-000025030000}">
      <text>
        <r>
          <rPr>
            <b/>
            <sz val="8"/>
            <color indexed="81"/>
            <rFont val="Tahoma"/>
            <family val="2"/>
          </rPr>
          <t>HS 0,35 từ 05/7/2015</t>
        </r>
        <r>
          <rPr>
            <sz val="8"/>
            <color indexed="81"/>
            <rFont val="Tahoma"/>
            <family val="2"/>
          </rPr>
          <t xml:space="preserve">
</t>
        </r>
      </text>
    </comment>
    <comment ref="O222" authorId="0" shapeId="0" xr:uid="{00000000-0006-0000-0600-00002603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Q222" authorId="5" shapeId="0" xr:uid="{00000000-0006-0000-0600-000027030000}">
      <text>
        <r>
          <rPr>
            <b/>
            <sz val="8"/>
            <color indexed="81"/>
            <rFont val="Tahoma"/>
            <family val="2"/>
          </rPr>
          <t>HS 0,35 từ 05/7/2015</t>
        </r>
        <r>
          <rPr>
            <sz val="8"/>
            <color indexed="81"/>
            <rFont val="Tahoma"/>
            <family val="2"/>
          </rPr>
          <t xml:space="preserve">
</t>
        </r>
      </text>
    </comment>
    <comment ref="F223" authorId="1" shapeId="0" xr:uid="{00000000-0006-0000-0600-000028030000}">
      <text>
        <r>
          <rPr>
            <b/>
            <sz val="9"/>
            <color indexed="81"/>
            <rFont val="Tahoma"/>
            <family val="2"/>
          </rPr>
          <t>Admin:</t>
        </r>
        <r>
          <rPr>
            <sz val="9"/>
            <color indexed="81"/>
            <rFont val="Tahoma"/>
            <family val="2"/>
          </rPr>
          <t xml:space="preserve">
- 4,65 từ 01/9/2016
- 4,98 từ 01/9/2019</t>
        </r>
      </text>
    </comment>
    <comment ref="G223" authorId="7" shapeId="0" xr:uid="{00000000-0006-0000-0600-000029030000}">
      <text>
        <r>
          <rPr>
            <b/>
            <sz val="9"/>
            <color indexed="81"/>
            <rFont val="Tahoma"/>
            <family val="2"/>
          </rPr>
          <t>huynh-panda:</t>
        </r>
        <r>
          <rPr>
            <sz val="9"/>
            <color indexed="81"/>
            <rFont val="Tahoma"/>
            <family val="2"/>
          </rPr>
          <t xml:space="preserve">
- VK 5% từ 01/9/2022
- VK 6% từ 01/9/2023</t>
        </r>
      </text>
    </comment>
    <comment ref="J223" authorId="1" shapeId="0" xr:uid="{00000000-0006-0000-0600-00002A030000}">
      <text>
        <r>
          <rPr>
            <b/>
            <sz val="9"/>
            <color indexed="81"/>
            <rFont val="Tahoma"/>
            <family val="2"/>
          </rPr>
          <t>Admin:</t>
        </r>
        <r>
          <rPr>
            <sz val="9"/>
            <color indexed="81"/>
            <rFont val="Tahoma"/>
            <family val="2"/>
          </rPr>
          <t xml:space="preserve">
- 4,65 từ 01/9/2016
- 4,98 từ 01/9/2019</t>
        </r>
      </text>
    </comment>
    <comment ref="K223" authorId="7" shapeId="0" xr:uid="{00000000-0006-0000-0600-00002B030000}">
      <text>
        <r>
          <rPr>
            <b/>
            <sz val="9"/>
            <color indexed="81"/>
            <rFont val="Tahoma"/>
            <family val="2"/>
          </rPr>
          <t>huynh-panda:</t>
        </r>
        <r>
          <rPr>
            <sz val="9"/>
            <color indexed="81"/>
            <rFont val="Tahoma"/>
            <family val="2"/>
          </rPr>
          <t xml:space="preserve">
- VK 5% từ 01/9/2022
- VK 6% từ 01/9/2023</t>
        </r>
      </text>
    </comment>
    <comment ref="N223" authorId="1" shapeId="0" xr:uid="{00000000-0006-0000-0600-00002C030000}">
      <text>
        <r>
          <rPr>
            <b/>
            <sz val="9"/>
            <color indexed="81"/>
            <rFont val="Tahoma"/>
            <family val="2"/>
          </rPr>
          <t>Admin:</t>
        </r>
        <r>
          <rPr>
            <sz val="9"/>
            <color indexed="81"/>
            <rFont val="Tahoma"/>
            <family val="2"/>
          </rPr>
          <t xml:space="preserve">
- 4,65 từ 01/9/2016
- 4,98 từ 01/9/2019</t>
        </r>
      </text>
    </comment>
    <comment ref="O223" authorId="7" shapeId="0" xr:uid="{00000000-0006-0000-0600-00002D030000}">
      <text>
        <r>
          <rPr>
            <b/>
            <sz val="9"/>
            <color indexed="81"/>
            <rFont val="Tahoma"/>
            <family val="2"/>
          </rPr>
          <t>huynh-panda:</t>
        </r>
        <r>
          <rPr>
            <sz val="9"/>
            <color indexed="81"/>
            <rFont val="Tahoma"/>
            <family val="2"/>
          </rPr>
          <t xml:space="preserve">
- VK 5% từ 01/9/2022
- VK 6% từ 01/9/2023
- VK 7% từ 01/9/2024</t>
        </r>
      </text>
    </comment>
    <comment ref="F224" authorId="1" shapeId="0" xr:uid="{00000000-0006-0000-0600-00002E030000}">
      <text>
        <r>
          <rPr>
            <b/>
            <sz val="9"/>
            <color indexed="81"/>
            <rFont val="Tahoma"/>
            <family val="2"/>
          </rPr>
          <t>Admin:</t>
        </r>
        <r>
          <rPr>
            <sz val="9"/>
            <color indexed="81"/>
            <rFont val="Tahoma"/>
            <family val="2"/>
          </rPr>
          <t xml:space="preserve">
- HS 4,65 từ 01/10/2016 (NL Trước hạn 2017)
- HS 4,98 từ 01/10/2019</t>
        </r>
      </text>
    </comment>
    <comment ref="G224" authorId="3" shapeId="0" xr:uid="{00000000-0006-0000-0600-00002F030000}">
      <text>
        <r>
          <rPr>
            <b/>
            <sz val="9"/>
            <color indexed="81"/>
            <rFont val="Tahoma"/>
            <family val="2"/>
          </rPr>
          <t>Windows User:</t>
        </r>
        <r>
          <rPr>
            <sz val="9"/>
            <color indexed="81"/>
            <rFont val="Tahoma"/>
            <family val="2"/>
          </rPr>
          <t xml:space="preserve">
- VK 5% từ 01/10/2022
- VK 6% từ 01/10/2023</t>
        </r>
      </text>
    </comment>
    <comment ref="J224" authorId="1" shapeId="0" xr:uid="{00000000-0006-0000-0600-000030030000}">
      <text>
        <r>
          <rPr>
            <b/>
            <sz val="9"/>
            <color indexed="81"/>
            <rFont val="Tahoma"/>
            <family val="2"/>
          </rPr>
          <t>Admin:</t>
        </r>
        <r>
          <rPr>
            <sz val="9"/>
            <color indexed="81"/>
            <rFont val="Tahoma"/>
            <family val="2"/>
          </rPr>
          <t xml:space="preserve">
- HS 4,65 từ 01/10/2016 (NL Trước hạn 2017)
- HS 4,98 từ 01/10/2019</t>
        </r>
      </text>
    </comment>
    <comment ref="K224" authorId="3" shapeId="0" xr:uid="{00000000-0006-0000-0600-000031030000}">
      <text>
        <r>
          <rPr>
            <b/>
            <sz val="9"/>
            <color indexed="81"/>
            <rFont val="Tahoma"/>
            <family val="2"/>
          </rPr>
          <t>Windows User:</t>
        </r>
        <r>
          <rPr>
            <sz val="9"/>
            <color indexed="81"/>
            <rFont val="Tahoma"/>
            <family val="2"/>
          </rPr>
          <t xml:space="preserve">
- VK 5% từ 01/10/2022
- VK 6% từ 01/10/2023</t>
        </r>
      </text>
    </comment>
    <comment ref="N224" authorId="1" shapeId="0" xr:uid="{00000000-0006-0000-0600-000032030000}">
      <text>
        <r>
          <rPr>
            <b/>
            <sz val="9"/>
            <color indexed="81"/>
            <rFont val="Tahoma"/>
            <family val="2"/>
          </rPr>
          <t>Admin:</t>
        </r>
        <r>
          <rPr>
            <sz val="9"/>
            <color indexed="81"/>
            <rFont val="Tahoma"/>
            <family val="2"/>
          </rPr>
          <t xml:space="preserve">
- HS 4,65 từ 01/10/2016 (NL Trước hạn 2017)
- HS 4,98 từ 01/10/2019</t>
        </r>
      </text>
    </comment>
    <comment ref="O224" authorId="3" shapeId="0" xr:uid="{00000000-0006-0000-0600-000033030000}">
      <text>
        <r>
          <rPr>
            <b/>
            <sz val="9"/>
            <color indexed="81"/>
            <rFont val="Tahoma"/>
            <family val="2"/>
          </rPr>
          <t>Windows User:</t>
        </r>
        <r>
          <rPr>
            <sz val="9"/>
            <color indexed="81"/>
            <rFont val="Tahoma"/>
            <family val="2"/>
          </rPr>
          <t xml:space="preserve">
- VK 5% từ 01/10/2022
- VK 6% từ 01/10/2023</t>
        </r>
      </text>
    </comment>
    <comment ref="F225" authorId="1" shapeId="0" xr:uid="{00000000-0006-0000-0600-000034030000}">
      <text>
        <r>
          <rPr>
            <b/>
            <sz val="9"/>
            <color indexed="81"/>
            <rFont val="Tahoma"/>
            <family val="2"/>
          </rPr>
          <t>Admin:</t>
        </r>
        <r>
          <rPr>
            <sz val="9"/>
            <color indexed="81"/>
            <rFont val="Tahoma"/>
            <family val="2"/>
          </rPr>
          <t xml:space="preserve">
- HS 3,99 từ 01/9/2015
- HS 4,32 từ 01/9/2018
- HS 4,65 từ 01/9/2021
</t>
        </r>
      </text>
    </comment>
    <comment ref="I225" authorId="0" shapeId="0" xr:uid="{00000000-0006-0000-0600-000035030000}">
      <text>
        <r>
          <rPr>
            <b/>
            <sz val="9"/>
            <color indexed="81"/>
            <rFont val="Tahoma"/>
            <family val="2"/>
          </rPr>
          <t>User:</t>
        </r>
        <r>
          <rPr>
            <sz val="9"/>
            <color indexed="81"/>
            <rFont val="Tahoma"/>
            <family val="2"/>
          </rPr>
          <t xml:space="preserve">
Mieễn nhiệm Trưởng BM từ 01/9/2015. Bảo lưu HHS hết T02/2016</t>
        </r>
      </text>
    </comment>
    <comment ref="J225" authorId="1" shapeId="0" xr:uid="{00000000-0006-0000-0600-000036030000}">
      <text>
        <r>
          <rPr>
            <b/>
            <sz val="9"/>
            <color indexed="81"/>
            <rFont val="Tahoma"/>
            <family val="2"/>
          </rPr>
          <t>Admin:</t>
        </r>
        <r>
          <rPr>
            <sz val="9"/>
            <color indexed="81"/>
            <rFont val="Tahoma"/>
            <family val="2"/>
          </rPr>
          <t xml:space="preserve">
- HS 3,99 từ 01/9/2015
- HS 4,32 từ 01/9/2018
- HS 4,65 từ 01/9/2021
</t>
        </r>
      </text>
    </comment>
    <comment ref="M225" authorId="0" shapeId="0" xr:uid="{00000000-0006-0000-0600-000037030000}">
      <text>
        <r>
          <rPr>
            <b/>
            <sz val="9"/>
            <color indexed="81"/>
            <rFont val="Tahoma"/>
            <family val="2"/>
          </rPr>
          <t>User:</t>
        </r>
        <r>
          <rPr>
            <sz val="9"/>
            <color indexed="81"/>
            <rFont val="Tahoma"/>
            <family val="2"/>
          </rPr>
          <t xml:space="preserve">
Mieễn nhiệm Trưởng BM từ 01/9/2015. Bảo lưu HHS hết T02/2016</t>
        </r>
      </text>
    </comment>
    <comment ref="N225" authorId="1" shapeId="0" xr:uid="{00000000-0006-0000-0600-000038030000}">
      <text>
        <r>
          <rPr>
            <b/>
            <sz val="9"/>
            <color indexed="81"/>
            <rFont val="Tahoma"/>
            <family val="2"/>
          </rPr>
          <t>Admin:</t>
        </r>
        <r>
          <rPr>
            <sz val="9"/>
            <color indexed="81"/>
            <rFont val="Tahoma"/>
            <family val="2"/>
          </rPr>
          <t xml:space="preserve">
- HS 3,99 từ 01/9/2015
- HS 4,32 từ 01/9/2018
- HS 4,65 từ 01/9/2021
- HS 4,98 từ 01/9/2024</t>
        </r>
      </text>
    </comment>
    <comment ref="Q225" authorId="0" shapeId="0" xr:uid="{00000000-0006-0000-0600-000039030000}">
      <text>
        <r>
          <rPr>
            <b/>
            <sz val="9"/>
            <color indexed="81"/>
            <rFont val="Tahoma"/>
            <family val="2"/>
          </rPr>
          <t>User:</t>
        </r>
        <r>
          <rPr>
            <sz val="9"/>
            <color indexed="81"/>
            <rFont val="Tahoma"/>
            <family val="2"/>
          </rPr>
          <t xml:space="preserve">
Mieễn nhiệm Trưởng BM từ 01/9/2015. Bảo lưu HHS hết T02/2016</t>
        </r>
      </text>
    </comment>
    <comment ref="F226" authorId="1" shapeId="0" xr:uid="{00000000-0006-0000-0600-00003A030000}">
      <text>
        <r>
          <rPr>
            <b/>
            <sz val="9"/>
            <color indexed="81"/>
            <rFont val="Tahoma"/>
            <family val="2"/>
          </rPr>
          <t>Admin:</t>
        </r>
        <r>
          <rPr>
            <sz val="9"/>
            <color indexed="81"/>
            <rFont val="Tahoma"/>
            <family val="2"/>
          </rPr>
          <t xml:space="preserve">
- HS 3,66 từ 01/9/2016
- HS 3,99 từ 01/9/2019
- HS 4,32 từ 01/9/2022</t>
        </r>
      </text>
    </comment>
    <comment ref="J226" authorId="1" shapeId="0" xr:uid="{00000000-0006-0000-0600-00003B030000}">
      <text>
        <r>
          <rPr>
            <b/>
            <sz val="9"/>
            <color indexed="81"/>
            <rFont val="Tahoma"/>
            <family val="2"/>
          </rPr>
          <t>Admin:</t>
        </r>
        <r>
          <rPr>
            <sz val="9"/>
            <color indexed="81"/>
            <rFont val="Tahoma"/>
            <family val="2"/>
          </rPr>
          <t xml:space="preserve">
- HS 3,66 từ 01/9/2016
- HS 3,99 từ 01/9/2019
- HS 4,32 từ 01/9/2022</t>
        </r>
      </text>
    </comment>
    <comment ref="N226" authorId="1" shapeId="0" xr:uid="{00000000-0006-0000-0600-00003C030000}">
      <text>
        <r>
          <rPr>
            <b/>
            <sz val="9"/>
            <color indexed="81"/>
            <rFont val="Tahoma"/>
            <family val="2"/>
          </rPr>
          <t>Admin:</t>
        </r>
        <r>
          <rPr>
            <sz val="9"/>
            <color indexed="81"/>
            <rFont val="Tahoma"/>
            <family val="2"/>
          </rPr>
          <t xml:space="preserve">
- HS 3,66 từ 01/9/2016
- HS 3,99 từ 01/9/2019
- HS 4,32 từ 01/9/2022</t>
        </r>
      </text>
    </comment>
    <comment ref="F227" authorId="0" shapeId="0" xr:uid="{00000000-0006-0000-0600-00003D030000}">
      <text>
        <r>
          <rPr>
            <b/>
            <sz val="9"/>
            <color indexed="81"/>
            <rFont val="Tahoma"/>
            <family val="2"/>
          </rPr>
          <t>User:</t>
        </r>
        <r>
          <rPr>
            <sz val="9"/>
            <color indexed="81"/>
            <rFont val="Tahoma"/>
            <family val="2"/>
          </rPr>
          <t xml:space="preserve">
- HS 3,66 từ 01/9/2015
- HS 3,99 từ 01/9/2018
- HS 4,32 từ 01/9/2021</t>
        </r>
      </text>
    </comment>
    <comment ref="J227" authorId="0" shapeId="0" xr:uid="{00000000-0006-0000-0600-00003E030000}">
      <text>
        <r>
          <rPr>
            <b/>
            <sz val="9"/>
            <color indexed="81"/>
            <rFont val="Tahoma"/>
            <family val="2"/>
          </rPr>
          <t>User:</t>
        </r>
        <r>
          <rPr>
            <sz val="9"/>
            <color indexed="81"/>
            <rFont val="Tahoma"/>
            <family val="2"/>
          </rPr>
          <t xml:space="preserve">
- HS 3,66 từ 01/9/2015
- HS 3,99 từ 01/9/2018
- HS 4,32 từ 01/9/2021</t>
        </r>
      </text>
    </comment>
    <comment ref="N227" authorId="0" shapeId="0" xr:uid="{00000000-0006-0000-0600-00003F030000}">
      <text>
        <r>
          <rPr>
            <b/>
            <sz val="9"/>
            <color indexed="81"/>
            <rFont val="Tahoma"/>
            <family val="2"/>
          </rPr>
          <t>User:</t>
        </r>
        <r>
          <rPr>
            <sz val="9"/>
            <color indexed="81"/>
            <rFont val="Tahoma"/>
            <family val="2"/>
          </rPr>
          <t xml:space="preserve">
- HS 3,66 từ 01/9/2015
- HS 3,99 từ 01/9/2018
- HS 4,32 từ 01/9/2021
- HS 4,65 từ 01/9/2024</t>
        </r>
      </text>
    </comment>
    <comment ref="F228" authorId="1" shapeId="0" xr:uid="{00000000-0006-0000-0600-000040030000}">
      <text>
        <r>
          <rPr>
            <b/>
            <sz val="9"/>
            <color indexed="81"/>
            <rFont val="Tahoma"/>
            <family val="2"/>
          </rPr>
          <t>Admin:</t>
        </r>
        <r>
          <rPr>
            <sz val="9"/>
            <color indexed="81"/>
            <rFont val="Tahoma"/>
            <family val="2"/>
          </rPr>
          <t xml:space="preserve">
- HS 2,67 từ 01/9/2016
- HS 3,00 từ 01/9/2019
- HS 3,33 từ 01/9/2021 (NL trước hạn)</t>
        </r>
      </text>
    </comment>
    <comment ref="I228" authorId="2" shapeId="0" xr:uid="{00000000-0006-0000-0600-000041030000}">
      <text>
        <r>
          <rPr>
            <b/>
            <sz val="9"/>
            <color indexed="81"/>
            <rFont val="Tahoma"/>
            <family val="2"/>
          </rPr>
          <t>user:</t>
        </r>
        <r>
          <rPr>
            <sz val="9"/>
            <color indexed="81"/>
            <rFont val="Tahoma"/>
            <family val="2"/>
          </rPr>
          <t xml:space="preserve">
Trưởng BM Cơ điện tử và tự động hóa từ 01/01/2019</t>
        </r>
      </text>
    </comment>
    <comment ref="J228" authorId="1" shapeId="0" xr:uid="{00000000-0006-0000-0600-000042030000}">
      <text>
        <r>
          <rPr>
            <b/>
            <sz val="9"/>
            <color indexed="81"/>
            <rFont val="Tahoma"/>
            <family val="2"/>
          </rPr>
          <t>Admin:</t>
        </r>
        <r>
          <rPr>
            <sz val="9"/>
            <color indexed="81"/>
            <rFont val="Tahoma"/>
            <family val="2"/>
          </rPr>
          <t xml:space="preserve">
- HS 2,67 từ 01/9/2016
- HS 3,00 từ 01/9/2019
- HS 3,33 từ 01/9/2021 (NL trước hạn)</t>
        </r>
      </text>
    </comment>
    <comment ref="M228" authorId="2" shapeId="0" xr:uid="{00000000-0006-0000-0600-000043030000}">
      <text>
        <r>
          <rPr>
            <b/>
            <sz val="9"/>
            <color indexed="81"/>
            <rFont val="Tahoma"/>
            <family val="2"/>
          </rPr>
          <t>user:</t>
        </r>
        <r>
          <rPr>
            <sz val="9"/>
            <color indexed="81"/>
            <rFont val="Tahoma"/>
            <family val="2"/>
          </rPr>
          <t xml:space="preserve">
Trưởng BM Cơ điện tử và tự động hóa từ 01/01/2019</t>
        </r>
      </text>
    </comment>
    <comment ref="N228" authorId="1" shapeId="0" xr:uid="{00000000-0006-0000-0600-00004403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28" authorId="2" shapeId="0" xr:uid="{00000000-0006-0000-0600-000045030000}">
      <text>
        <r>
          <rPr>
            <b/>
            <sz val="9"/>
            <color indexed="81"/>
            <rFont val="Tahoma"/>
            <family val="2"/>
          </rPr>
          <t>user:</t>
        </r>
        <r>
          <rPr>
            <sz val="9"/>
            <color indexed="81"/>
            <rFont val="Tahoma"/>
            <family val="2"/>
          </rPr>
          <t xml:space="preserve">
Trưởng BM Cơ điện tử và tự động hóa từ 01/01/2019</t>
        </r>
      </text>
    </comment>
    <comment ref="F229" authorId="1" shapeId="0" xr:uid="{00000000-0006-0000-0600-000046030000}">
      <text>
        <r>
          <rPr>
            <b/>
            <sz val="9"/>
            <color indexed="81"/>
            <rFont val="Tahoma"/>
            <family val="2"/>
          </rPr>
          <t>Admin:</t>
        </r>
        <r>
          <rPr>
            <sz val="9"/>
            <color indexed="81"/>
            <rFont val="Tahoma"/>
            <family val="2"/>
          </rPr>
          <t xml:space="preserve">
- HS 3,66 từ 01/9/2016
- HS 3,99 từ 01/9/2019
- HS 4,32 từ 01/9/2022</t>
        </r>
      </text>
    </comment>
    <comment ref="J229" authorId="1" shapeId="0" xr:uid="{00000000-0006-0000-0600-000047030000}">
      <text>
        <r>
          <rPr>
            <b/>
            <sz val="9"/>
            <color indexed="81"/>
            <rFont val="Tahoma"/>
            <family val="2"/>
          </rPr>
          <t>Admin:</t>
        </r>
        <r>
          <rPr>
            <sz val="9"/>
            <color indexed="81"/>
            <rFont val="Tahoma"/>
            <family val="2"/>
          </rPr>
          <t xml:space="preserve">
- HS 3,66 từ 01/9/2016
- HS 3,99 từ 01/9/2019
- HS 4,32 từ 01/9/2022</t>
        </r>
      </text>
    </comment>
    <comment ref="N229" authorId="1" shapeId="0" xr:uid="{00000000-0006-0000-0600-000048030000}">
      <text>
        <r>
          <rPr>
            <b/>
            <sz val="9"/>
            <color indexed="81"/>
            <rFont val="Tahoma"/>
            <family val="2"/>
          </rPr>
          <t>Admin:</t>
        </r>
        <r>
          <rPr>
            <sz val="9"/>
            <color indexed="81"/>
            <rFont val="Tahoma"/>
            <family val="2"/>
          </rPr>
          <t xml:space="preserve">
- HS 3,66 từ 01/9/2016
- HS 3,99 từ 01/9/2019
- HS 4,32 từ 01/9/2022</t>
        </r>
      </text>
    </comment>
    <comment ref="F230" authorId="1" shapeId="0" xr:uid="{00000000-0006-0000-0600-000049030000}">
      <text>
        <r>
          <rPr>
            <b/>
            <sz val="9"/>
            <color indexed="81"/>
            <rFont val="Tahoma"/>
            <family val="2"/>
          </rPr>
          <t>Admin:</t>
        </r>
        <r>
          <rPr>
            <sz val="9"/>
            <color indexed="81"/>
            <rFont val="Tahoma"/>
            <family val="2"/>
          </rPr>
          <t xml:space="preserve">
- HS 3,99 từ 01/9/2016
- HS 4,32 từ 01/9/2019
- HS 4,65 từ 01/9/2022</t>
        </r>
      </text>
    </comment>
    <comment ref="I230" authorId="0" shapeId="0" xr:uid="{00000000-0006-0000-0600-00004A030000}">
      <text>
        <r>
          <rPr>
            <b/>
            <sz val="9"/>
            <color indexed="81"/>
            <rFont val="Tahoma"/>
            <family val="2"/>
          </rPr>
          <t>User:</t>
        </r>
        <r>
          <rPr>
            <sz val="9"/>
            <color indexed="81"/>
            <rFont val="Tahoma"/>
            <family val="2"/>
          </rPr>
          <t xml:space="preserve">
Miễn nhiệm Trưởng BM. Bảo lưu HS hết T02/2015</t>
        </r>
      </text>
    </comment>
    <comment ref="J230" authorId="1" shapeId="0" xr:uid="{00000000-0006-0000-0600-00004B030000}">
      <text>
        <r>
          <rPr>
            <b/>
            <sz val="9"/>
            <color indexed="81"/>
            <rFont val="Tahoma"/>
            <family val="2"/>
          </rPr>
          <t>Admin:</t>
        </r>
        <r>
          <rPr>
            <sz val="9"/>
            <color indexed="81"/>
            <rFont val="Tahoma"/>
            <family val="2"/>
          </rPr>
          <t xml:space="preserve">
- HS 3,99 từ 01/9/2016
- HS 4,32 từ 01/9/2019
- HS 4,65 từ 01/9/2022</t>
        </r>
      </text>
    </comment>
    <comment ref="M230" authorId="0" shapeId="0" xr:uid="{00000000-0006-0000-0600-00004C030000}">
      <text>
        <r>
          <rPr>
            <b/>
            <sz val="9"/>
            <color indexed="81"/>
            <rFont val="Tahoma"/>
            <family val="2"/>
          </rPr>
          <t>User:</t>
        </r>
        <r>
          <rPr>
            <sz val="9"/>
            <color indexed="81"/>
            <rFont val="Tahoma"/>
            <family val="2"/>
          </rPr>
          <t xml:space="preserve">
Miễn nhiệm Trưởng BM. Bảo lưu HS hết T02/2015</t>
        </r>
      </text>
    </comment>
    <comment ref="N230" authorId="1" shapeId="0" xr:uid="{00000000-0006-0000-0600-00004D030000}">
      <text>
        <r>
          <rPr>
            <b/>
            <sz val="9"/>
            <color indexed="81"/>
            <rFont val="Tahoma"/>
            <family val="2"/>
          </rPr>
          <t>Admin:</t>
        </r>
        <r>
          <rPr>
            <sz val="9"/>
            <color indexed="81"/>
            <rFont val="Tahoma"/>
            <family val="2"/>
          </rPr>
          <t xml:space="preserve">
- HS 3,99 từ 01/9/2016
- HS 4,32 từ 01/9/2019
- HS 4,65 từ 01/9/2022</t>
        </r>
      </text>
    </comment>
    <comment ref="Q230" authorId="0" shapeId="0" xr:uid="{00000000-0006-0000-0600-00004E030000}">
      <text>
        <r>
          <rPr>
            <b/>
            <sz val="9"/>
            <color indexed="81"/>
            <rFont val="Tahoma"/>
            <family val="2"/>
          </rPr>
          <t>User:</t>
        </r>
        <r>
          <rPr>
            <sz val="9"/>
            <color indexed="81"/>
            <rFont val="Tahoma"/>
            <family val="2"/>
          </rPr>
          <t xml:space="preserve">
Miễn nhiệm Trưởng BM. Bảo lưu HS hết T02/2015</t>
        </r>
      </text>
    </comment>
    <comment ref="F231" authorId="1" shapeId="0" xr:uid="{00000000-0006-0000-0600-00004F030000}">
      <text>
        <r>
          <rPr>
            <b/>
            <sz val="9"/>
            <color indexed="81"/>
            <rFont val="Tahoma"/>
            <family val="2"/>
          </rPr>
          <t>Admin:</t>
        </r>
        <r>
          <rPr>
            <sz val="9"/>
            <color indexed="81"/>
            <rFont val="Tahoma"/>
            <family val="2"/>
          </rPr>
          <t xml:space="preserve">
- HS 3,00 từ 01/9/2016
- HS 3,33 từ 01/9/2019
- HS 3,66 từ 01/9/2022</t>
        </r>
      </text>
    </comment>
    <comment ref="J231" authorId="1" shapeId="0" xr:uid="{00000000-0006-0000-0600-000050030000}">
      <text>
        <r>
          <rPr>
            <b/>
            <sz val="9"/>
            <color indexed="81"/>
            <rFont val="Tahoma"/>
            <family val="2"/>
          </rPr>
          <t>Admin:</t>
        </r>
        <r>
          <rPr>
            <sz val="9"/>
            <color indexed="81"/>
            <rFont val="Tahoma"/>
            <family val="2"/>
          </rPr>
          <t xml:space="preserve">
- HS 3,00 từ 01/9/2016
- HS 3,33 từ 01/9/2019
- HS 3,66 từ 01/9/2022</t>
        </r>
      </text>
    </comment>
    <comment ref="N231" authorId="1" shapeId="0" xr:uid="{00000000-0006-0000-0600-000051030000}">
      <text>
        <r>
          <rPr>
            <b/>
            <sz val="9"/>
            <color indexed="81"/>
            <rFont val="Tahoma"/>
            <family val="2"/>
          </rPr>
          <t>Admin:</t>
        </r>
        <r>
          <rPr>
            <sz val="9"/>
            <color indexed="81"/>
            <rFont val="Tahoma"/>
            <family val="2"/>
          </rPr>
          <t xml:space="preserve">
- HS 3,00 từ 01/9/2016
- HS 3,33 từ 01/9/2019
- HS 3,66 từ 01/9/2022</t>
        </r>
      </text>
    </comment>
    <comment ref="F232" authorId="0" shapeId="0" xr:uid="{00000000-0006-0000-0600-000052030000}">
      <text>
        <r>
          <rPr>
            <b/>
            <sz val="9"/>
            <color indexed="81"/>
            <rFont val="Tahoma"/>
            <family val="2"/>
          </rPr>
          <t>User:</t>
        </r>
        <r>
          <rPr>
            <sz val="9"/>
            <color indexed="81"/>
            <rFont val="Tahoma"/>
            <family val="2"/>
          </rPr>
          <t xml:space="preserve">
- HS 3,33 từ 01/9/2015
- HS 3,66 từ 01/9/2018
- HS 3,99 từ 01/9/2021</t>
        </r>
      </text>
    </comment>
    <comment ref="J232" authorId="0" shapeId="0" xr:uid="{00000000-0006-0000-0600-000053030000}">
      <text>
        <r>
          <rPr>
            <b/>
            <sz val="9"/>
            <color indexed="81"/>
            <rFont val="Tahoma"/>
            <family val="2"/>
          </rPr>
          <t>User:</t>
        </r>
        <r>
          <rPr>
            <sz val="9"/>
            <color indexed="81"/>
            <rFont val="Tahoma"/>
            <family val="2"/>
          </rPr>
          <t xml:space="preserve">
- HS 3,33 từ 01/9/2015
- HS 3,66 từ 01/9/2018
- HS 3,99 từ 01/9/2021</t>
        </r>
      </text>
    </comment>
    <comment ref="N232" authorId="0" shapeId="0" xr:uid="{00000000-0006-0000-0600-000054030000}">
      <text>
        <r>
          <rPr>
            <b/>
            <sz val="9"/>
            <color indexed="81"/>
            <rFont val="Tahoma"/>
            <family val="2"/>
          </rPr>
          <t>User:</t>
        </r>
        <r>
          <rPr>
            <sz val="9"/>
            <color indexed="81"/>
            <rFont val="Tahoma"/>
            <family val="2"/>
          </rPr>
          <t xml:space="preserve">
- HS 3,33 từ 01/9/2015
- HS 3,66 từ 01/9/2018
- HS 3,99 từ 01/9/2021
- HS 4,32 từ 01/9/2024</t>
        </r>
      </text>
    </comment>
    <comment ref="F233" authorId="1" shapeId="0" xr:uid="{00000000-0006-0000-0600-000055030000}">
      <text>
        <r>
          <rPr>
            <b/>
            <sz val="9"/>
            <color indexed="81"/>
            <rFont val="Tahoma"/>
            <family val="2"/>
          </rPr>
          <t>Admin:</t>
        </r>
        <r>
          <rPr>
            <sz val="9"/>
            <color indexed="81"/>
            <rFont val="Tahoma"/>
            <family val="2"/>
          </rPr>
          <t xml:space="preserve">
- HS 3,00 từ 01/9/2017
- HS 3,33 từ 01/9/2020
- HS 3,66 từ 01/9/2023</t>
        </r>
      </text>
    </comment>
    <comment ref="J233" authorId="1" shapeId="0" xr:uid="{00000000-0006-0000-0600-000056030000}">
      <text>
        <r>
          <rPr>
            <b/>
            <sz val="9"/>
            <color indexed="81"/>
            <rFont val="Tahoma"/>
            <family val="2"/>
          </rPr>
          <t>Admin:</t>
        </r>
        <r>
          <rPr>
            <sz val="9"/>
            <color indexed="81"/>
            <rFont val="Tahoma"/>
            <family val="2"/>
          </rPr>
          <t xml:space="preserve">
- HS 3,00 từ 01/9/2017
- HS 3,33 từ 01/9/2020
- HS 3,66 từ 01/9/2023</t>
        </r>
      </text>
    </comment>
    <comment ref="N233" authorId="1" shapeId="0" xr:uid="{00000000-0006-0000-0600-000057030000}">
      <text>
        <r>
          <rPr>
            <b/>
            <sz val="9"/>
            <color indexed="81"/>
            <rFont val="Tahoma"/>
            <family val="2"/>
          </rPr>
          <t>Admin:</t>
        </r>
        <r>
          <rPr>
            <sz val="9"/>
            <color indexed="81"/>
            <rFont val="Tahoma"/>
            <family val="2"/>
          </rPr>
          <t xml:space="preserve">
- HS 3,00 từ 01/9/2017
- HS 3,33 từ 01/9/2020
- HS 3,66 từ 01/9/2023</t>
        </r>
      </text>
    </comment>
    <comment ref="F234" authorId="1" shapeId="0" xr:uid="{00000000-0006-0000-0600-000058030000}">
      <text>
        <r>
          <rPr>
            <b/>
            <sz val="9"/>
            <color indexed="81"/>
            <rFont val="Tahoma"/>
            <family val="2"/>
          </rPr>
          <t>Admin:</t>
        </r>
        <r>
          <rPr>
            <sz val="9"/>
            <color indexed="81"/>
            <rFont val="Tahoma"/>
            <family val="2"/>
          </rPr>
          <t xml:space="preserve">
- HS 3,00 từ 01/9/2017
- HS 3,33 từ 01/9/2019
- HS 3,66 từ 01/9/2022</t>
        </r>
      </text>
    </comment>
    <comment ref="J234" authorId="1" shapeId="0" xr:uid="{00000000-0006-0000-0600-000059030000}">
      <text>
        <r>
          <rPr>
            <b/>
            <sz val="9"/>
            <color indexed="81"/>
            <rFont val="Tahoma"/>
            <family val="2"/>
          </rPr>
          <t>Admin:</t>
        </r>
        <r>
          <rPr>
            <sz val="9"/>
            <color indexed="81"/>
            <rFont val="Tahoma"/>
            <family val="2"/>
          </rPr>
          <t xml:space="preserve">
- HS 3,00 từ 01/9/2017
- HS 3,33 từ 01/9/2019
- HS 3,66 từ 01/9/2022</t>
        </r>
      </text>
    </comment>
    <comment ref="N234" authorId="1" shapeId="0" xr:uid="{00000000-0006-0000-0600-00005A030000}">
      <text>
        <r>
          <rPr>
            <b/>
            <sz val="9"/>
            <color indexed="81"/>
            <rFont val="Tahoma"/>
            <family val="2"/>
          </rPr>
          <t>Admin:</t>
        </r>
        <r>
          <rPr>
            <sz val="9"/>
            <color indexed="81"/>
            <rFont val="Tahoma"/>
            <family val="2"/>
          </rPr>
          <t xml:space="preserve">
- HS 3,00 từ 01/9/2017
- HS 3,33 từ 01/9/2019
- HS 3,66 từ 01/9/2022</t>
        </r>
      </text>
    </comment>
    <comment ref="F235" authorId="0" shapeId="0" xr:uid="{00000000-0006-0000-0600-00005B030000}">
      <text>
        <r>
          <rPr>
            <b/>
            <sz val="9"/>
            <color indexed="81"/>
            <rFont val="Tahoma"/>
            <family val="2"/>
          </rPr>
          <t>User:</t>
        </r>
        <r>
          <rPr>
            <sz val="9"/>
            <color indexed="81"/>
            <rFont val="Tahoma"/>
            <family val="2"/>
          </rPr>
          <t xml:space="preserve">
- HS 4,65 từ 01/5/2014
- HS 4,98 từ 01/5/2017</t>
        </r>
      </text>
    </comment>
    <comment ref="G235" authorId="2" shapeId="0" xr:uid="{00000000-0006-0000-0600-00005C030000}">
      <text>
        <r>
          <rPr>
            <b/>
            <sz val="9"/>
            <color indexed="81"/>
            <rFont val="Tahoma"/>
            <family val="2"/>
          </rPr>
          <t>user:</t>
        </r>
        <r>
          <rPr>
            <sz val="9"/>
            <color indexed="81"/>
            <rFont val="Tahoma"/>
            <family val="2"/>
          </rPr>
          <t xml:space="preserve">
- 5% từ 01/5/2020
- 6% từ 01/5/2021
- 7% từ 01/5/2022
- 8% từ 01/5/2023
- 9% từ 01/5/2024</t>
        </r>
      </text>
    </comment>
    <comment ref="I235" authorId="2" shapeId="0" xr:uid="{00000000-0006-0000-0600-00005D030000}">
      <text>
        <r>
          <rPr>
            <b/>
            <sz val="9"/>
            <color indexed="81"/>
            <rFont val="Tahoma"/>
            <family val="2"/>
          </rPr>
          <t>user:</t>
        </r>
        <r>
          <rPr>
            <sz val="9"/>
            <color indexed="81"/>
            <rFont val="Tahoma"/>
            <family val="2"/>
          </rPr>
          <t xml:space="preserve">
+ QĐ Bổ nhiệm Phó TK Điện - Điện tử từ 10/6/2019
</t>
        </r>
      </text>
    </comment>
    <comment ref="J235" authorId="0" shapeId="0" xr:uid="{00000000-0006-0000-0600-00005E030000}">
      <text>
        <r>
          <rPr>
            <b/>
            <sz val="9"/>
            <color indexed="81"/>
            <rFont val="Tahoma"/>
            <family val="2"/>
          </rPr>
          <t>User:</t>
        </r>
        <r>
          <rPr>
            <sz val="9"/>
            <color indexed="81"/>
            <rFont val="Tahoma"/>
            <family val="2"/>
          </rPr>
          <t xml:space="preserve">
- HS 4,65 từ 01/5/2014
- HS 4,98 từ 01/5/2017</t>
        </r>
      </text>
    </comment>
    <comment ref="K235" authorId="2" shapeId="0" xr:uid="{00000000-0006-0000-0600-00005F030000}">
      <text>
        <r>
          <rPr>
            <b/>
            <sz val="9"/>
            <color indexed="81"/>
            <rFont val="Tahoma"/>
            <family val="2"/>
          </rPr>
          <t>user:</t>
        </r>
        <r>
          <rPr>
            <sz val="9"/>
            <color indexed="81"/>
            <rFont val="Tahoma"/>
            <family val="2"/>
          </rPr>
          <t xml:space="preserve">
- 5% từ 01/5/2020
- 6% từ 01/5/2021
- 7% từ 01/5/2022
- 8% từ 01/5/2023
- 9% từ 01/5/2024</t>
        </r>
      </text>
    </comment>
    <comment ref="M235" authorId="2" shapeId="0" xr:uid="{00000000-0006-0000-0600-000060030000}">
      <text>
        <r>
          <rPr>
            <b/>
            <sz val="9"/>
            <color indexed="81"/>
            <rFont val="Tahoma"/>
            <family val="2"/>
          </rPr>
          <t>user:</t>
        </r>
        <r>
          <rPr>
            <sz val="9"/>
            <color indexed="81"/>
            <rFont val="Tahoma"/>
            <family val="2"/>
          </rPr>
          <t xml:space="preserve">
+ QĐ Bổ nhiệm Phó TK Điện - Điện tử từ 10/6/2019
</t>
        </r>
      </text>
    </comment>
    <comment ref="N235" authorId="0" shapeId="0" xr:uid="{00000000-0006-0000-0600-000061030000}">
      <text>
        <r>
          <rPr>
            <b/>
            <sz val="9"/>
            <color indexed="81"/>
            <rFont val="Tahoma"/>
            <family val="2"/>
          </rPr>
          <t>User:</t>
        </r>
        <r>
          <rPr>
            <sz val="9"/>
            <color indexed="81"/>
            <rFont val="Tahoma"/>
            <family val="2"/>
          </rPr>
          <t xml:space="preserve">
- HS 4,65 từ 01/5/2014
- HS 4,98 từ 01/5/2017</t>
        </r>
      </text>
    </comment>
    <comment ref="O235" authorId="2" shapeId="0" xr:uid="{00000000-0006-0000-0600-000062030000}">
      <text>
        <r>
          <rPr>
            <b/>
            <sz val="9"/>
            <color indexed="81"/>
            <rFont val="Tahoma"/>
            <family val="2"/>
          </rPr>
          <t>user:</t>
        </r>
        <r>
          <rPr>
            <sz val="9"/>
            <color indexed="81"/>
            <rFont val="Tahoma"/>
            <family val="2"/>
          </rPr>
          <t xml:space="preserve">
- 5% từ 01/5/2020
- 6% từ 01/5/2021
- 7% từ 01/5/2022
- 8% từ 01/5/2023
- 9% từ 01/5/2024</t>
        </r>
      </text>
    </comment>
    <comment ref="Q235" authorId="2" shapeId="0" xr:uid="{00000000-0006-0000-0600-000063030000}">
      <text>
        <r>
          <rPr>
            <b/>
            <sz val="9"/>
            <color indexed="81"/>
            <rFont val="Tahoma"/>
            <family val="2"/>
          </rPr>
          <t>user:</t>
        </r>
        <r>
          <rPr>
            <sz val="9"/>
            <color indexed="81"/>
            <rFont val="Tahoma"/>
            <family val="2"/>
          </rPr>
          <t xml:space="preserve">
+ QĐ Bổ nhiệm Phó TK Điện - Điện tử từ 10/6/2019
</t>
        </r>
      </text>
    </comment>
    <comment ref="G236" authorId="1" shapeId="0" xr:uid="{00000000-0006-0000-0600-00006403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K236" authorId="1" shapeId="0" xr:uid="{00000000-0006-0000-0600-00006503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O236" authorId="1" shapeId="0" xr:uid="{00000000-0006-0000-0600-00006603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7" authorId="0" shapeId="0" xr:uid="{00000000-0006-0000-0600-000067030000}">
      <text>
        <r>
          <rPr>
            <b/>
            <sz val="9"/>
            <color indexed="81"/>
            <rFont val="Tahoma"/>
            <family val="2"/>
          </rPr>
          <t>User:</t>
        </r>
        <r>
          <rPr>
            <sz val="9"/>
            <color indexed="81"/>
            <rFont val="Tahoma"/>
            <family val="2"/>
          </rPr>
          <t xml:space="preserve">
- HS 4,65 từ 01/5/2014
- HS 4,98 từ 01/5/2017</t>
        </r>
      </text>
    </comment>
    <comment ref="G237" authorId="2" shapeId="0" xr:uid="{00000000-0006-0000-0600-000068030000}">
      <text>
        <r>
          <rPr>
            <b/>
            <sz val="9"/>
            <color indexed="81"/>
            <rFont val="Tahoma"/>
            <family val="2"/>
          </rPr>
          <t>user:</t>
        </r>
        <r>
          <rPr>
            <sz val="9"/>
            <color indexed="81"/>
            <rFont val="Tahoma"/>
            <family val="2"/>
          </rPr>
          <t xml:space="preserve">
- 5% từ 01/5/2020
- 6% từ 01/5/2021
- 7% từ 01/5/2022
- 8% từ 01/5/2023
- 9% từ 01/9/2024</t>
        </r>
      </text>
    </comment>
    <comment ref="I237" authorId="0" shapeId="0" xr:uid="{00000000-0006-0000-0600-000069030000}">
      <text>
        <r>
          <rPr>
            <b/>
            <sz val="9"/>
            <color indexed="81"/>
            <rFont val="Tahoma"/>
            <family val="2"/>
          </rPr>
          <t>User:</t>
        </r>
        <r>
          <rPr>
            <sz val="9"/>
            <color indexed="81"/>
            <rFont val="Tahoma"/>
            <family val="2"/>
          </rPr>
          <t xml:space="preserve">
Miễn nhiện Phó Trưởng BM từ 01/9/15. Bảo lưu HS hết T2/2015</t>
        </r>
      </text>
    </comment>
    <comment ref="J237" authorId="0" shapeId="0" xr:uid="{00000000-0006-0000-0600-00006A030000}">
      <text>
        <r>
          <rPr>
            <b/>
            <sz val="9"/>
            <color indexed="81"/>
            <rFont val="Tahoma"/>
            <family val="2"/>
          </rPr>
          <t>User:</t>
        </r>
        <r>
          <rPr>
            <sz val="9"/>
            <color indexed="81"/>
            <rFont val="Tahoma"/>
            <family val="2"/>
          </rPr>
          <t xml:space="preserve">
- HS 4,65 từ 01/5/2014
- HS 4,98 từ 01/5/2017</t>
        </r>
      </text>
    </comment>
    <comment ref="K237" authorId="2" shapeId="0" xr:uid="{00000000-0006-0000-0600-00006B030000}">
      <text>
        <r>
          <rPr>
            <b/>
            <sz val="9"/>
            <color indexed="81"/>
            <rFont val="Tahoma"/>
            <family val="2"/>
          </rPr>
          <t>user:</t>
        </r>
        <r>
          <rPr>
            <sz val="9"/>
            <color indexed="81"/>
            <rFont val="Tahoma"/>
            <family val="2"/>
          </rPr>
          <t xml:space="preserve">
- 5% từ 01/5/2020
- 6% từ 01/5/2021
- 7% từ 01/5/2022
- 8% từ 01/5/2023
- 9% từ 01/9/2024</t>
        </r>
      </text>
    </comment>
    <comment ref="M237" authorId="0" shapeId="0" xr:uid="{00000000-0006-0000-0600-00006C030000}">
      <text>
        <r>
          <rPr>
            <b/>
            <sz val="9"/>
            <color indexed="81"/>
            <rFont val="Tahoma"/>
            <family val="2"/>
          </rPr>
          <t>User:</t>
        </r>
        <r>
          <rPr>
            <sz val="9"/>
            <color indexed="81"/>
            <rFont val="Tahoma"/>
            <family val="2"/>
          </rPr>
          <t xml:space="preserve">
Miễn nhiện Phó Trưởng BM từ 01/9/15. Bảo lưu HS hết T2/2015</t>
        </r>
      </text>
    </comment>
    <comment ref="N237" authorId="0" shapeId="0" xr:uid="{00000000-0006-0000-0600-00006D030000}">
      <text>
        <r>
          <rPr>
            <b/>
            <sz val="9"/>
            <color indexed="81"/>
            <rFont val="Tahoma"/>
            <family val="2"/>
          </rPr>
          <t>User:</t>
        </r>
        <r>
          <rPr>
            <sz val="9"/>
            <color indexed="81"/>
            <rFont val="Tahoma"/>
            <family val="2"/>
          </rPr>
          <t xml:space="preserve">
- HS 4,65 từ 01/5/2014
- HS 4,98 từ 01/5/2017</t>
        </r>
      </text>
    </comment>
    <comment ref="O237" authorId="2" shapeId="0" xr:uid="{00000000-0006-0000-0600-00006E030000}">
      <text>
        <r>
          <rPr>
            <b/>
            <sz val="9"/>
            <color indexed="81"/>
            <rFont val="Tahoma"/>
            <family val="2"/>
          </rPr>
          <t>user:</t>
        </r>
        <r>
          <rPr>
            <sz val="9"/>
            <color indexed="81"/>
            <rFont val="Tahoma"/>
            <family val="2"/>
          </rPr>
          <t xml:space="preserve">
- 5% từ 01/5/2020
- 6% từ 01/5/2021
- 7% từ 01/5/2022
- 8% từ 01/5/2023
- 9% từ 01/9/2024</t>
        </r>
      </text>
    </comment>
    <comment ref="Q237" authorId="0" shapeId="0" xr:uid="{00000000-0006-0000-0600-00006F030000}">
      <text>
        <r>
          <rPr>
            <b/>
            <sz val="9"/>
            <color indexed="81"/>
            <rFont val="Tahoma"/>
            <family val="2"/>
          </rPr>
          <t>User:</t>
        </r>
        <r>
          <rPr>
            <sz val="9"/>
            <color indexed="81"/>
            <rFont val="Tahoma"/>
            <family val="2"/>
          </rPr>
          <t xml:space="preserve">
Miễn nhiện Phó Trưởng BM từ 01/9/15. Bảo lưu HS hết T2/2015</t>
        </r>
      </text>
    </comment>
    <comment ref="F238" authorId="0" shapeId="0" xr:uid="{00000000-0006-0000-0600-000070030000}">
      <text>
        <r>
          <rPr>
            <b/>
            <sz val="9"/>
            <color indexed="81"/>
            <rFont val="Tahoma"/>
            <family val="2"/>
          </rPr>
          <t>User:</t>
        </r>
        <r>
          <rPr>
            <sz val="9"/>
            <color indexed="81"/>
            <rFont val="Tahoma"/>
            <family val="2"/>
          </rPr>
          <t xml:space="preserve">
- HS 3,66 từ 01/9/2015
- HS 3,99 từ 01/9/2018
- HS 4,32 từ 01/9/2021</t>
        </r>
      </text>
    </comment>
    <comment ref="J238" authorId="0" shapeId="0" xr:uid="{00000000-0006-0000-0600-000071030000}">
      <text>
        <r>
          <rPr>
            <b/>
            <sz val="9"/>
            <color indexed="81"/>
            <rFont val="Tahoma"/>
            <family val="2"/>
          </rPr>
          <t>User:</t>
        </r>
        <r>
          <rPr>
            <sz val="9"/>
            <color indexed="81"/>
            <rFont val="Tahoma"/>
            <family val="2"/>
          </rPr>
          <t xml:space="preserve">
- HS 3,66 từ 01/9/2015
- HS 3,99 từ 01/9/2018
- HS 4,32 từ 01/9/2021</t>
        </r>
      </text>
    </comment>
    <comment ref="N238" authorId="0" shapeId="0" xr:uid="{00000000-0006-0000-0600-000072030000}">
      <text>
        <r>
          <rPr>
            <b/>
            <sz val="9"/>
            <color indexed="81"/>
            <rFont val="Tahoma"/>
            <family val="2"/>
          </rPr>
          <t>User:</t>
        </r>
        <r>
          <rPr>
            <sz val="9"/>
            <color indexed="81"/>
            <rFont val="Tahoma"/>
            <family val="2"/>
          </rPr>
          <t xml:space="preserve">
- HS 3,66 từ 01/9/2015
- HS 3,99 từ 01/9/2018
- HS 4,32 từ 01/9/2021
- HS 4,65 từ 01/9/2024</t>
        </r>
      </text>
    </comment>
    <comment ref="F239" authorId="0" shapeId="0" xr:uid="{00000000-0006-0000-0600-000073030000}">
      <text>
        <r>
          <rPr>
            <b/>
            <sz val="9"/>
            <color indexed="81"/>
            <rFont val="Tahoma"/>
            <family val="2"/>
          </rPr>
          <t>User:</t>
        </r>
        <r>
          <rPr>
            <sz val="9"/>
            <color indexed="81"/>
            <rFont val="Tahoma"/>
            <family val="2"/>
          </rPr>
          <t xml:space="preserve">
- HS 3,66 từ 01/9/2015
- HS 3,99 từ 01/9/2018
- HS 4,32 từ 01/9/2021</t>
        </r>
      </text>
    </comment>
    <comment ref="I239" authorId="0" shapeId="0" xr:uid="{00000000-0006-0000-0600-000074030000}">
      <text>
        <r>
          <rPr>
            <b/>
            <sz val="9"/>
            <color indexed="81"/>
            <rFont val="Tahoma"/>
            <family val="2"/>
          </rPr>
          <t>User:</t>
        </r>
        <r>
          <rPr>
            <sz val="9"/>
            <color indexed="81"/>
            <rFont val="Tahoma"/>
            <family val="2"/>
          </rPr>
          <t xml:space="preserve">
Miễn nhiệm Phó Trưởng BM từ 01/9/2015. Bảo lưu HS hết T02/2015</t>
        </r>
      </text>
    </comment>
    <comment ref="J239" authorId="0" shapeId="0" xr:uid="{00000000-0006-0000-0600-000075030000}">
      <text>
        <r>
          <rPr>
            <b/>
            <sz val="9"/>
            <color indexed="81"/>
            <rFont val="Tahoma"/>
            <family val="2"/>
          </rPr>
          <t>User:</t>
        </r>
        <r>
          <rPr>
            <sz val="9"/>
            <color indexed="81"/>
            <rFont val="Tahoma"/>
            <family val="2"/>
          </rPr>
          <t xml:space="preserve">
- HS 3,66 từ 01/9/2015
- HS 3,99 từ 01/9/2018
- HS 4,32 từ 01/9/2021</t>
        </r>
      </text>
    </comment>
    <comment ref="M239" authorId="0" shapeId="0" xr:uid="{00000000-0006-0000-0600-000076030000}">
      <text>
        <r>
          <rPr>
            <b/>
            <sz val="9"/>
            <color indexed="81"/>
            <rFont val="Tahoma"/>
            <family val="2"/>
          </rPr>
          <t>User:</t>
        </r>
        <r>
          <rPr>
            <sz val="9"/>
            <color indexed="81"/>
            <rFont val="Tahoma"/>
            <family val="2"/>
          </rPr>
          <t xml:space="preserve">
Miễn nhiệm Phó Trưởng BM từ 01/9/2015. Bảo lưu HS hết T02/2015</t>
        </r>
      </text>
    </comment>
    <comment ref="N239" authorId="0" shapeId="0" xr:uid="{00000000-0006-0000-0600-000077030000}">
      <text>
        <r>
          <rPr>
            <b/>
            <sz val="9"/>
            <color indexed="81"/>
            <rFont val="Tahoma"/>
            <family val="2"/>
          </rPr>
          <t>User:</t>
        </r>
        <r>
          <rPr>
            <sz val="9"/>
            <color indexed="81"/>
            <rFont val="Tahoma"/>
            <family val="2"/>
          </rPr>
          <t xml:space="preserve">
- HS 3,66 từ 01/9/2015
- HS 3,99 từ 01/9/2018
- HS 4,32 từ 01/9/2021
- HS 4,65 từ 01/9/2024</t>
        </r>
      </text>
    </comment>
    <comment ref="Q239" authorId="0" shapeId="0" xr:uid="{00000000-0006-0000-0600-000078030000}">
      <text>
        <r>
          <rPr>
            <b/>
            <sz val="9"/>
            <color indexed="81"/>
            <rFont val="Tahoma"/>
            <family val="2"/>
          </rPr>
          <t>User:</t>
        </r>
        <r>
          <rPr>
            <sz val="9"/>
            <color indexed="81"/>
            <rFont val="Tahoma"/>
            <family val="2"/>
          </rPr>
          <t xml:space="preserve">
Miễn nhiệm Phó Trưởng BM từ 01/9/2015. Bảo lưu HS hết T02/2015</t>
        </r>
      </text>
    </comment>
    <comment ref="F240" authorId="0" shapeId="0" xr:uid="{00000000-0006-0000-0600-000079030000}">
      <text>
        <r>
          <rPr>
            <b/>
            <sz val="9"/>
            <color indexed="81"/>
            <rFont val="Tahoma"/>
            <family val="2"/>
          </rPr>
          <t>User:</t>
        </r>
        <r>
          <rPr>
            <sz val="9"/>
            <color indexed="81"/>
            <rFont val="Tahoma"/>
            <family val="2"/>
          </rPr>
          <t xml:space="preserve">
- HS 3,66 từ 01/9/2014
- HS 3,99 từ 01/9/2017
- HS 4,32 từ 01/9/2020
- HS 4,65 từ 01/9/2023</t>
        </r>
      </text>
    </comment>
    <comment ref="J240" authorId="0" shapeId="0" xr:uid="{00000000-0006-0000-0600-00007A030000}">
      <text>
        <r>
          <rPr>
            <b/>
            <sz val="9"/>
            <color indexed="81"/>
            <rFont val="Tahoma"/>
            <family val="2"/>
          </rPr>
          <t>User:</t>
        </r>
        <r>
          <rPr>
            <sz val="9"/>
            <color indexed="81"/>
            <rFont val="Tahoma"/>
            <family val="2"/>
          </rPr>
          <t xml:space="preserve">
- HS 3,66 từ 01/9/2014
- HS 3,99 từ 01/9/2017
- HS 4,32 từ 01/9/2020
- HS 4,65 từ 01/9/2023</t>
        </r>
      </text>
    </comment>
    <comment ref="N240" authorId="0" shapeId="0" xr:uid="{00000000-0006-0000-0600-00007B030000}">
      <text>
        <r>
          <rPr>
            <b/>
            <sz val="9"/>
            <color indexed="81"/>
            <rFont val="Tahoma"/>
            <family val="2"/>
          </rPr>
          <t>User:</t>
        </r>
        <r>
          <rPr>
            <sz val="9"/>
            <color indexed="81"/>
            <rFont val="Tahoma"/>
            <family val="2"/>
          </rPr>
          <t xml:space="preserve">
- HS 3,66 từ 01/9/2014
- HS 3,99 từ 01/9/2017
- HS 4,32 từ 01/9/2020
- HS 4,65 từ 01/9/2023</t>
        </r>
      </text>
    </comment>
    <comment ref="F241" authorId="0" shapeId="0" xr:uid="{00000000-0006-0000-0600-00007C03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J241" authorId="0" shapeId="0" xr:uid="{00000000-0006-0000-0600-00007D03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N241" authorId="0" shapeId="0" xr:uid="{00000000-0006-0000-0600-00007E03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2" authorId="0" shapeId="0" xr:uid="{00000000-0006-0000-0600-00007F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2" authorId="0" shapeId="0" xr:uid="{00000000-0006-0000-0600-000080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2" authorId="0" shapeId="0" xr:uid="{00000000-0006-0000-0600-000081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3" authorId="0" shapeId="0" xr:uid="{00000000-0006-0000-0600-000082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3" authorId="0" shapeId="0" xr:uid="{00000000-0006-0000-0600-000083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3" authorId="0" shapeId="0" xr:uid="{00000000-0006-0000-0600-000084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4" authorId="1" shapeId="0" xr:uid="{00000000-0006-0000-0600-000085030000}">
      <text>
        <r>
          <rPr>
            <b/>
            <sz val="9"/>
            <color indexed="81"/>
            <rFont val="Tahoma"/>
            <family val="2"/>
          </rPr>
          <t>Admin:</t>
        </r>
        <r>
          <rPr>
            <sz val="9"/>
            <color indexed="81"/>
            <rFont val="Tahoma"/>
            <family val="2"/>
          </rPr>
          <t xml:space="preserve">
- HS 3,33 từ 01/12/2015
- HS 3,66 từ 01/12/2016
- HS 3,99 từ 01/12/2021</t>
        </r>
      </text>
    </comment>
    <comment ref="J244" authorId="1" shapeId="0" xr:uid="{00000000-0006-0000-0600-000086030000}">
      <text>
        <r>
          <rPr>
            <b/>
            <sz val="9"/>
            <color indexed="81"/>
            <rFont val="Tahoma"/>
            <family val="2"/>
          </rPr>
          <t>Admin:</t>
        </r>
        <r>
          <rPr>
            <sz val="9"/>
            <color indexed="81"/>
            <rFont val="Tahoma"/>
            <family val="2"/>
          </rPr>
          <t xml:space="preserve">
- HS 3,33 từ 01/12/2015
- HS 3,66 từ 01/12/2016
- HS 3,99 từ 01/12/2021</t>
        </r>
      </text>
    </comment>
    <comment ref="N244" authorId="1" shapeId="0" xr:uid="{00000000-0006-0000-0600-000087030000}">
      <text>
        <r>
          <rPr>
            <b/>
            <sz val="9"/>
            <color indexed="81"/>
            <rFont val="Tahoma"/>
            <family val="2"/>
          </rPr>
          <t>Admin:</t>
        </r>
        <r>
          <rPr>
            <sz val="9"/>
            <color indexed="81"/>
            <rFont val="Tahoma"/>
            <family val="2"/>
          </rPr>
          <t xml:space="preserve">
- HS 3,33 từ 01/12/2015
- HS 3,66 từ 01/12/2016
- HS 3,99 từ 01/12/2021</t>
        </r>
      </text>
    </comment>
    <comment ref="F245" authorId="2" shapeId="0" xr:uid="{00000000-0006-0000-0600-000088030000}">
      <text>
        <r>
          <rPr>
            <b/>
            <sz val="9"/>
            <color indexed="81"/>
            <rFont val="Tahoma"/>
            <family val="2"/>
          </rPr>
          <t>user:</t>
        </r>
        <r>
          <rPr>
            <sz val="9"/>
            <color indexed="81"/>
            <rFont val="Tahoma"/>
            <family val="2"/>
          </rPr>
          <t xml:space="preserve">
- BN CDNN từ 01/4/2019
- HS 3,00 từ 01/04/2021 (NL trước hạn)
- HS 3,33 từ 01/04/2024</t>
        </r>
      </text>
    </comment>
    <comment ref="J245" authorId="2" shapeId="0" xr:uid="{00000000-0006-0000-0600-000089030000}">
      <text>
        <r>
          <rPr>
            <b/>
            <sz val="9"/>
            <color indexed="81"/>
            <rFont val="Tahoma"/>
            <family val="2"/>
          </rPr>
          <t>user:</t>
        </r>
        <r>
          <rPr>
            <sz val="9"/>
            <color indexed="81"/>
            <rFont val="Tahoma"/>
            <family val="2"/>
          </rPr>
          <t xml:space="preserve">
- BN CDNN từ 01/4/2019
- HS 3,00 từ 01/04/2021 (NL trước hạn)
- HS 3,33 từ 01/04/2024</t>
        </r>
      </text>
    </comment>
    <comment ref="N245" authorId="2" shapeId="0" xr:uid="{00000000-0006-0000-0600-00008A030000}">
      <text>
        <r>
          <rPr>
            <b/>
            <sz val="9"/>
            <color indexed="81"/>
            <rFont val="Tahoma"/>
            <family val="2"/>
          </rPr>
          <t>user:</t>
        </r>
        <r>
          <rPr>
            <sz val="9"/>
            <color indexed="81"/>
            <rFont val="Tahoma"/>
            <family val="2"/>
          </rPr>
          <t xml:space="preserve">
- BN CDNN từ 01/4/2019
- HS 3,00 từ 01/04/2021 (NL trước hạn)
- HS 3,33 từ 01/04/2024</t>
        </r>
      </text>
    </comment>
    <comment ref="F246" authorId="2" shapeId="0" xr:uid="{00000000-0006-0000-0600-00008B030000}">
      <text>
        <r>
          <rPr>
            <b/>
            <sz val="9"/>
            <color indexed="81"/>
            <rFont val="Tahoma"/>
            <family val="2"/>
          </rPr>
          <t>user:</t>
        </r>
        <r>
          <rPr>
            <sz val="9"/>
            <color indexed="81"/>
            <rFont val="Tahoma"/>
            <family val="2"/>
          </rPr>
          <t xml:space="preserve">
- BN CDNN 2.34 từ 1/4/2019
- HS 2,67 từ 01/4/2022</t>
        </r>
      </text>
    </comment>
    <comment ref="I246" authorId="3" shapeId="0" xr:uid="{00000000-0006-0000-0600-00008C030000}">
      <text>
        <r>
          <rPr>
            <b/>
            <sz val="9"/>
            <color indexed="81"/>
            <rFont val="Tahoma"/>
            <family val="2"/>
          </rPr>
          <t>Windows User:</t>
        </r>
        <r>
          <rPr>
            <sz val="9"/>
            <color indexed="81"/>
            <rFont val="Tahoma"/>
            <family val="2"/>
          </rPr>
          <t xml:space="preserve">
- Trưởng BM Điện Công nghiệp từ 01/10/2022</t>
        </r>
      </text>
    </comment>
    <comment ref="J246" authorId="2" shapeId="0" xr:uid="{00000000-0006-0000-0600-00008D030000}">
      <text>
        <r>
          <rPr>
            <b/>
            <sz val="9"/>
            <color indexed="81"/>
            <rFont val="Tahoma"/>
            <family val="2"/>
          </rPr>
          <t>user:</t>
        </r>
        <r>
          <rPr>
            <sz val="9"/>
            <color indexed="81"/>
            <rFont val="Tahoma"/>
            <family val="2"/>
          </rPr>
          <t xml:space="preserve">
- BN CDNN 2.34 từ 1/4/2019
- HS 2,67 từ 01/4/2022</t>
        </r>
      </text>
    </comment>
    <comment ref="M246" authorId="3" shapeId="0" xr:uid="{00000000-0006-0000-0600-00008E030000}">
      <text>
        <r>
          <rPr>
            <b/>
            <sz val="9"/>
            <color indexed="81"/>
            <rFont val="Tahoma"/>
            <family val="2"/>
          </rPr>
          <t>Windows User:</t>
        </r>
        <r>
          <rPr>
            <sz val="9"/>
            <color indexed="81"/>
            <rFont val="Tahoma"/>
            <family val="2"/>
          </rPr>
          <t xml:space="preserve">
- Trưởng BM Điện Công nghiệp từ 01/10/2022</t>
        </r>
      </text>
    </comment>
    <comment ref="N246" authorId="2" shapeId="0" xr:uid="{00000000-0006-0000-0600-00008F030000}">
      <text>
        <r>
          <rPr>
            <b/>
            <sz val="9"/>
            <color indexed="81"/>
            <rFont val="Tahoma"/>
            <family val="2"/>
          </rPr>
          <t>user:</t>
        </r>
        <r>
          <rPr>
            <sz val="9"/>
            <color indexed="81"/>
            <rFont val="Tahoma"/>
            <family val="2"/>
          </rPr>
          <t xml:space="preserve">
- BN CDNN 2.34 từ 1/4/2019
- HS 2,67 từ 01/4/2022</t>
        </r>
      </text>
    </comment>
    <comment ref="Q246" authorId="3" shapeId="0" xr:uid="{00000000-0006-0000-0600-000090030000}">
      <text>
        <r>
          <rPr>
            <b/>
            <sz val="9"/>
            <color indexed="81"/>
            <rFont val="Tahoma"/>
            <family val="2"/>
          </rPr>
          <t>Windows User:</t>
        </r>
        <r>
          <rPr>
            <sz val="9"/>
            <color indexed="81"/>
            <rFont val="Tahoma"/>
            <family val="2"/>
          </rPr>
          <t xml:space="preserve">
- Trưởng BM Điện Công nghiệp từ 01/10/2022</t>
        </r>
      </text>
    </comment>
    <comment ref="F247" authorId="2" shapeId="0" xr:uid="{00000000-0006-0000-0600-000091030000}">
      <text>
        <r>
          <rPr>
            <b/>
            <sz val="9"/>
            <color indexed="81"/>
            <rFont val="Tahoma"/>
            <family val="2"/>
          </rPr>
          <t>user:</t>
        </r>
        <r>
          <rPr>
            <sz val="9"/>
            <color indexed="81"/>
            <rFont val="Tahoma"/>
            <family val="2"/>
          </rPr>
          <t xml:space="preserve">
- HS 2,34 từ 01/01/2020
- HS 2,67 từ 01/01/2022 (NL trước hạn)</t>
        </r>
      </text>
    </comment>
    <comment ref="I247" authorId="7" shapeId="0" xr:uid="{00000000-0006-0000-0600-00009203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J247" authorId="2" shapeId="0" xr:uid="{00000000-0006-0000-0600-000093030000}">
      <text>
        <r>
          <rPr>
            <b/>
            <sz val="9"/>
            <color indexed="81"/>
            <rFont val="Tahoma"/>
            <family val="2"/>
          </rPr>
          <t>user:</t>
        </r>
        <r>
          <rPr>
            <sz val="9"/>
            <color indexed="81"/>
            <rFont val="Tahoma"/>
            <family val="2"/>
          </rPr>
          <t xml:space="preserve">
- HS 2,34 từ 01/01/2020
- HS 2,67 từ 01/01/2022 (NL trước hạn)</t>
        </r>
      </text>
    </comment>
    <comment ref="M247" authorId="7" shapeId="0" xr:uid="{00000000-0006-0000-0600-00009403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N247" authorId="2" shapeId="0" xr:uid="{00000000-0006-0000-0600-000095030000}">
      <text>
        <r>
          <rPr>
            <b/>
            <sz val="9"/>
            <color indexed="81"/>
            <rFont val="Tahoma"/>
            <family val="2"/>
          </rPr>
          <t>user:</t>
        </r>
        <r>
          <rPr>
            <sz val="9"/>
            <color indexed="81"/>
            <rFont val="Tahoma"/>
            <family val="2"/>
          </rPr>
          <t xml:space="preserve">
- HS 2,34 từ 01/01/2020
- HS 2,67 từ 01/01/2022 (NL trước hạn)</t>
        </r>
      </text>
    </comment>
    <comment ref="Q247" authorId="7" shapeId="0" xr:uid="{00000000-0006-0000-0600-00009603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8" authorId="2" shapeId="0" xr:uid="{00000000-0006-0000-0600-000097030000}">
      <text>
        <r>
          <rPr>
            <b/>
            <sz val="9"/>
            <color indexed="81"/>
            <rFont val="Tahoma"/>
            <family val="2"/>
          </rPr>
          <t>user:</t>
        </r>
        <r>
          <rPr>
            <sz val="9"/>
            <color indexed="81"/>
            <rFont val="Tahoma"/>
            <family val="2"/>
          </rPr>
          <t xml:space="preserve">
Thuyên chuyển về trường từ ngày 15/6/2021
- HS 3,99 từ 01/11/2022</t>
        </r>
      </text>
    </comment>
    <comment ref="J248" authorId="2" shapeId="0" xr:uid="{00000000-0006-0000-0600-000098030000}">
      <text>
        <r>
          <rPr>
            <b/>
            <sz val="9"/>
            <color indexed="81"/>
            <rFont val="Tahoma"/>
            <family val="2"/>
          </rPr>
          <t>user:</t>
        </r>
        <r>
          <rPr>
            <sz val="9"/>
            <color indexed="81"/>
            <rFont val="Tahoma"/>
            <family val="2"/>
          </rPr>
          <t xml:space="preserve">
Thuyên chuyển về trường từ ngày 15/6/2021
- HS 3,99 từ 01/11/2022</t>
        </r>
      </text>
    </comment>
    <comment ref="N248" authorId="2" shapeId="0" xr:uid="{00000000-0006-0000-0600-000099030000}">
      <text>
        <r>
          <rPr>
            <b/>
            <sz val="9"/>
            <color indexed="81"/>
            <rFont val="Tahoma"/>
            <family val="2"/>
          </rPr>
          <t>user:</t>
        </r>
        <r>
          <rPr>
            <sz val="9"/>
            <color indexed="81"/>
            <rFont val="Tahoma"/>
            <family val="2"/>
          </rPr>
          <t xml:space="preserve">
Thuyên chuyển về trường từ ngày 15/6/2021
- HS 3,99 từ 01/11/2022</t>
        </r>
      </text>
    </comment>
    <comment ref="F249" authorId="3" shapeId="0" xr:uid="{00000000-0006-0000-0600-00009A030000}">
      <text>
        <r>
          <rPr>
            <b/>
            <sz val="9"/>
            <color indexed="81"/>
            <rFont val="Tahoma"/>
            <family val="2"/>
          </rPr>
          <t>Windows User:</t>
        </r>
        <r>
          <rPr>
            <sz val="9"/>
            <color indexed="81"/>
            <rFont val="Tahoma"/>
            <family val="2"/>
          </rPr>
          <t xml:space="preserve">
- HS 2,67 từ 01/10/2023 (BN CDNN)</t>
        </r>
      </text>
    </comment>
    <comment ref="J249" authorId="3" shapeId="0" xr:uid="{00000000-0006-0000-0600-00009B030000}">
      <text>
        <r>
          <rPr>
            <b/>
            <sz val="9"/>
            <color indexed="81"/>
            <rFont val="Tahoma"/>
            <family val="2"/>
          </rPr>
          <t>Windows User:</t>
        </r>
        <r>
          <rPr>
            <sz val="9"/>
            <color indexed="81"/>
            <rFont val="Tahoma"/>
            <family val="2"/>
          </rPr>
          <t xml:space="preserve">
- HS 2,67 từ 01/10/2023 (BN CDNN)</t>
        </r>
      </text>
    </comment>
    <comment ref="N249" authorId="3" shapeId="0" xr:uid="{00000000-0006-0000-0600-00009C030000}">
      <text>
        <r>
          <rPr>
            <b/>
            <sz val="9"/>
            <color indexed="81"/>
            <rFont val="Tahoma"/>
            <family val="2"/>
          </rPr>
          <t>Windows User:</t>
        </r>
        <r>
          <rPr>
            <sz val="9"/>
            <color indexed="81"/>
            <rFont val="Tahoma"/>
            <family val="2"/>
          </rPr>
          <t xml:space="preserve">
- HS 2,67 từ 01/10/2023 (BN CDNN)</t>
        </r>
      </text>
    </comment>
    <comment ref="F250" authorId="3" shapeId="0" xr:uid="{00000000-0006-0000-0600-00009D030000}">
      <text>
        <r>
          <rPr>
            <b/>
            <sz val="9"/>
            <color indexed="81"/>
            <rFont val="Tahoma"/>
            <family val="2"/>
          </rPr>
          <t>Windows User:</t>
        </r>
        <r>
          <rPr>
            <sz val="9"/>
            <color indexed="81"/>
            <rFont val="Tahoma"/>
            <family val="2"/>
          </rPr>
          <t xml:space="preserve">
- HS 2,34 từ 01/10/2023 (BN CDNN)</t>
        </r>
      </text>
    </comment>
    <comment ref="J250" authorId="3" shapeId="0" xr:uid="{00000000-0006-0000-0600-00009E030000}">
      <text>
        <r>
          <rPr>
            <b/>
            <sz val="9"/>
            <color indexed="81"/>
            <rFont val="Tahoma"/>
            <family val="2"/>
          </rPr>
          <t>Windows User:</t>
        </r>
        <r>
          <rPr>
            <sz val="9"/>
            <color indexed="81"/>
            <rFont val="Tahoma"/>
            <family val="2"/>
          </rPr>
          <t xml:space="preserve">
- HS 2,34 từ 01/10/2023 (BN CDNN)</t>
        </r>
      </text>
    </comment>
    <comment ref="N250" authorId="3" shapeId="0" xr:uid="{00000000-0006-0000-0600-00009F030000}">
      <text>
        <r>
          <rPr>
            <b/>
            <sz val="9"/>
            <color indexed="81"/>
            <rFont val="Tahoma"/>
            <family val="2"/>
          </rPr>
          <t>Windows User:</t>
        </r>
        <r>
          <rPr>
            <sz val="9"/>
            <color indexed="81"/>
            <rFont val="Tahoma"/>
            <family val="2"/>
          </rPr>
          <t xml:space="preserve">
- HS 2,34 từ 01/10/2023 (BN CDNN)</t>
        </r>
      </text>
    </comment>
    <comment ref="F251" authorId="1" shapeId="0" xr:uid="{00000000-0006-0000-0600-0000A003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1" authorId="0" shapeId="0" xr:uid="{00000000-0006-0000-0600-0000A1030000}">
      <text>
        <r>
          <rPr>
            <b/>
            <sz val="9"/>
            <color indexed="81"/>
            <rFont val="Tahoma"/>
            <family val="2"/>
          </rPr>
          <t>User:</t>
        </r>
        <r>
          <rPr>
            <sz val="9"/>
            <color indexed="81"/>
            <rFont val="Tahoma"/>
            <family val="2"/>
          </rPr>
          <t xml:space="preserve">
- Trưởng khoa Động lực từ 01/8/2015</t>
        </r>
      </text>
    </comment>
    <comment ref="J251" authorId="1" shapeId="0" xr:uid="{00000000-0006-0000-0600-0000A203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M251" authorId="0" shapeId="0" xr:uid="{00000000-0006-0000-0600-0000A3030000}">
      <text>
        <r>
          <rPr>
            <b/>
            <sz val="9"/>
            <color indexed="81"/>
            <rFont val="Tahoma"/>
            <family val="2"/>
          </rPr>
          <t>User:</t>
        </r>
        <r>
          <rPr>
            <sz val="9"/>
            <color indexed="81"/>
            <rFont val="Tahoma"/>
            <family val="2"/>
          </rPr>
          <t xml:space="preserve">
- Trưởng khoa Động lực từ 01/8/2015</t>
        </r>
      </text>
    </comment>
    <comment ref="N251" authorId="1" shapeId="0" xr:uid="{00000000-0006-0000-0600-0000A403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Q251" authorId="0" shapeId="0" xr:uid="{00000000-0006-0000-0600-0000A5030000}">
      <text>
        <r>
          <rPr>
            <b/>
            <sz val="9"/>
            <color indexed="81"/>
            <rFont val="Tahoma"/>
            <family val="2"/>
          </rPr>
          <t>User:</t>
        </r>
        <r>
          <rPr>
            <sz val="9"/>
            <color indexed="81"/>
            <rFont val="Tahoma"/>
            <family val="2"/>
          </rPr>
          <t xml:space="preserve">
- Trưởng khoa Động lực từ 01/8/2015</t>
        </r>
      </text>
    </comment>
    <comment ref="F252" authorId="1" shapeId="0" xr:uid="{00000000-0006-0000-0600-0000A603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J252" authorId="1" shapeId="0" xr:uid="{00000000-0006-0000-0600-0000A703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N252" authorId="1" shapeId="0" xr:uid="{00000000-0006-0000-0600-0000A803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3" authorId="1" shapeId="0" xr:uid="{00000000-0006-0000-0600-0000A903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253" authorId="1" shapeId="0" xr:uid="{00000000-0006-0000-0600-0000AA03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253" authorId="1" shapeId="0" xr:uid="{00000000-0006-0000-0600-0000AB03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4" authorId="1" shapeId="0" xr:uid="{00000000-0006-0000-0600-0000AC030000}">
      <text>
        <r>
          <rPr>
            <b/>
            <sz val="9"/>
            <color indexed="81"/>
            <rFont val="Tahoma"/>
            <family val="2"/>
          </rPr>
          <t>Admin:</t>
        </r>
        <r>
          <rPr>
            <sz val="9"/>
            <color indexed="81"/>
            <rFont val="Tahoma"/>
            <family val="2"/>
          </rPr>
          <t xml:space="preserve">
- HS 3,33 từ 01/9/2016
- HS 3,66 từ 01/9/2018 (NL trước hạn)
- HS 3,99 từ 01/9/2021</t>
        </r>
      </text>
    </comment>
    <comment ref="I254" authorId="1" shapeId="0" xr:uid="{00000000-0006-0000-0600-0000AD030000}">
      <text>
        <r>
          <rPr>
            <b/>
            <sz val="9"/>
            <color indexed="81"/>
            <rFont val="Tahoma"/>
            <family val="2"/>
          </rPr>
          <t>Admin:</t>
        </r>
        <r>
          <rPr>
            <sz val="9"/>
            <color indexed="81"/>
            <rFont val="Tahoma"/>
            <family val="2"/>
          </rPr>
          <t xml:space="preserve">
- Bảo lưu đến hết T5/2018</t>
        </r>
      </text>
    </comment>
    <comment ref="J254" authorId="1" shapeId="0" xr:uid="{00000000-0006-0000-0600-0000AE030000}">
      <text>
        <r>
          <rPr>
            <b/>
            <sz val="9"/>
            <color indexed="81"/>
            <rFont val="Tahoma"/>
            <family val="2"/>
          </rPr>
          <t>Admin:</t>
        </r>
        <r>
          <rPr>
            <sz val="9"/>
            <color indexed="81"/>
            <rFont val="Tahoma"/>
            <family val="2"/>
          </rPr>
          <t xml:space="preserve">
- HS 3,33 từ 01/9/2016
- HS 3,66 từ 01/9/2018 (NL trước hạn)
- HS 3,99 từ 01/9/2021</t>
        </r>
      </text>
    </comment>
    <comment ref="M254" authorId="1" shapeId="0" xr:uid="{00000000-0006-0000-0600-0000AF030000}">
      <text>
        <r>
          <rPr>
            <b/>
            <sz val="9"/>
            <color indexed="81"/>
            <rFont val="Tahoma"/>
            <family val="2"/>
          </rPr>
          <t>Admin:</t>
        </r>
        <r>
          <rPr>
            <sz val="9"/>
            <color indexed="81"/>
            <rFont val="Tahoma"/>
            <family val="2"/>
          </rPr>
          <t xml:space="preserve">
- Bảo lưu đến hết T5/2018</t>
        </r>
      </text>
    </comment>
    <comment ref="N254" authorId="1" shapeId="0" xr:uid="{00000000-0006-0000-0600-0000B003000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Q254" authorId="1" shapeId="0" xr:uid="{00000000-0006-0000-0600-0000B1030000}">
      <text>
        <r>
          <rPr>
            <b/>
            <sz val="9"/>
            <color indexed="81"/>
            <rFont val="Tahoma"/>
            <family val="2"/>
          </rPr>
          <t>Admin:</t>
        </r>
        <r>
          <rPr>
            <sz val="9"/>
            <color indexed="81"/>
            <rFont val="Tahoma"/>
            <family val="2"/>
          </rPr>
          <t xml:space="preserve">
- Bảo lưu đến hết T5/2018</t>
        </r>
      </text>
    </comment>
    <comment ref="F255" authorId="1" shapeId="0" xr:uid="{00000000-0006-0000-0600-0000B203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5" authorId="0" shapeId="0" xr:uid="{00000000-0006-0000-0600-0000B303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J255" authorId="1" shapeId="0" xr:uid="{00000000-0006-0000-0600-0000B4030000}">
      <text>
        <r>
          <rPr>
            <b/>
            <sz val="9"/>
            <color indexed="81"/>
            <rFont val="Tahoma"/>
            <family val="2"/>
          </rPr>
          <t>Admin:</t>
        </r>
        <r>
          <rPr>
            <sz val="9"/>
            <color indexed="81"/>
            <rFont val="Tahoma"/>
            <family val="2"/>
          </rPr>
          <t xml:space="preserve">
- HS 3,33 từ 01/9/2016 (NL Trước hạn 2017)
- HS 3,66 từ 01/9/2019
- HS 3,99 từ 01/9/2022</t>
        </r>
      </text>
    </comment>
    <comment ref="M255" authorId="0" shapeId="0" xr:uid="{00000000-0006-0000-0600-0000B503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N255" authorId="1" shapeId="0" xr:uid="{00000000-0006-0000-0600-0000B6030000}">
      <text>
        <r>
          <rPr>
            <b/>
            <sz val="9"/>
            <color indexed="81"/>
            <rFont val="Tahoma"/>
            <family val="2"/>
          </rPr>
          <t>Admin:</t>
        </r>
        <r>
          <rPr>
            <sz val="9"/>
            <color indexed="81"/>
            <rFont val="Tahoma"/>
            <family val="2"/>
          </rPr>
          <t xml:space="preserve">
- HS 3,33 từ 01/9/2016 (NL Trước hạn 2017)
- HS 3,66 từ 01/9/2019
- HS 3,99 từ 01/9/2022</t>
        </r>
      </text>
    </comment>
    <comment ref="Q255" authorId="0" shapeId="0" xr:uid="{00000000-0006-0000-0600-0000B703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6" authorId="0" shapeId="0" xr:uid="{00000000-0006-0000-0600-0000B8030000}">
      <text>
        <r>
          <rPr>
            <b/>
            <sz val="9"/>
            <color indexed="81"/>
            <rFont val="Tahoma"/>
            <family val="2"/>
          </rPr>
          <t>User:</t>
        </r>
        <r>
          <rPr>
            <sz val="9"/>
            <color indexed="81"/>
            <rFont val="Tahoma"/>
            <family val="2"/>
          </rPr>
          <t xml:space="preserve">
- HS 3,00 từ 01/9/2015
- HS 3,33 từ 01/9/2018
- HS 3,66 từ 01/9/2021</t>
        </r>
      </text>
    </comment>
    <comment ref="J256" authorId="0" shapeId="0" xr:uid="{00000000-0006-0000-0600-0000B9030000}">
      <text>
        <r>
          <rPr>
            <b/>
            <sz val="9"/>
            <color indexed="81"/>
            <rFont val="Tahoma"/>
            <family val="2"/>
          </rPr>
          <t>User:</t>
        </r>
        <r>
          <rPr>
            <sz val="9"/>
            <color indexed="81"/>
            <rFont val="Tahoma"/>
            <family val="2"/>
          </rPr>
          <t xml:space="preserve">
- HS 3,00 từ 01/9/2015
- HS 3,33 từ 01/9/2018
- HS 3,66 từ 01/9/2021</t>
        </r>
      </text>
    </comment>
    <comment ref="N256" authorId="0" shapeId="0" xr:uid="{00000000-0006-0000-0600-0000BA030000}">
      <text>
        <r>
          <rPr>
            <b/>
            <sz val="9"/>
            <color indexed="81"/>
            <rFont val="Tahoma"/>
            <family val="2"/>
          </rPr>
          <t>User:</t>
        </r>
        <r>
          <rPr>
            <sz val="9"/>
            <color indexed="81"/>
            <rFont val="Tahoma"/>
            <family val="2"/>
          </rPr>
          <t xml:space="preserve">
- HS 3,00 từ 01/9/2015
- HS 3,33 từ 01/9/2018
- HS 3,66 từ 01/9/2021
- HS 3,99 từ 01/9/2024</t>
        </r>
      </text>
    </comment>
    <comment ref="F257" authorId="1" shapeId="0" xr:uid="{00000000-0006-0000-0600-0000BB030000}">
      <text>
        <r>
          <rPr>
            <b/>
            <sz val="9"/>
            <color indexed="81"/>
            <rFont val="Tahoma"/>
            <family val="2"/>
          </rPr>
          <t>Admin:</t>
        </r>
        <r>
          <rPr>
            <sz val="9"/>
            <color indexed="81"/>
            <rFont val="Tahoma"/>
            <family val="2"/>
          </rPr>
          <t xml:space="preserve">
- HS 3,00 từ 01/9/2015
- HS 3,33 từ 01/9/2018
- HS 3,66 từ 01/9/2021</t>
        </r>
      </text>
    </comment>
    <comment ref="J257" authorId="1" shapeId="0" xr:uid="{00000000-0006-0000-0600-0000BC030000}">
      <text>
        <r>
          <rPr>
            <b/>
            <sz val="9"/>
            <color indexed="81"/>
            <rFont val="Tahoma"/>
            <family val="2"/>
          </rPr>
          <t>Admin:</t>
        </r>
        <r>
          <rPr>
            <sz val="9"/>
            <color indexed="81"/>
            <rFont val="Tahoma"/>
            <family val="2"/>
          </rPr>
          <t xml:space="preserve">
- HS 3,00 từ 01/9/2015
- HS 3,33 từ 01/9/2018
- HS 3,66 từ 01/9/2021</t>
        </r>
      </text>
    </comment>
    <comment ref="N257" authorId="1" shapeId="0" xr:uid="{00000000-0006-0000-0600-0000BD030000}">
      <text>
        <r>
          <rPr>
            <b/>
            <sz val="9"/>
            <color indexed="81"/>
            <rFont val="Tahoma"/>
            <family val="2"/>
          </rPr>
          <t>Admin:</t>
        </r>
        <r>
          <rPr>
            <sz val="9"/>
            <color indexed="81"/>
            <rFont val="Tahoma"/>
            <family val="2"/>
          </rPr>
          <t xml:space="preserve">
- HS 3,00 từ 01/9/2015
- HS 3,33 từ 01/9/2018
- HS 3,66 từ 01/9/2021
- HS 3,99 từ 01/9/2024</t>
        </r>
      </text>
    </comment>
    <comment ref="F258" authorId="0" shapeId="0" xr:uid="{00000000-0006-0000-0600-0000BE03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8" authorId="0" shapeId="0" xr:uid="{00000000-0006-0000-0600-0000BF03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J258" authorId="0" shapeId="0" xr:uid="{00000000-0006-0000-0600-0000C003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258" authorId="0" shapeId="0" xr:uid="{00000000-0006-0000-0600-0000C103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N258" authorId="0" shapeId="0" xr:uid="{00000000-0006-0000-0600-0000C203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258" authorId="0" shapeId="0" xr:uid="{00000000-0006-0000-0600-0000C303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9" authorId="1" shapeId="0" xr:uid="{00000000-0006-0000-0600-0000C4030000}">
      <text>
        <r>
          <rPr>
            <b/>
            <sz val="9"/>
            <color indexed="81"/>
            <rFont val="Tahoma"/>
            <family val="2"/>
          </rPr>
          <t>Admin:</t>
        </r>
        <r>
          <rPr>
            <sz val="9"/>
            <color indexed="81"/>
            <rFont val="Tahoma"/>
            <family val="2"/>
          </rPr>
          <t xml:space="preserve">
- HS 3,00 từ 01/9/2015
- HS 3,33 từ 01/9/2018
- HS 3,66 từ 01/9/2021</t>
        </r>
      </text>
    </comment>
    <comment ref="J259" authorId="1" shapeId="0" xr:uid="{00000000-0006-0000-0600-0000C5030000}">
      <text>
        <r>
          <rPr>
            <b/>
            <sz val="9"/>
            <color indexed="81"/>
            <rFont val="Tahoma"/>
            <family val="2"/>
          </rPr>
          <t>Admin:</t>
        </r>
        <r>
          <rPr>
            <sz val="9"/>
            <color indexed="81"/>
            <rFont val="Tahoma"/>
            <family val="2"/>
          </rPr>
          <t xml:space="preserve">
- HS 3,00 từ 01/9/2015
- HS 3,33 từ 01/9/2018
- HS 3,66 từ 01/9/2021</t>
        </r>
      </text>
    </comment>
    <comment ref="N259" authorId="1" shapeId="0" xr:uid="{00000000-0006-0000-0600-0000C6030000}">
      <text>
        <r>
          <rPr>
            <b/>
            <sz val="9"/>
            <color indexed="81"/>
            <rFont val="Tahoma"/>
            <family val="2"/>
          </rPr>
          <t>Admin:</t>
        </r>
        <r>
          <rPr>
            <sz val="9"/>
            <color indexed="81"/>
            <rFont val="Tahoma"/>
            <family val="2"/>
          </rPr>
          <t xml:space="preserve">
- HS 3,00 từ 01/9/2015
- HS 3,33 từ 01/9/2018
- HS 3,66 từ 01/9/2021
- HS 3,99 từ 01/9/2024
</t>
        </r>
      </text>
    </comment>
    <comment ref="F260" authorId="1" shapeId="0" xr:uid="{00000000-0006-0000-0600-0000C7030000}">
      <text>
        <r>
          <rPr>
            <b/>
            <sz val="9"/>
            <color indexed="81"/>
            <rFont val="Tahoma"/>
            <family val="2"/>
          </rPr>
          <t>Admin:</t>
        </r>
        <r>
          <rPr>
            <sz val="9"/>
            <color indexed="81"/>
            <rFont val="Tahoma"/>
            <family val="2"/>
          </rPr>
          <t xml:space="preserve">
- HS 3,00 từ 01/9/2017
- HS 3,33 từ 01/9/2019
- HS 3,66 từ 01/9/2022
</t>
        </r>
      </text>
    </comment>
    <comment ref="J260" authorId="1" shapeId="0" xr:uid="{00000000-0006-0000-0600-0000C8030000}">
      <text>
        <r>
          <rPr>
            <b/>
            <sz val="9"/>
            <color indexed="81"/>
            <rFont val="Tahoma"/>
            <family val="2"/>
          </rPr>
          <t>Admin:</t>
        </r>
        <r>
          <rPr>
            <sz val="9"/>
            <color indexed="81"/>
            <rFont val="Tahoma"/>
            <family val="2"/>
          </rPr>
          <t xml:space="preserve">
- HS 3,00 từ 01/9/2017
- HS 3,33 từ 01/9/2019
- HS 3,66 từ 01/9/2022
</t>
        </r>
      </text>
    </comment>
    <comment ref="N260" authorId="1" shapeId="0" xr:uid="{00000000-0006-0000-0600-0000C9030000}">
      <text>
        <r>
          <rPr>
            <b/>
            <sz val="9"/>
            <color indexed="81"/>
            <rFont val="Tahoma"/>
            <family val="2"/>
          </rPr>
          <t>Admin:</t>
        </r>
        <r>
          <rPr>
            <sz val="9"/>
            <color indexed="81"/>
            <rFont val="Tahoma"/>
            <family val="2"/>
          </rPr>
          <t xml:space="preserve">
- HS 3,00 từ 01/9/2017
- HS 3,33 từ 01/9/2019
- HS 3,66 từ 01/9/2022
</t>
        </r>
      </text>
    </comment>
    <comment ref="F261" authorId="8" shapeId="0" xr:uid="{00000000-0006-0000-0600-0000CA030000}">
      <text>
        <r>
          <rPr>
            <sz val="9"/>
            <color indexed="81"/>
            <rFont val="Tahoma"/>
            <family val="2"/>
          </rPr>
          <t>- HS 3,00 từ 01/3/2018
- HS 3,33 từ 01/3/2020 (NL trước hạn)
- HS 3,66 từ 01/03/2023</t>
        </r>
      </text>
    </comment>
    <comment ref="J261" authorId="8" shapeId="0" xr:uid="{00000000-0006-0000-0600-0000CB030000}">
      <text>
        <r>
          <rPr>
            <sz val="9"/>
            <color indexed="81"/>
            <rFont val="Tahoma"/>
            <family val="2"/>
          </rPr>
          <t>- HS 3,00 từ 01/3/2018
- HS 3,33 từ 01/3/2020 (NL trước hạn)
- HS 3,66 từ 01/03/2023</t>
        </r>
      </text>
    </comment>
    <comment ref="N261" authorId="8" shapeId="0" xr:uid="{00000000-0006-0000-0600-0000CC030000}">
      <text>
        <r>
          <rPr>
            <sz val="9"/>
            <color indexed="81"/>
            <rFont val="Tahoma"/>
            <family val="2"/>
          </rPr>
          <t>- HS 3,00 từ 01/3/2018
- HS 3,33 từ 01/3/2020 (NL trước hạn)
- HS 3,66 từ 01/03/2023</t>
        </r>
      </text>
    </comment>
    <comment ref="F262" authorId="1" shapeId="0" xr:uid="{00000000-0006-0000-0600-0000CD03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J262" authorId="1" shapeId="0" xr:uid="{00000000-0006-0000-0600-0000CE03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N262" authorId="1" shapeId="0" xr:uid="{00000000-0006-0000-0600-0000CF03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3" authorId="1" shapeId="0" xr:uid="{00000000-0006-0000-0600-0000D003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J263" authorId="1" shapeId="0" xr:uid="{00000000-0006-0000-0600-0000D103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N263" authorId="1" shapeId="0" xr:uid="{00000000-0006-0000-0600-0000D203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4" authorId="1" shapeId="0" xr:uid="{00000000-0006-0000-0600-0000D303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4" authorId="4" shapeId="0" xr:uid="{00000000-0006-0000-0600-0000D4030000}">
      <text>
        <r>
          <rPr>
            <b/>
            <sz val="9"/>
            <color indexed="81"/>
            <rFont val="Tahoma"/>
            <family val="2"/>
          </rPr>
          <t>Quynh:</t>
        </r>
        <r>
          <rPr>
            <sz val="9"/>
            <color indexed="81"/>
            <rFont val="Tahoma"/>
            <family val="2"/>
          </rPr>
          <t xml:space="preserve">
- BN Trưởng BM Điện ô tô từ 01/01/2019 </t>
        </r>
      </text>
    </comment>
    <comment ref="J264" authorId="1" shapeId="0" xr:uid="{00000000-0006-0000-0600-0000D503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M264" authorId="4" shapeId="0" xr:uid="{00000000-0006-0000-0600-0000D6030000}">
      <text>
        <r>
          <rPr>
            <b/>
            <sz val="9"/>
            <color indexed="81"/>
            <rFont val="Tahoma"/>
            <family val="2"/>
          </rPr>
          <t>Quynh:</t>
        </r>
        <r>
          <rPr>
            <sz val="9"/>
            <color indexed="81"/>
            <rFont val="Tahoma"/>
            <family val="2"/>
          </rPr>
          <t xml:space="preserve">
- BN Trưởng BM Điện ô tô từ 01/01/2019 </t>
        </r>
      </text>
    </comment>
    <comment ref="N264" authorId="1" shapeId="0" xr:uid="{00000000-0006-0000-0600-0000D703000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Q264" authorId="4" shapeId="0" xr:uid="{00000000-0006-0000-0600-0000D8030000}">
      <text>
        <r>
          <rPr>
            <b/>
            <sz val="9"/>
            <color indexed="81"/>
            <rFont val="Tahoma"/>
            <family val="2"/>
          </rPr>
          <t>Quynh:</t>
        </r>
        <r>
          <rPr>
            <sz val="9"/>
            <color indexed="81"/>
            <rFont val="Tahoma"/>
            <family val="2"/>
          </rPr>
          <t xml:space="preserve">
- BN Trưởng BM Điện ô tô từ 01/01/2019 </t>
        </r>
      </text>
    </comment>
    <comment ref="F265" authorId="1" shapeId="0" xr:uid="{00000000-0006-0000-0600-0000D903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J265" authorId="1" shapeId="0" xr:uid="{00000000-0006-0000-0600-0000DA03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N265" authorId="1" shapeId="0" xr:uid="{00000000-0006-0000-0600-0000DB03000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6" authorId="2" shapeId="0" xr:uid="{00000000-0006-0000-0600-0000DC030000}">
      <text>
        <r>
          <rPr>
            <b/>
            <sz val="9"/>
            <color indexed="81"/>
            <rFont val="Tahoma"/>
            <family val="2"/>
          </rPr>
          <t>user:</t>
        </r>
        <r>
          <rPr>
            <sz val="9"/>
            <color indexed="81"/>
            <rFont val="Tahoma"/>
            <family val="2"/>
          </rPr>
          <t xml:space="preserve">
- HS 2,34 từ 01/10/2019
- HS 2,67 từ 01/10/2021 (NL trước hạn)</t>
        </r>
      </text>
    </comment>
    <comment ref="J266" authorId="2" shapeId="0" xr:uid="{00000000-0006-0000-0600-0000DD030000}">
      <text>
        <r>
          <rPr>
            <b/>
            <sz val="9"/>
            <color indexed="81"/>
            <rFont val="Tahoma"/>
            <family val="2"/>
          </rPr>
          <t>user:</t>
        </r>
        <r>
          <rPr>
            <sz val="9"/>
            <color indexed="81"/>
            <rFont val="Tahoma"/>
            <family val="2"/>
          </rPr>
          <t xml:space="preserve">
- HS 2,34 từ 01/10/2019
- HS 2,67 từ 01/10/2021 (NL trước hạn)</t>
        </r>
      </text>
    </comment>
    <comment ref="N266" authorId="2" shapeId="0" xr:uid="{00000000-0006-0000-0600-0000DE030000}">
      <text>
        <r>
          <rPr>
            <b/>
            <sz val="9"/>
            <color indexed="81"/>
            <rFont val="Tahoma"/>
            <family val="2"/>
          </rPr>
          <t>user:</t>
        </r>
        <r>
          <rPr>
            <sz val="9"/>
            <color indexed="81"/>
            <rFont val="Tahoma"/>
            <family val="2"/>
          </rPr>
          <t xml:space="preserve">
- HS 2,34 từ 01/10/2019
- HS 2,67 từ 01/10/2021 (NL trước hạn)</t>
        </r>
      </text>
    </comment>
    <comment ref="F267" authorId="2" shapeId="0" xr:uid="{00000000-0006-0000-0600-0000DF030000}">
      <text>
        <r>
          <rPr>
            <b/>
            <sz val="9"/>
            <color indexed="81"/>
            <rFont val="Tahoma"/>
            <family val="2"/>
          </rPr>
          <t>user:</t>
        </r>
        <r>
          <rPr>
            <sz val="9"/>
            <color indexed="81"/>
            <rFont val="Tahoma"/>
            <family val="2"/>
          </rPr>
          <t xml:space="preserve">
- HS 2,34 từ 01/10/2019
- HS 2,67 từ 01/10/2022</t>
        </r>
      </text>
    </comment>
    <comment ref="J267" authorId="2" shapeId="0" xr:uid="{00000000-0006-0000-0600-0000E0030000}">
      <text>
        <r>
          <rPr>
            <b/>
            <sz val="9"/>
            <color indexed="81"/>
            <rFont val="Tahoma"/>
            <family val="2"/>
          </rPr>
          <t>user:</t>
        </r>
        <r>
          <rPr>
            <sz val="9"/>
            <color indexed="81"/>
            <rFont val="Tahoma"/>
            <family val="2"/>
          </rPr>
          <t xml:space="preserve">
- HS 2,34 từ 01/10/2019
- HS 2,67 từ 01/10/2022</t>
        </r>
      </text>
    </comment>
    <comment ref="N267" authorId="2" shapeId="0" xr:uid="{00000000-0006-0000-0600-0000E1030000}">
      <text>
        <r>
          <rPr>
            <b/>
            <sz val="9"/>
            <color indexed="81"/>
            <rFont val="Tahoma"/>
            <family val="2"/>
          </rPr>
          <t>user:</t>
        </r>
        <r>
          <rPr>
            <sz val="9"/>
            <color indexed="81"/>
            <rFont val="Tahoma"/>
            <family val="2"/>
          </rPr>
          <t xml:space="preserve">
- HS 2,34 từ 01/10/2019
- HS 2,67 từ 01/10/2022</t>
        </r>
      </text>
    </comment>
    <comment ref="F268" authorId="2" shapeId="0" xr:uid="{00000000-0006-0000-0600-0000E2030000}">
      <text>
        <r>
          <rPr>
            <b/>
            <sz val="9"/>
            <color indexed="81"/>
            <rFont val="Tahoma"/>
            <family val="2"/>
          </rPr>
          <t>user:</t>
        </r>
        <r>
          <rPr>
            <sz val="9"/>
            <color indexed="81"/>
            <rFont val="Tahoma"/>
            <family val="2"/>
          </rPr>
          <t xml:space="preserve">
- HS 2,67 từ 01/01/2020
- HS 3,00 từ 01/01/2022 (NL trước hạn)</t>
        </r>
      </text>
    </comment>
    <comment ref="J268" authorId="2" shapeId="0" xr:uid="{00000000-0006-0000-0600-0000E3030000}">
      <text>
        <r>
          <rPr>
            <b/>
            <sz val="9"/>
            <color indexed="81"/>
            <rFont val="Tahoma"/>
            <family val="2"/>
          </rPr>
          <t>user:</t>
        </r>
        <r>
          <rPr>
            <sz val="9"/>
            <color indexed="81"/>
            <rFont val="Tahoma"/>
            <family val="2"/>
          </rPr>
          <t xml:space="preserve">
- HS 2,67 từ 01/01/2020
- HS 3,00 từ 01/01/2022 (NL trước hạn)</t>
        </r>
      </text>
    </comment>
    <comment ref="N268" authorId="2" shapeId="0" xr:uid="{00000000-0006-0000-0600-0000E4030000}">
      <text>
        <r>
          <rPr>
            <b/>
            <sz val="9"/>
            <color indexed="81"/>
            <rFont val="Tahoma"/>
            <family val="2"/>
          </rPr>
          <t>user:</t>
        </r>
        <r>
          <rPr>
            <sz val="9"/>
            <color indexed="81"/>
            <rFont val="Tahoma"/>
            <family val="2"/>
          </rPr>
          <t xml:space="preserve">
- HS 2,67 từ 01/01/2020
- HS 3,00 từ 01/01/2022 (NL trước hạn)</t>
        </r>
      </text>
    </comment>
    <comment ref="F269" authorId="2" shapeId="0" xr:uid="{00000000-0006-0000-0600-0000E5030000}">
      <text>
        <r>
          <rPr>
            <b/>
            <sz val="9"/>
            <color indexed="81"/>
            <rFont val="Tahoma"/>
            <family val="2"/>
          </rPr>
          <t>user:</t>
        </r>
        <r>
          <rPr>
            <sz val="9"/>
            <color indexed="81"/>
            <rFont val="Tahoma"/>
            <family val="2"/>
          </rPr>
          <t xml:space="preserve">
- HS 3,00 từ 01/11/2019
- HS 3,33 từ 01/12/2020
- HS 3,66 từ 01/12/2022</t>
        </r>
      </text>
    </comment>
    <comment ref="J269" authorId="2" shapeId="0" xr:uid="{00000000-0006-0000-0600-0000E6030000}">
      <text>
        <r>
          <rPr>
            <b/>
            <sz val="9"/>
            <color indexed="81"/>
            <rFont val="Tahoma"/>
            <family val="2"/>
          </rPr>
          <t>user:</t>
        </r>
        <r>
          <rPr>
            <sz val="9"/>
            <color indexed="81"/>
            <rFont val="Tahoma"/>
            <family val="2"/>
          </rPr>
          <t xml:space="preserve">
- HS 3,00 từ 01/11/2019
- HS 3,33 từ 01/12/2020
- HS 3,66 từ 01/12/2022</t>
        </r>
      </text>
    </comment>
    <comment ref="N269" authorId="2" shapeId="0" xr:uid="{00000000-0006-0000-0600-0000E7030000}">
      <text>
        <r>
          <rPr>
            <b/>
            <sz val="9"/>
            <color indexed="81"/>
            <rFont val="Tahoma"/>
            <family val="2"/>
          </rPr>
          <t>user:</t>
        </r>
        <r>
          <rPr>
            <sz val="9"/>
            <color indexed="81"/>
            <rFont val="Tahoma"/>
            <family val="2"/>
          </rPr>
          <t xml:space="preserve">
- HS 3,00 từ 01/11/2019
- HS 3,33 từ 01/12/2020
- HS 3,66 từ 01/12/2022</t>
        </r>
      </text>
    </comment>
    <comment ref="F270" authorId="2" shapeId="0" xr:uid="{00000000-0006-0000-0600-0000E8030000}">
      <text>
        <r>
          <rPr>
            <b/>
            <sz val="9"/>
            <color indexed="81"/>
            <rFont val="Tahoma"/>
            <family val="2"/>
          </rPr>
          <t>user:</t>
        </r>
        <r>
          <rPr>
            <sz val="9"/>
            <color indexed="81"/>
            <rFont val="Tahoma"/>
            <family val="2"/>
          </rPr>
          <t xml:space="preserve">
Tuyển dụng từ 01/5/20
- HS 2,34 từ 01/5/2021
- HS 2,67 từ 01/5/2024</t>
        </r>
      </text>
    </comment>
    <comment ref="J270" authorId="2" shapeId="0" xr:uid="{00000000-0006-0000-0600-0000E9030000}">
      <text>
        <r>
          <rPr>
            <b/>
            <sz val="9"/>
            <color indexed="81"/>
            <rFont val="Tahoma"/>
            <family val="2"/>
          </rPr>
          <t>user:</t>
        </r>
        <r>
          <rPr>
            <sz val="9"/>
            <color indexed="81"/>
            <rFont val="Tahoma"/>
            <family val="2"/>
          </rPr>
          <t xml:space="preserve">
Tuyển dụng từ 01/5/20
- HS 2,34 từ 01/5/2021
- HS 2,67 từ 01/5/2024</t>
        </r>
      </text>
    </comment>
    <comment ref="N270" authorId="2" shapeId="0" xr:uid="{00000000-0006-0000-0600-0000EA030000}">
      <text>
        <r>
          <rPr>
            <b/>
            <sz val="9"/>
            <color indexed="81"/>
            <rFont val="Tahoma"/>
            <family val="2"/>
          </rPr>
          <t>user:</t>
        </r>
        <r>
          <rPr>
            <sz val="9"/>
            <color indexed="81"/>
            <rFont val="Tahoma"/>
            <family val="2"/>
          </rPr>
          <t xml:space="preserve">
Tuyển dụng từ 01/5/20
- HS 2,34 từ 01/5/2021
- HS 2,67 từ 01/5/2024</t>
        </r>
      </text>
    </comment>
    <comment ref="F271" authorId="2" shapeId="0" xr:uid="{00000000-0006-0000-0600-0000EB030000}">
      <text>
        <r>
          <rPr>
            <b/>
            <sz val="9"/>
            <color indexed="81"/>
            <rFont val="Tahoma"/>
            <family val="2"/>
          </rPr>
          <t>user:</t>
        </r>
        <r>
          <rPr>
            <sz val="9"/>
            <color indexed="81"/>
            <rFont val="Tahoma"/>
            <family val="2"/>
          </rPr>
          <t xml:space="preserve">
- QĐ Tuyển dụng từ 01/3/2021 (HS 2,34- 85%)
- HS 2,34 từ 01/3/2022 (BNN)</t>
        </r>
      </text>
    </comment>
    <comment ref="J271" authorId="2" shapeId="0" xr:uid="{00000000-0006-0000-0600-0000EC030000}">
      <text>
        <r>
          <rPr>
            <b/>
            <sz val="9"/>
            <color indexed="81"/>
            <rFont val="Tahoma"/>
            <family val="2"/>
          </rPr>
          <t>user:</t>
        </r>
        <r>
          <rPr>
            <sz val="9"/>
            <color indexed="81"/>
            <rFont val="Tahoma"/>
            <family val="2"/>
          </rPr>
          <t xml:space="preserve">
- QĐ Tuyển dụng từ 01/3/2021 (HS 2,34- 85%)
- HS 2,34 từ 01/3/2022 (BNN)</t>
        </r>
      </text>
    </comment>
    <comment ref="N271" authorId="2" shapeId="0" xr:uid="{00000000-0006-0000-0600-0000ED030000}">
      <text>
        <r>
          <rPr>
            <b/>
            <sz val="9"/>
            <color indexed="81"/>
            <rFont val="Tahoma"/>
            <family val="2"/>
          </rPr>
          <t>user:</t>
        </r>
        <r>
          <rPr>
            <sz val="9"/>
            <color indexed="81"/>
            <rFont val="Tahoma"/>
            <family val="2"/>
          </rPr>
          <t xml:space="preserve">
- QĐ Tuyển dụng từ 01/3/2021 (HS 2,34- 85%)
- HS 2,34 từ 01/3/2022 (BNN)</t>
        </r>
      </text>
    </comment>
    <comment ref="F272" authorId="2" shapeId="0" xr:uid="{00000000-0006-0000-0600-0000EE030000}">
      <text>
        <r>
          <rPr>
            <b/>
            <sz val="9"/>
            <color indexed="81"/>
            <rFont val="Tahoma"/>
            <family val="2"/>
          </rPr>
          <t>user:</t>
        </r>
        <r>
          <rPr>
            <sz val="9"/>
            <color indexed="81"/>
            <rFont val="Tahoma"/>
            <family val="2"/>
          </rPr>
          <t xml:space="preserve">
- Tuyển dụng từ 01/4/2021 (85%)
- HS 2,34 từ 01/4/2022</t>
        </r>
      </text>
    </comment>
    <comment ref="J272" authorId="2" shapeId="0" xr:uid="{00000000-0006-0000-0600-0000EF030000}">
      <text>
        <r>
          <rPr>
            <b/>
            <sz val="9"/>
            <color indexed="81"/>
            <rFont val="Tahoma"/>
            <family val="2"/>
          </rPr>
          <t>user:</t>
        </r>
        <r>
          <rPr>
            <sz val="9"/>
            <color indexed="81"/>
            <rFont val="Tahoma"/>
            <family val="2"/>
          </rPr>
          <t xml:space="preserve">
- Tuyển dụng từ 01/4/2021 (85%)
- HS 2,34 từ 01/4/2022</t>
        </r>
      </text>
    </comment>
    <comment ref="N272" authorId="2" shapeId="0" xr:uid="{00000000-0006-0000-0600-0000F0030000}">
      <text>
        <r>
          <rPr>
            <b/>
            <sz val="9"/>
            <color indexed="81"/>
            <rFont val="Tahoma"/>
            <family val="2"/>
          </rPr>
          <t>user:</t>
        </r>
        <r>
          <rPr>
            <sz val="9"/>
            <color indexed="81"/>
            <rFont val="Tahoma"/>
            <family val="2"/>
          </rPr>
          <t xml:space="preserve">
- Tuyển dụng từ 01/4/2021 (85%)
- HS 2,34 từ 01/4/2022</t>
        </r>
      </text>
    </comment>
    <comment ref="F273" authorId="2" shapeId="0" xr:uid="{00000000-0006-0000-0600-0000F103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J273" authorId="2" shapeId="0" xr:uid="{00000000-0006-0000-0600-0000F203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N273" authorId="2" shapeId="0" xr:uid="{00000000-0006-0000-0600-0000F303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4" authorId="3" shapeId="0" xr:uid="{00000000-0006-0000-0600-0000F4030000}">
      <text>
        <r>
          <rPr>
            <b/>
            <sz val="9"/>
            <color indexed="81"/>
            <rFont val="Tahoma"/>
            <family val="2"/>
          </rPr>
          <t>Windows User:</t>
        </r>
        <r>
          <rPr>
            <sz val="9"/>
            <color indexed="81"/>
            <rFont val="Tahoma"/>
            <family val="2"/>
          </rPr>
          <t xml:space="preserve">
- HS 3,00 từ 01/10/2022
- HS 3,33 từ 01/01/2023</t>
        </r>
      </text>
    </comment>
    <comment ref="J274" authorId="3" shapeId="0" xr:uid="{00000000-0006-0000-0600-0000F5030000}">
      <text>
        <r>
          <rPr>
            <b/>
            <sz val="9"/>
            <color indexed="81"/>
            <rFont val="Tahoma"/>
            <family val="2"/>
          </rPr>
          <t>Windows User:</t>
        </r>
        <r>
          <rPr>
            <sz val="9"/>
            <color indexed="81"/>
            <rFont val="Tahoma"/>
            <family val="2"/>
          </rPr>
          <t xml:space="preserve">
- HS 3,00 từ 01/10/2022
- HS 3,33 từ 01/01/2023</t>
        </r>
      </text>
    </comment>
    <comment ref="N274" authorId="3" shapeId="0" xr:uid="{00000000-0006-0000-0600-0000F6030000}">
      <text>
        <r>
          <rPr>
            <b/>
            <sz val="9"/>
            <color indexed="81"/>
            <rFont val="Tahoma"/>
            <family val="2"/>
          </rPr>
          <t>Windows User:</t>
        </r>
        <r>
          <rPr>
            <sz val="9"/>
            <color indexed="81"/>
            <rFont val="Tahoma"/>
            <family val="2"/>
          </rPr>
          <t xml:space="preserve">
- HS 3,00 từ 01/10/2022
- HS 3,33 từ 01/01/2023</t>
        </r>
      </text>
    </comment>
    <comment ref="F276" authorId="6" shapeId="0" xr:uid="{00000000-0006-0000-0600-0000F703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6" authorId="0" shapeId="0" xr:uid="{00000000-0006-0000-0600-0000F803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J276" authorId="6" shapeId="0" xr:uid="{00000000-0006-0000-0600-0000F903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M276" authorId="0" shapeId="0" xr:uid="{00000000-0006-0000-0600-0000FA03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N276" authorId="6" shapeId="0" xr:uid="{00000000-0006-0000-0600-0000FB03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Q276" authorId="0" shapeId="0" xr:uid="{00000000-0006-0000-0600-0000FC03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7" authorId="1" shapeId="0" xr:uid="{00000000-0006-0000-0600-0000FD030000}">
      <text>
        <r>
          <rPr>
            <b/>
            <sz val="9"/>
            <color indexed="81"/>
            <rFont val="Tahoma"/>
            <family val="2"/>
          </rPr>
          <t>Admin:</t>
        </r>
        <r>
          <rPr>
            <sz val="9"/>
            <color indexed="81"/>
            <rFont val="Tahoma"/>
            <family val="2"/>
          </rPr>
          <t xml:space="preserve">
- HS 3,99 từ 01/9/2017
- HS 4,32 từ 01/9/2020
- HS 4,65 từ 01/9/2022</t>
        </r>
      </text>
    </comment>
    <comment ref="J277" authorId="1" shapeId="0" xr:uid="{00000000-0006-0000-0600-0000FE030000}">
      <text>
        <r>
          <rPr>
            <b/>
            <sz val="9"/>
            <color indexed="81"/>
            <rFont val="Tahoma"/>
            <family val="2"/>
          </rPr>
          <t>Admin:</t>
        </r>
        <r>
          <rPr>
            <sz val="9"/>
            <color indexed="81"/>
            <rFont val="Tahoma"/>
            <family val="2"/>
          </rPr>
          <t xml:space="preserve">
- HS 3,99 từ 01/9/2017
- HS 4,32 từ 01/9/2020
- HS 4,65 từ 01/9/2022</t>
        </r>
      </text>
    </comment>
    <comment ref="N277" authorId="1" shapeId="0" xr:uid="{00000000-0006-0000-0600-0000FF030000}">
      <text>
        <r>
          <rPr>
            <b/>
            <sz val="9"/>
            <color indexed="81"/>
            <rFont val="Tahoma"/>
            <family val="2"/>
          </rPr>
          <t>Admin:</t>
        </r>
        <r>
          <rPr>
            <sz val="9"/>
            <color indexed="81"/>
            <rFont val="Tahoma"/>
            <family val="2"/>
          </rPr>
          <t xml:space="preserve">
- HS 3,99 từ 01/9/2017
- HS 4,32 từ 01/9/2020
- HS 4,65 từ 01/9/2022</t>
        </r>
      </text>
    </comment>
    <comment ref="F278" authorId="1" shapeId="0" xr:uid="{00000000-0006-0000-0600-000000040000}">
      <text>
        <r>
          <rPr>
            <b/>
            <sz val="9"/>
            <color indexed="81"/>
            <rFont val="Tahoma"/>
            <family val="2"/>
          </rPr>
          <t>Admin:</t>
        </r>
        <r>
          <rPr>
            <sz val="9"/>
            <color indexed="81"/>
            <rFont val="Tahoma"/>
            <family val="2"/>
          </rPr>
          <t xml:space="preserve">
- HS 3,99 từ 01/9/2017
- HS 4,32 từ 01/9/2020
- HS 4,65 từ 01/9/2023</t>
        </r>
      </text>
    </comment>
    <comment ref="J278" authorId="1" shapeId="0" xr:uid="{00000000-0006-0000-0600-000001040000}">
      <text>
        <r>
          <rPr>
            <b/>
            <sz val="9"/>
            <color indexed="81"/>
            <rFont val="Tahoma"/>
            <family val="2"/>
          </rPr>
          <t>Admin:</t>
        </r>
        <r>
          <rPr>
            <sz val="9"/>
            <color indexed="81"/>
            <rFont val="Tahoma"/>
            <family val="2"/>
          </rPr>
          <t xml:space="preserve">
- HS 3,99 từ 01/9/2017
- HS 4,32 từ 01/9/2020
- HS 4,65 từ 01/9/2023</t>
        </r>
      </text>
    </comment>
    <comment ref="N278" authorId="1" shapeId="0" xr:uid="{00000000-0006-0000-0600-000002040000}">
      <text>
        <r>
          <rPr>
            <b/>
            <sz val="9"/>
            <color indexed="81"/>
            <rFont val="Tahoma"/>
            <family val="2"/>
          </rPr>
          <t>Admin:</t>
        </r>
        <r>
          <rPr>
            <sz val="9"/>
            <color indexed="81"/>
            <rFont val="Tahoma"/>
            <family val="2"/>
          </rPr>
          <t xml:space="preserve">
- HS 3,99 từ 01/9/2017
- HS 4,32 từ 01/9/2020
- HS 4,65 từ 01/9/2023</t>
        </r>
      </text>
    </comment>
    <comment ref="F279" authorId="1" shapeId="0" xr:uid="{00000000-0006-0000-0600-000003040000}">
      <text>
        <r>
          <rPr>
            <b/>
            <sz val="9"/>
            <color indexed="81"/>
            <rFont val="Tahoma"/>
            <family val="2"/>
          </rPr>
          <t>Admin:</t>
        </r>
        <r>
          <rPr>
            <sz val="9"/>
            <color indexed="81"/>
            <rFont val="Tahoma"/>
            <family val="2"/>
          </rPr>
          <t xml:space="preserve">
- HS 3,00 từ 01/9/2016
- HS 3,33 từ 01/9/2019
- HS 3,66 từ 01/9/2022</t>
        </r>
      </text>
    </comment>
    <comment ref="J279" authorId="1" shapeId="0" xr:uid="{00000000-0006-0000-0600-000004040000}">
      <text>
        <r>
          <rPr>
            <b/>
            <sz val="9"/>
            <color indexed="81"/>
            <rFont val="Tahoma"/>
            <family val="2"/>
          </rPr>
          <t>Admin:</t>
        </r>
        <r>
          <rPr>
            <sz val="9"/>
            <color indexed="81"/>
            <rFont val="Tahoma"/>
            <family val="2"/>
          </rPr>
          <t xml:space="preserve">
- HS 3,00 từ 01/9/2016
- HS 3,33 từ 01/9/2019
- HS 3,66 từ 01/9/2022</t>
        </r>
      </text>
    </comment>
    <comment ref="N279" authorId="1" shapeId="0" xr:uid="{00000000-0006-0000-0600-000005040000}">
      <text>
        <r>
          <rPr>
            <b/>
            <sz val="9"/>
            <color indexed="81"/>
            <rFont val="Tahoma"/>
            <family val="2"/>
          </rPr>
          <t>Admin:</t>
        </r>
        <r>
          <rPr>
            <sz val="9"/>
            <color indexed="81"/>
            <rFont val="Tahoma"/>
            <family val="2"/>
          </rPr>
          <t xml:space="preserve">
- HS 3,00 từ 01/9/2016
- HS 3,33 từ 01/9/2019
- HS 3,66 từ 01/9/2022</t>
        </r>
      </text>
    </comment>
    <comment ref="F280" authorId="1" shapeId="0" xr:uid="{00000000-0006-0000-0600-000006040000}">
      <text>
        <r>
          <rPr>
            <b/>
            <sz val="9"/>
            <color indexed="81"/>
            <rFont val="Tahoma"/>
            <family val="2"/>
          </rPr>
          <t>Admin:</t>
        </r>
        <r>
          <rPr>
            <sz val="9"/>
            <color indexed="81"/>
            <rFont val="Tahoma"/>
            <family val="2"/>
          </rPr>
          <t xml:space="preserve">
- HS 3,00 từ 01/9/2017
- HS 3,33 từ 01/9/2020
- HS 3,66 từ 01/9/2023</t>
        </r>
      </text>
    </comment>
    <comment ref="J280" authorId="1" shapeId="0" xr:uid="{00000000-0006-0000-0600-000007040000}">
      <text>
        <r>
          <rPr>
            <b/>
            <sz val="9"/>
            <color indexed="81"/>
            <rFont val="Tahoma"/>
            <family val="2"/>
          </rPr>
          <t>Admin:</t>
        </r>
        <r>
          <rPr>
            <sz val="9"/>
            <color indexed="81"/>
            <rFont val="Tahoma"/>
            <family val="2"/>
          </rPr>
          <t xml:space="preserve">
- HS 3,00 từ 01/9/2017
- HS 3,33 từ 01/9/2020
- HS 3,66 từ 01/9/2023</t>
        </r>
      </text>
    </comment>
    <comment ref="N280" authorId="1" shapeId="0" xr:uid="{00000000-0006-0000-0600-000008040000}">
      <text>
        <r>
          <rPr>
            <b/>
            <sz val="9"/>
            <color indexed="81"/>
            <rFont val="Tahoma"/>
            <family val="2"/>
          </rPr>
          <t>Admin:</t>
        </r>
        <r>
          <rPr>
            <sz val="9"/>
            <color indexed="81"/>
            <rFont val="Tahoma"/>
            <family val="2"/>
          </rPr>
          <t xml:space="preserve">
- HS 3,00 từ 01/9/2017
- HS 3,33 từ 01/9/2020
- HS 3,66 từ 01/9/2023</t>
        </r>
      </text>
    </comment>
    <comment ref="F281" authorId="1" shapeId="0" xr:uid="{00000000-0006-0000-0600-000009040000}">
      <text>
        <r>
          <rPr>
            <b/>
            <sz val="9"/>
            <color indexed="81"/>
            <rFont val="Tahoma"/>
            <family val="2"/>
          </rPr>
          <t>Admin:</t>
        </r>
        <r>
          <rPr>
            <sz val="9"/>
            <color indexed="81"/>
            <rFont val="Tahoma"/>
            <family val="2"/>
          </rPr>
          <t xml:space="preserve">
- HS 3,66 từ 01/9/2016
- HS 3,99 từ 01/9/2019
- HS 4,32 từ 01/9/2022</t>
        </r>
      </text>
    </comment>
    <comment ref="J281" authorId="1" shapeId="0" xr:uid="{00000000-0006-0000-0600-00000A040000}">
      <text>
        <r>
          <rPr>
            <b/>
            <sz val="9"/>
            <color indexed="81"/>
            <rFont val="Tahoma"/>
            <family val="2"/>
          </rPr>
          <t>Admin:</t>
        </r>
        <r>
          <rPr>
            <sz val="9"/>
            <color indexed="81"/>
            <rFont val="Tahoma"/>
            <family val="2"/>
          </rPr>
          <t xml:space="preserve">
- HS 3,66 từ 01/9/2016
- HS 3,99 từ 01/9/2019
- HS 4,32 từ 01/9/2022</t>
        </r>
      </text>
    </comment>
    <comment ref="N281" authorId="1" shapeId="0" xr:uid="{00000000-0006-0000-0600-00000B040000}">
      <text>
        <r>
          <rPr>
            <b/>
            <sz val="9"/>
            <color indexed="81"/>
            <rFont val="Tahoma"/>
            <family val="2"/>
          </rPr>
          <t>Admin:</t>
        </r>
        <r>
          <rPr>
            <sz val="9"/>
            <color indexed="81"/>
            <rFont val="Tahoma"/>
            <family val="2"/>
          </rPr>
          <t xml:space="preserve">
- HS 3,66 từ 01/9/2016
- HS 3,99 từ 01/9/2019
- HS 4,32 từ 01/9/2022</t>
        </r>
      </text>
    </comment>
    <comment ref="F282" authorId="2" shapeId="0" xr:uid="{00000000-0006-0000-0600-00000C04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J282" authorId="2" shapeId="0" xr:uid="{00000000-0006-0000-0600-00000D04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N282" authorId="2" shapeId="0" xr:uid="{00000000-0006-0000-0600-00000E04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3" authorId="0" shapeId="0" xr:uid="{00000000-0006-0000-0600-00000F040000}">
      <text>
        <r>
          <rPr>
            <b/>
            <sz val="9"/>
            <color indexed="81"/>
            <rFont val="Tahoma"/>
            <family val="2"/>
          </rPr>
          <t>User:</t>
        </r>
        <r>
          <rPr>
            <sz val="9"/>
            <color indexed="81"/>
            <rFont val="Tahoma"/>
            <family val="2"/>
          </rPr>
          <t xml:space="preserve">
- HS 4,32 từ 01/10/2015
- HS 4,65 từ 01/10/2018
- HS 4,98 từ 01/10/2021</t>
        </r>
      </text>
    </comment>
    <comment ref="J283" authorId="0" shapeId="0" xr:uid="{00000000-0006-0000-0600-000010040000}">
      <text>
        <r>
          <rPr>
            <b/>
            <sz val="9"/>
            <color indexed="81"/>
            <rFont val="Tahoma"/>
            <family val="2"/>
          </rPr>
          <t>User:</t>
        </r>
        <r>
          <rPr>
            <sz val="9"/>
            <color indexed="81"/>
            <rFont val="Tahoma"/>
            <family val="2"/>
          </rPr>
          <t xml:space="preserve">
- HS 4,32 từ 01/10/2015
- HS 4,65 từ 01/10/2018
- HS 4,98 từ 01/10/2021</t>
        </r>
      </text>
    </comment>
    <comment ref="N283" authorId="0" shapeId="0" xr:uid="{00000000-0006-0000-0600-000011040000}">
      <text>
        <r>
          <rPr>
            <b/>
            <sz val="9"/>
            <color indexed="81"/>
            <rFont val="Tahoma"/>
            <family val="2"/>
          </rPr>
          <t>User:</t>
        </r>
        <r>
          <rPr>
            <sz val="9"/>
            <color indexed="81"/>
            <rFont val="Tahoma"/>
            <family val="2"/>
          </rPr>
          <t xml:space="preserve">
- HS 4,32 từ 01/10/2015
- HS 4,65 từ 01/10/2018
- HS 4,98 từ 01/10/2021</t>
        </r>
      </text>
    </comment>
    <comment ref="F284" authorId="8" shapeId="0" xr:uid="{00000000-0006-0000-0600-000012040000}">
      <text>
        <r>
          <rPr>
            <sz val="9"/>
            <color indexed="81"/>
            <rFont val="Tahoma"/>
            <family val="2"/>
          </rPr>
          <t>- HS 2,67 hưởng từ 01/9 làm bảng truy lãnh từ tháng 9-11/2017
- HS 3,00 từ 01/9/2019
- HS 3,33 từ 01/9/2022</t>
        </r>
      </text>
    </comment>
    <comment ref="I284" authorId="1" shapeId="0" xr:uid="{00000000-0006-0000-0600-000013040000}">
      <text>
        <r>
          <rPr>
            <b/>
            <sz val="9"/>
            <color indexed="81"/>
            <rFont val="Tahoma"/>
            <family val="2"/>
          </rPr>
          <t>Admin:</t>
        </r>
        <r>
          <rPr>
            <sz val="9"/>
            <color indexed="81"/>
            <rFont val="Tahoma"/>
            <family val="2"/>
          </rPr>
          <t xml:space="preserve">
- BN Phó TK từ 01/8/2018</t>
        </r>
      </text>
    </comment>
    <comment ref="J284" authorId="8" shapeId="0" xr:uid="{00000000-0006-0000-0600-000014040000}">
      <text>
        <r>
          <rPr>
            <sz val="9"/>
            <color indexed="81"/>
            <rFont val="Tahoma"/>
            <family val="2"/>
          </rPr>
          <t>- HS 2,67 hưởng từ 01/9 làm bảng truy lãnh từ tháng 9-11/2017
- HS 3,00 từ 01/9/2019
- HS 3,33 từ 01/9/2022</t>
        </r>
      </text>
    </comment>
    <comment ref="M284" authorId="1" shapeId="0" xr:uid="{00000000-0006-0000-0600-000015040000}">
      <text>
        <r>
          <rPr>
            <b/>
            <sz val="9"/>
            <color indexed="81"/>
            <rFont val="Tahoma"/>
            <family val="2"/>
          </rPr>
          <t>Admin:</t>
        </r>
        <r>
          <rPr>
            <sz val="9"/>
            <color indexed="81"/>
            <rFont val="Tahoma"/>
            <family val="2"/>
          </rPr>
          <t xml:space="preserve">
- BN Phó TK từ 01/8/2018</t>
        </r>
      </text>
    </comment>
    <comment ref="N284" authorId="8" shapeId="0" xr:uid="{00000000-0006-0000-0600-000016040000}">
      <text>
        <r>
          <rPr>
            <sz val="9"/>
            <color indexed="81"/>
            <rFont val="Tahoma"/>
            <family val="2"/>
          </rPr>
          <t>- HS 2,67 hưởng từ 01/9 làm bảng truy lãnh từ tháng 9-11/2017
- HS 3,00 từ 01/9/2019
- HS 3,33 từ 01/9/2022</t>
        </r>
      </text>
    </comment>
    <comment ref="Q284" authorId="1" shapeId="0" xr:uid="{00000000-0006-0000-0600-000017040000}">
      <text>
        <r>
          <rPr>
            <b/>
            <sz val="9"/>
            <color indexed="81"/>
            <rFont val="Tahoma"/>
            <family val="2"/>
          </rPr>
          <t>Admin:</t>
        </r>
        <r>
          <rPr>
            <sz val="9"/>
            <color indexed="81"/>
            <rFont val="Tahoma"/>
            <family val="2"/>
          </rPr>
          <t xml:space="preserve">
- BN Phó TK từ 01/8/2018</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23" authorId="0" shapeId="0" xr:uid="{00000000-0006-0000-07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4" authorId="1" shapeId="0" xr:uid="{00000000-0006-0000-0700-000002000000}">
      <text>
        <r>
          <rPr>
            <b/>
            <sz val="9"/>
            <color indexed="81"/>
            <rFont val="Tahoma"/>
            <family val="2"/>
          </rPr>
          <t>Admin:</t>
        </r>
        <r>
          <rPr>
            <sz val="9"/>
            <color indexed="81"/>
            <rFont val="Tahoma"/>
            <family val="2"/>
          </rPr>
          <t xml:space="preserve">
- HS 4,65 từ 01/12/2015
- HS 4,98 từ 01/12/2018</t>
        </r>
      </text>
    </comment>
    <comment ref="G24" authorId="2" shapeId="0" xr:uid="{00000000-0006-0000-0700-000003000000}">
      <text>
        <r>
          <rPr>
            <b/>
            <sz val="9"/>
            <color indexed="81"/>
            <rFont val="Tahoma"/>
            <family val="2"/>
          </rPr>
          <t>user:</t>
        </r>
        <r>
          <rPr>
            <sz val="9"/>
            <color indexed="81"/>
            <rFont val="Tahoma"/>
            <family val="2"/>
          </rPr>
          <t xml:space="preserve">
- VK 5% từ 01/12/2021
- VK 6% từ 01/12/2022
- VK 7% từ 01/12/2023</t>
        </r>
      </text>
    </comment>
    <comment ref="F25" authorId="0" shapeId="0" xr:uid="{00000000-0006-0000-0700-000004000000}">
      <text>
        <r>
          <rPr>
            <b/>
            <sz val="9"/>
            <color indexed="81"/>
            <rFont val="Tahoma"/>
            <family val="2"/>
          </rPr>
          <t>User:</t>
        </r>
        <r>
          <rPr>
            <sz val="9"/>
            <color indexed="81"/>
            <rFont val="Tahoma"/>
            <family val="2"/>
          </rPr>
          <t xml:space="preserve">
- 4,65 từ 01/10/2015
- HS 4,98 từ 01/10/17 (NL trước hạn)</t>
        </r>
      </text>
    </comment>
    <comment ref="G25" authorId="2" shapeId="0" xr:uid="{00000000-0006-0000-07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25" authorId="1" shapeId="0" xr:uid="{00000000-0006-0000-0700-000006000000}">
      <text>
        <r>
          <rPr>
            <b/>
            <sz val="9"/>
            <color indexed="81"/>
            <rFont val="Tahoma"/>
            <family val="2"/>
          </rPr>
          <t>Admin:</t>
        </r>
        <r>
          <rPr>
            <sz val="9"/>
            <color indexed="81"/>
            <rFont val="Tahoma"/>
            <family val="2"/>
          </rPr>
          <t xml:space="preserve">
- HS 0,7 từ 01/11/2016</t>
        </r>
      </text>
    </comment>
    <comment ref="F26" authorId="2" shapeId="0" xr:uid="{00000000-0006-0000-0700-000007000000}">
      <text>
        <r>
          <rPr>
            <b/>
            <sz val="9"/>
            <color indexed="81"/>
            <rFont val="Tahoma"/>
            <family val="2"/>
          </rPr>
          <t>user:</t>
        </r>
        <r>
          <rPr>
            <sz val="9"/>
            <color indexed="81"/>
            <rFont val="Tahoma"/>
            <family val="2"/>
          </rPr>
          <t xml:space="preserve">
- HS 4.32 từ 01/4/2019
- HS 4,65 từ 01/4/2021 (NL trước hạn)
</t>
        </r>
      </text>
    </comment>
    <comment ref="I26" authorId="2" shapeId="0" xr:uid="{00000000-0006-0000-0700-000008000000}">
      <text>
        <r>
          <rPr>
            <b/>
            <sz val="9"/>
            <color indexed="81"/>
            <rFont val="Tahoma"/>
            <family val="2"/>
          </rPr>
          <t>user:</t>
        </r>
        <r>
          <rPr>
            <sz val="9"/>
            <color indexed="81"/>
            <rFont val="Tahoma"/>
            <family val="2"/>
          </rPr>
          <t xml:space="preserve">
- HS 0.7 từ 15/4/2019</t>
        </r>
      </text>
    </comment>
    <comment ref="F27" authorId="0" shapeId="0" xr:uid="{00000000-0006-0000-07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27" authorId="3" shapeId="0" xr:uid="{00000000-0006-0000-0700-00000A000000}">
      <text>
        <r>
          <rPr>
            <b/>
            <sz val="9"/>
            <color indexed="81"/>
            <rFont val="Tahoma"/>
            <family val="2"/>
          </rPr>
          <t>Windows User:</t>
        </r>
        <r>
          <rPr>
            <sz val="9"/>
            <color indexed="81"/>
            <rFont val="Tahoma"/>
            <family val="2"/>
          </rPr>
          <t xml:space="preserve">
- VK 5% từ 01/9/2023</t>
        </r>
      </text>
    </comment>
    <comment ref="F28" authorId="4" shapeId="0" xr:uid="{00000000-0006-0000-07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8" authorId="2" shapeId="0" xr:uid="{00000000-0006-0000-0700-00000C000000}">
      <text>
        <r>
          <rPr>
            <b/>
            <sz val="9"/>
            <color indexed="81"/>
            <rFont val="Tahoma"/>
            <family val="2"/>
          </rPr>
          <t>user:</t>
        </r>
        <r>
          <rPr>
            <sz val="9"/>
            <color indexed="81"/>
            <rFont val="Tahoma"/>
            <family val="2"/>
          </rPr>
          <t xml:space="preserve">
- PP TC-HC-TH từ 01/9/2020</t>
        </r>
      </text>
    </comment>
    <comment ref="F29" authorId="0" shapeId="0" xr:uid="{00000000-0006-0000-07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9" authorId="2" shapeId="0" xr:uid="{00000000-0006-0000-0700-00000E000000}">
      <text>
        <r>
          <rPr>
            <b/>
            <sz val="9"/>
            <color indexed="81"/>
            <rFont val="Tahoma"/>
            <family val="2"/>
          </rPr>
          <t>user:</t>
        </r>
        <r>
          <rPr>
            <sz val="9"/>
            <color indexed="81"/>
            <rFont val="Tahoma"/>
            <family val="2"/>
          </rPr>
          <t xml:space="preserve">
BN Phó TP từ 01/03/2021</t>
        </r>
      </text>
    </comment>
    <comment ref="F30" authorId="5" shapeId="0" xr:uid="{00000000-0006-0000-07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1" authorId="0" shapeId="0" xr:uid="{00000000-0006-0000-07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2" authorId="1" shapeId="0" xr:uid="{00000000-0006-0000-07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3" authorId="1" shapeId="0" xr:uid="{00000000-0006-0000-07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4" authorId="5" shapeId="0" xr:uid="{00000000-0006-0000-07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5" authorId="5" shapeId="0" xr:uid="{00000000-0006-0000-07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6" authorId="1" shapeId="0" xr:uid="{00000000-0006-0000-07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7" authorId="1" shapeId="0" xr:uid="{00000000-0006-0000-07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xr:uid="{00000000-0006-0000-0700-000017000000}">
      <text>
        <r>
          <rPr>
            <sz val="9"/>
            <color indexed="81"/>
            <rFont val="Tahoma"/>
            <family val="2"/>
          </rPr>
          <t>- Tập sự từ 01/4/2018 85% 2,1</t>
        </r>
        <r>
          <rPr>
            <sz val="9"/>
            <color indexed="81"/>
            <rFont val="Tahoma"/>
            <family val="2"/>
          </rPr>
          <t xml:space="preserve">
</t>
        </r>
      </text>
    </comment>
    <comment ref="F38" authorId="0" shapeId="0" xr:uid="{00000000-0006-0000-07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38" authorId="3" shapeId="0" xr:uid="{00000000-0006-0000-0700-000019000000}">
      <text>
        <r>
          <rPr>
            <b/>
            <sz val="9"/>
            <color indexed="81"/>
            <rFont val="Tahoma"/>
            <family val="2"/>
          </rPr>
          <t>Windows User:</t>
        </r>
        <r>
          <rPr>
            <sz val="9"/>
            <color indexed="81"/>
            <rFont val="Tahoma"/>
            <family val="2"/>
          </rPr>
          <t xml:space="preserve">
- VK 5% từ 01/9/2023</t>
        </r>
      </text>
    </comment>
    <comment ref="F39" authorId="1" shapeId="0" xr:uid="{00000000-0006-0000-0700-00001A000000}">
      <text>
        <r>
          <rPr>
            <b/>
            <sz val="9"/>
            <color indexed="81"/>
            <rFont val="Tahoma"/>
            <family val="2"/>
          </rPr>
          <t>Admin:</t>
        </r>
        <r>
          <rPr>
            <sz val="9"/>
            <color indexed="81"/>
            <rFont val="Tahoma"/>
            <family val="2"/>
          </rPr>
          <t xml:space="preserve">
- HS 4,65 từ 01/12/2015
- HS 4,98 từ 01/12/2018</t>
        </r>
      </text>
    </comment>
    <comment ref="G39" authorId="2" shapeId="0" xr:uid="{00000000-0006-0000-0700-00001B000000}">
      <text>
        <r>
          <rPr>
            <b/>
            <sz val="9"/>
            <color indexed="81"/>
            <rFont val="Tahoma"/>
            <family val="2"/>
          </rPr>
          <t>user:</t>
        </r>
        <r>
          <rPr>
            <sz val="9"/>
            <color indexed="81"/>
            <rFont val="Tahoma"/>
            <family val="2"/>
          </rPr>
          <t xml:space="preserve">
- VK 5% từ 01/12/2021
- VK 6% từ 01/12/2022
- VK 7% từ 01/12/2023</t>
        </r>
      </text>
    </comment>
    <comment ref="I39" authorId="6" shapeId="0" xr:uid="{00000000-0006-0000-0700-00001C000000}">
      <text>
        <r>
          <rPr>
            <b/>
            <sz val="8"/>
            <color indexed="81"/>
            <rFont val="Tahoma"/>
            <family val="2"/>
          </rPr>
          <t>admin:</t>
        </r>
        <r>
          <rPr>
            <sz val="8"/>
            <color indexed="81"/>
            <rFont val="Tahoma"/>
            <family val="2"/>
          </rPr>
          <t xml:space="preserve">
+ QĐ Bổ nhiệm Phó Trưởng phòng QT CSVC từ 01/06/2014</t>
        </r>
      </text>
    </comment>
    <comment ref="F40" authorId="0" shapeId="0" xr:uid="{00000000-0006-0000-07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1" authorId="1" shapeId="0" xr:uid="{00000000-0006-0000-07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2" authorId="1" shapeId="0" xr:uid="{00000000-0006-0000-07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3" authorId="1" shapeId="0" xr:uid="{00000000-0006-0000-07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4" authorId="0" shapeId="0" xr:uid="{00000000-0006-0000-07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5" authorId="1" shapeId="0" xr:uid="{00000000-0006-0000-0700-000022000000}">
      <text>
        <r>
          <rPr>
            <b/>
            <sz val="9"/>
            <color indexed="81"/>
            <rFont val="Tahoma"/>
            <family val="2"/>
          </rPr>
          <t>Admin:</t>
        </r>
        <r>
          <rPr>
            <sz val="9"/>
            <color indexed="81"/>
            <rFont val="Tahoma"/>
            <family val="2"/>
          </rPr>
          <t xml:space="preserve">
- HS 2,41 từ 01/11/2015
- HS 2,72 từ 01/11/2018
- HS 3,03 từ 01/11/2021</t>
        </r>
      </text>
    </comment>
    <comment ref="F46" authorId="0" shapeId="0" xr:uid="{00000000-0006-0000-07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6" authorId="0" shapeId="0" xr:uid="{00000000-0006-0000-07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7" authorId="1" shapeId="0" xr:uid="{00000000-0006-0000-0700-000025000000}">
      <text>
        <r>
          <rPr>
            <b/>
            <sz val="9"/>
            <color indexed="81"/>
            <rFont val="Tahoma"/>
            <family val="2"/>
          </rPr>
          <t>Admin:</t>
        </r>
        <r>
          <rPr>
            <sz val="9"/>
            <color indexed="81"/>
            <rFont val="Tahoma"/>
            <family val="2"/>
          </rPr>
          <t xml:space="preserve">
- Bổ nhiệm CDNN từ 01/4/2018
- HS 2,34 từ 01/2/2017
- HS 2,67 từ 01/2/2019</t>
        </r>
      </text>
    </comment>
    <comment ref="I47" authorId="7" shapeId="0" xr:uid="{00000000-0006-0000-07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8" authorId="2" shapeId="0" xr:uid="{00000000-0006-0000-07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9" authorId="0" shapeId="0" xr:uid="{00000000-0006-0000-07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9" authorId="3" shapeId="0" xr:uid="{00000000-0006-0000-0700-000029000000}">
      <text>
        <r>
          <rPr>
            <b/>
            <sz val="9"/>
            <color indexed="81"/>
            <rFont val="Tahoma"/>
            <family val="2"/>
          </rPr>
          <t>Windows User:</t>
        </r>
        <r>
          <rPr>
            <sz val="9"/>
            <color indexed="81"/>
            <rFont val="Tahoma"/>
            <family val="2"/>
          </rPr>
          <t xml:space="preserve">
- VK 5% từ 01/9/2023</t>
        </r>
      </text>
    </comment>
    <comment ref="I49" authorId="0" shapeId="0" xr:uid="{00000000-0006-0000-0700-00002A000000}">
      <text>
        <r>
          <rPr>
            <b/>
            <sz val="9"/>
            <color indexed="81"/>
            <rFont val="Tahoma"/>
            <family val="2"/>
          </rPr>
          <t>User:</t>
        </r>
        <r>
          <rPr>
            <sz val="9"/>
            <color indexed="81"/>
            <rFont val="Tahoma"/>
            <family val="2"/>
          </rPr>
          <t xml:space="preserve">
- QĐ Bổ nhiệm Tổ trưởng tổ Ký túc xá SV từ 15/9/2015</t>
        </r>
      </text>
    </comment>
    <comment ref="F50" authorId="0" shapeId="0" xr:uid="{00000000-0006-0000-07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1" authorId="3" shapeId="0" xr:uid="{00000000-0006-0000-0700-00002C000000}">
      <text>
        <r>
          <rPr>
            <b/>
            <sz val="9"/>
            <color indexed="81"/>
            <rFont val="Tahoma"/>
            <family val="2"/>
          </rPr>
          <t>Windows User:</t>
        </r>
        <r>
          <rPr>
            <sz val="9"/>
            <color indexed="81"/>
            <rFont val="Tahoma"/>
            <family val="2"/>
          </rPr>
          <t xml:space="preserve">
- VK 10% từ 01/9/2023</t>
        </r>
      </text>
    </comment>
    <comment ref="I51" authorId="3" shapeId="0" xr:uid="{00000000-0006-0000-0700-00002D000000}">
      <text>
        <r>
          <rPr>
            <b/>
            <sz val="9"/>
            <color indexed="81"/>
            <rFont val="Tahoma"/>
            <family val="2"/>
          </rPr>
          <t>Windows User:</t>
        </r>
        <r>
          <rPr>
            <sz val="9"/>
            <color indexed="81"/>
            <rFont val="Tahoma"/>
            <family val="2"/>
          </rPr>
          <t xml:space="preserve">
- Phó TP QT-DV từ T10/23</t>
        </r>
      </text>
    </comment>
    <comment ref="F52" authorId="1" shapeId="0" xr:uid="{00000000-0006-0000-07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3" authorId="1" shapeId="0" xr:uid="{00000000-0006-0000-07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4" authorId="1" shapeId="0" xr:uid="{00000000-0006-0000-0700-000030000000}">
      <text>
        <r>
          <rPr>
            <sz val="9"/>
            <color indexed="81"/>
            <rFont val="Tahoma"/>
            <family val="2"/>
          </rPr>
          <t>- 31% từ 01/10/2017
- 32% từ 01/10/2018
- 33% từ 01/10/2019
- 34% từ 01/10/2020
- 35% từ 01/10/2021
- 36% từ 01/10/2022</t>
        </r>
      </text>
    </comment>
    <comment ref="I54" authorId="0" shapeId="0" xr:uid="{00000000-0006-0000-0700-000031000000}">
      <text>
        <r>
          <rPr>
            <b/>
            <sz val="9"/>
            <color indexed="81"/>
            <rFont val="Tahoma"/>
            <family val="2"/>
          </rPr>
          <t>User:</t>
        </r>
        <r>
          <rPr>
            <sz val="9"/>
            <color indexed="81"/>
            <rFont val="Tahoma"/>
            <family val="2"/>
          </rPr>
          <t xml:space="preserve">
Trưởng phòng Kế toán từ 19/8/2015
</t>
        </r>
      </text>
    </comment>
    <comment ref="F55" authorId="0" shapeId="0" xr:uid="{00000000-0006-0000-07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56" authorId="0" shapeId="0" xr:uid="{00000000-0006-0000-07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7" authorId="1" shapeId="0" xr:uid="{00000000-0006-0000-07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8" authorId="0" shapeId="0" xr:uid="{00000000-0006-0000-07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9" authorId="1" shapeId="0" xr:uid="{00000000-0006-0000-0700-000036000000}">
      <text>
        <r>
          <rPr>
            <b/>
            <sz val="9"/>
            <color indexed="81"/>
            <rFont val="Tahoma"/>
            <family val="2"/>
          </rPr>
          <t>Admin:</t>
        </r>
        <r>
          <rPr>
            <sz val="9"/>
            <color indexed="81"/>
            <rFont val="Tahoma"/>
            <family val="2"/>
          </rPr>
          <t xml:space="preserve">
- HS 3,66 từ 01/01/2017
- HS 3,99 từ 01/01/2019</t>
        </r>
      </text>
    </comment>
    <comment ref="I59" authorId="1" shapeId="0" xr:uid="{00000000-0006-0000-0700-000037000000}">
      <text>
        <r>
          <rPr>
            <b/>
            <sz val="9"/>
            <color indexed="81"/>
            <rFont val="Tahoma"/>
            <family val="2"/>
          </rPr>
          <t>Admin:</t>
        </r>
        <r>
          <rPr>
            <sz val="9"/>
            <color indexed="81"/>
            <rFont val="Tahoma"/>
            <family val="2"/>
          </rPr>
          <t xml:space="preserve">
- Phụ trách TT Quan hệ DN từ 01/5/2018
- Trưởng TT từ 01/12/2019</t>
        </r>
      </text>
    </comment>
    <comment ref="F60" authorId="0" shapeId="0" xr:uid="{00000000-0006-0000-0700-000038000000}">
      <text>
        <r>
          <rPr>
            <b/>
            <sz val="9"/>
            <color indexed="81"/>
            <rFont val="Tahoma"/>
            <family val="2"/>
          </rPr>
          <t>User:</t>
        </r>
        <r>
          <rPr>
            <sz val="9"/>
            <color indexed="81"/>
            <rFont val="Tahoma"/>
            <family val="2"/>
          </rPr>
          <t xml:space="preserve">
- HS 3,33 từ 01/9/2015
- HS 3,66 từ 01/9/2018
- HS 3,99 từ 01/9/2021</t>
        </r>
      </text>
    </comment>
    <comment ref="F61" authorId="1" shapeId="0" xr:uid="{00000000-0006-0000-07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62" authorId="1" shapeId="0" xr:uid="{00000000-0006-0000-0700-00003A000000}">
      <text>
        <r>
          <rPr>
            <b/>
            <sz val="9"/>
            <color indexed="81"/>
            <rFont val="Tahoma"/>
            <family val="2"/>
          </rPr>
          <t>Admin:</t>
        </r>
        <r>
          <rPr>
            <sz val="9"/>
            <color indexed="81"/>
            <rFont val="Tahoma"/>
            <family val="2"/>
          </rPr>
          <t xml:space="preserve">
- HS 4,65 từ 01/9/2016
- HS 4,98 từ 01/9/2018 (NL trước hạn)</t>
        </r>
      </text>
    </comment>
    <comment ref="G62" authorId="2" shapeId="0" xr:uid="{00000000-0006-0000-0700-00003B000000}">
      <text>
        <r>
          <rPr>
            <b/>
            <sz val="9"/>
            <color indexed="81"/>
            <rFont val="Tahoma"/>
            <family val="2"/>
          </rPr>
          <t>user:</t>
        </r>
        <r>
          <rPr>
            <sz val="9"/>
            <color indexed="81"/>
            <rFont val="Tahoma"/>
            <family val="2"/>
          </rPr>
          <t xml:space="preserve">
- VK 5% từ 01/9/2021
- VK 6% từ 01/9/2022
- VK 7% từ 01/9/2023</t>
        </r>
      </text>
    </comment>
    <comment ref="I62" authorId="2" shapeId="0" xr:uid="{00000000-0006-0000-0700-00003C000000}">
      <text>
        <r>
          <rPr>
            <b/>
            <sz val="9"/>
            <color indexed="81"/>
            <rFont val="Tahoma"/>
            <family val="2"/>
          </rPr>
          <t>user:</t>
        </r>
        <r>
          <rPr>
            <sz val="9"/>
            <color indexed="81"/>
            <rFont val="Tahoma"/>
            <family val="2"/>
          </rPr>
          <t xml:space="preserve">
BN Trưởng phòng T10/19</t>
        </r>
      </text>
    </comment>
    <comment ref="F63" authorId="1" shapeId="0" xr:uid="{00000000-0006-0000-0700-00003D000000}">
      <text>
        <r>
          <rPr>
            <b/>
            <sz val="9"/>
            <color indexed="81"/>
            <rFont val="Tahoma"/>
            <family val="2"/>
          </rPr>
          <t>Admin:</t>
        </r>
        <r>
          <rPr>
            <sz val="9"/>
            <color indexed="81"/>
            <rFont val="Tahoma"/>
            <family val="2"/>
          </rPr>
          <t xml:space="preserve">
- HS 3.33 từ 01/01/2016
- HS 3,66 từ 01/01/2019</t>
        </r>
      </text>
    </comment>
    <comment ref="F64" authorId="1" shapeId="0" xr:uid="{00000000-0006-0000-0700-00003E000000}">
      <text>
        <r>
          <rPr>
            <b/>
            <sz val="9"/>
            <color indexed="81"/>
            <rFont val="Tahoma"/>
            <family val="2"/>
          </rPr>
          <t>Admin:</t>
        </r>
        <r>
          <rPr>
            <sz val="9"/>
            <color indexed="81"/>
            <rFont val="Tahoma"/>
            <family val="2"/>
          </rPr>
          <t xml:space="preserve">
- HS 3,00 từ 01/9/2016
- HS 3,33 từ 01/9/2019
- HS 3,66 từ 01/9/2022
</t>
        </r>
      </text>
    </comment>
    <comment ref="F65" authorId="1" shapeId="0" xr:uid="{00000000-0006-0000-07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6" authorId="1" shapeId="0" xr:uid="{00000000-0006-0000-0700-000040000000}">
      <text>
        <r>
          <rPr>
            <b/>
            <sz val="9"/>
            <color indexed="81"/>
            <rFont val="Tahoma"/>
            <family val="2"/>
          </rPr>
          <t>Admin:</t>
        </r>
        <r>
          <rPr>
            <sz val="9"/>
            <color indexed="81"/>
            <rFont val="Tahoma"/>
            <family val="2"/>
          </rPr>
          <t xml:space="preserve">
- HS 3,66 từ 01/9/2016
- HS 3,99 từ 01/9/2019
- HS 4,32 từ 01/9/2022</t>
        </r>
      </text>
    </comment>
    <comment ref="F67" authorId="0" shapeId="0" xr:uid="{00000000-0006-0000-07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xr:uid="{00000000-0006-0000-07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8" authorId="2" shapeId="0" xr:uid="{00000000-0006-0000-0700-000043000000}">
      <text>
        <r>
          <rPr>
            <b/>
            <sz val="9"/>
            <color indexed="81"/>
            <rFont val="Tahoma"/>
            <family val="2"/>
          </rPr>
          <t>user:</t>
        </r>
        <r>
          <rPr>
            <sz val="9"/>
            <color indexed="81"/>
            <rFont val="Tahoma"/>
            <family val="2"/>
          </rPr>
          <t xml:space="preserve">
- HS 3,33 từ 01/11/2019
- HS 3,66 từ 01/11/2022</t>
        </r>
      </text>
    </comment>
    <comment ref="F69" authorId="1" shapeId="0" xr:uid="{00000000-0006-0000-07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9" authorId="1" shapeId="0" xr:uid="{00000000-0006-0000-07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0" authorId="0" shapeId="0" xr:uid="{00000000-0006-0000-07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0" authorId="3" shapeId="0" xr:uid="{00000000-0006-0000-0700-000047000000}">
      <text>
        <r>
          <rPr>
            <b/>
            <sz val="9"/>
            <color indexed="81"/>
            <rFont val="Tahoma"/>
            <family val="2"/>
          </rPr>
          <t>Windows User:</t>
        </r>
        <r>
          <rPr>
            <sz val="9"/>
            <color indexed="81"/>
            <rFont val="Tahoma"/>
            <family val="2"/>
          </rPr>
          <t xml:space="preserve">
- Phó Trưởng phòng TS - Đào tạo từ T10/22</t>
        </r>
      </text>
    </comment>
    <comment ref="F71" authorId="0" shapeId="0" xr:uid="{00000000-0006-0000-07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2" authorId="1" shapeId="0" xr:uid="{00000000-0006-0000-07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3" authorId="1" shapeId="0" xr:uid="{00000000-0006-0000-07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4" authorId="1" shapeId="0" xr:uid="{00000000-0006-0000-07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5" authorId="1" shapeId="0" xr:uid="{00000000-0006-0000-07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76" authorId="1" shapeId="0" xr:uid="{00000000-0006-0000-07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7" authorId="1" shapeId="0" xr:uid="{00000000-0006-0000-0700-00004E000000}">
      <text>
        <r>
          <rPr>
            <b/>
            <sz val="9"/>
            <color indexed="81"/>
            <rFont val="Tahoma"/>
            <family val="2"/>
          </rPr>
          <t>Admin:</t>
        </r>
        <r>
          <rPr>
            <sz val="9"/>
            <color indexed="81"/>
            <rFont val="Tahoma"/>
            <family val="2"/>
          </rPr>
          <t xml:space="preserve">
- HS 2.67 từ 01/02/2016
- HS 3,00 từ 01/02/2019</t>
        </r>
      </text>
    </comment>
    <comment ref="F78" authorId="0" shapeId="0" xr:uid="{00000000-0006-0000-07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8" authorId="0" shapeId="0" xr:uid="{00000000-0006-0000-0700-000050000000}">
      <text>
        <r>
          <rPr>
            <b/>
            <sz val="9"/>
            <color indexed="81"/>
            <rFont val="Tahoma"/>
            <family val="2"/>
          </rPr>
          <t>User:</t>
        </r>
        <r>
          <rPr>
            <sz val="9"/>
            <color indexed="81"/>
            <rFont val="Tahoma"/>
            <family val="2"/>
          </rPr>
          <t xml:space="preserve">
- Phó Trưởng phòng từ 01/8/2015
- Trưởng phòng từ 01/9/2018</t>
        </r>
      </text>
    </comment>
    <comment ref="F79" authorId="0" shapeId="0" xr:uid="{00000000-0006-0000-07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80" authorId="0" shapeId="0" xr:uid="{00000000-0006-0000-07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1" authorId="5" shapeId="0" xr:uid="{00000000-0006-0000-07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xr:uid="{00000000-0006-0000-0700-000054000000}">
      <text>
        <r>
          <rPr>
            <b/>
            <sz val="9"/>
            <color indexed="81"/>
            <rFont val="Tahoma"/>
            <family val="2"/>
          </rPr>
          <t>Admin:</t>
        </r>
        <r>
          <rPr>
            <sz val="9"/>
            <color indexed="81"/>
            <rFont val="Tahoma"/>
            <family val="2"/>
          </rPr>
          <t xml:space="preserve">
Chuyển từ THPT lên khối Cao đẳng từ 01/06/2016</t>
        </r>
      </text>
    </comment>
    <comment ref="F82" authorId="1" shapeId="0" xr:uid="{00000000-0006-0000-07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xr:uid="{00000000-0006-0000-0700-000056000000}">
      <text>
        <r>
          <rPr>
            <sz val="9"/>
            <color indexed="81"/>
            <rFont val="Tahoma"/>
            <family val="2"/>
          </rPr>
          <t>- HS 3,00 từ 01/11/2017
- HS 3,33 từ 01/11/2020
- HS 3,66 từ 01/11/2022</t>
        </r>
      </text>
    </comment>
    <comment ref="F84" authorId="2" shapeId="0" xr:uid="{00000000-0006-0000-0700-00005700000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xr:uid="{00000000-0006-0000-0700-000058000000}">
      <text>
        <r>
          <rPr>
            <b/>
            <sz val="9"/>
            <color indexed="81"/>
            <rFont val="Tahoma"/>
            <family val="2"/>
          </rPr>
          <t>Windows User:</t>
        </r>
        <r>
          <rPr>
            <sz val="9"/>
            <color indexed="81"/>
            <rFont val="Tahoma"/>
            <family val="2"/>
          </rPr>
          <t xml:space="preserve">
- Phó Trưởng TT ĐH&amp;QLDL từ T10/23</t>
        </r>
      </text>
    </comment>
    <comment ref="F85" authorId="0" shapeId="0" xr:uid="{00000000-0006-0000-07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xr:uid="{00000000-0006-0000-07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0" shapeId="0" xr:uid="{00000000-0006-0000-0700-00005B000000}">
      <text>
        <r>
          <rPr>
            <b/>
            <sz val="9"/>
            <color indexed="81"/>
            <rFont val="Tahoma"/>
            <family val="2"/>
          </rPr>
          <t>User:</t>
        </r>
        <r>
          <rPr>
            <sz val="9"/>
            <color indexed="81"/>
            <rFont val="Tahoma"/>
            <family val="2"/>
          </rPr>
          <t xml:space="preserve">
- 3.00 từ 01/12/2015
- 3,33 từ 01/12/2018
- 3,66 từ 01/12/2021</t>
        </r>
      </text>
    </comment>
    <comment ref="F87" authorId="1" shapeId="0" xr:uid="{00000000-0006-0000-07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xr:uid="{00000000-0006-0000-0700-00005D000000}">
      <text>
        <r>
          <rPr>
            <b/>
            <sz val="9"/>
            <color indexed="81"/>
            <rFont val="Tahoma"/>
            <family val="2"/>
          </rPr>
          <t>Quynh:</t>
        </r>
        <r>
          <rPr>
            <sz val="9"/>
            <color indexed="81"/>
            <rFont val="Tahoma"/>
            <family val="2"/>
          </rPr>
          <t xml:space="preserve">
- HS 3,00 từ 01/3/2016
</t>
        </r>
      </text>
    </comment>
    <comment ref="I88" authorId="2" shapeId="0" xr:uid="{00000000-0006-0000-07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0" shapeId="0" xr:uid="{00000000-0006-0000-07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1" shapeId="0" xr:uid="{00000000-0006-0000-0700-000060000000}">
      <text>
        <r>
          <rPr>
            <b/>
            <sz val="9"/>
            <color indexed="81"/>
            <rFont val="Tahoma"/>
            <family val="2"/>
          </rPr>
          <t>Admin:</t>
        </r>
        <r>
          <rPr>
            <sz val="9"/>
            <color indexed="81"/>
            <rFont val="Tahoma"/>
            <family val="2"/>
          </rPr>
          <t xml:space="preserve">
- HS 2,67 từ 01/4/2016
- HS 3.00 từ 01/4/2019
- HS 3,33 từ 01/4/2022
</t>
        </r>
      </text>
    </comment>
    <comment ref="F91" authorId="1" shapeId="0" xr:uid="{00000000-0006-0000-0700-000061000000}">
      <text>
        <r>
          <rPr>
            <b/>
            <sz val="9"/>
            <color indexed="81"/>
            <rFont val="Tahoma"/>
            <family val="2"/>
          </rPr>
          <t>Admin:</t>
        </r>
        <r>
          <rPr>
            <sz val="9"/>
            <color indexed="81"/>
            <rFont val="Tahoma"/>
            <family val="2"/>
          </rPr>
          <t xml:space="preserve">
- HS 4,65 từ 01/9/2017
- HS 4,98 từ 01/9/2020</t>
        </r>
      </text>
    </comment>
    <comment ref="G91" authorId="3" shapeId="0" xr:uid="{00000000-0006-0000-0700-000062000000}">
      <text>
        <r>
          <rPr>
            <b/>
            <sz val="9"/>
            <color indexed="81"/>
            <rFont val="Tahoma"/>
            <family val="2"/>
          </rPr>
          <t>Windows User:</t>
        </r>
        <r>
          <rPr>
            <sz val="9"/>
            <color indexed="81"/>
            <rFont val="Tahoma"/>
            <family val="2"/>
          </rPr>
          <t xml:space="preserve">
- 5% từ 01/9/2023</t>
        </r>
      </text>
    </comment>
    <comment ref="F92" authorId="8" shapeId="0" xr:uid="{00000000-0006-0000-0700-000063000000}">
      <text>
        <r>
          <rPr>
            <sz val="9"/>
            <color indexed="81"/>
            <rFont val="Tahoma"/>
            <family val="2"/>
          </rPr>
          <t>- HS 4,32 từ 01/12/2017
- HS 4,65 từ 01/12/2019
- HS 4,98 từ 01/12/2022</t>
        </r>
      </text>
    </comment>
    <comment ref="I92" authorId="0" shapeId="0" xr:uid="{00000000-0006-0000-0700-000064000000}">
      <text>
        <r>
          <rPr>
            <b/>
            <sz val="9"/>
            <color indexed="81"/>
            <rFont val="Tahoma"/>
            <family val="2"/>
          </rPr>
          <t>User:</t>
        </r>
        <r>
          <rPr>
            <sz val="9"/>
            <color indexed="81"/>
            <rFont val="Tahoma"/>
            <family val="2"/>
          </rPr>
          <t xml:space="preserve">
Trưởng khoa Kinh tế từ 20/8/2015
</t>
        </r>
      </text>
    </comment>
    <comment ref="F94" authorId="2" shapeId="0" xr:uid="{00000000-0006-0000-0700-000065000000}">
      <text>
        <r>
          <rPr>
            <b/>
            <sz val="9"/>
            <color indexed="81"/>
            <rFont val="Tahoma"/>
            <family val="2"/>
          </rPr>
          <t>user:</t>
        </r>
        <r>
          <rPr>
            <sz val="9"/>
            <color indexed="81"/>
            <rFont val="Tahoma"/>
            <family val="2"/>
          </rPr>
          <t xml:space="preserve">
- HS 2,34 từ 01/10/2019
- HS 2,67 từ 01/10/2021 (NL trước hạn)</t>
        </r>
      </text>
    </comment>
    <comment ref="I94" authorId="2" shapeId="0" xr:uid="{00000000-0006-0000-07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1" shapeId="0" xr:uid="{00000000-0006-0000-07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1" shapeId="0" xr:uid="{00000000-0006-0000-07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2" shapeId="0" xr:uid="{00000000-0006-0000-0700-000069000000}">
      <text>
        <r>
          <rPr>
            <b/>
            <sz val="9"/>
            <color indexed="81"/>
            <rFont val="Tahoma"/>
            <family val="2"/>
          </rPr>
          <t>user:</t>
        </r>
        <r>
          <rPr>
            <sz val="9"/>
            <color indexed="81"/>
            <rFont val="Tahoma"/>
            <family val="2"/>
          </rPr>
          <t xml:space="preserve">
Phụ trách khoa Xây dựng từ 01/5/2019
- TK từ 01/5/2023</t>
        </r>
      </text>
    </comment>
    <comment ref="F97" authorId="2" shapeId="0" xr:uid="{00000000-0006-0000-0700-00006A000000}">
      <text>
        <r>
          <rPr>
            <b/>
            <sz val="9"/>
            <color indexed="81"/>
            <rFont val="Tahoma"/>
            <family val="2"/>
          </rPr>
          <t>user:</t>
        </r>
        <r>
          <rPr>
            <sz val="9"/>
            <color indexed="81"/>
            <rFont val="Tahoma"/>
            <family val="2"/>
          </rPr>
          <t xml:space="preserve">
- Tuyển dụng từ T5/20
- HS 2,67 từ 01/5/2021
- HS 3,00 từ 01/9/2024</t>
        </r>
      </text>
    </comment>
    <comment ref="F98" authorId="2" shapeId="0" xr:uid="{00000000-0006-0000-0700-00006B000000}">
      <text>
        <r>
          <rPr>
            <b/>
            <sz val="9"/>
            <color indexed="81"/>
            <rFont val="Tahoma"/>
            <family val="2"/>
          </rPr>
          <t>user:</t>
        </r>
        <r>
          <rPr>
            <sz val="9"/>
            <color indexed="81"/>
            <rFont val="Tahoma"/>
            <family val="2"/>
          </rPr>
          <t xml:space="preserve">
- HS 1,989 từ 01/4/21 (Tuyển dụng)
- HS 2,34 từ 01/4/2022</t>
        </r>
      </text>
    </comment>
    <comment ref="F99" authorId="1" shapeId="0" xr:uid="{00000000-0006-0000-0700-00006C000000}">
      <text>
        <r>
          <rPr>
            <b/>
            <sz val="9"/>
            <color indexed="81"/>
            <rFont val="Tahoma"/>
            <family val="2"/>
          </rPr>
          <t>Admin:</t>
        </r>
        <r>
          <rPr>
            <sz val="9"/>
            <color indexed="81"/>
            <rFont val="Tahoma"/>
            <family val="2"/>
          </rPr>
          <t xml:space="preserve">
- HS 3,33 từ 01/9/2016
- HS 3,66 từ 01/9/2019
- HS 3,99 từ 01/9/2022</t>
        </r>
      </text>
    </comment>
    <comment ref="I99" authorId="4" shapeId="0" xr:uid="{00000000-0006-0000-07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xr:uid="{00000000-0006-0000-0700-00006E000000}">
      <text>
        <r>
          <rPr>
            <b/>
            <sz val="9"/>
            <color indexed="81"/>
            <rFont val="Tahoma"/>
            <family val="2"/>
          </rPr>
          <t>Quynh:</t>
        </r>
        <r>
          <rPr>
            <sz val="9"/>
            <color indexed="81"/>
            <rFont val="Tahoma"/>
            <family val="2"/>
          </rPr>
          <t xml:space="preserve">
- HS 2,67 từ 01/10/2018
- HS 3,00 từ 01/10/2021</t>
        </r>
      </text>
    </comment>
    <comment ref="F101" authorId="2" shapeId="0" xr:uid="{00000000-0006-0000-0700-00006F000000}">
      <text>
        <r>
          <rPr>
            <b/>
            <sz val="9"/>
            <color indexed="81"/>
            <rFont val="Tahoma"/>
            <family val="2"/>
          </rPr>
          <t>user:</t>
        </r>
        <r>
          <rPr>
            <sz val="9"/>
            <color indexed="81"/>
            <rFont val="Tahoma"/>
            <family val="2"/>
          </rPr>
          <t xml:space="preserve">
- HS 2,67 từ 01/10/2019
- HS 3,00 từ 01/10/2022</t>
        </r>
      </text>
    </comment>
    <comment ref="F102" authorId="1" shapeId="0" xr:uid="{00000000-0006-0000-0700-000070000000}">
      <text>
        <r>
          <rPr>
            <b/>
            <sz val="9"/>
            <color indexed="81"/>
            <rFont val="Tahoma"/>
            <family val="2"/>
          </rPr>
          <t>Admin:</t>
        </r>
        <r>
          <rPr>
            <sz val="9"/>
            <color indexed="81"/>
            <rFont val="Tahoma"/>
            <family val="2"/>
          </rPr>
          <t xml:space="preserve">
- HS 3,00 từ 01/12/2016
- HS 3,33 từ 01/12/2019
- HS 3,66 từ 01/12/2021</t>
        </r>
      </text>
    </comment>
    <comment ref="I102" authorId="4" shapeId="0" xr:uid="{00000000-0006-0000-07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2" shapeId="0" xr:uid="{00000000-0006-0000-07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1" shapeId="0" xr:uid="{00000000-0006-0000-0700-000073000000}">
      <text>
        <r>
          <rPr>
            <b/>
            <sz val="9"/>
            <color indexed="81"/>
            <rFont val="Tahoma"/>
            <family val="2"/>
          </rPr>
          <t>Admin:</t>
        </r>
        <r>
          <rPr>
            <sz val="9"/>
            <color indexed="81"/>
            <rFont val="Tahoma"/>
            <family val="2"/>
          </rPr>
          <t xml:space="preserve">
- HS 2,67 từ 01/9/2016
- HS 3,00 từ 01/9/2019
- HS 3,33 từ 01/9/2022</t>
        </r>
      </text>
    </comment>
    <comment ref="F105" authorId="4" shapeId="0" xr:uid="{00000000-0006-0000-0700-000074000000}">
      <text>
        <r>
          <rPr>
            <b/>
            <sz val="9"/>
            <color indexed="81"/>
            <rFont val="Tahoma"/>
            <family val="2"/>
          </rPr>
          <t>Quynh:</t>
        </r>
        <r>
          <rPr>
            <sz val="9"/>
            <color indexed="81"/>
            <rFont val="Tahoma"/>
            <family val="2"/>
          </rPr>
          <t xml:space="preserve">
- HS 2,67 từ 01/10/2018
- HS 3,00 từ 01/10/2021</t>
        </r>
      </text>
    </comment>
    <comment ref="F106" authorId="1" shapeId="0" xr:uid="{00000000-0006-0000-0700-000075000000}">
      <text>
        <r>
          <rPr>
            <b/>
            <sz val="9"/>
            <color indexed="81"/>
            <rFont val="Tahoma"/>
            <family val="2"/>
          </rPr>
          <t>Admin:</t>
        </r>
        <r>
          <rPr>
            <sz val="9"/>
            <color indexed="81"/>
            <rFont val="Tahoma"/>
            <family val="2"/>
          </rPr>
          <t xml:space="preserve">
- HS 3,00 từ 01/9/2016
- HS 3,33 từ 01/9/2019
- HS 3,66 từ 01/9/2022</t>
        </r>
      </text>
    </comment>
    <comment ref="F107" authorId="1" shapeId="0" xr:uid="{00000000-0006-0000-0700-000076000000}">
      <text>
        <r>
          <rPr>
            <b/>
            <sz val="9"/>
            <color indexed="81"/>
            <rFont val="Tahoma"/>
            <family val="2"/>
          </rPr>
          <t>Admin:</t>
        </r>
        <r>
          <rPr>
            <sz val="9"/>
            <color indexed="81"/>
            <rFont val="Tahoma"/>
            <family val="2"/>
          </rPr>
          <t xml:space="preserve">
- HS 2,34 từ 01/09/2016
- HS 2,67 từ 01/09/2019
- HS 3,00 từ 01/09/2022
</t>
        </r>
      </text>
    </comment>
    <comment ref="F108" authorId="1" shapeId="0" xr:uid="{00000000-0006-0000-0700-000077000000}">
      <text>
        <r>
          <rPr>
            <sz val="9"/>
            <color indexed="81"/>
            <rFont val="Tahoma"/>
            <family val="2"/>
          </rPr>
          <t>- HS 3,00  từ 01/01/2018
- HS 3,33 từ 01/01/2020 (NL trước hạn)
- HS 3,66 từ 01/01/2023</t>
        </r>
      </text>
    </comment>
    <comment ref="I108" authorId="4" shapeId="0" xr:uid="{00000000-0006-0000-0700-000078000000}">
      <text>
        <r>
          <rPr>
            <b/>
            <sz val="9"/>
            <color indexed="81"/>
            <rFont val="Tahoma"/>
            <family val="2"/>
          </rPr>
          <t>Quynh:</t>
        </r>
        <r>
          <rPr>
            <sz val="9"/>
            <color indexed="81"/>
            <rFont val="Tahoma"/>
            <family val="2"/>
          </rPr>
          <t xml:space="preserve">
- BN Trưởng BM Cơ sở ngành từ 01/1/2019</t>
        </r>
      </text>
    </comment>
    <comment ref="F109" authorId="2" shapeId="0" xr:uid="{00000000-0006-0000-07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2" shapeId="0" xr:uid="{00000000-0006-0000-0700-00007A000000}">
      <text>
        <r>
          <rPr>
            <b/>
            <sz val="9"/>
            <color indexed="81"/>
            <rFont val="Tahoma"/>
            <family val="2"/>
          </rPr>
          <t>user:</t>
        </r>
        <r>
          <rPr>
            <sz val="9"/>
            <color indexed="81"/>
            <rFont val="Tahoma"/>
            <family val="2"/>
          </rPr>
          <t xml:space="preserve">
- HS 2,34 từ 01/5/2021
- HS 2,67 từ 01/5/2023 (NL trước hạn)</t>
        </r>
      </text>
    </comment>
    <comment ref="I110" authorId="3" shapeId="0" xr:uid="{00000000-0006-0000-0700-00007B000000}">
      <text>
        <r>
          <rPr>
            <b/>
            <sz val="9"/>
            <color indexed="81"/>
            <rFont val="Tahoma"/>
            <family val="2"/>
          </rPr>
          <t>Windows User:</t>
        </r>
        <r>
          <rPr>
            <sz val="9"/>
            <color indexed="81"/>
            <rFont val="Tahoma"/>
            <family val="2"/>
          </rPr>
          <t xml:space="preserve">
- BN Trưởng khoa DL-KS từ 01/12/2023</t>
        </r>
      </text>
    </comment>
    <comment ref="F111" authorId="7" shapeId="0" xr:uid="{00000000-0006-0000-0700-00007C000000}">
      <text>
        <r>
          <rPr>
            <b/>
            <sz val="9"/>
            <color indexed="81"/>
            <rFont val="Tahoma"/>
            <family val="2"/>
          </rPr>
          <t>huynh-panda:</t>
        </r>
        <r>
          <rPr>
            <sz val="9"/>
            <color indexed="81"/>
            <rFont val="Tahoma"/>
            <family val="2"/>
          </rPr>
          <t xml:space="preserve">
- HS 2,34 từ 01/05/2022</t>
        </r>
      </text>
    </comment>
    <comment ref="F112" authorId="7" shapeId="0" xr:uid="{00000000-0006-0000-0700-00007D000000}">
      <text>
        <r>
          <rPr>
            <b/>
            <sz val="9"/>
            <color indexed="81"/>
            <rFont val="Tahoma"/>
            <family val="2"/>
          </rPr>
          <t>huynh-panda:</t>
        </r>
        <r>
          <rPr>
            <sz val="9"/>
            <color indexed="81"/>
            <rFont val="Tahoma"/>
            <family val="2"/>
          </rPr>
          <t xml:space="preserve">
- TD từ 01/7/2022 (HS 1,989)
- HS 2,34 từ 01/7/2023</t>
        </r>
      </text>
    </comment>
    <comment ref="F113" authorId="7" shapeId="0" xr:uid="{00000000-0006-0000-0700-00007E000000}">
      <text>
        <r>
          <rPr>
            <b/>
            <sz val="9"/>
            <color indexed="81"/>
            <rFont val="Tahoma"/>
            <family val="2"/>
          </rPr>
          <t>huynh-panda:</t>
        </r>
        <r>
          <rPr>
            <sz val="9"/>
            <color indexed="81"/>
            <rFont val="Tahoma"/>
            <family val="2"/>
          </rPr>
          <t xml:space="preserve">
- TD từ 01/7/2022 (HS 1,989)
- HS 3,33 từ 01/3/2022
</t>
        </r>
      </text>
    </comment>
    <comment ref="B114" authorId="3" shapeId="0" xr:uid="{00000000-0006-0000-0700-00007F00000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xr:uid="{00000000-0006-0000-0700-000080000000}">
      <text>
        <r>
          <rPr>
            <b/>
            <sz val="9"/>
            <color indexed="81"/>
            <rFont val="Tahoma"/>
            <family val="2"/>
          </rPr>
          <t>Windows User:</t>
        </r>
        <r>
          <rPr>
            <sz val="9"/>
            <color indexed="81"/>
            <rFont val="Tahoma"/>
            <family val="2"/>
          </rPr>
          <t xml:space="preserve">
- HS 2,67 từ 01/10/2022
- HS 3,00 từ 01/11/2022</t>
        </r>
      </text>
    </comment>
    <comment ref="B116" authorId="3" shapeId="0" xr:uid="{00000000-0006-0000-0700-000081000000}">
      <text>
        <r>
          <rPr>
            <b/>
            <sz val="9"/>
            <color indexed="81"/>
            <rFont val="Tahoma"/>
            <family val="2"/>
          </rPr>
          <t>Windows User:</t>
        </r>
        <r>
          <rPr>
            <sz val="9"/>
            <color indexed="81"/>
            <rFont val="Tahoma"/>
            <family val="2"/>
          </rPr>
          <t xml:space="preserve">
- Thuyên chuyển từ ĐH GTVT về trường từ T10/2023</t>
        </r>
      </text>
    </comment>
    <comment ref="F117" authorId="1" shapeId="0" xr:uid="{00000000-0006-0000-07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8" authorId="1" shapeId="0" xr:uid="{00000000-0006-0000-0700-000083000000}">
      <text>
        <r>
          <rPr>
            <b/>
            <sz val="9"/>
            <color indexed="81"/>
            <rFont val="Tahoma"/>
            <family val="2"/>
          </rPr>
          <t>Admin:</t>
        </r>
        <r>
          <rPr>
            <sz val="9"/>
            <color indexed="81"/>
            <rFont val="Tahoma"/>
            <family val="2"/>
          </rPr>
          <t xml:space="preserve">
- HS 3,00 từ 01/9/2016
- HS 3,33 từ 01/9/2019
- HS 3,66 từ 01/9/2022</t>
        </r>
      </text>
    </comment>
    <comment ref="F119" authorId="1" shapeId="0" xr:uid="{00000000-0006-0000-0700-000084000000}">
      <text>
        <r>
          <rPr>
            <b/>
            <sz val="9"/>
            <color indexed="81"/>
            <rFont val="Tahoma"/>
            <family val="2"/>
          </rPr>
          <t>Admin:</t>
        </r>
        <r>
          <rPr>
            <sz val="9"/>
            <color indexed="81"/>
            <rFont val="Tahoma"/>
            <family val="2"/>
          </rPr>
          <t xml:space="preserve">
- HS 2,67 từ 01/9/2016
- HS 3,00 từ 01/9/2019
- HS 3,33 từ 01/9/2022</t>
        </r>
      </text>
    </comment>
    <comment ref="I119" authorId="1" shapeId="0" xr:uid="{00000000-0006-0000-07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0" authorId="1" shapeId="0" xr:uid="{00000000-0006-0000-0700-000086000000}">
      <text>
        <r>
          <rPr>
            <b/>
            <sz val="9"/>
            <color indexed="81"/>
            <rFont val="Tahoma"/>
            <family val="2"/>
          </rPr>
          <t>Admin:</t>
        </r>
        <r>
          <rPr>
            <sz val="9"/>
            <color indexed="81"/>
            <rFont val="Tahoma"/>
            <family val="2"/>
          </rPr>
          <t xml:space="preserve">
- HS 2,67 từ 01/9/2016
- HS 3,00 từ 01/9/2019
- HS 3,33 từ 01/9/2022</t>
        </r>
      </text>
    </comment>
    <comment ref="F121" authorId="1" shapeId="0" xr:uid="{00000000-0006-0000-07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2" authorId="8" shapeId="0" xr:uid="{00000000-0006-0000-0700-000088000000}">
      <text>
        <r>
          <rPr>
            <sz val="9"/>
            <color indexed="81"/>
            <rFont val="Tahoma"/>
            <family val="2"/>
          </rPr>
          <t>- HS 2,67 từ 01/12/2017
- HS 3,00 từ 01/12/2020
- HS 3,33 từ 01/12/2022 (NL trước hạn)</t>
        </r>
      </text>
    </comment>
    <comment ref="F123" authorId="0" shapeId="0" xr:uid="{00000000-0006-0000-07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3" authorId="3" shapeId="0" xr:uid="{00000000-0006-0000-0700-00008A000000}">
      <text>
        <r>
          <rPr>
            <b/>
            <sz val="9"/>
            <color indexed="81"/>
            <rFont val="Tahoma"/>
            <family val="2"/>
          </rPr>
          <t>Windows User:</t>
        </r>
        <r>
          <rPr>
            <sz val="9"/>
            <color indexed="81"/>
            <rFont val="Tahoma"/>
            <family val="2"/>
          </rPr>
          <t xml:space="preserve">
- VK 5% từ 01/11/2023</t>
        </r>
      </text>
    </comment>
    <comment ref="F124" authorId="4" shapeId="0" xr:uid="{00000000-0006-0000-0700-00008B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5" authorId="2" shapeId="0" xr:uid="{00000000-0006-0000-0700-00008C000000}">
      <text>
        <r>
          <rPr>
            <b/>
            <sz val="9"/>
            <color indexed="81"/>
            <rFont val="Tahoma"/>
            <family val="2"/>
          </rPr>
          <t>user:</t>
        </r>
        <r>
          <rPr>
            <sz val="9"/>
            <color indexed="81"/>
            <rFont val="Tahoma"/>
            <family val="2"/>
          </rPr>
          <t xml:space="preserve">
- HS 2,67 từ 01/10/2019
- HS 3,00 từ 01/10/2022</t>
        </r>
      </text>
    </comment>
    <comment ref="F126" authorId="0" shapeId="0" xr:uid="{00000000-0006-0000-07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6" authorId="2" shapeId="0" xr:uid="{00000000-0006-0000-0700-00008E000000}">
      <text>
        <r>
          <rPr>
            <b/>
            <sz val="9"/>
            <color indexed="81"/>
            <rFont val="Tahoma"/>
            <family val="2"/>
          </rPr>
          <t>user:</t>
        </r>
        <r>
          <rPr>
            <sz val="9"/>
            <color indexed="81"/>
            <rFont val="Tahoma"/>
            <family val="2"/>
          </rPr>
          <t xml:space="preserve">
- Trưởng TT Thư viện từ 01/9/2020</t>
        </r>
      </text>
    </comment>
    <comment ref="K126" authorId="1" shapeId="0" xr:uid="{00000000-0006-0000-07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7" authorId="1" shapeId="0" xr:uid="{00000000-0006-0000-0700-000090000000}">
      <text>
        <r>
          <rPr>
            <b/>
            <sz val="9"/>
            <color indexed="81"/>
            <rFont val="Tahoma"/>
            <family val="2"/>
          </rPr>
          <t>Admin:</t>
        </r>
        <r>
          <rPr>
            <sz val="9"/>
            <color indexed="81"/>
            <rFont val="Tahoma"/>
            <family val="2"/>
          </rPr>
          <t xml:space="preserve">
- HS 4,65 từ 01/6/2016 (NL Trước hạn năm 2017)</t>
        </r>
      </text>
    </comment>
    <comment ref="G127" authorId="7" shapeId="0" xr:uid="{00000000-0006-0000-0700-000091000000}">
      <text>
        <r>
          <rPr>
            <b/>
            <sz val="9"/>
            <color indexed="81"/>
            <rFont val="Tahoma"/>
            <family val="2"/>
          </rPr>
          <t>Quynh-panda:</t>
        </r>
        <r>
          <rPr>
            <sz val="9"/>
            <color indexed="81"/>
            <rFont val="Tahoma"/>
            <family val="2"/>
          </rPr>
          <t xml:space="preserve">
- VK 5% từ 01/06/2022
- VK 6% từ 01/06/2023
- VK 7% từ 01/06/2024</t>
        </r>
      </text>
    </comment>
    <comment ref="F128" authorId="0" shapeId="0" xr:uid="{00000000-0006-0000-07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9" authorId="0" shapeId="0" xr:uid="{00000000-0006-0000-0700-000093000000}">
      <text>
        <r>
          <rPr>
            <b/>
            <sz val="9"/>
            <color indexed="81"/>
            <rFont val="Tahoma"/>
            <family val="2"/>
          </rPr>
          <t>User:</t>
        </r>
        <r>
          <rPr>
            <sz val="9"/>
            <color indexed="81"/>
            <rFont val="Tahoma"/>
            <family val="2"/>
          </rPr>
          <t xml:space="preserve">
' HS 3,33 từ 01/9/15
- HS 3,66 từ 01/9/2018
- HS 3,99 từ 01/9/2021</t>
        </r>
      </text>
    </comment>
    <comment ref="F130" authorId="1" shapeId="0" xr:uid="{00000000-0006-0000-0700-000094000000}">
      <text>
        <r>
          <rPr>
            <b/>
            <sz val="9"/>
            <color indexed="81"/>
            <rFont val="Tahoma"/>
            <family val="2"/>
          </rPr>
          <t>Admin:</t>
        </r>
        <r>
          <rPr>
            <sz val="9"/>
            <color indexed="81"/>
            <rFont val="Tahoma"/>
            <family val="2"/>
          </rPr>
          <t xml:space="preserve">
- HS 3,00 từ 01/12/2016
- HS 3,33 từ 01/12/2019
- HS 3,66 từ 01/12/2022</t>
        </r>
      </text>
    </comment>
    <comment ref="F131" authorId="1" shapeId="0" xr:uid="{00000000-0006-0000-0700-000095000000}">
      <text>
        <r>
          <rPr>
            <b/>
            <sz val="9"/>
            <color indexed="81"/>
            <rFont val="Tahoma"/>
            <family val="2"/>
          </rPr>
          <t>Admin:</t>
        </r>
        <r>
          <rPr>
            <sz val="9"/>
            <color indexed="81"/>
            <rFont val="Tahoma"/>
            <family val="2"/>
          </rPr>
          <t xml:space="preserve">
- HS 3,99 từ 01/12/2015
- HS 4,32 từ 01/12/2018
- HS 4,65 từ 01/12/2021</t>
        </r>
      </text>
    </comment>
    <comment ref="F132" authorId="1" shapeId="0" xr:uid="{00000000-0006-0000-07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3" authorId="0" shapeId="0" xr:uid="{00000000-0006-0000-0700-000097000000}">
      <text>
        <r>
          <rPr>
            <b/>
            <sz val="9"/>
            <color indexed="81"/>
            <rFont val="Tahoma"/>
            <family val="2"/>
          </rPr>
          <t>User:</t>
        </r>
        <r>
          <rPr>
            <sz val="9"/>
            <color indexed="81"/>
            <rFont val="Tahoma"/>
            <family val="2"/>
          </rPr>
          <t xml:space="preserve">
- HS 4,65 từ 01/9/2015
- HS 4,98 từ 01/9/17 (NL trước hạn)</t>
        </r>
      </text>
    </comment>
    <comment ref="G133" authorId="2" shapeId="0" xr:uid="{00000000-0006-0000-0700-000098000000}">
      <text>
        <r>
          <rPr>
            <b/>
            <sz val="9"/>
            <color indexed="81"/>
            <rFont val="Tahoma"/>
            <family val="2"/>
          </rPr>
          <t>user:</t>
        </r>
        <r>
          <rPr>
            <sz val="9"/>
            <color indexed="81"/>
            <rFont val="Tahoma"/>
            <family val="2"/>
          </rPr>
          <t xml:space="preserve">
- 5% từ 01/9/2020
- 6% từ 01/9/2021
- 7% từ 01/9/2022
- 8% từ 01/9/2023</t>
        </r>
      </text>
    </comment>
    <comment ref="F134" authorId="0" shapeId="0" xr:uid="{00000000-0006-0000-07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5" authorId="1" shapeId="0" xr:uid="{00000000-0006-0000-0700-00009A000000}">
      <text>
        <r>
          <rPr>
            <b/>
            <sz val="9"/>
            <color indexed="81"/>
            <rFont val="Tahoma"/>
            <family val="2"/>
          </rPr>
          <t>Admin:</t>
        </r>
        <r>
          <rPr>
            <sz val="9"/>
            <color indexed="81"/>
            <rFont val="Tahoma"/>
            <family val="2"/>
          </rPr>
          <t xml:space="preserve">
- HS 3,00 từ 01/11/2016
- HS 3,33 từ 01/11/2019
- HS 3,66 từ 01/11/2022</t>
        </r>
      </text>
    </comment>
    <comment ref="F136" authorId="0" shapeId="0" xr:uid="{00000000-0006-0000-07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6" authorId="1" shapeId="0" xr:uid="{00000000-0006-0000-0700-00009C000000}">
      <text>
        <r>
          <rPr>
            <b/>
            <sz val="9"/>
            <color indexed="81"/>
            <rFont val="Tahoma"/>
            <family val="2"/>
          </rPr>
          <t>Admin:</t>
        </r>
        <r>
          <rPr>
            <sz val="9"/>
            <color indexed="81"/>
            <rFont val="Tahoma"/>
            <family val="2"/>
          </rPr>
          <t xml:space="preserve">
- BN Phó TK từ 01/8/2018</t>
        </r>
      </text>
    </comment>
    <comment ref="F137" authorId="0" shapeId="0" xr:uid="{00000000-0006-0000-0700-00009D000000}">
      <text>
        <r>
          <rPr>
            <b/>
            <sz val="9"/>
            <color indexed="81"/>
            <rFont val="Tahoma"/>
            <family val="2"/>
          </rPr>
          <t>User:</t>
        </r>
        <r>
          <rPr>
            <sz val="9"/>
            <color indexed="81"/>
            <rFont val="Tahoma"/>
            <family val="2"/>
          </rPr>
          <t xml:space="preserve">
- HS 4,32 từ 01/9/2014
- HS 4,65 từ 01/9/2017
- HS 4,98 từ 01/9/2020</t>
        </r>
      </text>
    </comment>
    <comment ref="G137" authorId="3" shapeId="0" xr:uid="{00000000-0006-0000-0700-00009E000000}">
      <text>
        <r>
          <rPr>
            <b/>
            <sz val="9"/>
            <color indexed="81"/>
            <rFont val="Tahoma"/>
            <family val="2"/>
          </rPr>
          <t>Windows User:</t>
        </r>
        <r>
          <rPr>
            <sz val="9"/>
            <color indexed="81"/>
            <rFont val="Tahoma"/>
            <family val="2"/>
          </rPr>
          <t xml:space="preserve">
- VK 5% từ 01/9/2023</t>
        </r>
      </text>
    </comment>
    <comment ref="F138" authorId="0" shapeId="0" xr:uid="{00000000-0006-0000-07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9" authorId="1" shapeId="0" xr:uid="{00000000-0006-0000-0700-0000A0000000}">
      <text>
        <r>
          <rPr>
            <b/>
            <sz val="9"/>
            <color indexed="81"/>
            <rFont val="Tahoma"/>
            <family val="2"/>
          </rPr>
          <t>Admin:</t>
        </r>
        <r>
          <rPr>
            <sz val="9"/>
            <color indexed="81"/>
            <rFont val="Tahoma"/>
            <family val="2"/>
          </rPr>
          <t xml:space="preserve">
- HS 3,00 từ 01/9/2016
- HS 3,33 từ 01/3/2020
- HS 3,66 từ 01/03/2023</t>
        </r>
      </text>
    </comment>
    <comment ref="F140" authorId="1" shapeId="0" xr:uid="{00000000-0006-0000-0700-0000A1000000}">
      <text>
        <r>
          <rPr>
            <b/>
            <sz val="9"/>
            <color indexed="81"/>
            <rFont val="Tahoma"/>
            <family val="2"/>
          </rPr>
          <t>Admin:</t>
        </r>
        <r>
          <rPr>
            <sz val="9"/>
            <color indexed="81"/>
            <rFont val="Tahoma"/>
            <family val="2"/>
          </rPr>
          <t xml:space="preserve">
- HS 2,67 từ 01/9/2017
- HS 3,00 từ 01/9/2020</t>
        </r>
      </text>
    </comment>
    <comment ref="F141" authorId="1" shapeId="0" xr:uid="{00000000-0006-0000-07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2" authorId="0" shapeId="0" xr:uid="{00000000-0006-0000-0700-0000A3000000}">
      <text>
        <r>
          <rPr>
            <b/>
            <sz val="9"/>
            <color indexed="81"/>
            <rFont val="Tahoma"/>
            <family val="2"/>
          </rPr>
          <t>User:</t>
        </r>
        <r>
          <rPr>
            <sz val="9"/>
            <color indexed="81"/>
            <rFont val="Tahoma"/>
            <family val="2"/>
          </rPr>
          <t xml:space="preserve">
- HS 3,33 từ 01/9/2015
- HS 3,66 từ 01/9/2018
- HS 3,99 từ 01/9/2021</t>
        </r>
      </text>
    </comment>
    <comment ref="I142" authorId="1" shapeId="0" xr:uid="{00000000-0006-0000-0700-0000A4000000}">
      <text>
        <r>
          <rPr>
            <b/>
            <sz val="9"/>
            <color indexed="81"/>
            <rFont val="Tahoma"/>
            <family val="2"/>
          </rPr>
          <t>Admin:</t>
        </r>
        <r>
          <rPr>
            <sz val="9"/>
            <color indexed="81"/>
            <rFont val="Tahoma"/>
            <family val="2"/>
          </rPr>
          <t xml:space="preserve">
+ BN Tổ trưởng CM từ 03/5/2017</t>
        </r>
      </text>
    </comment>
    <comment ref="F143" authorId="1" shapeId="0" xr:uid="{00000000-0006-0000-0700-0000A5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4" authorId="8" shapeId="0" xr:uid="{00000000-0006-0000-0700-0000A6000000}">
      <text>
        <r>
          <rPr>
            <sz val="9"/>
            <color indexed="81"/>
            <rFont val="Tahoma"/>
            <family val="2"/>
          </rPr>
          <t>- HS 3,33 từ 01/3/2018
- HS 3,66 từ 01/3/2020 (NL trước hạn)
- HS 3,99 từ 01/3/2023</t>
        </r>
      </text>
    </comment>
    <comment ref="F145" authorId="0" shapeId="0" xr:uid="{00000000-0006-0000-07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6" authorId="1" shapeId="0" xr:uid="{00000000-0006-0000-0700-0000A8000000}">
      <text>
        <r>
          <rPr>
            <b/>
            <sz val="9"/>
            <color indexed="81"/>
            <rFont val="Tahoma"/>
            <family val="2"/>
          </rPr>
          <t>Admin:</t>
        </r>
        <r>
          <rPr>
            <sz val="9"/>
            <color indexed="81"/>
            <rFont val="Tahoma"/>
            <family val="2"/>
          </rPr>
          <t xml:space="preserve">
- HS 3,66 từ 01/9/2016
- HS 3,99 từ 01/9/2019
- HS 4,32 từ 01/9/2022</t>
        </r>
      </text>
    </comment>
    <comment ref="F147" authorId="8" shapeId="0" xr:uid="{00000000-0006-0000-0700-0000A9000000}">
      <text>
        <r>
          <rPr>
            <sz val="9"/>
            <color indexed="81"/>
            <rFont val="Tahoma"/>
            <family val="2"/>
          </rPr>
          <t xml:space="preserve">- HS 3,99 từ 01/12/2017
- HS 4,32 từ 01/12/2020
- HS 4,65 từ 01/12/2023
</t>
        </r>
      </text>
    </comment>
    <comment ref="F148" authorId="1" shapeId="0" xr:uid="{00000000-0006-0000-0700-0000AA000000}">
      <text>
        <r>
          <rPr>
            <b/>
            <sz val="9"/>
            <color indexed="81"/>
            <rFont val="Tahoma"/>
            <family val="2"/>
          </rPr>
          <t>Admin:</t>
        </r>
        <r>
          <rPr>
            <sz val="9"/>
            <color indexed="81"/>
            <rFont val="Tahoma"/>
            <family val="2"/>
          </rPr>
          <t xml:space="preserve">
- HS 3,99 từ 01/9/2017
- HS 4,32 từ 01/9/2019
- HS 4,65 từ 01/9/2022</t>
        </r>
      </text>
    </comment>
    <comment ref="I148" authorId="2" shapeId="0" xr:uid="{00000000-0006-0000-0700-0000AB000000}">
      <text>
        <r>
          <rPr>
            <b/>
            <sz val="9"/>
            <color indexed="81"/>
            <rFont val="Tahoma"/>
            <family val="2"/>
          </rPr>
          <t>user:</t>
        </r>
        <r>
          <rPr>
            <sz val="9"/>
            <color indexed="81"/>
            <rFont val="Tahoma"/>
            <family val="2"/>
          </rPr>
          <t xml:space="preserve">
- Trưởng BM Cơ điện tử và tự động hóa từ 01/1/2020</t>
        </r>
      </text>
    </comment>
    <comment ref="F149" authorId="1" shapeId="0" xr:uid="{00000000-0006-0000-0700-0000AC000000}">
      <text>
        <r>
          <rPr>
            <b/>
            <sz val="9"/>
            <color indexed="81"/>
            <rFont val="Tahoma"/>
            <family val="2"/>
          </rPr>
          <t>Admin:</t>
        </r>
        <r>
          <rPr>
            <sz val="9"/>
            <color indexed="81"/>
            <rFont val="Tahoma"/>
            <family val="2"/>
          </rPr>
          <t xml:space="preserve">
- HS 3,99 từ 01/9/2017
- HS 4,32 từ 01/9/2020
- HS 4,65 từ 01/9/2023</t>
        </r>
      </text>
    </comment>
    <comment ref="F150" authorId="1" shapeId="0" xr:uid="{00000000-0006-0000-0700-0000AD000000}">
      <text>
        <r>
          <rPr>
            <b/>
            <sz val="9"/>
            <color indexed="81"/>
            <rFont val="Tahoma"/>
            <family val="2"/>
          </rPr>
          <t>Admin:</t>
        </r>
        <r>
          <rPr>
            <sz val="9"/>
            <color indexed="81"/>
            <rFont val="Tahoma"/>
            <family val="2"/>
          </rPr>
          <t xml:space="preserve">
- HS 3,33 từ 01/9/2017
- HS 3,66 từ 01/9/2020
- HS 3,99 từ 01/9/2023</t>
        </r>
      </text>
    </comment>
    <comment ref="F151" authorId="1" shapeId="0" xr:uid="{00000000-0006-0000-0700-0000AE000000}">
      <text>
        <r>
          <rPr>
            <b/>
            <sz val="9"/>
            <color indexed="81"/>
            <rFont val="Tahoma"/>
            <family val="2"/>
          </rPr>
          <t>Admin:</t>
        </r>
        <r>
          <rPr>
            <sz val="9"/>
            <color indexed="81"/>
            <rFont val="Tahoma"/>
            <family val="2"/>
          </rPr>
          <t xml:space="preserve">
- HS 4,32 từ 01/9/2016
- HS 4,65 từ 01/9/2019
- HS 4,98 từ 01/9/2022</t>
        </r>
      </text>
    </comment>
    <comment ref="F152" authorId="1" shapeId="0" xr:uid="{00000000-0006-0000-0700-0000AF000000}">
      <text>
        <r>
          <rPr>
            <b/>
            <sz val="9"/>
            <color indexed="81"/>
            <rFont val="Tahoma"/>
            <family val="2"/>
          </rPr>
          <t>Admin:</t>
        </r>
        <r>
          <rPr>
            <sz val="9"/>
            <color indexed="81"/>
            <rFont val="Tahoma"/>
            <family val="2"/>
          </rPr>
          <t xml:space="preserve">
- HS 3,33 từ 01/9/2017
- HS 3,66 từ 01/9/2020
- HS 3,99 từ 01/9/2023</t>
        </r>
      </text>
    </comment>
    <comment ref="I152" authorId="0" shapeId="0" xr:uid="{00000000-0006-0000-0700-0000B0000000}">
      <text>
        <r>
          <rPr>
            <b/>
            <sz val="9"/>
            <color indexed="81"/>
            <rFont val="Tahoma"/>
            <family val="2"/>
          </rPr>
          <t>User:</t>
        </r>
        <r>
          <rPr>
            <sz val="9"/>
            <color indexed="81"/>
            <rFont val="Tahoma"/>
            <family val="2"/>
          </rPr>
          <t xml:space="preserve">
Miễn nhiệm Phó Trưởng BM từ 01/9/2015. Bảo lưu HS PC hết T02/2016</t>
        </r>
      </text>
    </comment>
    <comment ref="F153" authorId="1" shapeId="0" xr:uid="{00000000-0006-0000-0700-0000B1000000}">
      <text>
        <r>
          <rPr>
            <sz val="9"/>
            <color indexed="81"/>
            <rFont val="Tahoma"/>
            <family val="2"/>
          </rPr>
          <t>- HS 3,00 từ 01/01/2018
- HS 3,33 từ 01/01/2023</t>
        </r>
      </text>
    </comment>
    <comment ref="I153" authorId="2" shapeId="0" xr:uid="{00000000-0006-0000-07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4" authorId="1" shapeId="0" xr:uid="{00000000-0006-0000-0700-0000B3000000}">
      <text>
        <r>
          <rPr>
            <b/>
            <sz val="9"/>
            <color indexed="81"/>
            <rFont val="Tahoma"/>
            <family val="2"/>
          </rPr>
          <t>Admin:</t>
        </r>
        <r>
          <rPr>
            <sz val="9"/>
            <color indexed="81"/>
            <rFont val="Tahoma"/>
            <family val="2"/>
          </rPr>
          <t xml:space="preserve">
- HS 2,34 từ 01/09/2016
- HS 2,67 từ 01/9/2019
- HS 3,00 từ 0/09/2022</t>
        </r>
      </text>
    </comment>
    <comment ref="F155" authorId="2" shapeId="0" xr:uid="{00000000-0006-0000-0700-0000B4000000}">
      <text>
        <r>
          <rPr>
            <b/>
            <sz val="9"/>
            <color indexed="81"/>
            <rFont val="Tahoma"/>
            <family val="2"/>
          </rPr>
          <t>user:</t>
        </r>
        <r>
          <rPr>
            <sz val="9"/>
            <color indexed="81"/>
            <rFont val="Tahoma"/>
            <family val="2"/>
          </rPr>
          <t xml:space="preserve">
- Tuyển dụng từ 01/10/2020
- HS 2,34 từ 01/10/2021</t>
        </r>
      </text>
    </comment>
    <comment ref="F156" authorId="1" shapeId="0" xr:uid="{00000000-0006-0000-0700-0000B5000000}">
      <text>
        <r>
          <rPr>
            <b/>
            <sz val="9"/>
            <color indexed="81"/>
            <rFont val="Tahoma"/>
            <family val="2"/>
          </rPr>
          <t>Admin:</t>
        </r>
        <r>
          <rPr>
            <sz val="9"/>
            <color indexed="81"/>
            <rFont val="Tahoma"/>
            <family val="2"/>
          </rPr>
          <t xml:space="preserve">
- HS 2,34 từ 01/09/2016
- HS 2,67 từ 01/9/2019
- HS 3,00 từ 01/9/2022</t>
        </r>
      </text>
    </comment>
    <comment ref="F157" authorId="2" shapeId="0" xr:uid="{00000000-0006-0000-0700-0000B6000000}">
      <text>
        <r>
          <rPr>
            <b/>
            <sz val="9"/>
            <color indexed="81"/>
            <rFont val="Tahoma"/>
            <family val="2"/>
          </rPr>
          <t>user:</t>
        </r>
        <r>
          <rPr>
            <sz val="9"/>
            <color indexed="81"/>
            <rFont val="Tahoma"/>
            <family val="2"/>
          </rPr>
          <t xml:space="preserve">
- Tuyển dụng từ 01/5/20
- HS 2,34 từ 01/5/2021
- HS 2,67 từ 01/5/2024</t>
        </r>
      </text>
    </comment>
    <comment ref="F161" authorId="0" shapeId="0" xr:uid="{00000000-0006-0000-07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1" authorId="0" shapeId="0" xr:uid="{00000000-0006-0000-0700-0000B8000000}">
      <text>
        <r>
          <rPr>
            <b/>
            <sz val="9"/>
            <color indexed="81"/>
            <rFont val="Tahoma"/>
            <family val="2"/>
          </rPr>
          <t>User:</t>
        </r>
        <r>
          <rPr>
            <sz val="9"/>
            <color indexed="81"/>
            <rFont val="Tahoma"/>
            <family val="2"/>
          </rPr>
          <t xml:space="preserve">
HS 0,35 hưởng từ 01/7/2015
</t>
        </r>
      </text>
    </comment>
    <comment ref="F162" authorId="1" shapeId="0" xr:uid="{00000000-0006-0000-07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I162" authorId="0" shapeId="0" xr:uid="{00000000-0006-0000-07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3" authorId="1" shapeId="0" xr:uid="{00000000-0006-0000-07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3" authorId="2" shapeId="0" xr:uid="{00000000-0006-0000-0700-0000BC000000}">
      <text>
        <r>
          <rPr>
            <b/>
            <sz val="9"/>
            <color indexed="81"/>
            <rFont val="Tahoma"/>
            <family val="2"/>
          </rPr>
          <t>user:</t>
        </r>
        <r>
          <rPr>
            <sz val="9"/>
            <color indexed="81"/>
            <rFont val="Tahoma"/>
            <family val="2"/>
          </rPr>
          <t xml:space="preserve">
- QĐ BN Trưởng BM GDCT từ 01/4/2021</t>
        </r>
      </text>
    </comment>
    <comment ref="F164" authorId="0" shapeId="0" xr:uid="{00000000-0006-0000-07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5" authorId="1" shapeId="0" xr:uid="{00000000-0006-0000-0700-0000BE000000}">
      <text>
        <r>
          <rPr>
            <b/>
            <sz val="9"/>
            <color indexed="81"/>
            <rFont val="Tahoma"/>
            <family val="2"/>
          </rPr>
          <t>Admin:</t>
        </r>
        <r>
          <rPr>
            <sz val="9"/>
            <color indexed="81"/>
            <rFont val="Tahoma"/>
            <family val="2"/>
          </rPr>
          <t xml:space="preserve">
- HS 3,99 từ 01/9/2017
- HS 4,32 từ 01/9/2020
- HS 4,65 từ 01/9/2023</t>
        </r>
      </text>
    </comment>
    <comment ref="F166" authorId="0" shapeId="0" xr:uid="{00000000-0006-0000-0700-0000BF000000}">
      <text>
        <r>
          <rPr>
            <b/>
            <sz val="9"/>
            <color indexed="81"/>
            <rFont val="Tahoma"/>
            <family val="2"/>
          </rPr>
          <t>User:</t>
        </r>
        <r>
          <rPr>
            <sz val="9"/>
            <color indexed="81"/>
            <rFont val="Tahoma"/>
            <family val="2"/>
          </rPr>
          <t xml:space="preserve">
- HS 3,00 từ 01/09/2015
- HS 3,33 từ 01/9/2018
- HS 3,66 từ 01/9/2021</t>
        </r>
      </text>
    </comment>
    <comment ref="F167" authorId="0" shapeId="0" xr:uid="{00000000-0006-0000-0700-0000C0000000}">
      <text>
        <r>
          <rPr>
            <b/>
            <sz val="9"/>
            <color indexed="81"/>
            <rFont val="Tahoma"/>
            <family val="2"/>
          </rPr>
          <t>User:</t>
        </r>
        <r>
          <rPr>
            <sz val="9"/>
            <color indexed="81"/>
            <rFont val="Tahoma"/>
            <family val="2"/>
          </rPr>
          <t xml:space="preserve">
- HS 3,66 từ 01/9/2015
- HS 3,99 từ 01/9/2018
- HS 4,32 từ 01/9/2021
</t>
        </r>
      </text>
    </comment>
    <comment ref="F168" authorId="0" shapeId="0" xr:uid="{00000000-0006-0000-07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9" authorId="0" shapeId="0" xr:uid="{00000000-0006-0000-0700-0000C2000000}">
      <text>
        <r>
          <rPr>
            <b/>
            <sz val="9"/>
            <color indexed="81"/>
            <rFont val="Tahoma"/>
            <family val="2"/>
          </rPr>
          <t>User:</t>
        </r>
        <r>
          <rPr>
            <sz val="9"/>
            <color indexed="81"/>
            <rFont val="Tahoma"/>
            <family val="2"/>
          </rPr>
          <t xml:space="preserve">
- HS 3,00 từ 01/9/2015
- HS 3,33 từ 01/9/2018
- HS 3,66 từ 01/9/2021</t>
        </r>
      </text>
    </comment>
    <comment ref="F170" authorId="0" shapeId="0" xr:uid="{00000000-0006-0000-0700-0000C3000000}">
      <text>
        <r>
          <rPr>
            <b/>
            <sz val="9"/>
            <color indexed="81"/>
            <rFont val="Tahoma"/>
            <family val="2"/>
          </rPr>
          <t>User:</t>
        </r>
        <r>
          <rPr>
            <sz val="9"/>
            <color indexed="81"/>
            <rFont val="Tahoma"/>
            <family val="2"/>
          </rPr>
          <t xml:space="preserve">
- HS 3,00 từ 1/9/2015
- HS 3,33 từ 01/9/2018
- HS 3,66 từ 01/9/2021</t>
        </r>
      </text>
    </comment>
    <comment ref="F171" authorId="1" shapeId="0" xr:uid="{00000000-0006-0000-0700-0000C4000000}">
      <text>
        <r>
          <rPr>
            <b/>
            <sz val="9"/>
            <color indexed="81"/>
            <rFont val="Tahoma"/>
            <family val="2"/>
          </rPr>
          <t>Admin:</t>
        </r>
        <r>
          <rPr>
            <sz val="9"/>
            <color indexed="81"/>
            <rFont val="Tahoma"/>
            <family val="2"/>
          </rPr>
          <t xml:space="preserve">
- HS 3,00 từ 01/9/2015
- HS 3,33 từ 01/9/2018
- HS 3,66 từ 01/9/2021</t>
        </r>
      </text>
    </comment>
    <comment ref="F172" authorId="0" shapeId="0" xr:uid="{00000000-0006-0000-07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3" authorId="1" shapeId="0" xr:uid="{00000000-0006-0000-07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F174" authorId="1" shapeId="0" xr:uid="{00000000-0006-0000-0700-0000C7000000}">
      <text>
        <r>
          <rPr>
            <b/>
            <sz val="9"/>
            <color indexed="81"/>
            <rFont val="Tahoma"/>
            <family val="2"/>
          </rPr>
          <t>Admin:</t>
        </r>
        <r>
          <rPr>
            <sz val="9"/>
            <color indexed="81"/>
            <rFont val="Tahoma"/>
            <family val="2"/>
          </rPr>
          <t xml:space="preserve">
- HS 3,00 từ 01/03/2017
- HS 3,33 từ 01/03/2020
- HS 3,66 từ 01/03/2023</t>
        </r>
      </text>
    </comment>
    <comment ref="F175" authorId="1" shapeId="0" xr:uid="{00000000-0006-0000-0700-0000C8000000}">
      <text>
        <r>
          <rPr>
            <b/>
            <sz val="9"/>
            <color indexed="81"/>
            <rFont val="Tahoma"/>
            <family val="2"/>
          </rPr>
          <t>Admin:</t>
        </r>
        <r>
          <rPr>
            <sz val="9"/>
            <color indexed="81"/>
            <rFont val="Tahoma"/>
            <family val="2"/>
          </rPr>
          <t xml:space="preserve">
- HS 2,67 từ 01/9/2017
- HS 3,00 từ 01/9/2020
- HS 3,33 từ 01/9/2023</t>
        </r>
      </text>
    </comment>
    <comment ref="F176" authorId="1" shapeId="0" xr:uid="{00000000-0006-0000-0700-0000C9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7" authorId="1" shapeId="0" xr:uid="{00000000-0006-0000-0700-0000CA000000}">
      <text>
        <r>
          <rPr>
            <b/>
            <sz val="9"/>
            <color indexed="81"/>
            <rFont val="Tahoma"/>
            <family val="2"/>
          </rPr>
          <t>Admin:</t>
        </r>
        <r>
          <rPr>
            <sz val="9"/>
            <color indexed="81"/>
            <rFont val="Tahoma"/>
            <family val="2"/>
          </rPr>
          <t xml:space="preserve">
- 3,33 từ 01/9/2017
- 3,66 từ 01/9/2020
- 3,99 từ 01/9/2023</t>
        </r>
      </text>
    </comment>
    <comment ref="I177" authorId="0" shapeId="0" xr:uid="{00000000-0006-0000-0700-0000CB000000}">
      <text>
        <r>
          <rPr>
            <b/>
            <sz val="9"/>
            <color indexed="81"/>
            <rFont val="Tahoma"/>
            <family val="2"/>
          </rPr>
          <t>User:</t>
        </r>
        <r>
          <rPr>
            <sz val="9"/>
            <color indexed="81"/>
            <rFont val="Tahoma"/>
            <family val="2"/>
          </rPr>
          <t xml:space="preserve">
Miễn nhiệm Trưởng bộ môn từ 01/9/2015</t>
        </r>
      </text>
    </comment>
    <comment ref="F178" authorId="1" shapeId="0" xr:uid="{00000000-0006-0000-0700-0000CC000000}">
      <text>
        <r>
          <rPr>
            <b/>
            <sz val="9"/>
            <color indexed="81"/>
            <rFont val="Tahoma"/>
            <family val="2"/>
          </rPr>
          <t>Admin:</t>
        </r>
        <r>
          <rPr>
            <sz val="9"/>
            <color indexed="81"/>
            <rFont val="Tahoma"/>
            <family val="2"/>
          </rPr>
          <t xml:space="preserve">
- HS 3,33 từ 01/9/2016
- HS 3,66 từ 01/9/2019
- HS 3,99 từ 01/9/2022</t>
        </r>
      </text>
    </comment>
    <comment ref="I178" authorId="0" shapeId="0" xr:uid="{00000000-0006-0000-0700-0000CD000000}">
      <text>
        <r>
          <rPr>
            <b/>
            <sz val="9"/>
            <color indexed="81"/>
            <rFont val="Tahoma"/>
            <family val="2"/>
          </rPr>
          <t>User:</t>
        </r>
        <r>
          <rPr>
            <sz val="9"/>
            <color indexed="81"/>
            <rFont val="Tahoma"/>
            <family val="2"/>
          </rPr>
          <t xml:space="preserve">
Miễn nhiệm Trưởng BM từ 01/9/15
</t>
        </r>
      </text>
    </comment>
    <comment ref="F179" authorId="0" shapeId="0" xr:uid="{00000000-0006-0000-0700-0000CE000000}">
      <text>
        <r>
          <rPr>
            <b/>
            <sz val="9"/>
            <color indexed="81"/>
            <rFont val="Tahoma"/>
            <family val="2"/>
          </rPr>
          <t>User:</t>
        </r>
        <r>
          <rPr>
            <sz val="9"/>
            <color indexed="81"/>
            <rFont val="Tahoma"/>
            <family val="2"/>
          </rPr>
          <t xml:space="preserve">
- HS 3,00 từ 01/9/2015
- HS 3,33 từ 01/9/2018
- HS 3,66 từ 01/9/2021</t>
        </r>
      </text>
    </comment>
    <comment ref="F180" authorId="0" shapeId="0" xr:uid="{00000000-0006-0000-0700-0000CF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0" authorId="0" shapeId="0" xr:uid="{00000000-0006-0000-0700-0000D0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xr:uid="{00000000-0006-0000-0700-0000D1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1" authorId="8" shapeId="0" xr:uid="{00000000-0006-0000-0700-0000D2000000}">
      <text>
        <r>
          <rPr>
            <sz val="9"/>
            <color indexed="81"/>
            <rFont val="Tahoma"/>
            <family val="2"/>
          </rPr>
          <t xml:space="preserve">- HS 3,33 từ 01/12/2017
- HS 3,66 từ 01/12/2020
- HS 3,99 từ 01/12/2023
</t>
        </r>
      </text>
    </comment>
    <comment ref="F182" authorId="0" shapeId="0" xr:uid="{00000000-0006-0000-0700-0000D3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2" authorId="0" shapeId="0" xr:uid="{00000000-0006-0000-0700-0000D4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3" authorId="0" shapeId="0" xr:uid="{00000000-0006-0000-0700-0000D5000000}">
      <text>
        <r>
          <rPr>
            <b/>
            <sz val="9"/>
            <color indexed="81"/>
            <rFont val="Tahoma"/>
            <family val="2"/>
          </rPr>
          <t>User:</t>
        </r>
        <r>
          <rPr>
            <sz val="9"/>
            <color indexed="81"/>
            <rFont val="Tahoma"/>
            <family val="2"/>
          </rPr>
          <t xml:space="preserve">
- HS 3,00 từ 01/9/2015
- HS 3,33 từ 01/9/2018
- HS 3,66 từ 01/9/2021</t>
        </r>
      </text>
    </comment>
    <comment ref="F184" authorId="0" shapeId="0" xr:uid="{00000000-0006-0000-0700-0000D6000000}">
      <text>
        <r>
          <rPr>
            <b/>
            <sz val="9"/>
            <color indexed="81"/>
            <rFont val="Tahoma"/>
            <family val="2"/>
          </rPr>
          <t>User:</t>
        </r>
        <r>
          <rPr>
            <sz val="9"/>
            <color indexed="81"/>
            <rFont val="Tahoma"/>
            <family val="2"/>
          </rPr>
          <t xml:space="preserve">
- HS 3,00 từ 01/9/2015
- HS 3,33 từ 01/9/2018
- HS 3,66 từ 01/9/2021</t>
        </r>
      </text>
    </comment>
    <comment ref="F185" authorId="0" shapeId="0" xr:uid="{00000000-0006-0000-0700-0000D7000000}">
      <text>
        <r>
          <rPr>
            <b/>
            <sz val="9"/>
            <color indexed="81"/>
            <rFont val="Tahoma"/>
            <family val="2"/>
          </rPr>
          <t>User:</t>
        </r>
        <r>
          <rPr>
            <sz val="9"/>
            <color indexed="81"/>
            <rFont val="Tahoma"/>
            <family val="2"/>
          </rPr>
          <t xml:space="preserve">
- HS 3,00 từ 01/10/2015
- HS 3,33 từ 01/10/2018
- HS 3,66 từ 01/10/2021
</t>
        </r>
      </text>
    </comment>
    <comment ref="F186" authorId="1" shapeId="0" xr:uid="{00000000-0006-0000-0700-0000D8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6" authorId="0" shapeId="0" xr:uid="{00000000-0006-0000-0700-0000D9000000}">
      <text>
        <r>
          <rPr>
            <b/>
            <sz val="9"/>
            <color indexed="81"/>
            <rFont val="Tahoma"/>
            <family val="2"/>
          </rPr>
          <t>User:</t>
        </r>
        <r>
          <rPr>
            <sz val="9"/>
            <color indexed="81"/>
            <rFont val="Tahoma"/>
            <family val="2"/>
          </rPr>
          <t xml:space="preserve">
BN Trưởng BM MẠng Máy tính từ 01/9/2015
- Phó khoa CNTT từ T10/2022</t>
        </r>
      </text>
    </comment>
    <comment ref="F187" authorId="4" shapeId="0" xr:uid="{00000000-0006-0000-0700-0000DA000000}">
      <text>
        <r>
          <rPr>
            <b/>
            <sz val="9"/>
            <color indexed="81"/>
            <rFont val="Tahoma"/>
            <family val="2"/>
          </rPr>
          <t>Quynh:</t>
        </r>
        <r>
          <rPr>
            <sz val="9"/>
            <color indexed="81"/>
            <rFont val="Tahoma"/>
            <family val="2"/>
          </rPr>
          <t xml:space="preserve">
- HS 3,00 từ 01/5/2018
- HS 3,33 từ 01/5/2021
- HS 3,66 từ 01/5/2024</t>
        </r>
      </text>
    </comment>
    <comment ref="F188" authorId="1" shapeId="0" xr:uid="{00000000-0006-0000-0700-0000DB000000}">
      <text>
        <r>
          <rPr>
            <b/>
            <sz val="9"/>
            <color indexed="81"/>
            <rFont val="Tahoma"/>
            <family val="2"/>
          </rPr>
          <t>Admin:</t>
        </r>
        <r>
          <rPr>
            <sz val="9"/>
            <color indexed="81"/>
            <rFont val="Tahoma"/>
            <family val="2"/>
          </rPr>
          <t xml:space="preserve">
- 3,33 từ 01/10/2016
- 3,66 từ 01/10/2019
- 3,99 từ 01/10/2021 (NL trước hạn)</t>
        </r>
      </text>
    </comment>
    <comment ref="I188" authorId="7" shapeId="0" xr:uid="{00000000-0006-0000-0700-0000DC000000}">
      <text>
        <r>
          <rPr>
            <b/>
            <sz val="9"/>
            <color indexed="81"/>
            <rFont val="Tahoma"/>
            <family val="2"/>
          </rPr>
          <t>huynh-panda:</t>
        </r>
        <r>
          <rPr>
            <sz val="9"/>
            <color indexed="81"/>
            <rFont val="Tahoma"/>
            <family val="2"/>
          </rPr>
          <t xml:space="preserve">
Phụ trách BM Khoa học máy tính từ 06/7/2022</t>
        </r>
      </text>
    </comment>
    <comment ref="F189" authorId="1" shapeId="0" xr:uid="{00000000-0006-0000-0700-0000DD000000}">
      <text>
        <r>
          <rPr>
            <b/>
            <sz val="9"/>
            <color indexed="81"/>
            <rFont val="Tahoma"/>
            <family val="2"/>
          </rPr>
          <t>Admin:</t>
        </r>
        <r>
          <rPr>
            <sz val="9"/>
            <color indexed="81"/>
            <rFont val="Tahoma"/>
            <family val="2"/>
          </rPr>
          <t xml:space="preserve">
- HS 2,67 từ 01/9/2016
- HS 3,00 từ 01/9/2019
- HS 3,33 từ 01/9/2021 (NL trước hạn)</t>
        </r>
      </text>
    </comment>
    <comment ref="F190" authorId="1" shapeId="0" xr:uid="{00000000-0006-0000-0700-0000DE000000}">
      <text>
        <r>
          <rPr>
            <b/>
            <sz val="9"/>
            <color indexed="81"/>
            <rFont val="Tahoma"/>
            <family val="2"/>
          </rPr>
          <t>Admin:</t>
        </r>
        <r>
          <rPr>
            <sz val="9"/>
            <color indexed="81"/>
            <rFont val="Tahoma"/>
            <family val="2"/>
          </rPr>
          <t xml:space="preserve">
- HS 3,33 từ 01/9/2016
- HS 3,66 từ 01/9/2018 (NL trước hạn)
- HS 3,99 từ 01/9/2021</t>
        </r>
      </text>
    </comment>
    <comment ref="I190" authorId="0" shapeId="0" xr:uid="{00000000-0006-0000-0700-0000DF000000}">
      <text>
        <r>
          <rPr>
            <b/>
            <sz val="9"/>
            <color indexed="81"/>
            <rFont val="Tahoma"/>
            <family val="2"/>
          </rPr>
          <t>User:</t>
        </r>
        <r>
          <rPr>
            <sz val="9"/>
            <color indexed="81"/>
            <rFont val="Tahoma"/>
            <family val="2"/>
          </rPr>
          <t xml:space="preserve">
+ HS 0,45 được bảo lưu đến hết 31/12/2015</t>
        </r>
      </text>
    </comment>
    <comment ref="F191" authorId="1" shapeId="0" xr:uid="{00000000-0006-0000-0700-0000E000000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xr:uid="{00000000-0006-0000-0700-0000E1000000}">
      <text>
        <r>
          <rPr>
            <b/>
            <sz val="9"/>
            <color indexed="81"/>
            <rFont val="Tahoma"/>
            <family val="2"/>
          </rPr>
          <t>user:</t>
        </r>
        <r>
          <rPr>
            <sz val="9"/>
            <color indexed="81"/>
            <rFont val="Tahoma"/>
            <family val="2"/>
          </rPr>
          <t xml:space="preserve">
- Bảo lưu HS PCCV đến hết 31/3/2020</t>
        </r>
      </text>
    </comment>
    <comment ref="F192" authorId="1" shapeId="0" xr:uid="{00000000-0006-0000-0700-0000E2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2" authorId="7" shapeId="0" xr:uid="{00000000-0006-0000-0700-0000E3000000}">
      <text>
        <r>
          <rPr>
            <b/>
            <sz val="9"/>
            <color indexed="81"/>
            <rFont val="Tahoma"/>
            <family val="2"/>
          </rPr>
          <t>huynh-panda:</t>
        </r>
        <r>
          <rPr>
            <sz val="9"/>
            <color indexed="81"/>
            <rFont val="Tahoma"/>
            <family val="2"/>
          </rPr>
          <t xml:space="preserve">
- Phụ trách BM Công nghệ phần mềm từ 05/7/2022</t>
        </r>
      </text>
    </comment>
    <comment ref="F193" authorId="1" shapeId="0" xr:uid="{00000000-0006-0000-0700-0000E4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6" authorId="1" shapeId="0" xr:uid="{00000000-0006-0000-0700-0000E5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6" authorId="0" shapeId="0" xr:uid="{00000000-0006-0000-0700-0000E6000000}">
      <text>
        <r>
          <rPr>
            <b/>
            <sz val="9"/>
            <color indexed="81"/>
            <rFont val="Tahoma"/>
            <family val="2"/>
          </rPr>
          <t>User:</t>
        </r>
        <r>
          <rPr>
            <sz val="9"/>
            <color indexed="81"/>
            <rFont val="Tahoma"/>
            <family val="2"/>
          </rPr>
          <t xml:space="preserve">
- QĐ Bổ nhiệm trưởng khoa từ 01/2/2016</t>
        </r>
      </text>
    </comment>
    <comment ref="F197" authorId="1" shapeId="0" xr:uid="{00000000-0006-0000-0700-0000E7000000}">
      <text>
        <r>
          <rPr>
            <b/>
            <sz val="9"/>
            <color indexed="81"/>
            <rFont val="Tahoma"/>
            <family val="2"/>
          </rPr>
          <t>Admin:</t>
        </r>
        <r>
          <rPr>
            <sz val="9"/>
            <color indexed="81"/>
            <rFont val="Tahoma"/>
            <family val="2"/>
          </rPr>
          <t xml:space="preserve">
- HS 4,65 từ 01/12/2015
- HS 4,98 từ 01/12/2018</t>
        </r>
      </text>
    </comment>
    <comment ref="G197" authorId="2" shapeId="0" xr:uid="{00000000-0006-0000-0700-0000E8000000}">
      <text>
        <r>
          <rPr>
            <b/>
            <sz val="9"/>
            <color indexed="81"/>
            <rFont val="Tahoma"/>
            <family val="2"/>
          </rPr>
          <t>user:</t>
        </r>
        <r>
          <rPr>
            <sz val="9"/>
            <color indexed="81"/>
            <rFont val="Tahoma"/>
            <family val="2"/>
          </rPr>
          <t xml:space="preserve">
- VK 5% từ 01/12/2021
- VK 6% từ 01/12/2022
- VK 7% từ 01/12/2023</t>
        </r>
      </text>
    </comment>
    <comment ref="F198" authorId="1" shapeId="0" xr:uid="{00000000-0006-0000-0700-0000E9000000}">
      <text>
        <r>
          <rPr>
            <b/>
            <sz val="9"/>
            <color indexed="81"/>
            <rFont val="Tahoma"/>
            <family val="2"/>
          </rPr>
          <t>Admin:</t>
        </r>
        <r>
          <rPr>
            <sz val="9"/>
            <color indexed="81"/>
            <rFont val="Tahoma"/>
            <family val="2"/>
          </rPr>
          <t xml:space="preserve">
- HS 4,65 từ 01/9/2015
- HS 4,98 từ 01/9/2018</t>
        </r>
      </text>
    </comment>
    <comment ref="G198" authorId="2" shapeId="0" xr:uid="{00000000-0006-0000-0700-0000EA000000}">
      <text>
        <r>
          <rPr>
            <b/>
            <sz val="9"/>
            <color indexed="81"/>
            <rFont val="Tahoma"/>
            <family val="2"/>
          </rPr>
          <t>user:</t>
        </r>
        <r>
          <rPr>
            <sz val="9"/>
            <color indexed="81"/>
            <rFont val="Tahoma"/>
            <family val="2"/>
          </rPr>
          <t xml:space="preserve">
- VK 5% từ 01/9/2021
- VK 6% từ 01/9/2022
- VK 7% từ 01/9/2023</t>
        </r>
      </text>
    </comment>
    <comment ref="F199" authorId="1" shapeId="0" xr:uid="{00000000-0006-0000-0700-0000EB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0" authorId="0" shapeId="0" xr:uid="{00000000-0006-0000-0700-0000EC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1" authorId="1" shapeId="0" xr:uid="{00000000-0006-0000-0700-0000ED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1" authorId="1" shapeId="0" xr:uid="{00000000-0006-0000-0700-0000EE000000}">
      <text>
        <r>
          <rPr>
            <b/>
            <sz val="9"/>
            <color indexed="81"/>
            <rFont val="Tahoma"/>
            <family val="2"/>
          </rPr>
          <t>Admin:</t>
        </r>
        <r>
          <rPr>
            <sz val="9"/>
            <color indexed="81"/>
            <rFont val="Tahoma"/>
            <family val="2"/>
          </rPr>
          <t xml:space="preserve">
QĐ BN Trưởng BM từ 15/5/2016
</t>
        </r>
      </text>
    </comment>
    <comment ref="F202" authorId="1" shapeId="0" xr:uid="{00000000-0006-0000-0700-0000EF000000}">
      <text>
        <r>
          <rPr>
            <b/>
            <sz val="9"/>
            <color indexed="81"/>
            <rFont val="Tahoma"/>
            <family val="2"/>
          </rPr>
          <t>Admin:</t>
        </r>
        <r>
          <rPr>
            <sz val="9"/>
            <color indexed="81"/>
            <rFont val="Tahoma"/>
            <family val="2"/>
          </rPr>
          <t xml:space="preserve">
- HS 4,65 từ 01/9/2016 (NL Trước hạn năm 2017)
- HS 4,98 từ 01/9/2019</t>
        </r>
      </text>
    </comment>
    <comment ref="G202" authorId="7" shapeId="0" xr:uid="{00000000-0006-0000-0700-0000F0000000}">
      <text>
        <r>
          <rPr>
            <b/>
            <sz val="9"/>
            <color indexed="81"/>
            <rFont val="Tahoma"/>
            <family val="2"/>
          </rPr>
          <t>huynh-panda:</t>
        </r>
        <r>
          <rPr>
            <sz val="9"/>
            <color indexed="81"/>
            <rFont val="Tahoma"/>
            <family val="2"/>
          </rPr>
          <t xml:space="preserve">
- VK 5% từ 01/9/2022
- VK 6% từ 01/9/2023</t>
        </r>
      </text>
    </comment>
    <comment ref="I202" authorId="1" shapeId="0" xr:uid="{00000000-0006-0000-0700-0000F1000000}">
      <text>
        <r>
          <rPr>
            <sz val="9"/>
            <color indexed="81"/>
            <rFont val="Tahoma"/>
            <family val="2"/>
          </rPr>
          <t>QĐ phụ trách từ 01/12/2017</t>
        </r>
      </text>
    </comment>
    <comment ref="F203" authorId="1" shapeId="0" xr:uid="{00000000-0006-0000-0700-0000F2000000}">
      <text>
        <r>
          <rPr>
            <b/>
            <sz val="9"/>
            <color indexed="81"/>
            <rFont val="Tahoma"/>
            <family val="2"/>
          </rPr>
          <t>Admin:</t>
        </r>
        <r>
          <rPr>
            <sz val="9"/>
            <color indexed="81"/>
            <rFont val="Tahoma"/>
            <family val="2"/>
          </rPr>
          <t xml:space="preserve">
- HS 3,33 từ 01/9/2017
- HS 3,66 từ 01/9/2020
- HS 3,99 từ 01/9/2023</t>
        </r>
      </text>
    </comment>
    <comment ref="F204" authorId="1" shapeId="0" xr:uid="{00000000-0006-0000-0700-0000F3000000}">
      <text>
        <r>
          <rPr>
            <b/>
            <sz val="9"/>
            <color indexed="81"/>
            <rFont val="Tahoma"/>
            <family val="2"/>
          </rPr>
          <t>Admin:</t>
        </r>
        <r>
          <rPr>
            <sz val="9"/>
            <color indexed="81"/>
            <rFont val="Tahoma"/>
            <family val="2"/>
          </rPr>
          <t xml:space="preserve">
- HS 4,65 từ 01/9/2017
- HS 4,98 từ 01/9/2020</t>
        </r>
      </text>
    </comment>
    <comment ref="G204" authorId="3" shapeId="0" xr:uid="{00000000-0006-0000-0700-0000F4000000}">
      <text>
        <r>
          <rPr>
            <b/>
            <sz val="9"/>
            <color indexed="81"/>
            <rFont val="Tahoma"/>
            <family val="2"/>
          </rPr>
          <t>Windows User:</t>
        </r>
        <r>
          <rPr>
            <sz val="9"/>
            <color indexed="81"/>
            <rFont val="Tahoma"/>
            <family val="2"/>
          </rPr>
          <t xml:space="preserve">
- VK 5% từ 01/9/2023</t>
        </r>
      </text>
    </comment>
    <comment ref="F205" authorId="0" shapeId="0" xr:uid="{00000000-0006-0000-0700-0000F5000000}">
      <text>
        <r>
          <rPr>
            <b/>
            <sz val="9"/>
            <color indexed="81"/>
            <rFont val="Tahoma"/>
            <family val="2"/>
          </rPr>
          <t>User:</t>
        </r>
        <r>
          <rPr>
            <sz val="9"/>
            <color indexed="81"/>
            <rFont val="Tahoma"/>
            <family val="2"/>
          </rPr>
          <t xml:space="preserve">
- HS 3,00 từ 01/9/2015
- HS 3,33 từ 01/9/2018
- HS 3,66 từ 01/9/2021</t>
        </r>
      </text>
    </comment>
    <comment ref="I205" authorId="6" shapeId="0" xr:uid="{00000000-0006-0000-0700-0000F6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6" authorId="0" shapeId="0" xr:uid="{00000000-0006-0000-0700-0000F7000000}">
      <text>
        <r>
          <rPr>
            <b/>
            <sz val="9"/>
            <color indexed="81"/>
            <rFont val="Tahoma"/>
            <family val="2"/>
          </rPr>
          <t>User:</t>
        </r>
        <r>
          <rPr>
            <sz val="9"/>
            <color indexed="81"/>
            <rFont val="Tahoma"/>
            <family val="2"/>
          </rPr>
          <t xml:space="preserve">
- HS 3,00 từ 01/9/2015
- HS 3,33 từ 01/9/2018
- HS 3,66 từ 01/9/2021</t>
        </r>
      </text>
    </comment>
    <comment ref="F207" authorId="1" shapeId="0" xr:uid="{00000000-0006-0000-0700-0000F8000000}">
      <text>
        <r>
          <rPr>
            <b/>
            <sz val="9"/>
            <color indexed="81"/>
            <rFont val="Tahoma"/>
            <family val="2"/>
          </rPr>
          <t>Admin:</t>
        </r>
        <r>
          <rPr>
            <sz val="9"/>
            <color indexed="81"/>
            <rFont val="Tahoma"/>
            <family val="2"/>
          </rPr>
          <t xml:space="preserve">
- HS 3,00 từ 01/9/2016
- HS 3,33 từ 01/9/2019
- HS 3,66 từ 01/9/2022</t>
        </r>
      </text>
    </comment>
    <comment ref="F208" authorId="1" shapeId="0" xr:uid="{00000000-0006-0000-0700-0000F9000000}">
      <text>
        <r>
          <rPr>
            <b/>
            <sz val="9"/>
            <color indexed="81"/>
            <rFont val="Tahoma"/>
            <family val="2"/>
          </rPr>
          <t>Admin:</t>
        </r>
        <r>
          <rPr>
            <sz val="9"/>
            <color indexed="81"/>
            <rFont val="Tahoma"/>
            <family val="2"/>
          </rPr>
          <t xml:space="preserve">
- HS 3,00 từ 01/9/2016
- HS 3,33 từ 01/9/2019
- HS 3,66 từ 01/9/2022</t>
        </r>
      </text>
    </comment>
    <comment ref="F209" authorId="1" shapeId="0" xr:uid="{00000000-0006-0000-0700-0000FA000000}">
      <text>
        <r>
          <rPr>
            <b/>
            <sz val="9"/>
            <color indexed="81"/>
            <rFont val="Tahoma"/>
            <family val="2"/>
          </rPr>
          <t>Admin:</t>
        </r>
        <r>
          <rPr>
            <sz val="9"/>
            <color indexed="81"/>
            <rFont val="Tahoma"/>
            <family val="2"/>
          </rPr>
          <t xml:space="preserve">
- HS 3,00 từ 01/9/2016
- HS 3,33 từ 01/9/2019
- HS 3,66 từ 01/9/2022</t>
        </r>
      </text>
    </comment>
    <comment ref="F210" authorId="1" shapeId="0" xr:uid="{00000000-0006-0000-0700-0000FB000000}">
      <text>
        <r>
          <rPr>
            <b/>
            <sz val="9"/>
            <color indexed="81"/>
            <rFont val="Tahoma"/>
            <family val="2"/>
          </rPr>
          <t>Admin:</t>
        </r>
        <r>
          <rPr>
            <sz val="9"/>
            <color indexed="81"/>
            <rFont val="Tahoma"/>
            <family val="2"/>
          </rPr>
          <t xml:space="preserve">
- HS 3,00 từ 01/9/2017
- HS 3,33 từ 01/9/2020
- HS 3,66 từ 01/9/2023</t>
        </r>
      </text>
    </comment>
    <comment ref="I210" authorId="0" shapeId="0" xr:uid="{00000000-0006-0000-0700-0000FC000000}">
      <text>
        <r>
          <rPr>
            <b/>
            <sz val="9"/>
            <color indexed="81"/>
            <rFont val="Tahoma"/>
            <family val="2"/>
          </rPr>
          <t>User:</t>
        </r>
        <r>
          <rPr>
            <sz val="9"/>
            <color indexed="81"/>
            <rFont val="Tahoma"/>
            <family val="2"/>
          </rPr>
          <t xml:space="preserve">
BN Trưởng BM Cơ sở Cơ khí từ 01/09/2015</t>
        </r>
      </text>
    </comment>
    <comment ref="K210" authorId="1" shapeId="0" xr:uid="{00000000-0006-0000-0700-0000FD000000}">
      <text>
        <r>
          <rPr>
            <b/>
            <sz val="9"/>
            <color indexed="81"/>
            <rFont val="Tahoma"/>
            <family val="2"/>
          </rPr>
          <t>Admin:</t>
        </r>
        <r>
          <rPr>
            <sz val="9"/>
            <color indexed="81"/>
            <rFont val="Tahoma"/>
            <family val="2"/>
          </rPr>
          <t xml:space="preserve">
- Bảo lưu HSPC chức vụ đến hết T5/2018</t>
        </r>
      </text>
    </comment>
    <comment ref="F211" authorId="1" shapeId="0" xr:uid="{00000000-0006-0000-0700-0000FE000000}">
      <text>
        <r>
          <rPr>
            <b/>
            <sz val="9"/>
            <color indexed="81"/>
            <rFont val="Tahoma"/>
            <family val="2"/>
          </rPr>
          <t>Admin:</t>
        </r>
        <r>
          <rPr>
            <sz val="9"/>
            <color indexed="81"/>
            <rFont val="Tahoma"/>
            <family val="2"/>
          </rPr>
          <t xml:space="preserve">
- HS 2,67 từ 01/9/2016
- HS 3,00 từ 01/9/2019
- HS 3,33 từ 01/9/2021 (NL trước hạn)</t>
        </r>
      </text>
    </comment>
    <comment ref="I211" authorId="0" shapeId="0" xr:uid="{00000000-0006-0000-0700-0000FF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2" authorId="1" shapeId="0" xr:uid="{00000000-0006-0000-0700-000000010000}">
      <text>
        <r>
          <rPr>
            <b/>
            <sz val="9"/>
            <color indexed="81"/>
            <rFont val="Tahoma"/>
            <family val="2"/>
          </rPr>
          <t>Admin:</t>
        </r>
        <r>
          <rPr>
            <sz val="9"/>
            <color indexed="81"/>
            <rFont val="Tahoma"/>
            <family val="2"/>
          </rPr>
          <t xml:space="preserve">
- HS 3,00 từ 01/10/2016
- HS 3,33 từ 01/10/2019
- HS 3,66 từ 01/10/2022</t>
        </r>
      </text>
    </comment>
    <comment ref="F213" authorId="1" shapeId="0" xr:uid="{00000000-0006-0000-0700-000001010000}">
      <text>
        <r>
          <rPr>
            <b/>
            <sz val="9"/>
            <color indexed="81"/>
            <rFont val="Tahoma"/>
            <family val="2"/>
          </rPr>
          <t>Admin:</t>
        </r>
        <r>
          <rPr>
            <sz val="9"/>
            <color indexed="81"/>
            <rFont val="Tahoma"/>
            <family val="2"/>
          </rPr>
          <t xml:space="preserve">
- HS 2,67 từ 01/10/2016
- HS 3,00 từ 01/10/2019
- HS 3,33 từ 01/10/2022</t>
        </r>
      </text>
    </comment>
    <comment ref="F214" authorId="0" shapeId="0" xr:uid="{00000000-0006-0000-0700-000002010000}">
      <text>
        <r>
          <rPr>
            <b/>
            <sz val="9"/>
            <color indexed="81"/>
            <rFont val="Tahoma"/>
            <family val="2"/>
          </rPr>
          <t>User:</t>
        </r>
        <r>
          <rPr>
            <sz val="9"/>
            <color indexed="81"/>
            <rFont val="Tahoma"/>
            <family val="2"/>
          </rPr>
          <t xml:space="preserve">
- HS 4,65 từ 01/9/2015
- HS 4,98 từ 01/9/2018</t>
        </r>
      </text>
    </comment>
    <comment ref="G214" authorId="2" shapeId="0" xr:uid="{00000000-0006-0000-0700-000003010000}">
      <text>
        <r>
          <rPr>
            <b/>
            <sz val="9"/>
            <color indexed="81"/>
            <rFont val="Tahoma"/>
            <family val="2"/>
          </rPr>
          <t>user:</t>
        </r>
        <r>
          <rPr>
            <sz val="9"/>
            <color indexed="81"/>
            <rFont val="Tahoma"/>
            <family val="2"/>
          </rPr>
          <t xml:space="preserve">
- VK 5% từ 01/9/2021
- VK 6% từ 01/9/2022
- VK 7% từ 01/9/2023</t>
        </r>
      </text>
    </comment>
    <comment ref="F215" authorId="0" shapeId="0" xr:uid="{00000000-0006-0000-0700-000004010000}">
      <text>
        <r>
          <rPr>
            <b/>
            <sz val="9"/>
            <color indexed="81"/>
            <rFont val="Tahoma"/>
            <family val="2"/>
          </rPr>
          <t>User:</t>
        </r>
        <r>
          <rPr>
            <sz val="9"/>
            <color indexed="81"/>
            <rFont val="Tahoma"/>
            <family val="2"/>
          </rPr>
          <t xml:space="preserve">
- HS 4,89 từ 1/5/2014</t>
        </r>
      </text>
    </comment>
    <comment ref="G215" authorId="1" shapeId="0" xr:uid="{00000000-0006-0000-0700-000005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5" authorId="0" shapeId="0" xr:uid="{00000000-0006-0000-0700-000006010000}">
      <text>
        <r>
          <rPr>
            <b/>
            <sz val="9"/>
            <color indexed="81"/>
            <rFont val="Tahoma"/>
            <family val="2"/>
          </rPr>
          <t>User:</t>
        </r>
        <r>
          <rPr>
            <sz val="9"/>
            <color indexed="81"/>
            <rFont val="Tahoma"/>
            <family val="2"/>
          </rPr>
          <t xml:space="preserve">
- Hết bảo lưu hệ số PCCV từ 01/11/2015</t>
        </r>
      </text>
    </comment>
    <comment ref="F216" authorId="0" shapeId="0" xr:uid="{00000000-0006-0000-0700-000007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7" authorId="2" shapeId="0" xr:uid="{00000000-0006-0000-0700-000008010000}">
      <text>
        <r>
          <rPr>
            <b/>
            <sz val="9"/>
            <color indexed="81"/>
            <rFont val="Tahoma"/>
            <family val="2"/>
          </rPr>
          <t>user:</t>
        </r>
        <r>
          <rPr>
            <sz val="9"/>
            <color indexed="81"/>
            <rFont val="Tahoma"/>
            <family val="2"/>
          </rPr>
          <t xml:space="preserve">
- BN CDNN từ 01/4/2019 (HS 2.67)
- HS 3,00 từ 01/4/2022</t>
        </r>
      </text>
    </comment>
    <comment ref="F218" authorId="2" shapeId="0" xr:uid="{00000000-0006-0000-0700-000009010000}">
      <text>
        <r>
          <rPr>
            <b/>
            <sz val="9"/>
            <color indexed="81"/>
            <rFont val="Tahoma"/>
            <family val="2"/>
          </rPr>
          <t>user:</t>
        </r>
        <r>
          <rPr>
            <sz val="9"/>
            <color indexed="81"/>
            <rFont val="Tahoma"/>
            <family val="2"/>
          </rPr>
          <t xml:space="preserve">
- HS 2,67 từ 01/10/2019
- HS 3,00 từ 01/10/2022</t>
        </r>
      </text>
    </comment>
    <comment ref="G219" authorId="1" shapeId="0" xr:uid="{00000000-0006-0000-0700-00000A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0" authorId="4" shapeId="0" xr:uid="{00000000-0006-0000-0700-00000B010000}">
      <text>
        <r>
          <rPr>
            <b/>
            <sz val="9"/>
            <color indexed="81"/>
            <rFont val="Tahoma"/>
            <family val="2"/>
          </rPr>
          <t>Quynh:</t>
        </r>
        <r>
          <rPr>
            <sz val="9"/>
            <color indexed="81"/>
            <rFont val="Tahoma"/>
            <family val="2"/>
          </rPr>
          <t xml:space="preserve">
- Tuyển dụng từ 01/4/2019
- HS 2,34 từ 01/04/2020
- HS 2,67 từ 01/4/2022</t>
        </r>
      </text>
    </comment>
    <comment ref="F221" authorId="2" shapeId="0" xr:uid="{00000000-0006-0000-0700-00000C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2" authorId="2" shapeId="0" xr:uid="{00000000-0006-0000-0700-00000D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3" authorId="3" shapeId="0" xr:uid="{00000000-0006-0000-0700-00000E010000}">
      <text>
        <r>
          <rPr>
            <b/>
            <sz val="9"/>
            <color indexed="81"/>
            <rFont val="Tahoma"/>
            <family val="2"/>
          </rPr>
          <t>Windows User:</t>
        </r>
        <r>
          <rPr>
            <sz val="9"/>
            <color indexed="81"/>
            <rFont val="Tahoma"/>
            <family val="2"/>
          </rPr>
          <t xml:space="preserve">
- Tuyển dụng từ T10/2022
- HS 2,67 từ 01/10/2022</t>
        </r>
      </text>
    </comment>
    <comment ref="F224" authorId="1" shapeId="0" xr:uid="{00000000-0006-0000-0700-00000F010000}">
      <text>
        <r>
          <rPr>
            <b/>
            <sz val="9"/>
            <color indexed="81"/>
            <rFont val="Tahoma"/>
            <family val="2"/>
          </rPr>
          <t>Admin:</t>
        </r>
        <r>
          <rPr>
            <sz val="9"/>
            <color indexed="81"/>
            <rFont val="Tahoma"/>
            <family val="2"/>
          </rPr>
          <t xml:space="preserve">
- HS 4.65 từ 01/01/2016
- HS 4,98 từ 01/01/2019</t>
        </r>
      </text>
    </comment>
    <comment ref="G224" authorId="2" shapeId="0" xr:uid="{00000000-0006-0000-0700-000010010000}">
      <text>
        <r>
          <rPr>
            <b/>
            <sz val="9"/>
            <color indexed="81"/>
            <rFont val="Tahoma"/>
            <family val="2"/>
          </rPr>
          <t>user:</t>
        </r>
        <r>
          <rPr>
            <sz val="9"/>
            <color indexed="81"/>
            <rFont val="Tahoma"/>
            <family val="2"/>
          </rPr>
          <t xml:space="preserve">
- VK 5% từ 01/01/2022
- VK 6% từ 01/01/2023
- VK 7% từ 01/01/2023</t>
        </r>
      </text>
    </comment>
    <comment ref="I224" authorId="4" shapeId="0" xr:uid="{00000000-0006-0000-0700-000011010000}">
      <text>
        <r>
          <rPr>
            <b/>
            <sz val="9"/>
            <color indexed="81"/>
            <rFont val="Tahoma"/>
            <family val="2"/>
          </rPr>
          <t>Quynh:</t>
        </r>
        <r>
          <rPr>
            <sz val="9"/>
            <color indexed="81"/>
            <rFont val="Tahoma"/>
            <family val="2"/>
          </rPr>
          <t xml:space="preserve">
- BN Phó Trưởng phòng từ 01/01/2019</t>
        </r>
      </text>
    </comment>
    <comment ref="F225" authorId="0" shapeId="0" xr:uid="{00000000-0006-0000-0700-000012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5" authorId="6" shapeId="0" xr:uid="{00000000-0006-0000-0700-000013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6" authorId="0" shapeId="0" xr:uid="{00000000-0006-0000-0700-000014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6" authorId="5" shapeId="0" xr:uid="{00000000-0006-0000-0700-000015010000}">
      <text>
        <r>
          <rPr>
            <b/>
            <sz val="8"/>
            <color indexed="81"/>
            <rFont val="Tahoma"/>
            <family val="2"/>
          </rPr>
          <t>HS 0,35 từ 05/7/2015</t>
        </r>
        <r>
          <rPr>
            <sz val="8"/>
            <color indexed="81"/>
            <rFont val="Tahoma"/>
            <family val="2"/>
          </rPr>
          <t xml:space="preserve">
</t>
        </r>
      </text>
    </comment>
    <comment ref="F227" authorId="1" shapeId="0" xr:uid="{00000000-0006-0000-0700-000016010000}">
      <text>
        <r>
          <rPr>
            <b/>
            <sz val="9"/>
            <color indexed="81"/>
            <rFont val="Tahoma"/>
            <family val="2"/>
          </rPr>
          <t>Admin:</t>
        </r>
        <r>
          <rPr>
            <sz val="9"/>
            <color indexed="81"/>
            <rFont val="Tahoma"/>
            <family val="2"/>
          </rPr>
          <t xml:space="preserve">
- 4,65 từ 01/9/2016
- 4,98 từ 01/9/2019</t>
        </r>
      </text>
    </comment>
    <comment ref="G227" authorId="7" shapeId="0" xr:uid="{00000000-0006-0000-0700-000017010000}">
      <text>
        <r>
          <rPr>
            <b/>
            <sz val="9"/>
            <color indexed="81"/>
            <rFont val="Tahoma"/>
            <family val="2"/>
          </rPr>
          <t>huynh-panda:</t>
        </r>
        <r>
          <rPr>
            <sz val="9"/>
            <color indexed="81"/>
            <rFont val="Tahoma"/>
            <family val="2"/>
          </rPr>
          <t xml:space="preserve">
- VK 5% từ 01/9/2022
- VK 6% từ 01/9/2023</t>
        </r>
      </text>
    </comment>
    <comment ref="F228" authorId="1" shapeId="0" xr:uid="{00000000-0006-0000-0700-000018010000}">
      <text>
        <r>
          <rPr>
            <b/>
            <sz val="9"/>
            <color indexed="81"/>
            <rFont val="Tahoma"/>
            <family val="2"/>
          </rPr>
          <t>Admin:</t>
        </r>
        <r>
          <rPr>
            <sz val="9"/>
            <color indexed="81"/>
            <rFont val="Tahoma"/>
            <family val="2"/>
          </rPr>
          <t xml:space="preserve">
- HS 4,65 từ 01/10/2016 (NL Trước hạn 2017)
- HS 4,98 từ 01/10/2019</t>
        </r>
      </text>
    </comment>
    <comment ref="G228" authorId="3" shapeId="0" xr:uid="{00000000-0006-0000-0700-000019010000}">
      <text>
        <r>
          <rPr>
            <b/>
            <sz val="9"/>
            <color indexed="81"/>
            <rFont val="Tahoma"/>
            <family val="2"/>
          </rPr>
          <t>Windows User:</t>
        </r>
        <r>
          <rPr>
            <sz val="9"/>
            <color indexed="81"/>
            <rFont val="Tahoma"/>
            <family val="2"/>
          </rPr>
          <t xml:space="preserve">
- VK 5% từ 01/10/2022
- VK 6% từ 01/10/2023</t>
        </r>
      </text>
    </comment>
    <comment ref="F229" authorId="1" shapeId="0" xr:uid="{00000000-0006-0000-0700-00001A010000}">
      <text>
        <r>
          <rPr>
            <b/>
            <sz val="9"/>
            <color indexed="81"/>
            <rFont val="Tahoma"/>
            <family val="2"/>
          </rPr>
          <t>Admin:</t>
        </r>
        <r>
          <rPr>
            <sz val="9"/>
            <color indexed="81"/>
            <rFont val="Tahoma"/>
            <family val="2"/>
          </rPr>
          <t xml:space="preserve">
- HS 3,99 từ 01/9/2015
- HS 4,32 từ 01/9/2018
- HS 4,65 từ 01/9/2021
</t>
        </r>
      </text>
    </comment>
    <comment ref="I229" authorId="0" shapeId="0" xr:uid="{00000000-0006-0000-0700-00001B010000}">
      <text>
        <r>
          <rPr>
            <b/>
            <sz val="9"/>
            <color indexed="81"/>
            <rFont val="Tahoma"/>
            <family val="2"/>
          </rPr>
          <t>User:</t>
        </r>
        <r>
          <rPr>
            <sz val="9"/>
            <color indexed="81"/>
            <rFont val="Tahoma"/>
            <family val="2"/>
          </rPr>
          <t xml:space="preserve">
Mieễn nhiệm Trưởng BM từ 01/9/2015. Bảo lưu HHS hết T02/2016</t>
        </r>
      </text>
    </comment>
    <comment ref="F230" authorId="1" shapeId="0" xr:uid="{00000000-0006-0000-0700-00001C010000}">
      <text>
        <r>
          <rPr>
            <b/>
            <sz val="9"/>
            <color indexed="81"/>
            <rFont val="Tahoma"/>
            <family val="2"/>
          </rPr>
          <t>Admin:</t>
        </r>
        <r>
          <rPr>
            <sz val="9"/>
            <color indexed="81"/>
            <rFont val="Tahoma"/>
            <family val="2"/>
          </rPr>
          <t xml:space="preserve">
- HS 3,66 từ 01/9/2016
- HS 3,99 từ 01/9/2019
- HS 4,32 từ 01/9/2022</t>
        </r>
      </text>
    </comment>
    <comment ref="F231" authorId="0" shapeId="0" xr:uid="{00000000-0006-0000-0700-00001D010000}">
      <text>
        <r>
          <rPr>
            <b/>
            <sz val="9"/>
            <color indexed="81"/>
            <rFont val="Tahoma"/>
            <family val="2"/>
          </rPr>
          <t>User:</t>
        </r>
        <r>
          <rPr>
            <sz val="9"/>
            <color indexed="81"/>
            <rFont val="Tahoma"/>
            <family val="2"/>
          </rPr>
          <t xml:space="preserve">
- HS 3,66 từ 01/9/2015
- HS 3,99 từ 01/9/2018
- HS 4,32 từ 01/9/2021</t>
        </r>
      </text>
    </comment>
    <comment ref="F232" authorId="1" shapeId="0" xr:uid="{00000000-0006-0000-0700-00001E010000}">
      <text>
        <r>
          <rPr>
            <b/>
            <sz val="9"/>
            <color indexed="81"/>
            <rFont val="Tahoma"/>
            <family val="2"/>
          </rPr>
          <t>Admin:</t>
        </r>
        <r>
          <rPr>
            <sz val="9"/>
            <color indexed="81"/>
            <rFont val="Tahoma"/>
            <family val="2"/>
          </rPr>
          <t xml:space="preserve">
- HS 2,67 từ 01/9/2016
- HS 3,00 từ 01/9/2019
- HS 3,33 từ 01/9/2021 (NL trước hạn)</t>
        </r>
      </text>
    </comment>
    <comment ref="I232" authorId="2" shapeId="0" xr:uid="{00000000-0006-0000-0700-00001F010000}">
      <text>
        <r>
          <rPr>
            <b/>
            <sz val="9"/>
            <color indexed="81"/>
            <rFont val="Tahoma"/>
            <family val="2"/>
          </rPr>
          <t>user:</t>
        </r>
        <r>
          <rPr>
            <sz val="9"/>
            <color indexed="81"/>
            <rFont val="Tahoma"/>
            <family val="2"/>
          </rPr>
          <t xml:space="preserve">
Trưởng BM Cơ điện tử và tự động hóa từ 01/01/2019</t>
        </r>
      </text>
    </comment>
    <comment ref="F233" authorId="1" shapeId="0" xr:uid="{00000000-0006-0000-0700-000020010000}">
      <text>
        <r>
          <rPr>
            <b/>
            <sz val="9"/>
            <color indexed="81"/>
            <rFont val="Tahoma"/>
            <family val="2"/>
          </rPr>
          <t>Admin:</t>
        </r>
        <r>
          <rPr>
            <sz val="9"/>
            <color indexed="81"/>
            <rFont val="Tahoma"/>
            <family val="2"/>
          </rPr>
          <t xml:space="preserve">
- HS 3,66 từ 01/9/2016
- HS 3,99 từ 01/9/2019
- HS 4,32 từ 01/9/2022</t>
        </r>
      </text>
    </comment>
    <comment ref="F234" authorId="1" shapeId="0" xr:uid="{00000000-0006-0000-0700-000021010000}">
      <text>
        <r>
          <rPr>
            <b/>
            <sz val="9"/>
            <color indexed="81"/>
            <rFont val="Tahoma"/>
            <family val="2"/>
          </rPr>
          <t>Admin:</t>
        </r>
        <r>
          <rPr>
            <sz val="9"/>
            <color indexed="81"/>
            <rFont val="Tahoma"/>
            <family val="2"/>
          </rPr>
          <t xml:space="preserve">
- HS 3,99 từ 01/9/2016
- HS 4,32 từ 01/9/2019
- HS 4,65 từ 01/9/2022</t>
        </r>
      </text>
    </comment>
    <comment ref="I234" authorId="0" shapeId="0" xr:uid="{00000000-0006-0000-0700-000022010000}">
      <text>
        <r>
          <rPr>
            <b/>
            <sz val="9"/>
            <color indexed="81"/>
            <rFont val="Tahoma"/>
            <family val="2"/>
          </rPr>
          <t>User:</t>
        </r>
        <r>
          <rPr>
            <sz val="9"/>
            <color indexed="81"/>
            <rFont val="Tahoma"/>
            <family val="2"/>
          </rPr>
          <t xml:space="preserve">
Miễn nhiệm Trưởng BM. Bảo lưu HS hết T02/2015</t>
        </r>
      </text>
    </comment>
    <comment ref="F235" authorId="1" shapeId="0" xr:uid="{00000000-0006-0000-0700-000023010000}">
      <text>
        <r>
          <rPr>
            <b/>
            <sz val="9"/>
            <color indexed="81"/>
            <rFont val="Tahoma"/>
            <family val="2"/>
          </rPr>
          <t>Admin:</t>
        </r>
        <r>
          <rPr>
            <sz val="9"/>
            <color indexed="81"/>
            <rFont val="Tahoma"/>
            <family val="2"/>
          </rPr>
          <t xml:space="preserve">
- HS 3,00 từ 01/9/2016
- HS 3,33 từ 01/9/2019
- HS 3,66 từ 01/9/2022</t>
        </r>
      </text>
    </comment>
    <comment ref="F236" authorId="0" shapeId="0" xr:uid="{00000000-0006-0000-0700-000024010000}">
      <text>
        <r>
          <rPr>
            <b/>
            <sz val="9"/>
            <color indexed="81"/>
            <rFont val="Tahoma"/>
            <family val="2"/>
          </rPr>
          <t>User:</t>
        </r>
        <r>
          <rPr>
            <sz val="9"/>
            <color indexed="81"/>
            <rFont val="Tahoma"/>
            <family val="2"/>
          </rPr>
          <t xml:space="preserve">
- HS 3,33 từ 01/9/2015
- HS 3,66 từ 01/9/2018
- HS 3,99 từ 01/9/2021</t>
        </r>
      </text>
    </comment>
    <comment ref="F237" authorId="1" shapeId="0" xr:uid="{00000000-0006-0000-0700-000025010000}">
      <text>
        <r>
          <rPr>
            <b/>
            <sz val="9"/>
            <color indexed="81"/>
            <rFont val="Tahoma"/>
            <family val="2"/>
          </rPr>
          <t>Admin:</t>
        </r>
        <r>
          <rPr>
            <sz val="9"/>
            <color indexed="81"/>
            <rFont val="Tahoma"/>
            <family val="2"/>
          </rPr>
          <t xml:space="preserve">
- HS 3,00 từ 01/9/2017
- HS 3,33 từ 01/9/2020
- HS 3,66 từ 01/9/2023</t>
        </r>
      </text>
    </comment>
    <comment ref="F238" authorId="1" shapeId="0" xr:uid="{00000000-0006-0000-0700-000026010000}">
      <text>
        <r>
          <rPr>
            <b/>
            <sz val="9"/>
            <color indexed="81"/>
            <rFont val="Tahoma"/>
            <family val="2"/>
          </rPr>
          <t>Admin:</t>
        </r>
        <r>
          <rPr>
            <sz val="9"/>
            <color indexed="81"/>
            <rFont val="Tahoma"/>
            <family val="2"/>
          </rPr>
          <t xml:space="preserve">
- HS 3,00 từ 01/9/2017
- HS 3,33 từ 01/9/2019
- HS 3,66 từ 01/9/2022</t>
        </r>
      </text>
    </comment>
    <comment ref="F239" authorId="0" shapeId="0" xr:uid="{00000000-0006-0000-0700-000027010000}">
      <text>
        <r>
          <rPr>
            <b/>
            <sz val="9"/>
            <color indexed="81"/>
            <rFont val="Tahoma"/>
            <family val="2"/>
          </rPr>
          <t>User:</t>
        </r>
        <r>
          <rPr>
            <sz val="9"/>
            <color indexed="81"/>
            <rFont val="Tahoma"/>
            <family val="2"/>
          </rPr>
          <t xml:space="preserve">
- HS 4,65 từ 01/5/2014
- HS 4,98 từ 01/5/2017</t>
        </r>
      </text>
    </comment>
    <comment ref="G239" authorId="2" shapeId="0" xr:uid="{00000000-0006-0000-0700-000028010000}">
      <text>
        <r>
          <rPr>
            <b/>
            <sz val="9"/>
            <color indexed="81"/>
            <rFont val="Tahoma"/>
            <family val="2"/>
          </rPr>
          <t>user:</t>
        </r>
        <r>
          <rPr>
            <sz val="9"/>
            <color indexed="81"/>
            <rFont val="Tahoma"/>
            <family val="2"/>
          </rPr>
          <t xml:space="preserve">
- 5% từ 01/5/2020
- 6% từ 01/5/2021
- 7% từ 01/5/2022
- 8% từ 01/5/2023
- 9% từ 01/5/2024</t>
        </r>
      </text>
    </comment>
    <comment ref="I239" authorId="2" shapeId="0" xr:uid="{00000000-0006-0000-0700-000029010000}">
      <text>
        <r>
          <rPr>
            <b/>
            <sz val="9"/>
            <color indexed="81"/>
            <rFont val="Tahoma"/>
            <family val="2"/>
          </rPr>
          <t>user:</t>
        </r>
        <r>
          <rPr>
            <sz val="9"/>
            <color indexed="81"/>
            <rFont val="Tahoma"/>
            <family val="2"/>
          </rPr>
          <t xml:space="preserve">
+ QĐ Bổ nhiệm Phó TK Điện - Điện tử từ 10/6/2019
</t>
        </r>
      </text>
    </comment>
    <comment ref="G240" authorId="1" shapeId="0" xr:uid="{00000000-0006-0000-0700-00002A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1" authorId="0" shapeId="0" xr:uid="{00000000-0006-0000-0700-00002B010000}">
      <text>
        <r>
          <rPr>
            <b/>
            <sz val="9"/>
            <color indexed="81"/>
            <rFont val="Tahoma"/>
            <family val="2"/>
          </rPr>
          <t>User:</t>
        </r>
        <r>
          <rPr>
            <sz val="9"/>
            <color indexed="81"/>
            <rFont val="Tahoma"/>
            <family val="2"/>
          </rPr>
          <t xml:space="preserve">
- HS 4,65 từ 01/5/2014
- HS 4,98 từ 01/5/2017</t>
        </r>
      </text>
    </comment>
    <comment ref="G241" authorId="2" shapeId="0" xr:uid="{00000000-0006-0000-0700-00002C010000}">
      <text>
        <r>
          <rPr>
            <b/>
            <sz val="9"/>
            <color indexed="81"/>
            <rFont val="Tahoma"/>
            <family val="2"/>
          </rPr>
          <t>user:</t>
        </r>
        <r>
          <rPr>
            <sz val="9"/>
            <color indexed="81"/>
            <rFont val="Tahoma"/>
            <family val="2"/>
          </rPr>
          <t xml:space="preserve">
- 5% từ 01/5/2020
- 6% từ 01/5/2021
- 7% từ 01/5/2022
- 8% từ 01/5/2023
- 9% từ 01/9/2024</t>
        </r>
      </text>
    </comment>
    <comment ref="I241" authorId="0" shapeId="0" xr:uid="{00000000-0006-0000-0700-00002D010000}">
      <text>
        <r>
          <rPr>
            <b/>
            <sz val="9"/>
            <color indexed="81"/>
            <rFont val="Tahoma"/>
            <family val="2"/>
          </rPr>
          <t>User:</t>
        </r>
        <r>
          <rPr>
            <sz val="9"/>
            <color indexed="81"/>
            <rFont val="Tahoma"/>
            <family val="2"/>
          </rPr>
          <t xml:space="preserve">
Miễn nhiện Phó Trưởng BM từ 01/9/15. Bảo lưu HS hết T2/2015</t>
        </r>
      </text>
    </comment>
    <comment ref="F242" authorId="0" shapeId="0" xr:uid="{00000000-0006-0000-0700-00002E010000}">
      <text>
        <r>
          <rPr>
            <b/>
            <sz val="9"/>
            <color indexed="81"/>
            <rFont val="Tahoma"/>
            <family val="2"/>
          </rPr>
          <t>User:</t>
        </r>
        <r>
          <rPr>
            <sz val="9"/>
            <color indexed="81"/>
            <rFont val="Tahoma"/>
            <family val="2"/>
          </rPr>
          <t xml:space="preserve">
- HS 3,66 từ 01/9/2015
- HS 3,99 từ 01/9/2018
- HS 4,32 từ 01/9/2021</t>
        </r>
      </text>
    </comment>
    <comment ref="F243" authorId="0" shapeId="0" xr:uid="{00000000-0006-0000-0700-00002F010000}">
      <text>
        <r>
          <rPr>
            <b/>
            <sz val="9"/>
            <color indexed="81"/>
            <rFont val="Tahoma"/>
            <family val="2"/>
          </rPr>
          <t>User:</t>
        </r>
        <r>
          <rPr>
            <sz val="9"/>
            <color indexed="81"/>
            <rFont val="Tahoma"/>
            <family val="2"/>
          </rPr>
          <t xml:space="preserve">
- HS 3,66 từ 01/9/2015
- HS 3,99 từ 01/9/2018
- HS 4,32 từ 01/9/2021</t>
        </r>
      </text>
    </comment>
    <comment ref="I243" authorId="0" shapeId="0" xr:uid="{00000000-0006-0000-0700-000030010000}">
      <text>
        <r>
          <rPr>
            <b/>
            <sz val="9"/>
            <color indexed="81"/>
            <rFont val="Tahoma"/>
            <family val="2"/>
          </rPr>
          <t>User:</t>
        </r>
        <r>
          <rPr>
            <sz val="9"/>
            <color indexed="81"/>
            <rFont val="Tahoma"/>
            <family val="2"/>
          </rPr>
          <t xml:space="preserve">
Miễn nhiệm Phó Trưởng BM từ 01/9/2015. Bảo lưu HS hết T02/2015</t>
        </r>
      </text>
    </comment>
    <comment ref="F244" authorId="0" shapeId="0" xr:uid="{00000000-0006-0000-0700-000031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5" authorId="0" shapeId="0" xr:uid="{00000000-0006-0000-0700-000032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6" authorId="0" shapeId="0" xr:uid="{00000000-0006-0000-0700-000033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0" shapeId="0" xr:uid="{00000000-0006-0000-07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1" shapeId="0" xr:uid="{00000000-0006-0000-0700-000035010000}">
      <text>
        <r>
          <rPr>
            <b/>
            <sz val="9"/>
            <color indexed="81"/>
            <rFont val="Tahoma"/>
            <family val="2"/>
          </rPr>
          <t>Admin:</t>
        </r>
        <r>
          <rPr>
            <sz val="9"/>
            <color indexed="81"/>
            <rFont val="Tahoma"/>
            <family val="2"/>
          </rPr>
          <t xml:space="preserve">
- HS 3,33 từ 01/12/2015
- HS 3,66 từ 01/12/2016
- HS 3,99 từ 01/12/2021</t>
        </r>
      </text>
    </comment>
    <comment ref="F249" authorId="2" shapeId="0" xr:uid="{00000000-0006-0000-0700-00003601000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xr:uid="{00000000-0006-0000-0700-000037010000}">
      <text>
        <r>
          <rPr>
            <sz val="9"/>
            <color indexed="81"/>
            <rFont val="Tahoma"/>
            <family val="2"/>
          </rPr>
          <t>- Tập sự từ 01/4/2018 HS 85% 2,67</t>
        </r>
        <r>
          <rPr>
            <b/>
            <sz val="9"/>
            <color indexed="81"/>
            <rFont val="Tahoma"/>
            <family val="2"/>
          </rPr>
          <t xml:space="preserve">
</t>
        </r>
      </text>
    </comment>
    <comment ref="F250" authorId="2" shapeId="0" xr:uid="{00000000-0006-0000-0700-000038010000}">
      <text>
        <r>
          <rPr>
            <b/>
            <sz val="9"/>
            <color indexed="81"/>
            <rFont val="Tahoma"/>
            <family val="2"/>
          </rPr>
          <t>user:</t>
        </r>
        <r>
          <rPr>
            <sz val="9"/>
            <color indexed="81"/>
            <rFont val="Tahoma"/>
            <family val="2"/>
          </rPr>
          <t xml:space="preserve">
- BN CDNN 2.34 từ 1/4/2019
- HS 2,67 từ 01/4/2022</t>
        </r>
      </text>
    </comment>
    <comment ref="I250" authorId="3" shapeId="0" xr:uid="{00000000-0006-0000-0700-000039010000}">
      <text>
        <r>
          <rPr>
            <b/>
            <sz val="9"/>
            <color indexed="81"/>
            <rFont val="Tahoma"/>
            <family val="2"/>
          </rPr>
          <t>Windows User:</t>
        </r>
        <r>
          <rPr>
            <sz val="9"/>
            <color indexed="81"/>
            <rFont val="Tahoma"/>
            <family val="2"/>
          </rPr>
          <t xml:space="preserve">
- Trưởng BM Điện Công nghiệp từ 01/10/2022</t>
        </r>
      </text>
    </comment>
    <comment ref="K250" authorId="1" shapeId="0" xr:uid="{00000000-0006-0000-0700-00003A010000}">
      <text>
        <r>
          <rPr>
            <sz val="9"/>
            <color indexed="81"/>
            <rFont val="Tahoma"/>
            <family val="2"/>
          </rPr>
          <t>- Tập sự từ 01/4/2018 HS 85% 2,34</t>
        </r>
      </text>
    </comment>
    <comment ref="F251" authorId="2" shapeId="0" xr:uid="{00000000-0006-0000-0700-00003B010000}">
      <text>
        <r>
          <rPr>
            <b/>
            <sz val="9"/>
            <color indexed="81"/>
            <rFont val="Tahoma"/>
            <family val="2"/>
          </rPr>
          <t>user:</t>
        </r>
        <r>
          <rPr>
            <sz val="9"/>
            <color indexed="81"/>
            <rFont val="Tahoma"/>
            <family val="2"/>
          </rPr>
          <t xml:space="preserve">
- HS 2,34 từ 01/01/2020
- HS 2,67 từ 01/01/2022 (NL trước hạn)</t>
        </r>
      </text>
    </comment>
    <comment ref="I251" authorId="7" shapeId="0" xr:uid="{00000000-0006-0000-0700-00003C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2" authorId="2" shapeId="0" xr:uid="{00000000-0006-0000-0700-00003D010000}">
      <text>
        <r>
          <rPr>
            <b/>
            <sz val="9"/>
            <color indexed="81"/>
            <rFont val="Tahoma"/>
            <family val="2"/>
          </rPr>
          <t>user:</t>
        </r>
        <r>
          <rPr>
            <sz val="9"/>
            <color indexed="81"/>
            <rFont val="Tahoma"/>
            <family val="2"/>
          </rPr>
          <t xml:space="preserve">
Thuyên chuyển về trường từ ngày 15/6/2021
- HS 3,99 từ 01/11/2022</t>
        </r>
      </text>
    </comment>
    <comment ref="F253" authorId="3" shapeId="0" xr:uid="{00000000-0006-0000-0700-00003E010000}">
      <text>
        <r>
          <rPr>
            <b/>
            <sz val="9"/>
            <color indexed="81"/>
            <rFont val="Tahoma"/>
            <family val="2"/>
          </rPr>
          <t>Windows User:</t>
        </r>
        <r>
          <rPr>
            <sz val="9"/>
            <color indexed="81"/>
            <rFont val="Tahoma"/>
            <family val="2"/>
          </rPr>
          <t xml:space="preserve">
- HS 2,67 từ 01/10/2023 (BN CDNN)</t>
        </r>
      </text>
    </comment>
    <comment ref="F254" authorId="3" shapeId="0" xr:uid="{00000000-0006-0000-0700-00003F010000}">
      <text>
        <r>
          <rPr>
            <b/>
            <sz val="9"/>
            <color indexed="81"/>
            <rFont val="Tahoma"/>
            <family val="2"/>
          </rPr>
          <t>Windows User:</t>
        </r>
        <r>
          <rPr>
            <sz val="9"/>
            <color indexed="81"/>
            <rFont val="Tahoma"/>
            <family val="2"/>
          </rPr>
          <t xml:space="preserve">
- HS 2,34 từ 01/10/2023 (BN CDNN)</t>
        </r>
      </text>
    </comment>
    <comment ref="F255" authorId="1" shapeId="0" xr:uid="{00000000-0006-0000-0700-000040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5" authorId="0" shapeId="0" xr:uid="{00000000-0006-0000-0700-000041010000}">
      <text>
        <r>
          <rPr>
            <b/>
            <sz val="9"/>
            <color indexed="81"/>
            <rFont val="Tahoma"/>
            <family val="2"/>
          </rPr>
          <t>User:</t>
        </r>
        <r>
          <rPr>
            <sz val="9"/>
            <color indexed="81"/>
            <rFont val="Tahoma"/>
            <family val="2"/>
          </rPr>
          <t xml:space="preserve">
- Trưởng khoa Động lực từ 01/8/2015</t>
        </r>
      </text>
    </comment>
    <comment ref="F256" authorId="1" shapeId="0" xr:uid="{00000000-0006-0000-0700-000042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7" authorId="1" shapeId="0" xr:uid="{00000000-0006-0000-0700-000043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8" authorId="1" shapeId="0" xr:uid="{00000000-0006-0000-0700-000044010000}">
      <text>
        <r>
          <rPr>
            <b/>
            <sz val="9"/>
            <color indexed="81"/>
            <rFont val="Tahoma"/>
            <family val="2"/>
          </rPr>
          <t>Admin:</t>
        </r>
        <r>
          <rPr>
            <sz val="9"/>
            <color indexed="81"/>
            <rFont val="Tahoma"/>
            <family val="2"/>
          </rPr>
          <t xml:space="preserve">
- HS 3,33 từ 01/9/2016
- HS 3,66 từ 01/9/2018 (NL trước hạn)
- HS 3,99 từ 01/9/2021</t>
        </r>
      </text>
    </comment>
    <comment ref="I258" authorId="1" shapeId="0" xr:uid="{00000000-0006-0000-0700-000045010000}">
      <text>
        <r>
          <rPr>
            <b/>
            <sz val="9"/>
            <color indexed="81"/>
            <rFont val="Tahoma"/>
            <family val="2"/>
          </rPr>
          <t>Admin:</t>
        </r>
        <r>
          <rPr>
            <sz val="9"/>
            <color indexed="81"/>
            <rFont val="Tahoma"/>
            <family val="2"/>
          </rPr>
          <t xml:space="preserve">
- Bảo lưu đến hết T5/2018</t>
        </r>
      </text>
    </comment>
    <comment ref="F259" authorId="1" shapeId="0" xr:uid="{00000000-0006-0000-0700-000046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9" authorId="0" shapeId="0" xr:uid="{00000000-0006-0000-0700-000047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0" authorId="0" shapeId="0" xr:uid="{00000000-0006-0000-0700-000048010000}">
      <text>
        <r>
          <rPr>
            <b/>
            <sz val="9"/>
            <color indexed="81"/>
            <rFont val="Tahoma"/>
            <family val="2"/>
          </rPr>
          <t>User:</t>
        </r>
        <r>
          <rPr>
            <sz val="9"/>
            <color indexed="81"/>
            <rFont val="Tahoma"/>
            <family val="2"/>
          </rPr>
          <t xml:space="preserve">
- HS 3,00 từ 01/9/2015
- HS 3,33 từ 01/9/2018
- HS 3,66 từ 01/9/2021</t>
        </r>
      </text>
    </comment>
    <comment ref="F261" authorId="1" shapeId="0" xr:uid="{00000000-0006-0000-0700-000049010000}">
      <text>
        <r>
          <rPr>
            <b/>
            <sz val="9"/>
            <color indexed="81"/>
            <rFont val="Tahoma"/>
            <family val="2"/>
          </rPr>
          <t>Admin:</t>
        </r>
        <r>
          <rPr>
            <sz val="9"/>
            <color indexed="81"/>
            <rFont val="Tahoma"/>
            <family val="2"/>
          </rPr>
          <t xml:space="preserve">
- HS 3,00 từ 01/9/2015
- HS 3,33 từ 01/9/2018
- HS 3,66 từ 01/9/2021</t>
        </r>
      </text>
    </comment>
    <comment ref="F262" authorId="0" shapeId="0" xr:uid="{00000000-0006-0000-0700-00004A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2" authorId="0" shapeId="0" xr:uid="{00000000-0006-0000-0700-00004B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3" authorId="1" shapeId="0" xr:uid="{00000000-0006-0000-0700-00004C010000}">
      <text>
        <r>
          <rPr>
            <b/>
            <sz val="9"/>
            <color indexed="81"/>
            <rFont val="Tahoma"/>
            <family val="2"/>
          </rPr>
          <t>Admin:</t>
        </r>
        <r>
          <rPr>
            <sz val="9"/>
            <color indexed="81"/>
            <rFont val="Tahoma"/>
            <family val="2"/>
          </rPr>
          <t xml:space="preserve">
- HS 3,00 từ 01/9/2015
- HS 3,33 từ 01/9/2018
- HS 3,66 từ 01/9/2021</t>
        </r>
      </text>
    </comment>
    <comment ref="F264" authorId="1" shapeId="0" xr:uid="{00000000-0006-0000-0700-00004D010000}">
      <text>
        <r>
          <rPr>
            <b/>
            <sz val="9"/>
            <color indexed="81"/>
            <rFont val="Tahoma"/>
            <family val="2"/>
          </rPr>
          <t>Admin:</t>
        </r>
        <r>
          <rPr>
            <sz val="9"/>
            <color indexed="81"/>
            <rFont val="Tahoma"/>
            <family val="2"/>
          </rPr>
          <t xml:space="preserve">
- HS 3,00 từ 01/9/2017
- HS 3,33 từ 01/9/2019
- HS 3,66 từ 01/9/2022
</t>
        </r>
      </text>
    </comment>
    <comment ref="F265" authorId="8" shapeId="0" xr:uid="{00000000-0006-0000-0700-00004E010000}">
      <text>
        <r>
          <rPr>
            <sz val="9"/>
            <color indexed="81"/>
            <rFont val="Tahoma"/>
            <family val="2"/>
          </rPr>
          <t>- HS 3,00 từ 01/3/2018
- HS 3,33 từ 01/3/2020 (NL trước hạn)
- HS 3,66 từ 01/03/2023</t>
        </r>
      </text>
    </comment>
    <comment ref="F266" authorId="1" shapeId="0" xr:uid="{00000000-0006-0000-0700-00004F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7" authorId="1" shapeId="0" xr:uid="{00000000-0006-0000-0700-000050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8" authorId="1" shapeId="0" xr:uid="{00000000-0006-0000-0700-000051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8" authorId="4" shapeId="0" xr:uid="{00000000-0006-0000-0700-000052010000}">
      <text>
        <r>
          <rPr>
            <b/>
            <sz val="9"/>
            <color indexed="81"/>
            <rFont val="Tahoma"/>
            <family val="2"/>
          </rPr>
          <t>Quynh:</t>
        </r>
        <r>
          <rPr>
            <sz val="9"/>
            <color indexed="81"/>
            <rFont val="Tahoma"/>
            <family val="2"/>
          </rPr>
          <t xml:space="preserve">
- BN Trưởng BM Điện ô tô từ 01/01/2019 </t>
        </r>
      </text>
    </comment>
    <comment ref="F269" authorId="1" shapeId="0" xr:uid="{00000000-0006-0000-0700-000053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0" authorId="2" shapeId="0" xr:uid="{00000000-0006-0000-0700-000054010000}">
      <text>
        <r>
          <rPr>
            <b/>
            <sz val="9"/>
            <color indexed="81"/>
            <rFont val="Tahoma"/>
            <family val="2"/>
          </rPr>
          <t>user:</t>
        </r>
        <r>
          <rPr>
            <sz val="9"/>
            <color indexed="81"/>
            <rFont val="Tahoma"/>
            <family val="2"/>
          </rPr>
          <t xml:space="preserve">
- HS 2,34 từ 01/10/2019
- HS 2,67 từ 01/10/2021 (NL trước hạn)</t>
        </r>
      </text>
    </comment>
    <comment ref="F271" authorId="2" shapeId="0" xr:uid="{00000000-0006-0000-0700-000055010000}">
      <text>
        <r>
          <rPr>
            <b/>
            <sz val="9"/>
            <color indexed="81"/>
            <rFont val="Tahoma"/>
            <family val="2"/>
          </rPr>
          <t>user:</t>
        </r>
        <r>
          <rPr>
            <sz val="9"/>
            <color indexed="81"/>
            <rFont val="Tahoma"/>
            <family val="2"/>
          </rPr>
          <t xml:space="preserve">
- HS 2,34 từ 01/10/2019
- HS 2,67 từ 01/10/2022</t>
        </r>
      </text>
    </comment>
    <comment ref="F272" authorId="2" shapeId="0" xr:uid="{00000000-0006-0000-0700-000056010000}">
      <text>
        <r>
          <rPr>
            <b/>
            <sz val="9"/>
            <color indexed="81"/>
            <rFont val="Tahoma"/>
            <family val="2"/>
          </rPr>
          <t>user:</t>
        </r>
        <r>
          <rPr>
            <sz val="9"/>
            <color indexed="81"/>
            <rFont val="Tahoma"/>
            <family val="2"/>
          </rPr>
          <t xml:space="preserve">
- HS 2,67 từ 01/01/2020
- HS 3,00 từ 01/01/2022 (NL trước hạn)</t>
        </r>
      </text>
    </comment>
    <comment ref="F273" authorId="2" shapeId="0" xr:uid="{00000000-0006-0000-0700-000057010000}">
      <text>
        <r>
          <rPr>
            <b/>
            <sz val="9"/>
            <color indexed="81"/>
            <rFont val="Tahoma"/>
            <family val="2"/>
          </rPr>
          <t>user:</t>
        </r>
        <r>
          <rPr>
            <sz val="9"/>
            <color indexed="81"/>
            <rFont val="Tahoma"/>
            <family val="2"/>
          </rPr>
          <t xml:space="preserve">
- HS 3,00 từ 01/11/2019
- HS 3,33 từ 01/12/2020
- HS 3,66 từ 01/12/2022</t>
        </r>
      </text>
    </comment>
    <comment ref="F274" authorId="2" shapeId="0" xr:uid="{00000000-0006-0000-0700-000058010000}">
      <text>
        <r>
          <rPr>
            <b/>
            <sz val="9"/>
            <color indexed="81"/>
            <rFont val="Tahoma"/>
            <family val="2"/>
          </rPr>
          <t>user:</t>
        </r>
        <r>
          <rPr>
            <sz val="9"/>
            <color indexed="81"/>
            <rFont val="Tahoma"/>
            <family val="2"/>
          </rPr>
          <t xml:space="preserve">
Tuyển dụng từ 01/5/20
- HS 2,34 từ 01/5/2021
- HS 2,67 từ 01/5/2024</t>
        </r>
      </text>
    </comment>
    <comment ref="F275" authorId="2" shapeId="0" xr:uid="{00000000-0006-0000-0700-00005901000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xr:uid="{00000000-0006-0000-0700-00005A010000}">
      <text>
        <r>
          <rPr>
            <b/>
            <sz val="9"/>
            <color indexed="81"/>
            <rFont val="Tahoma"/>
            <family val="2"/>
          </rPr>
          <t>user:</t>
        </r>
        <r>
          <rPr>
            <sz val="9"/>
            <color indexed="81"/>
            <rFont val="Tahoma"/>
            <family val="2"/>
          </rPr>
          <t xml:space="preserve">
- Tuyển dụng từ 01/4/2021 (85%)
- HS 2,34 từ 01/4/2022</t>
        </r>
      </text>
    </comment>
    <comment ref="F277" authorId="2" shapeId="0" xr:uid="{00000000-0006-0000-0700-00005B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xr:uid="{00000000-0006-0000-0700-00005C010000}">
      <text>
        <r>
          <rPr>
            <b/>
            <sz val="9"/>
            <color indexed="81"/>
            <rFont val="Tahoma"/>
            <family val="2"/>
          </rPr>
          <t>Windows User:</t>
        </r>
        <r>
          <rPr>
            <sz val="9"/>
            <color indexed="81"/>
            <rFont val="Tahoma"/>
            <family val="2"/>
          </rPr>
          <t xml:space="preserve">
- HS 3,00 từ 01/10/2022
- HS 3,33 từ 01/01/2023</t>
        </r>
      </text>
    </comment>
    <comment ref="F280" authorId="6" shapeId="0" xr:uid="{00000000-0006-0000-0700-00005D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xr:uid="{00000000-0006-0000-0700-00005E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xr:uid="{00000000-0006-0000-0700-00005F010000}">
      <text>
        <r>
          <rPr>
            <b/>
            <sz val="9"/>
            <color indexed="81"/>
            <rFont val="Tahoma"/>
            <family val="2"/>
          </rPr>
          <t>Admin:</t>
        </r>
        <r>
          <rPr>
            <sz val="9"/>
            <color indexed="81"/>
            <rFont val="Tahoma"/>
            <family val="2"/>
          </rPr>
          <t xml:space="preserve">
- HS 3,99 từ 01/9/2017
- HS 4,32 từ 01/9/2020
- HS 4,65 từ 01/9/2022</t>
        </r>
      </text>
    </comment>
    <comment ref="F282" authorId="1" shapeId="0" xr:uid="{00000000-0006-0000-0700-000060010000}">
      <text>
        <r>
          <rPr>
            <b/>
            <sz val="9"/>
            <color indexed="81"/>
            <rFont val="Tahoma"/>
            <family val="2"/>
          </rPr>
          <t>Admin:</t>
        </r>
        <r>
          <rPr>
            <sz val="9"/>
            <color indexed="81"/>
            <rFont val="Tahoma"/>
            <family val="2"/>
          </rPr>
          <t xml:space="preserve">
- HS 3,99 từ 01/9/2017
- HS 4,32 từ 01/9/2020
- HS 4,65 từ 01/9/2023</t>
        </r>
      </text>
    </comment>
    <comment ref="F283" authorId="1" shapeId="0" xr:uid="{00000000-0006-0000-0700-000061010000}">
      <text>
        <r>
          <rPr>
            <b/>
            <sz val="9"/>
            <color indexed="81"/>
            <rFont val="Tahoma"/>
            <family val="2"/>
          </rPr>
          <t>Admin:</t>
        </r>
        <r>
          <rPr>
            <sz val="9"/>
            <color indexed="81"/>
            <rFont val="Tahoma"/>
            <family val="2"/>
          </rPr>
          <t xml:space="preserve">
- HS 3,00 từ 01/9/2016
- HS 3,33 từ 01/9/2019
- HS 3,66 từ 01/9/2022</t>
        </r>
      </text>
    </comment>
    <comment ref="F284" authorId="1" shapeId="0" xr:uid="{00000000-0006-0000-0700-000062010000}">
      <text>
        <r>
          <rPr>
            <b/>
            <sz val="9"/>
            <color indexed="81"/>
            <rFont val="Tahoma"/>
            <family val="2"/>
          </rPr>
          <t>Admin:</t>
        </r>
        <r>
          <rPr>
            <sz val="9"/>
            <color indexed="81"/>
            <rFont val="Tahoma"/>
            <family val="2"/>
          </rPr>
          <t xml:space="preserve">
- HS 3,00 từ 01/9/2017
- HS 3,33 từ 01/9/2020
- HS 3,66 từ 01/9/2023</t>
        </r>
      </text>
    </comment>
    <comment ref="F285" authorId="1" shapeId="0" xr:uid="{00000000-0006-0000-0700-000063010000}">
      <text>
        <r>
          <rPr>
            <b/>
            <sz val="9"/>
            <color indexed="81"/>
            <rFont val="Tahoma"/>
            <family val="2"/>
          </rPr>
          <t>Admin:</t>
        </r>
        <r>
          <rPr>
            <sz val="9"/>
            <color indexed="81"/>
            <rFont val="Tahoma"/>
            <family val="2"/>
          </rPr>
          <t xml:space="preserve">
- HS 3,66 từ 01/9/2016
- HS 3,99 từ 01/9/2019
- HS 4,32 từ 01/9/2022</t>
        </r>
      </text>
    </comment>
    <comment ref="F286" authorId="2" shapeId="0" xr:uid="{00000000-0006-0000-0700-000064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xr:uid="{00000000-0006-0000-0700-000065010000}">
      <text>
        <r>
          <rPr>
            <b/>
            <sz val="9"/>
            <color indexed="81"/>
            <rFont val="Tahoma"/>
            <family val="2"/>
          </rPr>
          <t>User:</t>
        </r>
        <r>
          <rPr>
            <sz val="9"/>
            <color indexed="81"/>
            <rFont val="Tahoma"/>
            <family val="2"/>
          </rPr>
          <t xml:space="preserve">
- HS 4,32 từ 01/10/2015
- HS 4,65 từ 01/10/2018
- HS 4,98 từ 01/10/2021</t>
        </r>
      </text>
    </comment>
    <comment ref="F288" authorId="8" shapeId="0" xr:uid="{00000000-0006-0000-0700-000066010000}">
      <text>
        <r>
          <rPr>
            <sz val="9"/>
            <color indexed="81"/>
            <rFont val="Tahoma"/>
            <family val="2"/>
          </rPr>
          <t>- HS 2,67 hưởng từ 01/9 làm bảng truy lãnh từ tháng 9-11/2017
- HS 3,00 từ 01/9/2019
- HS 3,33 từ 01/9/2022</t>
        </r>
      </text>
    </comment>
    <comment ref="I288" authorId="1" shapeId="0" xr:uid="{00000000-0006-0000-0700-000067010000}">
      <text>
        <r>
          <rPr>
            <b/>
            <sz val="9"/>
            <color indexed="81"/>
            <rFont val="Tahoma"/>
            <family val="2"/>
          </rPr>
          <t>Admin:</t>
        </r>
        <r>
          <rPr>
            <sz val="9"/>
            <color indexed="81"/>
            <rFont val="Tahoma"/>
            <family val="2"/>
          </rPr>
          <t xml:space="preserve">
- BN Phó TK từ 01/8/2018</t>
        </r>
      </text>
    </comment>
    <comment ref="I290" authorId="1" shapeId="0" xr:uid="{00000000-0006-0000-0700-000068010000}">
      <text>
        <r>
          <rPr>
            <b/>
            <sz val="9"/>
            <color indexed="81"/>
            <rFont val="Tahoma"/>
            <family val="2"/>
          </rPr>
          <t>Admin:</t>
        </r>
        <r>
          <rPr>
            <sz val="9"/>
            <color indexed="81"/>
            <rFont val="Tahoma"/>
            <family val="2"/>
          </rPr>
          <t xml:space="preserve">
4.873.050 từ 01/11/2021
- 5.417.685 từ 01/11/2023</t>
        </r>
      </text>
    </comment>
    <comment ref="H292" authorId="3" shapeId="0" xr:uid="{00000000-0006-0000-0700-000069010000}">
      <text>
        <r>
          <rPr>
            <b/>
            <sz val="9"/>
            <color indexed="81"/>
            <rFont val="Tahoma"/>
            <family val="2"/>
          </rPr>
          <t>Windows User:</t>
        </r>
        <r>
          <rPr>
            <sz val="9"/>
            <color indexed="81"/>
            <rFont val="Tahoma"/>
            <family val="2"/>
          </rPr>
          <t xml:space="preserve">
Chuyển mã D.03 sang D.02 từ 01/9/2023</t>
        </r>
      </text>
    </comment>
    <comment ref="I292" authorId="3" shapeId="0" xr:uid="{00000000-0006-0000-0700-00006A010000}">
      <text>
        <r>
          <rPr>
            <b/>
            <sz val="9"/>
            <color indexed="81"/>
            <rFont val="Tahoma"/>
            <family val="2"/>
          </rPr>
          <t>Windows User:</t>
        </r>
        <r>
          <rPr>
            <sz val="9"/>
            <color indexed="81"/>
            <rFont val="Tahoma"/>
            <family val="2"/>
          </rPr>
          <t xml:space="preserve">
- 5.007.600 từ 01/9/2023</t>
        </r>
      </text>
    </comment>
    <comment ref="I295" authorId="3" shapeId="0" xr:uid="{00000000-0006-0000-0700-00006B010000}">
      <text>
        <r>
          <rPr>
            <b/>
            <sz val="9"/>
            <color indexed="81"/>
            <rFont val="Tahoma"/>
            <family val="2"/>
          </rPr>
          <t>Windows User:</t>
        </r>
        <r>
          <rPr>
            <sz val="9"/>
            <color indexed="81"/>
            <rFont val="Tahoma"/>
            <family val="2"/>
          </rPr>
          <t xml:space="preserve">
- 7.623.227 từ 01/02/2023</t>
        </r>
      </text>
    </comment>
    <comment ref="I296" authorId="2" shapeId="0" xr:uid="{00000000-0006-0000-0700-00006C010000}">
      <text>
        <r>
          <rPr>
            <b/>
            <sz val="9"/>
            <color indexed="81"/>
            <rFont val="Tahoma"/>
            <family val="2"/>
          </rPr>
          <t>user:</t>
        </r>
        <r>
          <rPr>
            <sz val="9"/>
            <color indexed="81"/>
            <rFont val="Tahoma"/>
            <family val="2"/>
          </rPr>
          <t xml:space="preserve">
- 5.372.538 từ 01/11/2021
- 5.972.998 từ 01/11/2023</t>
        </r>
      </text>
    </comment>
    <comment ref="I297" authorId="2" shapeId="0" xr:uid="{00000000-0006-0000-0700-00006D010000}">
      <text>
        <r>
          <rPr>
            <b/>
            <sz val="9"/>
            <color indexed="81"/>
            <rFont val="Tahoma"/>
            <family val="2"/>
          </rPr>
          <t>user:</t>
        </r>
        <r>
          <rPr>
            <sz val="9"/>
            <color indexed="81"/>
            <rFont val="Tahoma"/>
            <family val="2"/>
          </rPr>
          <t xml:space="preserve">
- 5.372.538 từ 01/11/2021
- 5.972.538 từ 01/11/2023</t>
        </r>
      </text>
    </comment>
    <comment ref="I298" authorId="2" shapeId="0" xr:uid="{00000000-0006-0000-0700-00006E010000}">
      <text>
        <r>
          <rPr>
            <b/>
            <sz val="9"/>
            <color indexed="81"/>
            <rFont val="Tahoma"/>
            <family val="2"/>
          </rPr>
          <t>user:</t>
        </r>
        <r>
          <rPr>
            <sz val="9"/>
            <color indexed="81"/>
            <rFont val="Tahoma"/>
            <family val="2"/>
          </rPr>
          <t xml:space="preserve">
- 5.060.458 từ 01/12/2020 (HĐLĐ)
- 5.733. 201 từ 01/12/2023</t>
        </r>
      </text>
    </comment>
    <comment ref="I302" authorId="2" shapeId="0" xr:uid="{00000000-0006-0000-0700-00006F010000}">
      <text>
        <r>
          <rPr>
            <b/>
            <sz val="9"/>
            <color indexed="81"/>
            <rFont val="Tahoma"/>
            <family val="2"/>
          </rPr>
          <t>user:</t>
        </r>
        <r>
          <rPr>
            <sz val="9"/>
            <color indexed="81"/>
            <rFont val="Tahoma"/>
            <family val="2"/>
          </rPr>
          <t xml:space="preserve">
T3: 4301389 (85% của 5.060.458)
- 5.060.458 từ 01/4/2021
- 5.733.201 từ 01/4/2024</t>
        </r>
      </text>
    </comment>
    <comment ref="I303" authorId="3" shapeId="0" xr:uid="{00000000-0006-0000-0700-000070010000}">
      <text>
        <r>
          <rPr>
            <b/>
            <sz val="9"/>
            <color indexed="81"/>
            <rFont val="Tahoma"/>
            <family val="2"/>
          </rPr>
          <t>Windows User:</t>
        </r>
        <r>
          <rPr>
            <sz val="9"/>
            <color indexed="81"/>
            <rFont val="Tahoma"/>
            <family val="2"/>
          </rPr>
          <t xml:space="preserve">
- 8.992.930 từ 01/7/2023</t>
        </r>
      </text>
    </comment>
    <comment ref="I305" authorId="3" shapeId="0" xr:uid="{00000000-0006-0000-0700-000071010000}">
      <text>
        <r>
          <rPr>
            <b/>
            <sz val="9"/>
            <color indexed="81"/>
            <rFont val="Tahoma"/>
            <family val="2"/>
          </rPr>
          <t>Windows User:</t>
        </r>
        <r>
          <rPr>
            <sz val="9"/>
            <color indexed="81"/>
            <rFont val="Tahoma"/>
            <family val="2"/>
          </rPr>
          <t xml:space="preserve">
- 8.041.111 từ 01/7/2023</t>
        </r>
      </text>
    </comment>
    <comment ref="I306" authorId="2" shapeId="0" xr:uid="{00000000-0006-0000-0700-000072010000}">
      <text>
        <r>
          <rPr>
            <b/>
            <sz val="9"/>
            <color indexed="81"/>
            <rFont val="Tahoma"/>
            <family val="2"/>
          </rPr>
          <t>user:</t>
        </r>
        <r>
          <rPr>
            <sz val="9"/>
            <color indexed="81"/>
            <rFont val="Tahoma"/>
            <family val="2"/>
          </rPr>
          <t xml:space="preserve">
- 6.151.018 từ 01/07/2021 (Nâng lương trước hạn)</t>
        </r>
      </text>
    </comment>
    <comment ref="I307" authorId="2" shapeId="0" xr:uid="{00000000-0006-0000-0700-000073010000}">
      <text>
        <r>
          <rPr>
            <b/>
            <sz val="9"/>
            <color indexed="81"/>
            <rFont val="Tahoma"/>
            <family val="2"/>
          </rPr>
          <t>user:</t>
        </r>
        <r>
          <rPr>
            <sz val="9"/>
            <color indexed="81"/>
            <rFont val="Tahoma"/>
            <family val="2"/>
          </rPr>
          <t xml:space="preserve">
- 5.748.615 từ 01/01/2021 (Nâng lương trước hạn)
- 6.391.108 từ 01/01/2023</t>
        </r>
      </text>
    </comment>
    <comment ref="I308" authorId="3" shapeId="0" xr:uid="{00000000-0006-0000-0700-000074010000}">
      <text>
        <r>
          <rPr>
            <b/>
            <sz val="9"/>
            <color indexed="81"/>
            <rFont val="Tahoma"/>
            <family val="2"/>
          </rPr>
          <t>Windows User:</t>
        </r>
        <r>
          <rPr>
            <sz val="9"/>
            <color indexed="81"/>
            <rFont val="Tahoma"/>
            <family val="2"/>
          </rPr>
          <t xml:space="preserve">
- 7.180.409 từ 01/01/2023</t>
        </r>
      </text>
    </comment>
    <comment ref="I309" authorId="2" shapeId="0" xr:uid="{00000000-0006-0000-0700-000075010000}">
      <text>
        <r>
          <rPr>
            <b/>
            <sz val="9"/>
            <color indexed="81"/>
            <rFont val="Tahoma"/>
            <family val="2"/>
          </rPr>
          <t>user:</t>
        </r>
        <r>
          <rPr>
            <sz val="9"/>
            <color indexed="81"/>
            <rFont val="Tahoma"/>
            <family val="2"/>
          </rPr>
          <t xml:space="preserve">
- 4.965.870 từ 01/6/2021
- 5.520.879 từ 01/6/2023</t>
        </r>
      </text>
    </comment>
    <comment ref="I310" authorId="2" shapeId="0" xr:uid="{00000000-0006-0000-0700-000076010000}">
      <text>
        <r>
          <rPr>
            <b/>
            <sz val="9"/>
            <color indexed="81"/>
            <rFont val="Tahoma"/>
            <family val="2"/>
          </rPr>
          <t>user:</t>
        </r>
        <r>
          <rPr>
            <sz val="9"/>
            <color indexed="81"/>
            <rFont val="Tahoma"/>
            <family val="2"/>
          </rPr>
          <t xml:space="preserve">
- 5.474.872 từ 01/01/2021 (Nâng lương trước hạn)
- 6.086.769 từ 01/01/2023</t>
        </r>
      </text>
    </comment>
    <comment ref="H311" authorId="1" shapeId="0" xr:uid="{00000000-0006-0000-0700-000077010000}">
      <text>
        <r>
          <rPr>
            <sz val="9"/>
            <color indexed="81"/>
            <rFont val="Tahoma"/>
            <family val="2"/>
          </rPr>
          <t>QĐ bổ nhiệm Tổ trưởng từ 01/01/2018</t>
        </r>
        <r>
          <rPr>
            <sz val="9"/>
            <color indexed="81"/>
            <rFont val="Tahoma"/>
            <family val="2"/>
          </rPr>
          <t xml:space="preserve">
</t>
        </r>
      </text>
    </comment>
    <comment ref="I311" authorId="2" shapeId="0" xr:uid="{00000000-0006-0000-0700-000078010000}">
      <text>
        <r>
          <rPr>
            <b/>
            <sz val="9"/>
            <color indexed="81"/>
            <rFont val="Tahoma"/>
            <family val="2"/>
          </rPr>
          <t>user:</t>
        </r>
        <r>
          <rPr>
            <sz val="9"/>
            <color indexed="81"/>
            <rFont val="Tahoma"/>
            <family val="2"/>
          </rPr>
          <t xml:space="preserve">
- 7.199.714 từ 01/7/2021
- 8.044.388 từ 01/7/2023</t>
        </r>
      </text>
    </comment>
    <comment ref="I312" authorId="3" shapeId="0" xr:uid="{00000000-0006-0000-0700-000079010000}">
      <text>
        <r>
          <rPr>
            <b/>
            <sz val="9"/>
            <color indexed="81"/>
            <rFont val="Tahoma"/>
            <family val="2"/>
          </rPr>
          <t>Windows User:</t>
        </r>
        <r>
          <rPr>
            <sz val="9"/>
            <color indexed="81"/>
            <rFont val="Tahoma"/>
            <family val="2"/>
          </rPr>
          <t xml:space="preserve">
- 5.159.700 từ 01/1/2024</t>
        </r>
      </text>
    </comment>
    <comment ref="I313" authorId="3" shapeId="0" xr:uid="{00000000-0006-0000-0700-00007A010000}">
      <text>
        <r>
          <rPr>
            <b/>
            <sz val="9"/>
            <color indexed="81"/>
            <rFont val="Tahoma"/>
            <family val="2"/>
          </rPr>
          <t>Windows User:</t>
        </r>
        <r>
          <rPr>
            <sz val="9"/>
            <color indexed="81"/>
            <rFont val="Tahoma"/>
            <family val="2"/>
          </rPr>
          <t xml:space="preserve">
- 5.159.700 từ 01/6/2024</t>
        </r>
      </text>
    </comment>
    <comment ref="I314" authorId="3" shapeId="0" xr:uid="{00000000-0006-0000-0700-00007B010000}">
      <text>
        <r>
          <rPr>
            <b/>
            <sz val="9"/>
            <color indexed="81"/>
            <rFont val="Tahoma"/>
            <family val="2"/>
          </rPr>
          <t>Windows User:</t>
        </r>
        <r>
          <rPr>
            <sz val="9"/>
            <color indexed="81"/>
            <rFont val="Tahoma"/>
            <family val="2"/>
          </rPr>
          <t xml:space="preserve">
- 4.680.000 lên 4.914.000 từ 01/11/2022</t>
        </r>
      </text>
    </comment>
    <comment ref="I315" authorId="3" shapeId="0" xr:uid="{00000000-0006-0000-0700-00007C010000}">
      <text>
        <r>
          <rPr>
            <b/>
            <sz val="9"/>
            <color indexed="81"/>
            <rFont val="Tahoma"/>
            <family val="2"/>
          </rPr>
          <t>Windows User:</t>
        </r>
        <r>
          <rPr>
            <sz val="9"/>
            <color indexed="81"/>
            <rFont val="Tahoma"/>
            <family val="2"/>
          </rPr>
          <t xml:space="preserve">
- Từ 4.680.000 lên 4.914.000 từ 01/11/2022</t>
        </r>
      </text>
    </comment>
    <comment ref="I316" authorId="2" shapeId="0" xr:uid="{00000000-0006-0000-0700-00007D010000}">
      <text>
        <r>
          <rPr>
            <b/>
            <sz val="9"/>
            <color indexed="81"/>
            <rFont val="Tahoma"/>
            <family val="2"/>
          </rPr>
          <t>user:</t>
        </r>
        <r>
          <rPr>
            <sz val="9"/>
            <color indexed="81"/>
            <rFont val="Tahoma"/>
            <family val="2"/>
          </rPr>
          <t xml:space="preserve">
- 4.420.000 từ 01/4/2021</t>
        </r>
      </text>
    </comment>
    <comment ref="I317" authorId="2" shapeId="0" xr:uid="{00000000-0006-0000-0700-00007E010000}">
      <text>
        <r>
          <rPr>
            <b/>
            <sz val="9"/>
            <color indexed="81"/>
            <rFont val="Tahoma"/>
            <family val="2"/>
          </rPr>
          <t>user:</t>
        </r>
        <r>
          <rPr>
            <sz val="9"/>
            <color indexed="81"/>
            <rFont val="Tahoma"/>
            <family val="2"/>
          </rPr>
          <t xml:space="preserve">
- 4.420.000 từ 01/4/2021</t>
        </r>
      </text>
    </comment>
    <comment ref="I318" authorId="3" shapeId="0" xr:uid="{00000000-0006-0000-0700-00007F010000}">
      <text>
        <r>
          <rPr>
            <b/>
            <sz val="9"/>
            <color indexed="81"/>
            <rFont val="Tahoma"/>
            <family val="2"/>
          </rPr>
          <t>Windows User:</t>
        </r>
        <r>
          <rPr>
            <sz val="9"/>
            <color indexed="81"/>
            <rFont val="Tahoma"/>
            <family val="2"/>
          </rPr>
          <t xml:space="preserve">
- 5.007.600 từ 01/5/2024</t>
        </r>
      </text>
    </comment>
    <comment ref="I319" authorId="3" shapeId="0" xr:uid="{00000000-0006-0000-0700-000080010000}">
      <text>
        <r>
          <rPr>
            <b/>
            <sz val="9"/>
            <color indexed="81"/>
            <rFont val="Tahoma"/>
            <family val="2"/>
          </rPr>
          <t>Windows User:</t>
        </r>
        <r>
          <rPr>
            <sz val="9"/>
            <color indexed="81"/>
            <rFont val="Tahoma"/>
            <family val="2"/>
          </rPr>
          <t xml:space="preserve">
- 5.007.600 từ ngày 01/6/2024</t>
        </r>
      </text>
    </comment>
    <comment ref="I321" authorId="3" shapeId="0" xr:uid="{00000000-0006-0000-0700-000081010000}">
      <text>
        <r>
          <rPr>
            <b/>
            <sz val="9"/>
            <color indexed="81"/>
            <rFont val="Tahoma"/>
            <family val="2"/>
          </rPr>
          <t>Windows User:</t>
        </r>
        <r>
          <rPr>
            <sz val="9"/>
            <color indexed="81"/>
            <rFont val="Tahoma"/>
            <family val="2"/>
          </rPr>
          <t xml:space="preserve">
- 7.046.196 từ 01/01/2024</t>
        </r>
      </text>
    </comment>
    <comment ref="I322" authorId="3" shapeId="0" xr:uid="{00000000-0006-0000-0700-000082010000}">
      <text>
        <r>
          <rPr>
            <b/>
            <sz val="9"/>
            <color indexed="81"/>
            <rFont val="Tahoma"/>
            <family val="2"/>
          </rPr>
          <t>Windows User:</t>
        </r>
        <r>
          <rPr>
            <sz val="9"/>
            <color indexed="81"/>
            <rFont val="Tahoma"/>
            <family val="2"/>
          </rPr>
          <t xml:space="preserve">
- 4.914.000 từ 01/5/2024</t>
        </r>
      </text>
    </comment>
    <comment ref="I323" authorId="2" shapeId="0" xr:uid="{00000000-0006-0000-0700-000083010000}">
      <text>
        <r>
          <rPr>
            <b/>
            <sz val="9"/>
            <color indexed="81"/>
            <rFont val="Tahoma"/>
            <family val="2"/>
          </rPr>
          <t>user:</t>
        </r>
        <r>
          <rPr>
            <sz val="9"/>
            <color indexed="81"/>
            <rFont val="Tahoma"/>
            <family val="2"/>
          </rPr>
          <t xml:space="preserve">
- 9.434.059 từ 01/11/2021
- 10.080.646 từ 01/11/2022
- 12.518.663 từ 01/11/2023</t>
        </r>
      </text>
    </comment>
    <comment ref="I324" authorId="2" shapeId="0" xr:uid="{00000000-0006-0000-0700-000084010000}">
      <text>
        <r>
          <rPr>
            <b/>
            <sz val="9"/>
            <color indexed="81"/>
            <rFont val="Tahoma"/>
            <family val="2"/>
          </rPr>
          <t>user:</t>
        </r>
        <r>
          <rPr>
            <sz val="9"/>
            <color indexed="81"/>
            <rFont val="Tahoma"/>
            <family val="2"/>
          </rPr>
          <t xml:space="preserve">
- 6.151.018 từ T6/20 (Nâng lương trước hạn)
- 7.515.057 từ 01/06/2023</t>
        </r>
      </text>
    </comment>
    <comment ref="I325" authorId="3" shapeId="0" xr:uid="{00000000-0006-0000-0700-000085010000}">
      <text>
        <r>
          <rPr>
            <b/>
            <sz val="9"/>
            <color indexed="81"/>
            <rFont val="Tahoma"/>
            <family val="2"/>
          </rPr>
          <t>Windows User:</t>
        </r>
        <r>
          <rPr>
            <sz val="9"/>
            <color indexed="81"/>
            <rFont val="Tahoma"/>
            <family val="2"/>
          </rPr>
          <t xml:space="preserve">
- 5.733.201 từ 01/8/2023</t>
        </r>
      </text>
    </comment>
    <comment ref="I326" authorId="2" shapeId="0" xr:uid="{00000000-0006-0000-0700-000086010000}">
      <text>
        <r>
          <rPr>
            <b/>
            <sz val="9"/>
            <color indexed="81"/>
            <rFont val="Tahoma"/>
            <family val="2"/>
          </rPr>
          <t>user:</t>
        </r>
        <r>
          <rPr>
            <sz val="9"/>
            <color indexed="81"/>
            <rFont val="Tahoma"/>
            <family val="2"/>
          </rPr>
          <t xml:space="preserve">
T4: 85% lương thử việc của: 5.060.458
- 5.733.201 từ 01/05/2023</t>
        </r>
      </text>
    </comment>
    <comment ref="I328" authorId="2" shapeId="0" xr:uid="{00000000-0006-0000-0700-000087010000}">
      <text>
        <r>
          <rPr>
            <b/>
            <sz val="9"/>
            <color indexed="81"/>
            <rFont val="Tahoma"/>
            <family val="2"/>
          </rPr>
          <t>user:</t>
        </r>
        <r>
          <rPr>
            <sz val="9"/>
            <color indexed="81"/>
            <rFont val="Tahoma"/>
            <family val="2"/>
          </rPr>
          <t xml:space="preserve">
- 6.781.498 từ 01/11/2021 (Nâng lương trước hạn)</t>
        </r>
      </text>
    </comment>
    <comment ref="I329" authorId="2" shapeId="0" xr:uid="{00000000-0006-0000-0700-000088010000}">
      <text>
        <r>
          <rPr>
            <b/>
            <sz val="9"/>
            <color indexed="81"/>
            <rFont val="Tahoma"/>
            <family val="2"/>
          </rPr>
          <t>user:</t>
        </r>
        <r>
          <rPr>
            <sz val="9"/>
            <color indexed="81"/>
            <rFont val="Tahoma"/>
            <family val="2"/>
          </rPr>
          <t xml:space="preserve">
- 5.474.872 từ 01/01/2021
- 6.086.769 từ 01/01/2023</t>
        </r>
      </text>
    </comment>
    <comment ref="I330" authorId="2" shapeId="0" xr:uid="{00000000-0006-0000-0700-000089010000}">
      <text>
        <r>
          <rPr>
            <b/>
            <sz val="9"/>
            <color indexed="81"/>
            <rFont val="Tahoma"/>
            <family val="2"/>
          </rPr>
          <t>user:</t>
        </r>
        <r>
          <rPr>
            <sz val="9"/>
            <color indexed="81"/>
            <rFont val="Tahoma"/>
            <family val="2"/>
          </rPr>
          <t xml:space="preserve">
- 5.474.872 từ 01/01/2021 (Nâng lương trước hạn)
- 6.086.769 từ 01/01/2023</t>
        </r>
      </text>
    </comment>
    <comment ref="I331" authorId="3" shapeId="0" xr:uid="{00000000-0006-0000-0700-00008A010000}">
      <text>
        <r>
          <rPr>
            <b/>
            <sz val="9"/>
            <color indexed="81"/>
            <rFont val="Tahoma"/>
            <family val="2"/>
          </rPr>
          <t>Windows User:</t>
        </r>
        <r>
          <rPr>
            <sz val="9"/>
            <color indexed="81"/>
            <rFont val="Tahoma"/>
            <family val="2"/>
          </rPr>
          <t xml:space="preserve">
- 5.733.201 từ 01/12/2023</t>
        </r>
      </text>
    </comment>
    <comment ref="I332" authorId="3" shapeId="0" xr:uid="{00000000-0006-0000-0700-00008B010000}">
      <text>
        <r>
          <rPr>
            <b/>
            <sz val="9"/>
            <color indexed="81"/>
            <rFont val="Tahoma"/>
            <family val="2"/>
          </rPr>
          <t>Windows User:</t>
        </r>
        <r>
          <rPr>
            <sz val="9"/>
            <color indexed="81"/>
            <rFont val="Tahoma"/>
            <family val="2"/>
          </rPr>
          <t xml:space="preserve">
- 5.257.980 từ 01/9/2023</t>
        </r>
      </text>
    </comment>
    <comment ref="I333" authorId="2" shapeId="0" xr:uid="{00000000-0006-0000-0700-00008C010000}">
      <text>
        <r>
          <rPr>
            <b/>
            <sz val="9"/>
            <color indexed="81"/>
            <rFont val="Tahoma"/>
            <family val="2"/>
          </rPr>
          <t>user:</t>
        </r>
        <r>
          <rPr>
            <sz val="9"/>
            <color indexed="81"/>
            <rFont val="Tahoma"/>
            <family val="2"/>
          </rPr>
          <t xml:space="preserve">
- 5.257.980 lên 5.520.879 từ 01/11/2022</t>
        </r>
      </text>
    </comment>
    <comment ref="I334" authorId="3" shapeId="0" xr:uid="{00000000-0006-0000-0700-00008D010000}">
      <text>
        <r>
          <rPr>
            <b/>
            <sz val="9"/>
            <color indexed="81"/>
            <rFont val="Tahoma"/>
            <family val="2"/>
          </rPr>
          <t>Windows User:</t>
        </r>
        <r>
          <rPr>
            <sz val="9"/>
            <color indexed="81"/>
            <rFont val="Tahoma"/>
            <family val="2"/>
          </rPr>
          <t xml:space="preserve">
- 5.733.201 từ 01/7/2023</t>
        </r>
      </text>
    </comment>
    <comment ref="I335" authorId="2" shapeId="0" xr:uid="{00000000-0006-0000-0700-00008E010000}">
      <text>
        <r>
          <rPr>
            <b/>
            <sz val="9"/>
            <color indexed="81"/>
            <rFont val="Tahoma"/>
            <family val="2"/>
          </rPr>
          <t>user:</t>
        </r>
        <r>
          <rPr>
            <sz val="9"/>
            <color indexed="81"/>
            <rFont val="Tahoma"/>
            <family val="2"/>
          </rPr>
          <t xml:space="preserve">
- 5.858.113 lên 6.151.018 từ 01/12/2020
- 6.838.485 từ 01/12/2022</t>
        </r>
      </text>
    </comment>
    <comment ref="I337" authorId="3" shapeId="0" xr:uid="{00000000-0006-0000-0700-00008F010000}">
      <text>
        <r>
          <rPr>
            <b/>
            <sz val="9"/>
            <color indexed="81"/>
            <rFont val="Tahoma"/>
            <family val="2"/>
          </rPr>
          <t>Windows User:</t>
        </r>
        <r>
          <rPr>
            <sz val="9"/>
            <color indexed="81"/>
            <rFont val="Tahoma"/>
            <family val="2"/>
          </rPr>
          <t xml:space="preserve">
- 5.626.039 từ 01/01/2023</t>
        </r>
      </text>
    </comment>
    <comment ref="I338" authorId="3" shapeId="0" xr:uid="{00000000-0006-0000-0700-000090010000}">
      <text>
        <r>
          <rPr>
            <b/>
            <sz val="9"/>
            <color indexed="81"/>
            <rFont val="Tahoma"/>
            <family val="2"/>
          </rPr>
          <t>Windows User:</t>
        </r>
        <r>
          <rPr>
            <sz val="9"/>
            <color indexed="81"/>
            <rFont val="Tahoma"/>
            <family val="2"/>
          </rPr>
          <t xml:space="preserve">
- 6.391.108 từ 01/01/2024</t>
        </r>
      </text>
    </comment>
    <comment ref="I339" authorId="3" shapeId="0" xr:uid="{00000000-0006-0000-0700-000091010000}">
      <text>
        <r>
          <rPr>
            <b/>
            <sz val="9"/>
            <color indexed="81"/>
            <rFont val="Tahoma"/>
            <family val="2"/>
          </rPr>
          <t>Windows User:</t>
        </r>
        <r>
          <rPr>
            <sz val="9"/>
            <color indexed="81"/>
            <rFont val="Tahoma"/>
            <family val="2"/>
          </rPr>
          <t xml:space="preserve">
- 6.202.708 từ 01/04/2022</t>
        </r>
      </text>
    </comment>
    <comment ref="I340" authorId="3" shapeId="0" xr:uid="{00000000-0006-0000-0700-000092010000}">
      <text>
        <r>
          <rPr>
            <b/>
            <sz val="9"/>
            <color indexed="81"/>
            <rFont val="Tahoma"/>
            <family val="2"/>
          </rPr>
          <t>Windows User:</t>
        </r>
        <r>
          <rPr>
            <sz val="9"/>
            <color indexed="81"/>
            <rFont val="Tahoma"/>
            <family val="2"/>
          </rPr>
          <t xml:space="preserve">
- 5.626.039 từ 01/01/2023</t>
        </r>
      </text>
    </comment>
    <comment ref="I341" authorId="2" shapeId="0" xr:uid="{00000000-0006-0000-0700-000093010000}">
      <text>
        <r>
          <rPr>
            <b/>
            <sz val="9"/>
            <color indexed="81"/>
            <rFont val="Tahoma"/>
            <family val="2"/>
          </rPr>
          <t>user:</t>
        </r>
        <r>
          <rPr>
            <sz val="9"/>
            <color indexed="81"/>
            <rFont val="Tahoma"/>
            <family val="2"/>
          </rPr>
          <t xml:space="preserve">
- 6,151,018 từ 01/01/2021
- 6.838.485 từ 01/01/2023</t>
        </r>
      </text>
    </comment>
    <comment ref="I342" authorId="3" shapeId="0" xr:uid="{00000000-0006-0000-0700-000094010000}">
      <text>
        <r>
          <rPr>
            <b/>
            <sz val="9"/>
            <color indexed="81"/>
            <rFont val="Tahoma"/>
            <family val="2"/>
          </rPr>
          <t>Windows User:</t>
        </r>
        <r>
          <rPr>
            <sz val="9"/>
            <color indexed="81"/>
            <rFont val="Tahoma"/>
            <family val="2"/>
          </rPr>
          <t xml:space="preserve">
- 7.180.409 từ 01/01/2022</t>
        </r>
      </text>
    </comment>
    <comment ref="I344" authorId="2" shapeId="0" xr:uid="{00000000-0006-0000-0700-000095010000}">
      <text>
        <r>
          <rPr>
            <b/>
            <sz val="9"/>
            <color indexed="81"/>
            <rFont val="Tahoma"/>
            <family val="2"/>
          </rPr>
          <t>user:</t>
        </r>
        <r>
          <rPr>
            <sz val="9"/>
            <color indexed="81"/>
            <rFont val="Tahoma"/>
            <family val="2"/>
          </rPr>
          <t xml:space="preserve">
- 4.873.050 từ 01/3/2021
- 5.417.685 từ 01/3/2023</t>
        </r>
      </text>
    </comment>
    <comment ref="I347" authorId="2" shapeId="0" xr:uid="{00000000-0006-0000-0700-000096010000}">
      <text>
        <r>
          <rPr>
            <b/>
            <sz val="9"/>
            <color indexed="81"/>
            <rFont val="Tahoma"/>
            <family val="2"/>
          </rPr>
          <t>user:</t>
        </r>
        <r>
          <rPr>
            <sz val="9"/>
            <color indexed="81"/>
            <rFont val="Tahoma"/>
            <family val="2"/>
          </rPr>
          <t xml:space="preserve">
- 6151018 từ T9/20 (Trước hạn)
- 7.515.057 từ T9/2023</t>
        </r>
      </text>
    </comment>
    <comment ref="I348" authorId="3" shapeId="0" xr:uid="{00000000-0006-0000-0700-000097010000}">
      <text>
        <r>
          <rPr>
            <b/>
            <sz val="9"/>
            <color indexed="81"/>
            <rFont val="Tahoma"/>
            <family val="2"/>
          </rPr>
          <t>Windows User:</t>
        </r>
        <r>
          <rPr>
            <sz val="9"/>
            <color indexed="81"/>
            <rFont val="Tahoma"/>
            <family val="2"/>
          </rPr>
          <t xml:space="preserve">
- 8.727.832 từ 01/06/2022</t>
        </r>
      </text>
    </comment>
    <comment ref="I349" authorId="3" shapeId="0" xr:uid="{00000000-0006-0000-0700-000098010000}">
      <text>
        <r>
          <rPr>
            <b/>
            <sz val="9"/>
            <color indexed="81"/>
            <rFont val="Tahoma"/>
            <family val="2"/>
          </rPr>
          <t>Windows User:</t>
        </r>
        <r>
          <rPr>
            <sz val="9"/>
            <color indexed="81"/>
            <rFont val="Tahoma"/>
            <family val="2"/>
          </rPr>
          <t xml:space="preserve">
- 6.086.769 từ 01/7/2023</t>
        </r>
      </text>
    </comment>
    <comment ref="I350" authorId="3" shapeId="0" xr:uid="{00000000-0006-0000-0700-000099010000}">
      <text>
        <r>
          <rPr>
            <b/>
            <sz val="9"/>
            <color indexed="81"/>
            <rFont val="Tahoma"/>
            <family val="2"/>
          </rPr>
          <t>Windows User:</t>
        </r>
        <r>
          <rPr>
            <sz val="9"/>
            <color indexed="81"/>
            <rFont val="Tahoma"/>
            <family val="2"/>
          </rPr>
          <t xml:space="preserve">
4.680.000đ từ 10/7/2023</t>
        </r>
      </text>
    </comment>
    <comment ref="I352" authorId="3" shapeId="0" xr:uid="{00000000-0006-0000-0700-00009A010000}">
      <text>
        <r>
          <rPr>
            <b/>
            <sz val="9"/>
            <color indexed="81"/>
            <rFont val="Tahoma"/>
            <family val="2"/>
          </rPr>
          <t>Windows User:</t>
        </r>
        <r>
          <rPr>
            <sz val="9"/>
            <color indexed="81"/>
            <rFont val="Tahoma"/>
            <family val="2"/>
          </rPr>
          <t xml:space="preserve">
- 5.520.879 từ 01/12/2023</t>
        </r>
      </text>
    </comment>
    <comment ref="I353" authorId="3" shapeId="0" xr:uid="{00000000-0006-0000-0700-00009B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Admin</author>
    <author>user</author>
    <author>User</author>
    <author>Quynh</author>
    <author>yen</author>
    <author>Windows User</author>
    <author>admin</author>
    <author>PC</author>
    <author>huynh-panda</author>
    <author>Thu Thuy</author>
  </authors>
  <commentList>
    <comment ref="F25" authorId="0" shapeId="0" xr:uid="{E2D89545-A859-41DD-AA26-F6FF2FC219A0}">
      <text>
        <r>
          <rPr>
            <b/>
            <sz val="9"/>
            <color indexed="81"/>
            <rFont val="Tahoma"/>
            <family val="2"/>
          </rPr>
          <t>Admin:</t>
        </r>
        <r>
          <rPr>
            <sz val="9"/>
            <color indexed="81"/>
            <rFont val="Tahoma"/>
            <family val="2"/>
          </rPr>
          <t xml:space="preserve">
- HS 4,65 từ 01/12/2015
- HS 4,98 từ 01/12/2018</t>
        </r>
      </text>
    </comment>
    <comment ref="G25" authorId="1" shapeId="0" xr:uid="{9AB3F2B2-0627-4A22-9EAA-2E668AE50F53}">
      <text>
        <r>
          <rPr>
            <b/>
            <sz val="9"/>
            <color indexed="81"/>
            <rFont val="Tahoma"/>
            <family val="2"/>
          </rPr>
          <t>user:</t>
        </r>
        <r>
          <rPr>
            <sz val="9"/>
            <color indexed="81"/>
            <rFont val="Tahoma"/>
            <family val="2"/>
          </rPr>
          <t xml:space="preserve">
- VK 5% từ 01/12/2021
- VK 6% từ 01/12/2022
- VK 7% từ 01/12/2023
- VK 8% từ 01/12/2024</t>
        </r>
      </text>
    </comment>
    <comment ref="F26" authorId="2" shapeId="0" xr:uid="{DF525A31-F46C-44DA-BE42-988D66A8ABC3}">
      <text>
        <r>
          <rPr>
            <b/>
            <sz val="9"/>
            <color indexed="81"/>
            <rFont val="Tahoma"/>
            <family val="2"/>
          </rPr>
          <t>User:</t>
        </r>
        <r>
          <rPr>
            <sz val="9"/>
            <color indexed="81"/>
            <rFont val="Tahoma"/>
            <family val="2"/>
          </rPr>
          <t xml:space="preserve">
- 4,65 từ 01/10/2015
- HS 4,98 từ 01/10/17 (NL trước hạn)
- HS 5,76 từ 01/3/2025 (Nâng ngạch)</t>
        </r>
      </text>
    </comment>
    <comment ref="G26" authorId="1" shapeId="0" xr:uid="{C139ECD7-5300-4648-8C09-7A76A9ACFFF6}">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26" authorId="0" shapeId="0" xr:uid="{4E743BAC-9E94-4C83-AA7D-4FA966570906}">
      <text>
        <r>
          <rPr>
            <b/>
            <sz val="9"/>
            <color indexed="81"/>
            <rFont val="Tahoma"/>
            <family val="2"/>
          </rPr>
          <t>Admin:</t>
        </r>
        <r>
          <rPr>
            <sz val="9"/>
            <color indexed="81"/>
            <rFont val="Tahoma"/>
            <family val="2"/>
          </rPr>
          <t xml:space="preserve">
- HS 0,7 từ 01/11/2016</t>
        </r>
      </text>
    </comment>
    <comment ref="F27" authorId="1" shapeId="0" xr:uid="{5AD4474E-CE70-4373-ACC8-CFE7BFFD25CA}">
      <text>
        <r>
          <rPr>
            <b/>
            <sz val="9"/>
            <color indexed="81"/>
            <rFont val="Tahoma"/>
            <family val="2"/>
          </rPr>
          <t>user:</t>
        </r>
        <r>
          <rPr>
            <sz val="9"/>
            <color indexed="81"/>
            <rFont val="Tahoma"/>
            <family val="2"/>
          </rPr>
          <t xml:space="preserve">
- HS 4.32 từ 01/4/2019
- HS 4,65 từ 01/4/2021 (NL trước hạn)
- HS 4,98 từ 01/4/2024</t>
        </r>
      </text>
    </comment>
    <comment ref="I27" authorId="1" shapeId="0" xr:uid="{C32AE1F4-2EC6-47EA-97D7-97EDBD888269}">
      <text>
        <r>
          <rPr>
            <b/>
            <sz val="9"/>
            <color indexed="81"/>
            <rFont val="Tahoma"/>
            <family val="2"/>
          </rPr>
          <t>user:</t>
        </r>
        <r>
          <rPr>
            <sz val="9"/>
            <color indexed="81"/>
            <rFont val="Tahoma"/>
            <family val="2"/>
          </rPr>
          <t xml:space="preserve">
- HS 0.7 từ 15/4/2019</t>
        </r>
      </text>
    </comment>
    <comment ref="F28" authorId="0" shapeId="0" xr:uid="{80A95BDC-A3F0-4773-8CC7-40B846546BD9}">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28" authorId="0" shapeId="0" xr:uid="{1E121E11-EBF6-4E50-9369-1581109F4F9D}">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29" authorId="2" shapeId="0" xr:uid="{1E326B89-5B4F-4DE5-A49C-6B6F435EAEDA}">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9" authorId="1" shapeId="0" xr:uid="{D3C5ED3B-A2DD-4125-9C2F-0A6DA46E7078}">
      <text>
        <r>
          <rPr>
            <b/>
            <sz val="9"/>
            <color indexed="81"/>
            <rFont val="Tahoma"/>
            <family val="2"/>
          </rPr>
          <t>user:</t>
        </r>
        <r>
          <rPr>
            <sz val="9"/>
            <color indexed="81"/>
            <rFont val="Tahoma"/>
            <family val="2"/>
          </rPr>
          <t xml:space="preserve">
BN Phó TP từ 01/03/2021</t>
        </r>
      </text>
    </comment>
    <comment ref="F30" authorId="3" shapeId="0" xr:uid="{401F7D23-9398-4FD9-A702-0ED723CE3591}">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30" authorId="1" shapeId="0" xr:uid="{1762DCB4-0602-47D4-9B31-B033DDA1AB2A}">
      <text>
        <r>
          <rPr>
            <b/>
            <sz val="9"/>
            <color indexed="81"/>
            <rFont val="Tahoma"/>
            <family val="2"/>
          </rPr>
          <t>user:</t>
        </r>
        <r>
          <rPr>
            <sz val="9"/>
            <color indexed="81"/>
            <rFont val="Tahoma"/>
            <family val="2"/>
          </rPr>
          <t xml:space="preserve">
- PP TC-HC-TH từ 01/9/2020</t>
        </r>
      </text>
    </comment>
    <comment ref="F31" authorId="0" shapeId="0" xr:uid="{4B3EA0B9-8860-4BD5-96ED-654B4907F738}">
      <text>
        <r>
          <rPr>
            <sz val="9"/>
            <color indexed="81"/>
            <rFont val="Tahoma"/>
            <family val="2"/>
          </rPr>
          <t>Hợp đồng thử việc từ 10/11/2017 hưởng 85% lương
Tháng 12 hưởng 100% lương
- BNCDNN từ 01/4/2019 (2.10)
- HS 2,41 từ 01/4/2022
- HS 2,61 từ 01/4/2023 (NL trước hạn)
- BNCDNN từ T3/25 (2,67)</t>
        </r>
      </text>
    </comment>
    <comment ref="F32" authorId="4" shapeId="0" xr:uid="{F3A9AB00-694A-4E1E-BC2F-19B88CB522B7}">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
- HS 3,99 từ 23/11/2024 (NL trước hạn)</t>
        </r>
      </text>
    </comment>
    <comment ref="F33" authorId="0" shapeId="0" xr:uid="{325E8D9F-79FA-428E-A307-F892D6235DDF}">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
- HS 3,66 từ 01/03/2024 (NL trước hạn)</t>
        </r>
      </text>
    </comment>
    <comment ref="F34" authorId="0" shapeId="0" xr:uid="{72DD9E9B-D590-4EB7-90B4-E7DB10FCC68B}">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5" authorId="4" shapeId="0" xr:uid="{FED6F01E-7618-4439-8B16-0D2612414667}">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6" authorId="2" shapeId="0" xr:uid="{E00F6D6E-8B1D-4CF3-A679-F434662AD716}">
      <text>
        <r>
          <rPr>
            <b/>
            <sz val="9"/>
            <color indexed="81"/>
            <rFont val="Tahoma"/>
            <family val="2"/>
          </rPr>
          <t>User:</t>
        </r>
        <r>
          <rPr>
            <sz val="9"/>
            <color indexed="81"/>
            <rFont val="Tahoma"/>
            <family val="2"/>
          </rPr>
          <t xml:space="preserve">
- HS 4,32 từ 01/9/2015
- HS 4,65 từ 01/9/17 (NL trước hạn 2017)
- HS 4,98 từ 01/9/2020</t>
        </r>
      </text>
    </comment>
    <comment ref="G36" authorId="5" shapeId="0" xr:uid="{08F0CB71-E1D5-4F88-A8A6-72BA32B1F081}">
      <text>
        <r>
          <rPr>
            <b/>
            <sz val="9"/>
            <color indexed="81"/>
            <rFont val="Tahoma"/>
            <family val="2"/>
          </rPr>
          <t>Windows User:</t>
        </r>
        <r>
          <rPr>
            <sz val="9"/>
            <color indexed="81"/>
            <rFont val="Tahoma"/>
            <family val="2"/>
          </rPr>
          <t xml:space="preserve">
- VK 5% từ 01/9/2023
- VK 6% từ 01/9/2024
- VK 7% từ 01/9/2025</t>
        </r>
      </text>
    </comment>
    <comment ref="F37" authorId="0" shapeId="0" xr:uid="{F0503B24-B5DA-49BC-8DC6-2CB58D99BEB2}">
      <text>
        <r>
          <rPr>
            <b/>
            <sz val="9"/>
            <color indexed="81"/>
            <rFont val="Tahoma"/>
            <family val="2"/>
          </rPr>
          <t>Admin:</t>
        </r>
        <r>
          <rPr>
            <sz val="9"/>
            <color indexed="81"/>
            <rFont val="Tahoma"/>
            <family val="2"/>
          </rPr>
          <t xml:space="preserve">
- HS 4,65 từ 01/12/2015
- HS 4,98 từ 01/12/2018</t>
        </r>
      </text>
    </comment>
    <comment ref="G37" authorId="1" shapeId="0" xr:uid="{5B641DEF-5723-4F0E-BF91-E37B68780DAC}">
      <text>
        <r>
          <rPr>
            <b/>
            <sz val="9"/>
            <color indexed="81"/>
            <rFont val="Tahoma"/>
            <family val="2"/>
          </rPr>
          <t>user:</t>
        </r>
        <r>
          <rPr>
            <sz val="9"/>
            <color indexed="81"/>
            <rFont val="Tahoma"/>
            <family val="2"/>
          </rPr>
          <t xml:space="preserve">
- VK 5% từ 01/12/2021
- VK 6% từ 01/12/2022
- VK 7% từ 01/12/2023
- VK 8% từ 01/12/2024</t>
        </r>
      </text>
    </comment>
    <comment ref="I37" authorId="6" shapeId="0" xr:uid="{F437AA7C-3FF2-4B02-85FE-362FE703B3ED}">
      <text>
        <r>
          <rPr>
            <b/>
            <sz val="8"/>
            <color indexed="81"/>
            <rFont val="Tahoma"/>
            <family val="2"/>
          </rPr>
          <t>admin:</t>
        </r>
        <r>
          <rPr>
            <sz val="8"/>
            <color indexed="81"/>
            <rFont val="Tahoma"/>
            <family val="2"/>
          </rPr>
          <t xml:space="preserve">
+ QĐ Bổ nhiệm Phó Trưởng phòng QT CSVC từ 01/06/2014</t>
        </r>
      </text>
    </comment>
    <comment ref="F38" authorId="5" shapeId="0" xr:uid="{B1F07D03-2F44-45BD-9630-9A17054F5CA1}">
      <text>
        <r>
          <rPr>
            <b/>
            <sz val="9"/>
            <color indexed="81"/>
            <rFont val="Tahoma"/>
            <family val="2"/>
          </rPr>
          <t>Windows User:</t>
        </r>
        <r>
          <rPr>
            <sz val="9"/>
            <color indexed="81"/>
            <rFont val="Tahoma"/>
            <family val="2"/>
          </rPr>
          <t xml:space="preserve">
BN CDNN từ T3/25 4,58</t>
        </r>
      </text>
    </comment>
    <comment ref="G38" authorId="5" shapeId="0" xr:uid="{7A5CEAD6-A4E6-4E10-9527-CCB18D702114}">
      <text>
        <r>
          <rPr>
            <b/>
            <sz val="9"/>
            <color indexed="81"/>
            <rFont val="Tahoma"/>
            <family val="2"/>
          </rPr>
          <t>Windows User:</t>
        </r>
        <r>
          <rPr>
            <sz val="9"/>
            <color indexed="81"/>
            <rFont val="Tahoma"/>
            <family val="2"/>
          </rPr>
          <t xml:space="preserve">
- VK 10% từ 01/9/2023
- VK 11% từ 01/9/2024</t>
        </r>
      </text>
    </comment>
    <comment ref="I38" authorId="5" shapeId="0" xr:uid="{9C549EC1-FA43-4C10-BDCE-6636D7A31BCE}">
      <text>
        <r>
          <rPr>
            <b/>
            <sz val="9"/>
            <color indexed="81"/>
            <rFont val="Tahoma"/>
            <family val="2"/>
          </rPr>
          <t>Windows User:</t>
        </r>
        <r>
          <rPr>
            <sz val="9"/>
            <color indexed="81"/>
            <rFont val="Tahoma"/>
            <family val="2"/>
          </rPr>
          <t xml:space="preserve">
- Phó TP QT-DV từ T10/23</t>
        </r>
      </text>
    </comment>
    <comment ref="F39" authorId="2" shapeId="0" xr:uid="{4D1C10ED-AF30-466A-A645-4C5C948C6F8F}">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
- BNCDNN từ T3/25 (3,99)</t>
        </r>
      </text>
    </comment>
    <comment ref="F40" authorId="2" shapeId="0" xr:uid="{29462E3C-BE24-4A43-9067-AC4C7FDDA5AD}">
      <text>
        <r>
          <rPr>
            <b/>
            <sz val="9"/>
            <color indexed="81"/>
            <rFont val="Tahoma"/>
            <family val="2"/>
          </rPr>
          <t>User:</t>
        </r>
        <r>
          <rPr>
            <sz val="9"/>
            <color indexed="81"/>
            <rFont val="Tahoma"/>
            <family val="2"/>
          </rPr>
          <t xml:space="preserve">
- HS 4,32 từ 01/9/2015
- HS 4,65 từ 01/9/2017 (NL trước hạn 2017)
- HS 4,98 từ 01/9/2020</t>
        </r>
      </text>
    </comment>
    <comment ref="G40" authorId="5" shapeId="0" xr:uid="{0ADBCAA8-8EAA-4D97-9ADF-20060BB7A41F}">
      <text>
        <r>
          <rPr>
            <b/>
            <sz val="9"/>
            <color indexed="81"/>
            <rFont val="Tahoma"/>
            <family val="2"/>
          </rPr>
          <t>Windows User:</t>
        </r>
        <r>
          <rPr>
            <sz val="9"/>
            <color indexed="81"/>
            <rFont val="Tahoma"/>
            <family val="2"/>
          </rPr>
          <t xml:space="preserve">
- VK 5% từ 01/9/2023
- VK 6% từ 01/9/2024
- VK 7% từ 01/9/2025</t>
        </r>
      </text>
    </comment>
    <comment ref="I40" authorId="2" shapeId="0" xr:uid="{7DE301D1-7AEE-4758-B007-9678FDDAAD37}">
      <text>
        <r>
          <rPr>
            <b/>
            <sz val="9"/>
            <color indexed="81"/>
            <rFont val="Tahoma"/>
            <family val="2"/>
          </rPr>
          <t>User:</t>
        </r>
        <r>
          <rPr>
            <sz val="9"/>
            <color indexed="81"/>
            <rFont val="Tahoma"/>
            <family val="2"/>
          </rPr>
          <t xml:space="preserve">
- QĐ Bổ nhiệm Tổ trưởng tổ Ký túc xá SV từ 15/9/2015</t>
        </r>
      </text>
    </comment>
    <comment ref="F41" authorId="0" shapeId="0" xr:uid="{E05C8810-E1E3-4761-B3E2-58A43C8C8758}">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2" authorId="0" shapeId="0" xr:uid="{182267FD-D1EA-4403-AF90-6EAD1C3D9286}">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43" authorId="0" shapeId="0" xr:uid="{19DE985F-8225-413C-90C1-A0CE0878F72B}">
      <text>
        <r>
          <rPr>
            <b/>
            <sz val="9"/>
            <color indexed="81"/>
            <rFont val="Tahoma"/>
            <family val="2"/>
          </rPr>
          <t>Admin:</t>
        </r>
        <r>
          <rPr>
            <sz val="9"/>
            <color indexed="81"/>
            <rFont val="Tahoma"/>
            <family val="2"/>
          </rPr>
          <t xml:space="preserve">
- HS 2,41 từ 01/8/2015
- HS 2,72 từ 01/8/2018
- HS 3,03 từ 01/8/2020 (NL trước hạn)
- HS 3,34 từ 01/8/2023
- BNCDNN từ T3/25 (HS 3,66)</t>
        </r>
      </text>
    </comment>
    <comment ref="F44" authorId="2" shapeId="0" xr:uid="{7766EA73-20E3-4290-B359-EB8E356C30DE}">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5" authorId="2" shapeId="0" xr:uid="{0D85A0F9-5929-4E78-BAD5-D587B71EEC0C}">
      <text>
        <r>
          <rPr>
            <b/>
            <sz val="9"/>
            <color indexed="81"/>
            <rFont val="Tahoma"/>
            <family val="2"/>
          </rPr>
          <t>User:</t>
        </r>
        <r>
          <rPr>
            <sz val="9"/>
            <color indexed="81"/>
            <rFont val="Tahoma"/>
            <family val="2"/>
          </rPr>
          <t xml:space="preserve">
- HS 2,86 từ 01/7/2015
- HS 3,06 từ 01/7/2017
- HS 3,26 từ 01/7/2019
- HS 3,46 từ 01/7/2021
- HS 3,66 từ 01/7/2023
- HS 3,86 từ 01/7/2025</t>
        </r>
      </text>
    </comment>
    <comment ref="G46" authorId="0" shapeId="0" xr:uid="{37232540-BE54-45BC-A903-E6EA3FB2B9AA}">
      <text>
        <r>
          <rPr>
            <sz val="9"/>
            <color indexed="81"/>
            <rFont val="Tahoma"/>
            <family val="2"/>
          </rPr>
          <t>- 31% từ 01/10/2017
- 32% từ 01/10/2018
- 33% từ 01/10/2019
- 34% từ 01/10/2020
- 35% từ 01/10/2021
- 36% từ 01/10/2022
- 38% từ 01/10/2024</t>
        </r>
      </text>
    </comment>
    <comment ref="I46" authorId="2" shapeId="0" xr:uid="{64FECF7A-F0D1-41F7-8009-C2F8DCCC87FC}">
      <text>
        <r>
          <rPr>
            <b/>
            <sz val="9"/>
            <color indexed="81"/>
            <rFont val="Tahoma"/>
            <family val="2"/>
          </rPr>
          <t>User:</t>
        </r>
        <r>
          <rPr>
            <sz val="9"/>
            <color indexed="81"/>
            <rFont val="Tahoma"/>
            <family val="2"/>
          </rPr>
          <t xml:space="preserve">
Trưởng phòng Kế toán từ 19/8/2015
</t>
        </r>
      </text>
    </comment>
    <comment ref="F47" authorId="2" shapeId="0" xr:uid="{B879716D-6AC6-435D-A99A-EF4EDC1C8364}">
      <text>
        <r>
          <rPr>
            <b/>
            <sz val="9"/>
            <color indexed="81"/>
            <rFont val="Tahoma"/>
            <family val="2"/>
          </rPr>
          <t>User:</t>
        </r>
        <r>
          <rPr>
            <sz val="9"/>
            <color indexed="81"/>
            <rFont val="Tahoma"/>
            <family val="2"/>
          </rPr>
          <t xml:space="preserve">
- HS 3,00 từ 01/4/2014
- HS 3,33 từ 01/4/2017
- HS 3,66 từ 01/4/2019
- HS 3,99 từ 01/4/2022
- HS 4,32 từ 01/04/2024 (NL trước hạn)</t>
        </r>
      </text>
    </comment>
    <comment ref="F48" authorId="2" shapeId="0" xr:uid="{E0F580E3-47DB-474B-B89A-EB90A245C777}">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
- HS 3,99 từ 01/4/2024 (NL trước hạn)</t>
        </r>
      </text>
    </comment>
    <comment ref="F49" authorId="0" shapeId="0" xr:uid="{33EF5317-AB39-4C2D-BA65-B4542C2EF4BD}">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0" authorId="2" shapeId="0" xr:uid="{CE26D395-70D2-4433-8785-16000B8A61AE}">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
- HS 3,99 từ 01/02/2025</t>
        </r>
      </text>
    </comment>
    <comment ref="E51" authorId="5" shapeId="0" xr:uid="{8F98630A-BB1A-44A8-A51D-CD533F124AE0}">
      <text>
        <r>
          <rPr>
            <b/>
            <sz val="9"/>
            <color indexed="81"/>
            <rFont val="Tahoma"/>
            <family val="2"/>
          </rPr>
          <t>Windows User:</t>
        </r>
        <r>
          <rPr>
            <sz val="9"/>
            <color indexed="81"/>
            <rFont val="Tahoma"/>
            <family val="2"/>
          </rPr>
          <t xml:space="preserve">
- Chuyển về phòng từ T2/25</t>
        </r>
      </text>
    </comment>
    <comment ref="F51" authorId="1" shapeId="0" xr:uid="{14A25B28-52C8-4B62-9296-017C37CC549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52" authorId="2" shapeId="0" xr:uid="{34D4B995-B83A-45D4-8D15-B4436763A7EC}">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53" authorId="0" shapeId="0" xr:uid="{D2B2FB5E-A950-4ABC-AF45-FC59C040B23F}">
      <text>
        <r>
          <rPr>
            <b/>
            <sz val="9"/>
            <color indexed="81"/>
            <rFont val="Tahoma"/>
            <family val="2"/>
          </rPr>
          <t>Admin:</t>
        </r>
        <r>
          <rPr>
            <sz val="9"/>
            <color indexed="81"/>
            <rFont val="Tahoma"/>
            <family val="2"/>
          </rPr>
          <t xml:space="preserve">
- HS 3,66 từ 01/01/2017
- HS 3,99 từ 01/01/2019
- HS 4,65 từ 01/01/2024 (NL trước hạn)</t>
        </r>
      </text>
    </comment>
    <comment ref="I53" authorId="0" shapeId="0" xr:uid="{011E16D9-618B-4C94-8190-DE0D2FE44740}">
      <text>
        <r>
          <rPr>
            <b/>
            <sz val="9"/>
            <color indexed="81"/>
            <rFont val="Tahoma"/>
            <family val="2"/>
          </rPr>
          <t>Admin:</t>
        </r>
        <r>
          <rPr>
            <sz val="9"/>
            <color indexed="81"/>
            <rFont val="Tahoma"/>
            <family val="2"/>
          </rPr>
          <t xml:space="preserve">
- Phụ trách TT Quan hệ DN từ 01/5/2018
- Trưởng TT từ 01/12/2019</t>
        </r>
      </text>
    </comment>
    <comment ref="F54" authorId="0" shapeId="0" xr:uid="{3A2841CB-C210-4806-B930-8F7AD78C68FD}">
      <text>
        <r>
          <rPr>
            <b/>
            <sz val="9"/>
            <color indexed="81"/>
            <rFont val="Tahoma"/>
            <family val="2"/>
          </rPr>
          <t>Admin:</t>
        </r>
        <r>
          <rPr>
            <sz val="9"/>
            <color indexed="81"/>
            <rFont val="Tahoma"/>
            <family val="2"/>
          </rPr>
          <t xml:space="preserve">
- HS 3,99 từ 01/12/2016
- HS 4,32 từ 01/12/2019
- HS 4,65 từ 01/12/2021 (NL trước hạn)
- HS 4,98 từ 01/12/2024</t>
        </r>
      </text>
    </comment>
    <comment ref="I54" authorId="7" shapeId="0" xr:uid="{4425E454-1E64-4CA9-9E2A-6F2E88556280}">
      <text>
        <r>
          <rPr>
            <b/>
            <sz val="9"/>
            <color indexed="81"/>
            <rFont val="Tahoma"/>
            <family val="2"/>
          </rPr>
          <t>PC:</t>
        </r>
        <r>
          <rPr>
            <sz val="9"/>
            <color indexed="81"/>
            <rFont val="Tahoma"/>
            <family val="2"/>
          </rPr>
          <t xml:space="preserve">
-HS 0,45 hưởng từ 7/5/2025 (BN lại)
</t>
        </r>
      </text>
    </comment>
    <comment ref="F55" authorId="2" shapeId="0" xr:uid="{9ABDEC95-2B23-4077-AF43-4479FCC869AB}">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G55" authorId="8" shapeId="0" xr:uid="{0790C7E3-7A0B-431D-A649-F9BBE3E3A00F}">
      <text>
        <r>
          <rPr>
            <b/>
            <sz val="9"/>
            <color indexed="81"/>
            <rFont val="Tahoma"/>
            <family val="2"/>
          </rPr>
          <t>Quynh-panda:</t>
        </r>
        <r>
          <rPr>
            <sz val="9"/>
            <color indexed="81"/>
            <rFont val="Tahoma"/>
            <family val="2"/>
          </rPr>
          <t xml:space="preserve">
- VK 5% từ 01/09/2025
</t>
        </r>
      </text>
    </comment>
    <comment ref="I55" authorId="1" shapeId="0" xr:uid="{A14E8DBC-47D4-4657-A8BF-C2CEFAC6A9E7}">
      <text>
        <r>
          <rPr>
            <b/>
            <sz val="9"/>
            <color indexed="81"/>
            <rFont val="Tahoma"/>
            <family val="2"/>
          </rPr>
          <t>user:</t>
        </r>
        <r>
          <rPr>
            <sz val="9"/>
            <color indexed="81"/>
            <rFont val="Tahoma"/>
            <family val="2"/>
          </rPr>
          <t xml:space="preserve">
- Trưởng TT Thư viện từ 01/9/2020
- BN Phó Trưởng phòng Thanh giáo dục - CTSV từ 01/9/2025 (Bảo lưu HS PCCV 0,45 đến hết 31/7/2026)</t>
        </r>
      </text>
    </comment>
    <comment ref="F56" authorId="3" shapeId="0" xr:uid="{C6D2E02A-D886-40EF-AE20-998CEEAD67B7}">
      <text>
        <r>
          <rPr>
            <b/>
            <sz val="9"/>
            <color indexed="81"/>
            <rFont val="Tahoma"/>
            <family val="2"/>
          </rPr>
          <t>Quynh:</t>
        </r>
        <r>
          <rPr>
            <sz val="9"/>
            <color indexed="81"/>
            <rFont val="Tahoma"/>
            <family val="2"/>
          </rPr>
          <t xml:space="preserve">
- HS 3,00 từ 01/3/2016
- HS 3,99 từ 01/3/2024 (NL trước hạn)</t>
        </r>
      </text>
    </comment>
    <comment ref="I56" authorId="1" shapeId="0" xr:uid="{FBF1395A-4B65-46FB-962A-9A897E6DFA6F}">
      <text>
        <r>
          <rPr>
            <b/>
            <sz val="9"/>
            <color indexed="81"/>
            <rFont val="Tahoma"/>
            <family val="2"/>
          </rPr>
          <t>user:</t>
        </r>
        <r>
          <rPr>
            <sz val="9"/>
            <color indexed="81"/>
            <rFont val="Tahoma"/>
            <family val="2"/>
          </rPr>
          <t xml:space="preserve">
- HS 0,35 từ 01/9/2020
- Phụ trách TT Thư viện từ 01/10/2022
- Trưởng TT từ 01/5/2023
- BN Phó TP TTrGD-CTSV từ 01/9/2025 (HS PCCV 0,45 được bảo lưu hết ngày 30/4/2028)</t>
        </r>
      </text>
    </comment>
    <comment ref="F57" authorId="0" shapeId="0" xr:uid="{98196751-8E8C-44A2-9D3D-7EDF82FB4E37}">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
- HS 3,86 từ 01/4/2024 (NL trước hạn</t>
        </r>
      </text>
    </comment>
    <comment ref="F58" authorId="2" shapeId="0" xr:uid="{E6B4C56B-7457-4820-88AA-02E8910D1F4D}">
      <text>
        <r>
          <rPr>
            <b/>
            <sz val="9"/>
            <color indexed="81"/>
            <rFont val="Tahoma"/>
            <family val="2"/>
          </rPr>
          <t>User:</t>
        </r>
        <r>
          <rPr>
            <sz val="9"/>
            <color indexed="81"/>
            <rFont val="Tahoma"/>
            <family val="2"/>
          </rPr>
          <t xml:space="preserve">
- HS 3,33 từ 01/9/2015
- HS 3,66 từ 01/9/2018
- HS 3,99 từ 01/9/2021
- HS 4,32 từ 01/9/2024</t>
        </r>
      </text>
    </comment>
    <comment ref="F59" authorId="0" shapeId="0" xr:uid="{B2737B77-A0A8-4603-BB6A-156F6A3F3B9E}">
      <text>
        <r>
          <rPr>
            <b/>
            <sz val="9"/>
            <color indexed="81"/>
            <rFont val="Tahoma"/>
            <family val="2"/>
          </rPr>
          <t>Admin:</t>
        </r>
        <r>
          <rPr>
            <sz val="9"/>
            <color indexed="81"/>
            <rFont val="Tahoma"/>
            <family val="2"/>
          </rPr>
          <t xml:space="preserve">
- HS 3.33 từ 01/01/2016
- HS 3,66 từ 01/01/2019
- HS 4,32 từ 01/01/2024 (NL trước hạn)</t>
        </r>
      </text>
    </comment>
    <comment ref="F60" authorId="0" shapeId="0" xr:uid="{4500FC7E-529F-4D1A-93D4-7E29D0F8A848}">
      <text>
        <r>
          <rPr>
            <b/>
            <sz val="9"/>
            <color indexed="81"/>
            <rFont val="Tahoma"/>
            <family val="2"/>
          </rPr>
          <t>Admin:</t>
        </r>
        <r>
          <rPr>
            <sz val="9"/>
            <color indexed="81"/>
            <rFont val="Tahoma"/>
            <family val="2"/>
          </rPr>
          <t xml:space="preserve">
- HS 3,00 từ 01/9/2016
- HS 3,33 từ 01/9/2019
- HS 3,66 từ 01/9/2022
- HS 3,99 từ 01/9/2025</t>
        </r>
      </text>
    </comment>
    <comment ref="F61" authorId="0" shapeId="0" xr:uid="{BAD8561A-5D13-4376-AD63-277764F5807F}">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2" authorId="0" shapeId="0" xr:uid="{062E5CFD-2FE6-4410-B2B0-107674EC5FB4}">
      <text>
        <r>
          <rPr>
            <b/>
            <sz val="9"/>
            <color indexed="81"/>
            <rFont val="Tahoma"/>
            <family val="2"/>
          </rPr>
          <t>Admin:</t>
        </r>
        <r>
          <rPr>
            <sz val="9"/>
            <color indexed="81"/>
            <rFont val="Tahoma"/>
            <family val="2"/>
          </rPr>
          <t xml:space="preserve">
- HS 3,66 từ 01/9/2016
- HS 3,99 từ 01/9/2019
- HS 4,32 từ 01/9/2022
- HS 4,65 từ 01/9/2025</t>
        </r>
      </text>
    </comment>
    <comment ref="F63" authorId="2" shapeId="0" xr:uid="{24D913BC-7B96-4190-A86E-DDAB60CD9A5A}">
      <text>
        <r>
          <rPr>
            <b/>
            <sz val="9"/>
            <color indexed="81"/>
            <rFont val="Tahoma"/>
            <family val="2"/>
          </rPr>
          <t>User:</t>
        </r>
        <r>
          <rPr>
            <sz val="9"/>
            <color indexed="81"/>
            <rFont val="Tahoma"/>
            <family val="2"/>
          </rPr>
          <t xml:space="preserve">
- HS 2,67 từ 01/8/2014
- HS 3,00 từ 01/8/2017
- HS 3,33 từ 01/8/2020
- HS 3,66 từ 01/09/2023</t>
        </r>
      </text>
    </comment>
    <comment ref="F64" authorId="2" shapeId="0" xr:uid="{D7591777-24F9-40C8-921D-F75FE73CF025}">
      <text>
        <r>
          <rPr>
            <b/>
            <sz val="9"/>
            <color indexed="81"/>
            <rFont val="Tahoma"/>
            <family val="2"/>
          </rPr>
          <t>User:</t>
        </r>
        <r>
          <rPr>
            <sz val="9"/>
            <color indexed="81"/>
            <rFont val="Tahoma"/>
            <family val="2"/>
          </rPr>
          <t xml:space="preserve">
- HS 2,34 từ 01/12/2014
- hs 2,67 từ 01/12/2017
- HS 3,00 từ 01/12/2020
- HS 3,33 từ 01/12/2023</t>
        </r>
      </text>
    </comment>
    <comment ref="F65" authorId="0" shapeId="0" xr:uid="{0EFF8A87-E848-45C1-9596-50227DA857A7}">
      <text>
        <r>
          <rPr>
            <b/>
            <sz val="9"/>
            <color indexed="81"/>
            <rFont val="Tahoma"/>
            <family val="2"/>
          </rPr>
          <t>Admin:</t>
        </r>
        <r>
          <rPr>
            <sz val="9"/>
            <color indexed="81"/>
            <rFont val="Tahoma"/>
            <family val="2"/>
          </rPr>
          <t xml:space="preserve">
- HS 2,67 từ 01/4/2016
- HS 3.00 từ 01/4/2019
- HS 3,33 từ 01/4/2022
- HS 3,66 từ 01/04/2024 (NL trước hạn)</t>
        </r>
      </text>
    </comment>
    <comment ref="B66" authorId="7" shapeId="0" xr:uid="{60586B57-E474-4782-974E-8260B35E776B}">
      <text>
        <r>
          <rPr>
            <b/>
            <sz val="9"/>
            <color indexed="81"/>
            <rFont val="Tahoma"/>
            <family val="2"/>
          </rPr>
          <t>PC:</t>
        </r>
        <r>
          <rPr>
            <sz val="9"/>
            <color indexed="81"/>
            <rFont val="Tahoma"/>
            <family val="2"/>
          </rPr>
          <t xml:space="preserve">
Nhân viên phòng Thanh tra GD - Quan hệ DN từ 01/9/2025</t>
        </r>
      </text>
    </comment>
    <comment ref="F66" authorId="4" shapeId="0" xr:uid="{CD146BC7-0FAC-4FD8-98FA-FBE01AAB386E}">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67" authorId="9" shapeId="0" xr:uid="{DCF303FE-3730-4149-B9AF-2291FC1D8D23}">
      <text>
        <r>
          <rPr>
            <sz val="9"/>
            <color indexed="81"/>
            <rFont val="Tahoma"/>
            <family val="2"/>
          </rPr>
          <t>- HS 2,67 hưởng từ 01/9 làm bảng truy lãnh từ tháng 9-11/2017
- HS 3,00 từ 01/9/2019
- HS 3,33 từ 01/9/2022
- HS 3,66 từ 01/9/2024 (NL trước hạn)</t>
        </r>
      </text>
    </comment>
    <comment ref="I67" authorId="0" shapeId="0" xr:uid="{9BCFEAEE-9EE8-4EC9-B814-803B502325E0}">
      <text>
        <r>
          <rPr>
            <b/>
            <sz val="9"/>
            <color indexed="81"/>
            <rFont val="Tahoma"/>
            <family val="2"/>
          </rPr>
          <t>Admin:</t>
        </r>
        <r>
          <rPr>
            <sz val="9"/>
            <color indexed="81"/>
            <rFont val="Tahoma"/>
            <family val="2"/>
          </rPr>
          <t xml:space="preserve">
- BN Phó TK từ 01/8/2018
- BN Phó TP TS-ĐT từ 01/9/2025 (Phụ trách phòng)</t>
        </r>
      </text>
    </comment>
    <comment ref="F68" authorId="9" shapeId="0" xr:uid="{DC3135E0-34A6-48AD-BD57-F1F589960C07}">
      <text>
        <r>
          <rPr>
            <sz val="9"/>
            <color indexed="81"/>
            <rFont val="Tahoma"/>
            <family val="2"/>
          </rPr>
          <t>- HS 4,32 từ 01/12/2017
- HS 4,65 từ 01/12/2019
- HS 4,98 từ 01/12/2022</t>
        </r>
      </text>
    </comment>
    <comment ref="I68" authorId="2" shapeId="0" xr:uid="{C26CAC3A-C4FE-4A9C-9D74-CCB050868703}">
      <text>
        <r>
          <rPr>
            <b/>
            <sz val="9"/>
            <color indexed="81"/>
            <rFont val="Tahoma"/>
            <family val="2"/>
          </rPr>
          <t>User:</t>
        </r>
        <r>
          <rPr>
            <sz val="9"/>
            <color indexed="81"/>
            <rFont val="Tahoma"/>
            <family val="2"/>
          </rPr>
          <t xml:space="preserve">
- Trưởng khoa Kinh tế từ 20/8/2015
- Phó TP Quản lý đào tạo - Hợp tác quốc tế từ 01/9/2025 (HS PCCV 0,45 đến hết 30/9/2027)
</t>
        </r>
      </text>
    </comment>
    <comment ref="F69" authorId="2" shapeId="0" xr:uid="{3862CA5C-3363-49D0-98E0-DC043EF59E41}">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
- HS 4,65 từ 01/9/2025</t>
        </r>
      </text>
    </comment>
    <comment ref="I69" authorId="5" shapeId="0" xr:uid="{A434C25D-743D-4D32-B967-0CC468857471}">
      <text>
        <r>
          <rPr>
            <b/>
            <sz val="9"/>
            <color indexed="81"/>
            <rFont val="Tahoma"/>
            <family val="2"/>
          </rPr>
          <t>Windows User:</t>
        </r>
        <r>
          <rPr>
            <sz val="9"/>
            <color indexed="81"/>
            <rFont val="Tahoma"/>
            <family val="2"/>
          </rPr>
          <t xml:space="preserve">
- Phó Trưởng phòng TS - Đào tạo từ T10/22</t>
        </r>
      </text>
    </comment>
    <comment ref="B70" authorId="0" shapeId="0" xr:uid="{51FC4086-3428-486A-9FBA-A168768AAACF}">
      <text>
        <r>
          <rPr>
            <b/>
            <sz val="9"/>
            <color indexed="81"/>
            <rFont val="Tahoma"/>
            <family val="2"/>
          </rPr>
          <t>Admin:</t>
        </r>
        <r>
          <rPr>
            <sz val="9"/>
            <color indexed="81"/>
            <rFont val="Tahoma"/>
            <family val="2"/>
          </rPr>
          <t xml:space="preserve">
Thuyên chuyển từ Trường CĐ Kinh tế Phú Lâm về trường từ 15/7/2017</t>
        </r>
      </text>
    </comment>
    <comment ref="F70" authorId="1" shapeId="0" xr:uid="{6792894D-548E-4624-8C57-858FE2B32474}">
      <text>
        <r>
          <rPr>
            <b/>
            <sz val="9"/>
            <color indexed="81"/>
            <rFont val="Tahoma"/>
            <family val="2"/>
          </rPr>
          <t>user:</t>
        </r>
        <r>
          <rPr>
            <sz val="9"/>
            <color indexed="81"/>
            <rFont val="Tahoma"/>
            <family val="2"/>
          </rPr>
          <t xml:space="preserve">
- HS 3,33 từ 01/11/2019
- HS 3,66 từ 01/11/2022</t>
        </r>
      </text>
    </comment>
    <comment ref="F71" authorId="2" shapeId="0" xr:uid="{C5E0FBEA-7613-4C53-9E0F-25A7BF6F830D}">
      <text>
        <r>
          <rPr>
            <b/>
            <sz val="9"/>
            <color indexed="81"/>
            <rFont val="Tahoma"/>
            <family val="2"/>
          </rPr>
          <t>User:</t>
        </r>
        <r>
          <rPr>
            <sz val="9"/>
            <color indexed="81"/>
            <rFont val="Tahoma"/>
            <family val="2"/>
          </rPr>
          <t xml:space="preserve">
- HS 3,66 từ 01/9/2014
- HS 3,99 từ 01/9/2017
- HS 4,32 từ 01/9/2020
- HS 4,65 từ 01/9/2022 (NL trước hạn)
- HS 4,98 từ 01/9/2025</t>
        </r>
      </text>
    </comment>
    <comment ref="F72" authorId="0" shapeId="0" xr:uid="{E1063ED5-0CE0-4349-A04F-72062013AE21}">
      <text>
        <r>
          <rPr>
            <b/>
            <sz val="9"/>
            <color indexed="81"/>
            <rFont val="Tahoma"/>
            <family val="2"/>
          </rPr>
          <t>Admin:</t>
        </r>
        <r>
          <rPr>
            <sz val="9"/>
            <color indexed="81"/>
            <rFont val="Tahoma"/>
            <family val="2"/>
          </rPr>
          <t xml:space="preserve">
- HS 2,86 từ 01/01/2015
- HS 3,06 từ 01/01/2017
- HS 3,33 (cv) từ 01/7/2017
- HS 3,66 từ 01/7/2019
- HS 3,99 từ 01/07/2022
- HS 4,32 từ 01/7/2024</t>
        </r>
      </text>
    </comment>
    <comment ref="F73" authorId="0" shapeId="0" xr:uid="{495645E3-CE10-4A83-85EF-0F2A8923961C}">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4" authorId="0" shapeId="0" xr:uid="{F7DF9294-7E9F-4003-AFFC-81882C19834B}">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
- BNCD NN T3/25 (HS 3,99)</t>
        </r>
      </text>
    </comment>
    <comment ref="F75" authorId="0" shapeId="0" xr:uid="{6BE86EBB-A64D-45EB-A92C-C8307CA03A7C}">
      <text>
        <r>
          <rPr>
            <b/>
            <sz val="9"/>
            <color indexed="81"/>
            <rFont val="Tahoma"/>
            <family val="2"/>
          </rPr>
          <t>Admin:</t>
        </r>
        <r>
          <rPr>
            <sz val="9"/>
            <color indexed="81"/>
            <rFont val="Tahoma"/>
            <family val="2"/>
          </rPr>
          <t xml:space="preserve">
- HS 2.72 từ 01/01/2016
- HS 3.03 từ 01/01/2019
- HS 3,33 từ 01/6/21 (Thi nâng ngạch)
- HS 3,99 từ 01/01/2024</t>
        </r>
      </text>
    </comment>
    <comment ref="F76" authorId="0" shapeId="0" xr:uid="{D65E2F06-EA5F-4EC1-9F91-E39D8BF77E27}">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7" authorId="0" shapeId="0" xr:uid="{5050245A-137C-4486-A46F-2C45FAE06A6F}">
      <text>
        <r>
          <rPr>
            <b/>
            <sz val="9"/>
            <color indexed="81"/>
            <rFont val="Tahoma"/>
            <family val="2"/>
          </rPr>
          <t>Admin:</t>
        </r>
        <r>
          <rPr>
            <sz val="9"/>
            <color indexed="81"/>
            <rFont val="Tahoma"/>
            <family val="2"/>
          </rPr>
          <t xml:space="preserve">
- HS 3.66 từ 01/03/2015
- HS 3,99 từ 01/3/2018
- HS 4,32 từ 01/3/2021
- HS 4,65 từ 01/3/2024
</t>
        </r>
      </text>
    </comment>
    <comment ref="F78" authorId="5" shapeId="0" xr:uid="{6335694E-519A-4CFB-8BE6-455DB4FEBF6F}">
      <text>
        <r>
          <rPr>
            <b/>
            <sz val="9"/>
            <color indexed="81"/>
            <rFont val="Tahoma"/>
            <family val="2"/>
          </rPr>
          <t>Windows User:</t>
        </r>
        <r>
          <rPr>
            <sz val="9"/>
            <color indexed="81"/>
            <rFont val="Tahoma"/>
            <family val="2"/>
          </rPr>
          <t xml:space="preserve">
- HS 3,99 từ 01/01/2025</t>
        </r>
      </text>
    </comment>
    <comment ref="F79" authorId="2" shapeId="0" xr:uid="{3950B85C-AC90-448E-B9B1-BD044FCD9BF8}">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9" authorId="2" shapeId="0" xr:uid="{98D0E9F8-C313-40C9-A112-93BEAEE0B4CC}">
      <text>
        <r>
          <rPr>
            <b/>
            <sz val="9"/>
            <color indexed="81"/>
            <rFont val="Tahoma"/>
            <family val="2"/>
          </rPr>
          <t>User:</t>
        </r>
        <r>
          <rPr>
            <sz val="9"/>
            <color indexed="81"/>
            <rFont val="Tahoma"/>
            <family val="2"/>
          </rPr>
          <t xml:space="preserve">
- Phó Trưởng phòng từ 01/8/2015
- Trưởng phòng từ 01/9/2018</t>
        </r>
      </text>
    </comment>
    <comment ref="F80" authorId="2" shapeId="0" xr:uid="{1E102069-0218-443E-9BFF-69CB689D7076}">
      <text>
        <r>
          <rPr>
            <b/>
            <sz val="9"/>
            <color indexed="81"/>
            <rFont val="Tahoma"/>
            <family val="2"/>
          </rPr>
          <t>User:</t>
        </r>
        <r>
          <rPr>
            <sz val="9"/>
            <color indexed="81"/>
            <rFont val="Tahoma"/>
            <family val="2"/>
          </rPr>
          <t xml:space="preserve">
- HS 3,33 từ 01/10/2014
- HS 3,66 từ 01/10/2017
- HS 3,99 từ 01/10/2019
- HS 4,32 từ 01/10/2022
- HS 4,65 từ 01/10/2024 (NL trước hạn)</t>
        </r>
      </text>
    </comment>
    <comment ref="F81" authorId="4" shapeId="0" xr:uid="{9622DDE6-1463-4D72-A395-65CA090AF5FE}">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82" authorId="0" shapeId="0" xr:uid="{50521161-5B5A-4B08-8726-FBE195358D8E}">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9" shapeId="0" xr:uid="{1609979C-031B-45BD-BC39-552F25FBB964}">
      <text>
        <r>
          <rPr>
            <sz val="9"/>
            <color indexed="81"/>
            <rFont val="Tahoma"/>
            <family val="2"/>
          </rPr>
          <t>- HS 3,00 từ 01/11/2017
- HS 3,33 từ 01/11/2020
- HS 3,66 từ 01/11/2022</t>
        </r>
      </text>
    </comment>
    <comment ref="F84" authorId="0" shapeId="0" xr:uid="{A19D7F10-B731-4F9A-A1F4-668B6DA6EED6}">
      <text>
        <r>
          <rPr>
            <b/>
            <sz val="9"/>
            <color indexed="81"/>
            <rFont val="Tahoma"/>
            <family val="2"/>
          </rPr>
          <t>Admin:</t>
        </r>
        <r>
          <rPr>
            <sz val="9"/>
            <color indexed="81"/>
            <rFont val="Tahoma"/>
            <family val="2"/>
          </rPr>
          <t xml:space="preserve">
- HS 2.67 từ 01/02/2016
- HS 3,00 từ 01/02/2019
- HS 3,66 từ 01/022025</t>
        </r>
      </text>
    </comment>
    <comment ref="F85" authorId="0" shapeId="0" xr:uid="{DB70038C-29D1-4FB0-AB2E-C24737992AF3}">
      <text>
        <r>
          <rPr>
            <b/>
            <sz val="9"/>
            <color indexed="81"/>
            <rFont val="Tahoma"/>
            <family val="2"/>
          </rPr>
          <t>Admin:</t>
        </r>
        <r>
          <rPr>
            <sz val="9"/>
            <color indexed="81"/>
            <rFont val="Tahoma"/>
            <family val="2"/>
          </rPr>
          <t xml:space="preserve">
- HS 4,65 từ 01/9/2016
- HS 4,98 từ 01/9/2018 (NL trước hạn)</t>
        </r>
      </text>
    </comment>
    <comment ref="G85" authorId="1" shapeId="0" xr:uid="{5EF32E66-EA10-4422-886B-2D8E85B1D932}">
      <text>
        <r>
          <rPr>
            <b/>
            <sz val="9"/>
            <color indexed="81"/>
            <rFont val="Tahoma"/>
            <family val="2"/>
          </rPr>
          <t>user:</t>
        </r>
        <r>
          <rPr>
            <sz val="9"/>
            <color indexed="81"/>
            <rFont val="Tahoma"/>
            <family val="2"/>
          </rPr>
          <t xml:space="preserve">
- VK 5% từ 01/9/2021
- VK 6% từ 01/9/2022
- VK 7% từ 01/9/2023
- VK 8% từ 01/9/2024
- VK 9% từ 01/9/2025</t>
        </r>
      </text>
    </comment>
    <comment ref="I85" authorId="1" shapeId="0" xr:uid="{31454270-1D4A-49F1-96A0-B7B2681F4F7F}">
      <text>
        <r>
          <rPr>
            <b/>
            <sz val="9"/>
            <color indexed="81"/>
            <rFont val="Tahoma"/>
            <family val="2"/>
          </rPr>
          <t>user:</t>
        </r>
        <r>
          <rPr>
            <sz val="9"/>
            <color indexed="81"/>
            <rFont val="Tahoma"/>
            <family val="2"/>
          </rPr>
          <t xml:space="preserve">
BN Trưởng phòng T10/19</t>
        </r>
      </text>
    </comment>
    <comment ref="F86" authorId="1" shapeId="0" xr:uid="{4A428FAF-E505-4DDF-924F-571E407E7FD3}">
      <text>
        <r>
          <rPr>
            <b/>
            <sz val="9"/>
            <color indexed="81"/>
            <rFont val="Tahoma"/>
            <family val="2"/>
          </rPr>
          <t>user:</t>
        </r>
        <r>
          <rPr>
            <sz val="9"/>
            <color indexed="81"/>
            <rFont val="Tahoma"/>
            <family val="2"/>
          </rPr>
          <t xml:space="preserve">
- HS 2,34 từ 01/10/2019
- HS 2,67 từ 01/10/2021 (NL trước hạn)
- HS 3,00 từ 01/10/2024</t>
        </r>
      </text>
    </comment>
    <comment ref="I86" authorId="1" shapeId="0" xr:uid="{3ECEA0F6-C3B9-4880-A9CD-11E03884026F}">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87" authorId="0" shapeId="0" xr:uid="{19C14718-99BC-4841-8233-09C39352B03F}">
      <text>
        <r>
          <rPr>
            <b/>
            <sz val="9"/>
            <color indexed="81"/>
            <rFont val="Tahoma"/>
            <family val="2"/>
          </rPr>
          <t>Admin:</t>
        </r>
        <r>
          <rPr>
            <sz val="9"/>
            <color indexed="81"/>
            <rFont val="Tahoma"/>
            <family val="2"/>
          </rPr>
          <t xml:space="preserve">
- Bổ nhiệm CDNN từ 01/4/2018
- HS 2,34 từ 01/2/2017
- HS 2,67 từ 01/2/2019
- HS 3,33 từ 01/02/2024 (NL trước hạn)</t>
        </r>
      </text>
    </comment>
    <comment ref="I87" authorId="8" shapeId="0" xr:uid="{1D913980-ABFD-421B-A2A7-F81355332D86}">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88" authorId="0" shapeId="0" xr:uid="{EE05BF78-5AA1-4D83-907E-6E413A99D846}">
      <text>
        <r>
          <rPr>
            <b/>
            <sz val="9"/>
            <color indexed="81"/>
            <rFont val="Tahoma"/>
            <family val="2"/>
          </rPr>
          <t>Admin:</t>
        </r>
        <r>
          <rPr>
            <sz val="9"/>
            <color indexed="81"/>
            <rFont val="Tahoma"/>
            <family val="2"/>
          </rPr>
          <t xml:space="preserve">
- HS 2,41 từ 01/11/2015
- HS 2,72 từ 01/11/2018
- HS 3,03 từ 01/11/2021
- HS 3,34 từ 01/11/2024
- BNCD NN từ T3/25 (HHS 3,66)</t>
        </r>
      </text>
    </comment>
    <comment ref="F89" authorId="2" shapeId="0" xr:uid="{C1FE4087-A1F2-4CB8-84A4-2F98C38A6F23}">
      <text>
        <r>
          <rPr>
            <b/>
            <sz val="9"/>
            <color indexed="81"/>
            <rFont val="Tahoma"/>
            <family val="2"/>
          </rPr>
          <t>User:</t>
        </r>
        <r>
          <rPr>
            <sz val="9"/>
            <color indexed="81"/>
            <rFont val="Tahoma"/>
            <family val="2"/>
          </rPr>
          <t xml:space="preserve">
HS 2,41 từ 01/6/2015
- HS 2,72 từ 01/6/2017 (NLl trước hạn 2017)
- HS 3,03 từ 01/06/2020
- HS 3,34 từ 01/06/2023
- BNCD NN từ T3/25 (HS 3,66)</t>
        </r>
      </text>
    </comment>
    <comment ref="I89" authorId="2" shapeId="0" xr:uid="{5ED50FA6-30E6-494B-9D73-4AC968BF87E6}">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90" authorId="1" shapeId="0" xr:uid="{21C5605C-806E-40EA-A0BD-3D1B88D643DE}">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91" authorId="2" shapeId="0" xr:uid="{880FAB15-5102-4FAC-9817-B80A7C558760}">
      <text>
        <r>
          <rPr>
            <b/>
            <sz val="9"/>
            <color indexed="81"/>
            <rFont val="Tahoma"/>
            <family val="2"/>
          </rPr>
          <t>User:</t>
        </r>
        <r>
          <rPr>
            <sz val="9"/>
            <color indexed="81"/>
            <rFont val="Tahoma"/>
            <family val="2"/>
          </rPr>
          <t xml:space="preserve">
- 3.00 từ 01/12/2015
- 3,33 từ 01/12/2018
- 3,66 từ 01/12/2021
- 3,99 từ 01/12/2024</t>
        </r>
      </text>
    </comment>
    <comment ref="F92" authorId="0" shapeId="0" xr:uid="{8210AC91-626B-4544-AF5D-4FF8237EE7DD}">
      <text>
        <r>
          <rPr>
            <b/>
            <sz val="9"/>
            <color indexed="81"/>
            <rFont val="Tahoma"/>
            <family val="2"/>
          </rPr>
          <t>Admin:</t>
        </r>
        <r>
          <rPr>
            <sz val="9"/>
            <color indexed="81"/>
            <rFont val="Tahoma"/>
            <family val="2"/>
          </rPr>
          <t xml:space="preserve">
- HS 2,46 từ 01/4/2015
- HS 2,66 từ 01/4/2017
- HS 2.86 từ 01/4/2019
- HS 3,06 từ 01/4/2021
- HS 3,26 từ 01/4/2023
- HS 3,46 từ 01/4/2024 (NL trước hạn)</t>
        </r>
      </text>
    </comment>
    <comment ref="F93" authorId="0" shapeId="0" xr:uid="{B5C599D3-551F-4E02-A367-1E9A6ABA9DE1}">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
- BNCD NN từ T3/25 (HS 3,66)</t>
        </r>
      </text>
    </comment>
    <comment ref="F94" authorId="0" shapeId="0" xr:uid="{A8FA83A5-97CA-4C4A-AFC7-1FFF0D42F7CF}">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
- HS 3,66 từ 01/4/2025</t>
        </r>
      </text>
    </comment>
    <comment ref="F95" authorId="0" shapeId="0" xr:uid="{1BB19BA5-A2C0-496F-B927-E489DC080023}">
      <text>
        <r>
          <rPr>
            <b/>
            <sz val="9"/>
            <color indexed="81"/>
            <rFont val="Tahoma"/>
            <family val="2"/>
          </rPr>
          <t>Admin:</t>
        </r>
        <r>
          <rPr>
            <sz val="9"/>
            <color indexed="81"/>
            <rFont val="Tahoma"/>
            <family val="2"/>
          </rPr>
          <t xml:space="preserve">
- HS 3,33 từ 01/9/2016
- HS 3,66 từ 01/9/2019
- HS 3,99 từ 01/9/2022
- HS 4,32 từ 01/9/2024 (NL trước hạn)</t>
        </r>
      </text>
    </comment>
    <comment ref="I95" authorId="3" shapeId="0" xr:uid="{EBDFCC5B-0B47-4786-ACC3-84D9EF8E4816}">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6" authorId="3" shapeId="0" xr:uid="{B7F79FE5-1BD3-4288-8A00-E0BA0ADF379B}">
      <text>
        <r>
          <rPr>
            <b/>
            <sz val="9"/>
            <color indexed="81"/>
            <rFont val="Tahoma"/>
            <family val="2"/>
          </rPr>
          <t>Quynh:</t>
        </r>
        <r>
          <rPr>
            <sz val="9"/>
            <color indexed="81"/>
            <rFont val="Tahoma"/>
            <family val="2"/>
          </rPr>
          <t xml:space="preserve">
- HS 2,67 từ 01/10/2018
- HS 3,00 từ 01/10/2021
- HS 3,33 từ 01/10/2024</t>
        </r>
      </text>
    </comment>
    <comment ref="F97" authorId="1" shapeId="0" xr:uid="{06735C8C-D339-4568-A67D-5E32291F8984}">
      <text>
        <r>
          <rPr>
            <b/>
            <sz val="9"/>
            <color indexed="81"/>
            <rFont val="Tahoma"/>
            <family val="2"/>
          </rPr>
          <t>user:</t>
        </r>
        <r>
          <rPr>
            <sz val="9"/>
            <color indexed="81"/>
            <rFont val="Tahoma"/>
            <family val="2"/>
          </rPr>
          <t xml:space="preserve">
- HS 2,67 từ 01/10/2019
- HS 3,00 từ 01/10/2022</t>
        </r>
      </text>
    </comment>
    <comment ref="F98" authorId="1" shapeId="0" xr:uid="{F5053B67-2F65-4DD1-A8C9-F5E73B72D607}">
      <text>
        <r>
          <rPr>
            <b/>
            <sz val="9"/>
            <color indexed="81"/>
            <rFont val="Tahoma"/>
            <family val="2"/>
          </rPr>
          <t>user:</t>
        </r>
        <r>
          <rPr>
            <sz val="9"/>
            <color indexed="81"/>
            <rFont val="Tahoma"/>
            <family val="2"/>
          </rPr>
          <t xml:space="preserve">
- HS 1,989 từ 01/11/2020 (kéo dài thời gian tập sự do nghỉ hộ sản)
- HS 2,34 từ 01/4/2022
- HS 2,67 từ 01/4/2025</t>
        </r>
      </text>
    </comment>
    <comment ref="F99" authorId="0" shapeId="0" xr:uid="{7ED4C5AA-7FE0-4E45-BEDA-A806F191B9C7}">
      <text>
        <r>
          <rPr>
            <b/>
            <sz val="9"/>
            <color indexed="81"/>
            <rFont val="Tahoma"/>
            <family val="2"/>
          </rPr>
          <t>Admin:</t>
        </r>
        <r>
          <rPr>
            <sz val="9"/>
            <color indexed="81"/>
            <rFont val="Tahoma"/>
            <family val="2"/>
          </rPr>
          <t xml:space="preserve">
- HS 2,67 từ 01/9/2016
- HS 3,00 từ 01/9/2019
- HS 3,33 từ 01/9/2022
- HS 3,66 từ 01/9/2025</t>
        </r>
      </text>
    </comment>
    <comment ref="F100" authorId="3" shapeId="0" xr:uid="{80C5757B-8B0D-4AAA-B4B6-29EF64AB2C8D}">
      <text>
        <r>
          <rPr>
            <b/>
            <sz val="9"/>
            <color indexed="81"/>
            <rFont val="Tahoma"/>
            <family val="2"/>
          </rPr>
          <t>Quynh:</t>
        </r>
        <r>
          <rPr>
            <sz val="9"/>
            <color indexed="81"/>
            <rFont val="Tahoma"/>
            <family val="2"/>
          </rPr>
          <t xml:space="preserve">
- HS 2,67 từ 01/10/2018
- HS 3,00 từ 01/10/2021
- HS 3,33 từ 01/10/2024</t>
        </r>
      </text>
    </comment>
    <comment ref="F101" authorId="0" shapeId="0" xr:uid="{77D2086D-D42C-4A9B-9BBD-8D38F619FB0B}">
      <text>
        <r>
          <rPr>
            <b/>
            <sz val="9"/>
            <color indexed="81"/>
            <rFont val="Tahoma"/>
            <family val="2"/>
          </rPr>
          <t>Admin:</t>
        </r>
        <r>
          <rPr>
            <sz val="9"/>
            <color indexed="81"/>
            <rFont val="Tahoma"/>
            <family val="2"/>
          </rPr>
          <t xml:space="preserve">
- HS 3,00 từ 01/9/2016
- HS 3,33 từ 01/9/2019
- HS 3,66 từ 01/9/2022
- HS 3,99 từ 01/9/2025</t>
        </r>
      </text>
    </comment>
    <comment ref="F102" authorId="0" shapeId="0" xr:uid="{65898F67-933B-458B-9DBD-BE69BE6FA1FE}">
      <text>
        <r>
          <rPr>
            <b/>
            <sz val="9"/>
            <color indexed="81"/>
            <rFont val="Tahoma"/>
            <family val="2"/>
          </rPr>
          <t>Admin:</t>
        </r>
        <r>
          <rPr>
            <sz val="9"/>
            <color indexed="81"/>
            <rFont val="Tahoma"/>
            <family val="2"/>
          </rPr>
          <t xml:space="preserve">
- HS 2,34 từ 01/09/2016
- HS 2,67 từ 01/09/2019
- HS 3,00 từ 01/09/2022
- HS 3,33 từ 01/09/2025</t>
        </r>
      </text>
    </comment>
    <comment ref="F103" authorId="0" shapeId="0" xr:uid="{163548D6-B346-4FC3-9679-7C2F9C688B07}">
      <text>
        <r>
          <rPr>
            <sz val="9"/>
            <color indexed="81"/>
            <rFont val="Tahoma"/>
            <family val="2"/>
          </rPr>
          <t>- HS 3,00  từ 01/01/2018
- HS 3,33 từ 01/01/2020 (NL trước hạn)
- HS 3,66 từ 01/01/2023</t>
        </r>
      </text>
    </comment>
    <comment ref="I103" authorId="3" shapeId="0" xr:uid="{13A749BC-C397-499C-9DD4-6A842A88BFE3}">
      <text>
        <r>
          <rPr>
            <b/>
            <sz val="9"/>
            <color indexed="81"/>
            <rFont val="Tahoma"/>
            <family val="2"/>
          </rPr>
          <t>Quynh:</t>
        </r>
        <r>
          <rPr>
            <sz val="9"/>
            <color indexed="81"/>
            <rFont val="Tahoma"/>
            <family val="2"/>
          </rPr>
          <t xml:space="preserve">
- BN Trưởng BM Cơ sở ngành từ 01/1/2019</t>
        </r>
      </text>
    </comment>
    <comment ref="F104" authorId="1" shapeId="0" xr:uid="{88F18CA3-2B46-47E5-B295-6DC22BFA0077}">
      <text>
        <r>
          <rPr>
            <b/>
            <sz val="9"/>
            <color indexed="81"/>
            <rFont val="Tahoma"/>
            <family val="2"/>
          </rPr>
          <t>user:</t>
        </r>
        <r>
          <rPr>
            <sz val="9"/>
            <color indexed="81"/>
            <rFont val="Tahoma"/>
            <family val="2"/>
          </rPr>
          <t xml:space="preserve">
- HS 2,34 từ 01/5/2021
- HS 2,67 từ 01/5/2023 (NL trước hạn)</t>
        </r>
      </text>
    </comment>
    <comment ref="I104" authorId="5" shapeId="0" xr:uid="{6D7337E2-B3CA-4F01-B0E5-CF886908E503}">
      <text>
        <r>
          <rPr>
            <b/>
            <sz val="9"/>
            <color indexed="81"/>
            <rFont val="Tahoma"/>
            <family val="2"/>
          </rPr>
          <t>Windows User:</t>
        </r>
        <r>
          <rPr>
            <sz val="9"/>
            <color indexed="81"/>
            <rFont val="Tahoma"/>
            <family val="2"/>
          </rPr>
          <t xml:space="preserve">
- BN Trưởng khoa DL-KS từ 01/12/2023</t>
        </r>
      </text>
    </comment>
    <comment ref="F105" authorId="8" shapeId="0" xr:uid="{A546F72D-9A51-4806-9121-30A81B300EFD}">
      <text>
        <r>
          <rPr>
            <b/>
            <sz val="9"/>
            <color indexed="81"/>
            <rFont val="Tahoma"/>
            <family val="2"/>
          </rPr>
          <t>huynh-panda:</t>
        </r>
        <r>
          <rPr>
            <sz val="9"/>
            <color indexed="81"/>
            <rFont val="Tahoma"/>
            <family val="2"/>
          </rPr>
          <t xml:space="preserve">
- TD từ 01/7/2022 (HS 1,989)
- HS 2,34 từ 01/7/2023</t>
        </r>
      </text>
    </comment>
    <comment ref="F106" authorId="8" shapeId="0" xr:uid="{2D81EABD-F66D-4498-ACAE-5C0167CBF2C0}">
      <text>
        <r>
          <rPr>
            <b/>
            <sz val="9"/>
            <color indexed="81"/>
            <rFont val="Tahoma"/>
            <family val="2"/>
          </rPr>
          <t>huynh-panda:</t>
        </r>
        <r>
          <rPr>
            <sz val="9"/>
            <color indexed="81"/>
            <rFont val="Tahoma"/>
            <family val="2"/>
          </rPr>
          <t xml:space="preserve">
- TD từ 01/7/2022 (HS 1,989)
- HS 3,33 từ 01/3/2022
- HS 3,66 từ 01/3/2025</t>
        </r>
      </text>
    </comment>
    <comment ref="B107" authorId="5" shapeId="0" xr:uid="{BFA3DEF3-D2FE-46CD-A0E1-A6E1CDD5ECC2}">
      <text>
        <r>
          <rPr>
            <b/>
            <sz val="9"/>
            <color indexed="81"/>
            <rFont val="Tahoma"/>
            <family val="2"/>
          </rPr>
          <t>Windows User:</t>
        </r>
        <r>
          <rPr>
            <sz val="9"/>
            <color indexed="81"/>
            <rFont val="Tahoma"/>
            <family val="2"/>
          </rPr>
          <t xml:space="preserve">
- Thuyên chuyển từ CĐ Kinh tế - Kỹ thuật về từ T10/2022
</t>
        </r>
      </text>
    </comment>
    <comment ref="F107" authorId="7" shapeId="0" xr:uid="{5ED3613C-6AC8-432A-8575-20AC3C7C8C3C}">
      <text>
        <r>
          <rPr>
            <b/>
            <sz val="9"/>
            <color indexed="81"/>
            <rFont val="Tahoma"/>
            <family val="2"/>
          </rPr>
          <t>PC:</t>
        </r>
        <r>
          <rPr>
            <sz val="9"/>
            <color indexed="81"/>
            <rFont val="Tahoma"/>
            <family val="2"/>
          </rPr>
          <t xml:space="preserve">
- HS 3,99 từ 01/9/2025
</t>
        </r>
      </text>
    </comment>
    <comment ref="F108" authorId="2" shapeId="0" xr:uid="{B25EDE25-9DA0-4037-B2F9-7C10DCFCD103}">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09" authorId="5" shapeId="0" xr:uid="{D3378DFF-F1E1-4AC3-A040-E668DD4D188C}">
      <text>
        <r>
          <rPr>
            <b/>
            <sz val="9"/>
            <color indexed="81"/>
            <rFont val="Tahoma"/>
            <family val="2"/>
          </rPr>
          <t>Windows User:</t>
        </r>
        <r>
          <rPr>
            <sz val="9"/>
            <color indexed="81"/>
            <rFont val="Tahoma"/>
            <family val="2"/>
          </rPr>
          <t xml:space="preserve">
- HS 2,67 từ 01/10/2022
- HS 3,00 từ 01/11/2022</t>
        </r>
      </text>
    </comment>
    <comment ref="F110" authorId="7" shapeId="0" xr:uid="{C84254F2-C2DB-4DC0-83C7-DFAB9E7A2C78}">
      <text>
        <r>
          <rPr>
            <b/>
            <sz val="9"/>
            <color indexed="81"/>
            <rFont val="Tahoma"/>
            <family val="2"/>
          </rPr>
          <t>PC:</t>
        </r>
        <r>
          <rPr>
            <sz val="9"/>
            <color indexed="81"/>
            <rFont val="Tahoma"/>
            <family val="2"/>
          </rPr>
          <t xml:space="preserve">
-BNCDNN từ 01/9/2025 (HS 2,67)</t>
        </r>
      </text>
    </comment>
    <comment ref="F111" authorId="0" shapeId="0" xr:uid="{37EF1714-ADD1-4978-874C-CF3F48039D59}">
      <text>
        <r>
          <rPr>
            <b/>
            <sz val="9"/>
            <color indexed="81"/>
            <rFont val="Tahoma"/>
            <family val="2"/>
          </rPr>
          <t>Admin:</t>
        </r>
        <r>
          <rPr>
            <sz val="9"/>
            <color indexed="81"/>
            <rFont val="Tahoma"/>
            <family val="2"/>
          </rPr>
          <t xml:space="preserve">
- HS 3,00 từ 01/4/2016 (NL Trước hạn năm 2017)
- HS 3.33 từ 01/4/2019
- HS 3,66 từ 01/4/2022
- HS 3,99 từ 01/4/2025</t>
        </r>
      </text>
    </comment>
    <comment ref="F112" authorId="0" shapeId="0" xr:uid="{D1C99034-98E9-415F-A5C1-F97058E45D0E}">
      <text>
        <r>
          <rPr>
            <b/>
            <sz val="9"/>
            <color indexed="81"/>
            <rFont val="Tahoma"/>
            <family val="2"/>
          </rPr>
          <t>Admin:</t>
        </r>
        <r>
          <rPr>
            <sz val="9"/>
            <color indexed="81"/>
            <rFont val="Tahoma"/>
            <family val="2"/>
          </rPr>
          <t xml:space="preserve">
- HS 3,00 từ 01/9/2016
- HS 3,33 từ 01/9/2019
- HS 3,66 từ 01/9/2022
- HS 3,99 từ 01/9/2024 (NL trước hạn)</t>
        </r>
      </text>
    </comment>
    <comment ref="F113" authorId="0" shapeId="0" xr:uid="{F76D2171-752C-4315-B9AF-C8DF84543202}">
      <text>
        <r>
          <rPr>
            <b/>
            <sz val="9"/>
            <color indexed="81"/>
            <rFont val="Tahoma"/>
            <family val="2"/>
          </rPr>
          <t>Admin:</t>
        </r>
        <r>
          <rPr>
            <sz val="9"/>
            <color indexed="81"/>
            <rFont val="Tahoma"/>
            <family val="2"/>
          </rPr>
          <t xml:space="preserve">
- HS 2,67 từ 01/9/2016
- HS 3,00 từ 01/9/2019
- HS 3,33 từ 01/9/2022
- HS 3,66 từ 01/9/2025
</t>
        </r>
      </text>
    </comment>
    <comment ref="I113" authorId="0" shapeId="0" xr:uid="{699C69B0-7742-4E95-ABE8-9AD1F96709A5}">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4" authorId="0" shapeId="0" xr:uid="{6A9204A8-684D-47C6-A2A4-63C29EAEB5DE}">
      <text>
        <r>
          <rPr>
            <b/>
            <sz val="9"/>
            <color indexed="81"/>
            <rFont val="Tahoma"/>
            <family val="2"/>
          </rPr>
          <t>Admin:</t>
        </r>
        <r>
          <rPr>
            <sz val="9"/>
            <color indexed="81"/>
            <rFont val="Tahoma"/>
            <family val="2"/>
          </rPr>
          <t xml:space="preserve">
- HS 2,67 từ 01/9/2016
- HS 3,00 từ 01/9/2019
- HS 3,33 từ 01/9/2022
- HS 3,66 từ 01/9/2025</t>
        </r>
      </text>
    </comment>
    <comment ref="F115" authorId="0" shapeId="0" xr:uid="{2B8EB3B4-AA71-4BC1-91C2-8E2BFF8D2EBB}">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16" authorId="9" shapeId="0" xr:uid="{791937EE-DAB2-4420-93BD-DBC2BE329571}">
      <text>
        <r>
          <rPr>
            <sz val="9"/>
            <color indexed="81"/>
            <rFont val="Tahoma"/>
            <family val="2"/>
          </rPr>
          <t>- HS 2,67 từ 01/12/2017
- HS 3,00 từ 01/12/2020
- HS 3,33 từ 01/12/2022 (NL trước hạn)</t>
        </r>
      </text>
    </comment>
    <comment ref="F117" authorId="2" shapeId="0" xr:uid="{4EFE0C9F-CF09-45DA-B53E-F192A87763D9}">
      <text>
        <r>
          <rPr>
            <b/>
            <sz val="9"/>
            <color indexed="81"/>
            <rFont val="Tahoma"/>
            <family val="2"/>
          </rPr>
          <t>User:</t>
        </r>
        <r>
          <rPr>
            <sz val="9"/>
            <color indexed="81"/>
            <rFont val="Tahoma"/>
            <family val="2"/>
          </rPr>
          <t xml:space="preserve">
- HS 4,32 từ 01/11/2015
- HS 4,65 từ 01/11/2018
- HS 4,98 từ 01/11/2020 (NL trước hạn)</t>
        </r>
      </text>
    </comment>
    <comment ref="G117" authorId="5" shapeId="0" xr:uid="{0A624A49-54AB-477A-92BE-AC4E2B64B967}">
      <text>
        <r>
          <rPr>
            <b/>
            <sz val="9"/>
            <color indexed="81"/>
            <rFont val="Tahoma"/>
            <family val="2"/>
          </rPr>
          <t>Windows User:</t>
        </r>
        <r>
          <rPr>
            <sz val="9"/>
            <color indexed="81"/>
            <rFont val="Tahoma"/>
            <family val="2"/>
          </rPr>
          <t xml:space="preserve">
- VK 5% từ 01/11/2023
- VK 6% từ 01/11/2024</t>
        </r>
      </text>
    </comment>
    <comment ref="F118" authorId="3" shapeId="0" xr:uid="{747C9642-B708-46A6-9814-B45928806B4E}">
      <text>
        <r>
          <rPr>
            <b/>
            <sz val="9"/>
            <color indexed="81"/>
            <rFont val="Tahoma"/>
            <family val="2"/>
          </rPr>
          <t>Quynh:</t>
        </r>
        <r>
          <rPr>
            <sz val="9"/>
            <color indexed="81"/>
            <rFont val="Tahoma"/>
            <family val="2"/>
          </rPr>
          <t xml:space="preserve">
- HS 2,67 từ 01/10/2018
- HS 3,00 từ 01/10/2021
- HS 3,33 từ 01/10/2023 (NL trước hạn)</t>
        </r>
      </text>
    </comment>
    <comment ref="F119" authorId="1" shapeId="0" xr:uid="{B26A7585-8E35-48F2-8FEF-B2AD5C6CBABB}">
      <text>
        <r>
          <rPr>
            <b/>
            <sz val="9"/>
            <color indexed="81"/>
            <rFont val="Tahoma"/>
            <family val="2"/>
          </rPr>
          <t>user:</t>
        </r>
        <r>
          <rPr>
            <sz val="9"/>
            <color indexed="81"/>
            <rFont val="Tahoma"/>
            <family val="2"/>
          </rPr>
          <t xml:space="preserve">
- HS 2,67 từ 01/10/2019
- HS 3,00 từ 01/10/2022
- HS 3,33 từ 01/10/2024 (NL trước hạn)</t>
        </r>
      </text>
    </comment>
    <comment ref="F120" authorId="0" shapeId="0" xr:uid="{BF522E05-8940-4D61-B582-E03896991F99}">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20" authorId="2" shapeId="0" xr:uid="{6EACD5F0-19E1-4682-86D5-F7450BAC13DF}">
      <text>
        <r>
          <rPr>
            <b/>
            <sz val="9"/>
            <color indexed="81"/>
            <rFont val="Tahoma"/>
            <family val="2"/>
          </rPr>
          <t>User:</t>
        </r>
        <r>
          <rPr>
            <sz val="9"/>
            <color indexed="81"/>
            <rFont val="Tahoma"/>
            <family val="2"/>
          </rPr>
          <t xml:space="preserve">
- QĐ bổ nhiệm Phó trưởng khoa Lý luận chính trị từ 01/10/2015
- Trưởng khoa LLCT từ ngày 01/10/2022
- BN Trưởng khoa Giáo dục đại cương từ 01/9/2025</t>
        </r>
      </text>
    </comment>
    <comment ref="F121" authorId="2" shapeId="0" xr:uid="{0AA7F171-33E0-41B9-9AC2-C716065A717E}">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G121" authorId="7" shapeId="0" xr:uid="{5DE33FB8-0525-4846-B9AE-D42C693D9C5D}">
      <text>
        <r>
          <rPr>
            <b/>
            <sz val="9"/>
            <color indexed="81"/>
            <rFont val="Tahoma"/>
            <family val="2"/>
          </rPr>
          <t>PC:</t>
        </r>
        <r>
          <rPr>
            <sz val="9"/>
            <color indexed="81"/>
            <rFont val="Tahoma"/>
            <family val="2"/>
          </rPr>
          <t xml:space="preserve">
- VK 5% từ 01/9/2025</t>
        </r>
      </text>
    </comment>
    <comment ref="I121" authorId="0" shapeId="0" xr:uid="{EFA08685-F573-405C-9933-18412D58375B}">
      <text>
        <r>
          <rPr>
            <b/>
            <sz val="9"/>
            <color indexed="81"/>
            <rFont val="Tahoma"/>
            <family val="2"/>
          </rPr>
          <t>Admin:</t>
        </r>
        <r>
          <rPr>
            <sz val="9"/>
            <color indexed="81"/>
            <rFont val="Tahoma"/>
            <family val="2"/>
          </rPr>
          <t xml:space="preserve">
- BN Phó TK từ 01/8/2018</t>
        </r>
      </text>
    </comment>
    <comment ref="F122" authorId="1" shapeId="0" xr:uid="{63A106C5-4D3F-47A9-89BB-E9F8E7FBFCBF}">
      <text>
        <r>
          <rPr>
            <b/>
            <sz val="9"/>
            <color indexed="81"/>
            <rFont val="Tahoma"/>
            <family val="2"/>
          </rPr>
          <t>user:</t>
        </r>
        <r>
          <rPr>
            <sz val="9"/>
            <color indexed="81"/>
            <rFont val="Tahoma"/>
            <family val="2"/>
          </rPr>
          <t xml:space="preserve">
- Tuyển dụng từ 01/11/2019
- HS 3,00 từ 01/11/2022 (NL trước hạn)</t>
        </r>
      </text>
    </comment>
    <comment ref="I122" authorId="5" shapeId="0" xr:uid="{7C0805F7-2ECE-47B0-ABAA-C351C6161C35}">
      <text>
        <r>
          <rPr>
            <b/>
            <sz val="9"/>
            <color indexed="81"/>
            <rFont val="Tahoma"/>
            <family val="2"/>
          </rPr>
          <t>Windows User:</t>
        </r>
        <r>
          <rPr>
            <sz val="9"/>
            <color indexed="81"/>
            <rFont val="Tahoma"/>
            <family val="2"/>
          </rPr>
          <t xml:space="preserve">
- Phó Trưởng TT ĐH&amp;QLDL từ T10/23
- Phó Trưởng khoa Giáo dục đại cương từ 01/9/2025</t>
        </r>
      </text>
    </comment>
    <comment ref="F123" authorId="0" shapeId="0" xr:uid="{2DE1FD3F-50F6-41DA-ACD4-86F3D776DF57}">
      <text>
        <r>
          <rPr>
            <b/>
            <sz val="9"/>
            <color indexed="81"/>
            <rFont val="Tahoma"/>
            <family val="2"/>
          </rPr>
          <t>Admin:</t>
        </r>
        <r>
          <rPr>
            <sz val="9"/>
            <color indexed="81"/>
            <rFont val="Tahoma"/>
            <family val="2"/>
          </rPr>
          <t xml:space="preserve">
- HS 4,65 từ 01/6/2016 (NL Trước hạn năm 2017)</t>
        </r>
      </text>
    </comment>
    <comment ref="G123" authorId="8" shapeId="0" xr:uid="{83E48442-8EBD-493E-8EFA-0C946BB3F5DC}">
      <text>
        <r>
          <rPr>
            <b/>
            <sz val="9"/>
            <color indexed="81"/>
            <rFont val="Tahoma"/>
            <family val="2"/>
          </rPr>
          <t>Quynh-panda:</t>
        </r>
        <r>
          <rPr>
            <sz val="9"/>
            <color indexed="81"/>
            <rFont val="Tahoma"/>
            <family val="2"/>
          </rPr>
          <t xml:space="preserve">
- VK 5% từ 01/06/2022
- VK 6% từ 01/06/2023
- VK 7% từ 01/06/2024
- VK 8% từ 01/6/2025</t>
        </r>
      </text>
    </comment>
    <comment ref="F124" authorId="2" shapeId="0" xr:uid="{4B93A97D-E3B5-4112-81AA-6B0A50561A8C}">
      <text>
        <r>
          <rPr>
            <b/>
            <sz val="9"/>
            <color indexed="81"/>
            <rFont val="Tahoma"/>
            <family val="2"/>
          </rPr>
          <t>User:</t>
        </r>
        <r>
          <rPr>
            <sz val="9"/>
            <color indexed="81"/>
            <rFont val="Tahoma"/>
            <family val="2"/>
          </rPr>
          <t xml:space="preserve">
- HS 3,33 từ 01/9/2014
- HS 3,66 từ 01/9/2017
- HS 3,99 từ 01/9/2020
- HS 4,32 từ 01/9/2023
</t>
        </r>
      </text>
    </comment>
    <comment ref="F125" authorId="2" shapeId="0" xr:uid="{62167880-A898-4F9F-B74C-C684A00BC998}">
      <text>
        <r>
          <rPr>
            <b/>
            <sz val="9"/>
            <color indexed="81"/>
            <rFont val="Tahoma"/>
            <family val="2"/>
          </rPr>
          <t>User:</t>
        </r>
        <r>
          <rPr>
            <sz val="9"/>
            <color indexed="81"/>
            <rFont val="Tahoma"/>
            <family val="2"/>
          </rPr>
          <t xml:space="preserve">
' HS 3,33 từ 01/9/15
- HS 3,66 từ 01/9/2018
- HS 3,99 từ 01/9/2021
- HS 4,32 từ 01/9/2024</t>
        </r>
      </text>
    </comment>
    <comment ref="F126" authorId="0" shapeId="0" xr:uid="{D91D16C4-5D05-41DA-9136-A58ABCC15526}">
      <text>
        <r>
          <rPr>
            <b/>
            <sz val="9"/>
            <color indexed="81"/>
            <rFont val="Tahoma"/>
            <family val="2"/>
          </rPr>
          <t>Admin:</t>
        </r>
        <r>
          <rPr>
            <sz val="9"/>
            <color indexed="81"/>
            <rFont val="Tahoma"/>
            <family val="2"/>
          </rPr>
          <t xml:space="preserve">
- HS 3,00 từ 01/12/2016
- HS 3,33 từ 01/12/2019
- HS 3,66 từ 01/12/2022</t>
        </r>
      </text>
    </comment>
    <comment ref="F127" authorId="0" shapeId="0" xr:uid="{497AEBB0-0773-4F20-8080-D8B5487376E9}">
      <text>
        <r>
          <rPr>
            <b/>
            <sz val="9"/>
            <color indexed="81"/>
            <rFont val="Tahoma"/>
            <family val="2"/>
          </rPr>
          <t>Admin:</t>
        </r>
        <r>
          <rPr>
            <sz val="9"/>
            <color indexed="81"/>
            <rFont val="Tahoma"/>
            <family val="2"/>
          </rPr>
          <t xml:space="preserve">
- HS 3,99 từ 01/12/2015
- HS 4,32 từ 01/12/2018
- HS 4,65 từ 01/12/2021
- HS 4,98 từ 01/12/2024</t>
        </r>
      </text>
    </comment>
    <comment ref="F128" authorId="0" shapeId="0" xr:uid="{B0594A09-97F1-4B25-BB06-597BC64D72F7}">
      <text>
        <r>
          <rPr>
            <b/>
            <sz val="9"/>
            <color indexed="81"/>
            <rFont val="Tahoma"/>
            <family val="2"/>
          </rPr>
          <t>Admin:</t>
        </r>
        <r>
          <rPr>
            <sz val="9"/>
            <color indexed="81"/>
            <rFont val="Tahoma"/>
            <family val="2"/>
          </rPr>
          <t xml:space="preserve">
- HS 3,66 từ 01/9/2016 (NL trước hạn năm 2017)
- HS 3,99 từ 01/9/2019
- HS 4,32 từ 01/9/2022
- HS 4,65 từ 01/9/2025</t>
        </r>
      </text>
    </comment>
    <comment ref="F129" authorId="2" shapeId="0" xr:uid="{07B6782D-4451-4612-8E68-6391EC57A804}">
      <text>
        <r>
          <rPr>
            <b/>
            <sz val="9"/>
            <color indexed="81"/>
            <rFont val="Tahoma"/>
            <family val="2"/>
          </rPr>
          <t>User:</t>
        </r>
        <r>
          <rPr>
            <sz val="9"/>
            <color indexed="81"/>
            <rFont val="Tahoma"/>
            <family val="2"/>
          </rPr>
          <t xml:space="preserve">
- HS 4,65 từ 01/9/2015
- HS 4,98 từ 01/9/17 (NL trước hạn)</t>
        </r>
      </text>
    </comment>
    <comment ref="G129" authorId="1" shapeId="0" xr:uid="{B5B61DF5-2E1C-4159-BA77-1A8A86A9EC70}">
      <text>
        <r>
          <rPr>
            <b/>
            <sz val="9"/>
            <color indexed="81"/>
            <rFont val="Tahoma"/>
            <family val="2"/>
          </rPr>
          <t>user:</t>
        </r>
        <r>
          <rPr>
            <sz val="9"/>
            <color indexed="81"/>
            <rFont val="Tahoma"/>
            <family val="2"/>
          </rPr>
          <t xml:space="preserve">
- 5% từ 01/9/2020
- 6% từ 01/9/2021
- 7% từ 01/9/2022
- 8% từ 01/9/2023
- 9% từ 01/9/2024
- 10% từ 01/9/2025</t>
        </r>
      </text>
    </comment>
    <comment ref="F130" authorId="2" shapeId="0" xr:uid="{426103F9-3C71-47B5-84D3-67D87F3011C7}">
      <text>
        <r>
          <rPr>
            <b/>
            <sz val="9"/>
            <color indexed="81"/>
            <rFont val="Tahoma"/>
            <family val="2"/>
          </rPr>
          <t>User:</t>
        </r>
        <r>
          <rPr>
            <sz val="9"/>
            <color indexed="81"/>
            <rFont val="Tahoma"/>
            <family val="2"/>
          </rPr>
          <t xml:space="preserve">
- HS 3,00 từ 01/9/2014
- HS 3,33 từ 01/9/2017
- HS 3,66 từ 01/9/2019
- HS 3,99 từ 01/9/2022
- HS 4,32 từ 01/9/2025</t>
        </r>
      </text>
    </comment>
    <comment ref="F131" authorId="0" shapeId="0" xr:uid="{63DB93F2-3241-48F8-861A-E852E10E9FCF}">
      <text>
        <r>
          <rPr>
            <b/>
            <sz val="9"/>
            <color indexed="81"/>
            <rFont val="Tahoma"/>
            <family val="2"/>
          </rPr>
          <t>Admin:</t>
        </r>
        <r>
          <rPr>
            <sz val="9"/>
            <color indexed="81"/>
            <rFont val="Tahoma"/>
            <family val="2"/>
          </rPr>
          <t xml:space="preserve">
- HS 3,00 từ 01/11/2016
- HS 3,33 từ 01/11/2019
- HS 3,66 từ 01/11/2022</t>
        </r>
      </text>
    </comment>
    <comment ref="F132" authorId="2" shapeId="0" xr:uid="{6A6EF6CA-E6BA-4868-ABBA-34899C53765C}">
      <text>
        <r>
          <rPr>
            <b/>
            <sz val="9"/>
            <color indexed="81"/>
            <rFont val="Tahoma"/>
            <family val="2"/>
          </rPr>
          <t>User:</t>
        </r>
        <r>
          <rPr>
            <sz val="9"/>
            <color indexed="81"/>
            <rFont val="Tahoma"/>
            <family val="2"/>
          </rPr>
          <t xml:space="preserve">
- HS 4,32 từ 01/9/2014
- HS 4,65 từ 01/9/2017
- HS 4,98 từ 01/9/2020</t>
        </r>
      </text>
    </comment>
    <comment ref="G132" authorId="5" shapeId="0" xr:uid="{9F1665D1-D02A-4F3F-88A0-87FB466735FB}">
      <text>
        <r>
          <rPr>
            <b/>
            <sz val="9"/>
            <color indexed="81"/>
            <rFont val="Tahoma"/>
            <family val="2"/>
          </rPr>
          <t>Windows User:</t>
        </r>
        <r>
          <rPr>
            <sz val="9"/>
            <color indexed="81"/>
            <rFont val="Tahoma"/>
            <family val="2"/>
          </rPr>
          <t xml:space="preserve">
- VK 5% từ 01/9/2023
- VK 6% từ 01/9/2024
- VK 7% từ 01/9/2025</t>
        </r>
      </text>
    </comment>
    <comment ref="F133" authorId="2" shapeId="0" xr:uid="{BD53051F-DFA6-466E-A32E-6CA97445A29B}">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4" authorId="0" shapeId="0" xr:uid="{F787092E-02C0-4B40-8B22-49AC4E434ECC}">
      <text>
        <r>
          <rPr>
            <b/>
            <sz val="9"/>
            <color indexed="81"/>
            <rFont val="Tahoma"/>
            <family val="2"/>
          </rPr>
          <t>Admin:</t>
        </r>
        <r>
          <rPr>
            <sz val="9"/>
            <color indexed="81"/>
            <rFont val="Tahoma"/>
            <family val="2"/>
          </rPr>
          <t xml:space="preserve">
- HS 3,00 từ 01/9/2016
- HS 3,33 từ 01/3/2020
- HS 3,66 từ 01/03/2023</t>
        </r>
      </text>
    </comment>
    <comment ref="F135" authorId="0" shapeId="0" xr:uid="{F7A6D42A-E415-4115-93C3-E94946EF2E2A}">
      <text>
        <r>
          <rPr>
            <b/>
            <sz val="9"/>
            <color indexed="81"/>
            <rFont val="Tahoma"/>
            <family val="2"/>
          </rPr>
          <t>Admin:</t>
        </r>
        <r>
          <rPr>
            <sz val="9"/>
            <color indexed="81"/>
            <rFont val="Tahoma"/>
            <family val="2"/>
          </rPr>
          <t xml:space="preserve">
- HS 2,67 từ 01/9/2017
- HS 3,00 từ 01/9/2020</t>
        </r>
      </text>
    </comment>
    <comment ref="F136" authorId="0" shapeId="0" xr:uid="{68B84CD6-2441-4D7D-9BC5-2A1335140BCD}">
      <text>
        <r>
          <rPr>
            <b/>
            <sz val="9"/>
            <color indexed="81"/>
            <rFont val="Tahoma"/>
            <family val="2"/>
          </rPr>
          <t>Admin:</t>
        </r>
        <r>
          <rPr>
            <sz val="9"/>
            <color indexed="81"/>
            <rFont val="Tahoma"/>
            <family val="2"/>
          </rPr>
          <t xml:space="preserve">
- HS 2,67 từ 01/9/2017
- HS 3,00 từ 01/9/2020
- HS 3,33 từ 01/9/2023
- HS 3,33 từ 01/9/2023
</t>
        </r>
      </text>
    </comment>
    <comment ref="F137" authorId="2" shapeId="0" xr:uid="{8DE4B44F-75DC-426C-81CC-FAA2F2593F54}">
      <text>
        <r>
          <rPr>
            <b/>
            <sz val="9"/>
            <color indexed="81"/>
            <rFont val="Tahoma"/>
            <family val="2"/>
          </rPr>
          <t>User:</t>
        </r>
        <r>
          <rPr>
            <sz val="9"/>
            <color indexed="81"/>
            <rFont val="Tahoma"/>
            <family val="2"/>
          </rPr>
          <t xml:space="preserve">
- HS 3,33 từ 01/9/2015
- HS 3,66 từ 01/9/2018
- HS 3,99 từ 01/9/2021
- HS 4,32 từ 01/9/2024</t>
        </r>
      </text>
    </comment>
    <comment ref="I137" authorId="0" shapeId="0" xr:uid="{C48A13E8-8348-4E30-B8C8-790AF8AF7F19}">
      <text>
        <r>
          <rPr>
            <b/>
            <sz val="9"/>
            <color indexed="81"/>
            <rFont val="Tahoma"/>
            <family val="2"/>
          </rPr>
          <t>Admin:</t>
        </r>
        <r>
          <rPr>
            <sz val="9"/>
            <color indexed="81"/>
            <rFont val="Tahoma"/>
            <family val="2"/>
          </rPr>
          <t xml:space="preserve">
+ BN Tổ trưởng CM từ 03/5/2017
- Thôi giữ chức vụ TBM từ 01/9/2025 (HS PCCV 0,25 được bảo lưu đến hết T4/2027)</t>
        </r>
      </text>
    </comment>
    <comment ref="F138" authorId="0" shapeId="0" xr:uid="{A98E5D85-4077-4C58-AA36-8F7A0020E6C4}">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9" authorId="9" shapeId="0" xr:uid="{CB4BDFB0-5542-4128-B23D-FF78E0CA50EE}">
      <text>
        <r>
          <rPr>
            <sz val="9"/>
            <color indexed="81"/>
            <rFont val="Tahoma"/>
            <family val="2"/>
          </rPr>
          <t>- HS 3,33 từ 01/3/2018
- HS 3,66 từ 01/3/2020 (NL trước hạn)
- HS 3,99 từ 01/3/2023</t>
        </r>
      </text>
    </comment>
    <comment ref="F140" authorId="2" shapeId="0" xr:uid="{3C8D9E3F-2C67-459C-A416-0EEA1C3164FF}">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I140" authorId="7" shapeId="0" xr:uid="{39AD9625-50D0-4FBB-BB27-E4022BC67F98}">
      <text>
        <r>
          <rPr>
            <b/>
            <sz val="9"/>
            <color indexed="81"/>
            <rFont val="Tahoma"/>
            <family val="2"/>
          </rPr>
          <t>PC:</t>
        </r>
        <r>
          <rPr>
            <sz val="9"/>
            <color indexed="81"/>
            <rFont val="Tahoma"/>
            <family val="2"/>
          </rPr>
          <t xml:space="preserve">
- Phụ trách tổ BM GD Thể chất - QP và An ninh từ 01/9/2025</t>
        </r>
      </text>
    </comment>
    <comment ref="F141" authorId="0" shapeId="0" xr:uid="{32DAD76D-D5C6-4327-A759-35AFFC952C26}">
      <text>
        <r>
          <rPr>
            <b/>
            <sz val="9"/>
            <color indexed="81"/>
            <rFont val="Tahoma"/>
            <family val="2"/>
          </rPr>
          <t>Admin:</t>
        </r>
        <r>
          <rPr>
            <sz val="9"/>
            <color indexed="81"/>
            <rFont val="Tahoma"/>
            <family val="2"/>
          </rPr>
          <t xml:space="preserve">
- HS 3,66 từ 01/9/2016
- HS 3,99 từ 01/9/2019
- HS 4,32 từ 01/9/2022
- HS 4,65 từ 01/9/2025</t>
        </r>
      </text>
    </comment>
    <comment ref="F142" authorId="2" shapeId="0" xr:uid="{5ED78A43-3040-4827-8001-D3B5AE481BF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
- HS 4,32 từ 01/9/2025</t>
        </r>
      </text>
    </comment>
    <comment ref="I142" authorId="2" shapeId="0" xr:uid="{D59E7B4C-482C-41D9-89B0-CD72B777F0B9}">
      <text>
        <r>
          <rPr>
            <b/>
            <sz val="9"/>
            <color indexed="81"/>
            <rFont val="Tahoma"/>
            <family val="2"/>
          </rPr>
          <t>User:</t>
        </r>
        <r>
          <rPr>
            <sz val="9"/>
            <color indexed="81"/>
            <rFont val="Tahoma"/>
            <family val="2"/>
          </rPr>
          <t xml:space="preserve">
HS 0,35 hưởng từ 01/7/2015
Ngưng hưởng PCCV từ 01/7/2025 (Hết nhiệm kỳ)</t>
        </r>
      </text>
    </comment>
    <comment ref="F143" authorId="0" shapeId="0" xr:uid="{D13BB250-798D-4CAA-B6D1-AD5062B29084}">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43" authorId="1" shapeId="0" xr:uid="{F06A8133-F63E-4B38-A86C-6D25720966DD}">
      <text>
        <r>
          <rPr>
            <b/>
            <sz val="9"/>
            <color indexed="81"/>
            <rFont val="Tahoma"/>
            <family val="2"/>
          </rPr>
          <t>user:</t>
        </r>
        <r>
          <rPr>
            <sz val="9"/>
            <color indexed="81"/>
            <rFont val="Tahoma"/>
            <family val="2"/>
          </rPr>
          <t xml:space="preserve">
- QĐ BN Trưởng BM GDCT từ 01/4/2021
- QĐ Thôi Trưởng BM từ 01/9/2025 (HS PCCV 0,25 được bảo lưu đến hết T3/2026)</t>
        </r>
      </text>
    </comment>
    <comment ref="F144" authorId="0" shapeId="0" xr:uid="{5B17FF5D-345F-454D-9A66-8BEBB1CDC469}">
      <text>
        <r>
          <rPr>
            <b/>
            <sz val="9"/>
            <color indexed="81"/>
            <rFont val="Tahoma"/>
            <family val="2"/>
          </rPr>
          <t>Admin:</t>
        </r>
        <r>
          <rPr>
            <sz val="9"/>
            <color indexed="81"/>
            <rFont val="Tahoma"/>
            <family val="2"/>
          </rPr>
          <t xml:space="preserve">
- HS 3,99 từ 01/9/2017
- HS 4,32 từ 01/9/2020
- HS 4,65 từ 01/9/2023</t>
        </r>
      </text>
    </comment>
    <comment ref="F145" authorId="2" shapeId="0" xr:uid="{6DE8B3BF-93FA-4DA7-8C71-FF9704EEFC9D}">
      <text>
        <r>
          <rPr>
            <b/>
            <sz val="9"/>
            <color indexed="81"/>
            <rFont val="Tahoma"/>
            <family val="2"/>
          </rPr>
          <t>User:</t>
        </r>
        <r>
          <rPr>
            <sz val="9"/>
            <color indexed="81"/>
            <rFont val="Tahoma"/>
            <family val="2"/>
          </rPr>
          <t xml:space="preserve">
- HS 3,00 từ 01/09/2015
- HS 3,33 từ 01/9/2018
- HS 3,66 từ 01/9/2021
- HS 3,99 từ 01/9/2024</t>
        </r>
      </text>
    </comment>
    <comment ref="F146" authorId="2" shapeId="0" xr:uid="{947F9D77-0237-4543-8DF3-FDD27F78F8FA}">
      <text>
        <r>
          <rPr>
            <b/>
            <sz val="9"/>
            <color indexed="81"/>
            <rFont val="Tahoma"/>
            <family val="2"/>
          </rPr>
          <t>User:</t>
        </r>
        <r>
          <rPr>
            <sz val="9"/>
            <color indexed="81"/>
            <rFont val="Tahoma"/>
            <family val="2"/>
          </rPr>
          <t xml:space="preserve">
- HS 3,66 từ 01/9/2015
- HS 3,99 từ 01/9/2018
- HS 4,32 từ 01/9/2021
- HS 4,65 từ 01/9/2024</t>
        </r>
      </text>
    </comment>
    <comment ref="F147" authorId="2" shapeId="0" xr:uid="{145976A8-81B5-453D-8480-6B1F0DCD01A4}">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
- HS 4,65 từ 01/9/2025</t>
        </r>
      </text>
    </comment>
    <comment ref="F148" authorId="2" shapeId="0" xr:uid="{36155696-849F-4A23-965A-5642E232BA96}">
      <text>
        <r>
          <rPr>
            <b/>
            <sz val="9"/>
            <color indexed="81"/>
            <rFont val="Tahoma"/>
            <family val="2"/>
          </rPr>
          <t>User:</t>
        </r>
        <r>
          <rPr>
            <sz val="9"/>
            <color indexed="81"/>
            <rFont val="Tahoma"/>
            <family val="2"/>
          </rPr>
          <t xml:space="preserve">
- HS 3,00 từ 01/9/2015
- HS 3,33 từ 01/9/2018
- HS 3,66 từ 01/9/2021
- HS 3,99 từ 01/9/2024</t>
        </r>
      </text>
    </comment>
    <comment ref="F149" authorId="2" shapeId="0" xr:uid="{CF98F656-04AC-42A9-89ED-61AB4687D31F}">
      <text>
        <r>
          <rPr>
            <b/>
            <sz val="9"/>
            <color indexed="81"/>
            <rFont val="Tahoma"/>
            <family val="2"/>
          </rPr>
          <t>User:</t>
        </r>
        <r>
          <rPr>
            <sz val="9"/>
            <color indexed="81"/>
            <rFont val="Tahoma"/>
            <family val="2"/>
          </rPr>
          <t xml:space="preserve">
- HS 3,00 từ 1/9/2015
- HS 3,33 từ 01/9/2018
- HS 3,66 từ 01/9/2021
- HS 3,99 từ 01/9/2024
</t>
        </r>
      </text>
    </comment>
    <comment ref="F150" authorId="0" shapeId="0" xr:uid="{557DD737-D836-4DA6-95AC-D389B6B56B93}">
      <text>
        <r>
          <rPr>
            <b/>
            <sz val="9"/>
            <color indexed="81"/>
            <rFont val="Tahoma"/>
            <family val="2"/>
          </rPr>
          <t>Admin:</t>
        </r>
        <r>
          <rPr>
            <sz val="9"/>
            <color indexed="81"/>
            <rFont val="Tahoma"/>
            <family val="2"/>
          </rPr>
          <t xml:space="preserve">
- HS 3,00 từ 01/9/2015
- HS 3,33 từ 01/9/2018
- HS 3,66 từ 01/9/2021
- HS 3,99 từ 01/9/2024</t>
        </r>
      </text>
    </comment>
    <comment ref="F151" authorId="2" shapeId="0" xr:uid="{C61A2309-CC27-4BED-B316-AD659F6E36CD}">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52" authorId="0" shapeId="0" xr:uid="{C3A18BEF-759D-43A8-A7BD-58193E1206E2}">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53" authorId="0" shapeId="0" xr:uid="{AA769A3F-7A08-4E51-B74C-F286942FEF5D}">
      <text>
        <r>
          <rPr>
            <b/>
            <sz val="9"/>
            <color indexed="81"/>
            <rFont val="Tahoma"/>
            <family val="2"/>
          </rPr>
          <t>Admin:</t>
        </r>
        <r>
          <rPr>
            <sz val="9"/>
            <color indexed="81"/>
            <rFont val="Tahoma"/>
            <family val="2"/>
          </rPr>
          <t xml:space="preserve">
- HS 3,00 từ 01/03/2017
- HS 3,33 từ 01/03/2020
- HS 3,66 từ 01/03/2023</t>
        </r>
      </text>
    </comment>
    <comment ref="F154" authorId="0" shapeId="0" xr:uid="{F2AB66DE-4691-4642-BA2C-0C8FB04A15DF}">
      <text>
        <r>
          <rPr>
            <sz val="9"/>
            <color indexed="81"/>
            <rFont val="Tahoma"/>
            <family val="2"/>
          </rPr>
          <t>- HS 3,00 từ 01/01/2018
- HS 3,33 từ 01/01/2023</t>
        </r>
      </text>
    </comment>
    <comment ref="I154" authorId="1" shapeId="0" xr:uid="{9E0B881A-EBC0-494E-BFB0-A815A8F30E27}">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5" authorId="9" shapeId="0" xr:uid="{AB8570AD-35AB-4646-8C4C-9CEF7E055C55}">
      <text>
        <r>
          <rPr>
            <sz val="9"/>
            <color indexed="81"/>
            <rFont val="Tahoma"/>
            <family val="2"/>
          </rPr>
          <t xml:space="preserve">- HS 3,99 từ 01/12/2017
- HS 4,32 từ 01/12/2020
- HS 4,65 từ 01/12/2023
</t>
        </r>
      </text>
    </comment>
    <comment ref="F156" authorId="0" shapeId="0" xr:uid="{EB26D30D-4BBB-4952-8D27-687BD23034B9}">
      <text>
        <r>
          <rPr>
            <b/>
            <sz val="9"/>
            <color indexed="81"/>
            <rFont val="Tahoma"/>
            <family val="2"/>
          </rPr>
          <t>Admin:</t>
        </r>
        <r>
          <rPr>
            <sz val="9"/>
            <color indexed="81"/>
            <rFont val="Tahoma"/>
            <family val="2"/>
          </rPr>
          <t xml:space="preserve">
- HS 3,99 từ 01/9/2017
- HS 4,32 từ 01/9/2019
- HS 4,65 từ 01/9/2022
- HS 4,95 từ 01/9/2025</t>
        </r>
      </text>
    </comment>
    <comment ref="I156" authorId="1" shapeId="0" xr:uid="{CAEFD787-F27E-489D-9A30-C00A313FE440}">
      <text>
        <r>
          <rPr>
            <b/>
            <sz val="9"/>
            <color indexed="81"/>
            <rFont val="Tahoma"/>
            <family val="2"/>
          </rPr>
          <t>user:</t>
        </r>
        <r>
          <rPr>
            <sz val="9"/>
            <color indexed="81"/>
            <rFont val="Tahoma"/>
            <family val="2"/>
          </rPr>
          <t xml:space="preserve">
- Trưởng BM Cơ điện tử và tự động hóa từ 01/1/2020</t>
        </r>
      </text>
    </comment>
    <comment ref="F157" authorId="0" shapeId="0" xr:uid="{F6838394-4846-4984-B6AE-F40232CBDFFF}">
      <text>
        <r>
          <rPr>
            <b/>
            <sz val="9"/>
            <color indexed="81"/>
            <rFont val="Tahoma"/>
            <family val="2"/>
          </rPr>
          <t>Admin:</t>
        </r>
        <r>
          <rPr>
            <sz val="9"/>
            <color indexed="81"/>
            <rFont val="Tahoma"/>
            <family val="2"/>
          </rPr>
          <t xml:space="preserve">
- HS 3,99 từ 01/9/2017
- HS 4,32 từ 01/9/2020
- HS 4,65 từ 01/9/2023</t>
        </r>
      </text>
    </comment>
    <comment ref="F158" authorId="0" shapeId="0" xr:uid="{7D5091DE-8E37-4D4B-9C07-077549B8F54E}">
      <text>
        <r>
          <rPr>
            <b/>
            <sz val="9"/>
            <color indexed="81"/>
            <rFont val="Tahoma"/>
            <family val="2"/>
          </rPr>
          <t>Admin:</t>
        </r>
        <r>
          <rPr>
            <sz val="9"/>
            <color indexed="81"/>
            <rFont val="Tahoma"/>
            <family val="2"/>
          </rPr>
          <t xml:space="preserve">
- HS 3,33 từ 01/9/2017
- HS 3,66 từ 01/9/2020
- HS 3,99 từ 01/9/2023</t>
        </r>
      </text>
    </comment>
    <comment ref="F159" authorId="0" shapeId="0" xr:uid="{868E5270-504E-420C-9864-5B35CE689CA9}">
      <text>
        <r>
          <rPr>
            <b/>
            <sz val="9"/>
            <color indexed="81"/>
            <rFont val="Tahoma"/>
            <family val="2"/>
          </rPr>
          <t>Admin:</t>
        </r>
        <r>
          <rPr>
            <sz val="9"/>
            <color indexed="81"/>
            <rFont val="Tahoma"/>
            <family val="2"/>
          </rPr>
          <t xml:space="preserve">
- HS 4,32 từ 01/9/2016
- HS 4,65 từ 01/9/2019
- HS 4,98 từ 01/9/2022</t>
        </r>
      </text>
    </comment>
    <comment ref="G159" authorId="7" shapeId="0" xr:uid="{2BB11291-20AA-4CD8-B717-021D193CE073}">
      <text>
        <r>
          <rPr>
            <b/>
            <sz val="9"/>
            <color indexed="81"/>
            <rFont val="Tahoma"/>
            <family val="2"/>
          </rPr>
          <t>PC:</t>
        </r>
        <r>
          <rPr>
            <sz val="9"/>
            <color indexed="81"/>
            <rFont val="Tahoma"/>
            <family val="2"/>
          </rPr>
          <t xml:space="preserve">
- VK 5% từ 01/9/2025</t>
        </r>
      </text>
    </comment>
    <comment ref="F160" authorId="0" shapeId="0" xr:uid="{E9C69EB0-26D4-4EFB-9F82-52EA02BDDFFC}">
      <text>
        <r>
          <rPr>
            <b/>
            <sz val="9"/>
            <color indexed="81"/>
            <rFont val="Tahoma"/>
            <family val="2"/>
          </rPr>
          <t>Admin:</t>
        </r>
        <r>
          <rPr>
            <sz val="9"/>
            <color indexed="81"/>
            <rFont val="Tahoma"/>
            <family val="2"/>
          </rPr>
          <t xml:space="preserve">
- HS 3,33 từ 01/9/2017
- HS 3,66 từ 01/9/2020
- HS 3,99 từ 01/9/2023</t>
        </r>
      </text>
    </comment>
    <comment ref="I160" authorId="2" shapeId="0" xr:uid="{C0D24F75-F6C4-4708-BC1A-218F70C6C53C}">
      <text>
        <r>
          <rPr>
            <b/>
            <sz val="9"/>
            <color indexed="81"/>
            <rFont val="Tahoma"/>
            <family val="2"/>
          </rPr>
          <t>User:</t>
        </r>
        <r>
          <rPr>
            <sz val="9"/>
            <color indexed="81"/>
            <rFont val="Tahoma"/>
            <family val="2"/>
          </rPr>
          <t xml:space="preserve">
Miễn nhiệm Phó Trưởng BM từ 01/9/2015. Bảo lưu HS PC hết T02/2016</t>
        </r>
      </text>
    </comment>
    <comment ref="F161" authorId="0" shapeId="0" xr:uid="{140DFEBA-25F5-44B3-A4DD-CF38F7DD3BE3}">
      <text>
        <r>
          <rPr>
            <b/>
            <sz val="9"/>
            <color indexed="81"/>
            <rFont val="Tahoma"/>
            <family val="2"/>
          </rPr>
          <t>Admin:</t>
        </r>
        <r>
          <rPr>
            <sz val="9"/>
            <color indexed="81"/>
            <rFont val="Tahoma"/>
            <family val="2"/>
          </rPr>
          <t xml:space="preserve">
- HS 2,34 từ 01/09/2016
- HS 2,67 từ 01/9/2019
- HS 3,00 từ 0/09/2022
- HS 3,33 từ 01/9/2025</t>
        </r>
      </text>
    </comment>
    <comment ref="F162" authorId="1" shapeId="0" xr:uid="{C8B5903A-7D6A-4338-B54C-4DD6D03641E2}">
      <text>
        <r>
          <rPr>
            <b/>
            <sz val="9"/>
            <color indexed="81"/>
            <rFont val="Tahoma"/>
            <family val="2"/>
          </rPr>
          <t>user:</t>
        </r>
        <r>
          <rPr>
            <sz val="9"/>
            <color indexed="81"/>
            <rFont val="Tahoma"/>
            <family val="2"/>
          </rPr>
          <t xml:space="preserve">
- Tuyển dụng từ 01/10/2020
- HS 2,34 từ 01/10/2021
- HS 2,67 từ 01/10/2024</t>
        </r>
      </text>
    </comment>
    <comment ref="F163" authorId="0" shapeId="0" xr:uid="{1B3D112A-FD3B-4A2F-A093-4B9DDF692C2B}">
      <text>
        <r>
          <rPr>
            <b/>
            <sz val="9"/>
            <color indexed="81"/>
            <rFont val="Tahoma"/>
            <family val="2"/>
          </rPr>
          <t>Admin:</t>
        </r>
        <r>
          <rPr>
            <sz val="9"/>
            <color indexed="81"/>
            <rFont val="Tahoma"/>
            <family val="2"/>
          </rPr>
          <t xml:space="preserve">
- HS 2,34 từ 01/09/2016
- HS 2,67 từ 01/9/2019
- HS 3,00 từ 01/9/2022
- HS 3,33 từ 01/9/2024 (NL trước hạn)</t>
        </r>
      </text>
    </comment>
    <comment ref="F164" authorId="1" shapeId="0" xr:uid="{55280F66-F876-4228-B1E1-1FA69C6FB64E}">
      <text>
        <r>
          <rPr>
            <b/>
            <sz val="9"/>
            <color indexed="81"/>
            <rFont val="Tahoma"/>
            <family val="2"/>
          </rPr>
          <t>user:</t>
        </r>
        <r>
          <rPr>
            <sz val="9"/>
            <color indexed="81"/>
            <rFont val="Tahoma"/>
            <family val="2"/>
          </rPr>
          <t xml:space="preserve">
- Tuyển dụng từ 01/5/20
- HS 2,34 từ 01/5/2021
- HS 2,67 từ 01/5/2024</t>
        </r>
      </text>
    </comment>
    <comment ref="F165" authorId="5" shapeId="0" xr:uid="{D280B6E2-F985-4690-8CFB-B4E490EDA2FF}">
      <text>
        <r>
          <rPr>
            <b/>
            <sz val="9"/>
            <color indexed="81"/>
            <rFont val="Tahoma"/>
            <family val="2"/>
          </rPr>
          <t>Windows User:</t>
        </r>
        <r>
          <rPr>
            <sz val="9"/>
            <color indexed="81"/>
            <rFont val="Tahoma"/>
            <family val="2"/>
          </rPr>
          <t xml:space="preserve">
- Xét hết tập sự T3/25 (HS 2,34)</t>
        </r>
      </text>
    </comment>
    <comment ref="F166" authorId="5" shapeId="0" xr:uid="{01EB098A-1CCD-4875-96FC-1F818F104F3D}">
      <text>
        <r>
          <rPr>
            <b/>
            <sz val="9"/>
            <color indexed="81"/>
            <rFont val="Tahoma"/>
            <family val="2"/>
          </rPr>
          <t>Windows User:</t>
        </r>
        <r>
          <rPr>
            <sz val="9"/>
            <color indexed="81"/>
            <rFont val="Tahoma"/>
            <family val="2"/>
          </rPr>
          <t xml:space="preserve">
- HS 2,34 từ 01/01/2025</t>
        </r>
      </text>
    </comment>
    <comment ref="F168" authorId="7" shapeId="0" xr:uid="{F7F77794-B91E-48F9-81E2-F0C72E6A4025}">
      <text>
        <r>
          <rPr>
            <b/>
            <sz val="9"/>
            <color indexed="81"/>
            <rFont val="Tahoma"/>
            <family val="2"/>
          </rPr>
          <t>PC:</t>
        </r>
        <r>
          <rPr>
            <sz val="9"/>
            <color indexed="81"/>
            <rFont val="Tahoma"/>
            <family val="2"/>
          </rPr>
          <t xml:space="preserve">
-BN CDNN từ 01/8/2025 (2,34)</t>
        </r>
      </text>
    </comment>
    <comment ref="F170" authorId="2" shapeId="0" xr:uid="{A74822FE-BE4E-435E-9837-F591AD01C864}">
      <text>
        <r>
          <rPr>
            <b/>
            <sz val="9"/>
            <color indexed="81"/>
            <rFont val="Tahoma"/>
            <family val="2"/>
          </rPr>
          <t>User:</t>
        </r>
        <r>
          <rPr>
            <sz val="9"/>
            <color indexed="81"/>
            <rFont val="Tahoma"/>
            <family val="2"/>
          </rPr>
          <t xml:space="preserve">
- HS 2,67 từ 01/4/2014
- HS 3,00 từ 01/4/2017
- HS 3,33 từ 01/4/2019
- HS 3,66 từ 01/4/2022
- HS 3,99 từ 01/4/2024</t>
        </r>
      </text>
    </comment>
    <comment ref="I170" authorId="6" shapeId="0" xr:uid="{78FB11B3-62E6-4816-A2E0-6B7B478F4A74}">
      <text>
        <r>
          <rPr>
            <b/>
            <sz val="8"/>
            <color indexed="81"/>
            <rFont val="Tahoma"/>
            <family val="2"/>
          </rPr>
          <t>admin:</t>
        </r>
        <r>
          <rPr>
            <sz val="8"/>
            <color indexed="81"/>
            <rFont val="Tahoma"/>
            <family val="2"/>
          </rPr>
          <t xml:space="preserve">
+ QĐ Bổ nhiệm Phó trưởng trung tâm Bảo trì - Cơ điện từ 01/05/2014
+ BN Trưởng TT từ 10/6/19
+ BN Trưởng khoa CNTT từ 01/9/2025</t>
        </r>
      </text>
    </comment>
    <comment ref="F171" authorId="0" shapeId="0" xr:uid="{0FD705CF-6431-48E8-89BC-741295BD6F4B}">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2" authorId="0" shapeId="0" xr:uid="{DE7451D4-28C3-4C63-A52D-498377C91EC1}">
      <text>
        <r>
          <rPr>
            <b/>
            <sz val="9"/>
            <color indexed="81"/>
            <rFont val="Tahoma"/>
            <family val="2"/>
          </rPr>
          <t>Admin:</t>
        </r>
        <r>
          <rPr>
            <sz val="9"/>
            <color indexed="81"/>
            <rFont val="Tahoma"/>
            <family val="2"/>
          </rPr>
          <t xml:space="preserve">
- 3,33 từ 01/9/2017
- 3,66 từ 01/9/2020
- 3,99 từ 01/9/2023</t>
        </r>
      </text>
    </comment>
    <comment ref="I172" authorId="2" shapeId="0" xr:uid="{E0079AAF-910D-4BA1-BC83-8336D721142C}">
      <text>
        <r>
          <rPr>
            <b/>
            <sz val="9"/>
            <color indexed="81"/>
            <rFont val="Tahoma"/>
            <family val="2"/>
          </rPr>
          <t>User:</t>
        </r>
        <r>
          <rPr>
            <sz val="9"/>
            <color indexed="81"/>
            <rFont val="Tahoma"/>
            <family val="2"/>
          </rPr>
          <t xml:space="preserve">
Miễn nhiệm Trưởng bộ môn từ 01/9/2015</t>
        </r>
      </text>
    </comment>
    <comment ref="F173" authorId="0" shapeId="0" xr:uid="{3173E8CA-23D7-4C23-A548-7E85BDD65D10}">
      <text>
        <r>
          <rPr>
            <b/>
            <sz val="9"/>
            <color indexed="81"/>
            <rFont val="Tahoma"/>
            <family val="2"/>
          </rPr>
          <t>Admin:</t>
        </r>
        <r>
          <rPr>
            <sz val="9"/>
            <color indexed="81"/>
            <rFont val="Tahoma"/>
            <family val="2"/>
          </rPr>
          <t xml:space="preserve">
- HS 3,33 từ 01/9/2016
- HS 3,66 từ 01/9/2019
- HS 3,99 từ 01/9/2022
- HS 4,32 từ 01/9/2025</t>
        </r>
      </text>
    </comment>
    <comment ref="I173" authorId="2" shapeId="0" xr:uid="{3D0D1160-83A7-42AC-BE2D-0A6BF7588C2F}">
      <text>
        <r>
          <rPr>
            <b/>
            <sz val="9"/>
            <color indexed="81"/>
            <rFont val="Tahoma"/>
            <family val="2"/>
          </rPr>
          <t>User:</t>
        </r>
        <r>
          <rPr>
            <sz val="9"/>
            <color indexed="81"/>
            <rFont val="Tahoma"/>
            <family val="2"/>
          </rPr>
          <t xml:space="preserve">
Miễn nhiệm Trưởng BM từ 01/9/15
</t>
        </r>
      </text>
    </comment>
    <comment ref="F174" authorId="2" shapeId="0" xr:uid="{2C41988F-13DC-4CB8-8D45-951C656D296F}">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
- HS 4,32 từ 01/9/2025</t>
        </r>
      </text>
    </comment>
    <comment ref="I174" authorId="2" shapeId="0" xr:uid="{2A26EA9B-138B-4197-8E42-A73C47F11FAD}">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5" authorId="9" shapeId="0" xr:uid="{D644FF3C-348F-48F5-9D3C-986EFC6553C9}">
      <text>
        <r>
          <rPr>
            <sz val="9"/>
            <color indexed="81"/>
            <rFont val="Tahoma"/>
            <family val="2"/>
          </rPr>
          <t xml:space="preserve">- HS 3,33 từ 01/12/2017
- HS 3,66 từ 01/12/2020
- HS 3,99 từ 01/12/2023
</t>
        </r>
      </text>
    </comment>
    <comment ref="F176" authorId="2" shapeId="0" xr:uid="{07DD27DA-16BA-4B22-AFDB-AD351B06901E}">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6" authorId="2" shapeId="0" xr:uid="{7FD2B3AE-CF80-4ED4-99EF-59897D25F6AC}">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
- Thôi phụ trách khoa CNTT từ 01/9/2025</t>
        </r>
      </text>
    </comment>
    <comment ref="F177" authorId="2" shapeId="0" xr:uid="{6033F496-1ED9-4219-9805-ABC332B54112}">
      <text>
        <r>
          <rPr>
            <b/>
            <sz val="9"/>
            <color indexed="81"/>
            <rFont val="Tahoma"/>
            <family val="2"/>
          </rPr>
          <t>User:</t>
        </r>
        <r>
          <rPr>
            <sz val="9"/>
            <color indexed="81"/>
            <rFont val="Tahoma"/>
            <family val="2"/>
          </rPr>
          <t xml:space="preserve">
- HS 3,00 từ 01/9/2015
- HS 3,33 từ 01/9/2018
- HS 3,66 từ 01/9/2021
- HS 3,99 từ 01/9/2024</t>
        </r>
      </text>
    </comment>
    <comment ref="F178" authorId="2" shapeId="0" xr:uid="{DDCEB649-0A91-49C8-922C-D397E2CB90D3}">
      <text>
        <r>
          <rPr>
            <b/>
            <sz val="9"/>
            <color indexed="81"/>
            <rFont val="Tahoma"/>
            <family val="2"/>
          </rPr>
          <t>User:</t>
        </r>
        <r>
          <rPr>
            <sz val="9"/>
            <color indexed="81"/>
            <rFont val="Tahoma"/>
            <family val="2"/>
          </rPr>
          <t xml:space="preserve">
- HS 3,00 từ 01/9/2015
- HS 3,33 từ 01/9/2018
- HS 3,66 từ 01/9/2021
- HS 3,99 từ 01/9/2024</t>
        </r>
      </text>
    </comment>
    <comment ref="F179" authorId="2" shapeId="0" xr:uid="{3521617D-2ECD-4CC1-B6DC-FADD307E1E6F}">
      <text>
        <r>
          <rPr>
            <b/>
            <sz val="9"/>
            <color indexed="81"/>
            <rFont val="Tahoma"/>
            <family val="2"/>
          </rPr>
          <t>User:</t>
        </r>
        <r>
          <rPr>
            <sz val="9"/>
            <color indexed="81"/>
            <rFont val="Tahoma"/>
            <family val="2"/>
          </rPr>
          <t xml:space="preserve">
- HS 3,00 từ 01/10/2015
- HS 3,33 từ 01/10/2018
- HS 3,66 từ 01/10/2021
- HS 3,99 từ 01/10/2024</t>
        </r>
      </text>
    </comment>
    <comment ref="F180" authorId="0" shapeId="0" xr:uid="{708176E9-538D-4194-93B8-30BD71DF46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0" authorId="2" shapeId="0" xr:uid="{C9DCFA65-2F8F-4655-B180-9E105EAFE53C}">
      <text>
        <r>
          <rPr>
            <b/>
            <sz val="9"/>
            <color indexed="81"/>
            <rFont val="Tahoma"/>
            <family val="2"/>
          </rPr>
          <t>User:</t>
        </r>
        <r>
          <rPr>
            <sz val="9"/>
            <color indexed="81"/>
            <rFont val="Tahoma"/>
            <family val="2"/>
          </rPr>
          <t xml:space="preserve">
BN Trưởng BM MẠng Máy tính từ 01/9/2015
- Phó khoa CNTT từ T10/2022</t>
        </r>
      </text>
    </comment>
    <comment ref="F181" authorId="3" shapeId="0" xr:uid="{11226D76-3B83-45F4-B1FC-16259BDE2FB9}">
      <text>
        <r>
          <rPr>
            <b/>
            <sz val="9"/>
            <color indexed="81"/>
            <rFont val="Tahoma"/>
            <family val="2"/>
          </rPr>
          <t>Quynh:</t>
        </r>
        <r>
          <rPr>
            <sz val="9"/>
            <color indexed="81"/>
            <rFont val="Tahoma"/>
            <family val="2"/>
          </rPr>
          <t xml:space="preserve">
- HS 3,00 từ 01/5/2018
- HS 3,33 từ 01/5/2021
- HS 3,66 từ 01/5/2024</t>
        </r>
      </text>
    </comment>
    <comment ref="F182" authorId="0" shapeId="0" xr:uid="{3959494E-8A2D-4457-8F91-61D27377805C}">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82" authorId="8" shapeId="0" xr:uid="{5633D992-6CA5-47C9-830A-916B56C95C16}">
      <text>
        <r>
          <rPr>
            <b/>
            <sz val="9"/>
            <color indexed="81"/>
            <rFont val="Tahoma"/>
            <family val="2"/>
          </rPr>
          <t>huynh-panda:</t>
        </r>
        <r>
          <rPr>
            <sz val="9"/>
            <color indexed="81"/>
            <rFont val="Tahoma"/>
            <family val="2"/>
          </rPr>
          <t xml:space="preserve">
Phụ trách BM Khoa học máy tính từ 06/7/2022</t>
        </r>
      </text>
    </comment>
    <comment ref="F183" authorId="0" shapeId="0" xr:uid="{04B36662-F91B-4015-80B1-204C0B280F39}">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4" authorId="0" shapeId="0" xr:uid="{99AA8FB7-FD98-4518-92B1-CE28A8BE743C}">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84" authorId="2" shapeId="0" xr:uid="{3364F37A-0C4A-49D2-86F6-31BC9F6ABD7B}">
      <text>
        <r>
          <rPr>
            <b/>
            <sz val="9"/>
            <color indexed="81"/>
            <rFont val="Tahoma"/>
            <family val="2"/>
          </rPr>
          <t>User:</t>
        </r>
        <r>
          <rPr>
            <sz val="9"/>
            <color indexed="81"/>
            <rFont val="Tahoma"/>
            <family val="2"/>
          </rPr>
          <t xml:space="preserve">
+ HS 0,45 được bảo lưu đến hết 31/12/2015</t>
        </r>
      </text>
    </comment>
    <comment ref="F185" authorId="0" shapeId="0" xr:uid="{3BF90C05-2F0B-4FD2-B0A3-86D06D8FD619}">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6" authorId="0" shapeId="0" xr:uid="{2C75C916-F181-484C-B8E3-E086294580F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6" authorId="8" shapeId="0" xr:uid="{81DFD93B-E2FE-4844-BB00-E9B9D364CD77}">
      <text>
        <r>
          <rPr>
            <b/>
            <sz val="9"/>
            <color indexed="81"/>
            <rFont val="Tahoma"/>
            <family val="2"/>
          </rPr>
          <t>huynh-panda:</t>
        </r>
        <r>
          <rPr>
            <sz val="9"/>
            <color indexed="81"/>
            <rFont val="Tahoma"/>
            <family val="2"/>
          </rPr>
          <t xml:space="preserve">
- Phụ trách BM Công nghệ phần mềm từ 05/7/2022</t>
        </r>
      </text>
    </comment>
    <comment ref="F187" authorId="0" shapeId="0" xr:uid="{198D1220-467E-45C4-9C0A-83304592DFFE}">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89" authorId="5" shapeId="0" xr:uid="{2B83EB59-F0D5-4800-8CEB-06CCD823719F}">
      <text>
        <r>
          <rPr>
            <b/>
            <sz val="9"/>
            <color indexed="81"/>
            <rFont val="Tahoma"/>
            <family val="2"/>
          </rPr>
          <t>Windows User:</t>
        </r>
        <r>
          <rPr>
            <sz val="9"/>
            <color indexed="81"/>
            <rFont val="Tahoma"/>
            <family val="2"/>
          </rPr>
          <t xml:space="preserve">
- HS 2,34 từ 01/9/2024</t>
        </r>
      </text>
    </comment>
    <comment ref="F190" authorId="0" shapeId="0" xr:uid="{9567B533-70F2-4D09-A73F-ABE1B1AEBB97}">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0" authorId="2" shapeId="0" xr:uid="{918F2AFF-17AC-4D3E-B06D-FBA9DC11060B}">
      <text>
        <r>
          <rPr>
            <b/>
            <sz val="9"/>
            <color indexed="81"/>
            <rFont val="Tahoma"/>
            <family val="2"/>
          </rPr>
          <t>User:</t>
        </r>
        <r>
          <rPr>
            <sz val="9"/>
            <color indexed="81"/>
            <rFont val="Tahoma"/>
            <family val="2"/>
          </rPr>
          <t xml:space="preserve">
- QĐ Bổ nhiệm trưởng khoa từ 01/2/2016</t>
        </r>
      </text>
    </comment>
    <comment ref="F191" authorId="0" shapeId="0" xr:uid="{7B94F6F7-C173-4BCB-A286-276AC6EFF2EB}">
      <text>
        <r>
          <rPr>
            <b/>
            <sz val="9"/>
            <color indexed="81"/>
            <rFont val="Tahoma"/>
            <family val="2"/>
          </rPr>
          <t>Admin:</t>
        </r>
        <r>
          <rPr>
            <sz val="9"/>
            <color indexed="81"/>
            <rFont val="Tahoma"/>
            <family val="2"/>
          </rPr>
          <t xml:space="preserve">
- HS 4,65 từ 01/12/2015
- HS 4,98 từ 01/12/2018</t>
        </r>
      </text>
    </comment>
    <comment ref="G191" authorId="1" shapeId="0" xr:uid="{9FB2B49E-8CBC-4133-9B4A-B929123D1CE5}">
      <text>
        <r>
          <rPr>
            <b/>
            <sz val="9"/>
            <color indexed="81"/>
            <rFont val="Tahoma"/>
            <family val="2"/>
          </rPr>
          <t>user:</t>
        </r>
        <r>
          <rPr>
            <sz val="9"/>
            <color indexed="81"/>
            <rFont val="Tahoma"/>
            <family val="2"/>
          </rPr>
          <t xml:space="preserve">
- VK 5% từ 01/12/2021
- VK 6% từ 01/12/2022
- VK 7% từ 01/12/2023
- VK 8% từ 01/12/2024</t>
        </r>
      </text>
    </comment>
    <comment ref="F192" authorId="0" shapeId="0" xr:uid="{2E7C44D2-BFC4-46E8-8453-A6247A66A5D8}">
      <text>
        <r>
          <rPr>
            <b/>
            <sz val="9"/>
            <color indexed="81"/>
            <rFont val="Tahoma"/>
            <family val="2"/>
          </rPr>
          <t>Admin:</t>
        </r>
        <r>
          <rPr>
            <sz val="9"/>
            <color indexed="81"/>
            <rFont val="Tahoma"/>
            <family val="2"/>
          </rPr>
          <t xml:space="preserve">
- HS 4,65 từ 01/9/2015
- HS 4,98 từ 01/9/2018</t>
        </r>
      </text>
    </comment>
    <comment ref="G192" authorId="1" shapeId="0" xr:uid="{A258CD01-3D92-4DEA-9847-C10ADD2E99AB}">
      <text>
        <r>
          <rPr>
            <b/>
            <sz val="9"/>
            <color indexed="81"/>
            <rFont val="Tahoma"/>
            <family val="2"/>
          </rPr>
          <t>user:</t>
        </r>
        <r>
          <rPr>
            <sz val="9"/>
            <color indexed="81"/>
            <rFont val="Tahoma"/>
            <family val="2"/>
          </rPr>
          <t xml:space="preserve">
- VK 5% từ 01/9/2021
- VK 6% từ 01/9/2022
- VK 7% từ 01/9/2023
- VK 8% từ 01/9/2024
- VK 9% từ 01/9/2025</t>
        </r>
      </text>
    </comment>
    <comment ref="F193" authorId="0" shapeId="0" xr:uid="{ACC7F212-870F-4DF3-BEBF-1DA1C075AAF1}">
      <text>
        <r>
          <rPr>
            <b/>
            <sz val="9"/>
            <color indexed="81"/>
            <rFont val="Tahoma"/>
            <family val="2"/>
          </rPr>
          <t>Admin:</t>
        </r>
        <r>
          <rPr>
            <sz val="9"/>
            <color indexed="81"/>
            <rFont val="Tahoma"/>
            <family val="2"/>
          </rPr>
          <t xml:space="preserve">
- HS 3,66 từ 01/9/2016 (NL trước hạn năm 2017)
- HS 3,99 từ 01/9/2019
- HS 4,32 từ 01/9/2022
- HS 4,65 từ 01/9/2025</t>
        </r>
      </text>
    </comment>
    <comment ref="G194" authorId="2" shapeId="0" xr:uid="{9C8AB1B6-440B-4616-A770-0992E923976A}">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195" authorId="0" shapeId="0" xr:uid="{29652A2A-D657-4088-BC3E-10805CB756D8}">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5" authorId="0" shapeId="0" xr:uid="{3BCC5AD0-A905-4971-8E80-A53B30C9595D}">
      <text>
        <r>
          <rPr>
            <b/>
            <sz val="9"/>
            <color indexed="81"/>
            <rFont val="Tahoma"/>
            <family val="2"/>
          </rPr>
          <t>Admin:</t>
        </r>
        <r>
          <rPr>
            <sz val="9"/>
            <color indexed="81"/>
            <rFont val="Tahoma"/>
            <family val="2"/>
          </rPr>
          <t xml:space="preserve">
QĐ BN Trưởng BM từ 15/5/2016
</t>
        </r>
      </text>
    </comment>
    <comment ref="F196" authorId="0" shapeId="0" xr:uid="{ABEE99BC-A896-47A8-A0A4-66DE7FBF934B}">
      <text>
        <r>
          <rPr>
            <b/>
            <sz val="9"/>
            <color indexed="81"/>
            <rFont val="Tahoma"/>
            <family val="2"/>
          </rPr>
          <t>Admin:</t>
        </r>
        <r>
          <rPr>
            <sz val="9"/>
            <color indexed="81"/>
            <rFont val="Tahoma"/>
            <family val="2"/>
          </rPr>
          <t xml:space="preserve">
- HS 4,65 từ 01/9/2016 (NL Trước hạn năm 2017)
- HS 4,98 từ 01/9/2019</t>
        </r>
      </text>
    </comment>
    <comment ref="G196" authorId="8" shapeId="0" xr:uid="{DD1FF9EF-8FED-4E79-9C1C-8B37473BF85C}">
      <text>
        <r>
          <rPr>
            <b/>
            <sz val="9"/>
            <color indexed="81"/>
            <rFont val="Tahoma"/>
            <family val="2"/>
          </rPr>
          <t>huynh-panda:</t>
        </r>
        <r>
          <rPr>
            <sz val="9"/>
            <color indexed="81"/>
            <rFont val="Tahoma"/>
            <family val="2"/>
          </rPr>
          <t xml:space="preserve">
- VK 5% từ 01/9/2022
- VK 6% từ 01/9/2023
- VK 7% từ 01/9/2024
- VK 8% từ 01/9/2025</t>
        </r>
      </text>
    </comment>
    <comment ref="I196" authorId="0" shapeId="0" xr:uid="{C0A8947E-10A6-42F2-B243-D1454BE272B4}">
      <text>
        <r>
          <rPr>
            <sz val="9"/>
            <color indexed="81"/>
            <rFont val="Tahoma"/>
            <family val="2"/>
          </rPr>
          <t>QĐ phụ trách từ 01/12/2017</t>
        </r>
      </text>
    </comment>
    <comment ref="F197" authorId="0" shapeId="0" xr:uid="{909B6330-F967-4C42-A833-735385C1D69F}">
      <text>
        <r>
          <rPr>
            <b/>
            <sz val="9"/>
            <color indexed="81"/>
            <rFont val="Tahoma"/>
            <family val="2"/>
          </rPr>
          <t>Admin:</t>
        </r>
        <r>
          <rPr>
            <sz val="9"/>
            <color indexed="81"/>
            <rFont val="Tahoma"/>
            <family val="2"/>
          </rPr>
          <t xml:space="preserve">
- HS 3,33 từ 01/9/2017
- HS 3,66 từ 01/9/2020
- HS 3,99 từ 01/9/2023</t>
        </r>
      </text>
    </comment>
    <comment ref="F198" authorId="0" shapeId="0" xr:uid="{2F8214EC-F997-443C-96DE-7608A9F21906}">
      <text>
        <r>
          <rPr>
            <b/>
            <sz val="9"/>
            <color indexed="81"/>
            <rFont val="Tahoma"/>
            <family val="2"/>
          </rPr>
          <t>Admin:</t>
        </r>
        <r>
          <rPr>
            <sz val="9"/>
            <color indexed="81"/>
            <rFont val="Tahoma"/>
            <family val="2"/>
          </rPr>
          <t xml:space="preserve">
- HS 4,65 từ 01/9/2017
- HS 4,98 từ 01/9/2020</t>
        </r>
      </text>
    </comment>
    <comment ref="G198" authorId="5" shapeId="0" xr:uid="{10564B9A-5355-4340-96ED-1B935787C865}">
      <text>
        <r>
          <rPr>
            <b/>
            <sz val="9"/>
            <color indexed="81"/>
            <rFont val="Tahoma"/>
            <family val="2"/>
          </rPr>
          <t>Windows User:</t>
        </r>
        <r>
          <rPr>
            <sz val="9"/>
            <color indexed="81"/>
            <rFont val="Tahoma"/>
            <family val="2"/>
          </rPr>
          <t xml:space="preserve">
- VK 5% từ 01/9/2023
- VK 6% từ 01/9/2024
- VK 7% từ 01/9/2025</t>
        </r>
      </text>
    </comment>
    <comment ref="F199" authorId="2" shapeId="0" xr:uid="{8F220B46-DC3E-4A39-AD41-8D1D23EB12FB}">
      <text>
        <r>
          <rPr>
            <b/>
            <sz val="9"/>
            <color indexed="81"/>
            <rFont val="Tahoma"/>
            <family val="2"/>
          </rPr>
          <t>User:</t>
        </r>
        <r>
          <rPr>
            <sz val="9"/>
            <color indexed="81"/>
            <rFont val="Tahoma"/>
            <family val="2"/>
          </rPr>
          <t xml:space="preserve">
- HS 3,00 từ 01/9/2015
- HS 3,33 từ 01/9/2018
- HS 3,66 từ 01/9/2021
- HS 3,99 từ 01/9/2024</t>
        </r>
      </text>
    </comment>
    <comment ref="I199" authorId="6" shapeId="0" xr:uid="{00668C9B-3D34-4B99-912E-CB23814B56FA}">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0" authorId="2" shapeId="0" xr:uid="{E621C366-568F-448C-8B47-4ACA255F5EDF}">
      <text>
        <r>
          <rPr>
            <b/>
            <sz val="9"/>
            <color indexed="81"/>
            <rFont val="Tahoma"/>
            <family val="2"/>
          </rPr>
          <t>User:</t>
        </r>
        <r>
          <rPr>
            <sz val="9"/>
            <color indexed="81"/>
            <rFont val="Tahoma"/>
            <family val="2"/>
          </rPr>
          <t xml:space="preserve">
- HS 3,00 từ 01/9/2015
- HS 3,33 từ 01/9/2018
- HS 3,66 từ 01/9/2021
- HS 3,99 từ 01/9/2024</t>
        </r>
      </text>
    </comment>
    <comment ref="F201" authorId="0" shapeId="0" xr:uid="{0EF3A0C9-A2EF-44F8-A9D7-EDDE8F1700E8}">
      <text>
        <r>
          <rPr>
            <b/>
            <sz val="9"/>
            <color indexed="81"/>
            <rFont val="Tahoma"/>
            <family val="2"/>
          </rPr>
          <t>Admin:</t>
        </r>
        <r>
          <rPr>
            <sz val="9"/>
            <color indexed="81"/>
            <rFont val="Tahoma"/>
            <family val="2"/>
          </rPr>
          <t xml:space="preserve">
- HS 3,00 từ 01/9/2016
- HS 3,33 từ 01/9/2019
- HS 3,66 từ 01/9/2022
- HS 3,99 từ 01/9/2025</t>
        </r>
      </text>
    </comment>
    <comment ref="F202" authorId="0" shapeId="0" xr:uid="{E6235735-BAA5-400C-A291-380F8DE97884}">
      <text>
        <r>
          <rPr>
            <b/>
            <sz val="9"/>
            <color indexed="81"/>
            <rFont val="Tahoma"/>
            <family val="2"/>
          </rPr>
          <t>Admin:</t>
        </r>
        <r>
          <rPr>
            <sz val="9"/>
            <color indexed="81"/>
            <rFont val="Tahoma"/>
            <family val="2"/>
          </rPr>
          <t xml:space="preserve">
- HS 3,00 từ 01/9/2016
- HS 3,33 từ 01/9/2019
- HS 3,66 từ 01/9/2022
- HS 3,99 từ 01/9/2025</t>
        </r>
      </text>
    </comment>
    <comment ref="F203" authorId="0" shapeId="0" xr:uid="{EA5198EE-CB72-4935-945C-BA68FCEDFF56}">
      <text>
        <r>
          <rPr>
            <b/>
            <sz val="9"/>
            <color indexed="81"/>
            <rFont val="Tahoma"/>
            <family val="2"/>
          </rPr>
          <t>Admin:</t>
        </r>
        <r>
          <rPr>
            <sz val="9"/>
            <color indexed="81"/>
            <rFont val="Tahoma"/>
            <family val="2"/>
          </rPr>
          <t xml:space="preserve">
- HS 3,00 từ 01/9/2016
- HS 3,33 từ 01/9/2019
- HS 3,66 từ 01/9/2022
- HS 3,99 từ 01/9/2025</t>
        </r>
      </text>
    </comment>
    <comment ref="F204" authorId="0" shapeId="0" xr:uid="{9ACDDC54-D5D6-4D41-A18E-F0DE87D84B45}">
      <text>
        <r>
          <rPr>
            <b/>
            <sz val="9"/>
            <color indexed="81"/>
            <rFont val="Tahoma"/>
            <family val="2"/>
          </rPr>
          <t>Admin:</t>
        </r>
        <r>
          <rPr>
            <sz val="9"/>
            <color indexed="81"/>
            <rFont val="Tahoma"/>
            <family val="2"/>
          </rPr>
          <t xml:space="preserve">
- HS 3,00 từ 01/9/2017
- HS 3,33 từ 01/9/2020
- HS 3,66 từ 01/9/2023</t>
        </r>
      </text>
    </comment>
    <comment ref="I204" authorId="2" shapeId="0" xr:uid="{B6866FE1-0F06-4387-BCB0-82CB45E9D413}">
      <text>
        <r>
          <rPr>
            <b/>
            <sz val="9"/>
            <color indexed="81"/>
            <rFont val="Tahoma"/>
            <family val="2"/>
          </rPr>
          <t>User:</t>
        </r>
        <r>
          <rPr>
            <sz val="9"/>
            <color indexed="81"/>
            <rFont val="Tahoma"/>
            <family val="2"/>
          </rPr>
          <t xml:space="preserve">
BN Trưởng BM Cơ sở Cơ khí từ 01/09/2015</t>
        </r>
      </text>
    </comment>
    <comment ref="F205" authorId="0" shapeId="0" xr:uid="{9D1B7126-E83E-4D5F-99A9-6B24C8A6F029}">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05" authorId="2" shapeId="0" xr:uid="{6E792FBF-C503-41C6-B31C-D87535E4ACB7}">
      <text>
        <r>
          <rPr>
            <b/>
            <sz val="9"/>
            <color indexed="81"/>
            <rFont val="Tahoma"/>
            <family val="2"/>
          </rPr>
          <t>User:</t>
        </r>
        <r>
          <rPr>
            <sz val="9"/>
            <color indexed="81"/>
            <rFont val="Tahoma"/>
            <family val="2"/>
          </rPr>
          <t xml:space="preserve">
BN Trưởng BM Cơ điện - Cơ điện tử từ 01/09/2015
Đổi tên thành Cad/Cam-CNC từ 3/8/2020
- Ngưng PCCV Trưởng BM từ 01/9/2025 (Hết nhiệm kỳ)</t>
        </r>
      </text>
    </comment>
    <comment ref="F206" authorId="0" shapeId="0" xr:uid="{B096715D-B657-44CC-A895-60E4C182DDB2}">
      <text>
        <r>
          <rPr>
            <b/>
            <sz val="9"/>
            <color indexed="81"/>
            <rFont val="Tahoma"/>
            <family val="2"/>
          </rPr>
          <t>Admin:</t>
        </r>
        <r>
          <rPr>
            <sz val="9"/>
            <color indexed="81"/>
            <rFont val="Tahoma"/>
            <family val="2"/>
          </rPr>
          <t xml:space="preserve">
- HS 3,00 từ 01/10/2016
- HS 3,33 từ 01/10/2019
- HS 3,66 từ 01/10/2022</t>
        </r>
      </text>
    </comment>
    <comment ref="F207" authorId="0" shapeId="0" xr:uid="{64A7C2BF-A426-4491-96DA-BA9D98B3E003}">
      <text>
        <r>
          <rPr>
            <b/>
            <sz val="9"/>
            <color indexed="81"/>
            <rFont val="Tahoma"/>
            <family val="2"/>
          </rPr>
          <t>Admin:</t>
        </r>
        <r>
          <rPr>
            <sz val="9"/>
            <color indexed="81"/>
            <rFont val="Tahoma"/>
            <family val="2"/>
          </rPr>
          <t xml:space="preserve">
- HS 2,67 từ 01/10/2016
- HS 3,00 từ 01/10/2019
- HS 3,33 từ 01/10/2022</t>
        </r>
      </text>
    </comment>
    <comment ref="F208" authorId="2" shapeId="0" xr:uid="{530A03F6-AB9D-4E91-8DA3-58D0D2CA64CA}">
      <text>
        <r>
          <rPr>
            <b/>
            <sz val="9"/>
            <color indexed="81"/>
            <rFont val="Tahoma"/>
            <family val="2"/>
          </rPr>
          <t>User:</t>
        </r>
        <r>
          <rPr>
            <sz val="9"/>
            <color indexed="81"/>
            <rFont val="Tahoma"/>
            <family val="2"/>
          </rPr>
          <t xml:space="preserve">
- HS 4,65 từ 01/9/2015
- HS 4,98 từ 01/9/2018</t>
        </r>
      </text>
    </comment>
    <comment ref="G208" authorId="1" shapeId="0" xr:uid="{01FA0836-86BE-4A1F-A474-618DCAA3372B}">
      <text>
        <r>
          <rPr>
            <b/>
            <sz val="9"/>
            <color indexed="81"/>
            <rFont val="Tahoma"/>
            <family val="2"/>
          </rPr>
          <t>user:</t>
        </r>
        <r>
          <rPr>
            <sz val="9"/>
            <color indexed="81"/>
            <rFont val="Tahoma"/>
            <family val="2"/>
          </rPr>
          <t xml:space="preserve">
- VK 5% từ 01/9/2021
- VK 6% từ 01/9/2022
- VK 7% từ 01/9/2023
- VK 8% từ 01/9/2024
- VK 9% từ 01/9/2025</t>
        </r>
      </text>
    </comment>
    <comment ref="F209" authorId="2" shapeId="0" xr:uid="{CC13EF9A-BB8C-4DFB-AE69-4C9F2C9607C5}">
      <text>
        <r>
          <rPr>
            <b/>
            <sz val="9"/>
            <color indexed="81"/>
            <rFont val="Tahoma"/>
            <family val="2"/>
          </rPr>
          <t>User:</t>
        </r>
        <r>
          <rPr>
            <sz val="9"/>
            <color indexed="81"/>
            <rFont val="Tahoma"/>
            <family val="2"/>
          </rPr>
          <t xml:space="preserve">
QĐ Tuyển dụng T9/2015
- HS 2,67 từ 01/09/2016
- HS 3,00 từ 01/9/2019
- HS 3,33 từ 01/9/2022
- HS 3,66 từ 01/9/2025</t>
        </r>
      </text>
    </comment>
    <comment ref="F210" authorId="1" shapeId="0" xr:uid="{61D4123C-C801-454B-B324-CF8A9CB2371D}">
      <text>
        <r>
          <rPr>
            <b/>
            <sz val="9"/>
            <color indexed="81"/>
            <rFont val="Tahoma"/>
            <family val="2"/>
          </rPr>
          <t>user:</t>
        </r>
        <r>
          <rPr>
            <sz val="9"/>
            <color indexed="81"/>
            <rFont val="Tahoma"/>
            <family val="2"/>
          </rPr>
          <t xml:space="preserve">
- BN CDNN từ 01/4/2019 (HS 2.67)
- HS 3,00 từ 01/4/2022
- HS 3,33 từ 01/4/2025</t>
        </r>
      </text>
    </comment>
    <comment ref="F211" authorId="1" shapeId="0" xr:uid="{0DDDB135-540F-42DB-8C99-21E945AA0290}">
      <text>
        <r>
          <rPr>
            <b/>
            <sz val="9"/>
            <color indexed="81"/>
            <rFont val="Tahoma"/>
            <family val="2"/>
          </rPr>
          <t>user:</t>
        </r>
        <r>
          <rPr>
            <sz val="9"/>
            <color indexed="81"/>
            <rFont val="Tahoma"/>
            <family val="2"/>
          </rPr>
          <t xml:space="preserve">
- HS 2,67 từ 01/10/2019
- HS 3,00 từ 01/10/2022</t>
        </r>
      </text>
    </comment>
    <comment ref="G212" authorId="0" shapeId="0" xr:uid="{0CFD5C09-0CF2-4311-9910-276AB0A10D63}">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
- VK 13% từ 01/5/2025</t>
        </r>
      </text>
    </comment>
    <comment ref="F213" authorId="3" shapeId="0" xr:uid="{D5CC034B-D611-4E88-AEDF-09196B45A540}">
      <text>
        <r>
          <rPr>
            <b/>
            <sz val="9"/>
            <color indexed="81"/>
            <rFont val="Tahoma"/>
            <family val="2"/>
          </rPr>
          <t>Quynh:</t>
        </r>
        <r>
          <rPr>
            <sz val="9"/>
            <color indexed="81"/>
            <rFont val="Tahoma"/>
            <family val="2"/>
          </rPr>
          <t xml:space="preserve">
- Tuyển dụng từ 01/4/2019
- HS 2,34 từ 01/04/2020
- HS 2,67 từ 01/4/2022
- HS 3,00 từ 01/4/2025</t>
        </r>
      </text>
    </comment>
    <comment ref="F214" authorId="1" shapeId="0" xr:uid="{8983FED2-8E39-4616-91D2-8EE7BBB5F421}">
      <text>
        <r>
          <rPr>
            <b/>
            <sz val="9"/>
            <color indexed="81"/>
            <rFont val="Tahoma"/>
            <family val="2"/>
          </rPr>
          <t>user:</t>
        </r>
        <r>
          <rPr>
            <sz val="9"/>
            <color indexed="81"/>
            <rFont val="Tahoma"/>
            <family val="2"/>
          </rPr>
          <t xml:space="preserve">
- HS 1,989 từ 01/4/2021 (Tuyển dụng T4/2021)
- HS 2,67 từ 01/4/2021
- HS 3,00 từ 01/3/2022 (NL trước hạn)
- HS 3,33 từ 01/3/2025</t>
        </r>
      </text>
    </comment>
    <comment ref="F215" authorId="1" shapeId="0" xr:uid="{915AE113-235E-4880-98BC-946A15C73B88}">
      <text>
        <r>
          <rPr>
            <b/>
            <sz val="9"/>
            <color indexed="81"/>
            <rFont val="Tahoma"/>
            <family val="2"/>
          </rPr>
          <t>user:</t>
        </r>
        <r>
          <rPr>
            <sz val="9"/>
            <color indexed="81"/>
            <rFont val="Tahoma"/>
            <family val="2"/>
          </rPr>
          <t xml:space="preserve">
- Thuyên chuyển từ Nguyễn Hữu Cảnh về trường ngày 15/6/2021
- HS 4,32 từ 01/04/2022
- HS 4,65 từ 01/4/2025</t>
        </r>
      </text>
    </comment>
    <comment ref="F216" authorId="5" shapeId="0" xr:uid="{57153209-050C-4DC4-9826-C4A9843630B6}">
      <text>
        <r>
          <rPr>
            <b/>
            <sz val="9"/>
            <color indexed="81"/>
            <rFont val="Tahoma"/>
            <family val="2"/>
          </rPr>
          <t>Windows User:</t>
        </r>
        <r>
          <rPr>
            <sz val="9"/>
            <color indexed="81"/>
            <rFont val="Tahoma"/>
            <family val="2"/>
          </rPr>
          <t xml:space="preserve">
- Tuyển dụng từ T10/2022
- HS 2,67 từ 01/10/2022
- HS 3,00 từ 01/01/2025</t>
        </r>
      </text>
    </comment>
    <comment ref="F217" authorId="0" shapeId="0" xr:uid="{2A51F9CF-E84D-4AFE-B001-744A8A1A7D2E}">
      <text>
        <r>
          <rPr>
            <b/>
            <sz val="9"/>
            <color indexed="81"/>
            <rFont val="Tahoma"/>
            <family val="2"/>
          </rPr>
          <t>Admin:</t>
        </r>
        <r>
          <rPr>
            <sz val="9"/>
            <color indexed="81"/>
            <rFont val="Tahoma"/>
            <family val="2"/>
          </rPr>
          <t xml:space="preserve">
- HS 4.65 từ 01/01/2016
- HS 4,98 từ 01/01/2019</t>
        </r>
      </text>
    </comment>
    <comment ref="G217" authorId="1" shapeId="0" xr:uid="{CCD9CD51-6430-4B78-9C68-DF7A734CC6AF}">
      <text>
        <r>
          <rPr>
            <b/>
            <sz val="9"/>
            <color indexed="81"/>
            <rFont val="Tahoma"/>
            <family val="2"/>
          </rPr>
          <t>user:</t>
        </r>
        <r>
          <rPr>
            <sz val="9"/>
            <color indexed="81"/>
            <rFont val="Tahoma"/>
            <family val="2"/>
          </rPr>
          <t xml:space="preserve">
- VK 5% từ 01/01/2022
- VK 6% từ 01/01/2023
- VK 7% từ 01/01/2024
- VK 8% từ 01/01/2025</t>
        </r>
      </text>
    </comment>
    <comment ref="I217" authorId="3" shapeId="0" xr:uid="{B81FEDDD-34E7-422E-940D-32A08623BF78}">
      <text>
        <r>
          <rPr>
            <b/>
            <sz val="9"/>
            <color indexed="81"/>
            <rFont val="Tahoma"/>
            <family val="2"/>
          </rPr>
          <t>Quynh:</t>
        </r>
        <r>
          <rPr>
            <sz val="9"/>
            <color indexed="81"/>
            <rFont val="Tahoma"/>
            <family val="2"/>
          </rPr>
          <t xml:space="preserve">
- BN Phó Trưởng phòng từ 01/01/2019</t>
        </r>
      </text>
    </comment>
    <comment ref="F218" authorId="2" shapeId="0" xr:uid="{9FDEDD60-CA21-4D4E-9E87-5A32C7B268C0}">
      <text>
        <r>
          <rPr>
            <b/>
            <sz val="9"/>
            <color indexed="81"/>
            <rFont val="Tahoma"/>
            <family val="2"/>
          </rPr>
          <t>User:</t>
        </r>
        <r>
          <rPr>
            <sz val="9"/>
            <color indexed="81"/>
            <rFont val="Tahoma"/>
            <family val="2"/>
          </rPr>
          <t xml:space="preserve">
- HS 3,66 từ 01/9/2014
- HS 3,99 từ 01/9/2017
- HS 4,32 từ 01/9/2019
- HS 4,65 từ 01/9/2022
- HS 4,98 từ 01/9/2024 (NL trước hạn)</t>
        </r>
      </text>
    </comment>
    <comment ref="I218" authorId="6" shapeId="0" xr:uid="{EFE21D40-D776-4003-AD38-57D1E30705F5}">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19" authorId="2" shapeId="0" xr:uid="{FC751551-C3F2-4757-B88C-0D610F68CA31}">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19" authorId="4" shapeId="0" xr:uid="{47461D06-AA33-4B0D-8049-64FF322A4E5F}">
      <text>
        <r>
          <rPr>
            <b/>
            <sz val="8"/>
            <color indexed="81"/>
            <rFont val="Tahoma"/>
            <family val="2"/>
          </rPr>
          <t>HS 0,35 từ 05/7/2015</t>
        </r>
        <r>
          <rPr>
            <sz val="8"/>
            <color indexed="81"/>
            <rFont val="Tahoma"/>
            <family val="2"/>
          </rPr>
          <t xml:space="preserve">
</t>
        </r>
      </text>
    </comment>
    <comment ref="F220" authorId="0" shapeId="0" xr:uid="{172090BF-5429-4A73-B977-8FB50A552695}">
      <text>
        <r>
          <rPr>
            <b/>
            <sz val="9"/>
            <color indexed="81"/>
            <rFont val="Tahoma"/>
            <family val="2"/>
          </rPr>
          <t>Admin:</t>
        </r>
        <r>
          <rPr>
            <sz val="9"/>
            <color indexed="81"/>
            <rFont val="Tahoma"/>
            <family val="2"/>
          </rPr>
          <t xml:space="preserve">
- 4,65 từ 01/9/2016
- 4,98 từ 01/9/2019</t>
        </r>
      </text>
    </comment>
    <comment ref="G220" authorId="8" shapeId="0" xr:uid="{E495E99C-43B5-4E06-BD7D-839FE4A523FD}">
      <text>
        <r>
          <rPr>
            <b/>
            <sz val="9"/>
            <color indexed="81"/>
            <rFont val="Tahoma"/>
            <family val="2"/>
          </rPr>
          <t>huynh-panda:</t>
        </r>
        <r>
          <rPr>
            <sz val="9"/>
            <color indexed="81"/>
            <rFont val="Tahoma"/>
            <family val="2"/>
          </rPr>
          <t xml:space="preserve">
- VK 5% từ 01/9/2022
- VK 6% từ 01/9/2023
- VK 7% từ 01/9/2024
- VK 8% từ 01/9/2025</t>
        </r>
      </text>
    </comment>
    <comment ref="F221" authorId="0" shapeId="0" xr:uid="{BE6B4C6A-FBC6-4785-880E-0D2F22987BF9}">
      <text>
        <r>
          <rPr>
            <b/>
            <sz val="9"/>
            <color indexed="81"/>
            <rFont val="Tahoma"/>
            <family val="2"/>
          </rPr>
          <t>Admin:</t>
        </r>
        <r>
          <rPr>
            <sz val="9"/>
            <color indexed="81"/>
            <rFont val="Tahoma"/>
            <family val="2"/>
          </rPr>
          <t xml:space="preserve">
- HS 4,65 từ 01/10/2016 (NL Trước hạn 2017)
- HS 4,98 từ 01/10/2019</t>
        </r>
      </text>
    </comment>
    <comment ref="G221" authorId="5" shapeId="0" xr:uid="{E4188AE3-78C5-4AF7-9BC4-241105D42983}">
      <text>
        <r>
          <rPr>
            <b/>
            <sz val="9"/>
            <color indexed="81"/>
            <rFont val="Tahoma"/>
            <family val="2"/>
          </rPr>
          <t>Windows User:</t>
        </r>
        <r>
          <rPr>
            <sz val="9"/>
            <color indexed="81"/>
            <rFont val="Tahoma"/>
            <family val="2"/>
          </rPr>
          <t xml:space="preserve">
- VK 5% từ 01/10/2022
- VK 6% từ 01/10/2023
- VK 7% từ 01/10/2024</t>
        </r>
      </text>
    </comment>
    <comment ref="F222" authorId="0" shapeId="0" xr:uid="{EB5FF58F-A646-4F64-A775-95FF210C222D}">
      <text>
        <r>
          <rPr>
            <b/>
            <sz val="9"/>
            <color indexed="81"/>
            <rFont val="Tahoma"/>
            <family val="2"/>
          </rPr>
          <t>Admin:</t>
        </r>
        <r>
          <rPr>
            <sz val="9"/>
            <color indexed="81"/>
            <rFont val="Tahoma"/>
            <family val="2"/>
          </rPr>
          <t xml:space="preserve">
- HS 3,99 từ 01/9/2015
- HS 4,32 từ 01/9/2018
- HS 4,65 từ 01/9/2021
- HS 4,98 từ 01/9/2024</t>
        </r>
      </text>
    </comment>
    <comment ref="I222" authorId="2" shapeId="0" xr:uid="{01E8CE1A-A79B-46CC-BCB8-D922999DCEAE}">
      <text>
        <r>
          <rPr>
            <b/>
            <sz val="9"/>
            <color indexed="81"/>
            <rFont val="Tahoma"/>
            <family val="2"/>
          </rPr>
          <t>User:</t>
        </r>
        <r>
          <rPr>
            <sz val="9"/>
            <color indexed="81"/>
            <rFont val="Tahoma"/>
            <family val="2"/>
          </rPr>
          <t xml:space="preserve">
Mieễn nhiệm Trưởng BM từ 01/9/2015. Bảo lưu HHS hết T02/2016</t>
        </r>
      </text>
    </comment>
    <comment ref="F223" authorId="0" shapeId="0" xr:uid="{E39040AD-9E24-4E3D-89E9-781A44660C6C}">
      <text>
        <r>
          <rPr>
            <b/>
            <sz val="9"/>
            <color indexed="81"/>
            <rFont val="Tahoma"/>
            <family val="2"/>
          </rPr>
          <t>Admin:</t>
        </r>
        <r>
          <rPr>
            <sz val="9"/>
            <color indexed="81"/>
            <rFont val="Tahoma"/>
            <family val="2"/>
          </rPr>
          <t xml:space="preserve">
- HS 3,66 từ 01/9/2016
- HS 3,99 từ 01/9/2019
- HS 4,32 từ 01/9/2022
- HS 4,65 từ 01/9/2025</t>
        </r>
      </text>
    </comment>
    <comment ref="F224" authorId="2" shapeId="0" xr:uid="{74C0DF4C-446B-4269-8A53-382A9D5CA2B7}">
      <text>
        <r>
          <rPr>
            <b/>
            <sz val="9"/>
            <color indexed="81"/>
            <rFont val="Tahoma"/>
            <family val="2"/>
          </rPr>
          <t>User:</t>
        </r>
        <r>
          <rPr>
            <sz val="9"/>
            <color indexed="81"/>
            <rFont val="Tahoma"/>
            <family val="2"/>
          </rPr>
          <t xml:space="preserve">
- HS 3,66 từ 01/9/2015
- HS 3,99 từ 01/9/2018
- HS 4,32 từ 01/9/2021
- HS 4,65 từ 01/9/2024</t>
        </r>
      </text>
    </comment>
    <comment ref="F225" authorId="0" shapeId="0" xr:uid="{89C22AA5-74B2-43C6-840B-EFE47DF748D2}">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25" authorId="1" shapeId="0" xr:uid="{AF5DE74C-CCF0-4C07-BC9E-AB449618B486}">
      <text>
        <r>
          <rPr>
            <b/>
            <sz val="9"/>
            <color indexed="81"/>
            <rFont val="Tahoma"/>
            <family val="2"/>
          </rPr>
          <t>user:</t>
        </r>
        <r>
          <rPr>
            <sz val="9"/>
            <color indexed="81"/>
            <rFont val="Tahoma"/>
            <family val="2"/>
          </rPr>
          <t xml:space="preserve">
Trưởng BM Cơ điện tử và tự động hóa từ 01/01/2019</t>
        </r>
      </text>
    </comment>
    <comment ref="F226" authorId="0" shapeId="0" xr:uid="{0798644F-6E30-4EB2-91D6-7FC6388F99F5}">
      <text>
        <r>
          <rPr>
            <b/>
            <sz val="9"/>
            <color indexed="81"/>
            <rFont val="Tahoma"/>
            <family val="2"/>
          </rPr>
          <t>Admin:</t>
        </r>
        <r>
          <rPr>
            <sz val="9"/>
            <color indexed="81"/>
            <rFont val="Tahoma"/>
            <family val="2"/>
          </rPr>
          <t xml:space="preserve">
- HS 3,66 từ 01/9/2016
- HS 3,99 từ 01/9/2019
- HS 4,32 từ 01/9/2022
- HS 4,65 từ 01/9/2025</t>
        </r>
      </text>
    </comment>
    <comment ref="F227" authorId="0" shapeId="0" xr:uid="{BD5CA435-8FD7-45E6-A766-779073656E62}">
      <text>
        <r>
          <rPr>
            <b/>
            <sz val="9"/>
            <color indexed="81"/>
            <rFont val="Tahoma"/>
            <family val="2"/>
          </rPr>
          <t>Admin:</t>
        </r>
        <r>
          <rPr>
            <sz val="9"/>
            <color indexed="81"/>
            <rFont val="Tahoma"/>
            <family val="2"/>
          </rPr>
          <t xml:space="preserve">
- HS 3,99 từ 01/9/2016
- HS 4,32 từ 01/9/2019
- HS 4,65 từ 01/9/2022
- HS 4,98 từ 01/9/2025</t>
        </r>
      </text>
    </comment>
    <comment ref="I227" authorId="2" shapeId="0" xr:uid="{097CE1A9-0323-4784-AF0B-A080EB24D940}">
      <text>
        <r>
          <rPr>
            <b/>
            <sz val="9"/>
            <color indexed="81"/>
            <rFont val="Tahoma"/>
            <family val="2"/>
          </rPr>
          <t>User:</t>
        </r>
        <r>
          <rPr>
            <sz val="9"/>
            <color indexed="81"/>
            <rFont val="Tahoma"/>
            <family val="2"/>
          </rPr>
          <t xml:space="preserve">
Miễn nhiệm Trưởng BM. Bảo lưu HS hết T02/2015</t>
        </r>
      </text>
    </comment>
    <comment ref="F228" authorId="0" shapeId="0" xr:uid="{4C1BC439-3454-4ED7-A739-75F73FAA55A0}">
      <text>
        <r>
          <rPr>
            <b/>
            <sz val="9"/>
            <color indexed="81"/>
            <rFont val="Tahoma"/>
            <family val="2"/>
          </rPr>
          <t>Admin:</t>
        </r>
        <r>
          <rPr>
            <sz val="9"/>
            <color indexed="81"/>
            <rFont val="Tahoma"/>
            <family val="2"/>
          </rPr>
          <t xml:space="preserve">
- HS 3,00 từ 01/9/2016
- HS 3,33 từ 01/9/2019
- HS 3,66 từ 01/9/2022
- HS 3,99 từ 01/9/2025</t>
        </r>
      </text>
    </comment>
    <comment ref="F229" authorId="2" shapeId="0" xr:uid="{5B222790-A703-403E-8D90-9B6F0BE8EC71}">
      <text>
        <r>
          <rPr>
            <b/>
            <sz val="9"/>
            <color indexed="81"/>
            <rFont val="Tahoma"/>
            <family val="2"/>
          </rPr>
          <t>User:</t>
        </r>
        <r>
          <rPr>
            <sz val="9"/>
            <color indexed="81"/>
            <rFont val="Tahoma"/>
            <family val="2"/>
          </rPr>
          <t xml:space="preserve">
- HS 3,33 từ 01/9/2015
- HS 3,66 từ 01/9/2018
- HS 3,99 từ 01/9/2021
- HS 4,32 từ 01/9/2024</t>
        </r>
      </text>
    </comment>
    <comment ref="F230" authorId="0" shapeId="0" xr:uid="{31CDE826-BC4A-48C4-A794-303D845BAF81}">
      <text>
        <r>
          <rPr>
            <b/>
            <sz val="9"/>
            <color indexed="81"/>
            <rFont val="Tahoma"/>
            <family val="2"/>
          </rPr>
          <t>Admin:</t>
        </r>
        <r>
          <rPr>
            <sz val="9"/>
            <color indexed="81"/>
            <rFont val="Tahoma"/>
            <family val="2"/>
          </rPr>
          <t xml:space="preserve">
- HS 3,00 từ 01/9/2017
- HS 3,33 từ 01/9/2020
- HS 3,66 từ 01/9/2023</t>
        </r>
      </text>
    </comment>
    <comment ref="F231" authorId="0" shapeId="0" xr:uid="{FDD38DBC-DB2D-4CF4-A9B2-466E22A9A436}">
      <text>
        <r>
          <rPr>
            <b/>
            <sz val="9"/>
            <color indexed="81"/>
            <rFont val="Tahoma"/>
            <family val="2"/>
          </rPr>
          <t>Admin:</t>
        </r>
        <r>
          <rPr>
            <sz val="9"/>
            <color indexed="81"/>
            <rFont val="Tahoma"/>
            <family val="2"/>
          </rPr>
          <t xml:space="preserve">
- HS 3,00 từ 01/9/2017
- HS 3,33 từ 01/9/2019
- HS 3,66 từ 01/9/2022
- HS 3,99 từ 01/9/2024 (NL trước hạn)</t>
        </r>
      </text>
    </comment>
    <comment ref="F232" authorId="2" shapeId="0" xr:uid="{1F13CE5A-C4F2-4DEB-B38D-9BB41B1D8CCC}">
      <text>
        <r>
          <rPr>
            <b/>
            <sz val="9"/>
            <color indexed="81"/>
            <rFont val="Tahoma"/>
            <family val="2"/>
          </rPr>
          <t>User:</t>
        </r>
        <r>
          <rPr>
            <sz val="9"/>
            <color indexed="81"/>
            <rFont val="Tahoma"/>
            <family val="2"/>
          </rPr>
          <t xml:space="preserve">
- HS 4,65 từ 01/5/2014
- HS 4,98 từ 01/5/2017</t>
        </r>
      </text>
    </comment>
    <comment ref="G232" authorId="1" shapeId="0" xr:uid="{1C6C7A63-8D51-4B16-9FB1-6AB87AD694D4}">
      <text>
        <r>
          <rPr>
            <b/>
            <sz val="9"/>
            <color indexed="81"/>
            <rFont val="Tahoma"/>
            <family val="2"/>
          </rPr>
          <t>user:</t>
        </r>
        <r>
          <rPr>
            <sz val="9"/>
            <color indexed="81"/>
            <rFont val="Tahoma"/>
            <family val="2"/>
          </rPr>
          <t xml:space="preserve">
- 5% từ 01/5/2020
- 6% từ 01/5/2021
- 7% từ 01/5/2022
- 8% từ 01/5/2023
- 9% từ 01/5/2024
- 10% từ 01/5/2025</t>
        </r>
      </text>
    </comment>
    <comment ref="I232" authorId="1" shapeId="0" xr:uid="{4BBFCE66-E64D-4BCD-983A-92D04ADB9AF3}">
      <text>
        <r>
          <rPr>
            <b/>
            <sz val="9"/>
            <color indexed="81"/>
            <rFont val="Tahoma"/>
            <family val="2"/>
          </rPr>
          <t>user:</t>
        </r>
        <r>
          <rPr>
            <sz val="9"/>
            <color indexed="81"/>
            <rFont val="Tahoma"/>
            <family val="2"/>
          </rPr>
          <t xml:space="preserve">
+ QĐ Bổ nhiệm Phó TK Điện - Điện tử từ 10/6/2019
</t>
        </r>
      </text>
    </comment>
    <comment ref="G233" authorId="0" shapeId="0" xr:uid="{9C663556-37E4-4B5F-B1B8-760D6020934F}">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
- 13% từ 01/01/2025</t>
        </r>
      </text>
    </comment>
    <comment ref="F234" authorId="2" shapeId="0" xr:uid="{D1421E41-DE9A-434B-AA44-1AC03ADF5B35}">
      <text>
        <r>
          <rPr>
            <b/>
            <sz val="9"/>
            <color indexed="81"/>
            <rFont val="Tahoma"/>
            <family val="2"/>
          </rPr>
          <t>User:</t>
        </r>
        <r>
          <rPr>
            <sz val="9"/>
            <color indexed="81"/>
            <rFont val="Tahoma"/>
            <family val="2"/>
          </rPr>
          <t xml:space="preserve">
- HS 4,65 từ 01/5/2014
- HS 4,98 từ 01/5/2017</t>
        </r>
      </text>
    </comment>
    <comment ref="G234" authorId="1" shapeId="0" xr:uid="{DE137D9D-18F9-45A4-B6F5-4BFB9F5AADA0}">
      <text>
        <r>
          <rPr>
            <b/>
            <sz val="9"/>
            <color indexed="81"/>
            <rFont val="Tahoma"/>
            <family val="2"/>
          </rPr>
          <t>user:</t>
        </r>
        <r>
          <rPr>
            <sz val="9"/>
            <color indexed="81"/>
            <rFont val="Tahoma"/>
            <family val="2"/>
          </rPr>
          <t xml:space="preserve">
- 5% từ 01/5/2020
- 6% từ 01/5/2021
- 7% từ 01/5/2022
- 8% từ 01/5/2023
- 9% từ 01/5/2024
- 10% từ 01/5/2025</t>
        </r>
      </text>
    </comment>
    <comment ref="I234" authorId="2" shapeId="0" xr:uid="{DDA64926-FD61-4382-AE9F-80A3ACED9C14}">
      <text>
        <r>
          <rPr>
            <b/>
            <sz val="9"/>
            <color indexed="81"/>
            <rFont val="Tahoma"/>
            <family val="2"/>
          </rPr>
          <t>User:</t>
        </r>
        <r>
          <rPr>
            <sz val="9"/>
            <color indexed="81"/>
            <rFont val="Tahoma"/>
            <family val="2"/>
          </rPr>
          <t xml:space="preserve">
Miễn nhiện Phó Trưởng BM từ 01/9/15. Bảo lưu HS hết T2/2015</t>
        </r>
      </text>
    </comment>
    <comment ref="F235" authorId="2" shapeId="0" xr:uid="{0962B466-AD09-4408-B095-244C1CEE6799}">
      <text>
        <r>
          <rPr>
            <b/>
            <sz val="9"/>
            <color indexed="81"/>
            <rFont val="Tahoma"/>
            <family val="2"/>
          </rPr>
          <t>User:</t>
        </r>
        <r>
          <rPr>
            <sz val="9"/>
            <color indexed="81"/>
            <rFont val="Tahoma"/>
            <family val="2"/>
          </rPr>
          <t xml:space="preserve">
- HS 3,66 từ 01/9/2015
- HS 3,99 từ 01/9/2018
- HS 4,32 từ 01/9/2021
- HS 4,65 từ 01/9/2024</t>
        </r>
      </text>
    </comment>
    <comment ref="F236" authorId="2" shapeId="0" xr:uid="{6F22E807-8B17-4995-83F2-9754BE76BF63}">
      <text>
        <r>
          <rPr>
            <b/>
            <sz val="9"/>
            <color indexed="81"/>
            <rFont val="Tahoma"/>
            <family val="2"/>
          </rPr>
          <t>User:</t>
        </r>
        <r>
          <rPr>
            <sz val="9"/>
            <color indexed="81"/>
            <rFont val="Tahoma"/>
            <family val="2"/>
          </rPr>
          <t xml:space="preserve">
- HS 3,66 từ 01/9/2015
- HS 3,99 từ 01/9/2018
- HS 4,32 từ 01/9/2021
- HS 4,65 từ 01/9/2024</t>
        </r>
      </text>
    </comment>
    <comment ref="I236" authorId="2" shapeId="0" xr:uid="{51E844FE-02F2-4087-B39F-F67A4004967A}">
      <text>
        <r>
          <rPr>
            <b/>
            <sz val="9"/>
            <color indexed="81"/>
            <rFont val="Tahoma"/>
            <family val="2"/>
          </rPr>
          <t>User:</t>
        </r>
        <r>
          <rPr>
            <sz val="9"/>
            <color indexed="81"/>
            <rFont val="Tahoma"/>
            <family val="2"/>
          </rPr>
          <t xml:space="preserve">
Miễn nhiệm Phó Trưởng BM từ 01/9/2015. Bảo lưu HS hết T02/2015</t>
        </r>
      </text>
    </comment>
    <comment ref="F237" authorId="2" shapeId="0" xr:uid="{5213D153-CF94-4FAF-9B9F-A667F39AB2DD}">
      <text>
        <r>
          <rPr>
            <b/>
            <sz val="9"/>
            <color indexed="81"/>
            <rFont val="Tahoma"/>
            <family val="2"/>
          </rPr>
          <t>User:</t>
        </r>
        <r>
          <rPr>
            <sz val="9"/>
            <color indexed="81"/>
            <rFont val="Tahoma"/>
            <family val="2"/>
          </rPr>
          <t xml:space="preserve">
- HS 3,66 từ 01/9/2014
- HS 3,99 từ 01/9/2017
- HS 4,32 từ 01/9/2020
- HS 4,65 từ 01/9/2023</t>
        </r>
      </text>
    </comment>
    <comment ref="F238" authorId="2" shapeId="0" xr:uid="{97212DFA-01D4-4EC0-897C-9BEEEE1C9FE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39" authorId="2" shapeId="0" xr:uid="{02C8F22C-D6DC-4617-AB9E-1C65E3907DD9}">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0" authorId="2" shapeId="0" xr:uid="{ECE3E440-9D09-4605-8351-8CEE4B2D32C9}">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1" authorId="0" shapeId="0" xr:uid="{0FE788D0-FFD2-4527-A2E0-8F435F3E5E9E}">
      <text>
        <r>
          <rPr>
            <b/>
            <sz val="9"/>
            <color indexed="81"/>
            <rFont val="Tahoma"/>
            <family val="2"/>
          </rPr>
          <t>Admin:</t>
        </r>
        <r>
          <rPr>
            <sz val="9"/>
            <color indexed="81"/>
            <rFont val="Tahoma"/>
            <family val="2"/>
          </rPr>
          <t xml:space="preserve">
- HS 3,33 từ 01/12/2015
- HS 3,66 từ 01/12/2016
- HS 3,99 từ 01/12/2021
- HS 4,32 từ 01/12/2024</t>
        </r>
      </text>
    </comment>
    <comment ref="F242" authorId="1" shapeId="0" xr:uid="{8B291C49-95C8-4BE7-9046-4C4474491DD6}">
      <text>
        <r>
          <rPr>
            <b/>
            <sz val="9"/>
            <color indexed="81"/>
            <rFont val="Tahoma"/>
            <family val="2"/>
          </rPr>
          <t>user:</t>
        </r>
        <r>
          <rPr>
            <sz val="9"/>
            <color indexed="81"/>
            <rFont val="Tahoma"/>
            <family val="2"/>
          </rPr>
          <t xml:space="preserve">
- BN CDNN từ 01/4/2019
- HS 3,00 từ 01/04/2021 (NL trước hạn)
- HS 3,33 từ 01/04/2024</t>
        </r>
      </text>
    </comment>
    <comment ref="F243" authorId="1" shapeId="0" xr:uid="{6FADB398-261D-47F0-A9A6-E04A2EC30D62}">
      <text>
        <r>
          <rPr>
            <b/>
            <sz val="9"/>
            <color indexed="81"/>
            <rFont val="Tahoma"/>
            <family val="2"/>
          </rPr>
          <t>user:</t>
        </r>
        <r>
          <rPr>
            <sz val="9"/>
            <color indexed="81"/>
            <rFont val="Tahoma"/>
            <family val="2"/>
          </rPr>
          <t xml:space="preserve">
- BN CDNN 2.34 từ 1/4/2019
- HS 2,67 từ 01/4/2022
- HS 3,00 từ 01/4/2024 (NL trước hạn)</t>
        </r>
      </text>
    </comment>
    <comment ref="I243" authorId="5" shapeId="0" xr:uid="{1B4BEC56-6080-4BA6-9B7F-CB638362CB53}">
      <text>
        <r>
          <rPr>
            <b/>
            <sz val="9"/>
            <color indexed="81"/>
            <rFont val="Tahoma"/>
            <family val="2"/>
          </rPr>
          <t>Windows User:</t>
        </r>
        <r>
          <rPr>
            <sz val="9"/>
            <color indexed="81"/>
            <rFont val="Tahoma"/>
            <family val="2"/>
          </rPr>
          <t xml:space="preserve">
- Trưởng BM Điện Công nghiệp từ 01/10/2022</t>
        </r>
      </text>
    </comment>
    <comment ref="F244" authorId="1" shapeId="0" xr:uid="{50DF20A5-03EC-4F30-A21A-C2E659C261CA}">
      <text>
        <r>
          <rPr>
            <b/>
            <sz val="9"/>
            <color indexed="81"/>
            <rFont val="Tahoma"/>
            <family val="2"/>
          </rPr>
          <t>user:</t>
        </r>
        <r>
          <rPr>
            <sz val="9"/>
            <color indexed="81"/>
            <rFont val="Tahoma"/>
            <family val="2"/>
          </rPr>
          <t xml:space="preserve">
- HS 2,34 từ 01/01/2020
- HS 2,67 từ 01/01/2022 (NL trước hạn)
- HS 3,00 từ 01/01/2025</t>
        </r>
      </text>
    </comment>
    <comment ref="I244" authorId="8" shapeId="0" xr:uid="{1D47552E-06FB-4ECC-AC55-82FC563F07B1}">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5" authorId="1" shapeId="0" xr:uid="{2E027708-7C5C-4CD3-8EB5-ECF68223BAEA}">
      <text>
        <r>
          <rPr>
            <b/>
            <sz val="9"/>
            <color indexed="81"/>
            <rFont val="Tahoma"/>
            <family val="2"/>
          </rPr>
          <t>user:</t>
        </r>
        <r>
          <rPr>
            <sz val="9"/>
            <color indexed="81"/>
            <rFont val="Tahoma"/>
            <family val="2"/>
          </rPr>
          <t xml:space="preserve">
Thuyên chuyển về trường từ ngày 15/6/2021
- HS 3,99 từ 01/11/2022
- HS 4,32 từ 01/11/2024 (NL trước hạn)</t>
        </r>
      </text>
    </comment>
    <comment ref="F246" authorId="5" shapeId="0" xr:uid="{90ECA689-B1EA-4184-8131-DDA3EDB841C5}">
      <text>
        <r>
          <rPr>
            <b/>
            <sz val="9"/>
            <color indexed="81"/>
            <rFont val="Tahoma"/>
            <family val="2"/>
          </rPr>
          <t>Windows User:</t>
        </r>
        <r>
          <rPr>
            <sz val="9"/>
            <color indexed="81"/>
            <rFont val="Tahoma"/>
            <family val="2"/>
          </rPr>
          <t xml:space="preserve">
- HS 2,67 từ 01/10/2023 (BN CDNN)</t>
        </r>
      </text>
    </comment>
    <comment ref="F247" authorId="5" shapeId="0" xr:uid="{E21D2F5A-2A9C-4C8F-B26A-DAAB7FCCCE95}">
      <text>
        <r>
          <rPr>
            <b/>
            <sz val="9"/>
            <color indexed="81"/>
            <rFont val="Tahoma"/>
            <family val="2"/>
          </rPr>
          <t>Windows User:</t>
        </r>
        <r>
          <rPr>
            <sz val="9"/>
            <color indexed="81"/>
            <rFont val="Tahoma"/>
            <family val="2"/>
          </rPr>
          <t xml:space="preserve">
- HS 2,34 từ 01/10/2023 (BN CDNN)</t>
        </r>
      </text>
    </comment>
    <comment ref="F248" authorId="2" shapeId="0" xr:uid="{F1F6CF76-754B-4AF6-941B-DD8165EE886D}">
      <text>
        <r>
          <rPr>
            <b/>
            <sz val="9"/>
            <color indexed="81"/>
            <rFont val="Tahoma"/>
            <family val="2"/>
          </rPr>
          <t>User:</t>
        </r>
        <r>
          <rPr>
            <sz val="9"/>
            <color indexed="81"/>
            <rFont val="Tahoma"/>
            <family val="2"/>
          </rPr>
          <t xml:space="preserve">
HS 4,32 từ 01/9/2015
- HS 4,65 từ 01/9/17 (NL trước hạn 2017)
- HS 4,98 từ 01/9/2020</t>
        </r>
      </text>
    </comment>
    <comment ref="G248" authorId="5" shapeId="0" xr:uid="{BF9D5736-1A41-409B-B848-783DEBFA7C62}">
      <text>
        <r>
          <rPr>
            <b/>
            <sz val="9"/>
            <color indexed="81"/>
            <rFont val="Tahoma"/>
            <family val="2"/>
          </rPr>
          <t>Windows User:</t>
        </r>
        <r>
          <rPr>
            <sz val="9"/>
            <color indexed="81"/>
            <rFont val="Tahoma"/>
            <family val="2"/>
          </rPr>
          <t xml:space="preserve">
- VK 5% từ 01/9/2023
- VK 6% từ 01/9/2024</t>
        </r>
      </text>
    </comment>
    <comment ref="I248" authorId="5" shapeId="0" xr:uid="{5E1190B8-84CA-410F-851D-4081991B79A6}">
      <text>
        <r>
          <rPr>
            <b/>
            <sz val="9"/>
            <color indexed="81"/>
            <rFont val="Tahoma"/>
            <family val="2"/>
          </rPr>
          <t>Windows User:</t>
        </r>
        <r>
          <rPr>
            <sz val="9"/>
            <color indexed="81"/>
            <rFont val="Tahoma"/>
            <family val="2"/>
          </rPr>
          <t xml:space="preserve">
- HS PCCV 0,45 được bảo lưu đến hết T12/2028</t>
        </r>
      </text>
    </comment>
    <comment ref="F249" authorId="0" shapeId="0" xr:uid="{67F342BD-2248-453E-8D48-A66A7A9DB5DA}">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49" authorId="2" shapeId="0" xr:uid="{E3D0C2FB-8B5D-4862-9A6C-CAD2C5AA7C7F}">
      <text>
        <r>
          <rPr>
            <b/>
            <sz val="9"/>
            <color indexed="81"/>
            <rFont val="Tahoma"/>
            <family val="2"/>
          </rPr>
          <t>User:</t>
        </r>
        <r>
          <rPr>
            <sz val="9"/>
            <color indexed="81"/>
            <rFont val="Tahoma"/>
            <family val="2"/>
          </rPr>
          <t xml:space="preserve">
- Trưởng khoa Động lực từ 01/8/2015</t>
        </r>
      </text>
    </comment>
    <comment ref="F250" authorId="0" shapeId="0" xr:uid="{20026858-0478-44EF-B46E-E59D184AAE3B}">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1" authorId="0" shapeId="0" xr:uid="{ED5AD63F-DF4C-4CA6-AE42-04113267A645}">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I251" authorId="7" shapeId="0" xr:uid="{D9C2CEB3-2A0E-4C7A-9BB1-C188886CEDBD}">
      <text>
        <r>
          <rPr>
            <b/>
            <sz val="9"/>
            <color indexed="81"/>
            <rFont val="Tahoma"/>
            <family val="2"/>
          </rPr>
          <t>PC:</t>
        </r>
        <r>
          <rPr>
            <sz val="9"/>
            <color indexed="81"/>
            <rFont val="Tahoma"/>
            <family val="2"/>
          </rPr>
          <t xml:space="preserve">
- Ngưng hưởng PCCV từ 01/9/2025 (Hết nhiệm kỳ)</t>
        </r>
      </text>
    </comment>
    <comment ref="F252" authorId="0" shapeId="0" xr:uid="{B34A69DA-562B-4A43-AC08-9372286E07B8}">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52" authorId="0" shapeId="0" xr:uid="{13993703-CE82-48DB-BAC9-88DDE0667091}">
      <text>
        <r>
          <rPr>
            <b/>
            <sz val="9"/>
            <color indexed="81"/>
            <rFont val="Tahoma"/>
            <family val="2"/>
          </rPr>
          <t>Admin:</t>
        </r>
        <r>
          <rPr>
            <sz val="9"/>
            <color indexed="81"/>
            <rFont val="Tahoma"/>
            <family val="2"/>
          </rPr>
          <t xml:space="preserve">
- Bảo lưu đến hết T5/2018</t>
        </r>
      </text>
    </comment>
    <comment ref="F253" authorId="0" shapeId="0" xr:uid="{480047BA-B5E9-427A-B0CD-1B2F3EEF8295}">
      <text>
        <r>
          <rPr>
            <b/>
            <sz val="9"/>
            <color indexed="81"/>
            <rFont val="Tahoma"/>
            <family val="2"/>
          </rPr>
          <t>Admin:</t>
        </r>
        <r>
          <rPr>
            <sz val="9"/>
            <color indexed="81"/>
            <rFont val="Tahoma"/>
            <family val="2"/>
          </rPr>
          <t xml:space="preserve">
- HS 3,33 từ 01/9/2016 (NL Trước hạn 2017)
- HS 3,66 từ 01/9/2019
- HS 3,99 từ 01/9/2022
- HS 4,32 từ 01/9/2024 (NL trước hạn)</t>
        </r>
      </text>
    </comment>
    <comment ref="I253" authorId="2" shapeId="0" xr:uid="{9DD14E19-D130-4040-A685-C5998C1B4B42}">
      <text>
        <r>
          <rPr>
            <b/>
            <sz val="9"/>
            <color indexed="81"/>
            <rFont val="Tahoma"/>
            <family val="2"/>
          </rPr>
          <t>User:</t>
        </r>
        <r>
          <rPr>
            <sz val="9"/>
            <color indexed="81"/>
            <rFont val="Tahoma"/>
            <family val="2"/>
          </rPr>
          <t xml:space="preserve">
Miễn nhiệm Trưởng bộ môn từ 01/9/2015
QĐ phụ trách từ 01/12/2017
- Trưởng BM từ 01/9/2020
- Ngưng hưởng PCCV Trưởng BM từ 01/9/2025 (Hết nhiệm kỳ)</t>
        </r>
      </text>
    </comment>
    <comment ref="F254" authorId="2" shapeId="0" xr:uid="{3F2F0A6F-4C08-4C28-93F0-F761FE9F8892}">
      <text>
        <r>
          <rPr>
            <b/>
            <sz val="9"/>
            <color indexed="81"/>
            <rFont val="Tahoma"/>
            <family val="2"/>
          </rPr>
          <t>User:</t>
        </r>
        <r>
          <rPr>
            <sz val="9"/>
            <color indexed="81"/>
            <rFont val="Tahoma"/>
            <family val="2"/>
          </rPr>
          <t xml:space="preserve">
- HS 3,00 từ 01/9/2015
- HS 3,33 từ 01/9/2018
- HS 3,66 từ 01/9/2021
- HS 3,99 từ 01/9/2024</t>
        </r>
      </text>
    </comment>
    <comment ref="F255" authorId="0" shapeId="0" xr:uid="{CD371559-E531-4A0F-B4B7-A8EFE1EC1822}">
      <text>
        <r>
          <rPr>
            <b/>
            <sz val="9"/>
            <color indexed="81"/>
            <rFont val="Tahoma"/>
            <family val="2"/>
          </rPr>
          <t>Admin:</t>
        </r>
        <r>
          <rPr>
            <sz val="9"/>
            <color indexed="81"/>
            <rFont val="Tahoma"/>
            <family val="2"/>
          </rPr>
          <t xml:space="preserve">
- HS 3,00 từ 01/9/2015
- HS 3,33 từ 01/9/2018
- HS 3,66 từ 01/9/2021
- HS 3,99 từ 01/9/2024</t>
        </r>
      </text>
    </comment>
    <comment ref="F256" authorId="2" shapeId="0" xr:uid="{737B47AD-0CF5-4585-831E-1DDE634FB4A6}">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6" authorId="2" shapeId="0" xr:uid="{AD2F6F58-5A55-41F6-8CCC-37A4A370165C}">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7" authorId="0" shapeId="0" xr:uid="{D15556DC-1B11-49F0-941E-F13202659401}">
      <text>
        <r>
          <rPr>
            <b/>
            <sz val="9"/>
            <color indexed="81"/>
            <rFont val="Tahoma"/>
            <family val="2"/>
          </rPr>
          <t>Admin:</t>
        </r>
        <r>
          <rPr>
            <sz val="9"/>
            <color indexed="81"/>
            <rFont val="Tahoma"/>
            <family val="2"/>
          </rPr>
          <t xml:space="preserve">
- HS 3,00 từ 01/9/2015
- HS 3,33 từ 01/9/2018
- HS 3,66 từ 01/9/2021
- HS 3,99 từ 01/9/2024
</t>
        </r>
      </text>
    </comment>
    <comment ref="F258" authorId="0" shapeId="0" xr:uid="{21A4D473-257A-4BC1-866F-38737EEC732F}">
      <text>
        <r>
          <rPr>
            <b/>
            <sz val="9"/>
            <color indexed="81"/>
            <rFont val="Tahoma"/>
            <family val="2"/>
          </rPr>
          <t>Admin:</t>
        </r>
        <r>
          <rPr>
            <sz val="9"/>
            <color indexed="81"/>
            <rFont val="Tahoma"/>
            <family val="2"/>
          </rPr>
          <t xml:space="preserve">
- HS 3,00 từ 01/9/2017
- HS 3,33 từ 01/9/2019
- HS 3,66 từ 01/9/2022
- HS 3,99 từ 01/9/2025</t>
        </r>
      </text>
    </comment>
    <comment ref="F259" authorId="9" shapeId="0" xr:uid="{43A90E5B-622F-47FD-90AC-2B493B6B5413}">
      <text>
        <r>
          <rPr>
            <sz val="9"/>
            <color indexed="81"/>
            <rFont val="Tahoma"/>
            <family val="2"/>
          </rPr>
          <t>- HS 3,00 từ 01/3/2018
- HS 3,33 từ 01/3/2020 (NL trước hạn)
- HS 3,66 từ 01/03/2023</t>
        </r>
      </text>
    </comment>
    <comment ref="F260" authorId="0" shapeId="0" xr:uid="{E6937457-0F82-4AC9-8FC9-5E99F08BF4DC}">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1" authorId="0" shapeId="0" xr:uid="{A4FE428C-4864-4CD5-A69B-DBA1A444B336}">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2" authorId="0" shapeId="0" xr:uid="{752B99C7-FD51-40FD-82B6-D1F7B22449F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62" authorId="3" shapeId="0" xr:uid="{5AE5F45A-B574-43B2-92FE-994C9D211E16}">
      <text>
        <r>
          <rPr>
            <b/>
            <sz val="9"/>
            <color indexed="81"/>
            <rFont val="Tahoma"/>
            <family val="2"/>
          </rPr>
          <t>Quynh:</t>
        </r>
        <r>
          <rPr>
            <sz val="9"/>
            <color indexed="81"/>
            <rFont val="Tahoma"/>
            <family val="2"/>
          </rPr>
          <t xml:space="preserve">
- BN Trưởng BM Điện ô tô từ 01/01/2019 </t>
        </r>
      </text>
    </comment>
    <comment ref="F263" authorId="0" shapeId="0" xr:uid="{91619F19-AD09-4587-BE11-82A5852BAE3C}">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4" authorId="1" shapeId="0" xr:uid="{7CBC21BC-6DA3-435B-974D-5F5A35BEEED3}">
      <text>
        <r>
          <rPr>
            <b/>
            <sz val="9"/>
            <color indexed="81"/>
            <rFont val="Tahoma"/>
            <family val="2"/>
          </rPr>
          <t>user:</t>
        </r>
        <r>
          <rPr>
            <sz val="9"/>
            <color indexed="81"/>
            <rFont val="Tahoma"/>
            <family val="2"/>
          </rPr>
          <t xml:space="preserve">
- HS 2,34 từ 01/10/2019
- HS 2,67 từ 01/10/2021 (NL trước hạn)
- HS 3,00 từ 01/10/2024</t>
        </r>
      </text>
    </comment>
    <comment ref="F265" authorId="1" shapeId="0" xr:uid="{6CA522B1-B379-4A72-9D9E-C71ABF2A8D50}">
      <text>
        <r>
          <rPr>
            <b/>
            <sz val="9"/>
            <color indexed="81"/>
            <rFont val="Tahoma"/>
            <family val="2"/>
          </rPr>
          <t>user:</t>
        </r>
        <r>
          <rPr>
            <sz val="9"/>
            <color indexed="81"/>
            <rFont val="Tahoma"/>
            <family val="2"/>
          </rPr>
          <t xml:space="preserve">
- HS 2,34 từ 01/10/2019
- HS 2,67 từ 01/10/2022</t>
        </r>
      </text>
    </comment>
    <comment ref="F266" authorId="1" shapeId="0" xr:uid="{C1B30EB9-7AD5-4FC7-864B-87C1335BB707}">
      <text>
        <r>
          <rPr>
            <b/>
            <sz val="9"/>
            <color indexed="81"/>
            <rFont val="Tahoma"/>
            <family val="2"/>
          </rPr>
          <t>user:</t>
        </r>
        <r>
          <rPr>
            <sz val="9"/>
            <color indexed="81"/>
            <rFont val="Tahoma"/>
            <family val="2"/>
          </rPr>
          <t xml:space="preserve">
- HS 2,67 từ 01/01/2020
- HS 3,00 từ 01/01/2022 (NL trước hạn)
- HS 3,33 từ 01/01/2025
</t>
        </r>
      </text>
    </comment>
    <comment ref="F267" authorId="1" shapeId="0" xr:uid="{29968FAD-3C41-49B2-A953-D78C201A7254}">
      <text>
        <r>
          <rPr>
            <b/>
            <sz val="9"/>
            <color indexed="81"/>
            <rFont val="Tahoma"/>
            <family val="2"/>
          </rPr>
          <t>user:</t>
        </r>
        <r>
          <rPr>
            <sz val="9"/>
            <color indexed="81"/>
            <rFont val="Tahoma"/>
            <family val="2"/>
          </rPr>
          <t xml:space="preserve">
- HS 3,00 từ 01/11/2019
- HS 3,33 từ 01/12/2020
- HS 3,66 từ 01/12/2022</t>
        </r>
      </text>
    </comment>
    <comment ref="F268" authorId="1" shapeId="0" xr:uid="{792DC019-FEFF-4CEF-A01D-9B65BFA82DDB}">
      <text>
        <r>
          <rPr>
            <b/>
            <sz val="9"/>
            <color indexed="81"/>
            <rFont val="Tahoma"/>
            <family val="2"/>
          </rPr>
          <t>user:</t>
        </r>
        <r>
          <rPr>
            <sz val="9"/>
            <color indexed="81"/>
            <rFont val="Tahoma"/>
            <family val="2"/>
          </rPr>
          <t xml:space="preserve">
Tuyển dụng từ 01/5/20
- HS 2,34 từ 01/5/2021
- HS 2,67 từ 01/5/2024</t>
        </r>
      </text>
    </comment>
    <comment ref="F269" authorId="1" shapeId="0" xr:uid="{833720F8-0E2F-4772-B1E4-12291AD5D407}">
      <text>
        <r>
          <rPr>
            <b/>
            <sz val="9"/>
            <color indexed="81"/>
            <rFont val="Tahoma"/>
            <family val="2"/>
          </rPr>
          <t>user:</t>
        </r>
        <r>
          <rPr>
            <sz val="9"/>
            <color indexed="81"/>
            <rFont val="Tahoma"/>
            <family val="2"/>
          </rPr>
          <t xml:space="preserve">
- QĐ Tuyển dụng từ 01/3/2021 (HS 2,34- 85%)
- HS 2,34 từ 01/3/2022 (BNN)
- HS 2,67 từ 01/3/2024 (NL trước hạn)</t>
        </r>
      </text>
    </comment>
    <comment ref="F270" authorId="1" shapeId="0" xr:uid="{06885BC7-44DE-41C5-838D-DDC043FAC552}">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1" authorId="5" shapeId="0" xr:uid="{49C2D49B-1AAD-4588-B1E6-4DAB30A2DDF4}">
      <text>
        <r>
          <rPr>
            <b/>
            <sz val="9"/>
            <color indexed="81"/>
            <rFont val="Tahoma"/>
            <family val="2"/>
          </rPr>
          <t>Windows User:</t>
        </r>
        <r>
          <rPr>
            <sz val="9"/>
            <color indexed="81"/>
            <rFont val="Tahoma"/>
            <family val="2"/>
          </rPr>
          <t xml:space="preserve">
- HS 3,00 từ 01/10/2022
- HS 3,33 từ 01/01/2023</t>
        </r>
      </text>
    </comment>
    <comment ref="F273" authorId="0" shapeId="0" xr:uid="{98072C37-2916-4011-9F12-5D4F20734487}">
      <text>
        <r>
          <rPr>
            <b/>
            <sz val="9"/>
            <color indexed="81"/>
            <rFont val="Tahoma"/>
            <family val="2"/>
          </rPr>
          <t>Admin:</t>
        </r>
        <r>
          <rPr>
            <sz val="9"/>
            <color indexed="81"/>
            <rFont val="Tahoma"/>
            <family val="2"/>
          </rPr>
          <t xml:space="preserve">
'- HS 3.00 (BN từ 01/4/18)
- HS 3,33 từ 01/02/2020
- HS 3,66 từ 01/02/2022 (NL trước hạn)
- HS 3,99 từ 01/02/2025
</t>
        </r>
      </text>
    </comment>
    <comment ref="I273" authorId="1" shapeId="0" xr:uid="{E2AA0459-7CEA-4F17-955E-F3EE0315EB2B}">
      <text>
        <r>
          <rPr>
            <b/>
            <sz val="9"/>
            <color indexed="81"/>
            <rFont val="Tahoma"/>
            <family val="2"/>
          </rPr>
          <t>user:</t>
        </r>
        <r>
          <rPr>
            <sz val="9"/>
            <color indexed="81"/>
            <rFont val="Tahoma"/>
            <family val="2"/>
          </rPr>
          <t xml:space="preserve">
Phụ trách khoa Xây dựng từ 01/5/2019
- TK từ 01/5/2023</t>
        </r>
      </text>
    </comment>
    <comment ref="F274" authorId="1" shapeId="0" xr:uid="{CC304E10-501F-4924-8404-9D76B1B2C450}">
      <text>
        <r>
          <rPr>
            <b/>
            <sz val="9"/>
            <color indexed="81"/>
            <rFont val="Tahoma"/>
            <family val="2"/>
          </rPr>
          <t>user:</t>
        </r>
        <r>
          <rPr>
            <sz val="9"/>
            <color indexed="81"/>
            <rFont val="Tahoma"/>
            <family val="2"/>
          </rPr>
          <t xml:space="preserve">
- Tuyển dụng từ T5/20
- HS 2,67 từ 01/5/2021
- HS 3,00 từ 01/9/2024</t>
        </r>
      </text>
    </comment>
    <comment ref="F275" authorId="1" shapeId="0" xr:uid="{1B6B5DE9-48A4-410E-9B19-1D522C2467A3}">
      <text>
        <r>
          <rPr>
            <b/>
            <sz val="9"/>
            <color indexed="81"/>
            <rFont val="Tahoma"/>
            <family val="2"/>
          </rPr>
          <t>user:</t>
        </r>
        <r>
          <rPr>
            <sz val="9"/>
            <color indexed="81"/>
            <rFont val="Tahoma"/>
            <family val="2"/>
          </rPr>
          <t xml:space="preserve">
- HS 1,989 từ 01/4/21 (Tuyển dụng)
- HS 2,34 từ 01/4/2022
- HS 2,67 từ 01/4/2025</t>
        </r>
      </text>
    </comment>
    <comment ref="F276" authorId="0" shapeId="0" xr:uid="{2DF3AF7E-D2C9-4C10-B350-EE53B283BE92}">
      <text>
        <r>
          <rPr>
            <b/>
            <sz val="9"/>
            <color indexed="81"/>
            <rFont val="Tahoma"/>
            <family val="2"/>
          </rPr>
          <t>Admin:</t>
        </r>
        <r>
          <rPr>
            <sz val="9"/>
            <color indexed="81"/>
            <rFont val="Tahoma"/>
            <family val="2"/>
          </rPr>
          <t xml:space="preserve">
- HS 3,99 từ 01/9/2017
- HS 4,32 từ 01/9/2020
- HS 4,65 từ 01/9/2022
- HS 4,98 từ 01/9/2025</t>
        </r>
      </text>
    </comment>
    <comment ref="F277" authorId="0" shapeId="0" xr:uid="{9D6B4F6A-1469-4408-8D29-BEFD6BCFFB3A}">
      <text>
        <r>
          <rPr>
            <b/>
            <sz val="9"/>
            <color indexed="81"/>
            <rFont val="Tahoma"/>
            <family val="2"/>
          </rPr>
          <t>Admin:</t>
        </r>
        <r>
          <rPr>
            <sz val="9"/>
            <color indexed="81"/>
            <rFont val="Tahoma"/>
            <family val="2"/>
          </rPr>
          <t xml:space="preserve">
- HS 3,99 từ 01/9/2017
- HS 4,32 từ 01/9/2020
- HS 4,65 từ 01/9/2023</t>
        </r>
      </text>
    </comment>
    <comment ref="F278" authorId="0" shapeId="0" xr:uid="{89AB76D7-8511-47E4-BE13-EDDA7CDFC918}">
      <text>
        <r>
          <rPr>
            <b/>
            <sz val="9"/>
            <color indexed="81"/>
            <rFont val="Tahoma"/>
            <family val="2"/>
          </rPr>
          <t>Admin:</t>
        </r>
        <r>
          <rPr>
            <sz val="9"/>
            <color indexed="81"/>
            <rFont val="Tahoma"/>
            <family val="2"/>
          </rPr>
          <t xml:space="preserve">
- HS 3,00 từ 01/9/2016
- HS 3,33 từ 01/9/2019
- HS 3,66 từ 01/9/2022
- HS 3,99 từ 01/9/2025</t>
        </r>
      </text>
    </comment>
    <comment ref="F279" authorId="0" shapeId="0" xr:uid="{9F134E58-B4DD-4133-AE29-BD30EA1FB4C8}">
      <text>
        <r>
          <rPr>
            <b/>
            <sz val="9"/>
            <color indexed="81"/>
            <rFont val="Tahoma"/>
            <family val="2"/>
          </rPr>
          <t>Admin:</t>
        </r>
        <r>
          <rPr>
            <sz val="9"/>
            <color indexed="81"/>
            <rFont val="Tahoma"/>
            <family val="2"/>
          </rPr>
          <t xml:space="preserve">
- HS 3,00 từ 01/9/2017
- HS 3,33 từ 01/9/2020
- HS 3,66 từ 01/9/2023</t>
        </r>
      </text>
    </comment>
    <comment ref="F280" authorId="0" shapeId="0" xr:uid="{AFCA4F05-5943-4D16-B4DA-8608B10D83A4}">
      <text>
        <r>
          <rPr>
            <b/>
            <sz val="9"/>
            <color indexed="81"/>
            <rFont val="Tahoma"/>
            <family val="2"/>
          </rPr>
          <t>Admin:</t>
        </r>
        <r>
          <rPr>
            <sz val="9"/>
            <color indexed="81"/>
            <rFont val="Tahoma"/>
            <family val="2"/>
          </rPr>
          <t xml:space="preserve">
- HS 3,66 từ 01/9/2016
- HS 3,99 từ 01/9/2019
- HS 4,32 từ 01/9/2022
- HS 4,65 từ 01/9/2025</t>
        </r>
      </text>
    </comment>
    <comment ref="F281" authorId="1" shapeId="0" xr:uid="{B03E318B-A4F6-40BB-91BB-23BCC4EDB272}">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2" authorId="2" shapeId="0" xr:uid="{223DB6E2-334E-4C04-9BFA-3A7D65467E2A}">
      <text>
        <r>
          <rPr>
            <b/>
            <sz val="9"/>
            <color indexed="81"/>
            <rFont val="Tahoma"/>
            <family val="2"/>
          </rPr>
          <t>User:</t>
        </r>
        <r>
          <rPr>
            <sz val="9"/>
            <color indexed="81"/>
            <rFont val="Tahoma"/>
            <family val="2"/>
          </rPr>
          <t xml:space="preserve">
- HS 4,32 từ 01/10/2015
- HS 4,65 từ 01/10/2018
- HS 4,98 từ 01/10/2021</t>
        </r>
      </text>
    </comment>
    <comment ref="G282" authorId="5" shapeId="0" xr:uid="{8E862731-03CA-4A9F-A85A-6C9CDA7AD033}">
      <text>
        <r>
          <rPr>
            <b/>
            <sz val="9"/>
            <color indexed="81"/>
            <rFont val="Tahoma"/>
            <family val="2"/>
          </rPr>
          <t>Windows User:</t>
        </r>
        <r>
          <rPr>
            <sz val="9"/>
            <color indexed="81"/>
            <rFont val="Tahoma"/>
            <family val="2"/>
          </rPr>
          <t xml:space="preserve">
- VK 5% từ 01/10/2024</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Admin</author>
    <author>user</author>
    <author>User</author>
    <author>Windows User</author>
    <author>Quynh</author>
    <author>yen</author>
    <author>admin</author>
    <author>huynh-panda</author>
    <author>Thu Thuy</author>
  </authors>
  <commentList>
    <comment ref="F25" authorId="0" shapeId="0" xr:uid="{00000000-0006-0000-0F00-000001000000}">
      <text>
        <r>
          <rPr>
            <b/>
            <sz val="9"/>
            <color indexed="81"/>
            <rFont val="Tahoma"/>
            <family val="2"/>
          </rPr>
          <t>Admin:</t>
        </r>
        <r>
          <rPr>
            <sz val="9"/>
            <color indexed="81"/>
            <rFont val="Tahoma"/>
            <family val="2"/>
          </rPr>
          <t xml:space="preserve">
- HS 4,65 từ 01/12/2015
- HS 4,98 từ 01/12/2018</t>
        </r>
      </text>
    </comment>
    <comment ref="G25" authorId="1" shapeId="0" xr:uid="{00000000-0006-0000-0F00-000002000000}">
      <text>
        <r>
          <rPr>
            <b/>
            <sz val="9"/>
            <color indexed="81"/>
            <rFont val="Tahoma"/>
            <family val="2"/>
          </rPr>
          <t>user:</t>
        </r>
        <r>
          <rPr>
            <sz val="9"/>
            <color indexed="81"/>
            <rFont val="Tahoma"/>
            <family val="2"/>
          </rPr>
          <t xml:space="preserve">
- VK 5% từ 01/12/2021
- VK 6% từ 01/12/2022
- VK 7% từ 01/12/2023</t>
        </r>
      </text>
    </comment>
    <comment ref="F26" authorId="2" shapeId="0" xr:uid="{00000000-0006-0000-0F00-000003000000}">
      <text>
        <r>
          <rPr>
            <b/>
            <sz val="9"/>
            <color indexed="81"/>
            <rFont val="Tahoma"/>
            <family val="2"/>
          </rPr>
          <t>User:</t>
        </r>
        <r>
          <rPr>
            <sz val="9"/>
            <color indexed="81"/>
            <rFont val="Tahoma"/>
            <family val="2"/>
          </rPr>
          <t xml:space="preserve">
- 4,65 từ 01/10/2015
- HS 4,98 từ 01/10/17 (NL trước hạn)</t>
        </r>
      </text>
    </comment>
    <comment ref="G26" authorId="1" shapeId="0" xr:uid="{00000000-0006-0000-0F00-00000400000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26" authorId="0" shapeId="0" xr:uid="{00000000-0006-0000-0F00-000005000000}">
      <text>
        <r>
          <rPr>
            <b/>
            <sz val="9"/>
            <color indexed="81"/>
            <rFont val="Tahoma"/>
            <family val="2"/>
          </rPr>
          <t>Admin:</t>
        </r>
        <r>
          <rPr>
            <sz val="9"/>
            <color indexed="81"/>
            <rFont val="Tahoma"/>
            <family val="2"/>
          </rPr>
          <t xml:space="preserve">
- HS 0,7 từ 01/11/2016</t>
        </r>
      </text>
    </comment>
    <comment ref="F27" authorId="1" shapeId="0" xr:uid="{00000000-0006-0000-0F00-000006000000}">
      <text>
        <r>
          <rPr>
            <b/>
            <sz val="9"/>
            <color indexed="81"/>
            <rFont val="Tahoma"/>
            <family val="2"/>
          </rPr>
          <t>user:</t>
        </r>
        <r>
          <rPr>
            <sz val="9"/>
            <color indexed="81"/>
            <rFont val="Tahoma"/>
            <family val="2"/>
          </rPr>
          <t xml:space="preserve">
- HS 4.32 từ 01/4/2019
- HS 4,65 từ 01/4/2021 (NL trước hạn)
- HS 4,98 từ 01/4/2024</t>
        </r>
      </text>
    </comment>
    <comment ref="I27" authorId="1" shapeId="0" xr:uid="{00000000-0006-0000-0F00-000007000000}">
      <text>
        <r>
          <rPr>
            <b/>
            <sz val="9"/>
            <color indexed="81"/>
            <rFont val="Tahoma"/>
            <family val="2"/>
          </rPr>
          <t>user:</t>
        </r>
        <r>
          <rPr>
            <sz val="9"/>
            <color indexed="81"/>
            <rFont val="Tahoma"/>
            <family val="2"/>
          </rPr>
          <t xml:space="preserve">
- HS 0.7 từ 15/4/2019</t>
        </r>
      </text>
    </comment>
    <comment ref="F28" authorId="2" shapeId="0" xr:uid="{00000000-0006-0000-0F00-000008000000}">
      <text>
        <r>
          <rPr>
            <b/>
            <sz val="9"/>
            <color indexed="81"/>
            <rFont val="Tahoma"/>
            <family val="2"/>
          </rPr>
          <t>User:</t>
        </r>
        <r>
          <rPr>
            <sz val="9"/>
            <color indexed="81"/>
            <rFont val="Tahoma"/>
            <family val="2"/>
          </rPr>
          <t xml:space="preserve">
HS 4,32 từ 01/9/2015
- HS 4,65 từ 01/9/17 (NL trước hạn 2017)
- HS 4,98 từ 01/9/2020</t>
        </r>
      </text>
    </comment>
    <comment ref="G28" authorId="3" shapeId="0" xr:uid="{00000000-0006-0000-0F00-000009000000}">
      <text>
        <r>
          <rPr>
            <b/>
            <sz val="9"/>
            <color indexed="81"/>
            <rFont val="Tahoma"/>
            <family val="2"/>
          </rPr>
          <t>Windows User:</t>
        </r>
        <r>
          <rPr>
            <sz val="9"/>
            <color indexed="81"/>
            <rFont val="Tahoma"/>
            <family val="2"/>
          </rPr>
          <t xml:space="preserve">
- VK 5% từ 01/9/2023
- VK 6% từ 01/9/2024</t>
        </r>
      </text>
    </comment>
    <comment ref="F29" authorId="4" shapeId="0" xr:uid="{00000000-0006-0000-0F00-00000A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29" authorId="1" shapeId="0" xr:uid="{00000000-0006-0000-0F00-00000B000000}">
      <text>
        <r>
          <rPr>
            <b/>
            <sz val="9"/>
            <color indexed="81"/>
            <rFont val="Tahoma"/>
            <family val="2"/>
          </rPr>
          <t>user:</t>
        </r>
        <r>
          <rPr>
            <sz val="9"/>
            <color indexed="81"/>
            <rFont val="Tahoma"/>
            <family val="2"/>
          </rPr>
          <t xml:space="preserve">
- PP TC-HC-TH từ 01/9/2020</t>
        </r>
      </text>
    </comment>
    <comment ref="F30" authorId="2" shapeId="0" xr:uid="{00000000-0006-0000-0F00-00000C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0" authorId="1" shapeId="0" xr:uid="{00000000-0006-0000-0F00-00000D000000}">
      <text>
        <r>
          <rPr>
            <b/>
            <sz val="9"/>
            <color indexed="81"/>
            <rFont val="Tahoma"/>
            <family val="2"/>
          </rPr>
          <t>user:</t>
        </r>
        <r>
          <rPr>
            <sz val="9"/>
            <color indexed="81"/>
            <rFont val="Tahoma"/>
            <family val="2"/>
          </rPr>
          <t xml:space="preserve">
BN Phó TP từ 01/03/2021</t>
        </r>
      </text>
    </comment>
    <comment ref="F31" authorId="5" shapeId="0" xr:uid="{00000000-0006-0000-0F00-00000E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2" authorId="2" shapeId="0" xr:uid="{00000000-0006-0000-0F00-00000F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3" authorId="0" shapeId="0" xr:uid="{00000000-0006-0000-0F00-000010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4" authorId="0" shapeId="0" xr:uid="{00000000-0006-0000-0F00-000011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5" authorId="5" shapeId="0" xr:uid="{00000000-0006-0000-0F00-000012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6" authorId="5" shapeId="0" xr:uid="{00000000-0006-0000-0F00-000013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7" authorId="0" shapeId="0" xr:uid="{00000000-0006-0000-0F00-000014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8" authorId="0" shapeId="0" xr:uid="{00000000-0006-0000-0F00-000015000000}">
      <text>
        <r>
          <rPr>
            <sz val="9"/>
            <color indexed="81"/>
            <rFont val="Tahoma"/>
            <family val="2"/>
          </rPr>
          <t>Hợp đồng thử việc từ 10/11/2017 hưởng 85% lương
Tháng 12 hưởng 100% lương
- BNCDNN từ 01/4/2019 (2.10)
- HS 2,41 từ 01/4/2022
- HS 2,61 từ 01/4/2023 (NL trước hạn)</t>
        </r>
      </text>
    </comment>
    <comment ref="F39" authorId="2" shapeId="0" xr:uid="{00000000-0006-0000-0F00-000016000000}">
      <text>
        <r>
          <rPr>
            <b/>
            <sz val="9"/>
            <color indexed="81"/>
            <rFont val="Tahoma"/>
            <family val="2"/>
          </rPr>
          <t>User:</t>
        </r>
        <r>
          <rPr>
            <sz val="9"/>
            <color indexed="81"/>
            <rFont val="Tahoma"/>
            <family val="2"/>
          </rPr>
          <t xml:space="preserve">
- HS 4,32 từ 01/9/2015
- HS 4,65 từ 01/9/17 (NL trước hạn 2017)
- HS 4,98 từ 01/9/2020</t>
        </r>
      </text>
    </comment>
    <comment ref="G39" authorId="3" shapeId="0" xr:uid="{00000000-0006-0000-0F00-000017000000}">
      <text>
        <r>
          <rPr>
            <b/>
            <sz val="9"/>
            <color indexed="81"/>
            <rFont val="Tahoma"/>
            <family val="2"/>
          </rPr>
          <t>Windows User:</t>
        </r>
        <r>
          <rPr>
            <sz val="9"/>
            <color indexed="81"/>
            <rFont val="Tahoma"/>
            <family val="2"/>
          </rPr>
          <t xml:space="preserve">
- VK 5% từ 01/9/2023
- VK 6% từ 01/9/2024</t>
        </r>
      </text>
    </comment>
    <comment ref="F40" authorId="0" shapeId="0" xr:uid="{00000000-0006-0000-0F00-000018000000}">
      <text>
        <r>
          <rPr>
            <b/>
            <sz val="9"/>
            <color indexed="81"/>
            <rFont val="Tahoma"/>
            <family val="2"/>
          </rPr>
          <t>Admin:</t>
        </r>
        <r>
          <rPr>
            <sz val="9"/>
            <color indexed="81"/>
            <rFont val="Tahoma"/>
            <family val="2"/>
          </rPr>
          <t xml:space="preserve">
- HS 4,65 từ 01/12/2015
- HS 4,98 từ 01/12/2018</t>
        </r>
      </text>
    </comment>
    <comment ref="G40" authorId="1" shapeId="0" xr:uid="{00000000-0006-0000-0F00-000019000000}">
      <text>
        <r>
          <rPr>
            <b/>
            <sz val="9"/>
            <color indexed="81"/>
            <rFont val="Tahoma"/>
            <family val="2"/>
          </rPr>
          <t>user:</t>
        </r>
        <r>
          <rPr>
            <sz val="9"/>
            <color indexed="81"/>
            <rFont val="Tahoma"/>
            <family val="2"/>
          </rPr>
          <t xml:space="preserve">
- VK 5% từ 01/12/2021
- VK 6% từ 01/12/2022
- VK 7% từ 01/12/2023</t>
        </r>
      </text>
    </comment>
    <comment ref="I40" authorId="6" shapeId="0" xr:uid="{00000000-0006-0000-0F00-00001A000000}">
      <text>
        <r>
          <rPr>
            <b/>
            <sz val="8"/>
            <color indexed="81"/>
            <rFont val="Tahoma"/>
            <family val="2"/>
          </rPr>
          <t>admin:</t>
        </r>
        <r>
          <rPr>
            <sz val="8"/>
            <color indexed="81"/>
            <rFont val="Tahoma"/>
            <family val="2"/>
          </rPr>
          <t xml:space="preserve">
+ QĐ Bổ nhiệm Phó Trưởng phòng QT CSVC từ 01/06/2014</t>
        </r>
      </text>
    </comment>
    <comment ref="F41" authorId="2" shapeId="0" xr:uid="{00000000-0006-0000-0F00-00001B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2" authorId="0" shapeId="0" xr:uid="{00000000-0006-0000-0F00-00001C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3" authorId="0" shapeId="0" xr:uid="{00000000-0006-0000-0F00-00001D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44" authorId="0" shapeId="0" xr:uid="{00000000-0006-0000-0F00-00001E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5" authorId="2" shapeId="0" xr:uid="{00000000-0006-0000-0F00-00001F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6" authorId="0" shapeId="0" xr:uid="{00000000-0006-0000-0F00-000020000000}">
      <text>
        <r>
          <rPr>
            <b/>
            <sz val="9"/>
            <color indexed="81"/>
            <rFont val="Tahoma"/>
            <family val="2"/>
          </rPr>
          <t>Admin:</t>
        </r>
        <r>
          <rPr>
            <sz val="9"/>
            <color indexed="81"/>
            <rFont val="Tahoma"/>
            <family val="2"/>
          </rPr>
          <t xml:space="preserve">
- HS 2,41 từ 01/11/2015
- HS 2,72 từ 01/11/2018
- HS 3,03 từ 01/11/2021
- HS 3,34 từ 01/11/2024</t>
        </r>
      </text>
    </comment>
    <comment ref="F47" authorId="2" shapeId="0" xr:uid="{00000000-0006-0000-0F00-000021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7" authorId="2" shapeId="0" xr:uid="{00000000-0006-0000-0F00-000022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8" authorId="0" shapeId="0" xr:uid="{00000000-0006-0000-0F00-000023000000}">
      <text>
        <r>
          <rPr>
            <b/>
            <sz val="9"/>
            <color indexed="81"/>
            <rFont val="Tahoma"/>
            <family val="2"/>
          </rPr>
          <t>Admin:</t>
        </r>
        <r>
          <rPr>
            <sz val="9"/>
            <color indexed="81"/>
            <rFont val="Tahoma"/>
            <family val="2"/>
          </rPr>
          <t xml:space="preserve">
- Bổ nhiệm CDNN từ 01/4/2018
- HS 2,34 từ 01/2/2017
- HS 2,67 từ 01/2/2019</t>
        </r>
      </text>
    </comment>
    <comment ref="I48" authorId="7" shapeId="0" xr:uid="{00000000-0006-0000-0F00-000024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9" authorId="1" shapeId="0" xr:uid="{00000000-0006-0000-0F00-000025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0" authorId="2" shapeId="0" xr:uid="{00000000-0006-0000-0F00-000026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50" authorId="3" shapeId="0" xr:uid="{00000000-0006-0000-0F00-000027000000}">
      <text>
        <r>
          <rPr>
            <b/>
            <sz val="9"/>
            <color indexed="81"/>
            <rFont val="Tahoma"/>
            <family val="2"/>
          </rPr>
          <t>Windows User:</t>
        </r>
        <r>
          <rPr>
            <sz val="9"/>
            <color indexed="81"/>
            <rFont val="Tahoma"/>
            <family val="2"/>
          </rPr>
          <t xml:space="preserve">
- VK 5% từ 01/9/2023
- VK 6% từ 01/9/2024</t>
        </r>
      </text>
    </comment>
    <comment ref="I50" authorId="2" shapeId="0" xr:uid="{00000000-0006-0000-0F00-000028000000}">
      <text>
        <r>
          <rPr>
            <b/>
            <sz val="9"/>
            <color indexed="81"/>
            <rFont val="Tahoma"/>
            <family val="2"/>
          </rPr>
          <t>User:</t>
        </r>
        <r>
          <rPr>
            <sz val="9"/>
            <color indexed="81"/>
            <rFont val="Tahoma"/>
            <family val="2"/>
          </rPr>
          <t xml:space="preserve">
- QĐ Bổ nhiệm Tổ trưởng tổ Ký túc xá SV từ 15/9/2015</t>
        </r>
      </text>
    </comment>
    <comment ref="F51" authorId="2" shapeId="0" xr:uid="{00000000-0006-0000-0F00-000029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2" authorId="3" shapeId="0" xr:uid="{00000000-0006-0000-0F00-00002A000000}">
      <text>
        <r>
          <rPr>
            <b/>
            <sz val="9"/>
            <color indexed="81"/>
            <rFont val="Tahoma"/>
            <family val="2"/>
          </rPr>
          <t>Windows User:</t>
        </r>
        <r>
          <rPr>
            <sz val="9"/>
            <color indexed="81"/>
            <rFont val="Tahoma"/>
            <family val="2"/>
          </rPr>
          <t xml:space="preserve">
- VK 10% từ 01/9/2023
- VK 11% từ 01/9/2024</t>
        </r>
      </text>
    </comment>
    <comment ref="I52" authorId="3" shapeId="0" xr:uid="{00000000-0006-0000-0F00-00002B000000}">
      <text>
        <r>
          <rPr>
            <b/>
            <sz val="9"/>
            <color indexed="81"/>
            <rFont val="Tahoma"/>
            <family val="2"/>
          </rPr>
          <t>Windows User:</t>
        </r>
        <r>
          <rPr>
            <sz val="9"/>
            <color indexed="81"/>
            <rFont val="Tahoma"/>
            <family val="2"/>
          </rPr>
          <t xml:space="preserve">
- Phó TP QT-DV từ T10/23</t>
        </r>
      </text>
    </comment>
    <comment ref="F53" authorId="0" shapeId="0" xr:uid="{00000000-0006-0000-0F00-00002C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4" authorId="0" shapeId="0" xr:uid="{00000000-0006-0000-0F00-00002D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5" authorId="0" shapeId="0" xr:uid="{00000000-0006-0000-0F00-00002E000000}">
      <text>
        <r>
          <rPr>
            <sz val="9"/>
            <color indexed="81"/>
            <rFont val="Tahoma"/>
            <family val="2"/>
          </rPr>
          <t>- 31% từ 01/10/2017
- 32% từ 01/10/2018
- 33% từ 01/10/2019
- 34% từ 01/10/2020
- 35% từ 01/10/2021
- 36% từ 01/10/2022
- 38% từ 01/10/2024</t>
        </r>
      </text>
    </comment>
    <comment ref="I55" authorId="2" shapeId="0" xr:uid="{00000000-0006-0000-0F00-00002F000000}">
      <text>
        <r>
          <rPr>
            <b/>
            <sz val="9"/>
            <color indexed="81"/>
            <rFont val="Tahoma"/>
            <family val="2"/>
          </rPr>
          <t>User:</t>
        </r>
        <r>
          <rPr>
            <sz val="9"/>
            <color indexed="81"/>
            <rFont val="Tahoma"/>
            <family val="2"/>
          </rPr>
          <t xml:space="preserve">
Trưởng phòng Kế toán từ 19/8/2015
</t>
        </r>
      </text>
    </comment>
    <comment ref="F56" authorId="2" shapeId="0" xr:uid="{00000000-0006-0000-0F00-000030000000}">
      <text>
        <r>
          <rPr>
            <b/>
            <sz val="9"/>
            <color indexed="81"/>
            <rFont val="Tahoma"/>
            <family val="2"/>
          </rPr>
          <t>User:</t>
        </r>
        <r>
          <rPr>
            <sz val="9"/>
            <color indexed="81"/>
            <rFont val="Tahoma"/>
            <family val="2"/>
          </rPr>
          <t xml:space="preserve">
- HS 3,00 từ 01/4/2014
- HS 3,33 từ 01/4/2017
- HS 3,66 từ 01/4/2019
- HS 3,99 từ 01/4/2022</t>
        </r>
      </text>
    </comment>
    <comment ref="F57" authorId="2" shapeId="0" xr:uid="{00000000-0006-0000-0F00-000031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8" authorId="0" shapeId="0" xr:uid="{00000000-0006-0000-0F00-000032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9" authorId="2" shapeId="0" xr:uid="{00000000-0006-0000-0F00-000033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0" authorId="0" shapeId="0" xr:uid="{00000000-0006-0000-0F00-000034000000}">
      <text>
        <r>
          <rPr>
            <b/>
            <sz val="9"/>
            <color indexed="81"/>
            <rFont val="Tahoma"/>
            <family val="2"/>
          </rPr>
          <t>Admin:</t>
        </r>
        <r>
          <rPr>
            <sz val="9"/>
            <color indexed="81"/>
            <rFont val="Tahoma"/>
            <family val="2"/>
          </rPr>
          <t xml:space="preserve">
- HS 3,66 từ 01/01/2017
- HS 3,99 từ 01/01/2019</t>
        </r>
      </text>
    </comment>
    <comment ref="I60" authorId="0" shapeId="0" xr:uid="{00000000-0006-0000-0F00-000035000000}">
      <text>
        <r>
          <rPr>
            <b/>
            <sz val="9"/>
            <color indexed="81"/>
            <rFont val="Tahoma"/>
            <family val="2"/>
          </rPr>
          <t>Admin:</t>
        </r>
        <r>
          <rPr>
            <sz val="9"/>
            <color indexed="81"/>
            <rFont val="Tahoma"/>
            <family val="2"/>
          </rPr>
          <t xml:space="preserve">
- Phụ trách TT Quan hệ DN từ 01/5/2018
- Trưởng TT từ 01/12/2019</t>
        </r>
      </text>
    </comment>
    <comment ref="F61" authorId="2" shapeId="0" xr:uid="{00000000-0006-0000-0F00-000036000000}">
      <text>
        <r>
          <rPr>
            <b/>
            <sz val="9"/>
            <color indexed="81"/>
            <rFont val="Tahoma"/>
            <family val="2"/>
          </rPr>
          <t>User:</t>
        </r>
        <r>
          <rPr>
            <sz val="9"/>
            <color indexed="81"/>
            <rFont val="Tahoma"/>
            <family val="2"/>
          </rPr>
          <t xml:space="preserve">
- HS 3,33 từ 01/9/2015
- HS 3,66 từ 01/9/2018
- HS 3,99 từ 01/9/2021
- HS 4,32 từ 01/9/2024</t>
        </r>
      </text>
    </comment>
    <comment ref="F62" authorId="0" shapeId="0" xr:uid="{00000000-0006-0000-0F00-000037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63" authorId="0" shapeId="0" xr:uid="{00000000-0006-0000-0F00-000038000000}">
      <text>
        <r>
          <rPr>
            <b/>
            <sz val="9"/>
            <color indexed="81"/>
            <rFont val="Tahoma"/>
            <family val="2"/>
          </rPr>
          <t>Admin:</t>
        </r>
        <r>
          <rPr>
            <sz val="9"/>
            <color indexed="81"/>
            <rFont val="Tahoma"/>
            <family val="2"/>
          </rPr>
          <t xml:space="preserve">
- HS 4,65 từ 01/9/2016
- HS 4,98 từ 01/9/2018 (NL trước hạn)</t>
        </r>
      </text>
    </comment>
    <comment ref="G63" authorId="1" shapeId="0" xr:uid="{00000000-0006-0000-0F00-000039000000}">
      <text>
        <r>
          <rPr>
            <b/>
            <sz val="9"/>
            <color indexed="81"/>
            <rFont val="Tahoma"/>
            <family val="2"/>
          </rPr>
          <t>user:</t>
        </r>
        <r>
          <rPr>
            <sz val="9"/>
            <color indexed="81"/>
            <rFont val="Tahoma"/>
            <family val="2"/>
          </rPr>
          <t xml:space="preserve">
- VK 5% từ 01/9/2021
- VK 6% từ 01/9/2022
- VK 7% từ 01/9/2023
- VK 8% từ 01/9/2024</t>
        </r>
      </text>
    </comment>
    <comment ref="I63" authorId="1" shapeId="0" xr:uid="{00000000-0006-0000-0F00-00003A000000}">
      <text>
        <r>
          <rPr>
            <b/>
            <sz val="9"/>
            <color indexed="81"/>
            <rFont val="Tahoma"/>
            <family val="2"/>
          </rPr>
          <t>user:</t>
        </r>
        <r>
          <rPr>
            <sz val="9"/>
            <color indexed="81"/>
            <rFont val="Tahoma"/>
            <family val="2"/>
          </rPr>
          <t xml:space="preserve">
BN Trưởng phòng T10/19</t>
        </r>
      </text>
    </comment>
    <comment ref="F64" authorId="0" shapeId="0" xr:uid="{00000000-0006-0000-0F00-00003B000000}">
      <text>
        <r>
          <rPr>
            <b/>
            <sz val="9"/>
            <color indexed="81"/>
            <rFont val="Tahoma"/>
            <family val="2"/>
          </rPr>
          <t>Admin:</t>
        </r>
        <r>
          <rPr>
            <sz val="9"/>
            <color indexed="81"/>
            <rFont val="Tahoma"/>
            <family val="2"/>
          </rPr>
          <t xml:space="preserve">
- HS 3.33 từ 01/01/2016
- HS 3,66 từ 01/01/2019</t>
        </r>
      </text>
    </comment>
    <comment ref="F65" authorId="0" shapeId="0" xr:uid="{00000000-0006-0000-0F00-00003C000000}">
      <text>
        <r>
          <rPr>
            <b/>
            <sz val="9"/>
            <color indexed="81"/>
            <rFont val="Tahoma"/>
            <family val="2"/>
          </rPr>
          <t>Admin:</t>
        </r>
        <r>
          <rPr>
            <sz val="9"/>
            <color indexed="81"/>
            <rFont val="Tahoma"/>
            <family val="2"/>
          </rPr>
          <t xml:space="preserve">
- HS 3,00 từ 01/9/2016
- HS 3,33 từ 01/9/2019
- HS 3,66 từ 01/9/2022
</t>
        </r>
      </text>
    </comment>
    <comment ref="F66" authorId="0" shapeId="0" xr:uid="{00000000-0006-0000-0F00-00003D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7" authorId="0" shapeId="0" xr:uid="{00000000-0006-0000-0F00-00003E000000}">
      <text>
        <r>
          <rPr>
            <b/>
            <sz val="9"/>
            <color indexed="81"/>
            <rFont val="Tahoma"/>
            <family val="2"/>
          </rPr>
          <t>Admin:</t>
        </r>
        <r>
          <rPr>
            <sz val="9"/>
            <color indexed="81"/>
            <rFont val="Tahoma"/>
            <family val="2"/>
          </rPr>
          <t xml:space="preserve">
- HS 3,66 từ 01/9/2016
- HS 3,99 từ 01/9/2019
- HS 4,32 từ 01/9/2022</t>
        </r>
      </text>
    </comment>
    <comment ref="F68" authorId="2" shapeId="0" xr:uid="{00000000-0006-0000-0F00-00003F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9" authorId="0" shapeId="0" xr:uid="{00000000-0006-0000-0F00-000040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9" authorId="1" shapeId="0" xr:uid="{00000000-0006-0000-0F00-000041000000}">
      <text>
        <r>
          <rPr>
            <b/>
            <sz val="9"/>
            <color indexed="81"/>
            <rFont val="Tahoma"/>
            <family val="2"/>
          </rPr>
          <t>user:</t>
        </r>
        <r>
          <rPr>
            <sz val="9"/>
            <color indexed="81"/>
            <rFont val="Tahoma"/>
            <family val="2"/>
          </rPr>
          <t xml:space="preserve">
- HS 3,33 từ 01/11/2019
- HS 3,66 từ 01/11/2022</t>
        </r>
      </text>
    </comment>
    <comment ref="F70" authorId="0" shapeId="0" xr:uid="{00000000-0006-0000-0F00-000042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0" authorId="0" shapeId="0" xr:uid="{00000000-0006-0000-0F00-000043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1" authorId="2" shapeId="0" xr:uid="{00000000-0006-0000-0F00-000044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1" authorId="3" shapeId="0" xr:uid="{00000000-0006-0000-0F00-000045000000}">
      <text>
        <r>
          <rPr>
            <b/>
            <sz val="9"/>
            <color indexed="81"/>
            <rFont val="Tahoma"/>
            <family val="2"/>
          </rPr>
          <t>Windows User:</t>
        </r>
        <r>
          <rPr>
            <sz val="9"/>
            <color indexed="81"/>
            <rFont val="Tahoma"/>
            <family val="2"/>
          </rPr>
          <t xml:space="preserve">
- Phó Trưởng phòng TS - Đào tạo từ T10/22</t>
        </r>
      </text>
    </comment>
    <comment ref="F72" authorId="2" shapeId="0" xr:uid="{00000000-0006-0000-0F00-000046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3" authorId="0" shapeId="0" xr:uid="{00000000-0006-0000-0F00-000047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4" authorId="0" shapeId="0" xr:uid="{00000000-0006-0000-0F00-000048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5" authorId="0" shapeId="0" xr:uid="{00000000-0006-0000-0F00-000049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6" authorId="0" shapeId="0" xr:uid="{00000000-0006-0000-0F00-00004A000000}">
      <text>
        <r>
          <rPr>
            <b/>
            <sz val="9"/>
            <color indexed="81"/>
            <rFont val="Tahoma"/>
            <family val="2"/>
          </rPr>
          <t>Admin:</t>
        </r>
        <r>
          <rPr>
            <sz val="9"/>
            <color indexed="81"/>
            <rFont val="Tahoma"/>
            <family val="2"/>
          </rPr>
          <t xml:space="preserve">
- HS 2.72 từ 01/01/2016
- HS 3.03 từ 01/01/2019
- HS 3,33 từ 01/6/21 (Thi nâng ngạch)</t>
        </r>
      </text>
    </comment>
    <comment ref="F77" authorId="0" shapeId="0" xr:uid="{00000000-0006-0000-0F00-00004B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8" authorId="0" shapeId="0" xr:uid="{00000000-0006-0000-0F00-00004C000000}">
      <text>
        <r>
          <rPr>
            <b/>
            <sz val="9"/>
            <color indexed="81"/>
            <rFont val="Tahoma"/>
            <family val="2"/>
          </rPr>
          <t>Admin:</t>
        </r>
        <r>
          <rPr>
            <sz val="9"/>
            <color indexed="81"/>
            <rFont val="Tahoma"/>
            <family val="2"/>
          </rPr>
          <t xml:space="preserve">
- HS 2.67 từ 01/02/2016
- HS 3,00 từ 01/02/2019</t>
        </r>
      </text>
    </comment>
    <comment ref="F79" authorId="2" shapeId="0" xr:uid="{00000000-0006-0000-0F00-00004D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9" authorId="2" shapeId="0" xr:uid="{00000000-0006-0000-0F00-00004E000000}">
      <text>
        <r>
          <rPr>
            <b/>
            <sz val="9"/>
            <color indexed="81"/>
            <rFont val="Tahoma"/>
            <family val="2"/>
          </rPr>
          <t>User:</t>
        </r>
        <r>
          <rPr>
            <sz val="9"/>
            <color indexed="81"/>
            <rFont val="Tahoma"/>
            <family val="2"/>
          </rPr>
          <t xml:space="preserve">
- Phó Trưởng phòng từ 01/8/2015
- Trưởng phòng từ 01/9/2018</t>
        </r>
      </text>
    </comment>
    <comment ref="F80" authorId="2" shapeId="0" xr:uid="{00000000-0006-0000-0F00-00004F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F81" authorId="5" shapeId="0" xr:uid="{00000000-0006-0000-0F00-000050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82" authorId="0" shapeId="0" xr:uid="{00000000-0006-0000-0F00-000051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xr:uid="{00000000-0006-0000-0F00-000052000000}">
      <text>
        <r>
          <rPr>
            <sz val="9"/>
            <color indexed="81"/>
            <rFont val="Tahoma"/>
            <family val="2"/>
          </rPr>
          <t>- HS 3,00 từ 01/11/2017
- HS 3,33 từ 01/11/2020
- HS 3,66 từ 01/11/2022</t>
        </r>
      </text>
    </comment>
    <comment ref="F84" authorId="1" shapeId="0" xr:uid="{00000000-0006-0000-0F00-00005300000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xr:uid="{00000000-0006-0000-0F00-000054000000}">
      <text>
        <r>
          <rPr>
            <b/>
            <sz val="9"/>
            <color indexed="81"/>
            <rFont val="Tahoma"/>
            <family val="2"/>
          </rPr>
          <t>Windows User:</t>
        </r>
        <r>
          <rPr>
            <sz val="9"/>
            <color indexed="81"/>
            <rFont val="Tahoma"/>
            <family val="2"/>
          </rPr>
          <t xml:space="preserve">
- Phó Trưởng TT ĐH&amp;QLDL từ T10/23</t>
        </r>
      </text>
    </comment>
    <comment ref="F85" authorId="2" shapeId="0" xr:uid="{00000000-0006-0000-0F00-00005500000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xr:uid="{00000000-0006-0000-0F00-000056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2" shapeId="0" xr:uid="{00000000-0006-0000-0F00-000057000000}">
      <text>
        <r>
          <rPr>
            <b/>
            <sz val="9"/>
            <color indexed="81"/>
            <rFont val="Tahoma"/>
            <family val="2"/>
          </rPr>
          <t>User:</t>
        </r>
        <r>
          <rPr>
            <sz val="9"/>
            <color indexed="81"/>
            <rFont val="Tahoma"/>
            <family val="2"/>
          </rPr>
          <t xml:space="preserve">
- 3.00 từ 01/12/2015
- 3,33 từ 01/12/2018
- 3,66 từ 01/12/2021</t>
        </r>
      </text>
    </comment>
    <comment ref="F87" authorId="0" shapeId="0" xr:uid="{00000000-0006-0000-0F00-000058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xr:uid="{00000000-0006-0000-0F00-000059000000}">
      <text>
        <r>
          <rPr>
            <b/>
            <sz val="9"/>
            <color indexed="81"/>
            <rFont val="Tahoma"/>
            <family val="2"/>
          </rPr>
          <t>Quynh:</t>
        </r>
        <r>
          <rPr>
            <sz val="9"/>
            <color indexed="81"/>
            <rFont val="Tahoma"/>
            <family val="2"/>
          </rPr>
          <t xml:space="preserve">
- HS 3,00 từ 01/3/2016
</t>
        </r>
      </text>
    </comment>
    <comment ref="I88" authorId="1" shapeId="0" xr:uid="{00000000-0006-0000-0F00-00005A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2" shapeId="0" xr:uid="{00000000-0006-0000-0F00-00005B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0" shapeId="0" xr:uid="{00000000-0006-0000-0F00-00005C000000}">
      <text>
        <r>
          <rPr>
            <b/>
            <sz val="9"/>
            <color indexed="81"/>
            <rFont val="Tahoma"/>
            <family val="2"/>
          </rPr>
          <t>Admin:</t>
        </r>
        <r>
          <rPr>
            <sz val="9"/>
            <color indexed="81"/>
            <rFont val="Tahoma"/>
            <family val="2"/>
          </rPr>
          <t xml:space="preserve">
- HS 2,67 từ 01/4/2016
- HS 3.00 từ 01/4/2019
- HS 3,33 từ 01/4/2022
</t>
        </r>
      </text>
    </comment>
    <comment ref="F91" authorId="0" shapeId="0" xr:uid="{00000000-0006-0000-0F00-00005D000000}">
      <text>
        <r>
          <rPr>
            <b/>
            <sz val="9"/>
            <color indexed="81"/>
            <rFont val="Tahoma"/>
            <family val="2"/>
          </rPr>
          <t>Admin:</t>
        </r>
        <r>
          <rPr>
            <sz val="9"/>
            <color indexed="81"/>
            <rFont val="Tahoma"/>
            <family val="2"/>
          </rPr>
          <t xml:space="preserve">
- HS 4,65 từ 01/9/2017
- HS 4,98 từ 01/9/2020</t>
        </r>
      </text>
    </comment>
    <comment ref="G91" authorId="3" shapeId="0" xr:uid="{00000000-0006-0000-0F00-00005E000000}">
      <text>
        <r>
          <rPr>
            <b/>
            <sz val="9"/>
            <color indexed="81"/>
            <rFont val="Tahoma"/>
            <family val="2"/>
          </rPr>
          <t>Windows User:</t>
        </r>
        <r>
          <rPr>
            <sz val="9"/>
            <color indexed="81"/>
            <rFont val="Tahoma"/>
            <family val="2"/>
          </rPr>
          <t xml:space="preserve">
- 5% từ 01/9/2023
- 6% từ 01/9/2024</t>
        </r>
      </text>
    </comment>
    <comment ref="F92" authorId="8" shapeId="0" xr:uid="{00000000-0006-0000-0F00-00005F000000}">
      <text>
        <r>
          <rPr>
            <sz val="9"/>
            <color indexed="81"/>
            <rFont val="Tahoma"/>
            <family val="2"/>
          </rPr>
          <t>- HS 4,32 từ 01/12/2017
- HS 4,65 từ 01/12/2019
- HS 4,98 từ 01/12/2022</t>
        </r>
      </text>
    </comment>
    <comment ref="I92" authorId="2" shapeId="0" xr:uid="{00000000-0006-0000-0F00-000060000000}">
      <text>
        <r>
          <rPr>
            <b/>
            <sz val="9"/>
            <color indexed="81"/>
            <rFont val="Tahoma"/>
            <family val="2"/>
          </rPr>
          <t>User:</t>
        </r>
        <r>
          <rPr>
            <sz val="9"/>
            <color indexed="81"/>
            <rFont val="Tahoma"/>
            <family val="2"/>
          </rPr>
          <t xml:space="preserve">
Trưởng khoa Kinh tế từ 20/8/2015
</t>
        </r>
      </text>
    </comment>
    <comment ref="F94" authorId="1" shapeId="0" xr:uid="{00000000-0006-0000-0F00-000061000000}">
      <text>
        <r>
          <rPr>
            <b/>
            <sz val="9"/>
            <color indexed="81"/>
            <rFont val="Tahoma"/>
            <family val="2"/>
          </rPr>
          <t>user:</t>
        </r>
        <r>
          <rPr>
            <sz val="9"/>
            <color indexed="81"/>
            <rFont val="Tahoma"/>
            <family val="2"/>
          </rPr>
          <t xml:space="preserve">
- HS 2,34 từ 01/10/2019
- HS 2,67 từ 01/10/2021 (NL trước hạn)
- HS 3,00 từ 01/10/2024</t>
        </r>
      </text>
    </comment>
    <comment ref="I94" authorId="1" shapeId="0" xr:uid="{00000000-0006-0000-0F00-000062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0" shapeId="0" xr:uid="{00000000-0006-0000-0F00-000063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0" shapeId="0" xr:uid="{00000000-0006-0000-0F00-000064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1" shapeId="0" xr:uid="{00000000-0006-0000-0F00-000065000000}">
      <text>
        <r>
          <rPr>
            <b/>
            <sz val="9"/>
            <color indexed="81"/>
            <rFont val="Tahoma"/>
            <family val="2"/>
          </rPr>
          <t>user:</t>
        </r>
        <r>
          <rPr>
            <sz val="9"/>
            <color indexed="81"/>
            <rFont val="Tahoma"/>
            <family val="2"/>
          </rPr>
          <t xml:space="preserve">
Phụ trách khoa Xây dựng từ 01/5/2019
- TK từ 01/5/2023</t>
        </r>
      </text>
    </comment>
    <comment ref="F97" authorId="1" shapeId="0" xr:uid="{00000000-0006-0000-0F00-000066000000}">
      <text>
        <r>
          <rPr>
            <b/>
            <sz val="9"/>
            <color indexed="81"/>
            <rFont val="Tahoma"/>
            <family val="2"/>
          </rPr>
          <t>user:</t>
        </r>
        <r>
          <rPr>
            <sz val="9"/>
            <color indexed="81"/>
            <rFont val="Tahoma"/>
            <family val="2"/>
          </rPr>
          <t xml:space="preserve">
- Tuyển dụng từ T5/20
- HS 2,67 từ 01/5/2021
- HS 3,00 từ 01/9/2024</t>
        </r>
      </text>
    </comment>
    <comment ref="F98" authorId="1" shapeId="0" xr:uid="{00000000-0006-0000-0F00-000067000000}">
      <text>
        <r>
          <rPr>
            <b/>
            <sz val="9"/>
            <color indexed="81"/>
            <rFont val="Tahoma"/>
            <family val="2"/>
          </rPr>
          <t>user:</t>
        </r>
        <r>
          <rPr>
            <sz val="9"/>
            <color indexed="81"/>
            <rFont val="Tahoma"/>
            <family val="2"/>
          </rPr>
          <t xml:space="preserve">
- HS 1,989 từ 01/4/21 (Tuyển dụng)
- HS 2,34 từ 01/4/2022</t>
        </r>
      </text>
    </comment>
    <comment ref="F99" authorId="0" shapeId="0" xr:uid="{00000000-0006-0000-0F00-000068000000}">
      <text>
        <r>
          <rPr>
            <b/>
            <sz val="9"/>
            <color indexed="81"/>
            <rFont val="Tahoma"/>
            <family val="2"/>
          </rPr>
          <t>Admin:</t>
        </r>
        <r>
          <rPr>
            <sz val="9"/>
            <color indexed="81"/>
            <rFont val="Tahoma"/>
            <family val="2"/>
          </rPr>
          <t xml:space="preserve">
- HS 3,33 từ 01/9/2016
- HS 3,66 từ 01/9/2019
- HS 3,99 từ 01/9/2022</t>
        </r>
      </text>
    </comment>
    <comment ref="I99" authorId="4" shapeId="0" xr:uid="{00000000-0006-0000-0F00-000069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xr:uid="{00000000-0006-0000-0F00-00006A000000}">
      <text>
        <r>
          <rPr>
            <b/>
            <sz val="9"/>
            <color indexed="81"/>
            <rFont val="Tahoma"/>
            <family val="2"/>
          </rPr>
          <t>Quynh:</t>
        </r>
        <r>
          <rPr>
            <sz val="9"/>
            <color indexed="81"/>
            <rFont val="Tahoma"/>
            <family val="2"/>
          </rPr>
          <t xml:space="preserve">
- HS 2,67 từ 01/10/2018
- HS 3,00 từ 01/10/2021
- HS 3,33 từ 01/10/2024</t>
        </r>
      </text>
    </comment>
    <comment ref="F101" authorId="1" shapeId="0" xr:uid="{00000000-0006-0000-0F00-00006B000000}">
      <text>
        <r>
          <rPr>
            <b/>
            <sz val="9"/>
            <color indexed="81"/>
            <rFont val="Tahoma"/>
            <family val="2"/>
          </rPr>
          <t>user:</t>
        </r>
        <r>
          <rPr>
            <sz val="9"/>
            <color indexed="81"/>
            <rFont val="Tahoma"/>
            <family val="2"/>
          </rPr>
          <t xml:space="preserve">
- HS 2,67 từ 01/10/2019
- HS 3,00 từ 01/10/2022</t>
        </r>
      </text>
    </comment>
    <comment ref="F102" authorId="0" shapeId="0" xr:uid="{00000000-0006-0000-0F00-00006C000000}">
      <text>
        <r>
          <rPr>
            <b/>
            <sz val="9"/>
            <color indexed="81"/>
            <rFont val="Tahoma"/>
            <family val="2"/>
          </rPr>
          <t>Admin:</t>
        </r>
        <r>
          <rPr>
            <sz val="9"/>
            <color indexed="81"/>
            <rFont val="Tahoma"/>
            <family val="2"/>
          </rPr>
          <t xml:space="preserve">
- HS 3,00 từ 01/12/2016
- HS 3,33 từ 01/12/2019
- HS 3,66 từ 01/12/2021</t>
        </r>
      </text>
    </comment>
    <comment ref="I102" authorId="4" shapeId="0" xr:uid="{00000000-0006-0000-0F00-00006D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1" shapeId="0" xr:uid="{00000000-0006-0000-0F00-00006E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0" shapeId="0" xr:uid="{00000000-0006-0000-0F00-00006F000000}">
      <text>
        <r>
          <rPr>
            <b/>
            <sz val="9"/>
            <color indexed="81"/>
            <rFont val="Tahoma"/>
            <family val="2"/>
          </rPr>
          <t>Admin:</t>
        </r>
        <r>
          <rPr>
            <sz val="9"/>
            <color indexed="81"/>
            <rFont val="Tahoma"/>
            <family val="2"/>
          </rPr>
          <t xml:space="preserve">
- HS 2,67 từ 01/9/2016
- HS 3,00 từ 01/9/2019
- HS 3,33 từ 01/9/2022</t>
        </r>
      </text>
    </comment>
    <comment ref="F105" authorId="4" shapeId="0" xr:uid="{00000000-0006-0000-0F00-000070000000}">
      <text>
        <r>
          <rPr>
            <b/>
            <sz val="9"/>
            <color indexed="81"/>
            <rFont val="Tahoma"/>
            <family val="2"/>
          </rPr>
          <t>Quynh:</t>
        </r>
        <r>
          <rPr>
            <sz val="9"/>
            <color indexed="81"/>
            <rFont val="Tahoma"/>
            <family val="2"/>
          </rPr>
          <t xml:space="preserve">
- HS 2,67 từ 01/10/2018
- HS 3,00 từ 01/10/2021
- HS 3,33 từ 01/10/2024</t>
        </r>
      </text>
    </comment>
    <comment ref="F106" authorId="0" shapeId="0" xr:uid="{00000000-0006-0000-0F00-000071000000}">
      <text>
        <r>
          <rPr>
            <b/>
            <sz val="9"/>
            <color indexed="81"/>
            <rFont val="Tahoma"/>
            <family val="2"/>
          </rPr>
          <t>Admin:</t>
        </r>
        <r>
          <rPr>
            <sz val="9"/>
            <color indexed="81"/>
            <rFont val="Tahoma"/>
            <family val="2"/>
          </rPr>
          <t xml:space="preserve">
- HS 3,00 từ 01/9/2016
- HS 3,33 từ 01/9/2019
- HS 3,66 từ 01/9/2022</t>
        </r>
      </text>
    </comment>
    <comment ref="F107" authorId="0" shapeId="0" xr:uid="{00000000-0006-0000-0F00-000072000000}">
      <text>
        <r>
          <rPr>
            <b/>
            <sz val="9"/>
            <color indexed="81"/>
            <rFont val="Tahoma"/>
            <family val="2"/>
          </rPr>
          <t>Admin:</t>
        </r>
        <r>
          <rPr>
            <sz val="9"/>
            <color indexed="81"/>
            <rFont val="Tahoma"/>
            <family val="2"/>
          </rPr>
          <t xml:space="preserve">
- HS 2,34 từ 01/09/2016
- HS 2,67 từ 01/09/2019
- HS 3,00 từ 01/09/2022
</t>
        </r>
      </text>
    </comment>
    <comment ref="F108" authorId="0" shapeId="0" xr:uid="{00000000-0006-0000-0F00-000073000000}">
      <text>
        <r>
          <rPr>
            <sz val="9"/>
            <color indexed="81"/>
            <rFont val="Tahoma"/>
            <family val="2"/>
          </rPr>
          <t>- HS 3,00  từ 01/01/2018
- HS 3,33 từ 01/01/2020 (NL trước hạn)
- HS 3,66 từ 01/01/2023</t>
        </r>
      </text>
    </comment>
    <comment ref="I108" authorId="4" shapeId="0" xr:uid="{00000000-0006-0000-0F00-000074000000}">
      <text>
        <r>
          <rPr>
            <b/>
            <sz val="9"/>
            <color indexed="81"/>
            <rFont val="Tahoma"/>
            <family val="2"/>
          </rPr>
          <t>Quynh:</t>
        </r>
        <r>
          <rPr>
            <sz val="9"/>
            <color indexed="81"/>
            <rFont val="Tahoma"/>
            <family val="2"/>
          </rPr>
          <t xml:space="preserve">
- BN Trưởng BM Cơ sở ngành từ 01/1/2019</t>
        </r>
      </text>
    </comment>
    <comment ref="F109" authorId="1" shapeId="0" xr:uid="{00000000-0006-0000-0F00-000075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1" shapeId="0" xr:uid="{00000000-0006-0000-0F00-000076000000}">
      <text>
        <r>
          <rPr>
            <b/>
            <sz val="9"/>
            <color indexed="81"/>
            <rFont val="Tahoma"/>
            <family val="2"/>
          </rPr>
          <t>user:</t>
        </r>
        <r>
          <rPr>
            <sz val="9"/>
            <color indexed="81"/>
            <rFont val="Tahoma"/>
            <family val="2"/>
          </rPr>
          <t xml:space="preserve">
- HS 2,34 từ 01/5/2021
- HS 2,67 từ 01/5/2023 (NL trước hạn)</t>
        </r>
      </text>
    </comment>
    <comment ref="I110" authorId="3" shapeId="0" xr:uid="{00000000-0006-0000-0F00-000077000000}">
      <text>
        <r>
          <rPr>
            <b/>
            <sz val="9"/>
            <color indexed="81"/>
            <rFont val="Tahoma"/>
            <family val="2"/>
          </rPr>
          <t>Windows User:</t>
        </r>
        <r>
          <rPr>
            <sz val="9"/>
            <color indexed="81"/>
            <rFont val="Tahoma"/>
            <family val="2"/>
          </rPr>
          <t xml:space="preserve">
- BN Trưởng khoa DL-KS từ 01/12/2023</t>
        </r>
      </text>
    </comment>
    <comment ref="F111" authorId="7" shapeId="0" xr:uid="{00000000-0006-0000-0F00-000078000000}">
      <text>
        <r>
          <rPr>
            <b/>
            <sz val="9"/>
            <color indexed="81"/>
            <rFont val="Tahoma"/>
            <family val="2"/>
          </rPr>
          <t>huynh-panda:</t>
        </r>
        <r>
          <rPr>
            <sz val="9"/>
            <color indexed="81"/>
            <rFont val="Tahoma"/>
            <family val="2"/>
          </rPr>
          <t xml:space="preserve">
- HS 2,34 từ 01/05/2022</t>
        </r>
      </text>
    </comment>
    <comment ref="F112" authorId="7" shapeId="0" xr:uid="{00000000-0006-0000-0F00-000079000000}">
      <text>
        <r>
          <rPr>
            <b/>
            <sz val="9"/>
            <color indexed="81"/>
            <rFont val="Tahoma"/>
            <family val="2"/>
          </rPr>
          <t>huynh-panda:</t>
        </r>
        <r>
          <rPr>
            <sz val="9"/>
            <color indexed="81"/>
            <rFont val="Tahoma"/>
            <family val="2"/>
          </rPr>
          <t xml:space="preserve">
- TD từ 01/7/2022 (HS 1,989)
- HS 2,34 từ 01/7/2023</t>
        </r>
      </text>
    </comment>
    <comment ref="F113" authorId="7" shapeId="0" xr:uid="{00000000-0006-0000-0F00-00007A000000}">
      <text>
        <r>
          <rPr>
            <b/>
            <sz val="9"/>
            <color indexed="81"/>
            <rFont val="Tahoma"/>
            <family val="2"/>
          </rPr>
          <t>huynh-panda:</t>
        </r>
        <r>
          <rPr>
            <sz val="9"/>
            <color indexed="81"/>
            <rFont val="Tahoma"/>
            <family val="2"/>
          </rPr>
          <t xml:space="preserve">
- TD từ 01/7/2022 (HS 1,989)
- HS 3,33 từ 01/3/2022
</t>
        </r>
      </text>
    </comment>
    <comment ref="B114" authorId="3" shapeId="0" xr:uid="{00000000-0006-0000-0F00-00007B00000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xr:uid="{00000000-0006-0000-0F00-00007C000000}">
      <text>
        <r>
          <rPr>
            <b/>
            <sz val="9"/>
            <color indexed="81"/>
            <rFont val="Tahoma"/>
            <family val="2"/>
          </rPr>
          <t>Windows User:</t>
        </r>
        <r>
          <rPr>
            <sz val="9"/>
            <color indexed="81"/>
            <rFont val="Tahoma"/>
            <family val="2"/>
          </rPr>
          <t xml:space="preserve">
- HS 2,67 từ 01/10/2022
- HS 3,00 từ 01/11/2022</t>
        </r>
      </text>
    </comment>
    <comment ref="B117" authorId="3" shapeId="0" xr:uid="{00000000-0006-0000-0F00-00007D000000}">
      <text>
        <r>
          <rPr>
            <b/>
            <sz val="9"/>
            <color indexed="81"/>
            <rFont val="Tahoma"/>
            <family val="2"/>
          </rPr>
          <t>Windows User:</t>
        </r>
        <r>
          <rPr>
            <sz val="9"/>
            <color indexed="81"/>
            <rFont val="Tahoma"/>
            <family val="2"/>
          </rPr>
          <t xml:space="preserve">
- Thuyên chuyển từ ĐH GTVT về trường từ T10/2023</t>
        </r>
      </text>
    </comment>
    <comment ref="F118" authorId="0" shapeId="0" xr:uid="{00000000-0006-0000-0F00-00007E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9" authorId="0" shapeId="0" xr:uid="{00000000-0006-0000-0F00-00007F000000}">
      <text>
        <r>
          <rPr>
            <b/>
            <sz val="9"/>
            <color indexed="81"/>
            <rFont val="Tahoma"/>
            <family val="2"/>
          </rPr>
          <t>Admin:</t>
        </r>
        <r>
          <rPr>
            <sz val="9"/>
            <color indexed="81"/>
            <rFont val="Tahoma"/>
            <family val="2"/>
          </rPr>
          <t xml:space="preserve">
- HS 3,00 từ 01/9/2016
- HS 3,33 từ 01/9/2019
- HS 3,66 từ 01/9/2022</t>
        </r>
      </text>
    </comment>
    <comment ref="F120" authorId="0" shapeId="0" xr:uid="{00000000-0006-0000-0F00-000080000000}">
      <text>
        <r>
          <rPr>
            <b/>
            <sz val="9"/>
            <color indexed="81"/>
            <rFont val="Tahoma"/>
            <family val="2"/>
          </rPr>
          <t>Admin:</t>
        </r>
        <r>
          <rPr>
            <sz val="9"/>
            <color indexed="81"/>
            <rFont val="Tahoma"/>
            <family val="2"/>
          </rPr>
          <t xml:space="preserve">
- HS 2,67 từ 01/9/2016
- HS 3,00 từ 01/9/2019
- HS 3,33 từ 01/9/2022</t>
        </r>
      </text>
    </comment>
    <comment ref="I120" authorId="0" shapeId="0" xr:uid="{00000000-0006-0000-0F00-000081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1" authorId="0" shapeId="0" xr:uid="{00000000-0006-0000-0F00-000082000000}">
      <text>
        <r>
          <rPr>
            <b/>
            <sz val="9"/>
            <color indexed="81"/>
            <rFont val="Tahoma"/>
            <family val="2"/>
          </rPr>
          <t>Admin:</t>
        </r>
        <r>
          <rPr>
            <sz val="9"/>
            <color indexed="81"/>
            <rFont val="Tahoma"/>
            <family val="2"/>
          </rPr>
          <t xml:space="preserve">
- HS 2,67 từ 01/9/2016
- HS 3,00 từ 01/9/2019
- HS 3,33 từ 01/9/2022</t>
        </r>
      </text>
    </comment>
    <comment ref="F122" authorId="0" shapeId="0" xr:uid="{00000000-0006-0000-0F00-00008300000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23" authorId="8" shapeId="0" xr:uid="{00000000-0006-0000-0F00-000084000000}">
      <text>
        <r>
          <rPr>
            <sz val="9"/>
            <color indexed="81"/>
            <rFont val="Tahoma"/>
            <family val="2"/>
          </rPr>
          <t>- HS 2,67 từ 01/12/2017
- HS 3,00 từ 01/12/2020
- HS 3,33 từ 01/12/2022 (NL trước hạn)</t>
        </r>
      </text>
    </comment>
    <comment ref="F124" authorId="2" shapeId="0" xr:uid="{00000000-0006-0000-0F00-000085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4" authorId="3" shapeId="0" xr:uid="{00000000-0006-0000-0F00-000086000000}">
      <text>
        <r>
          <rPr>
            <b/>
            <sz val="9"/>
            <color indexed="81"/>
            <rFont val="Tahoma"/>
            <family val="2"/>
          </rPr>
          <t>Windows User:</t>
        </r>
        <r>
          <rPr>
            <sz val="9"/>
            <color indexed="81"/>
            <rFont val="Tahoma"/>
            <family val="2"/>
          </rPr>
          <t xml:space="preserve">
- VK 5% từ 01/11/2023
- VK 6% từ 01/11/2024</t>
        </r>
      </text>
    </comment>
    <comment ref="F125" authorId="4" shapeId="0" xr:uid="{00000000-0006-0000-0F00-000087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6" authorId="1" shapeId="0" xr:uid="{00000000-0006-0000-0F00-000088000000}">
      <text>
        <r>
          <rPr>
            <b/>
            <sz val="9"/>
            <color indexed="81"/>
            <rFont val="Tahoma"/>
            <family val="2"/>
          </rPr>
          <t>user:</t>
        </r>
        <r>
          <rPr>
            <sz val="9"/>
            <color indexed="81"/>
            <rFont val="Tahoma"/>
            <family val="2"/>
          </rPr>
          <t xml:space="preserve">
- HS 2,67 từ 01/10/2019
- HS 3,00 từ 01/10/2022</t>
        </r>
      </text>
    </comment>
    <comment ref="F127" authorId="2" shapeId="0" xr:uid="{00000000-0006-0000-0F00-000089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7" authorId="1" shapeId="0" xr:uid="{00000000-0006-0000-0F00-00008A000000}">
      <text>
        <r>
          <rPr>
            <b/>
            <sz val="9"/>
            <color indexed="81"/>
            <rFont val="Tahoma"/>
            <family val="2"/>
          </rPr>
          <t>user:</t>
        </r>
        <r>
          <rPr>
            <sz val="9"/>
            <color indexed="81"/>
            <rFont val="Tahoma"/>
            <family val="2"/>
          </rPr>
          <t xml:space="preserve">
- Trưởng TT Thư viện từ 01/9/2020</t>
        </r>
      </text>
    </comment>
    <comment ref="F128" authorId="0" shapeId="0" xr:uid="{00000000-0006-0000-0F00-00008B000000}">
      <text>
        <r>
          <rPr>
            <b/>
            <sz val="9"/>
            <color indexed="81"/>
            <rFont val="Tahoma"/>
            <family val="2"/>
          </rPr>
          <t>Admin:</t>
        </r>
        <r>
          <rPr>
            <sz val="9"/>
            <color indexed="81"/>
            <rFont val="Tahoma"/>
            <family val="2"/>
          </rPr>
          <t xml:space="preserve">
- HS 4,65 từ 01/6/2016 (NL Trước hạn năm 2017)</t>
        </r>
      </text>
    </comment>
    <comment ref="G128" authorId="7" shapeId="0" xr:uid="{00000000-0006-0000-0F00-00008C000000}">
      <text>
        <r>
          <rPr>
            <b/>
            <sz val="9"/>
            <color indexed="81"/>
            <rFont val="Tahoma"/>
            <family val="2"/>
          </rPr>
          <t>Quynh-panda:</t>
        </r>
        <r>
          <rPr>
            <sz val="9"/>
            <color indexed="81"/>
            <rFont val="Tahoma"/>
            <family val="2"/>
          </rPr>
          <t xml:space="preserve">
- VK 5% từ 01/06/2022
- VK 6% từ 01/06/2023
- VK 7% từ 01/06/2024</t>
        </r>
      </text>
    </comment>
    <comment ref="F129" authorId="2" shapeId="0" xr:uid="{00000000-0006-0000-0F00-00008D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30" authorId="2" shapeId="0" xr:uid="{00000000-0006-0000-0F00-00008E000000}">
      <text>
        <r>
          <rPr>
            <b/>
            <sz val="9"/>
            <color indexed="81"/>
            <rFont val="Tahoma"/>
            <family val="2"/>
          </rPr>
          <t>User:</t>
        </r>
        <r>
          <rPr>
            <sz val="9"/>
            <color indexed="81"/>
            <rFont val="Tahoma"/>
            <family val="2"/>
          </rPr>
          <t xml:space="preserve">
' HS 3,33 từ 01/9/15
- HS 3,66 từ 01/9/2018
- HS 3,99 từ 01/9/2021
- HS 4,32 từ 01/9/2024</t>
        </r>
      </text>
    </comment>
    <comment ref="F131" authorId="0" shapeId="0" xr:uid="{00000000-0006-0000-0F00-00008F000000}">
      <text>
        <r>
          <rPr>
            <b/>
            <sz val="9"/>
            <color indexed="81"/>
            <rFont val="Tahoma"/>
            <family val="2"/>
          </rPr>
          <t>Admin:</t>
        </r>
        <r>
          <rPr>
            <sz val="9"/>
            <color indexed="81"/>
            <rFont val="Tahoma"/>
            <family val="2"/>
          </rPr>
          <t xml:space="preserve">
- HS 3,00 từ 01/12/2016
- HS 3,33 từ 01/12/2019
- HS 3,66 từ 01/12/2022</t>
        </r>
      </text>
    </comment>
    <comment ref="F132" authorId="0" shapeId="0" xr:uid="{00000000-0006-0000-0F00-000090000000}">
      <text>
        <r>
          <rPr>
            <b/>
            <sz val="9"/>
            <color indexed="81"/>
            <rFont val="Tahoma"/>
            <family val="2"/>
          </rPr>
          <t>Admin:</t>
        </r>
        <r>
          <rPr>
            <sz val="9"/>
            <color indexed="81"/>
            <rFont val="Tahoma"/>
            <family val="2"/>
          </rPr>
          <t xml:space="preserve">
- HS 3,99 từ 01/12/2015
- HS 4,32 từ 01/12/2018
- HS 4,65 từ 01/12/2021</t>
        </r>
      </text>
    </comment>
    <comment ref="F133" authorId="0" shapeId="0" xr:uid="{00000000-0006-0000-0F00-000091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4" authorId="2" shapeId="0" xr:uid="{00000000-0006-0000-0F00-000092000000}">
      <text>
        <r>
          <rPr>
            <b/>
            <sz val="9"/>
            <color indexed="81"/>
            <rFont val="Tahoma"/>
            <family val="2"/>
          </rPr>
          <t>User:</t>
        </r>
        <r>
          <rPr>
            <sz val="9"/>
            <color indexed="81"/>
            <rFont val="Tahoma"/>
            <family val="2"/>
          </rPr>
          <t xml:space="preserve">
- HS 4,65 từ 01/9/2015
- HS 4,98 từ 01/9/17 (NL trước hạn)</t>
        </r>
      </text>
    </comment>
    <comment ref="G134" authorId="1" shapeId="0" xr:uid="{00000000-0006-0000-0F00-000093000000}">
      <text>
        <r>
          <rPr>
            <b/>
            <sz val="9"/>
            <color indexed="81"/>
            <rFont val="Tahoma"/>
            <family val="2"/>
          </rPr>
          <t>user:</t>
        </r>
        <r>
          <rPr>
            <sz val="9"/>
            <color indexed="81"/>
            <rFont val="Tahoma"/>
            <family val="2"/>
          </rPr>
          <t xml:space="preserve">
- 5% từ 01/9/2020
- 6% từ 01/9/2021
- 7% từ 01/9/2022
- 8% từ 01/9/2023
- 9% từ 01/9/2024</t>
        </r>
      </text>
    </comment>
    <comment ref="F135" authorId="2" shapeId="0" xr:uid="{00000000-0006-0000-0F00-000094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6" authorId="0" shapeId="0" xr:uid="{00000000-0006-0000-0F00-000095000000}">
      <text>
        <r>
          <rPr>
            <b/>
            <sz val="9"/>
            <color indexed="81"/>
            <rFont val="Tahoma"/>
            <family val="2"/>
          </rPr>
          <t>Admin:</t>
        </r>
        <r>
          <rPr>
            <sz val="9"/>
            <color indexed="81"/>
            <rFont val="Tahoma"/>
            <family val="2"/>
          </rPr>
          <t xml:space="preserve">
- HS 3,00 từ 01/11/2016
- HS 3,33 từ 01/11/2019
- HS 3,66 từ 01/11/2022</t>
        </r>
      </text>
    </comment>
    <comment ref="F137" authorId="2" shapeId="0" xr:uid="{00000000-0006-0000-0F00-000096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7" authorId="0" shapeId="0" xr:uid="{00000000-0006-0000-0F00-000097000000}">
      <text>
        <r>
          <rPr>
            <b/>
            <sz val="9"/>
            <color indexed="81"/>
            <rFont val="Tahoma"/>
            <family val="2"/>
          </rPr>
          <t>Admin:</t>
        </r>
        <r>
          <rPr>
            <sz val="9"/>
            <color indexed="81"/>
            <rFont val="Tahoma"/>
            <family val="2"/>
          </rPr>
          <t xml:space="preserve">
- BN Phó TK từ 01/8/2018</t>
        </r>
      </text>
    </comment>
    <comment ref="F138" authorId="2" shapeId="0" xr:uid="{00000000-0006-0000-0F00-000098000000}">
      <text>
        <r>
          <rPr>
            <b/>
            <sz val="9"/>
            <color indexed="81"/>
            <rFont val="Tahoma"/>
            <family val="2"/>
          </rPr>
          <t>User:</t>
        </r>
        <r>
          <rPr>
            <sz val="9"/>
            <color indexed="81"/>
            <rFont val="Tahoma"/>
            <family val="2"/>
          </rPr>
          <t xml:space="preserve">
- HS 4,32 từ 01/9/2014
- HS 4,65 từ 01/9/2017
- HS 4,98 từ 01/9/2020</t>
        </r>
      </text>
    </comment>
    <comment ref="G138" authorId="3" shapeId="0" xr:uid="{00000000-0006-0000-0F00-000099000000}">
      <text>
        <r>
          <rPr>
            <b/>
            <sz val="9"/>
            <color indexed="81"/>
            <rFont val="Tahoma"/>
            <family val="2"/>
          </rPr>
          <t>Windows User:</t>
        </r>
        <r>
          <rPr>
            <sz val="9"/>
            <color indexed="81"/>
            <rFont val="Tahoma"/>
            <family val="2"/>
          </rPr>
          <t xml:space="preserve">
- VK 5% từ 01/9/2023
- VK 6% từ 01/9/2024</t>
        </r>
      </text>
    </comment>
    <comment ref="F139" authorId="2" shapeId="0" xr:uid="{00000000-0006-0000-0F00-00009A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0" authorId="0" shapeId="0" xr:uid="{00000000-0006-0000-0F00-00009B000000}">
      <text>
        <r>
          <rPr>
            <b/>
            <sz val="9"/>
            <color indexed="81"/>
            <rFont val="Tahoma"/>
            <family val="2"/>
          </rPr>
          <t>Admin:</t>
        </r>
        <r>
          <rPr>
            <sz val="9"/>
            <color indexed="81"/>
            <rFont val="Tahoma"/>
            <family val="2"/>
          </rPr>
          <t xml:space="preserve">
- HS 3,00 từ 01/9/2016
- HS 3,33 từ 01/3/2020
- HS 3,66 từ 01/03/2023</t>
        </r>
      </text>
    </comment>
    <comment ref="F141" authorId="0" shapeId="0" xr:uid="{00000000-0006-0000-0F00-00009C000000}">
      <text>
        <r>
          <rPr>
            <b/>
            <sz val="9"/>
            <color indexed="81"/>
            <rFont val="Tahoma"/>
            <family val="2"/>
          </rPr>
          <t>Admin:</t>
        </r>
        <r>
          <rPr>
            <sz val="9"/>
            <color indexed="81"/>
            <rFont val="Tahoma"/>
            <family val="2"/>
          </rPr>
          <t xml:space="preserve">
- HS 2,67 từ 01/9/2017
- HS 3,00 từ 01/9/2020</t>
        </r>
      </text>
    </comment>
    <comment ref="F142" authorId="0" shapeId="0" xr:uid="{00000000-0006-0000-0F00-00009D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3" authorId="2" shapeId="0" xr:uid="{00000000-0006-0000-0F00-00009E000000}">
      <text>
        <r>
          <rPr>
            <b/>
            <sz val="9"/>
            <color indexed="81"/>
            <rFont val="Tahoma"/>
            <family val="2"/>
          </rPr>
          <t>User:</t>
        </r>
        <r>
          <rPr>
            <sz val="9"/>
            <color indexed="81"/>
            <rFont val="Tahoma"/>
            <family val="2"/>
          </rPr>
          <t xml:space="preserve">
- HS 3,33 từ 01/9/2015
- HS 3,66 từ 01/9/2018
- HS 3,99 từ 01/9/2021
- HS 4,32 từ 01/9/2024</t>
        </r>
      </text>
    </comment>
    <comment ref="I143" authorId="0" shapeId="0" xr:uid="{00000000-0006-0000-0F00-00009F000000}">
      <text>
        <r>
          <rPr>
            <b/>
            <sz val="9"/>
            <color indexed="81"/>
            <rFont val="Tahoma"/>
            <family val="2"/>
          </rPr>
          <t>Admin:</t>
        </r>
        <r>
          <rPr>
            <sz val="9"/>
            <color indexed="81"/>
            <rFont val="Tahoma"/>
            <family val="2"/>
          </rPr>
          <t xml:space="preserve">
+ BN Tổ trưởng CM từ 03/5/2017</t>
        </r>
      </text>
    </comment>
    <comment ref="F144" authorId="0" shapeId="0" xr:uid="{00000000-0006-0000-0F00-0000A0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5" authorId="8" shapeId="0" xr:uid="{00000000-0006-0000-0F00-0000A1000000}">
      <text>
        <r>
          <rPr>
            <sz val="9"/>
            <color indexed="81"/>
            <rFont val="Tahoma"/>
            <family val="2"/>
          </rPr>
          <t>- HS 3,33 từ 01/3/2018
- HS 3,66 từ 01/3/2020 (NL trước hạn)
- HS 3,99 từ 01/3/2023</t>
        </r>
      </text>
    </comment>
    <comment ref="F146" authorId="2" shapeId="0" xr:uid="{00000000-0006-0000-0F00-0000A2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7" authorId="0" shapeId="0" xr:uid="{00000000-0006-0000-0F00-0000A3000000}">
      <text>
        <r>
          <rPr>
            <b/>
            <sz val="9"/>
            <color indexed="81"/>
            <rFont val="Tahoma"/>
            <family val="2"/>
          </rPr>
          <t>Admin:</t>
        </r>
        <r>
          <rPr>
            <sz val="9"/>
            <color indexed="81"/>
            <rFont val="Tahoma"/>
            <family val="2"/>
          </rPr>
          <t xml:space="preserve">
- HS 3,66 từ 01/9/2016
- HS 3,99 từ 01/9/2019
- HS 4,32 từ 01/9/2022</t>
        </r>
      </text>
    </comment>
    <comment ref="F148" authorId="8" shapeId="0" xr:uid="{00000000-0006-0000-0F00-0000A4000000}">
      <text>
        <r>
          <rPr>
            <sz val="9"/>
            <color indexed="81"/>
            <rFont val="Tahoma"/>
            <family val="2"/>
          </rPr>
          <t xml:space="preserve">- HS 3,99 từ 01/12/2017
- HS 4,32 từ 01/12/2020
- HS 4,65 từ 01/12/2023
</t>
        </r>
      </text>
    </comment>
    <comment ref="F149" authorId="0" shapeId="0" xr:uid="{00000000-0006-0000-0F00-0000A5000000}">
      <text>
        <r>
          <rPr>
            <b/>
            <sz val="9"/>
            <color indexed="81"/>
            <rFont val="Tahoma"/>
            <family val="2"/>
          </rPr>
          <t>Admin:</t>
        </r>
        <r>
          <rPr>
            <sz val="9"/>
            <color indexed="81"/>
            <rFont val="Tahoma"/>
            <family val="2"/>
          </rPr>
          <t xml:space="preserve">
- HS 3,99 từ 01/9/2017
- HS 4,32 từ 01/9/2019
- HS 4,65 từ 01/9/2022</t>
        </r>
      </text>
    </comment>
    <comment ref="I149" authorId="1" shapeId="0" xr:uid="{00000000-0006-0000-0F00-0000A6000000}">
      <text>
        <r>
          <rPr>
            <b/>
            <sz val="9"/>
            <color indexed="81"/>
            <rFont val="Tahoma"/>
            <family val="2"/>
          </rPr>
          <t>user:</t>
        </r>
        <r>
          <rPr>
            <sz val="9"/>
            <color indexed="81"/>
            <rFont val="Tahoma"/>
            <family val="2"/>
          </rPr>
          <t xml:space="preserve">
- Trưởng BM Cơ điện tử và tự động hóa từ 01/1/2020</t>
        </r>
      </text>
    </comment>
    <comment ref="F150" authorId="0" shapeId="0" xr:uid="{00000000-0006-0000-0F00-0000A7000000}">
      <text>
        <r>
          <rPr>
            <b/>
            <sz val="9"/>
            <color indexed="81"/>
            <rFont val="Tahoma"/>
            <family val="2"/>
          </rPr>
          <t>Admin:</t>
        </r>
        <r>
          <rPr>
            <sz val="9"/>
            <color indexed="81"/>
            <rFont val="Tahoma"/>
            <family val="2"/>
          </rPr>
          <t xml:space="preserve">
- HS 3,99 từ 01/9/2017
- HS 4,32 từ 01/9/2020
- HS 4,65 từ 01/9/2023</t>
        </r>
      </text>
    </comment>
    <comment ref="F151" authorId="0" shapeId="0" xr:uid="{00000000-0006-0000-0F00-0000A8000000}">
      <text>
        <r>
          <rPr>
            <b/>
            <sz val="9"/>
            <color indexed="81"/>
            <rFont val="Tahoma"/>
            <family val="2"/>
          </rPr>
          <t>Admin:</t>
        </r>
        <r>
          <rPr>
            <sz val="9"/>
            <color indexed="81"/>
            <rFont val="Tahoma"/>
            <family val="2"/>
          </rPr>
          <t xml:space="preserve">
- HS 3,33 từ 01/9/2017
- HS 3,66 từ 01/9/2020
- HS 3,99 từ 01/9/2023</t>
        </r>
      </text>
    </comment>
    <comment ref="F152" authorId="0" shapeId="0" xr:uid="{00000000-0006-0000-0F00-0000A9000000}">
      <text>
        <r>
          <rPr>
            <b/>
            <sz val="9"/>
            <color indexed="81"/>
            <rFont val="Tahoma"/>
            <family val="2"/>
          </rPr>
          <t>Admin:</t>
        </r>
        <r>
          <rPr>
            <sz val="9"/>
            <color indexed="81"/>
            <rFont val="Tahoma"/>
            <family val="2"/>
          </rPr>
          <t xml:space="preserve">
- HS 4,32 từ 01/9/2016
- HS 4,65 từ 01/9/2019
- HS 4,98 từ 01/9/2022</t>
        </r>
      </text>
    </comment>
    <comment ref="F153" authorId="0" shapeId="0" xr:uid="{00000000-0006-0000-0F00-0000AA000000}">
      <text>
        <r>
          <rPr>
            <b/>
            <sz val="9"/>
            <color indexed="81"/>
            <rFont val="Tahoma"/>
            <family val="2"/>
          </rPr>
          <t>Admin:</t>
        </r>
        <r>
          <rPr>
            <sz val="9"/>
            <color indexed="81"/>
            <rFont val="Tahoma"/>
            <family val="2"/>
          </rPr>
          <t xml:space="preserve">
- HS 3,33 từ 01/9/2017
- HS 3,66 từ 01/9/2020
- HS 3,99 từ 01/9/2023</t>
        </r>
      </text>
    </comment>
    <comment ref="I153" authorId="2" shapeId="0" xr:uid="{00000000-0006-0000-0F00-0000AB000000}">
      <text>
        <r>
          <rPr>
            <b/>
            <sz val="9"/>
            <color indexed="81"/>
            <rFont val="Tahoma"/>
            <family val="2"/>
          </rPr>
          <t>User:</t>
        </r>
        <r>
          <rPr>
            <sz val="9"/>
            <color indexed="81"/>
            <rFont val="Tahoma"/>
            <family val="2"/>
          </rPr>
          <t xml:space="preserve">
Miễn nhiệm Phó Trưởng BM từ 01/9/2015. Bảo lưu HS PC hết T02/2016</t>
        </r>
      </text>
    </comment>
    <comment ref="F154" authorId="0" shapeId="0" xr:uid="{00000000-0006-0000-0F00-0000AC000000}">
      <text>
        <r>
          <rPr>
            <sz val="9"/>
            <color indexed="81"/>
            <rFont val="Tahoma"/>
            <family val="2"/>
          </rPr>
          <t>- HS 3,00 từ 01/01/2018
- HS 3,33 từ 01/01/2023</t>
        </r>
      </text>
    </comment>
    <comment ref="I154" authorId="1" shapeId="0" xr:uid="{00000000-0006-0000-0F00-0000AD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5" authorId="0" shapeId="0" xr:uid="{00000000-0006-0000-0F00-0000AE000000}">
      <text>
        <r>
          <rPr>
            <b/>
            <sz val="9"/>
            <color indexed="81"/>
            <rFont val="Tahoma"/>
            <family val="2"/>
          </rPr>
          <t>Admin:</t>
        </r>
        <r>
          <rPr>
            <sz val="9"/>
            <color indexed="81"/>
            <rFont val="Tahoma"/>
            <family val="2"/>
          </rPr>
          <t xml:space="preserve">
- HS 2,34 từ 01/09/2016
- HS 2,67 từ 01/9/2019
- HS 3,00 từ 0/09/2022</t>
        </r>
      </text>
    </comment>
    <comment ref="F156" authorId="1" shapeId="0" xr:uid="{00000000-0006-0000-0F00-0000AF000000}">
      <text>
        <r>
          <rPr>
            <b/>
            <sz val="9"/>
            <color indexed="81"/>
            <rFont val="Tahoma"/>
            <family val="2"/>
          </rPr>
          <t>user:</t>
        </r>
        <r>
          <rPr>
            <sz val="9"/>
            <color indexed="81"/>
            <rFont val="Tahoma"/>
            <family val="2"/>
          </rPr>
          <t xml:space="preserve">
- Tuyển dụng từ 01/10/2020
- HS 2,34 từ 01/10/2021
- HS 2,67 từ 01/10/2024</t>
        </r>
      </text>
    </comment>
    <comment ref="F157" authorId="0" shapeId="0" xr:uid="{00000000-0006-0000-0F00-0000B0000000}">
      <text>
        <r>
          <rPr>
            <b/>
            <sz val="9"/>
            <color indexed="81"/>
            <rFont val="Tahoma"/>
            <family val="2"/>
          </rPr>
          <t>Admin:</t>
        </r>
        <r>
          <rPr>
            <sz val="9"/>
            <color indexed="81"/>
            <rFont val="Tahoma"/>
            <family val="2"/>
          </rPr>
          <t xml:space="preserve">
- HS 2,34 từ 01/09/2016
- HS 2,67 từ 01/9/2019
- HS 3,00 từ 01/9/2022</t>
        </r>
      </text>
    </comment>
    <comment ref="F158" authorId="1" shapeId="0" xr:uid="{00000000-0006-0000-0F00-0000B1000000}">
      <text>
        <r>
          <rPr>
            <b/>
            <sz val="9"/>
            <color indexed="81"/>
            <rFont val="Tahoma"/>
            <family val="2"/>
          </rPr>
          <t>user:</t>
        </r>
        <r>
          <rPr>
            <sz val="9"/>
            <color indexed="81"/>
            <rFont val="Tahoma"/>
            <family val="2"/>
          </rPr>
          <t xml:space="preserve">
- Tuyển dụng từ 01/5/20
- HS 2,34 từ 01/5/2021
- HS 2,67 từ 01/5/2024</t>
        </r>
      </text>
    </comment>
    <comment ref="F164" authorId="2" shapeId="0" xr:uid="{00000000-0006-0000-0F00-0000B2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4" authorId="2" shapeId="0" xr:uid="{00000000-0006-0000-0F00-0000B3000000}">
      <text>
        <r>
          <rPr>
            <b/>
            <sz val="9"/>
            <color indexed="81"/>
            <rFont val="Tahoma"/>
            <family val="2"/>
          </rPr>
          <t>User:</t>
        </r>
        <r>
          <rPr>
            <sz val="9"/>
            <color indexed="81"/>
            <rFont val="Tahoma"/>
            <family val="2"/>
          </rPr>
          <t xml:space="preserve">
HS 0,35 hưởng từ 01/7/2015
</t>
        </r>
      </text>
    </comment>
    <comment ref="F165" authorId="0" shapeId="0" xr:uid="{00000000-0006-0000-0F00-0000B400000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65" authorId="2" shapeId="0" xr:uid="{00000000-0006-0000-0F00-0000B5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6" authorId="0" shapeId="0" xr:uid="{00000000-0006-0000-0F00-0000B600000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66" authorId="1" shapeId="0" xr:uid="{00000000-0006-0000-0F00-0000B7000000}">
      <text>
        <r>
          <rPr>
            <b/>
            <sz val="9"/>
            <color indexed="81"/>
            <rFont val="Tahoma"/>
            <family val="2"/>
          </rPr>
          <t>user:</t>
        </r>
        <r>
          <rPr>
            <sz val="9"/>
            <color indexed="81"/>
            <rFont val="Tahoma"/>
            <family val="2"/>
          </rPr>
          <t xml:space="preserve">
- QĐ BN Trưởng BM GDCT từ 01/4/2021</t>
        </r>
      </text>
    </comment>
    <comment ref="F167" authorId="2" shapeId="0" xr:uid="{00000000-0006-0000-0F00-0000B8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8" authorId="0" shapeId="0" xr:uid="{00000000-0006-0000-0F00-0000B9000000}">
      <text>
        <r>
          <rPr>
            <b/>
            <sz val="9"/>
            <color indexed="81"/>
            <rFont val="Tahoma"/>
            <family val="2"/>
          </rPr>
          <t>Admin:</t>
        </r>
        <r>
          <rPr>
            <sz val="9"/>
            <color indexed="81"/>
            <rFont val="Tahoma"/>
            <family val="2"/>
          </rPr>
          <t xml:space="preserve">
- HS 3,99 từ 01/9/2017
- HS 4,32 từ 01/9/2020
- HS 4,65 từ 01/9/2023</t>
        </r>
      </text>
    </comment>
    <comment ref="F169" authorId="2" shapeId="0" xr:uid="{00000000-0006-0000-0F00-0000BA000000}">
      <text>
        <r>
          <rPr>
            <b/>
            <sz val="9"/>
            <color indexed="81"/>
            <rFont val="Tahoma"/>
            <family val="2"/>
          </rPr>
          <t>User:</t>
        </r>
        <r>
          <rPr>
            <sz val="9"/>
            <color indexed="81"/>
            <rFont val="Tahoma"/>
            <family val="2"/>
          </rPr>
          <t xml:space="preserve">
- HS 3,00 từ 01/09/2015
- HS 3,33 từ 01/9/2018
- HS 3,66 từ 01/9/2021
- HS 3,99 từ 01/9/2024</t>
        </r>
      </text>
    </comment>
    <comment ref="F170" authorId="2" shapeId="0" xr:uid="{00000000-0006-0000-0F00-0000BB000000}">
      <text>
        <r>
          <rPr>
            <b/>
            <sz val="9"/>
            <color indexed="81"/>
            <rFont val="Tahoma"/>
            <family val="2"/>
          </rPr>
          <t>User:</t>
        </r>
        <r>
          <rPr>
            <sz val="9"/>
            <color indexed="81"/>
            <rFont val="Tahoma"/>
            <family val="2"/>
          </rPr>
          <t xml:space="preserve">
- HS 3,66 từ 01/9/2015
- HS 3,99 từ 01/9/2018
- HS 4,32 từ 01/9/2021
- HS 4,65 từ 01/9/2024</t>
        </r>
      </text>
    </comment>
    <comment ref="F171" authorId="2" shapeId="0" xr:uid="{00000000-0006-0000-0F00-0000BC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2" authorId="2" shapeId="0" xr:uid="{00000000-0006-0000-0F00-0000BD000000}">
      <text>
        <r>
          <rPr>
            <b/>
            <sz val="9"/>
            <color indexed="81"/>
            <rFont val="Tahoma"/>
            <family val="2"/>
          </rPr>
          <t>User:</t>
        </r>
        <r>
          <rPr>
            <sz val="9"/>
            <color indexed="81"/>
            <rFont val="Tahoma"/>
            <family val="2"/>
          </rPr>
          <t xml:space="preserve">
- HS 3,00 từ 01/9/2015
- HS 3,33 từ 01/9/2018
- HS 3,66 từ 01/9/2021
- HS 3,99 từ 01/9/2024</t>
        </r>
      </text>
    </comment>
    <comment ref="F173" authorId="2" shapeId="0" xr:uid="{00000000-0006-0000-0F00-0000BE000000}">
      <text>
        <r>
          <rPr>
            <b/>
            <sz val="9"/>
            <color indexed="81"/>
            <rFont val="Tahoma"/>
            <family val="2"/>
          </rPr>
          <t>User:</t>
        </r>
        <r>
          <rPr>
            <sz val="9"/>
            <color indexed="81"/>
            <rFont val="Tahoma"/>
            <family val="2"/>
          </rPr>
          <t xml:space="preserve">
- HS 3,00 từ 1/9/2015
- HS 3,33 từ 01/9/2018
- HS 3,66 từ 01/9/2021
- HS 3,99 từ 01/9/2024
</t>
        </r>
      </text>
    </comment>
    <comment ref="F174" authorId="0" shapeId="0" xr:uid="{00000000-0006-0000-0F00-0000BF000000}">
      <text>
        <r>
          <rPr>
            <b/>
            <sz val="9"/>
            <color indexed="81"/>
            <rFont val="Tahoma"/>
            <family val="2"/>
          </rPr>
          <t>Admin:</t>
        </r>
        <r>
          <rPr>
            <sz val="9"/>
            <color indexed="81"/>
            <rFont val="Tahoma"/>
            <family val="2"/>
          </rPr>
          <t xml:space="preserve">
- HS 3,00 từ 01/9/2015
- HS 3,33 từ 01/9/2018
- HS 3,66 từ 01/9/2021
- HS 3,99 từ 01/9/2024</t>
        </r>
      </text>
    </comment>
    <comment ref="F175" authorId="2" shapeId="0" xr:uid="{00000000-0006-0000-0F00-0000C0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6" authorId="0" shapeId="0" xr:uid="{00000000-0006-0000-0F00-0000C1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7" authorId="0" shapeId="0" xr:uid="{00000000-0006-0000-0F00-0000C2000000}">
      <text>
        <r>
          <rPr>
            <b/>
            <sz val="9"/>
            <color indexed="81"/>
            <rFont val="Tahoma"/>
            <family val="2"/>
          </rPr>
          <t>Admin:</t>
        </r>
        <r>
          <rPr>
            <sz val="9"/>
            <color indexed="81"/>
            <rFont val="Tahoma"/>
            <family val="2"/>
          </rPr>
          <t xml:space="preserve">
- HS 3,00 từ 01/03/2017
- HS 3,33 từ 01/03/2020
- HS 3,66 từ 01/03/2023</t>
        </r>
      </text>
    </comment>
    <comment ref="F178" authorId="0" shapeId="0" xr:uid="{00000000-0006-0000-0F00-0000C3000000}">
      <text>
        <r>
          <rPr>
            <b/>
            <sz val="9"/>
            <color indexed="81"/>
            <rFont val="Tahoma"/>
            <family val="2"/>
          </rPr>
          <t>Admin:</t>
        </r>
        <r>
          <rPr>
            <sz val="9"/>
            <color indexed="81"/>
            <rFont val="Tahoma"/>
            <family val="2"/>
          </rPr>
          <t xml:space="preserve">
- HS 2,67 từ 01/9/2017
- HS 3,00 từ 01/9/2020
- HS 3,33 từ 01/9/2023</t>
        </r>
      </text>
    </comment>
    <comment ref="F179" authorId="0" shapeId="0" xr:uid="{00000000-0006-0000-0F00-0000C4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0" authorId="0" shapeId="0" xr:uid="{00000000-0006-0000-0F00-0000C5000000}">
      <text>
        <r>
          <rPr>
            <b/>
            <sz val="9"/>
            <color indexed="81"/>
            <rFont val="Tahoma"/>
            <family val="2"/>
          </rPr>
          <t>Admin:</t>
        </r>
        <r>
          <rPr>
            <sz val="9"/>
            <color indexed="81"/>
            <rFont val="Tahoma"/>
            <family val="2"/>
          </rPr>
          <t xml:space="preserve">
- 3,33 từ 01/9/2017
- 3,66 từ 01/9/2020
- 3,99 từ 01/9/2023</t>
        </r>
      </text>
    </comment>
    <comment ref="I180" authorId="2" shapeId="0" xr:uid="{00000000-0006-0000-0F00-0000C6000000}">
      <text>
        <r>
          <rPr>
            <b/>
            <sz val="9"/>
            <color indexed="81"/>
            <rFont val="Tahoma"/>
            <family val="2"/>
          </rPr>
          <t>User:</t>
        </r>
        <r>
          <rPr>
            <sz val="9"/>
            <color indexed="81"/>
            <rFont val="Tahoma"/>
            <family val="2"/>
          </rPr>
          <t xml:space="preserve">
Miễn nhiệm Trưởng bộ môn từ 01/9/2015</t>
        </r>
      </text>
    </comment>
    <comment ref="F181" authorId="0" shapeId="0" xr:uid="{00000000-0006-0000-0F00-0000C7000000}">
      <text>
        <r>
          <rPr>
            <b/>
            <sz val="9"/>
            <color indexed="81"/>
            <rFont val="Tahoma"/>
            <family val="2"/>
          </rPr>
          <t>Admin:</t>
        </r>
        <r>
          <rPr>
            <sz val="9"/>
            <color indexed="81"/>
            <rFont val="Tahoma"/>
            <family val="2"/>
          </rPr>
          <t xml:space="preserve">
- HS 3,33 từ 01/9/2016
- HS 3,66 từ 01/9/2019
- HS 3,99 từ 01/9/2022</t>
        </r>
      </text>
    </comment>
    <comment ref="I181" authorId="2" shapeId="0" xr:uid="{00000000-0006-0000-0F00-0000C8000000}">
      <text>
        <r>
          <rPr>
            <b/>
            <sz val="9"/>
            <color indexed="81"/>
            <rFont val="Tahoma"/>
            <family val="2"/>
          </rPr>
          <t>User:</t>
        </r>
        <r>
          <rPr>
            <sz val="9"/>
            <color indexed="81"/>
            <rFont val="Tahoma"/>
            <family val="2"/>
          </rPr>
          <t xml:space="preserve">
Miễn nhiệm Trưởng BM từ 01/9/15
</t>
        </r>
      </text>
    </comment>
    <comment ref="F182" authorId="2" shapeId="0" xr:uid="{00000000-0006-0000-0F00-0000C9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2" authorId="2" shapeId="0" xr:uid="{00000000-0006-0000-0F00-0000CA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83" authorId="8" shapeId="0" xr:uid="{00000000-0006-0000-0F00-0000CB000000}">
      <text>
        <r>
          <rPr>
            <sz val="9"/>
            <color indexed="81"/>
            <rFont val="Tahoma"/>
            <family val="2"/>
          </rPr>
          <t xml:space="preserve">- HS 3,33 từ 01/12/2017
- HS 3,66 từ 01/12/2020
- HS 3,99 từ 01/12/2023
</t>
        </r>
      </text>
    </comment>
    <comment ref="F184" authorId="2" shapeId="0" xr:uid="{00000000-0006-0000-0F00-0000CC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4" authorId="2" shapeId="0" xr:uid="{00000000-0006-0000-0F00-0000CD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5" authorId="2" shapeId="0" xr:uid="{00000000-0006-0000-0F00-0000CE000000}">
      <text>
        <r>
          <rPr>
            <b/>
            <sz val="9"/>
            <color indexed="81"/>
            <rFont val="Tahoma"/>
            <family val="2"/>
          </rPr>
          <t>User:</t>
        </r>
        <r>
          <rPr>
            <sz val="9"/>
            <color indexed="81"/>
            <rFont val="Tahoma"/>
            <family val="2"/>
          </rPr>
          <t xml:space="preserve">
- HS 3,00 từ 01/9/2015
- HS 3,33 từ 01/9/2018
- HS 3,66 từ 01/9/2021
- HS 3,99 từ 01/9/2024</t>
        </r>
      </text>
    </comment>
    <comment ref="F186" authorId="2" shapeId="0" xr:uid="{00000000-0006-0000-0F00-0000CF000000}">
      <text>
        <r>
          <rPr>
            <b/>
            <sz val="9"/>
            <color indexed="81"/>
            <rFont val="Tahoma"/>
            <family val="2"/>
          </rPr>
          <t>User:</t>
        </r>
        <r>
          <rPr>
            <sz val="9"/>
            <color indexed="81"/>
            <rFont val="Tahoma"/>
            <family val="2"/>
          </rPr>
          <t xml:space="preserve">
- HS 3,00 từ 01/9/2015
- HS 3,33 từ 01/9/2018
- HS 3,66 từ 01/9/2021
- HS 3,99 từ 01/9/2024</t>
        </r>
      </text>
    </comment>
    <comment ref="F187" authorId="2" shapeId="0" xr:uid="{00000000-0006-0000-0F00-0000D0000000}">
      <text>
        <r>
          <rPr>
            <b/>
            <sz val="9"/>
            <color indexed="81"/>
            <rFont val="Tahoma"/>
            <family val="2"/>
          </rPr>
          <t>User:</t>
        </r>
        <r>
          <rPr>
            <sz val="9"/>
            <color indexed="81"/>
            <rFont val="Tahoma"/>
            <family val="2"/>
          </rPr>
          <t xml:space="preserve">
- HS 3,00 từ 01/10/2015
- HS 3,33 từ 01/10/2018
- HS 3,66 từ 01/10/2021
- HS 3,99 từ 01/10/2024</t>
        </r>
      </text>
    </comment>
    <comment ref="F188" authorId="0" shapeId="0" xr:uid="{00000000-0006-0000-0F00-0000D1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8" authorId="2" shapeId="0" xr:uid="{00000000-0006-0000-0F00-0000D2000000}">
      <text>
        <r>
          <rPr>
            <b/>
            <sz val="9"/>
            <color indexed="81"/>
            <rFont val="Tahoma"/>
            <family val="2"/>
          </rPr>
          <t>User:</t>
        </r>
        <r>
          <rPr>
            <sz val="9"/>
            <color indexed="81"/>
            <rFont val="Tahoma"/>
            <family val="2"/>
          </rPr>
          <t xml:space="preserve">
BN Trưởng BM MẠng Máy tính từ 01/9/2015
- Phó khoa CNTT từ T10/2022</t>
        </r>
      </text>
    </comment>
    <comment ref="F189" authorId="4" shapeId="0" xr:uid="{00000000-0006-0000-0F00-0000D3000000}">
      <text>
        <r>
          <rPr>
            <b/>
            <sz val="9"/>
            <color indexed="81"/>
            <rFont val="Tahoma"/>
            <family val="2"/>
          </rPr>
          <t>Quynh:</t>
        </r>
        <r>
          <rPr>
            <sz val="9"/>
            <color indexed="81"/>
            <rFont val="Tahoma"/>
            <family val="2"/>
          </rPr>
          <t xml:space="preserve">
- HS 3,00 từ 01/5/2018
- HS 3,33 từ 01/5/2021
- HS 3,66 từ 01/5/2024</t>
        </r>
      </text>
    </comment>
    <comment ref="F190" authorId="0" shapeId="0" xr:uid="{00000000-0006-0000-0F00-0000D400000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90" authorId="7" shapeId="0" xr:uid="{00000000-0006-0000-0F00-0000D5000000}">
      <text>
        <r>
          <rPr>
            <b/>
            <sz val="9"/>
            <color indexed="81"/>
            <rFont val="Tahoma"/>
            <family val="2"/>
          </rPr>
          <t>huynh-panda:</t>
        </r>
        <r>
          <rPr>
            <sz val="9"/>
            <color indexed="81"/>
            <rFont val="Tahoma"/>
            <family val="2"/>
          </rPr>
          <t xml:space="preserve">
Phụ trách BM Khoa học máy tính từ 06/7/2022</t>
        </r>
      </text>
    </comment>
    <comment ref="F191" authorId="0" shapeId="0" xr:uid="{00000000-0006-0000-0F00-0000D6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92" authorId="0" shapeId="0" xr:uid="{00000000-0006-0000-0F00-0000D700000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92" authorId="2" shapeId="0" xr:uid="{00000000-0006-0000-0F00-0000D8000000}">
      <text>
        <r>
          <rPr>
            <b/>
            <sz val="9"/>
            <color indexed="81"/>
            <rFont val="Tahoma"/>
            <family val="2"/>
          </rPr>
          <t>User:</t>
        </r>
        <r>
          <rPr>
            <sz val="9"/>
            <color indexed="81"/>
            <rFont val="Tahoma"/>
            <family val="2"/>
          </rPr>
          <t xml:space="preserve">
+ HS 0,45 được bảo lưu đến hết 31/12/2015</t>
        </r>
      </text>
    </comment>
    <comment ref="F193" authorId="0" shapeId="0" xr:uid="{00000000-0006-0000-0F00-0000D900000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94" authorId="0" shapeId="0" xr:uid="{00000000-0006-0000-0F00-0000DA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4" authorId="7" shapeId="0" xr:uid="{00000000-0006-0000-0F00-0000DB000000}">
      <text>
        <r>
          <rPr>
            <b/>
            <sz val="9"/>
            <color indexed="81"/>
            <rFont val="Tahoma"/>
            <family val="2"/>
          </rPr>
          <t>huynh-panda:</t>
        </r>
        <r>
          <rPr>
            <sz val="9"/>
            <color indexed="81"/>
            <rFont val="Tahoma"/>
            <family val="2"/>
          </rPr>
          <t xml:space="preserve">
- Phụ trách BM Công nghệ phần mềm từ 05/7/2022</t>
        </r>
      </text>
    </comment>
    <comment ref="F195" authorId="0" shapeId="0" xr:uid="{00000000-0006-0000-0F00-0000DC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7" authorId="3" shapeId="0" xr:uid="{00000000-0006-0000-0F00-0000DD000000}">
      <text>
        <r>
          <rPr>
            <b/>
            <sz val="9"/>
            <color indexed="81"/>
            <rFont val="Tahoma"/>
            <family val="2"/>
          </rPr>
          <t>Windows User:</t>
        </r>
        <r>
          <rPr>
            <sz val="9"/>
            <color indexed="81"/>
            <rFont val="Tahoma"/>
            <family val="2"/>
          </rPr>
          <t xml:space="preserve">
- HS 2,34 từ 01/9/2024</t>
        </r>
      </text>
    </comment>
    <comment ref="F198" authorId="0" shapeId="0" xr:uid="{00000000-0006-0000-0F00-0000DE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8" authorId="2" shapeId="0" xr:uid="{00000000-0006-0000-0F00-0000DF000000}">
      <text>
        <r>
          <rPr>
            <b/>
            <sz val="9"/>
            <color indexed="81"/>
            <rFont val="Tahoma"/>
            <family val="2"/>
          </rPr>
          <t>User:</t>
        </r>
        <r>
          <rPr>
            <sz val="9"/>
            <color indexed="81"/>
            <rFont val="Tahoma"/>
            <family val="2"/>
          </rPr>
          <t xml:space="preserve">
- QĐ Bổ nhiệm trưởng khoa từ 01/2/2016</t>
        </r>
      </text>
    </comment>
    <comment ref="F199" authorId="0" shapeId="0" xr:uid="{00000000-0006-0000-0F00-0000E0000000}">
      <text>
        <r>
          <rPr>
            <b/>
            <sz val="9"/>
            <color indexed="81"/>
            <rFont val="Tahoma"/>
            <family val="2"/>
          </rPr>
          <t>Admin:</t>
        </r>
        <r>
          <rPr>
            <sz val="9"/>
            <color indexed="81"/>
            <rFont val="Tahoma"/>
            <family val="2"/>
          </rPr>
          <t xml:space="preserve">
- HS 4,65 từ 01/12/2015
- HS 4,98 từ 01/12/2018</t>
        </r>
      </text>
    </comment>
    <comment ref="G199" authorId="1" shapeId="0" xr:uid="{00000000-0006-0000-0F00-0000E1000000}">
      <text>
        <r>
          <rPr>
            <b/>
            <sz val="9"/>
            <color indexed="81"/>
            <rFont val="Tahoma"/>
            <family val="2"/>
          </rPr>
          <t>user:</t>
        </r>
        <r>
          <rPr>
            <sz val="9"/>
            <color indexed="81"/>
            <rFont val="Tahoma"/>
            <family val="2"/>
          </rPr>
          <t xml:space="preserve">
- VK 5% từ 01/12/2021
- VK 6% từ 01/12/2022
- VK 7% từ 01/12/2023</t>
        </r>
      </text>
    </comment>
    <comment ref="F200" authorId="0" shapeId="0" xr:uid="{00000000-0006-0000-0F00-0000E2000000}">
      <text>
        <r>
          <rPr>
            <b/>
            <sz val="9"/>
            <color indexed="81"/>
            <rFont val="Tahoma"/>
            <family val="2"/>
          </rPr>
          <t>Admin:</t>
        </r>
        <r>
          <rPr>
            <sz val="9"/>
            <color indexed="81"/>
            <rFont val="Tahoma"/>
            <family val="2"/>
          </rPr>
          <t xml:space="preserve">
- HS 4,65 từ 01/9/2015
- HS 4,98 từ 01/9/2018</t>
        </r>
      </text>
    </comment>
    <comment ref="G200" authorId="1" shapeId="0" xr:uid="{00000000-0006-0000-0F00-0000E3000000}">
      <text>
        <r>
          <rPr>
            <b/>
            <sz val="9"/>
            <color indexed="81"/>
            <rFont val="Tahoma"/>
            <family val="2"/>
          </rPr>
          <t>user:</t>
        </r>
        <r>
          <rPr>
            <sz val="9"/>
            <color indexed="81"/>
            <rFont val="Tahoma"/>
            <family val="2"/>
          </rPr>
          <t xml:space="preserve">
- VK 5% từ 01/9/2021
- VK 6% từ 01/9/2022
- VK 7% từ 01/9/2023
- VK 8% từ 01/9/2024</t>
        </r>
      </text>
    </comment>
    <comment ref="F201" authorId="0" shapeId="0" xr:uid="{00000000-0006-0000-0F00-0000E4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2" authorId="2" shapeId="0" xr:uid="{00000000-0006-0000-0F00-0000E5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203" authorId="0" shapeId="0" xr:uid="{00000000-0006-0000-0F00-0000E6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3" authorId="0" shapeId="0" xr:uid="{00000000-0006-0000-0F00-0000E7000000}">
      <text>
        <r>
          <rPr>
            <b/>
            <sz val="9"/>
            <color indexed="81"/>
            <rFont val="Tahoma"/>
            <family val="2"/>
          </rPr>
          <t>Admin:</t>
        </r>
        <r>
          <rPr>
            <sz val="9"/>
            <color indexed="81"/>
            <rFont val="Tahoma"/>
            <family val="2"/>
          </rPr>
          <t xml:space="preserve">
QĐ BN Trưởng BM từ 15/5/2016
</t>
        </r>
      </text>
    </comment>
    <comment ref="F204" authorId="0" shapeId="0" xr:uid="{00000000-0006-0000-0F00-0000E8000000}">
      <text>
        <r>
          <rPr>
            <b/>
            <sz val="9"/>
            <color indexed="81"/>
            <rFont val="Tahoma"/>
            <family val="2"/>
          </rPr>
          <t>Admin:</t>
        </r>
        <r>
          <rPr>
            <sz val="9"/>
            <color indexed="81"/>
            <rFont val="Tahoma"/>
            <family val="2"/>
          </rPr>
          <t xml:space="preserve">
- HS 4,65 từ 01/9/2016 (NL Trước hạn năm 2017)
- HS 4,98 từ 01/9/2019</t>
        </r>
      </text>
    </comment>
    <comment ref="G204" authorId="7" shapeId="0" xr:uid="{00000000-0006-0000-0F00-0000E9000000}">
      <text>
        <r>
          <rPr>
            <b/>
            <sz val="9"/>
            <color indexed="81"/>
            <rFont val="Tahoma"/>
            <family val="2"/>
          </rPr>
          <t>huynh-panda:</t>
        </r>
        <r>
          <rPr>
            <sz val="9"/>
            <color indexed="81"/>
            <rFont val="Tahoma"/>
            <family val="2"/>
          </rPr>
          <t xml:space="preserve">
- VK 5% từ 01/9/2022
- VK 6% từ 01/9/2023
- VK 7% từ 01/9/2024</t>
        </r>
      </text>
    </comment>
    <comment ref="I204" authorId="0" shapeId="0" xr:uid="{00000000-0006-0000-0F00-0000EA000000}">
      <text>
        <r>
          <rPr>
            <sz val="9"/>
            <color indexed="81"/>
            <rFont val="Tahoma"/>
            <family val="2"/>
          </rPr>
          <t>QĐ phụ trách từ 01/12/2017</t>
        </r>
      </text>
    </comment>
    <comment ref="F205" authorId="0" shapeId="0" xr:uid="{00000000-0006-0000-0F00-0000EB000000}">
      <text>
        <r>
          <rPr>
            <b/>
            <sz val="9"/>
            <color indexed="81"/>
            <rFont val="Tahoma"/>
            <family val="2"/>
          </rPr>
          <t>Admin:</t>
        </r>
        <r>
          <rPr>
            <sz val="9"/>
            <color indexed="81"/>
            <rFont val="Tahoma"/>
            <family val="2"/>
          </rPr>
          <t xml:space="preserve">
- HS 3,33 từ 01/9/2017
- HS 3,66 từ 01/9/2020
- HS 3,99 từ 01/9/2023</t>
        </r>
      </text>
    </comment>
    <comment ref="F206" authorId="0" shapeId="0" xr:uid="{00000000-0006-0000-0F00-0000EC000000}">
      <text>
        <r>
          <rPr>
            <b/>
            <sz val="9"/>
            <color indexed="81"/>
            <rFont val="Tahoma"/>
            <family val="2"/>
          </rPr>
          <t>Admin:</t>
        </r>
        <r>
          <rPr>
            <sz val="9"/>
            <color indexed="81"/>
            <rFont val="Tahoma"/>
            <family val="2"/>
          </rPr>
          <t xml:space="preserve">
- HS 4,65 từ 01/9/2017
- HS 4,98 từ 01/9/2020</t>
        </r>
      </text>
    </comment>
    <comment ref="G206" authorId="3" shapeId="0" xr:uid="{00000000-0006-0000-0F00-0000ED000000}">
      <text>
        <r>
          <rPr>
            <b/>
            <sz val="9"/>
            <color indexed="81"/>
            <rFont val="Tahoma"/>
            <family val="2"/>
          </rPr>
          <t>Windows User:</t>
        </r>
        <r>
          <rPr>
            <sz val="9"/>
            <color indexed="81"/>
            <rFont val="Tahoma"/>
            <family val="2"/>
          </rPr>
          <t xml:space="preserve">
- VK 5% từ 01/9/2023
- VK 6% từ 01/9/2024</t>
        </r>
      </text>
    </comment>
    <comment ref="F207" authorId="2" shapeId="0" xr:uid="{00000000-0006-0000-0F00-0000EE000000}">
      <text>
        <r>
          <rPr>
            <b/>
            <sz val="9"/>
            <color indexed="81"/>
            <rFont val="Tahoma"/>
            <family val="2"/>
          </rPr>
          <t>User:</t>
        </r>
        <r>
          <rPr>
            <sz val="9"/>
            <color indexed="81"/>
            <rFont val="Tahoma"/>
            <family val="2"/>
          </rPr>
          <t xml:space="preserve">
- HS 3,00 từ 01/9/2015
- HS 3,33 từ 01/9/2018
- HS 3,66 từ 01/9/2021
- HS 3,99 từ 01/9/2024</t>
        </r>
      </text>
    </comment>
    <comment ref="I207" authorId="6" shapeId="0" xr:uid="{00000000-0006-0000-0F00-0000EF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8" authorId="2" shapeId="0" xr:uid="{00000000-0006-0000-0F00-0000F0000000}">
      <text>
        <r>
          <rPr>
            <b/>
            <sz val="9"/>
            <color indexed="81"/>
            <rFont val="Tahoma"/>
            <family val="2"/>
          </rPr>
          <t>User:</t>
        </r>
        <r>
          <rPr>
            <sz val="9"/>
            <color indexed="81"/>
            <rFont val="Tahoma"/>
            <family val="2"/>
          </rPr>
          <t xml:space="preserve">
- HS 3,00 từ 01/9/2015
- HS 3,33 từ 01/9/2018
- HS 3,66 từ 01/9/2021
- HS 3,99 từ 01/9/2024</t>
        </r>
      </text>
    </comment>
    <comment ref="F209" authorId="0" shapeId="0" xr:uid="{00000000-0006-0000-0F00-0000F1000000}">
      <text>
        <r>
          <rPr>
            <b/>
            <sz val="9"/>
            <color indexed="81"/>
            <rFont val="Tahoma"/>
            <family val="2"/>
          </rPr>
          <t>Admin:</t>
        </r>
        <r>
          <rPr>
            <sz val="9"/>
            <color indexed="81"/>
            <rFont val="Tahoma"/>
            <family val="2"/>
          </rPr>
          <t xml:space="preserve">
- HS 3,00 từ 01/9/2016
- HS 3,33 từ 01/9/2019
- HS 3,66 từ 01/9/2022</t>
        </r>
      </text>
    </comment>
    <comment ref="F210" authorId="0" shapeId="0" xr:uid="{00000000-0006-0000-0F00-0000F2000000}">
      <text>
        <r>
          <rPr>
            <b/>
            <sz val="9"/>
            <color indexed="81"/>
            <rFont val="Tahoma"/>
            <family val="2"/>
          </rPr>
          <t>Admin:</t>
        </r>
        <r>
          <rPr>
            <sz val="9"/>
            <color indexed="81"/>
            <rFont val="Tahoma"/>
            <family val="2"/>
          </rPr>
          <t xml:space="preserve">
- HS 3,00 từ 01/9/2016
- HS 3,33 từ 01/9/2019
- HS 3,66 từ 01/9/2022</t>
        </r>
      </text>
    </comment>
    <comment ref="F211" authorId="0" shapeId="0" xr:uid="{00000000-0006-0000-0F00-0000F3000000}">
      <text>
        <r>
          <rPr>
            <b/>
            <sz val="9"/>
            <color indexed="81"/>
            <rFont val="Tahoma"/>
            <family val="2"/>
          </rPr>
          <t>Admin:</t>
        </r>
        <r>
          <rPr>
            <sz val="9"/>
            <color indexed="81"/>
            <rFont val="Tahoma"/>
            <family val="2"/>
          </rPr>
          <t xml:space="preserve">
- HS 3,00 từ 01/9/2016
- HS 3,33 từ 01/9/2019
- HS 3,66 từ 01/9/2022</t>
        </r>
      </text>
    </comment>
    <comment ref="F212" authorId="0" shapeId="0" xr:uid="{00000000-0006-0000-0F00-0000F4000000}">
      <text>
        <r>
          <rPr>
            <b/>
            <sz val="9"/>
            <color indexed="81"/>
            <rFont val="Tahoma"/>
            <family val="2"/>
          </rPr>
          <t>Admin:</t>
        </r>
        <r>
          <rPr>
            <sz val="9"/>
            <color indexed="81"/>
            <rFont val="Tahoma"/>
            <family val="2"/>
          </rPr>
          <t xml:space="preserve">
- HS 3,00 từ 01/9/2017
- HS 3,33 từ 01/9/2020
- HS 3,66 từ 01/9/2023</t>
        </r>
      </text>
    </comment>
    <comment ref="I212" authorId="2" shapeId="0" xr:uid="{00000000-0006-0000-0F00-0000F5000000}">
      <text>
        <r>
          <rPr>
            <b/>
            <sz val="9"/>
            <color indexed="81"/>
            <rFont val="Tahoma"/>
            <family val="2"/>
          </rPr>
          <t>User:</t>
        </r>
        <r>
          <rPr>
            <sz val="9"/>
            <color indexed="81"/>
            <rFont val="Tahoma"/>
            <family val="2"/>
          </rPr>
          <t xml:space="preserve">
BN Trưởng BM Cơ sở Cơ khí từ 01/09/2015</t>
        </r>
      </text>
    </comment>
    <comment ref="F213" authorId="0" shapeId="0" xr:uid="{00000000-0006-0000-0F00-0000F6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13" authorId="2" shapeId="0" xr:uid="{00000000-0006-0000-0F00-0000F7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4" authorId="0" shapeId="0" xr:uid="{00000000-0006-0000-0F00-0000F8000000}">
      <text>
        <r>
          <rPr>
            <b/>
            <sz val="9"/>
            <color indexed="81"/>
            <rFont val="Tahoma"/>
            <family val="2"/>
          </rPr>
          <t>Admin:</t>
        </r>
        <r>
          <rPr>
            <sz val="9"/>
            <color indexed="81"/>
            <rFont val="Tahoma"/>
            <family val="2"/>
          </rPr>
          <t xml:space="preserve">
- HS 3,00 từ 01/10/2016
- HS 3,33 từ 01/10/2019
- HS 3,66 từ 01/10/2022</t>
        </r>
      </text>
    </comment>
    <comment ref="F215" authorId="0" shapeId="0" xr:uid="{00000000-0006-0000-0F00-0000F9000000}">
      <text>
        <r>
          <rPr>
            <b/>
            <sz val="9"/>
            <color indexed="81"/>
            <rFont val="Tahoma"/>
            <family val="2"/>
          </rPr>
          <t>Admin:</t>
        </r>
        <r>
          <rPr>
            <sz val="9"/>
            <color indexed="81"/>
            <rFont val="Tahoma"/>
            <family val="2"/>
          </rPr>
          <t xml:space="preserve">
- HS 2,67 từ 01/10/2016
- HS 3,00 từ 01/10/2019
- HS 3,33 từ 01/10/2022</t>
        </r>
      </text>
    </comment>
    <comment ref="F216" authorId="2" shapeId="0" xr:uid="{00000000-0006-0000-0F00-0000FA000000}">
      <text>
        <r>
          <rPr>
            <b/>
            <sz val="9"/>
            <color indexed="81"/>
            <rFont val="Tahoma"/>
            <family val="2"/>
          </rPr>
          <t>User:</t>
        </r>
        <r>
          <rPr>
            <sz val="9"/>
            <color indexed="81"/>
            <rFont val="Tahoma"/>
            <family val="2"/>
          </rPr>
          <t xml:space="preserve">
- HS 4,65 từ 01/9/2015
- HS 4,98 từ 01/9/2018</t>
        </r>
      </text>
    </comment>
    <comment ref="G216" authorId="1" shapeId="0" xr:uid="{00000000-0006-0000-0F00-0000FB000000}">
      <text>
        <r>
          <rPr>
            <b/>
            <sz val="9"/>
            <color indexed="81"/>
            <rFont val="Tahoma"/>
            <family val="2"/>
          </rPr>
          <t>user:</t>
        </r>
        <r>
          <rPr>
            <sz val="9"/>
            <color indexed="81"/>
            <rFont val="Tahoma"/>
            <family val="2"/>
          </rPr>
          <t xml:space="preserve">
- VK 5% từ 01/9/2021
- VK 6% từ 01/9/2022
- VK 7% từ 01/9/2023
- VK 8% từ 01/9/2024</t>
        </r>
      </text>
    </comment>
    <comment ref="F217" authorId="2" shapeId="0" xr:uid="{00000000-0006-0000-0F00-0000FC00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8" authorId="1" shapeId="0" xr:uid="{00000000-0006-0000-0F00-0000FD000000}">
      <text>
        <r>
          <rPr>
            <b/>
            <sz val="9"/>
            <color indexed="81"/>
            <rFont val="Tahoma"/>
            <family val="2"/>
          </rPr>
          <t>user:</t>
        </r>
        <r>
          <rPr>
            <sz val="9"/>
            <color indexed="81"/>
            <rFont val="Tahoma"/>
            <family val="2"/>
          </rPr>
          <t xml:space="preserve">
- BN CDNN từ 01/4/2019 (HS 2.67)
- HS 3,00 từ 01/4/2022</t>
        </r>
      </text>
    </comment>
    <comment ref="F219" authorId="1" shapeId="0" xr:uid="{00000000-0006-0000-0F00-0000FE000000}">
      <text>
        <r>
          <rPr>
            <b/>
            <sz val="9"/>
            <color indexed="81"/>
            <rFont val="Tahoma"/>
            <family val="2"/>
          </rPr>
          <t>user:</t>
        </r>
        <r>
          <rPr>
            <sz val="9"/>
            <color indexed="81"/>
            <rFont val="Tahoma"/>
            <family val="2"/>
          </rPr>
          <t xml:space="preserve">
- HS 2,67 từ 01/10/2019
- HS 3,00 từ 01/10/2022</t>
        </r>
      </text>
    </comment>
    <comment ref="G220" authorId="0" shapeId="0" xr:uid="{00000000-0006-0000-0F00-0000FF00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1" authorId="4" shapeId="0" xr:uid="{00000000-0006-0000-0F00-000000010000}">
      <text>
        <r>
          <rPr>
            <b/>
            <sz val="9"/>
            <color indexed="81"/>
            <rFont val="Tahoma"/>
            <family val="2"/>
          </rPr>
          <t>Quynh:</t>
        </r>
        <r>
          <rPr>
            <sz val="9"/>
            <color indexed="81"/>
            <rFont val="Tahoma"/>
            <family val="2"/>
          </rPr>
          <t xml:space="preserve">
- Tuyển dụng từ 01/4/2019
- HS 2,34 từ 01/04/2020
- HS 2,67 từ 01/4/2022</t>
        </r>
      </text>
    </comment>
    <comment ref="F222" authorId="1" shapeId="0" xr:uid="{00000000-0006-0000-0F00-000001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3" authorId="1" shapeId="0" xr:uid="{00000000-0006-0000-0F00-000002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4" authorId="3" shapeId="0" xr:uid="{00000000-0006-0000-0F00-000003010000}">
      <text>
        <r>
          <rPr>
            <b/>
            <sz val="9"/>
            <color indexed="81"/>
            <rFont val="Tahoma"/>
            <family val="2"/>
          </rPr>
          <t>Windows User:</t>
        </r>
        <r>
          <rPr>
            <sz val="9"/>
            <color indexed="81"/>
            <rFont val="Tahoma"/>
            <family val="2"/>
          </rPr>
          <t xml:space="preserve">
- Tuyển dụng từ T10/2022
- HS 2,67 từ 01/10/2022</t>
        </r>
      </text>
    </comment>
    <comment ref="F225" authorId="0" shapeId="0" xr:uid="{00000000-0006-0000-0F00-000004010000}">
      <text>
        <r>
          <rPr>
            <b/>
            <sz val="9"/>
            <color indexed="81"/>
            <rFont val="Tahoma"/>
            <family val="2"/>
          </rPr>
          <t>Admin:</t>
        </r>
        <r>
          <rPr>
            <sz val="9"/>
            <color indexed="81"/>
            <rFont val="Tahoma"/>
            <family val="2"/>
          </rPr>
          <t xml:space="preserve">
- HS 4.65 từ 01/01/2016
- HS 4,98 từ 01/01/2019</t>
        </r>
      </text>
    </comment>
    <comment ref="G225" authorId="1" shapeId="0" xr:uid="{00000000-0006-0000-0F00-000005010000}">
      <text>
        <r>
          <rPr>
            <b/>
            <sz val="9"/>
            <color indexed="81"/>
            <rFont val="Tahoma"/>
            <family val="2"/>
          </rPr>
          <t>user:</t>
        </r>
        <r>
          <rPr>
            <sz val="9"/>
            <color indexed="81"/>
            <rFont val="Tahoma"/>
            <family val="2"/>
          </rPr>
          <t xml:space="preserve">
- VK 5% từ 01/01/2022
- VK 6% từ 01/01/2023
- VK 7% từ 01/01/2023</t>
        </r>
      </text>
    </comment>
    <comment ref="I225" authorId="4" shapeId="0" xr:uid="{00000000-0006-0000-0F00-000006010000}">
      <text>
        <r>
          <rPr>
            <b/>
            <sz val="9"/>
            <color indexed="81"/>
            <rFont val="Tahoma"/>
            <family val="2"/>
          </rPr>
          <t>Quynh:</t>
        </r>
        <r>
          <rPr>
            <sz val="9"/>
            <color indexed="81"/>
            <rFont val="Tahoma"/>
            <family val="2"/>
          </rPr>
          <t xml:space="preserve">
- BN Phó Trưởng phòng từ 01/01/2019</t>
        </r>
      </text>
    </comment>
    <comment ref="F226" authorId="2" shapeId="0" xr:uid="{00000000-0006-0000-0F00-000007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6" authorId="6" shapeId="0" xr:uid="{00000000-0006-0000-0F00-000008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7" authorId="2" shapeId="0" xr:uid="{00000000-0006-0000-0F00-000009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27" authorId="5" shapeId="0" xr:uid="{00000000-0006-0000-0F00-00000A010000}">
      <text>
        <r>
          <rPr>
            <b/>
            <sz val="8"/>
            <color indexed="81"/>
            <rFont val="Tahoma"/>
            <family val="2"/>
          </rPr>
          <t>HS 0,35 từ 05/7/2015</t>
        </r>
        <r>
          <rPr>
            <sz val="8"/>
            <color indexed="81"/>
            <rFont val="Tahoma"/>
            <family val="2"/>
          </rPr>
          <t xml:space="preserve">
</t>
        </r>
      </text>
    </comment>
    <comment ref="F228" authorId="0" shapeId="0" xr:uid="{00000000-0006-0000-0F00-00000B010000}">
      <text>
        <r>
          <rPr>
            <b/>
            <sz val="9"/>
            <color indexed="81"/>
            <rFont val="Tahoma"/>
            <family val="2"/>
          </rPr>
          <t>Admin:</t>
        </r>
        <r>
          <rPr>
            <sz val="9"/>
            <color indexed="81"/>
            <rFont val="Tahoma"/>
            <family val="2"/>
          </rPr>
          <t xml:space="preserve">
- 4,65 từ 01/9/2016
- 4,98 từ 01/9/2019</t>
        </r>
      </text>
    </comment>
    <comment ref="G228" authorId="7" shapeId="0" xr:uid="{00000000-0006-0000-0F00-00000C010000}">
      <text>
        <r>
          <rPr>
            <b/>
            <sz val="9"/>
            <color indexed="81"/>
            <rFont val="Tahoma"/>
            <family val="2"/>
          </rPr>
          <t>huynh-panda:</t>
        </r>
        <r>
          <rPr>
            <sz val="9"/>
            <color indexed="81"/>
            <rFont val="Tahoma"/>
            <family val="2"/>
          </rPr>
          <t xml:space="preserve">
- VK 5% từ 01/9/2022
- VK 6% từ 01/9/2023
- VK 7% từ 01/9/2024</t>
        </r>
      </text>
    </comment>
    <comment ref="F229" authorId="0" shapeId="0" xr:uid="{00000000-0006-0000-0F00-00000D010000}">
      <text>
        <r>
          <rPr>
            <b/>
            <sz val="9"/>
            <color indexed="81"/>
            <rFont val="Tahoma"/>
            <family val="2"/>
          </rPr>
          <t>Admin:</t>
        </r>
        <r>
          <rPr>
            <sz val="9"/>
            <color indexed="81"/>
            <rFont val="Tahoma"/>
            <family val="2"/>
          </rPr>
          <t xml:space="preserve">
- HS 4,65 từ 01/10/2016 (NL Trước hạn 2017)
- HS 4,98 từ 01/10/2019</t>
        </r>
      </text>
    </comment>
    <comment ref="G229" authorId="3" shapeId="0" xr:uid="{00000000-0006-0000-0F00-00000E010000}">
      <text>
        <r>
          <rPr>
            <b/>
            <sz val="9"/>
            <color indexed="81"/>
            <rFont val="Tahoma"/>
            <family val="2"/>
          </rPr>
          <t>Windows User:</t>
        </r>
        <r>
          <rPr>
            <sz val="9"/>
            <color indexed="81"/>
            <rFont val="Tahoma"/>
            <family val="2"/>
          </rPr>
          <t xml:space="preserve">
- VK 5% từ 01/10/2022
- VK 6% từ 01/10/2023
- VK 7% từ 01/10/2024</t>
        </r>
      </text>
    </comment>
    <comment ref="F230" authorId="0" shapeId="0" xr:uid="{00000000-0006-0000-0F00-00000F010000}">
      <text>
        <r>
          <rPr>
            <b/>
            <sz val="9"/>
            <color indexed="81"/>
            <rFont val="Tahoma"/>
            <family val="2"/>
          </rPr>
          <t>Admin:</t>
        </r>
        <r>
          <rPr>
            <sz val="9"/>
            <color indexed="81"/>
            <rFont val="Tahoma"/>
            <family val="2"/>
          </rPr>
          <t xml:space="preserve">
- HS 3,99 từ 01/9/2015
- HS 4,32 từ 01/9/2018
- HS 4,65 từ 01/9/2021
- HS 4,98 từ 01/9/2024</t>
        </r>
      </text>
    </comment>
    <comment ref="I230" authorId="2" shapeId="0" xr:uid="{00000000-0006-0000-0F00-000010010000}">
      <text>
        <r>
          <rPr>
            <b/>
            <sz val="9"/>
            <color indexed="81"/>
            <rFont val="Tahoma"/>
            <family val="2"/>
          </rPr>
          <t>User:</t>
        </r>
        <r>
          <rPr>
            <sz val="9"/>
            <color indexed="81"/>
            <rFont val="Tahoma"/>
            <family val="2"/>
          </rPr>
          <t xml:space="preserve">
Mieễn nhiệm Trưởng BM từ 01/9/2015. Bảo lưu HHS hết T02/2016</t>
        </r>
      </text>
    </comment>
    <comment ref="F231" authorId="0" shapeId="0" xr:uid="{00000000-0006-0000-0F00-000011010000}">
      <text>
        <r>
          <rPr>
            <b/>
            <sz val="9"/>
            <color indexed="81"/>
            <rFont val="Tahoma"/>
            <family val="2"/>
          </rPr>
          <t>Admin:</t>
        </r>
        <r>
          <rPr>
            <sz val="9"/>
            <color indexed="81"/>
            <rFont val="Tahoma"/>
            <family val="2"/>
          </rPr>
          <t xml:space="preserve">
- HS 3,66 từ 01/9/2016
- HS 3,99 từ 01/9/2019
- HS 4,32 từ 01/9/2022</t>
        </r>
      </text>
    </comment>
    <comment ref="F232" authorId="2" shapeId="0" xr:uid="{00000000-0006-0000-0F00-000012010000}">
      <text>
        <r>
          <rPr>
            <b/>
            <sz val="9"/>
            <color indexed="81"/>
            <rFont val="Tahoma"/>
            <family val="2"/>
          </rPr>
          <t>User:</t>
        </r>
        <r>
          <rPr>
            <sz val="9"/>
            <color indexed="81"/>
            <rFont val="Tahoma"/>
            <family val="2"/>
          </rPr>
          <t xml:space="preserve">
- HS 3,66 từ 01/9/2015
- HS 3,99 từ 01/9/2018
- HS 4,32 từ 01/9/2021
- HS 4,65 từ 01/9/2024</t>
        </r>
      </text>
    </comment>
    <comment ref="F233" authorId="0" shapeId="0" xr:uid="{00000000-0006-0000-0F00-00001301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33" authorId="1" shapeId="0" xr:uid="{00000000-0006-0000-0F00-000014010000}">
      <text>
        <r>
          <rPr>
            <b/>
            <sz val="9"/>
            <color indexed="81"/>
            <rFont val="Tahoma"/>
            <family val="2"/>
          </rPr>
          <t>user:</t>
        </r>
        <r>
          <rPr>
            <sz val="9"/>
            <color indexed="81"/>
            <rFont val="Tahoma"/>
            <family val="2"/>
          </rPr>
          <t xml:space="preserve">
Trưởng BM Cơ điện tử và tự động hóa từ 01/01/2019</t>
        </r>
      </text>
    </comment>
    <comment ref="F234" authorId="0" shapeId="0" xr:uid="{00000000-0006-0000-0F00-000015010000}">
      <text>
        <r>
          <rPr>
            <b/>
            <sz val="9"/>
            <color indexed="81"/>
            <rFont val="Tahoma"/>
            <family val="2"/>
          </rPr>
          <t>Admin:</t>
        </r>
        <r>
          <rPr>
            <sz val="9"/>
            <color indexed="81"/>
            <rFont val="Tahoma"/>
            <family val="2"/>
          </rPr>
          <t xml:space="preserve">
- HS 3,66 từ 01/9/2016
- HS 3,99 từ 01/9/2019
- HS 4,32 từ 01/9/2022</t>
        </r>
      </text>
    </comment>
    <comment ref="F235" authorId="0" shapeId="0" xr:uid="{00000000-0006-0000-0F00-000016010000}">
      <text>
        <r>
          <rPr>
            <b/>
            <sz val="9"/>
            <color indexed="81"/>
            <rFont val="Tahoma"/>
            <family val="2"/>
          </rPr>
          <t>Admin:</t>
        </r>
        <r>
          <rPr>
            <sz val="9"/>
            <color indexed="81"/>
            <rFont val="Tahoma"/>
            <family val="2"/>
          </rPr>
          <t xml:space="preserve">
- HS 3,99 từ 01/9/2016
- HS 4,32 từ 01/9/2019
- HS 4,65 từ 01/9/2022</t>
        </r>
      </text>
    </comment>
    <comment ref="I235" authorId="2" shapeId="0" xr:uid="{00000000-0006-0000-0F00-000017010000}">
      <text>
        <r>
          <rPr>
            <b/>
            <sz val="9"/>
            <color indexed="81"/>
            <rFont val="Tahoma"/>
            <family val="2"/>
          </rPr>
          <t>User:</t>
        </r>
        <r>
          <rPr>
            <sz val="9"/>
            <color indexed="81"/>
            <rFont val="Tahoma"/>
            <family val="2"/>
          </rPr>
          <t xml:space="preserve">
Miễn nhiệm Trưởng BM. Bảo lưu HS hết T02/2015</t>
        </r>
      </text>
    </comment>
    <comment ref="F236" authorId="0" shapeId="0" xr:uid="{00000000-0006-0000-0F00-000018010000}">
      <text>
        <r>
          <rPr>
            <b/>
            <sz val="9"/>
            <color indexed="81"/>
            <rFont val="Tahoma"/>
            <family val="2"/>
          </rPr>
          <t>Admin:</t>
        </r>
        <r>
          <rPr>
            <sz val="9"/>
            <color indexed="81"/>
            <rFont val="Tahoma"/>
            <family val="2"/>
          </rPr>
          <t xml:space="preserve">
- HS 3,00 từ 01/9/2016
- HS 3,33 từ 01/9/2019
- HS 3,66 từ 01/9/2022</t>
        </r>
      </text>
    </comment>
    <comment ref="F237" authorId="2" shapeId="0" xr:uid="{00000000-0006-0000-0F00-000019010000}">
      <text>
        <r>
          <rPr>
            <b/>
            <sz val="9"/>
            <color indexed="81"/>
            <rFont val="Tahoma"/>
            <family val="2"/>
          </rPr>
          <t>User:</t>
        </r>
        <r>
          <rPr>
            <sz val="9"/>
            <color indexed="81"/>
            <rFont val="Tahoma"/>
            <family val="2"/>
          </rPr>
          <t xml:space="preserve">
- HS 3,33 từ 01/9/2015
- HS 3,66 từ 01/9/2018
- HS 3,99 từ 01/9/2021
- HS 4,32 từ 01/9/2024</t>
        </r>
      </text>
    </comment>
    <comment ref="F238" authorId="0" shapeId="0" xr:uid="{00000000-0006-0000-0F00-00001A010000}">
      <text>
        <r>
          <rPr>
            <b/>
            <sz val="9"/>
            <color indexed="81"/>
            <rFont val="Tahoma"/>
            <family val="2"/>
          </rPr>
          <t>Admin:</t>
        </r>
        <r>
          <rPr>
            <sz val="9"/>
            <color indexed="81"/>
            <rFont val="Tahoma"/>
            <family val="2"/>
          </rPr>
          <t xml:space="preserve">
- HS 3,00 từ 01/9/2017
- HS 3,33 từ 01/9/2020
- HS 3,66 từ 01/9/2023</t>
        </r>
      </text>
    </comment>
    <comment ref="F239" authorId="0" shapeId="0" xr:uid="{00000000-0006-0000-0F00-00001B010000}">
      <text>
        <r>
          <rPr>
            <b/>
            <sz val="9"/>
            <color indexed="81"/>
            <rFont val="Tahoma"/>
            <family val="2"/>
          </rPr>
          <t>Admin:</t>
        </r>
        <r>
          <rPr>
            <sz val="9"/>
            <color indexed="81"/>
            <rFont val="Tahoma"/>
            <family val="2"/>
          </rPr>
          <t xml:space="preserve">
- HS 3,00 từ 01/9/2017
- HS 3,33 từ 01/9/2019
- HS 3,66 từ 01/9/2022</t>
        </r>
      </text>
    </comment>
    <comment ref="F240" authorId="2" shapeId="0" xr:uid="{00000000-0006-0000-0F00-00001C010000}">
      <text>
        <r>
          <rPr>
            <b/>
            <sz val="9"/>
            <color indexed="81"/>
            <rFont val="Tahoma"/>
            <family val="2"/>
          </rPr>
          <t>User:</t>
        </r>
        <r>
          <rPr>
            <sz val="9"/>
            <color indexed="81"/>
            <rFont val="Tahoma"/>
            <family val="2"/>
          </rPr>
          <t xml:space="preserve">
- HS 4,65 từ 01/5/2014
- HS 4,98 từ 01/5/2017</t>
        </r>
      </text>
    </comment>
    <comment ref="G240" authorId="1" shapeId="0" xr:uid="{00000000-0006-0000-0F00-00001D010000}">
      <text>
        <r>
          <rPr>
            <b/>
            <sz val="9"/>
            <color indexed="81"/>
            <rFont val="Tahoma"/>
            <family val="2"/>
          </rPr>
          <t>user:</t>
        </r>
        <r>
          <rPr>
            <sz val="9"/>
            <color indexed="81"/>
            <rFont val="Tahoma"/>
            <family val="2"/>
          </rPr>
          <t xml:space="preserve">
- 5% từ 01/5/2020
- 6% từ 01/5/2021
- 7% từ 01/5/2022
- 8% từ 01/5/2023
- 9% từ 01/5/2024</t>
        </r>
      </text>
    </comment>
    <comment ref="I240" authorId="1" shapeId="0" xr:uid="{00000000-0006-0000-0F00-00001E010000}">
      <text>
        <r>
          <rPr>
            <b/>
            <sz val="9"/>
            <color indexed="81"/>
            <rFont val="Tahoma"/>
            <family val="2"/>
          </rPr>
          <t>user:</t>
        </r>
        <r>
          <rPr>
            <sz val="9"/>
            <color indexed="81"/>
            <rFont val="Tahoma"/>
            <family val="2"/>
          </rPr>
          <t xml:space="preserve">
+ QĐ Bổ nhiệm Phó TK Điện - Điện tử từ 10/6/2019
</t>
        </r>
      </text>
    </comment>
    <comment ref="G241" authorId="0" shapeId="0" xr:uid="{00000000-0006-0000-0F00-00001F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2" authorId="2" shapeId="0" xr:uid="{00000000-0006-0000-0F00-000020010000}">
      <text>
        <r>
          <rPr>
            <b/>
            <sz val="9"/>
            <color indexed="81"/>
            <rFont val="Tahoma"/>
            <family val="2"/>
          </rPr>
          <t>User:</t>
        </r>
        <r>
          <rPr>
            <sz val="9"/>
            <color indexed="81"/>
            <rFont val="Tahoma"/>
            <family val="2"/>
          </rPr>
          <t xml:space="preserve">
- HS 4,65 từ 01/5/2014
- HS 4,98 từ 01/5/2017</t>
        </r>
      </text>
    </comment>
    <comment ref="G242" authorId="1" shapeId="0" xr:uid="{00000000-0006-0000-0F00-000021010000}">
      <text>
        <r>
          <rPr>
            <b/>
            <sz val="9"/>
            <color indexed="81"/>
            <rFont val="Tahoma"/>
            <family val="2"/>
          </rPr>
          <t>user:</t>
        </r>
        <r>
          <rPr>
            <sz val="9"/>
            <color indexed="81"/>
            <rFont val="Tahoma"/>
            <family val="2"/>
          </rPr>
          <t xml:space="preserve">
- 5% từ 01/5/2020
- 6% từ 01/5/2021
- 7% từ 01/5/2022
- 8% từ 01/5/2023
- 9% từ 01/9/2024</t>
        </r>
      </text>
    </comment>
    <comment ref="I242" authorId="2" shapeId="0" xr:uid="{00000000-0006-0000-0F00-000022010000}">
      <text>
        <r>
          <rPr>
            <b/>
            <sz val="9"/>
            <color indexed="81"/>
            <rFont val="Tahoma"/>
            <family val="2"/>
          </rPr>
          <t>User:</t>
        </r>
        <r>
          <rPr>
            <sz val="9"/>
            <color indexed="81"/>
            <rFont val="Tahoma"/>
            <family val="2"/>
          </rPr>
          <t xml:space="preserve">
Miễn nhiện Phó Trưởng BM từ 01/9/15. Bảo lưu HS hết T2/2015</t>
        </r>
      </text>
    </comment>
    <comment ref="F243" authorId="2" shapeId="0" xr:uid="{00000000-0006-0000-0F00-000023010000}">
      <text>
        <r>
          <rPr>
            <b/>
            <sz val="9"/>
            <color indexed="81"/>
            <rFont val="Tahoma"/>
            <family val="2"/>
          </rPr>
          <t>User:</t>
        </r>
        <r>
          <rPr>
            <sz val="9"/>
            <color indexed="81"/>
            <rFont val="Tahoma"/>
            <family val="2"/>
          </rPr>
          <t xml:space="preserve">
- HS 3,66 từ 01/9/2015
- HS 3,99 từ 01/9/2018
- HS 4,32 từ 01/9/2021
- HS 4,65 từ 01/9/2024</t>
        </r>
      </text>
    </comment>
    <comment ref="F244" authorId="2" shapeId="0" xr:uid="{00000000-0006-0000-0F00-000024010000}">
      <text>
        <r>
          <rPr>
            <b/>
            <sz val="9"/>
            <color indexed="81"/>
            <rFont val="Tahoma"/>
            <family val="2"/>
          </rPr>
          <t>User:</t>
        </r>
        <r>
          <rPr>
            <sz val="9"/>
            <color indexed="81"/>
            <rFont val="Tahoma"/>
            <family val="2"/>
          </rPr>
          <t xml:space="preserve">
- HS 3,66 từ 01/9/2015
- HS 3,99 từ 01/9/2018
- HS 4,32 từ 01/9/2021
- HS 4,65 từ 01/9/2024</t>
        </r>
      </text>
    </comment>
    <comment ref="I244" authorId="2" shapeId="0" xr:uid="{00000000-0006-0000-0F00-000025010000}">
      <text>
        <r>
          <rPr>
            <b/>
            <sz val="9"/>
            <color indexed="81"/>
            <rFont val="Tahoma"/>
            <family val="2"/>
          </rPr>
          <t>User:</t>
        </r>
        <r>
          <rPr>
            <sz val="9"/>
            <color indexed="81"/>
            <rFont val="Tahoma"/>
            <family val="2"/>
          </rPr>
          <t xml:space="preserve">
Miễn nhiệm Phó Trưởng BM từ 01/9/2015. Bảo lưu HS hết T02/2015</t>
        </r>
      </text>
    </comment>
    <comment ref="F245" authorId="2" shapeId="0" xr:uid="{00000000-0006-0000-0F00-000026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6" authorId="2" shapeId="0" xr:uid="{00000000-0006-0000-0F00-000027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7" authorId="2" shapeId="0" xr:uid="{00000000-0006-0000-0F00-000028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2" shapeId="0" xr:uid="{00000000-0006-0000-0F00-000029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9" authorId="0" shapeId="0" xr:uid="{00000000-0006-0000-0F00-00002A010000}">
      <text>
        <r>
          <rPr>
            <b/>
            <sz val="9"/>
            <color indexed="81"/>
            <rFont val="Tahoma"/>
            <family val="2"/>
          </rPr>
          <t>Admin:</t>
        </r>
        <r>
          <rPr>
            <sz val="9"/>
            <color indexed="81"/>
            <rFont val="Tahoma"/>
            <family val="2"/>
          </rPr>
          <t xml:space="preserve">
- HS 3,33 từ 01/12/2015
- HS 3,66 từ 01/12/2016
- HS 3,99 từ 01/12/2021</t>
        </r>
      </text>
    </comment>
    <comment ref="F250" authorId="1" shapeId="0" xr:uid="{00000000-0006-0000-0F00-00002B010000}">
      <text>
        <r>
          <rPr>
            <b/>
            <sz val="9"/>
            <color indexed="81"/>
            <rFont val="Tahoma"/>
            <family val="2"/>
          </rPr>
          <t>user:</t>
        </r>
        <r>
          <rPr>
            <sz val="9"/>
            <color indexed="81"/>
            <rFont val="Tahoma"/>
            <family val="2"/>
          </rPr>
          <t xml:space="preserve">
- BN CDNN từ 01/4/2019
- HS 3,00 từ 01/04/2021 (NL trước hạn)
- HS 3,33 từ 01/04/2024</t>
        </r>
      </text>
    </comment>
    <comment ref="F251" authorId="1" shapeId="0" xr:uid="{00000000-0006-0000-0F00-00002C010000}">
      <text>
        <r>
          <rPr>
            <b/>
            <sz val="9"/>
            <color indexed="81"/>
            <rFont val="Tahoma"/>
            <family val="2"/>
          </rPr>
          <t>user:</t>
        </r>
        <r>
          <rPr>
            <sz val="9"/>
            <color indexed="81"/>
            <rFont val="Tahoma"/>
            <family val="2"/>
          </rPr>
          <t xml:space="preserve">
- BN CDNN 2.34 từ 1/4/2019
- HS 2,67 từ 01/4/2022</t>
        </r>
      </text>
    </comment>
    <comment ref="I251" authorId="3" shapeId="0" xr:uid="{00000000-0006-0000-0F00-00002D010000}">
      <text>
        <r>
          <rPr>
            <b/>
            <sz val="9"/>
            <color indexed="81"/>
            <rFont val="Tahoma"/>
            <family val="2"/>
          </rPr>
          <t>Windows User:</t>
        </r>
        <r>
          <rPr>
            <sz val="9"/>
            <color indexed="81"/>
            <rFont val="Tahoma"/>
            <family val="2"/>
          </rPr>
          <t xml:space="preserve">
- Trưởng BM Điện Công nghiệp từ 01/10/2022</t>
        </r>
      </text>
    </comment>
    <comment ref="F252" authorId="1" shapeId="0" xr:uid="{00000000-0006-0000-0F00-00002E010000}">
      <text>
        <r>
          <rPr>
            <b/>
            <sz val="9"/>
            <color indexed="81"/>
            <rFont val="Tahoma"/>
            <family val="2"/>
          </rPr>
          <t>user:</t>
        </r>
        <r>
          <rPr>
            <sz val="9"/>
            <color indexed="81"/>
            <rFont val="Tahoma"/>
            <family val="2"/>
          </rPr>
          <t xml:space="preserve">
- HS 2,34 từ 01/01/2020
- HS 2,67 từ 01/01/2022 (NL trước hạn)</t>
        </r>
      </text>
    </comment>
    <comment ref="I252" authorId="7" shapeId="0" xr:uid="{00000000-0006-0000-0F00-00002F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3" authorId="1" shapeId="0" xr:uid="{00000000-0006-0000-0F00-000030010000}">
      <text>
        <r>
          <rPr>
            <b/>
            <sz val="9"/>
            <color indexed="81"/>
            <rFont val="Tahoma"/>
            <family val="2"/>
          </rPr>
          <t>user:</t>
        </r>
        <r>
          <rPr>
            <sz val="9"/>
            <color indexed="81"/>
            <rFont val="Tahoma"/>
            <family val="2"/>
          </rPr>
          <t xml:space="preserve">
Thuyên chuyển về trường từ ngày 15/6/2021
- HS 3,99 từ 01/11/2022</t>
        </r>
      </text>
    </comment>
    <comment ref="F254" authorId="3" shapeId="0" xr:uid="{00000000-0006-0000-0F00-000031010000}">
      <text>
        <r>
          <rPr>
            <b/>
            <sz val="9"/>
            <color indexed="81"/>
            <rFont val="Tahoma"/>
            <family val="2"/>
          </rPr>
          <t>Windows User:</t>
        </r>
        <r>
          <rPr>
            <sz val="9"/>
            <color indexed="81"/>
            <rFont val="Tahoma"/>
            <family val="2"/>
          </rPr>
          <t xml:space="preserve">
- HS 2,67 từ 01/10/2023 (BN CDNN)</t>
        </r>
      </text>
    </comment>
    <comment ref="F255" authorId="3" shapeId="0" xr:uid="{00000000-0006-0000-0F00-000032010000}">
      <text>
        <r>
          <rPr>
            <b/>
            <sz val="9"/>
            <color indexed="81"/>
            <rFont val="Tahoma"/>
            <family val="2"/>
          </rPr>
          <t>Windows User:</t>
        </r>
        <r>
          <rPr>
            <sz val="9"/>
            <color indexed="81"/>
            <rFont val="Tahoma"/>
            <family val="2"/>
          </rPr>
          <t xml:space="preserve">
- HS 2,34 từ 01/10/2023 (BN CDNN)</t>
        </r>
      </text>
    </comment>
    <comment ref="F256" authorId="0" shapeId="0" xr:uid="{00000000-0006-0000-0F00-000033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6" authorId="2" shapeId="0" xr:uid="{00000000-0006-0000-0F00-000034010000}">
      <text>
        <r>
          <rPr>
            <b/>
            <sz val="9"/>
            <color indexed="81"/>
            <rFont val="Tahoma"/>
            <family val="2"/>
          </rPr>
          <t>User:</t>
        </r>
        <r>
          <rPr>
            <sz val="9"/>
            <color indexed="81"/>
            <rFont val="Tahoma"/>
            <family val="2"/>
          </rPr>
          <t xml:space="preserve">
- Trưởng khoa Động lực từ 01/8/2015</t>
        </r>
      </text>
    </comment>
    <comment ref="F257" authorId="0" shapeId="0" xr:uid="{00000000-0006-0000-0F00-000035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8" authorId="0" shapeId="0" xr:uid="{00000000-0006-0000-0F00-000036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9" authorId="0" shapeId="0" xr:uid="{00000000-0006-0000-0F00-00003701000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59" authorId="0" shapeId="0" xr:uid="{00000000-0006-0000-0F00-000038010000}">
      <text>
        <r>
          <rPr>
            <b/>
            <sz val="9"/>
            <color indexed="81"/>
            <rFont val="Tahoma"/>
            <family val="2"/>
          </rPr>
          <t>Admin:</t>
        </r>
        <r>
          <rPr>
            <sz val="9"/>
            <color indexed="81"/>
            <rFont val="Tahoma"/>
            <family val="2"/>
          </rPr>
          <t xml:space="preserve">
- Bảo lưu đến hết T5/2018</t>
        </r>
      </text>
    </comment>
    <comment ref="F260" authorId="0" shapeId="0" xr:uid="{00000000-0006-0000-0F00-000039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60" authorId="2" shapeId="0" xr:uid="{00000000-0006-0000-0F00-00003A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1" authorId="2" shapeId="0" xr:uid="{00000000-0006-0000-0F00-00003B010000}">
      <text>
        <r>
          <rPr>
            <b/>
            <sz val="9"/>
            <color indexed="81"/>
            <rFont val="Tahoma"/>
            <family val="2"/>
          </rPr>
          <t>User:</t>
        </r>
        <r>
          <rPr>
            <sz val="9"/>
            <color indexed="81"/>
            <rFont val="Tahoma"/>
            <family val="2"/>
          </rPr>
          <t xml:space="preserve">
- HS 3,00 từ 01/9/2015
- HS 3,33 từ 01/9/2018
- HS 3,66 từ 01/9/2021
- HS 3,99 từ 01/9/2024</t>
        </r>
      </text>
    </comment>
    <comment ref="F262" authorId="0" shapeId="0" xr:uid="{00000000-0006-0000-0F00-00003C010000}">
      <text>
        <r>
          <rPr>
            <b/>
            <sz val="9"/>
            <color indexed="81"/>
            <rFont val="Tahoma"/>
            <family val="2"/>
          </rPr>
          <t>Admin:</t>
        </r>
        <r>
          <rPr>
            <sz val="9"/>
            <color indexed="81"/>
            <rFont val="Tahoma"/>
            <family val="2"/>
          </rPr>
          <t xml:space="preserve">
- HS 3,00 từ 01/9/2015
- HS 3,33 từ 01/9/2018
- HS 3,66 từ 01/9/2021
- HS 3,99 từ 01/9/2024</t>
        </r>
      </text>
    </comment>
    <comment ref="F263" authorId="2" shapeId="0" xr:uid="{00000000-0006-0000-0F00-00003D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3" authorId="2" shapeId="0" xr:uid="{00000000-0006-0000-0F00-00003E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4" authorId="0" shapeId="0" xr:uid="{00000000-0006-0000-0F00-00003F010000}">
      <text>
        <r>
          <rPr>
            <b/>
            <sz val="9"/>
            <color indexed="81"/>
            <rFont val="Tahoma"/>
            <family val="2"/>
          </rPr>
          <t>Admin:</t>
        </r>
        <r>
          <rPr>
            <sz val="9"/>
            <color indexed="81"/>
            <rFont val="Tahoma"/>
            <family val="2"/>
          </rPr>
          <t xml:space="preserve">
- HS 3,00 từ 01/9/2015
- HS 3,33 từ 01/9/2018
- HS 3,66 từ 01/9/2021
- HS 3,99 từ 01/9/2024
</t>
        </r>
      </text>
    </comment>
    <comment ref="F265" authorId="0" shapeId="0" xr:uid="{00000000-0006-0000-0F00-000040010000}">
      <text>
        <r>
          <rPr>
            <b/>
            <sz val="9"/>
            <color indexed="81"/>
            <rFont val="Tahoma"/>
            <family val="2"/>
          </rPr>
          <t>Admin:</t>
        </r>
        <r>
          <rPr>
            <sz val="9"/>
            <color indexed="81"/>
            <rFont val="Tahoma"/>
            <family val="2"/>
          </rPr>
          <t xml:space="preserve">
- HS 3,00 từ 01/9/2017
- HS 3,33 từ 01/9/2019
- HS 3,66 từ 01/9/2022
</t>
        </r>
      </text>
    </comment>
    <comment ref="F266" authorId="8" shapeId="0" xr:uid="{00000000-0006-0000-0F00-000041010000}">
      <text>
        <r>
          <rPr>
            <sz val="9"/>
            <color indexed="81"/>
            <rFont val="Tahoma"/>
            <family val="2"/>
          </rPr>
          <t>- HS 3,00 từ 01/3/2018
- HS 3,33 từ 01/3/2020 (NL trước hạn)
- HS 3,66 từ 01/03/2023</t>
        </r>
      </text>
    </comment>
    <comment ref="F267" authorId="0" shapeId="0" xr:uid="{00000000-0006-0000-0F00-000042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8" authorId="0" shapeId="0" xr:uid="{00000000-0006-0000-0F00-000043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9" authorId="0" shapeId="0" xr:uid="{00000000-0006-0000-0F00-00004401000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69" authorId="4" shapeId="0" xr:uid="{00000000-0006-0000-0F00-000045010000}">
      <text>
        <r>
          <rPr>
            <b/>
            <sz val="9"/>
            <color indexed="81"/>
            <rFont val="Tahoma"/>
            <family val="2"/>
          </rPr>
          <t>Quynh:</t>
        </r>
        <r>
          <rPr>
            <sz val="9"/>
            <color indexed="81"/>
            <rFont val="Tahoma"/>
            <family val="2"/>
          </rPr>
          <t xml:space="preserve">
- BN Trưởng BM Điện ô tô từ 01/01/2019 </t>
        </r>
      </text>
    </comment>
    <comment ref="F270" authorId="0" shapeId="0" xr:uid="{00000000-0006-0000-0F00-00004601000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71" authorId="1" shapeId="0" xr:uid="{00000000-0006-0000-0F00-000047010000}">
      <text>
        <r>
          <rPr>
            <b/>
            <sz val="9"/>
            <color indexed="81"/>
            <rFont val="Tahoma"/>
            <family val="2"/>
          </rPr>
          <t>user:</t>
        </r>
        <r>
          <rPr>
            <sz val="9"/>
            <color indexed="81"/>
            <rFont val="Tahoma"/>
            <family val="2"/>
          </rPr>
          <t xml:space="preserve">
- HS 2,34 từ 01/10/2019
- HS 2,67 từ 01/10/2021 (NL trước hạn)
- HS 3,00 từ 01/10/2024</t>
        </r>
      </text>
    </comment>
    <comment ref="F272" authorId="1" shapeId="0" xr:uid="{00000000-0006-0000-0F00-000048010000}">
      <text>
        <r>
          <rPr>
            <b/>
            <sz val="9"/>
            <color indexed="81"/>
            <rFont val="Tahoma"/>
            <family val="2"/>
          </rPr>
          <t>user:</t>
        </r>
        <r>
          <rPr>
            <sz val="9"/>
            <color indexed="81"/>
            <rFont val="Tahoma"/>
            <family val="2"/>
          </rPr>
          <t xml:space="preserve">
- HS 2,34 từ 01/10/2019
- HS 2,67 từ 01/10/2022</t>
        </r>
      </text>
    </comment>
    <comment ref="F273" authorId="1" shapeId="0" xr:uid="{00000000-0006-0000-0F00-000049010000}">
      <text>
        <r>
          <rPr>
            <b/>
            <sz val="9"/>
            <color indexed="81"/>
            <rFont val="Tahoma"/>
            <family val="2"/>
          </rPr>
          <t>user:</t>
        </r>
        <r>
          <rPr>
            <sz val="9"/>
            <color indexed="81"/>
            <rFont val="Tahoma"/>
            <family val="2"/>
          </rPr>
          <t xml:space="preserve">
- HS 2,67 từ 01/01/2020
- HS 3,00 từ 01/01/2022 (NL trước hạn)</t>
        </r>
      </text>
    </comment>
    <comment ref="F274" authorId="1" shapeId="0" xr:uid="{00000000-0006-0000-0F00-00004A010000}">
      <text>
        <r>
          <rPr>
            <b/>
            <sz val="9"/>
            <color indexed="81"/>
            <rFont val="Tahoma"/>
            <family val="2"/>
          </rPr>
          <t>user:</t>
        </r>
        <r>
          <rPr>
            <sz val="9"/>
            <color indexed="81"/>
            <rFont val="Tahoma"/>
            <family val="2"/>
          </rPr>
          <t xml:space="preserve">
- HS 3,00 từ 01/11/2019
- HS 3,33 từ 01/12/2020
- HS 3,66 từ 01/12/2022</t>
        </r>
      </text>
    </comment>
    <comment ref="F275" authorId="1" shapeId="0" xr:uid="{00000000-0006-0000-0F00-00004B010000}">
      <text>
        <r>
          <rPr>
            <b/>
            <sz val="9"/>
            <color indexed="81"/>
            <rFont val="Tahoma"/>
            <family val="2"/>
          </rPr>
          <t>user:</t>
        </r>
        <r>
          <rPr>
            <sz val="9"/>
            <color indexed="81"/>
            <rFont val="Tahoma"/>
            <family val="2"/>
          </rPr>
          <t xml:space="preserve">
Tuyển dụng từ 01/5/20
- HS 2,34 từ 01/5/2021
- HS 2,67 từ 01/5/2024</t>
        </r>
      </text>
    </comment>
    <comment ref="F276" authorId="1" shapeId="0" xr:uid="{00000000-0006-0000-0F00-00004C010000}">
      <text>
        <r>
          <rPr>
            <b/>
            <sz val="9"/>
            <color indexed="81"/>
            <rFont val="Tahoma"/>
            <family val="2"/>
          </rPr>
          <t>user:</t>
        </r>
        <r>
          <rPr>
            <sz val="9"/>
            <color indexed="81"/>
            <rFont val="Tahoma"/>
            <family val="2"/>
          </rPr>
          <t xml:space="preserve">
- QĐ Tuyển dụng từ 01/3/2021 (HS 2,34- 85%)
- HS 2,34 từ 01/3/2022 (BNN)</t>
        </r>
      </text>
    </comment>
    <comment ref="F277" authorId="1" shapeId="0" xr:uid="{00000000-0006-0000-0F00-00004D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xr:uid="{00000000-0006-0000-0F00-00004E010000}">
      <text>
        <r>
          <rPr>
            <b/>
            <sz val="9"/>
            <color indexed="81"/>
            <rFont val="Tahoma"/>
            <family val="2"/>
          </rPr>
          <t>Windows User:</t>
        </r>
        <r>
          <rPr>
            <sz val="9"/>
            <color indexed="81"/>
            <rFont val="Tahoma"/>
            <family val="2"/>
          </rPr>
          <t xml:space="preserve">
- HS 3,00 từ 01/10/2022
- HS 3,33 từ 01/01/2023</t>
        </r>
      </text>
    </comment>
    <comment ref="F280" authorId="6" shapeId="0" xr:uid="{00000000-0006-0000-0F00-00004F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2" shapeId="0" xr:uid="{00000000-0006-0000-0F00-000050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0" shapeId="0" xr:uid="{00000000-0006-0000-0F00-000051010000}">
      <text>
        <r>
          <rPr>
            <b/>
            <sz val="9"/>
            <color indexed="81"/>
            <rFont val="Tahoma"/>
            <family val="2"/>
          </rPr>
          <t>Admin:</t>
        </r>
        <r>
          <rPr>
            <sz val="9"/>
            <color indexed="81"/>
            <rFont val="Tahoma"/>
            <family val="2"/>
          </rPr>
          <t xml:space="preserve">
- HS 3,99 từ 01/9/2017
- HS 4,32 từ 01/9/2020
- HS 4,65 từ 01/9/2022</t>
        </r>
      </text>
    </comment>
    <comment ref="F282" authorId="0" shapeId="0" xr:uid="{00000000-0006-0000-0F00-000052010000}">
      <text>
        <r>
          <rPr>
            <b/>
            <sz val="9"/>
            <color indexed="81"/>
            <rFont val="Tahoma"/>
            <family val="2"/>
          </rPr>
          <t>Admin:</t>
        </r>
        <r>
          <rPr>
            <sz val="9"/>
            <color indexed="81"/>
            <rFont val="Tahoma"/>
            <family val="2"/>
          </rPr>
          <t xml:space="preserve">
- HS 3,99 từ 01/9/2017
- HS 4,32 từ 01/9/2020
- HS 4,65 từ 01/9/2023</t>
        </r>
      </text>
    </comment>
    <comment ref="F283" authorId="0" shapeId="0" xr:uid="{00000000-0006-0000-0F00-000053010000}">
      <text>
        <r>
          <rPr>
            <b/>
            <sz val="9"/>
            <color indexed="81"/>
            <rFont val="Tahoma"/>
            <family val="2"/>
          </rPr>
          <t>Admin:</t>
        </r>
        <r>
          <rPr>
            <sz val="9"/>
            <color indexed="81"/>
            <rFont val="Tahoma"/>
            <family val="2"/>
          </rPr>
          <t xml:space="preserve">
- HS 3,00 từ 01/9/2016
- HS 3,33 từ 01/9/2019
- HS 3,66 từ 01/9/2022</t>
        </r>
      </text>
    </comment>
    <comment ref="F284" authorId="0" shapeId="0" xr:uid="{00000000-0006-0000-0F00-000054010000}">
      <text>
        <r>
          <rPr>
            <b/>
            <sz val="9"/>
            <color indexed="81"/>
            <rFont val="Tahoma"/>
            <family val="2"/>
          </rPr>
          <t>Admin:</t>
        </r>
        <r>
          <rPr>
            <sz val="9"/>
            <color indexed="81"/>
            <rFont val="Tahoma"/>
            <family val="2"/>
          </rPr>
          <t xml:space="preserve">
- HS 3,00 từ 01/9/2017
- HS 3,33 từ 01/9/2020
- HS 3,66 từ 01/9/2023</t>
        </r>
      </text>
    </comment>
    <comment ref="F285" authorId="0" shapeId="0" xr:uid="{00000000-0006-0000-0F00-000055010000}">
      <text>
        <r>
          <rPr>
            <b/>
            <sz val="9"/>
            <color indexed="81"/>
            <rFont val="Tahoma"/>
            <family val="2"/>
          </rPr>
          <t>Admin:</t>
        </r>
        <r>
          <rPr>
            <sz val="9"/>
            <color indexed="81"/>
            <rFont val="Tahoma"/>
            <family val="2"/>
          </rPr>
          <t xml:space="preserve">
- HS 3,66 từ 01/9/2016
- HS 3,99 từ 01/9/2019
- HS 4,32 từ 01/9/2022</t>
        </r>
      </text>
    </comment>
    <comment ref="F286" authorId="1" shapeId="0" xr:uid="{00000000-0006-0000-0F00-000056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2" shapeId="0" xr:uid="{00000000-0006-0000-0F00-000057010000}">
      <text>
        <r>
          <rPr>
            <b/>
            <sz val="9"/>
            <color indexed="81"/>
            <rFont val="Tahoma"/>
            <family val="2"/>
          </rPr>
          <t>User:</t>
        </r>
        <r>
          <rPr>
            <sz val="9"/>
            <color indexed="81"/>
            <rFont val="Tahoma"/>
            <family val="2"/>
          </rPr>
          <t xml:space="preserve">
- HS 4,32 từ 01/10/2015
- HS 4,65 từ 01/10/2018
- HS 4,98 từ 01/10/2021</t>
        </r>
      </text>
    </comment>
    <comment ref="G287" authorId="3" shapeId="0" xr:uid="{00000000-0006-0000-0F00-000058010000}">
      <text>
        <r>
          <rPr>
            <b/>
            <sz val="9"/>
            <color indexed="81"/>
            <rFont val="Tahoma"/>
            <family val="2"/>
          </rPr>
          <t>Windows User:</t>
        </r>
        <r>
          <rPr>
            <sz val="9"/>
            <color indexed="81"/>
            <rFont val="Tahoma"/>
            <family val="2"/>
          </rPr>
          <t xml:space="preserve">
- VK 5% từ 01/10/2024</t>
        </r>
      </text>
    </comment>
    <comment ref="F288" authorId="8" shapeId="0" xr:uid="{00000000-0006-0000-0F00-000059010000}">
      <text>
        <r>
          <rPr>
            <sz val="9"/>
            <color indexed="81"/>
            <rFont val="Tahoma"/>
            <family val="2"/>
          </rPr>
          <t>- HS 2,67 hưởng từ 01/9 làm bảng truy lãnh từ tháng 9-11/2017
- HS 3,00 từ 01/9/2019
- HS 3,33 từ 01/9/2022</t>
        </r>
      </text>
    </comment>
    <comment ref="I288" authorId="0" shapeId="0" xr:uid="{00000000-0006-0000-0F00-00005A010000}">
      <text>
        <r>
          <rPr>
            <b/>
            <sz val="9"/>
            <color indexed="81"/>
            <rFont val="Tahoma"/>
            <family val="2"/>
          </rPr>
          <t>Admin:</t>
        </r>
        <r>
          <rPr>
            <sz val="9"/>
            <color indexed="81"/>
            <rFont val="Tahoma"/>
            <family val="2"/>
          </rPr>
          <t xml:space="preserve">
- BN Phó TK từ 01/8/2018</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user</author>
    <author>Admin</author>
  </authors>
  <commentList>
    <comment ref="F13" authorId="0" shapeId="0" xr:uid="{00000000-0006-0000-1100-000001000000}">
      <text>
        <r>
          <rPr>
            <b/>
            <sz val="9"/>
            <color indexed="81"/>
            <rFont val="Tahoma"/>
            <family val="2"/>
          </rPr>
          <t>user:</t>
        </r>
        <r>
          <rPr>
            <sz val="9"/>
            <color indexed="81"/>
            <rFont val="Tahoma"/>
            <family val="2"/>
          </rPr>
          <t xml:space="preserve">
- HS 2,34 từ 01/10/2019
- HS 2,67 từ 01/10/2021 (NL trước hạn)</t>
        </r>
      </text>
    </comment>
    <comment ref="I13" authorId="0" shapeId="0" xr:uid="{00000000-0006-0000-1100-000002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4" authorId="1" shapeId="0" xr:uid="{00000000-0006-0000-1100-000003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List>
</comments>
</file>

<file path=xl/sharedStrings.xml><?xml version="1.0" encoding="utf-8"?>
<sst xmlns="http://schemas.openxmlformats.org/spreadsheetml/2006/main" count="15289" uniqueCount="2496">
  <si>
    <t>1603205178736</t>
  </si>
  <si>
    <t>1603205178720</t>
  </si>
  <si>
    <t>1603205178707</t>
  </si>
  <si>
    <t>1603205178788</t>
  </si>
  <si>
    <t>1603205235065</t>
  </si>
  <si>
    <t>1603205235088</t>
  </si>
  <si>
    <t>1603205235013</t>
  </si>
  <si>
    <t>1603205179115</t>
  </si>
  <si>
    <t>1603205178794</t>
  </si>
  <si>
    <t>1603205179094</t>
  </si>
  <si>
    <t>1603205179088</t>
  </si>
  <si>
    <t>1603205179071</t>
  </si>
  <si>
    <t>1603205179059</t>
  </si>
  <si>
    <t>1603205186684</t>
  </si>
  <si>
    <t>1603205183397</t>
  </si>
  <si>
    <t>1603205183418</t>
  </si>
  <si>
    <t>1603205183316</t>
  </si>
  <si>
    <t>1603205183368</t>
  </si>
  <si>
    <t>1603205183401</t>
  </si>
  <si>
    <t>1603205183322</t>
  </si>
  <si>
    <t>1603205183339</t>
  </si>
  <si>
    <t>1603205183266</t>
  </si>
  <si>
    <t>1603205183272</t>
  </si>
  <si>
    <t>1603205183295</t>
  </si>
  <si>
    <t>1603205186690</t>
  </si>
  <si>
    <t>1603205183250</t>
  </si>
  <si>
    <t>1603205183374</t>
  </si>
  <si>
    <t>1603205183345</t>
  </si>
  <si>
    <t>1603205183351</t>
  </si>
  <si>
    <t>1603205183289</t>
  </si>
  <si>
    <t>1603205183040</t>
  </si>
  <si>
    <t>1603205235121</t>
  </si>
  <si>
    <t>1603205224466</t>
  </si>
  <si>
    <t>1603205224834</t>
  </si>
  <si>
    <t>1603205186649</t>
  </si>
  <si>
    <t>1603205235377</t>
  </si>
  <si>
    <t>1603205186711</t>
  </si>
  <si>
    <t>1603205183056</t>
  </si>
  <si>
    <t>1603205224647</t>
  </si>
  <si>
    <t>1603205224227</t>
  </si>
  <si>
    <t>GHI CHÚ</t>
  </si>
  <si>
    <t>HIỆU TRƯỞNG</t>
  </si>
  <si>
    <t>1603205249149</t>
  </si>
  <si>
    <t>1603205249313</t>
  </si>
  <si>
    <t>Nguyễn Thị Hiếu</t>
  </si>
  <si>
    <t>Phạm Thị Song</t>
  </si>
  <si>
    <t>1603205250811</t>
  </si>
  <si>
    <t>ABC MIN(hide)</t>
  </si>
  <si>
    <t>ABC MIN (hide)</t>
  </si>
  <si>
    <t>THÚY</t>
  </si>
  <si>
    <t>Số tài khoản thẻ ATM
AGRIBANK</t>
  </si>
  <si>
    <t>Số tài khoản thẻ ATM
VIETINBANK</t>
  </si>
  <si>
    <t>711A22811849</t>
  </si>
  <si>
    <t>711A22129659</t>
  </si>
  <si>
    <t>711A23232133</t>
  </si>
  <si>
    <t>711A23232157</t>
  </si>
  <si>
    <t>711A23232023</t>
  </si>
  <si>
    <t>711A23235593</t>
  </si>
  <si>
    <t>711A23232011</t>
  </si>
  <si>
    <t>711A23232205</t>
  </si>
  <si>
    <t>711A23232054</t>
  </si>
  <si>
    <t>711A23232078</t>
  </si>
  <si>
    <t>711A23232062</t>
  </si>
  <si>
    <t>711A23232121</t>
  </si>
  <si>
    <t>711A23231908</t>
  </si>
  <si>
    <t>711A23231978</t>
  </si>
  <si>
    <t>711A23232248</t>
  </si>
  <si>
    <t>711A23231942</t>
  </si>
  <si>
    <t>711A12814549</t>
  </si>
  <si>
    <t>711A23232327</t>
  </si>
  <si>
    <t>711A23232381</t>
  </si>
  <si>
    <t>711A22129623</t>
  </si>
  <si>
    <t>711A23232532</t>
  </si>
  <si>
    <t>711A23232563</t>
  </si>
  <si>
    <t>711A23232615</t>
  </si>
  <si>
    <t>711A23232599</t>
  </si>
  <si>
    <t>711A23232757</t>
  </si>
  <si>
    <t>711A06639136</t>
  </si>
  <si>
    <t>711A23232721</t>
  </si>
  <si>
    <t>711A23232693</t>
  </si>
  <si>
    <t>711A23232469</t>
  </si>
  <si>
    <t>711A23232496</t>
  </si>
  <si>
    <t>711A23232393</t>
  </si>
  <si>
    <t>711A23232421</t>
  </si>
  <si>
    <t>711A23232433</t>
  </si>
  <si>
    <t>711A23232402</t>
  </si>
  <si>
    <t>711A23232505</t>
  </si>
  <si>
    <t>711A12472729</t>
  </si>
  <si>
    <t>711A23232681</t>
  </si>
  <si>
    <t>711A23232639</t>
  </si>
  <si>
    <t>711A23232642</t>
  </si>
  <si>
    <t>711A23232654</t>
  </si>
  <si>
    <t>711A12472547</t>
  </si>
  <si>
    <t>711A23232796</t>
  </si>
  <si>
    <t>711A23232836</t>
  </si>
  <si>
    <t>711A23233046</t>
  </si>
  <si>
    <t>711A23233073</t>
  </si>
  <si>
    <t>711A23233152</t>
  </si>
  <si>
    <t>711A06383464</t>
  </si>
  <si>
    <t>711A23233003</t>
  </si>
  <si>
    <t>711A23232903</t>
  </si>
  <si>
    <t>711A23233085</t>
  </si>
  <si>
    <t>711A23233164</t>
  </si>
  <si>
    <t>711A23233353</t>
  </si>
  <si>
    <t>711A23233216</t>
  </si>
  <si>
    <t>711A23232973</t>
  </si>
  <si>
    <t>711A23232894</t>
  </si>
  <si>
    <t>711A23232954</t>
  </si>
  <si>
    <t>711A23232863</t>
  </si>
  <si>
    <t>711A23233243</t>
  </si>
  <si>
    <t>711A23232927</t>
  </si>
  <si>
    <t>711A23233097</t>
  </si>
  <si>
    <t>711A23233137</t>
  </si>
  <si>
    <t>711A23233191</t>
  </si>
  <si>
    <t>711A23233204</t>
  </si>
  <si>
    <t>711A23233231</t>
  </si>
  <si>
    <t>711A23233125</t>
  </si>
  <si>
    <t>711A23232939</t>
  </si>
  <si>
    <t>711A23232812</t>
  </si>
  <si>
    <t>711A23232966</t>
  </si>
  <si>
    <t>711A23233101</t>
  </si>
  <si>
    <t>711A23233267</t>
  </si>
  <si>
    <t>711A12318165</t>
  </si>
  <si>
    <t>711A23233019</t>
  </si>
  <si>
    <t>711A23232843</t>
  </si>
  <si>
    <t>711A23233022</t>
  </si>
  <si>
    <t>711A23233058</t>
  </si>
  <si>
    <t>711A23233034</t>
  </si>
  <si>
    <t>711A23232882</t>
  </si>
  <si>
    <t>711A23232915</t>
  </si>
  <si>
    <t>711A03253222</t>
  </si>
  <si>
    <t>711A23233183</t>
  </si>
  <si>
    <t>711A23233361</t>
  </si>
  <si>
    <t>711A23233255</t>
  </si>
  <si>
    <t>711A23233389</t>
  </si>
  <si>
    <t>711A23233392</t>
  </si>
  <si>
    <t>711A23233452</t>
  </si>
  <si>
    <t>711A23233464</t>
  </si>
  <si>
    <t>711A23233444</t>
  </si>
  <si>
    <t>711A23233516</t>
  </si>
  <si>
    <t>711A23233582</t>
  </si>
  <si>
    <t>711A23233504</t>
  </si>
  <si>
    <t>711A23233567</t>
  </si>
  <si>
    <t>711A23233483</t>
  </si>
  <si>
    <t>711A23233471</t>
  </si>
  <si>
    <t>711A23233744</t>
  </si>
  <si>
    <t>711A23233661</t>
  </si>
  <si>
    <t>711A23233641</t>
  </si>
  <si>
    <t>711A12677456</t>
  </si>
  <si>
    <t>711A23233634</t>
  </si>
  <si>
    <t>711A23233692</t>
  </si>
  <si>
    <t>711A17971382</t>
  </si>
  <si>
    <t>711A23233689</t>
  </si>
  <si>
    <t>711A23233653</t>
  </si>
  <si>
    <t>711A11953482</t>
  </si>
  <si>
    <t>711A23233594</t>
  </si>
  <si>
    <t>711A23233437</t>
  </si>
  <si>
    <t>711A23232769</t>
  </si>
  <si>
    <t>711A23232784</t>
  </si>
  <si>
    <t>711A90232365</t>
  </si>
  <si>
    <t>711A23233874</t>
  </si>
  <si>
    <t>711A23233847</t>
  </si>
  <si>
    <t>711A23233992</t>
  </si>
  <si>
    <t>711A05686615</t>
  </si>
  <si>
    <t>711A23233764</t>
  </si>
  <si>
    <t>711A23233862</t>
  </si>
  <si>
    <t>711A23233771</t>
  </si>
  <si>
    <t>711A23233907</t>
  </si>
  <si>
    <t>711A06803957</t>
  </si>
  <si>
    <t>711A23233898</t>
  </si>
  <si>
    <t>711A23233859</t>
  </si>
  <si>
    <t>711A23233791</t>
  </si>
  <si>
    <t>711A23233922</t>
  </si>
  <si>
    <t>711A23233823</t>
  </si>
  <si>
    <t>711A23233886</t>
  </si>
  <si>
    <t>711A23233804</t>
  </si>
  <si>
    <t>711A23233811</t>
  </si>
  <si>
    <t>711A23233752</t>
  </si>
  <si>
    <t>711A23233934</t>
  </si>
  <si>
    <t>711A23234007</t>
  </si>
  <si>
    <t>711A23234077</t>
  </si>
  <si>
    <t>711A23234092</t>
  </si>
  <si>
    <t>711A23234195</t>
  </si>
  <si>
    <t>711A23234101</t>
  </si>
  <si>
    <t>711A23234117</t>
  </si>
  <si>
    <t>711A00826304</t>
  </si>
  <si>
    <t>711A23234129</t>
  </si>
  <si>
    <t>711A23234132</t>
  </si>
  <si>
    <t>711A23234144</t>
  </si>
  <si>
    <t>711A01868078</t>
  </si>
  <si>
    <t>711A23234156</t>
  </si>
  <si>
    <t>711A23234168</t>
  </si>
  <si>
    <t>711A00386458</t>
  </si>
  <si>
    <t>711A23234014</t>
  </si>
  <si>
    <t>711A23234034</t>
  </si>
  <si>
    <t>711A23234041</t>
  </si>
  <si>
    <t>711A23234061</t>
  </si>
  <si>
    <t>711A23234022</t>
  </si>
  <si>
    <t>711A23234338</t>
  </si>
  <si>
    <t>711A23234231</t>
  </si>
  <si>
    <t>711A23234262</t>
  </si>
  <si>
    <t>711A23234274</t>
  </si>
  <si>
    <t>711A23234286</t>
  </si>
  <si>
    <t>711A23234429</t>
  </si>
  <si>
    <t>711A23234298</t>
  </si>
  <si>
    <t>711A23234417</t>
  </si>
  <si>
    <t>711A06804112</t>
  </si>
  <si>
    <t>711A23234372</t>
  </si>
  <si>
    <t>711A23234384</t>
  </si>
  <si>
    <t>711A23234392</t>
  </si>
  <si>
    <t>711A23234401</t>
  </si>
  <si>
    <t>711A23234353</t>
  </si>
  <si>
    <t>711A23234259</t>
  </si>
  <si>
    <t>711A23234468</t>
  </si>
  <si>
    <t>711A23234483</t>
  </si>
  <si>
    <t>711A23234471</t>
  </si>
  <si>
    <t>711A23234495</t>
  </si>
  <si>
    <t>711A23234504</t>
  </si>
  <si>
    <t>711A23234523</t>
  </si>
  <si>
    <t>711A14685304</t>
  </si>
  <si>
    <t>711A23234547</t>
  </si>
  <si>
    <t>711A23234562</t>
  </si>
  <si>
    <t>711A23234598</t>
  </si>
  <si>
    <t>711A23234602</t>
  </si>
  <si>
    <t>711A23234626</t>
  </si>
  <si>
    <t>711A23234641</t>
  </si>
  <si>
    <t>711A23234653</t>
  </si>
  <si>
    <t>711A23234638</t>
  </si>
  <si>
    <t>711A23234559</t>
  </si>
  <si>
    <t>711A23234586</t>
  </si>
  <si>
    <t>711A22129662</t>
  </si>
  <si>
    <t>711A23234783</t>
  </si>
  <si>
    <t>711A23234795</t>
  </si>
  <si>
    <t>711A23235045</t>
  </si>
  <si>
    <t>711A23235281</t>
  </si>
  <si>
    <t>711A23235293</t>
  </si>
  <si>
    <t>711A23235306</t>
  </si>
  <si>
    <t>711A23235313</t>
  </si>
  <si>
    <t>711A23235321</t>
  </si>
  <si>
    <t>711A23235573</t>
  </si>
  <si>
    <t>711A23234835</t>
  </si>
  <si>
    <t>711A23234811</t>
  </si>
  <si>
    <t>711A23234842</t>
  </si>
  <si>
    <t>711A23235194</t>
  </si>
  <si>
    <t>711A23235018</t>
  </si>
  <si>
    <t>711A23235033</t>
  </si>
  <si>
    <t>711A23234992</t>
  </si>
  <si>
    <t>711A23235002</t>
  </si>
  <si>
    <t>711A23234902</t>
  </si>
  <si>
    <t>711A23235242</t>
  </si>
  <si>
    <t>711A23234914</t>
  </si>
  <si>
    <t>711A06895699</t>
  </si>
  <si>
    <t>711A23235254</t>
  </si>
  <si>
    <t>711A23235215</t>
  </si>
  <si>
    <t>711A23235239</t>
  </si>
  <si>
    <t>711A23235266</t>
  </si>
  <si>
    <t>711A23235554</t>
  </si>
  <si>
    <t>711A24122832</t>
  </si>
  <si>
    <t>711A23234732</t>
  </si>
  <si>
    <t>711A23234729</t>
  </si>
  <si>
    <t>711A14784559</t>
  </si>
  <si>
    <t>711A23234744</t>
  </si>
  <si>
    <t>711A26554199</t>
  </si>
  <si>
    <t>Giáp Văn</t>
  </si>
  <si>
    <t>Bùi Thị Lan</t>
  </si>
  <si>
    <t>Hồng Mộng Tuyết</t>
  </si>
  <si>
    <t>LY</t>
  </si>
  <si>
    <t>VƯỢNG</t>
  </si>
  <si>
    <t>Huỳnh Thị Minh</t>
  </si>
  <si>
    <t xml:space="preserve">Giáp Thị </t>
  </si>
  <si>
    <t>CHI</t>
  </si>
  <si>
    <t>Phạm Thị Lê</t>
  </si>
  <si>
    <t>THÙY</t>
  </si>
  <si>
    <t>Lâm Thị Phương</t>
  </si>
  <si>
    <t>Nguyễn Bạch Cẩm</t>
  </si>
  <si>
    <t>Trịnh Khắc</t>
  </si>
  <si>
    <t>THƠM</t>
  </si>
  <si>
    <t>HƯỜNG</t>
  </si>
  <si>
    <t>Cao Thị Hồng</t>
  </si>
  <si>
    <t>Lê Thị Mai</t>
  </si>
  <si>
    <t>Bùi Thành</t>
  </si>
  <si>
    <t>Giang Phi</t>
  </si>
  <si>
    <t>ĐÔN</t>
  </si>
  <si>
    <t>TRƯỜNG</t>
  </si>
  <si>
    <t>Dương Đức</t>
  </si>
  <si>
    <t>Lê Phi</t>
  </si>
  <si>
    <t>Ninh Đỗ</t>
  </si>
  <si>
    <t>Nguyễn Thị Hải</t>
  </si>
  <si>
    <t xml:space="preserve">Nguyễn Thùy </t>
  </si>
  <si>
    <t>Đặng Thái</t>
  </si>
  <si>
    <t>Nguyễn Thái</t>
  </si>
  <si>
    <t>Võ Thị Thu</t>
  </si>
  <si>
    <t>LINH</t>
  </si>
  <si>
    <t>PHAN</t>
  </si>
  <si>
    <t>KHẮC</t>
  </si>
  <si>
    <t>THAY</t>
  </si>
  <si>
    <t>NGỌC</t>
  </si>
  <si>
    <t>TƯƠI</t>
  </si>
  <si>
    <t>Lê Thị Phương</t>
  </si>
  <si>
    <t>Cao Hải</t>
  </si>
  <si>
    <t>Lê Thị Thanh</t>
  </si>
  <si>
    <t>Nguyễn Thị Bảo</t>
  </si>
  <si>
    <t>Lâm Hải</t>
  </si>
  <si>
    <t>Lê Phương</t>
  </si>
  <si>
    <t>Lê Thị</t>
  </si>
  <si>
    <t>Phan Vũ Băng</t>
  </si>
  <si>
    <t>Trần Thị Mỹ</t>
  </si>
  <si>
    <t>HUYỀN</t>
  </si>
  <si>
    <t>Trần Thị Tuyết</t>
  </si>
  <si>
    <t>LÊ</t>
  </si>
  <si>
    <t xml:space="preserve">Hoàng Thị </t>
  </si>
  <si>
    <t>711A23231981</t>
  </si>
  <si>
    <t>711A23235581</t>
  </si>
  <si>
    <t>NGÁT</t>
  </si>
  <si>
    <t>1603205398451</t>
  </si>
  <si>
    <t>711A23232287</t>
  </si>
  <si>
    <t>711A23232315</t>
  </si>
  <si>
    <t>711A23232418</t>
  </si>
  <si>
    <t>711A23232524</t>
  </si>
  <si>
    <t>711A23232673</t>
  </si>
  <si>
    <t>711A23232824</t>
  </si>
  <si>
    <t>711A23232809</t>
  </si>
  <si>
    <t>711A23233341</t>
  </si>
  <si>
    <t>711A23233307</t>
  </si>
  <si>
    <t>711A23233334</t>
  </si>
  <si>
    <t>711A23233294</t>
  </si>
  <si>
    <t>711A08373468</t>
  </si>
  <si>
    <t>711A23233322</t>
  </si>
  <si>
    <t>711A02593584</t>
  </si>
  <si>
    <t>711A23233282</t>
  </si>
  <si>
    <t>711A23233725</t>
  </si>
  <si>
    <t>711A23233607</t>
  </si>
  <si>
    <t>711A23233614</t>
  </si>
  <si>
    <t>711A03770195</t>
  </si>
  <si>
    <t>711A23233622</t>
  </si>
  <si>
    <t>711A23233737</t>
  </si>
  <si>
    <t>711A18411983</t>
  </si>
  <si>
    <t>711A23233953</t>
  </si>
  <si>
    <t>711A23233941</t>
  </si>
  <si>
    <t>711A23233914</t>
  </si>
  <si>
    <t>711A23234204</t>
  </si>
  <si>
    <t>711A23234223</t>
  </si>
  <si>
    <t>711A23234511</t>
  </si>
  <si>
    <t>711A23234531</t>
  </si>
  <si>
    <t>711A23234665</t>
  </si>
  <si>
    <t>711A23234684</t>
  </si>
  <si>
    <t>711A23234701</t>
  </si>
  <si>
    <t>711A23234717</t>
  </si>
  <si>
    <t>711A23235391</t>
  </si>
  <si>
    <t>711A23235424</t>
  </si>
  <si>
    <t>711A23235412</t>
  </si>
  <si>
    <t>711A23235409</t>
  </si>
  <si>
    <t>711A23235451</t>
  </si>
  <si>
    <t>711A23235479</t>
  </si>
  <si>
    <t>711A23235376</t>
  </si>
  <si>
    <t>711A16769544</t>
  </si>
  <si>
    <t>711A23235349</t>
  </si>
  <si>
    <t>711A23235352</t>
  </si>
  <si>
    <t>711A23235364</t>
  </si>
  <si>
    <t>711A23235333</t>
  </si>
  <si>
    <t>711A23235482</t>
  </si>
  <si>
    <t>711A23235443</t>
  </si>
  <si>
    <t>711A14513924</t>
  </si>
  <si>
    <t>711A23235388</t>
  </si>
  <si>
    <t>QUỲNH (CK)</t>
  </si>
  <si>
    <t>QUỲNH (CB)</t>
  </si>
  <si>
    <t>Phạm Mạnh</t>
  </si>
  <si>
    <t>1603205246157</t>
  </si>
  <si>
    <t>1603205203183</t>
  </si>
  <si>
    <t>1603205246090</t>
  </si>
  <si>
    <t>1603205250618</t>
  </si>
  <si>
    <t>1603205246577</t>
  </si>
  <si>
    <t>1603205246560</t>
  </si>
  <si>
    <t>1603205246662</t>
  </si>
  <si>
    <t>1603205246309</t>
  </si>
  <si>
    <t>1603205250601</t>
  </si>
  <si>
    <t>1603205249841</t>
  </si>
  <si>
    <t>1603205186270</t>
  </si>
  <si>
    <t>1603205186264</t>
  </si>
  <si>
    <t>1603205250790</t>
  </si>
  <si>
    <t>1603205182995</t>
  </si>
  <si>
    <t>1603205246344</t>
  </si>
  <si>
    <t>1603205245942</t>
  </si>
  <si>
    <t>1603205245959</t>
  </si>
  <si>
    <t>1603205245965</t>
  </si>
  <si>
    <t>1603205246134</t>
  </si>
  <si>
    <t>1603205250682</t>
  </si>
  <si>
    <t>1603205247012</t>
  </si>
  <si>
    <t>1603205250699</t>
  </si>
  <si>
    <t>1603205251259</t>
  </si>
  <si>
    <t>1603205246610</t>
  </si>
  <si>
    <t>711A23234365</t>
  </si>
  <si>
    <t>1603205246271</t>
  </si>
  <si>
    <t>1603205246338</t>
  </si>
  <si>
    <t>1603205246213</t>
  </si>
  <si>
    <t>1603205250676</t>
  </si>
  <si>
    <t>1603205182575</t>
  </si>
  <si>
    <t>1603205183004</t>
  </si>
  <si>
    <t>1603205183079</t>
  </si>
  <si>
    <t>1603205250971</t>
  </si>
  <si>
    <t>1603205250840</t>
  </si>
  <si>
    <t>1603205250761</t>
  </si>
  <si>
    <t>1603205250784</t>
  </si>
  <si>
    <t>1603205250778</t>
  </si>
  <si>
    <t>1603205250857</t>
  </si>
  <si>
    <t>1603205250870</t>
  </si>
  <si>
    <t>1603205186678</t>
  </si>
  <si>
    <t>1603205224601</t>
  </si>
  <si>
    <t>1603205251010</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</si>
  <si>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</si>
  <si>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</si>
  <si>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</si>
  <si>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</si>
  <si>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</si>
  <si>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</si>
  <si>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</si>
  <si>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</si>
  <si>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</si>
  <si>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</si>
  <si>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</si>
  <si>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</si>
  <si>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</si>
  <si>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</si>
  <si>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</si>
  <si>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</si>
  <si>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</si>
  <si>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</si>
  <si>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</si>
  <si>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</si>
  <si>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</si>
  <si>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</si>
  <si>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</si>
  <si>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</si>
  <si>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</si>
  <si>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711A34199653</t>
  </si>
  <si>
    <t xml:space="preserve">Lữ Châu </t>
  </si>
  <si>
    <t xml:space="preserve">THI </t>
  </si>
  <si>
    <t>1603205275619</t>
  </si>
  <si>
    <t>711A34615102</t>
  </si>
  <si>
    <t xml:space="preserve">Trần Thị Hồng </t>
  </si>
  <si>
    <t xml:space="preserve">THU </t>
  </si>
  <si>
    <t>1603205275660</t>
  </si>
  <si>
    <t>711A34713613</t>
  </si>
  <si>
    <t>1603205183300</t>
  </si>
  <si>
    <t>711A23235273</t>
  </si>
  <si>
    <t>Vũ Thị Thu</t>
  </si>
  <si>
    <t>P. CHỦ TỊCH HĐ THI ĐUA</t>
  </si>
  <si>
    <t xml:space="preserve">P. CHỦ TỊCH HĐ THI ĐUA </t>
  </si>
  <si>
    <t>TRÂM</t>
  </si>
  <si>
    <t>Lê Nguyễn Mỹ</t>
  </si>
  <si>
    <t>711A12099392</t>
  </si>
  <si>
    <t>DANH</t>
  </si>
  <si>
    <t>1603205185261</t>
  </si>
  <si>
    <t>711A03020828</t>
  </si>
  <si>
    <t xml:space="preserve">Nguyễn Duy </t>
  </si>
  <si>
    <t xml:space="preserve">HẢI </t>
  </si>
  <si>
    <t>1603205275388</t>
  </si>
  <si>
    <t>711A34563044</t>
  </si>
  <si>
    <t xml:space="preserve">Hồ Văn </t>
  </si>
  <si>
    <t xml:space="preserve">LÝ </t>
  </si>
  <si>
    <t>Đỗ Huỳnh Thanh</t>
  </si>
  <si>
    <t>Nguyễn Minh Đức</t>
  </si>
  <si>
    <t>1603205274928</t>
  </si>
  <si>
    <t>1603205246321</t>
  </si>
  <si>
    <t>711A34207095</t>
  </si>
  <si>
    <t>711A34590792</t>
  </si>
  <si>
    <t>711A26952801</t>
  </si>
  <si>
    <t xml:space="preserve">Trần Minh </t>
  </si>
  <si>
    <t>Kiều Trung</t>
  </si>
  <si>
    <t>TÍN</t>
  </si>
  <si>
    <t>711A34177562</t>
  </si>
  <si>
    <t>711A34926054</t>
  </si>
  <si>
    <t>1603205251367</t>
  </si>
  <si>
    <t>1603205276141</t>
  </si>
  <si>
    <t xml:space="preserve">Viên Ngọc </t>
  </si>
  <si>
    <t>BẠCH</t>
  </si>
  <si>
    <t xml:space="preserve">Hoàng Anh </t>
  </si>
  <si>
    <t xml:space="preserve">TOÀN </t>
  </si>
  <si>
    <t xml:space="preserve">Thái Thị Thanh </t>
  </si>
  <si>
    <t xml:space="preserve">Lưu Thị Ngọc </t>
  </si>
  <si>
    <t xml:space="preserve">THÚY </t>
  </si>
  <si>
    <t>1603205274826</t>
  </si>
  <si>
    <t>711A34171317</t>
  </si>
  <si>
    <t>1603205274934</t>
  </si>
  <si>
    <t>1603205275740</t>
  </si>
  <si>
    <t>1603205275858</t>
  </si>
  <si>
    <t>711A34210005</t>
  </si>
  <si>
    <t>711A34648402</t>
  </si>
  <si>
    <t>711A29231332</t>
  </si>
  <si>
    <t>Trần Quốc</t>
  </si>
  <si>
    <t>1603205294780</t>
  </si>
  <si>
    <t>711A44124442</t>
  </si>
  <si>
    <t>ỦY BAN NHÂN DÂN TP.HCM</t>
  </si>
  <si>
    <t>Trần Thị Minh</t>
  </si>
  <si>
    <t>THOA</t>
  </si>
  <si>
    <t>711A23232354</t>
  </si>
  <si>
    <t>711A09517054</t>
  </si>
  <si>
    <t>1603205303449</t>
  </si>
  <si>
    <t>SƠN (A)</t>
  </si>
  <si>
    <t>SƠN (B)</t>
  </si>
  <si>
    <t>Nguyễn Vũ Xuân</t>
  </si>
  <si>
    <t>THÌ</t>
  </si>
  <si>
    <t>711A50423323</t>
  </si>
  <si>
    <t>1603205269412</t>
  </si>
  <si>
    <t>1603205274861</t>
  </si>
  <si>
    <t>Nguyễn Thụy Hải</t>
  </si>
  <si>
    <t>1603205307801</t>
  </si>
  <si>
    <t>711A54880724</t>
  </si>
  <si>
    <t>1603205303200</t>
  </si>
  <si>
    <t>711A55150293</t>
  </si>
  <si>
    <t>1603205276158</t>
  </si>
  <si>
    <t>1603205307716</t>
  </si>
  <si>
    <t>711A54849792</t>
  </si>
  <si>
    <t>Nguyễn Minh</t>
  </si>
  <si>
    <t>NHẬT</t>
  </si>
  <si>
    <t xml:space="preserve">Lê Thị Kim </t>
  </si>
  <si>
    <t>ĐĂNG</t>
  </si>
  <si>
    <t>Trương Thành</t>
  </si>
  <si>
    <t>Lý Hoàng</t>
  </si>
  <si>
    <t>711A46433144</t>
  </si>
  <si>
    <t>711A55676578</t>
  </si>
  <si>
    <t>711A55304931</t>
  </si>
  <si>
    <t>711A55613135</t>
  </si>
  <si>
    <t>711A55587351</t>
  </si>
  <si>
    <t>711A21147529</t>
  </si>
  <si>
    <t>B</t>
  </si>
  <si>
    <t>Phạm Minh Nghĩa</t>
  </si>
  <si>
    <t>TCHCTH</t>
  </si>
  <si>
    <t>y tế</t>
  </si>
  <si>
    <t>KTTC</t>
  </si>
  <si>
    <t>KHVT</t>
  </si>
  <si>
    <t>T.TRA</t>
  </si>
  <si>
    <t>QHQT</t>
  </si>
  <si>
    <t>Đ.TẠO</t>
  </si>
  <si>
    <t>QLHS</t>
  </si>
  <si>
    <t>B.TRÌ</t>
  </si>
  <si>
    <t>K.ĐỊNH</t>
  </si>
  <si>
    <t>GTVL</t>
  </si>
  <si>
    <t>MAY</t>
  </si>
  <si>
    <t>KHCB</t>
  </si>
  <si>
    <t>hóa-sinh</t>
  </si>
  <si>
    <t>lý</t>
  </si>
  <si>
    <t>toán</t>
  </si>
  <si>
    <t>chính trị</t>
  </si>
  <si>
    <t>P.luật</t>
  </si>
  <si>
    <t>thể chất</t>
  </si>
  <si>
    <t>văn</t>
  </si>
  <si>
    <t>A văn</t>
  </si>
  <si>
    <t>CNTT</t>
  </si>
  <si>
    <t>CƠ KHÍ</t>
  </si>
  <si>
    <t>ĐIỆN</t>
  </si>
  <si>
    <t>Đ.LẠNH</t>
  </si>
  <si>
    <t>Đ.LỰC</t>
  </si>
  <si>
    <t xml:space="preserve">Lê Thị Tuyết Trinh </t>
  </si>
  <si>
    <t>Lê Thị Tuyết Trinh</t>
  </si>
  <si>
    <t>TRONG</t>
  </si>
  <si>
    <t>Mức lương tối thiểu hệ số 1=1.050.000đ</t>
  </si>
  <si>
    <t>Mức lương tối thiểu có hệ số 1 = 1 050 000đ</t>
  </si>
  <si>
    <t>72</t>
  </si>
  <si>
    <t>711A74605287</t>
  </si>
  <si>
    <t>1603205356140</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</si>
  <si>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</si>
  <si>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</si>
  <si>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</si>
  <si>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</si>
  <si>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</si>
  <si>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</si>
  <si>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</si>
  <si>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</si>
  <si>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</si>
  <si>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</si>
  <si>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</si>
  <si>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</si>
  <si>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</si>
  <si>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</si>
  <si>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</si>
  <si>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</si>
  <si>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</si>
  <si>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</si>
  <si>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</si>
  <si>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</si>
  <si>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</si>
  <si>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</si>
  <si>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</si>
  <si>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</si>
  <si>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</si>
  <si>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</si>
  <si>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</si>
  <si>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</si>
  <si>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</si>
  <si>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</si>
  <si>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</si>
  <si>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</si>
  <si>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</si>
  <si>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</si>
  <si>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</si>
  <si>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</si>
  <si>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</si>
  <si>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</si>
  <si>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</si>
  <si>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</si>
  <si>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</si>
  <si>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</si>
  <si>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</si>
  <si>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</si>
  <si>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</si>
  <si>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</si>
  <si>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</si>
  <si>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</si>
  <si>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</si>
  <si>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</si>
  <si>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</si>
  <si>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</si>
  <si>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</si>
  <si>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</si>
  <si>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</si>
  <si>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</si>
  <si>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</si>
  <si>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</si>
  <si>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</si>
  <si>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</si>
  <si>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</si>
  <si>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</si>
  <si>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</si>
  <si>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</si>
  <si>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</si>
  <si>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</si>
  <si>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</si>
  <si>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</si>
  <si>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</si>
  <si>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</si>
  <si>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</si>
  <si>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</si>
  <si>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</si>
  <si>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</si>
  <si>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</si>
  <si>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</si>
  <si>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</si>
  <si>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</si>
  <si>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</si>
  <si>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</si>
  <si>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</si>
  <si>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</si>
  <si>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</si>
  <si>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</si>
  <si>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</si>
  <si>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</si>
  <si>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</si>
  <si>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</si>
  <si>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</si>
  <si>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</si>
  <si>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</si>
  <si>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</si>
  <si>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</si>
  <si>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</si>
  <si>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</si>
  <si>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</si>
  <si>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</si>
  <si>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</si>
  <si>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</si>
  <si>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</si>
  <si>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</si>
  <si>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</si>
  <si>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</si>
  <si>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</si>
  <si>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</si>
  <si>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</si>
  <si>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</si>
  <si>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</si>
  <si>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</si>
  <si>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</si>
  <si>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</si>
  <si>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</si>
  <si>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</si>
  <si>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</si>
  <si>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</si>
  <si>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</si>
  <si>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</si>
  <si>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</si>
  <si>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</si>
  <si>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</si>
  <si>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</si>
  <si>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</si>
  <si>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</si>
  <si>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</si>
  <si>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</si>
  <si>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</si>
  <si>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</si>
  <si>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</si>
  <si>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</si>
  <si>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</si>
  <si>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</si>
  <si>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</si>
  <si>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</si>
  <si>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</si>
  <si>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</si>
  <si>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</si>
  <si>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</si>
  <si>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</si>
  <si>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</si>
  <si>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</si>
  <si>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</si>
  <si>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</si>
  <si>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</si>
  <si>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</si>
  <si>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</si>
  <si>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</si>
  <si>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</si>
  <si>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</si>
  <si>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</si>
  <si>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</si>
  <si>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</si>
  <si>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</si>
  <si>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</si>
  <si>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</si>
  <si>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</si>
  <si>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</si>
  <si>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</si>
  <si>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</si>
  <si>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</si>
  <si>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Văn Công</t>
  </si>
  <si>
    <t xml:space="preserve">SANG </t>
  </si>
  <si>
    <t xml:space="preserve">BGH </t>
  </si>
  <si>
    <t>711A40944441</t>
  </si>
  <si>
    <t>1603205361871</t>
  </si>
  <si>
    <t>Văn Công Sang</t>
  </si>
  <si>
    <t>165</t>
  </si>
  <si>
    <t>x</t>
  </si>
  <si>
    <t xml:space="preserve">XUYÊN </t>
  </si>
  <si>
    <t xml:space="preserve">Trần Vĩnh </t>
  </si>
  <si>
    <t>711A38288869</t>
  </si>
  <si>
    <t xml:space="preserve">TUYÊN </t>
  </si>
  <si>
    <t>711A06360681</t>
  </si>
  <si>
    <t>THỌ</t>
  </si>
  <si>
    <t>711A23234183</t>
  </si>
  <si>
    <t>1603205246373</t>
  </si>
  <si>
    <t xml:space="preserve">HIỀN </t>
  </si>
  <si>
    <t>SƯƠNG</t>
  </si>
  <si>
    <t>Bùi Thị Ngọc</t>
  </si>
  <si>
    <t>711A35869975</t>
  </si>
  <si>
    <t>711A75479276</t>
  </si>
  <si>
    <t>711A28174803</t>
  </si>
  <si>
    <t xml:space="preserve">Bùi Anh </t>
  </si>
  <si>
    <t>1603205353368</t>
  </si>
  <si>
    <t>711A02021461</t>
  </si>
  <si>
    <t>711A75135521</t>
  </si>
  <si>
    <t>THÔNG</t>
  </si>
  <si>
    <t>711A23707965</t>
  </si>
  <si>
    <t>711A23234692</t>
  </si>
  <si>
    <t>711A75112629</t>
  </si>
  <si>
    <t>1603205353345</t>
  </si>
  <si>
    <t>1603205251916</t>
  </si>
  <si>
    <t>1603205356610</t>
  </si>
  <si>
    <t>Phạm Nguyễn Đức</t>
  </si>
  <si>
    <t>TRUNG</t>
  </si>
  <si>
    <t>HÓA</t>
  </si>
  <si>
    <t xml:space="preserve">Phương Kim </t>
  </si>
  <si>
    <t xml:space="preserve">Phạm Thế </t>
  </si>
  <si>
    <t>711A74990261</t>
  </si>
  <si>
    <t>711A05930741</t>
  </si>
  <si>
    <t>233</t>
  </si>
  <si>
    <t>234</t>
  </si>
  <si>
    <t>235</t>
  </si>
  <si>
    <t>236</t>
  </si>
  <si>
    <t>237</t>
  </si>
  <si>
    <t>238</t>
  </si>
  <si>
    <t>239</t>
  </si>
  <si>
    <t>240</t>
  </si>
  <si>
    <t>241</t>
  </si>
  <si>
    <t>242</t>
  </si>
  <si>
    <t>243</t>
  </si>
  <si>
    <t>1603205353295</t>
  </si>
  <si>
    <t xml:space="preserve">tháng 10 </t>
  </si>
  <si>
    <t>tháng 11</t>
  </si>
  <si>
    <t>tháng 12</t>
  </si>
  <si>
    <t>Tháng 3/2013 cập nhật PCTNVK từ 8% lên 9%</t>
  </si>
  <si>
    <t>Nghỉ HS từ ngày 7/01-6/7/2013</t>
  </si>
  <si>
    <t>Đi học SĐH 2N</t>
  </si>
  <si>
    <t>Nghỉ HS từ ngày 26/02-25/8/2013</t>
  </si>
  <si>
    <t>Nghỉ HS từ ngày 17/12-16/04/2013</t>
  </si>
  <si>
    <t>Trừ 2N nghỉ phép</t>
  </si>
  <si>
    <t>Đi học nước ngoài từ 19/9/11</t>
  </si>
  <si>
    <t>Nghỉ HS từ ngày 12/01-11/7/2013</t>
  </si>
  <si>
    <t>Trừ 1N nghỉ phép</t>
  </si>
  <si>
    <t>Nghỉ HS từ ngày 01/02/2013- 31/7/2013</t>
  </si>
  <si>
    <t>A DN</t>
  </si>
  <si>
    <t>C</t>
  </si>
  <si>
    <t>TP. Hồ Chí Minh, ngày 13 tháng 3 năm 2013</t>
  </si>
  <si>
    <t>BẢNG THU NHẬP TĂNG THÊM - LƯƠNG THEO HỆ SỐ ĐIỀU CHỈNH THÁNG 2 ( BỔ SUNG)  NĂM 2013</t>
  </si>
  <si>
    <t>BẢNG THU NHẬP TĂNG THÊM - LƯƠNG THEO HỆ SỐ ĐIỀU CHỈNH THÁNG 02 (BỔ SUNG) NĂM 2013</t>
  </si>
  <si>
    <t>Tháng 3 hết PCCV 0.35</t>
  </si>
  <si>
    <t>Tháng sau nhớ sửa lại PCCV thành 0,25</t>
  </si>
  <si>
    <t>BẢNG THU NHẬP TĂNG THÊM - LƯƠNG THEO HỆ SỐ ĐIỀU CHỈNH THÁNG 4 NĂM 2013</t>
  </si>
  <si>
    <t>TP. Hồ Chí Minh, ngày      tháng     năm 2013</t>
  </si>
  <si>
    <t>TP. Hồ Chí Minh, ngày      tháng         năm 2013</t>
  </si>
  <si>
    <t>Nghỉ HS từ ngày 25/10-24/03/2013, nghỉ không hưởng lương từ ngày 26/3-25/5/2013</t>
  </si>
  <si>
    <t>Hết thời gian nghỉ HS đi làm lại từ ngày 29/3/2013</t>
  </si>
  <si>
    <t>Cộng 1/2N chấm công T2</t>
  </si>
  <si>
    <t>Trừ 1N nghỉ bù</t>
  </si>
  <si>
    <t>Dự hội nghị 1N, họp triển khai công tác kiểm tra, khảo sát…2N</t>
  </si>
  <si>
    <t>Trừ 1N nghỉ bù và nghỉ HS từ ngày 18/3-17/9/2013</t>
  </si>
  <si>
    <t>Đi học SĐH 5N</t>
  </si>
  <si>
    <t>Học lớp FCE 7N</t>
  </si>
  <si>
    <t>Học lớp FCE 8N</t>
  </si>
  <si>
    <t>Học lớp FCE 9N</t>
  </si>
  <si>
    <t>Trừ 5N nghỉ phép</t>
  </si>
  <si>
    <t>Trừ 2N nghỉ ốm T2 và 4N nghỉ ốm T3</t>
  </si>
  <si>
    <t>Trừ 23N nghỉ ốm</t>
  </si>
  <si>
    <t>Trừ 3N nghỉ phép, cộng 1 ngày làm thứ 7</t>
  </si>
  <si>
    <t>10N đi công tác miền Trung</t>
  </si>
  <si>
    <t>Trừ 2N nghỉ chế độ tang, cộng 1 ngày làm thứ 7</t>
  </si>
  <si>
    <t>Nghỉ không hưởng lương từ ngày 01/3-31/3/2013</t>
  </si>
  <si>
    <t>1</t>
  </si>
  <si>
    <t>2</t>
  </si>
  <si>
    <t>3</t>
  </si>
  <si>
    <t>4</t>
  </si>
  <si>
    <t>5</t>
  </si>
  <si>
    <t>6</t>
  </si>
  <si>
    <t>7</t>
  </si>
  <si>
    <t>8</t>
  </si>
  <si>
    <t>9</t>
  </si>
  <si>
    <t>Để HS xảy ra TNLĐ trong giờ dạy</t>
  </si>
  <si>
    <t>Sinh con thứ 3</t>
  </si>
  <si>
    <t xml:space="preserve">Vắng coi thi </t>
  </si>
  <si>
    <t>Lên lớp trễ</t>
  </si>
  <si>
    <t>Học lớp FCE 8N, Coi thi trễ</t>
  </si>
  <si>
    <t>Nghỉ 10 tiết</t>
  </si>
  <si>
    <t>Trừ 1N nghỉ việc riêng 
Vắng coi thi</t>
  </si>
  <si>
    <t>Coi thi trễ</t>
  </si>
  <si>
    <t>Trừ 1N nghỉ phép
Nghỉ 6 tiết, nghỉ tập huấn NCKHSPƯD</t>
  </si>
  <si>
    <t>Tháng 4 chuyển Cô Tránh qua HĐ trường</t>
  </si>
  <si>
    <t>Tháng 4 nghỉ việc</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</si>
  <si>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</si>
  <si>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</si>
  <si>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A=0,50, B=0,30, C=0,10, D=0</t>
  </si>
  <si>
    <t>Tham gia tập huấn Công tác triển khai thực hiện dự toán 2013….2N</t>
  </si>
  <si>
    <t>Đi công tác tại miền Trung và 2N  tham gia tập huấn Công tác triển khai thực hiện dự toán 2013…. 5N</t>
  </si>
  <si>
    <t>Đi công tác tại miền Tây 6N</t>
  </si>
  <si>
    <t>Đi công tác vớ Sở GDĐT 5N</t>
  </si>
  <si>
    <t>Đi công tác tại miền Tây 5N và 1N đi tư vấn tuyển sinh, trừ 1N nghỉ bù</t>
  </si>
  <si>
    <t>(Chi theo Chương II - "Những quy định cụ thể"/ Mục 2 - "Chi thanh toán cá nhân"/ Điều 17 - "Các khoản thanh toán cá nhân"/ Khoản 1.2 - "Thu nhập tăng thêm" trong Quy chế chi tiêu nội bộ năm học 2012 - 2013 ban hành theo Quyết định số 521B/QĐ-LTT-KTTC ngày 10 tháng 04 năm 2013)</t>
  </si>
  <si>
    <t>Truy lãnh lương điều chỉnh do nâng bậc lương</t>
  </si>
  <si>
    <t>Vũ Thị Thu Thủy</t>
  </si>
  <si>
    <t>Lê Thị Hồng Vân</t>
  </si>
  <si>
    <t>Giáp Thị Vượng</t>
  </si>
  <si>
    <t>Nguyễn Mạnh Phương</t>
  </si>
  <si>
    <t>Phan Thị Thùy Trang</t>
  </si>
  <si>
    <t>Trần Thị Ánh Tuyết</t>
  </si>
  <si>
    <t>Trần Thị Thu Hà</t>
  </si>
  <si>
    <t>CỘNG HÒA XÃ HỘI CHỦ NGHĨA VIỆT NAM</t>
  </si>
  <si>
    <t>TRƯỜNG CAO ĐẲNG KỸ THUẬT</t>
  </si>
  <si>
    <t xml:space="preserve">Độc lập - Tự do - Hạnh phúc </t>
  </si>
  <si>
    <t xml:space="preserve">LÝ TỰ TRỌNG </t>
  </si>
  <si>
    <t>STT</t>
  </si>
  <si>
    <t xml:space="preserve">HỌ VÀ TÊN </t>
  </si>
  <si>
    <t>HS LƯƠNG +PCCV</t>
  </si>
  <si>
    <t>LƯƠNG</t>
  </si>
  <si>
    <t>Số ngày công thực hiện</t>
  </si>
  <si>
    <t>A</t>
  </si>
  <si>
    <t xml:space="preserve"> NGƯỜI LẬP BẢNG</t>
  </si>
  <si>
    <t>XẾP LOẠI</t>
  </si>
  <si>
    <t>Số ngày công kế hoạch</t>
  </si>
  <si>
    <t xml:space="preserve">Nguyễn Văn </t>
  </si>
  <si>
    <t>HÒA</t>
  </si>
  <si>
    <t>Võ Thị Khánh</t>
  </si>
  <si>
    <t>VÂN</t>
  </si>
  <si>
    <t xml:space="preserve">CỘNG </t>
  </si>
  <si>
    <t>MINH</t>
  </si>
  <si>
    <t>SƠN</t>
  </si>
  <si>
    <t xml:space="preserve">Nguyễn Thị </t>
  </si>
  <si>
    <t>Nguyễn Hồng</t>
  </si>
  <si>
    <t>THANH</t>
  </si>
  <si>
    <t xml:space="preserve">Trần Thị Thúy </t>
  </si>
  <si>
    <t>NGA</t>
  </si>
  <si>
    <t>THỦY</t>
  </si>
  <si>
    <t xml:space="preserve">Trần Quốc </t>
  </si>
  <si>
    <t xml:space="preserve">TUẤN </t>
  </si>
  <si>
    <t xml:space="preserve">Phạm Thị </t>
  </si>
  <si>
    <t>ĐỨC</t>
  </si>
  <si>
    <t>Lê Tấn</t>
  </si>
  <si>
    <t>LONG</t>
  </si>
  <si>
    <t xml:space="preserve">Trương Thị </t>
  </si>
  <si>
    <t>LỢI</t>
  </si>
  <si>
    <t>HÀ</t>
  </si>
  <si>
    <t>HỒNG</t>
  </si>
  <si>
    <t>ANH</t>
  </si>
  <si>
    <t>HƯƠNG</t>
  </si>
  <si>
    <t>CÔNG</t>
  </si>
  <si>
    <t xml:space="preserve">Đỗ Văn </t>
  </si>
  <si>
    <t>HÙNG</t>
  </si>
  <si>
    <t>Nguyễn Văn</t>
  </si>
  <si>
    <t>DŨNG</t>
  </si>
  <si>
    <t xml:space="preserve">Lương Xuân </t>
  </si>
  <si>
    <t xml:space="preserve">CHỈNH </t>
  </si>
  <si>
    <t xml:space="preserve">Đinh Hồng </t>
  </si>
  <si>
    <t xml:space="preserve">Hồ Thị </t>
  </si>
  <si>
    <t>TUYẾT</t>
  </si>
  <si>
    <t>Trần Văn</t>
  </si>
  <si>
    <t>LÝ</t>
  </si>
  <si>
    <t xml:space="preserve">Trang Thị Xuân </t>
  </si>
  <si>
    <t>UYÊN</t>
  </si>
  <si>
    <t>Lê Hùng</t>
  </si>
  <si>
    <t xml:space="preserve">Lê Xuân </t>
  </si>
  <si>
    <t>THIỆN</t>
  </si>
  <si>
    <t xml:space="preserve">Nguyễn Thanh Vĩnh </t>
  </si>
  <si>
    <t xml:space="preserve">PHÚC </t>
  </si>
  <si>
    <t xml:space="preserve">Trần Thị Thu </t>
  </si>
  <si>
    <t xml:space="preserve">Phạm Ngọc </t>
  </si>
  <si>
    <t>Lâm Thị</t>
  </si>
  <si>
    <t>TRÁNH</t>
  </si>
  <si>
    <t>HUÊ</t>
  </si>
  <si>
    <t xml:space="preserve">Nguyễn Thị Kim </t>
  </si>
  <si>
    <t>DUNG</t>
  </si>
  <si>
    <t xml:space="preserve">Nguyễn Hải </t>
  </si>
  <si>
    <t>Hồ Minh</t>
  </si>
  <si>
    <t>HOA</t>
  </si>
  <si>
    <t>Huỳnh Thị Xuân</t>
  </si>
  <si>
    <t>MAI</t>
  </si>
  <si>
    <t>LÂM</t>
  </si>
  <si>
    <t>Nguyễn Ngọc</t>
  </si>
  <si>
    <t>TRANG</t>
  </si>
  <si>
    <t>TẤN</t>
  </si>
  <si>
    <t xml:space="preserve">Võ Thị Anh </t>
  </si>
  <si>
    <t>ĐÀO</t>
  </si>
  <si>
    <t>Hồ Văn</t>
  </si>
  <si>
    <t>SĨ</t>
  </si>
  <si>
    <t>Nguyễn Thị Ánh</t>
  </si>
  <si>
    <t>THU</t>
  </si>
  <si>
    <t xml:space="preserve">Võ Thị Xuân </t>
  </si>
  <si>
    <t>THƠ</t>
  </si>
  <si>
    <t xml:space="preserve">Huỳnh Thị </t>
  </si>
  <si>
    <t xml:space="preserve">Hoàng Ngọc </t>
  </si>
  <si>
    <t>CẢNH</t>
  </si>
  <si>
    <t>Nguyễn Thanh</t>
  </si>
  <si>
    <t xml:space="preserve">Bùi Hiền </t>
  </si>
  <si>
    <t xml:space="preserve">Lê Thế </t>
  </si>
  <si>
    <t>SAN</t>
  </si>
  <si>
    <t>Hà Nhật</t>
  </si>
  <si>
    <t xml:space="preserve">Nguyễn Ngọc </t>
  </si>
  <si>
    <t xml:space="preserve">HIỆP </t>
  </si>
  <si>
    <t>Phan Đức</t>
  </si>
  <si>
    <t>Nguyễn Tất</t>
  </si>
  <si>
    <t xml:space="preserve">THẮNG </t>
  </si>
  <si>
    <t xml:space="preserve">Lê Thị </t>
  </si>
  <si>
    <t>NỮ</t>
  </si>
  <si>
    <t xml:space="preserve">Trương Việt Khánh </t>
  </si>
  <si>
    <t xml:space="preserve">Đặng Thị Nhật </t>
  </si>
  <si>
    <t xml:space="preserve">LINH </t>
  </si>
  <si>
    <t>Đỗ Ngọc</t>
  </si>
  <si>
    <t>MỸ</t>
  </si>
  <si>
    <t xml:space="preserve">Trần Kim Thu </t>
  </si>
  <si>
    <t>LIỄU</t>
  </si>
  <si>
    <t>Nguyễn Phương</t>
  </si>
  <si>
    <t>Nguyễn Thị Huyền</t>
  </si>
  <si>
    <t>Nguyễn Quỳnh</t>
  </si>
  <si>
    <t>GIAO</t>
  </si>
  <si>
    <t>ĐÔNG</t>
  </si>
  <si>
    <t>Đặng Thị Kiến</t>
  </si>
  <si>
    <t>TRÚC</t>
  </si>
  <si>
    <t>Cao Đình Trung</t>
  </si>
  <si>
    <t>HẬU</t>
  </si>
  <si>
    <t xml:space="preserve">Nguyễn Tiến </t>
  </si>
  <si>
    <t>DƯƠNG</t>
  </si>
  <si>
    <t>Phạm Thị Thu</t>
  </si>
  <si>
    <t xml:space="preserve">Cao Thị </t>
  </si>
  <si>
    <t>Nguyễn Thị Cẩm</t>
  </si>
  <si>
    <t>THẠCH</t>
  </si>
  <si>
    <t>TÚ</t>
  </si>
  <si>
    <t xml:space="preserve">Lương Thị Thanh </t>
  </si>
  <si>
    <t>Nguyễn Anh</t>
  </si>
  <si>
    <t>KIỆT</t>
  </si>
  <si>
    <t>Trần Thị Hồng</t>
  </si>
  <si>
    <t>Lê Thị Hồng</t>
  </si>
  <si>
    <t>DINH</t>
  </si>
  <si>
    <t>CHÂU</t>
  </si>
  <si>
    <t xml:space="preserve">Nguyễn Đức </t>
  </si>
  <si>
    <t xml:space="preserve">Lê Thái </t>
  </si>
  <si>
    <t xml:space="preserve">Nguyễn Thị Thu </t>
  </si>
  <si>
    <t xml:space="preserve">HOÀI </t>
  </si>
  <si>
    <t>YẾN</t>
  </si>
  <si>
    <t>Nguyễn Thị Minh</t>
  </si>
  <si>
    <t>QUÝ</t>
  </si>
  <si>
    <t>Trương Thị Minh</t>
  </si>
  <si>
    <t>Trần Bạch</t>
  </si>
  <si>
    <t xml:space="preserve">Vương Thanh </t>
  </si>
  <si>
    <t xml:space="preserve">Nguyễn Thị Bảo </t>
  </si>
  <si>
    <t>TRÂN</t>
  </si>
  <si>
    <t>TÂM</t>
  </si>
  <si>
    <t xml:space="preserve">Nguyễn Thị Thanh </t>
  </si>
  <si>
    <t xml:space="preserve">Nguyễn Huỳnh </t>
  </si>
  <si>
    <t>LIÊN</t>
  </si>
  <si>
    <t xml:space="preserve">Võ Thúy </t>
  </si>
  <si>
    <t>PHƯƠNG</t>
  </si>
  <si>
    <t>Trần Ngọc</t>
  </si>
  <si>
    <t>ÁNH</t>
  </si>
  <si>
    <t>Phạm Thị</t>
  </si>
  <si>
    <t>PHƯỢNG</t>
  </si>
  <si>
    <t xml:space="preserve">Nguyễn Chí </t>
  </si>
  <si>
    <t xml:space="preserve">NGÃI </t>
  </si>
  <si>
    <t xml:space="preserve">Vũ Quang </t>
  </si>
  <si>
    <t xml:space="preserve">KHẢI </t>
  </si>
  <si>
    <t xml:space="preserve">Phan Thị Xuân </t>
  </si>
  <si>
    <t>Trần Thị</t>
  </si>
  <si>
    <t>LỆ</t>
  </si>
  <si>
    <t>Bùi Thị</t>
  </si>
  <si>
    <t>CỬU</t>
  </si>
  <si>
    <t xml:space="preserve">ANH </t>
  </si>
  <si>
    <t xml:space="preserve">Ngô Hoàng </t>
  </si>
  <si>
    <t xml:space="preserve">Nguyễn Thanh </t>
  </si>
  <si>
    <t>VŨ</t>
  </si>
  <si>
    <t>Nguyễn Vân</t>
  </si>
  <si>
    <t>GIANG</t>
  </si>
  <si>
    <t xml:space="preserve">Nguyễn </t>
  </si>
  <si>
    <t>KHOA</t>
  </si>
  <si>
    <t>Nguyễn Thị</t>
  </si>
  <si>
    <t>Võ Anh</t>
  </si>
  <si>
    <t>QUYÊN</t>
  </si>
  <si>
    <t>Vũ Thị Thái</t>
  </si>
  <si>
    <t>Nguyễn Sanh</t>
  </si>
  <si>
    <t>CƯỜNG</t>
  </si>
  <si>
    <t>Đỗ Tuấn</t>
  </si>
  <si>
    <t>VIỆT</t>
  </si>
  <si>
    <t xml:space="preserve">Lê Quý Hưng </t>
  </si>
  <si>
    <t>QUỐC</t>
  </si>
  <si>
    <t>TRÍ</t>
  </si>
  <si>
    <t xml:space="preserve">Hà Phước </t>
  </si>
  <si>
    <t>NHÂN</t>
  </si>
  <si>
    <t>Phan Văn</t>
  </si>
  <si>
    <t>THÀNH</t>
  </si>
  <si>
    <t>Nguyễn Hoài</t>
  </si>
  <si>
    <t>NAM</t>
  </si>
  <si>
    <t xml:space="preserve">Đỗ Thị Phương </t>
  </si>
  <si>
    <t>KHANH</t>
  </si>
  <si>
    <t xml:space="preserve">Trương Thị Phương </t>
  </si>
  <si>
    <t xml:space="preserve">Võ Minh </t>
  </si>
  <si>
    <t>QUANG</t>
  </si>
  <si>
    <t xml:space="preserve">Nguyễn Tam </t>
  </si>
  <si>
    <t>CƯƠNG</t>
  </si>
  <si>
    <t xml:space="preserve">Vũ Đức </t>
  </si>
  <si>
    <t>PHÁP</t>
  </si>
  <si>
    <t>Chung Trần Thế</t>
  </si>
  <si>
    <t>VINH</t>
  </si>
  <si>
    <t>Dương Minh</t>
  </si>
  <si>
    <t>CHUNG</t>
  </si>
  <si>
    <t xml:space="preserve">Nguyễn Thanh  </t>
  </si>
  <si>
    <t xml:space="preserve">Lê Hồng </t>
  </si>
  <si>
    <t>YÊN</t>
  </si>
  <si>
    <t xml:space="preserve">Nguyễn Minh </t>
  </si>
  <si>
    <t xml:space="preserve">ĐỨC </t>
  </si>
  <si>
    <t>TĂNG</t>
  </si>
  <si>
    <t>Tạ Minh</t>
  </si>
  <si>
    <t>HUÂN</t>
  </si>
  <si>
    <t xml:space="preserve">Trần Trung </t>
  </si>
  <si>
    <t>HIẾU</t>
  </si>
  <si>
    <t>Nguyễn Trọng</t>
  </si>
  <si>
    <t>Quách Minh</t>
  </si>
  <si>
    <t>THỬ</t>
  </si>
  <si>
    <t>Mạnh Lê</t>
  </si>
  <si>
    <t>HOÀN</t>
  </si>
  <si>
    <t>Phạm Minh</t>
  </si>
  <si>
    <t>NGHĨA</t>
  </si>
  <si>
    <t>Huỳnh Ngọc</t>
  </si>
  <si>
    <t xml:space="preserve">Nguyễn Hồng </t>
  </si>
  <si>
    <t>Trần Công</t>
  </si>
  <si>
    <t>TIẾN</t>
  </si>
  <si>
    <t>Nguyễn Tứ</t>
  </si>
  <si>
    <t xml:space="preserve">CẢNH </t>
  </si>
  <si>
    <t>Võ</t>
  </si>
  <si>
    <t>Nguyễn Trần Thanh</t>
  </si>
  <si>
    <t>NHÀN</t>
  </si>
  <si>
    <t>Tăng Cẩm</t>
  </si>
  <si>
    <t>Trần Hiếu</t>
  </si>
  <si>
    <t>TRINH</t>
  </si>
  <si>
    <t>Nguyễn Thị Tố</t>
  </si>
  <si>
    <t>Lê Tiến</t>
  </si>
  <si>
    <t xml:space="preserve">ĐẠT </t>
  </si>
  <si>
    <t>Đặng Đức</t>
  </si>
  <si>
    <t>Nguyễn Thị Ngọc</t>
  </si>
  <si>
    <t>HIỀN</t>
  </si>
  <si>
    <t>Bốc Minh</t>
  </si>
  <si>
    <t>Ngô Phong</t>
  </si>
  <si>
    <t>Võ Phước</t>
  </si>
  <si>
    <t>Đặng Thế</t>
  </si>
  <si>
    <t>HÀO</t>
  </si>
  <si>
    <t>Hà Chí</t>
  </si>
  <si>
    <t>Võ Thiện</t>
  </si>
  <si>
    <t xml:space="preserve">Võ Đắc </t>
  </si>
  <si>
    <t>THỊNH</t>
  </si>
  <si>
    <t>Đàm Quang</t>
  </si>
  <si>
    <t xml:space="preserve">Nguyễn Hữu </t>
  </si>
  <si>
    <t>MẠNH</t>
  </si>
  <si>
    <t xml:space="preserve">Nguyễn Phụ Thượng </t>
  </si>
  <si>
    <t>LƯU</t>
  </si>
  <si>
    <t>Trần Thị Phương</t>
  </si>
  <si>
    <t>OANH</t>
  </si>
  <si>
    <t>Phan Anh Tuấn</t>
  </si>
  <si>
    <t xml:space="preserve">Trần Anh Nga </t>
  </si>
  <si>
    <t>Ngô Thanh</t>
  </si>
  <si>
    <t xml:space="preserve">Trần Mỹ </t>
  </si>
  <si>
    <t xml:space="preserve">Văn Trí </t>
  </si>
  <si>
    <t>THÀNH TIỀN</t>
  </si>
  <si>
    <t>Nguyễn Nguyên Hoàng Ngọc</t>
  </si>
  <si>
    <t xml:space="preserve"> Phạm Ngọc Long </t>
  </si>
  <si>
    <t>THẢO</t>
  </si>
  <si>
    <t>MY</t>
  </si>
  <si>
    <t>NHUẬN</t>
  </si>
  <si>
    <t>TUẤN</t>
  </si>
  <si>
    <t>ĐIỀN</t>
  </si>
  <si>
    <t>Nguyễn Thị Thanh</t>
  </si>
  <si>
    <t>CỘNG</t>
  </si>
  <si>
    <t>01</t>
  </si>
  <si>
    <t>02</t>
  </si>
  <si>
    <t>03</t>
  </si>
  <si>
    <t>04</t>
  </si>
  <si>
    <t>05</t>
  </si>
  <si>
    <t>06</t>
  </si>
  <si>
    <t>07</t>
  </si>
  <si>
    <t>08</t>
  </si>
  <si>
    <t>09</t>
  </si>
  <si>
    <t>10</t>
  </si>
  <si>
    <t>11</t>
  </si>
  <si>
    <t>12</t>
  </si>
  <si>
    <t>13</t>
  </si>
  <si>
    <t>14</t>
  </si>
  <si>
    <t>15</t>
  </si>
  <si>
    <t>16</t>
  </si>
  <si>
    <t>17</t>
  </si>
  <si>
    <t>18</t>
  </si>
  <si>
    <t>HUỆ</t>
  </si>
  <si>
    <t>Phạm Dương Hoàng</t>
  </si>
  <si>
    <t>Phan Thị Mai</t>
  </si>
  <si>
    <t>19</t>
  </si>
  <si>
    <t>20</t>
  </si>
  <si>
    <t>21</t>
  </si>
  <si>
    <t>CÁN BỘ VIÊN CHỨC TRONG CHỈ TIÊU BIÊN CHẾ - TRƯỜNG TRUNG HỌC PHỔ THÔNG</t>
  </si>
  <si>
    <t>CÁN BỘ VIÊN CHỨC  TRONG CHỈ TIÊU BIÊN CHẾ  - KHỐI CHUYÊN NGHIỆP</t>
  </si>
  <si>
    <t>CÁN BỘ VIÊN CHỨC TRONG CHỈ TIÊU BIÊN CHẾ - TRUNG TÂM DẠY NGHỀ VÀ NBT</t>
  </si>
  <si>
    <t>HS (hide)</t>
  </si>
  <si>
    <t>VK (hide)</t>
  </si>
  <si>
    <t>HS THỰC HƯỞNG (hide)</t>
  </si>
  <si>
    <t>HSPC (hide)</t>
  </si>
  <si>
    <t>CỘNG LƯƠNG (hide)</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</si>
  <si>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</si>
  <si>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</si>
  <si>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</si>
  <si>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</si>
  <si>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</si>
  <si>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</si>
  <si>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</si>
  <si>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</si>
  <si>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</si>
  <si>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</si>
  <si>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</si>
  <si>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</si>
  <si>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</si>
  <si>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</si>
  <si>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</si>
  <si>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</si>
  <si>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</si>
  <si>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</si>
  <si>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</si>
  <si>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</si>
  <si>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</si>
  <si>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</si>
  <si>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</si>
  <si>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</si>
  <si>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</si>
  <si>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 xml:space="preserve">Phan Thị Ngọc </t>
  </si>
  <si>
    <t xml:space="preserve">Vũ Như </t>
  </si>
  <si>
    <t>QUỲNH</t>
  </si>
  <si>
    <t>Giáp Đức</t>
  </si>
  <si>
    <t>NHẬN</t>
  </si>
  <si>
    <t xml:space="preserve">PHÚ </t>
  </si>
  <si>
    <t>Vũ Ngọc</t>
  </si>
  <si>
    <t>Trần Liên Đoan</t>
  </si>
  <si>
    <t>VỌNG</t>
  </si>
  <si>
    <t>Dương Ngọc</t>
  </si>
  <si>
    <t>Nguyễn Hữu</t>
  </si>
  <si>
    <t>THẮM</t>
  </si>
  <si>
    <t xml:space="preserve">Đỗ Thị </t>
  </si>
  <si>
    <t xml:space="preserve">Lương Thị </t>
  </si>
  <si>
    <t>Đơn vị tính: đồng</t>
  </si>
  <si>
    <t>Số tiền thi đua không tính ngày (hide)</t>
  </si>
  <si>
    <t>HỆ SỐ TRUY LÃNH LƯƠNG (CỘT NÀY HIDE)</t>
  </si>
  <si>
    <t>HỆ SỐ TRUY LÃNH PCCV (CỘT NÀY HIDE)</t>
  </si>
  <si>
    <t xml:space="preserve">ĐỨC (B) </t>
  </si>
  <si>
    <t>Mức lương theo hệ số điều chỉnh</t>
  </si>
  <si>
    <t>Lương điều chỉnh tính theo ngày công thực hiện/tháng</t>
  </si>
  <si>
    <t>Truy lãnh lương điều chỉnh do truy lãnh lương</t>
  </si>
  <si>
    <t>Truy lãnh lương điều chỉnh do truy lãnh PCCV</t>
  </si>
  <si>
    <t>Trường hỗ trợ 1% BHYT</t>
  </si>
  <si>
    <t>KẾ TOÁN TRƯỞNG</t>
  </si>
  <si>
    <t>HỆ SỐ TRUY LÃNH PCCV (HIDE) chia 2</t>
  </si>
  <si>
    <t>Trần Văn Cu</t>
  </si>
  <si>
    <t xml:space="preserve">Truy lãnh lương điều chỉnh do truy lãnh lương </t>
  </si>
  <si>
    <t>Hsđc:</t>
  </si>
  <si>
    <t>DUY</t>
  </si>
  <si>
    <t>HIỆP</t>
  </si>
  <si>
    <t>Lê Thị Ngọc</t>
  </si>
  <si>
    <t>CHIÊU</t>
  </si>
  <si>
    <t>LAN</t>
  </si>
  <si>
    <t xml:space="preserve">Vũ Hạnh </t>
  </si>
  <si>
    <t>Võ Thị Hồng</t>
  </si>
  <si>
    <t>HẠNH</t>
  </si>
  <si>
    <t>HUY</t>
  </si>
  <si>
    <t>HUYÊN</t>
  </si>
  <si>
    <t>TÂN</t>
  </si>
  <si>
    <t>PHONG</t>
  </si>
  <si>
    <t>TUYỀN</t>
  </si>
  <si>
    <t>THƯ</t>
  </si>
  <si>
    <t>ĐẠT</t>
  </si>
  <si>
    <t>KHÁNH</t>
  </si>
  <si>
    <t>THÁI</t>
  </si>
  <si>
    <t>ĐOÀN</t>
  </si>
  <si>
    <t>KHẢI</t>
  </si>
  <si>
    <t>NGUYÊN</t>
  </si>
  <si>
    <t>TIÊN</t>
  </si>
  <si>
    <t>HẰNG</t>
  </si>
  <si>
    <t>BÌNH</t>
  </si>
  <si>
    <t>VĂN</t>
  </si>
  <si>
    <t>Nguyễn Huỳnh Mai</t>
  </si>
  <si>
    <t>Trần Thị Ánh</t>
  </si>
  <si>
    <t xml:space="preserve">Hà Như </t>
  </si>
  <si>
    <t>Phan Thị Thùy</t>
  </si>
  <si>
    <t xml:space="preserve">Đinh Thị </t>
  </si>
  <si>
    <t>Nguyễn Phú</t>
  </si>
  <si>
    <t>Nguyễn Mạnh</t>
  </si>
  <si>
    <t>Nguyễn Cao</t>
  </si>
  <si>
    <t>Bùi Văn</t>
  </si>
  <si>
    <t>Lê Minh</t>
  </si>
  <si>
    <t>Nguyễn Thị Khánh</t>
  </si>
  <si>
    <t>Trần Việt</t>
  </si>
  <si>
    <t>Đỗ Thị Hải</t>
  </si>
  <si>
    <t xml:space="preserve">Đặng Ngọc </t>
  </si>
  <si>
    <t>Trần Đình</t>
  </si>
  <si>
    <t>Triệu Phú</t>
  </si>
  <si>
    <t>Nguyễn Thành</t>
  </si>
  <si>
    <t>Phạm Nguyên</t>
  </si>
  <si>
    <t>Trương Thị Thủy</t>
  </si>
  <si>
    <t>Huỳnh Thị Kim</t>
  </si>
  <si>
    <t>Đinh Công</t>
  </si>
  <si>
    <t>Nguyễn Thị Mỹ</t>
  </si>
  <si>
    <t>Đỗ Hiếu</t>
  </si>
  <si>
    <t xml:space="preserve">Trần Thị </t>
  </si>
  <si>
    <t xml:space="preserve">Trần Ngọc </t>
  </si>
  <si>
    <t>Đỗ Thị</t>
  </si>
  <si>
    <t>Lê Anh</t>
  </si>
  <si>
    <t xml:space="preserve">HỆ SỐ TRUY LÃNH LƯƠNG (CỘT NÀY HIDE) </t>
  </si>
  <si>
    <t xml:space="preserve">HỆ SỐ TRUY LÃNH LƯƠNG (HIDE) </t>
  </si>
  <si>
    <t>Đỗ Trọng</t>
  </si>
  <si>
    <t>Lê Tất</t>
  </si>
  <si>
    <t>Lư Thị Yến</t>
  </si>
  <si>
    <t>1603205182359</t>
  </si>
  <si>
    <t>1603205182365</t>
  </si>
  <si>
    <t>1603205186206</t>
  </si>
  <si>
    <t>1603205186191</t>
  </si>
  <si>
    <t>1603205185970</t>
  </si>
  <si>
    <t>1603205185964</t>
  </si>
  <si>
    <t>1603205186156</t>
  </si>
  <si>
    <t>1603205186185</t>
  </si>
  <si>
    <t>1603205185958</t>
  </si>
  <si>
    <t>1603205186140</t>
  </si>
  <si>
    <t>1603205186133</t>
  </si>
  <si>
    <t>1603205186179</t>
  </si>
  <si>
    <t>1603205186162</t>
  </si>
  <si>
    <t>1603205186127</t>
  </si>
  <si>
    <t>1603205186077</t>
  </si>
  <si>
    <t>1603205185935</t>
  </si>
  <si>
    <t>1603205185912</t>
  </si>
  <si>
    <t>1603205178657</t>
  </si>
  <si>
    <t>1603205182313</t>
  </si>
  <si>
    <t>1603205182336</t>
  </si>
  <si>
    <t>1603205182342</t>
  </si>
  <si>
    <t>1603205178809</t>
  </si>
  <si>
    <t>1603205178815</t>
  </si>
  <si>
    <t>1603205178850</t>
  </si>
  <si>
    <t>1603205178821</t>
  </si>
  <si>
    <t>1603205179138</t>
  </si>
  <si>
    <t>1603205186786</t>
  </si>
  <si>
    <t>1603205182270</t>
  </si>
  <si>
    <t>1603205182292</t>
  </si>
  <si>
    <t>1603205185675</t>
  </si>
  <si>
    <t>1603205185646</t>
  </si>
  <si>
    <t>1603205185681</t>
  </si>
  <si>
    <t>1603205185702</t>
  </si>
  <si>
    <t>1603205185760</t>
  </si>
  <si>
    <t>1603205185698</t>
  </si>
  <si>
    <t>1603205185652</t>
  </si>
  <si>
    <t>1603205178742</t>
  </si>
  <si>
    <t>1603205179121</t>
  </si>
  <si>
    <t>1603205179167</t>
  </si>
  <si>
    <t>1603205179150</t>
  </si>
  <si>
    <t>1603205179173</t>
  </si>
  <si>
    <t>1603205179180</t>
  </si>
  <si>
    <t>1603205179196</t>
  </si>
  <si>
    <t>1603205182523</t>
  </si>
  <si>
    <t>1603205182530</t>
  </si>
  <si>
    <t>1603205186308</t>
  </si>
  <si>
    <t>1603205186337</t>
  </si>
  <si>
    <t>1603205186350</t>
  </si>
  <si>
    <t>1603205189784</t>
  </si>
  <si>
    <t>1603205235144</t>
  </si>
  <si>
    <t>1603205186416</t>
  </si>
  <si>
    <t>1603205189886</t>
  </si>
  <si>
    <t>1603205186501</t>
  </si>
  <si>
    <t>1603205189790</t>
  </si>
  <si>
    <t>1603205185580</t>
  </si>
  <si>
    <t>1603205186632</t>
  </si>
  <si>
    <t>1603205186400</t>
  </si>
  <si>
    <t>1603205186372</t>
  </si>
  <si>
    <t>1603205186582</t>
  </si>
  <si>
    <t>1603205189965</t>
  </si>
  <si>
    <t>1603205229027</t>
  </si>
  <si>
    <t>1603205186366</t>
  </si>
  <si>
    <t>1603205189913</t>
  </si>
  <si>
    <t>1603205186480</t>
  </si>
  <si>
    <t>1603205189761</t>
  </si>
  <si>
    <t>1603205189942</t>
  </si>
  <si>
    <t>1603205228841</t>
  </si>
  <si>
    <t>1603205186497</t>
  </si>
  <si>
    <t>1603205186468</t>
  </si>
  <si>
    <t>1603205190074</t>
  </si>
  <si>
    <t>1603205190068</t>
  </si>
  <si>
    <t>1603205229368</t>
  </si>
  <si>
    <t>1603205229056</t>
  </si>
  <si>
    <t>1603205186518</t>
  </si>
  <si>
    <t>1603205186599</t>
  </si>
  <si>
    <t>1603205189811</t>
  </si>
  <si>
    <t>1603205186314</t>
  </si>
  <si>
    <t>1603205189907</t>
  </si>
  <si>
    <t>1603205190147</t>
  </si>
  <si>
    <t>1603205189936</t>
  </si>
  <si>
    <t>1603205189920</t>
  </si>
  <si>
    <t>1603205189971</t>
  </si>
  <si>
    <t>1603205219414</t>
  </si>
  <si>
    <t>1603205218440</t>
  </si>
  <si>
    <t>1603205185051</t>
  </si>
  <si>
    <t>1603205185311</t>
  </si>
  <si>
    <t>1603205185160</t>
  </si>
  <si>
    <t>1603205185334</t>
  </si>
  <si>
    <t>1603205185210</t>
  </si>
  <si>
    <t>1603205185284</t>
  </si>
  <si>
    <t>1603205185118</t>
  </si>
  <si>
    <t>1603205185305</t>
  </si>
  <si>
    <t>1603205185278</t>
  </si>
  <si>
    <t>1603205185199</t>
  </si>
  <si>
    <t>1603205185203</t>
  </si>
  <si>
    <t>1603205234692</t>
  </si>
  <si>
    <t>1603205232198</t>
  </si>
  <si>
    <t>1603205233313</t>
  </si>
  <si>
    <t>1603205233178</t>
  </si>
  <si>
    <t>1603205232890</t>
  </si>
  <si>
    <t>1603205224450</t>
  </si>
  <si>
    <t>1603205234010</t>
  </si>
  <si>
    <t>1603205235506</t>
  </si>
  <si>
    <t>1603205231376</t>
  </si>
  <si>
    <t>1603205233018</t>
  </si>
  <si>
    <t>1603205185147</t>
  </si>
  <si>
    <t>1603205179109</t>
  </si>
  <si>
    <t>1603205189630</t>
  </si>
  <si>
    <t>1603205182155</t>
  </si>
  <si>
    <t>1603205182184</t>
  </si>
  <si>
    <t>1603205196694</t>
  </si>
  <si>
    <t>1603205182126</t>
  </si>
  <si>
    <t>1603205182211</t>
  </si>
  <si>
    <t>1603205182228</t>
  </si>
  <si>
    <t>1603205182257</t>
  </si>
  <si>
    <t>1603205182234</t>
  </si>
  <si>
    <t>1603205182132</t>
  </si>
  <si>
    <t>1603205182149</t>
  </si>
  <si>
    <t>1603205182205</t>
  </si>
  <si>
    <t>1603205189710</t>
  </si>
  <si>
    <t>1603205185600</t>
  </si>
  <si>
    <t>1603205185617</t>
  </si>
  <si>
    <t>1603205185550</t>
  </si>
  <si>
    <t>1603205185521</t>
  </si>
  <si>
    <t>1603205185573</t>
  </si>
  <si>
    <t>1603205189699</t>
  </si>
  <si>
    <t>1904201049390</t>
  </si>
  <si>
    <t>1603205234187</t>
  </si>
  <si>
    <t>1603205182388</t>
  </si>
  <si>
    <t>1603205182371</t>
  </si>
  <si>
    <t>1603205189703</t>
  </si>
  <si>
    <t>1603205182500</t>
  </si>
  <si>
    <t>1603205182496</t>
  </si>
  <si>
    <t>1603205182438</t>
  </si>
  <si>
    <t>1603205182517</t>
  </si>
  <si>
    <t>1603205182450</t>
  </si>
  <si>
    <t>1603205182480</t>
  </si>
  <si>
    <t>1603205182444</t>
  </si>
  <si>
    <t>1603205182409</t>
  </si>
  <si>
    <t>1603205182415</t>
  </si>
  <si>
    <t>1603205182473</t>
  </si>
  <si>
    <t>1603205182190</t>
  </si>
  <si>
    <t>1603205185488</t>
  </si>
  <si>
    <t>1603205185515</t>
  </si>
  <si>
    <t>1603205185596</t>
  </si>
  <si>
    <t>1603205189726</t>
  </si>
  <si>
    <t>1603205178896</t>
  </si>
  <si>
    <t>1603205179042</t>
  </si>
  <si>
    <t>1603205179007</t>
  </si>
  <si>
    <t>1603205178917</t>
  </si>
  <si>
    <t>1603205179013</t>
  </si>
  <si>
    <t>1603205179036</t>
  </si>
  <si>
    <t>1603205178923</t>
  </si>
  <si>
    <t>1603205178975</t>
  </si>
  <si>
    <t>1603205178981</t>
  </si>
  <si>
    <t>1603205178969</t>
  </si>
  <si>
    <t>1603205178998</t>
  </si>
  <si>
    <t>1603205179020</t>
  </si>
  <si>
    <t>1603205178900</t>
  </si>
  <si>
    <t>1603205178930</t>
  </si>
  <si>
    <t>1603205178952</t>
  </si>
  <si>
    <t>1603205182581</t>
  </si>
  <si>
    <t>1603205182690</t>
  </si>
  <si>
    <t>1603205182660</t>
  </si>
  <si>
    <t>1603205182654</t>
  </si>
  <si>
    <t>1603205182602</t>
  </si>
  <si>
    <t>1603205231796</t>
  </si>
  <si>
    <t>1603205036044</t>
  </si>
  <si>
    <t>1603205178692</t>
  </si>
  <si>
    <t>CẦM</t>
  </si>
  <si>
    <t>1603205399028</t>
  </si>
  <si>
    <t>KIÊN</t>
  </si>
  <si>
    <t>1603205398372</t>
  </si>
  <si>
    <t>1603205399194</t>
  </si>
  <si>
    <t>LƯỢNG</t>
  </si>
  <si>
    <t>1603205398400</t>
  </si>
  <si>
    <t>BẢO</t>
  </si>
  <si>
    <t>1603205398576</t>
  </si>
  <si>
    <t>1603205398770</t>
  </si>
  <si>
    <t>NHUNG</t>
  </si>
  <si>
    <t>1603205426614</t>
  </si>
  <si>
    <t>Phạm Hữu Lộc</t>
  </si>
  <si>
    <t>LỘC</t>
  </si>
  <si>
    <t>1603215001126</t>
  </si>
  <si>
    <t>CHÌ</t>
  </si>
  <si>
    <t>CHIẾN</t>
  </si>
  <si>
    <t>1603205246010</t>
  </si>
  <si>
    <t>ĐỆ</t>
  </si>
  <si>
    <t>LIÊM</t>
  </si>
  <si>
    <t>1603215001365</t>
  </si>
  <si>
    <t>1603215001371</t>
  </si>
  <si>
    <t>KÍNH</t>
  </si>
  <si>
    <t>NHƯ</t>
  </si>
  <si>
    <t>Nguyễn Kính</t>
  </si>
  <si>
    <t>PHÓ CHỦ TỊCH HĐ THI ĐUA</t>
  </si>
  <si>
    <t>Đinh Văn Đệ</t>
  </si>
  <si>
    <t>Nguyễn Thị Bích Liễu</t>
  </si>
  <si>
    <t>Nguyễn Văn Chì</t>
  </si>
  <si>
    <t>Lê Quang Liêm</t>
  </si>
  <si>
    <t>Giáp Văn Thịnh</t>
  </si>
  <si>
    <t>Lê Hồng Anh Tuấn</t>
  </si>
  <si>
    <t>Ninh Đỗ Hiệp</t>
  </si>
  <si>
    <t>Bùi Thị Lan Anh</t>
  </si>
  <si>
    <t>Hồng Mộng Tuyết Dung</t>
  </si>
  <si>
    <t>Trần Thị Minh Thoa</t>
  </si>
  <si>
    <t>Nguyễn Thị Hồng Thắm</t>
  </si>
  <si>
    <t>Lâm Viết Dũng</t>
  </si>
  <si>
    <t>Nguyễn Văn Chiến</t>
  </si>
  <si>
    <t>Nguyễn Thị Kim Anh</t>
  </si>
  <si>
    <t>Phạm Thị Lê Chi</t>
  </si>
  <si>
    <t>Bùi Thị Dương</t>
  </si>
  <si>
    <t>Nguyễn Thành Nam</t>
  </si>
  <si>
    <t>Huỳnh Thị Minh Ly</t>
  </si>
  <si>
    <t>Nguyễn Thị Thanh Thảo</t>
  </si>
  <si>
    <t>Vương Hội Khánh</t>
  </si>
  <si>
    <t>Đỗ Tuấn Việt</t>
  </si>
  <si>
    <t>Đặng Thu Hà</t>
  </si>
  <si>
    <t>Trần Thị Diễm Thúy</t>
  </si>
  <si>
    <t>Trương Hữu Lộc</t>
  </si>
  <si>
    <t>Nguyễn Trọng Nghĩa</t>
  </si>
  <si>
    <t>Trịnh Hoàng Hiệp</t>
  </si>
  <si>
    <t>Phạm Quỳnh Như</t>
  </si>
  <si>
    <t>Lê Thị Thu Thảo</t>
  </si>
  <si>
    <t>Lưu Thị Thúy</t>
  </si>
  <si>
    <t>Võ Thị Kim Thư</t>
  </si>
  <si>
    <t>Lữ Xuân Trang</t>
  </si>
  <si>
    <t>Lâm Thị Phương Thùy</t>
  </si>
  <si>
    <t>Nguyễn Bạch Cẩm Dung</t>
  </si>
  <si>
    <t>Nguyễn Ngọc Thọ</t>
  </si>
  <si>
    <t>Nguyễn Thị Hiền</t>
  </si>
  <si>
    <t>Chế Vân Cầm</t>
  </si>
  <si>
    <t>Phạm Thị Thanh Thúy</t>
  </si>
  <si>
    <t>Mai Nguyễn Hoàng Yến</t>
  </si>
  <si>
    <t>Trịnh Khắc Vũ</t>
  </si>
  <si>
    <t>Lê Văn Bình</t>
  </si>
  <si>
    <t>Hà Như Mai</t>
  </si>
  <si>
    <t>Nguyễn Thị Thủy</t>
  </si>
  <si>
    <t>Dương Đức Kiên</t>
  </si>
  <si>
    <t>Nguyễn Văn Hậu</t>
  </si>
  <si>
    <t>Nguyễn Phú Tân</t>
  </si>
  <si>
    <t>Giang Phi Hùng</t>
  </si>
  <si>
    <t>Vương Thanh Thủy</t>
  </si>
  <si>
    <t>Nguyễn Thị Thanh Tú</t>
  </si>
  <si>
    <t>Võ Thị Hồng Lan</t>
  </si>
  <si>
    <t>Nguyễn Thị Thu Hà</t>
  </si>
  <si>
    <t>Phạm Thị Thu Hiền</t>
  </si>
  <si>
    <t>Trần Thanh Trúc</t>
  </si>
  <si>
    <t>Nguyễn Ngọc Quỳnh</t>
  </si>
  <si>
    <t>Lê Thị Mai Hường</t>
  </si>
  <si>
    <t>Đỗ Thị Ngát</t>
  </si>
  <si>
    <t>Đinh Thị Huyên</t>
  </si>
  <si>
    <t>Đỗ Thị Thơm</t>
  </si>
  <si>
    <t>Phạm Thị Vinh</t>
  </si>
  <si>
    <t>Hoàng Thị Trang</t>
  </si>
  <si>
    <t>Trần Văn Lượng</t>
  </si>
  <si>
    <t>Nguyễn Nguyên Hoàng Ngọc Quyên</t>
  </si>
  <si>
    <t>Nguyễn Sanh Cường</t>
  </si>
  <si>
    <t>Lê Quý Hưng Quốc</t>
  </si>
  <si>
    <t>Bùi Văn Dũng</t>
  </si>
  <si>
    <t>Nguyễn Văn Minh</t>
  </si>
  <si>
    <t>Nguyễn Thị Khánh Thư</t>
  </si>
  <si>
    <t>Trần Việt Khánh</t>
  </si>
  <si>
    <t>Đỗ Thị Hải Yến</t>
  </si>
  <si>
    <t>Lê Hồng Thái</t>
  </si>
  <si>
    <t>Đặng Ngọc Đoàn</t>
  </si>
  <si>
    <t>Nguyễn Ngọc Tuyên</t>
  </si>
  <si>
    <t>Nguyễn Cao Phong</t>
  </si>
  <si>
    <t>Trần Vĩnh Xuyên</t>
  </si>
  <si>
    <t>Mai Chiếm Tuấn</t>
  </si>
  <si>
    <t>Lương Minh Dũng</t>
  </si>
  <si>
    <t>Nguyễn Tiến Việt Dũng</t>
  </si>
  <si>
    <t>Bùi Đặng Hoàng Tuấn</t>
  </si>
  <si>
    <t>Nguyễn Thị Hải Hà</t>
  </si>
  <si>
    <t>Nguyễn Thanh Vũ</t>
  </si>
  <si>
    <t>Trần Đình Khải</t>
  </si>
  <si>
    <t>Lư Thị Yến Vũ</t>
  </si>
  <si>
    <t>Nguyễn Duy Hải</t>
  </si>
  <si>
    <t>Bùi Anh Tuấn</t>
  </si>
  <si>
    <t>Trần Thị Hương</t>
  </si>
  <si>
    <t>Trần Minh Thông</t>
  </si>
  <si>
    <t>Dương Thị Hồng</t>
  </si>
  <si>
    <t>Châu Văn Bảo</t>
  </si>
  <si>
    <t>Trần Trung Hiếu</t>
  </si>
  <si>
    <t>Trần Nguyên Bảo Trân</t>
  </si>
  <si>
    <t>Nguyễn Thùy Linh</t>
  </si>
  <si>
    <t>Vũ Hạnh Chiêu</t>
  </si>
  <si>
    <t>Nguyễn Minh Đức Cường</t>
  </si>
  <si>
    <t>Tăng Cẩm Huê</t>
  </si>
  <si>
    <t>Ngô Phong Cường</t>
  </si>
  <si>
    <t>Nguyễn Thùy Dương</t>
  </si>
  <si>
    <t>Phan Anh Tuấn Kiệt</t>
  </si>
  <si>
    <t>Triệu Phú Nguyên</t>
  </si>
  <si>
    <t>Nguyễn Thành Đức</t>
  </si>
  <si>
    <t>Nguyễn Thái Bình</t>
  </si>
  <si>
    <t>Kiều Trung Tín</t>
  </si>
  <si>
    <t>Trần Quốc Duy</t>
  </si>
  <si>
    <t>Nguyễn Thanh Hùng</t>
  </si>
  <si>
    <t>Hà Quốc Bảo</t>
  </si>
  <si>
    <t>Hoàng Phúc Bảo</t>
  </si>
  <si>
    <t>Nguyễn Thị Tuyết</t>
  </si>
  <si>
    <t>Đỗ Trọng Quý</t>
  </si>
  <si>
    <t>Nguyễn Vũ Xuân Thì</t>
  </si>
  <si>
    <t>Đinh Đồng Hiệp</t>
  </si>
  <si>
    <t>Nguyễn Thị Nhuận</t>
  </si>
  <si>
    <t>Nguyễn Thị Ngọc Anh</t>
  </si>
  <si>
    <t>Nguyễn Thị Thùy</t>
  </si>
  <si>
    <t>Ngô Thanh Điền</t>
  </si>
  <si>
    <t>Lê Minh Phong</t>
  </si>
  <si>
    <t>Hoàng Văn Viết</t>
  </si>
  <si>
    <t>Huỳnh Thị Cẩm Hoa</t>
  </si>
  <si>
    <t>1603215003383</t>
  </si>
  <si>
    <t>TRƯỜNG CAO ĐẲNG LÝ TỰ TRỌNG</t>
  </si>
  <si>
    <t xml:space="preserve">THÀNH PHỐ HỒ CHÍ MINH </t>
  </si>
  <si>
    <t>THÀNH PHỐ HỒ CHÍ MINH</t>
  </si>
  <si>
    <t>Trần Thị Ngọc Dung</t>
  </si>
  <si>
    <t>1603215003876</t>
  </si>
  <si>
    <t>Trần Hồng Thảo</t>
  </si>
  <si>
    <t>1603215003860</t>
  </si>
  <si>
    <t>1603205398734</t>
  </si>
  <si>
    <t>Nguyễn Mỹ Tiên</t>
  </si>
  <si>
    <t>1603215003882</t>
  </si>
  <si>
    <t>1603215002713</t>
  </si>
  <si>
    <t>1603205249292</t>
  </si>
  <si>
    <t>1603205273823</t>
  </si>
  <si>
    <t>1603205457393</t>
  </si>
  <si>
    <t>1603215002237</t>
  </si>
  <si>
    <t>1603205341369</t>
  </si>
  <si>
    <t>1603205254263</t>
  </si>
  <si>
    <t>1603205246400</t>
  </si>
  <si>
    <t>1603215002243</t>
  </si>
  <si>
    <t>1603205458242</t>
  </si>
  <si>
    <t>1603205458417</t>
  </si>
  <si>
    <t>1603205458481</t>
  </si>
  <si>
    <t>1603205458367</t>
  </si>
  <si>
    <t>1603215002430</t>
  </si>
  <si>
    <t>1603215002424</t>
  </si>
  <si>
    <t>1603215002447</t>
  </si>
  <si>
    <t>1603215002526</t>
  </si>
  <si>
    <t>1603215002499</t>
  </si>
  <si>
    <t>1603215002482</t>
  </si>
  <si>
    <t>1603215002503</t>
  </si>
  <si>
    <t>1603215002634</t>
  </si>
  <si>
    <t>1603215002605</t>
  </si>
  <si>
    <t>1603215002510</t>
  </si>
  <si>
    <t>Lưu Hoàng Hải Yến</t>
  </si>
  <si>
    <t>CÁN BỘ VIÊN CHỨC TRONG CHỈ TIÊU BIÊN CHẾ - TRUNG TÂM ĐÀO TẠO LÝ TỰ TRỌNG</t>
  </si>
  <si>
    <t>Số tài khoản thẻ ATM
OCB</t>
  </si>
  <si>
    <t xml:space="preserve">Mức lương tối thiểu có hệ số  = </t>
  </si>
  <si>
    <t>CÁN BỘ VIÊN CHỨC  TRONG CHỈ TIÊU BIÊN CHẾ</t>
  </si>
  <si>
    <t>SA</t>
  </si>
  <si>
    <t xml:space="preserve">VÂN </t>
  </si>
  <si>
    <t>Nguyễn Thị Vân</t>
  </si>
  <si>
    <t>1603205431614</t>
  </si>
  <si>
    <t>THẮNG</t>
  </si>
  <si>
    <t>Nguyễn Cao Thắng</t>
  </si>
  <si>
    <t>Phạm Quang Vũ</t>
  </si>
  <si>
    <t>Nguyễn Thanh Giang</t>
  </si>
  <si>
    <t>Cao Văn Tuấn</t>
  </si>
  <si>
    <t>Trần Nam Anh</t>
  </si>
  <si>
    <t>1603205556090</t>
  </si>
  <si>
    <t>1603205556084</t>
  </si>
  <si>
    <t>0016100006544007</t>
  </si>
  <si>
    <t>0016100006699008</t>
  </si>
  <si>
    <t>0016100006543008</t>
  </si>
  <si>
    <t>0016100006766007</t>
  </si>
  <si>
    <t>0016100006648007</t>
  </si>
  <si>
    <t>0016100006635002</t>
  </si>
  <si>
    <t>0016100006771003</t>
  </si>
  <si>
    <t>0016100006663006</t>
  </si>
  <si>
    <t>0016100006765003</t>
  </si>
  <si>
    <t>0016100006767006</t>
  </si>
  <si>
    <t>0016100006799005</t>
  </si>
  <si>
    <t>0016100006864001</t>
  </si>
  <si>
    <t>0016100006806001</t>
  </si>
  <si>
    <t>0016100006495006</t>
  </si>
  <si>
    <t>0016100006505001</t>
  </si>
  <si>
    <t>0016100006807008</t>
  </si>
  <si>
    <t>0016100006599006</t>
  </si>
  <si>
    <t>0016100006493003</t>
  </si>
  <si>
    <t>0016100006690003</t>
  </si>
  <si>
    <t>0016100006498005</t>
  </si>
  <si>
    <t>0016100006678003</t>
  </si>
  <si>
    <t>0016100006679007</t>
  </si>
  <si>
    <t>0016100006770007</t>
  </si>
  <si>
    <t>0016100006567007</t>
  </si>
  <si>
    <t>0016100006725001</t>
  </si>
  <si>
    <t>0016100006705008</t>
  </si>
  <si>
    <t>0016100006682008</t>
  </si>
  <si>
    <t>0016100006512008</t>
  </si>
  <si>
    <t>0016100006515007</t>
  </si>
  <si>
    <t>0016100006681004</t>
  </si>
  <si>
    <t>0016100006576006</t>
  </si>
  <si>
    <t>0016100006832002</t>
  </si>
  <si>
    <t>0016100006548002</t>
  </si>
  <si>
    <t>0016100006660007</t>
  </si>
  <si>
    <t>0016100006655003</t>
  </si>
  <si>
    <t>0016100006654007</t>
  </si>
  <si>
    <t>0016100006652004</t>
  </si>
  <si>
    <t>0016100006719001</t>
  </si>
  <si>
    <t>0016100006783001</t>
  </si>
  <si>
    <t>0016100006708007</t>
  </si>
  <si>
    <t>0016100006714007</t>
  </si>
  <si>
    <t>0016100006716002</t>
  </si>
  <si>
    <t>0016100006711008</t>
  </si>
  <si>
    <t>0016100006715006</t>
  </si>
  <si>
    <t>0016100006568003</t>
  </si>
  <si>
    <t>0016100006519002</t>
  </si>
  <si>
    <t>0016100006527005</t>
  </si>
  <si>
    <t>0016100006518006</t>
  </si>
  <si>
    <t>0016100006521007</t>
  </si>
  <si>
    <t>0016100006526009</t>
  </si>
  <si>
    <t>0016100006542004</t>
  </si>
  <si>
    <t>0016100006535008</t>
  </si>
  <si>
    <t>0016100006524006</t>
  </si>
  <si>
    <t>0016100006541008</t>
  </si>
  <si>
    <t>0016100006768002</t>
  </si>
  <si>
    <t>0016100006689005</t>
  </si>
  <si>
    <t>0016100006721006</t>
  </si>
  <si>
    <t>0016100006614005</t>
  </si>
  <si>
    <t>0016100006685007</t>
  </si>
  <si>
    <t>0016100006733004</t>
  </si>
  <si>
    <t>0016100006792008</t>
  </si>
  <si>
    <t>0016100006500007</t>
  </si>
  <si>
    <t>0016100006563001</t>
  </si>
  <si>
    <t>0016100006633007</t>
  </si>
  <si>
    <t>0016100006561009</t>
  </si>
  <si>
    <t>0016100006501006</t>
  </si>
  <si>
    <t>0016100006562005</t>
  </si>
  <si>
    <t>0016100006639008</t>
  </si>
  <si>
    <t>0016100006602007</t>
  </si>
  <si>
    <t>0016100006608005</t>
  </si>
  <si>
    <t>0016100006603003</t>
  </si>
  <si>
    <t>0016100006606002</t>
  </si>
  <si>
    <t>0016100006638001</t>
  </si>
  <si>
    <t>0016100006605006</t>
  </si>
  <si>
    <t>0016100006637005</t>
  </si>
  <si>
    <t>0016100006604007</t>
  </si>
  <si>
    <t>0016100006547006</t>
  </si>
  <si>
    <t>0016100006571004</t>
  </si>
  <si>
    <t>0016100006630008</t>
  </si>
  <si>
    <t>0016100006631007</t>
  </si>
  <si>
    <t>0016100006572008</t>
  </si>
  <si>
    <t>0016100006573007</t>
  </si>
  <si>
    <t>0016100006574003</t>
  </si>
  <si>
    <t>0016100006570008</t>
  </si>
  <si>
    <t>0016100006615001</t>
  </si>
  <si>
    <t>0016100006775009</t>
  </si>
  <si>
    <t>0016100006625007</t>
  </si>
  <si>
    <t>0016100006688009</t>
  </si>
  <si>
    <t>0016100006620005</t>
  </si>
  <si>
    <t>0016100006622008</t>
  </si>
  <si>
    <t>0016100006623004</t>
  </si>
  <si>
    <t>0016100006772007</t>
  </si>
  <si>
    <t>0016100006810009</t>
  </si>
  <si>
    <t>0016100006753005</t>
  </si>
  <si>
    <t>0016100006732008</t>
  </si>
  <si>
    <t>0016100006756004</t>
  </si>
  <si>
    <t>0016100006700009</t>
  </si>
  <si>
    <t>0016100006722002</t>
  </si>
  <si>
    <t>0016100006619007</t>
  </si>
  <si>
    <t>0016100006701005</t>
  </si>
  <si>
    <t>0016100006624008</t>
  </si>
  <si>
    <t>0016100006686006</t>
  </si>
  <si>
    <t>0016100006684003</t>
  </si>
  <si>
    <t>0016100006735007</t>
  </si>
  <si>
    <t>0016100006801007</t>
  </si>
  <si>
    <t>0016100006618008</t>
  </si>
  <si>
    <t>0016100006621001</t>
  </si>
  <si>
    <t>0016100006704004</t>
  </si>
  <si>
    <t>0016100006789007</t>
  </si>
  <si>
    <t>0016100006683007</t>
  </si>
  <si>
    <t>0016100006702001</t>
  </si>
  <si>
    <t>0016100006589008</t>
  </si>
  <si>
    <t>0016100006730005</t>
  </si>
  <si>
    <t>0016100006777001</t>
  </si>
  <si>
    <t>0016100006726008</t>
  </si>
  <si>
    <t>0016100006579005</t>
  </si>
  <si>
    <t>0016100006731001</t>
  </si>
  <si>
    <t>0016100006778008</t>
  </si>
  <si>
    <t>0016100006588004</t>
  </si>
  <si>
    <t>0016100006109009</t>
  </si>
  <si>
    <t>0016100006727004</t>
  </si>
  <si>
    <t>0016100006645008</t>
  </si>
  <si>
    <t>0016100005288007</t>
  </si>
  <si>
    <t>0016100006578009</t>
  </si>
  <si>
    <t>0016100006646004</t>
  </si>
  <si>
    <t>0016100006729007</t>
  </si>
  <si>
    <t>'0016100006822007</t>
  </si>
  <si>
    <t>0016100006612002</t>
  </si>
  <si>
    <t>0016100006738006</t>
  </si>
  <si>
    <t>0016100006791004</t>
  </si>
  <si>
    <t>0016100006629002</t>
  </si>
  <si>
    <t>0016100006816007</t>
  </si>
  <si>
    <t>0016100006508008</t>
  </si>
  <si>
    <t>0016100006809008</t>
  </si>
  <si>
    <t>0016100006626003</t>
  </si>
  <si>
    <t>0016100006798009</t>
  </si>
  <si>
    <t>0016100006795007</t>
  </si>
  <si>
    <t>0016100006797002</t>
  </si>
  <si>
    <t>0016100006750006</t>
  </si>
  <si>
    <t>0016100006749008</t>
  </si>
  <si>
    <t>0016100006747005</t>
  </si>
  <si>
    <t>0016100006774002</t>
  </si>
  <si>
    <t>0016100006865008</t>
  </si>
  <si>
    <t>0016100006762004</t>
  </si>
  <si>
    <t>0016100006787007</t>
  </si>
  <si>
    <t>0016100006760001</t>
  </si>
  <si>
    <t>0016100006763008</t>
  </si>
  <si>
    <t>0016100006794003</t>
  </si>
  <si>
    <t>0016100006815008</t>
  </si>
  <si>
    <t>0016100006779004</t>
  </si>
  <si>
    <t>0016100006758007</t>
  </si>
  <si>
    <t>0016100006752009</t>
  </si>
  <si>
    <t>0016100006811005</t>
  </si>
  <si>
    <t>0016100006761008</t>
  </si>
  <si>
    <t>0016100006793007</t>
  </si>
  <si>
    <t>0016100006786008</t>
  </si>
  <si>
    <t>0016100006788003</t>
  </si>
  <si>
    <t>0016100006808004</t>
  </si>
  <si>
    <t>0016100006813008</t>
  </si>
  <si>
    <t>0016100006800003</t>
  </si>
  <si>
    <t>0016100006757008</t>
  </si>
  <si>
    <t>0016100006790008</t>
  </si>
  <si>
    <t>0016100006814004</t>
  </si>
  <si>
    <t>0016100006759003</t>
  </si>
  <si>
    <t>0016100006597003</t>
  </si>
  <si>
    <t>0016100006530006</t>
  </si>
  <si>
    <t>0016100006590009</t>
  </si>
  <si>
    <t>0016100006504005</t>
  </si>
  <si>
    <t>0016100006592001</t>
  </si>
  <si>
    <t>0016100006596007</t>
  </si>
  <si>
    <t>0016100006595008</t>
  </si>
  <si>
    <t>0016100006643005</t>
  </si>
  <si>
    <t>0016100006528001</t>
  </si>
  <si>
    <t>0016100006529008</t>
  </si>
  <si>
    <t>0016100006593008</t>
  </si>
  <si>
    <t>0016100006581007</t>
  </si>
  <si>
    <t>0016100006591005</t>
  </si>
  <si>
    <t>0016100006610007</t>
  </si>
  <si>
    <t>0016100006584009</t>
  </si>
  <si>
    <t>0016100006617004</t>
  </si>
  <si>
    <t>0016100006644001</t>
  </si>
  <si>
    <t>0016100006531002</t>
  </si>
  <si>
    <t>0016100006582006</t>
  </si>
  <si>
    <t>0016100006583002</t>
  </si>
  <si>
    <t>0016100006642009</t>
  </si>
  <si>
    <t>0016100006609001</t>
  </si>
  <si>
    <t>0016100006503009</t>
  </si>
  <si>
    <t>0016100006641002</t>
  </si>
  <si>
    <t>0016100006555009</t>
  </si>
  <si>
    <t>0016100006640006</t>
  </si>
  <si>
    <t>0016100006693002</t>
  </si>
  <si>
    <t>0016100006694009</t>
  </si>
  <si>
    <t>0016100006632003</t>
  </si>
  <si>
    <t>0016100006634006</t>
  </si>
  <si>
    <t>0016100006740008</t>
  </si>
  <si>
    <t>0016100006743007</t>
  </si>
  <si>
    <t>0016100006742003</t>
  </si>
  <si>
    <t>0016100006744006</t>
  </si>
  <si>
    <t>0016100006695005</t>
  </si>
  <si>
    <t>'0016100006821008</t>
  </si>
  <si>
    <t>0016100006741007</t>
  </si>
  <si>
    <t>0016100006577002</t>
  </si>
  <si>
    <t>0016100006697008</t>
  </si>
  <si>
    <t>0016100006696001</t>
  </si>
  <si>
    <t>0016100006559004</t>
  </si>
  <si>
    <t>0016100006587008</t>
  </si>
  <si>
    <t>0016100006532009</t>
  </si>
  <si>
    <t>0016100006812001</t>
  </si>
  <si>
    <t>0016100006534001</t>
  </si>
  <si>
    <t>0016100006557001</t>
  </si>
  <si>
    <t>0016100006556005</t>
  </si>
  <si>
    <t>0016100006586001</t>
  </si>
  <si>
    <t>0016100006558008</t>
  </si>
  <si>
    <t>0016100006552007</t>
  </si>
  <si>
    <t>Vũ Như Quỳnh</t>
  </si>
  <si>
    <t>Trần Thị Ánh Phượng</t>
  </si>
  <si>
    <t>0016100006540001</t>
  </si>
  <si>
    <t>Lương Xuân Thịnh</t>
  </si>
  <si>
    <t>Cao Xuân Giang</t>
  </si>
  <si>
    <t>Lê Thị Phương Thảo</t>
  </si>
  <si>
    <t>Huỳnh Quốc Dũng</t>
  </si>
  <si>
    <t>Hồ Ngọc Chi</t>
  </si>
  <si>
    <t>Nguyễn Hồng Phúc</t>
  </si>
  <si>
    <t>Nguyễn Lương Tâm</t>
  </si>
  <si>
    <t>Trần Thế Sơn</t>
  </si>
  <si>
    <t>Trần Giang Nam</t>
  </si>
  <si>
    <t>Trần Văn Đông</t>
  </si>
  <si>
    <t>Nguyễn Khắc Huy</t>
  </si>
  <si>
    <t>Trương Thị Hồng</t>
  </si>
  <si>
    <t>Nguyễn Thị Minh Thùy</t>
  </si>
  <si>
    <t>Võ Tấn Kiệt</t>
  </si>
  <si>
    <t>Lý Văn Trung</t>
  </si>
  <si>
    <t>Đinh Hồng Minh</t>
  </si>
  <si>
    <t>Phan Thị Ngọc Phượng</t>
  </si>
  <si>
    <t>Trần Thị Phương Oanh</t>
  </si>
  <si>
    <t>Thân Thị Nhung</t>
  </si>
  <si>
    <t>Nguyễn Trọng Phú</t>
  </si>
  <si>
    <t>Vũ Ngọc Quang</t>
  </si>
  <si>
    <t>Mai Thu Hương</t>
  </si>
  <si>
    <t>Trang Thị Xuân Uyên</t>
  </si>
  <si>
    <t>Nguyễn Thị Kim Dung</t>
  </si>
  <si>
    <t>Lê Xuân Thiện</t>
  </si>
  <si>
    <t>Nguyễn Ngọc Hiệp</t>
  </si>
  <si>
    <t>Phan Đức Long</t>
  </si>
  <si>
    <t>Nguyễn Tất Thắng</t>
  </si>
  <si>
    <t>Võ Thị Xuân Thơ</t>
  </si>
  <si>
    <t>Võ Thị Lệ Trân</t>
  </si>
  <si>
    <t>Thái Thị My Sa</t>
  </si>
  <si>
    <t>Nguyễn Chí Nhân</t>
  </si>
  <si>
    <t>Nguyễn Thanh Sơn</t>
  </si>
  <si>
    <t>Nguyễn Hữu Thiện</t>
  </si>
  <si>
    <t>Nguyễn Tứ Cảnh</t>
  </si>
  <si>
    <t>Bùi Thị Ngọc Sương</t>
  </si>
  <si>
    <t>Nguyễn Thị Huyền Nga</t>
  </si>
  <si>
    <t>Nguyễn Phương Hà</t>
  </si>
  <si>
    <t>Nguyễn Văn Đông</t>
  </si>
  <si>
    <t>Đặng Thị Kiến Trúc</t>
  </si>
  <si>
    <t>Nguyễn Thanh Tú</t>
  </si>
  <si>
    <t>Phạm Thị Thu Nga</t>
  </si>
  <si>
    <t>Nguyễn Thị Cẩm Thạch</t>
  </si>
  <si>
    <t>Lê Thái Hùng</t>
  </si>
  <si>
    <t>Nguyễn Thị Bảo Trân</t>
  </si>
  <si>
    <t>Nguyễn Thị Thu Tâm</t>
  </si>
  <si>
    <t>Lê Nguyễn Mỹ Trâm</t>
  </si>
  <si>
    <t>Nguyễn Thị Dinh</t>
  </si>
  <si>
    <t>Nguyễn Anh Kiệt</t>
  </si>
  <si>
    <t>Trần Thị Hồng Thu</t>
  </si>
  <si>
    <t>Cao Thị Hồng Thắm</t>
  </si>
  <si>
    <t>Bùi Thành Dũng</t>
  </si>
  <si>
    <t>Vũ Thị Thái Linh</t>
  </si>
  <si>
    <t>Nguyễn Văn Đôn</t>
  </si>
  <si>
    <t>Dương Ngọc Vọng</t>
  </si>
  <si>
    <t>Chung Trần Thế Vinh</t>
  </si>
  <si>
    <t>Đỗ Thị Phương Khanh</t>
  </si>
  <si>
    <t>Trương Thị Phương Hồng</t>
  </si>
  <si>
    <t>Dương Minh Chung</t>
  </si>
  <si>
    <t>Phan Văn Thành</t>
  </si>
  <si>
    <t>Vũ Đức Pháp</t>
  </si>
  <si>
    <t>Vũ Quang Khải</t>
  </si>
  <si>
    <t>Phan Thị Xuân Trang</t>
  </si>
  <si>
    <t>Nguyễn Tiến Dũng</t>
  </si>
  <si>
    <t>Nguyễn Thành Long</t>
  </si>
  <si>
    <t>Nguyễn Thanh Vĩnh Phúc</t>
  </si>
  <si>
    <t>Võ Minh Quang</t>
  </si>
  <si>
    <t>Nguyễn Văn Sơn</t>
  </si>
  <si>
    <t>Tạ Minh Cường</t>
  </si>
  <si>
    <t>Nguyễn Văn Yên</t>
  </si>
  <si>
    <t>Nguyễn Anh Tăng</t>
  </si>
  <si>
    <t>Lê Thế Huân</t>
  </si>
  <si>
    <t>Quách Minh Thử</t>
  </si>
  <si>
    <t>Mạnh Lê Hoàn</t>
  </si>
  <si>
    <t>Ngô Hoàng Anh</t>
  </si>
  <si>
    <t>Đỗ Huỳnh Thanh Phong</t>
  </si>
  <si>
    <t>Huỳnh Ngọc Mai</t>
  </si>
  <si>
    <t>Nguyễn Hồng Đức</t>
  </si>
  <si>
    <t>Trần Công Tiến</t>
  </si>
  <si>
    <t>Nguyễn Trần Thanh Nhàn</t>
  </si>
  <si>
    <t>Trần Hiếu Trinh</t>
  </si>
  <si>
    <t>Nguyễn Thị Tố Nga</t>
  </si>
  <si>
    <t>Đặng Đức Minh</t>
  </si>
  <si>
    <t>Nguyễn Thị Ngọc Hiền</t>
  </si>
  <si>
    <t>Nguyễn Anh Tuấn</t>
  </si>
  <si>
    <t>Võ Đắc Thịnh</t>
  </si>
  <si>
    <t>Nguyễn Hữu Mạnh</t>
  </si>
  <si>
    <t>Nguyễn Minh Thái</t>
  </si>
  <si>
    <t>Đặng Thái Sơn</t>
  </si>
  <si>
    <t>Hồ Văn Hóa</t>
  </si>
  <si>
    <t>Đặng Thế Huân</t>
  </si>
  <si>
    <t>Võ Anh Hào</t>
  </si>
  <si>
    <t>Phan Văn Hòa</t>
  </si>
  <si>
    <t>Trần Đình Khoa</t>
  </si>
  <si>
    <t>Trình Minh Phong</t>
  </si>
  <si>
    <t>Lâm Thị Phương Thảo</t>
  </si>
  <si>
    <t>Nguyễn Hoàng Vinh</t>
  </si>
  <si>
    <t>Đỗ Hoàng Duy</t>
  </si>
  <si>
    <t>Lê Thị Thúy Oanh</t>
  </si>
  <si>
    <t>Nguyễn Thiện Bình</t>
  </si>
  <si>
    <t>1603205637004</t>
  </si>
  <si>
    <t>1603205186603</t>
  </si>
  <si>
    <t>1603205647174</t>
  </si>
  <si>
    <t>1603215003650</t>
  </si>
  <si>
    <t>1603205647197</t>
  </si>
  <si>
    <t>1603205634954</t>
  </si>
  <si>
    <t>1603215002809</t>
  </si>
  <si>
    <t>1603215001359</t>
  </si>
  <si>
    <t>1603205534256</t>
  </si>
  <si>
    <t>1603205309314</t>
  </si>
  <si>
    <t>Nguyễn Thanh Dũng</t>
  </si>
  <si>
    <t>Bùi Trọng Tân</t>
  </si>
  <si>
    <t>Võ Quốc Duy</t>
  </si>
  <si>
    <t>Võ Hoài Sơn</t>
  </si>
  <si>
    <t>Trần Ngọc Tuấn</t>
  </si>
  <si>
    <t>Giang Văn Tiến</t>
  </si>
  <si>
    <t>Hồ Gia Bảo</t>
  </si>
  <si>
    <t>Nguyễn Hoàng Thanh Ngân</t>
  </si>
  <si>
    <t>0016100029651005</t>
  </si>
  <si>
    <t>1603205670783</t>
  </si>
  <si>
    <t>0016100029650009</t>
  </si>
  <si>
    <t>1603205670790</t>
  </si>
  <si>
    <t>0016100029652001</t>
  </si>
  <si>
    <t>1603205670804</t>
  </si>
  <si>
    <t>0016100006674008</t>
  </si>
  <si>
    <t>0016100006511001</t>
  </si>
  <si>
    <t>0016100006657006</t>
  </si>
  <si>
    <t>0016100007211001</t>
  </si>
  <si>
    <t>0004100004671006</t>
  </si>
  <si>
    <t>0016100029229001</t>
  </si>
  <si>
    <t>0016100007755001</t>
  </si>
  <si>
    <t>0016100028104008</t>
  </si>
  <si>
    <t>0016100006516003</t>
  </si>
  <si>
    <t>0016100007787008</t>
  </si>
  <si>
    <t>0016100028103004</t>
  </si>
  <si>
    <t>0016100019261004</t>
  </si>
  <si>
    <t>0016100007758008</t>
  </si>
  <si>
    <t>0016100007759007</t>
  </si>
  <si>
    <t>0016100007212008</t>
  </si>
  <si>
    <t>1603205584782</t>
  </si>
  <si>
    <t>0016100007698008</t>
  </si>
  <si>
    <t>0016100012451002</t>
  </si>
  <si>
    <t>0003100008196007</t>
  </si>
  <si>
    <t>0016100007189006</t>
  </si>
  <si>
    <t>0016100007188007</t>
  </si>
  <si>
    <t>0016100012091006</t>
  </si>
  <si>
    <t>0016100007699004</t>
  </si>
  <si>
    <t>1603215005582</t>
  </si>
  <si>
    <t>0016100007776009</t>
  </si>
  <si>
    <t>1603215005576</t>
  </si>
  <si>
    <t>0016100012092002</t>
  </si>
  <si>
    <t>1603205590155</t>
  </si>
  <si>
    <t>0016100018936008</t>
  </si>
  <si>
    <t>1603205626197</t>
  </si>
  <si>
    <t>0016100019259007</t>
  </si>
  <si>
    <t>1603205634948</t>
  </si>
  <si>
    <t>0016100019260008</t>
  </si>
  <si>
    <t>1603205634960</t>
  </si>
  <si>
    <t>1603205668349</t>
  </si>
  <si>
    <t>0021100007409006</t>
  </si>
  <si>
    <t>0023100018335001</t>
  </si>
  <si>
    <t>0004100006031004</t>
  </si>
  <si>
    <t>1603205668355</t>
  </si>
  <si>
    <t>Phan Thanh Hoàng</t>
  </si>
  <si>
    <t>Nguyễn Thị Xuân Chinh</t>
  </si>
  <si>
    <t>0016106868686866</t>
  </si>
  <si>
    <t>Nguyễn Văn Thành</t>
  </si>
  <si>
    <t>Nguyễn Thị Thanh Hòa</t>
  </si>
  <si>
    <t>Đinh Thị Trâm</t>
  </si>
  <si>
    <t>Huỳnh Kim Liên</t>
  </si>
  <si>
    <t>Nguyễn Duy Tân</t>
  </si>
  <si>
    <t>Lê Hồng Ngọc My</t>
  </si>
  <si>
    <t>Nguyễn Khương Thành</t>
  </si>
  <si>
    <t>Nguyễn Hữu Lương</t>
  </si>
  <si>
    <t>Huỳnh Duy An</t>
  </si>
  <si>
    <t>Đỗ Thị Tâm</t>
  </si>
  <si>
    <t>Trần Hà Trang</t>
  </si>
  <si>
    <t>(Chi theo Chương II - "Những quy định cụ thể"/ Mục 2 - "Chi thanh toán cá nhân"/ Điều 17 - "Các khoản thanh toán cá nhân"/ Khoản b - "Thu nhập tăng thêm"
trong Quy chế chi tiêu nội bộ năm 2023 ban hành kèm theo Quyết định số 739/QĐ-LTT-KHTC ngày 02 tháng 11 năm 2022)</t>
  </si>
  <si>
    <t>(Chi theo Chương II - "Những quy định cụ thể"/ Mục 2 - "Chi thanh toán cá nhân"/ Điều 17 - "Các khoản thanh toán cá nhân"/ Khoản b - "Thu nhập tăng thêm"
trong Quy chế chi tiêu nội bộ năm 2022 ban hành kèm theo Quyết định số 739/QĐ-LTT-KHTC ngày 02 tháng 11 năm 2022)</t>
  </si>
  <si>
    <t>Lê Thị Hải Đăng</t>
  </si>
  <si>
    <t>Huỳnh Đình Văn</t>
  </si>
  <si>
    <t>Đào Lê Phương Anh</t>
  </si>
  <si>
    <t>Phan Hữu Tước</t>
  </si>
  <si>
    <t>Mức lương tối thiểu hệ số 1 = 1.800.000</t>
  </si>
  <si>
    <t>BGH</t>
  </si>
  <si>
    <t>TCHC</t>
  </si>
  <si>
    <t>Bằng chữ: Mười lăm triệu một trăm mười ba ngàn tám trăm tám mươi đồng.</t>
  </si>
  <si>
    <t>Nguyễn Duy Lộc</t>
  </si>
  <si>
    <t>Lê Thu Hà</t>
  </si>
  <si>
    <t>BẢNG THU NHẬP TĂNG THÊM - LƯƠNG THEO HỆ SỐ ĐIỀU CHỈNH THÁNG 9 NĂM 2023</t>
  </si>
  <si>
    <t>Thành phố Hồ Chí Minh, ngày 16 tháng 10 năm 2023</t>
  </si>
  <si>
    <t>Nguyễn Huỳnh Lưu Phương</t>
  </si>
  <si>
    <t>Bỏ</t>
  </si>
  <si>
    <t>Nguyễn Ngọc Quỳnh.</t>
  </si>
  <si>
    <t>Ôn Thị Ngọc Thảo</t>
  </si>
  <si>
    <t>Tuyển dụng từ ngày 01/01/2024</t>
  </si>
  <si>
    <t>GV tự ý cho SV nghỉ học 2 tiết</t>
  </si>
  <si>
    <t>Số tài khoản thẻ OCB</t>
  </si>
  <si>
    <t>Mã ngạch</t>
  </si>
  <si>
    <t>Đồng Anh Tuấn</t>
  </si>
  <si>
    <t>0016100006671009</t>
  </si>
  <si>
    <t>D.03</t>
  </si>
  <si>
    <t>Lê Hồng Sơn</t>
  </si>
  <si>
    <t>0016100006665009</t>
  </si>
  <si>
    <t>1603215003903</t>
  </si>
  <si>
    <t>Nguyễn Thanh Hiền</t>
  </si>
  <si>
    <t>1603205250624</t>
  </si>
  <si>
    <t>Trần Thanh Phương</t>
  </si>
  <si>
    <t>D.02</t>
  </si>
  <si>
    <t>Lê Hồng Phúc</t>
  </si>
  <si>
    <t>0016100006668008</t>
  </si>
  <si>
    <t>Phạm Hữu Tấn</t>
  </si>
  <si>
    <t>D.01</t>
  </si>
  <si>
    <t>Nguyễn Hữu Xuân Vũ</t>
  </si>
  <si>
    <t>0016100006650001</t>
  </si>
  <si>
    <t>1603205261932</t>
  </si>
  <si>
    <t>Phạm Hữu Thành Phú</t>
  </si>
  <si>
    <t>0016100006651008</t>
  </si>
  <si>
    <t>1603215002611</t>
  </si>
  <si>
    <t>Huỳnh Thanh Nhàn</t>
  </si>
  <si>
    <t>0016100006666005</t>
  </si>
  <si>
    <t>1603215002640</t>
  </si>
  <si>
    <t>Phạm Quang Tùng</t>
  </si>
  <si>
    <t>Trần Thanh Cường</t>
  </si>
  <si>
    <t>Dương Văn Tâm</t>
  </si>
  <si>
    <t>Huỳnh Ngọc Liên</t>
  </si>
  <si>
    <t>Trần Việt Anh</t>
  </si>
  <si>
    <t>Trần Văn Cu Anh</t>
  </si>
  <si>
    <t>0016100006649003</t>
  </si>
  <si>
    <t>Vũ Anh Hiếu</t>
  </si>
  <si>
    <t>Huỳnh Thị Xuân Mai</t>
  </si>
  <si>
    <t>0016100006575007</t>
  </si>
  <si>
    <t>Dương Thị Thủy</t>
  </si>
  <si>
    <t>0016100006598007</t>
  </si>
  <si>
    <t>1603205360623</t>
  </si>
  <si>
    <t>Tạ Quốc Tấn</t>
  </si>
  <si>
    <t>0016100006499001</t>
  </si>
  <si>
    <t>Nguyễn Xuân Lợi</t>
  </si>
  <si>
    <t>0016100006600004</t>
  </si>
  <si>
    <t>Huỳnh Bá Triết</t>
  </si>
  <si>
    <t>TRIẾT</t>
  </si>
  <si>
    <t>0016100006494007</t>
  </si>
  <si>
    <t>1603215002788</t>
  </si>
  <si>
    <t>Giáp Đức Nhận</t>
  </si>
  <si>
    <t>0016100006675004</t>
  </si>
  <si>
    <t>Trần Thị Thu</t>
  </si>
  <si>
    <t>0016100006677007</t>
  </si>
  <si>
    <t>Đỗ Thị Bích Thủy</t>
  </si>
  <si>
    <t>0016100006680008</t>
  </si>
  <si>
    <t>1603205465934</t>
  </si>
  <si>
    <t>Trần Kim Tươi</t>
  </si>
  <si>
    <t>1603205639340</t>
  </si>
  <si>
    <t>Trương Thị Định</t>
  </si>
  <si>
    <t>1603205648834</t>
  </si>
  <si>
    <t>Trương Thị Bắc</t>
  </si>
  <si>
    <t>1603205648828</t>
  </si>
  <si>
    <t>Võ Tấn Đức</t>
  </si>
  <si>
    <t>Ngô Ngọc Của</t>
  </si>
  <si>
    <t>Nguyễn Văn Hiển</t>
  </si>
  <si>
    <t>Lê Thị Huyền</t>
  </si>
  <si>
    <t>0016100006566008</t>
  </si>
  <si>
    <t>Phạm Thị Hoàng Diễm</t>
  </si>
  <si>
    <t>Đỗ Công Thành</t>
  </si>
  <si>
    <t>1603215001211</t>
  </si>
  <si>
    <t>Trần Thị Thảo Vân</t>
  </si>
  <si>
    <t>0016100006506008</t>
  </si>
  <si>
    <t>Nguyễn Thụy Nghiêm</t>
  </si>
  <si>
    <t>1603205643427</t>
  </si>
  <si>
    <t>Huỳnh Như Ý</t>
  </si>
  <si>
    <t>Nguyễn Chiến Thắng</t>
  </si>
  <si>
    <t>Huỳnh Văn Hiếu</t>
  </si>
  <si>
    <t>0016100006710004</t>
  </si>
  <si>
    <t>Trịnh Tuấn Vũ</t>
  </si>
  <si>
    <t xml:space="preserve">VŨ </t>
  </si>
  <si>
    <t>0016100006712007</t>
  </si>
  <si>
    <t>1603205246980</t>
  </si>
  <si>
    <t>Nguyễn Trung Dũng</t>
  </si>
  <si>
    <t>0016100006707003</t>
  </si>
  <si>
    <t>Bùi Đức Phước</t>
  </si>
  <si>
    <t>Lưu Hoàng Bảo Châu</t>
  </si>
  <si>
    <t>Võ Thị Tuyết</t>
  </si>
  <si>
    <t xml:space="preserve">TUYẾT </t>
  </si>
  <si>
    <t>0016100006713003</t>
  </si>
  <si>
    <t>Trần Anh Mỹ</t>
  </si>
  <si>
    <t>Lê Tiến Dũng</t>
  </si>
  <si>
    <t xml:space="preserve">DŨNG </t>
  </si>
  <si>
    <t>0016100006545003</t>
  </si>
  <si>
    <t>Lê Trần Thanh Nga</t>
  </si>
  <si>
    <t>1603205645973</t>
  </si>
  <si>
    <t>Phạm Huy Hoàng</t>
  </si>
  <si>
    <t>HOÀNG</t>
  </si>
  <si>
    <t>0016100006656007</t>
  </si>
  <si>
    <t>1603205426830</t>
  </si>
  <si>
    <t>Nguyễn Thị Thảo</t>
  </si>
  <si>
    <t>0016100006659009</t>
  </si>
  <si>
    <t>Nguyễn Thị Nhung</t>
  </si>
  <si>
    <t>0016100006782005</t>
  </si>
  <si>
    <t>1603205414638</t>
  </si>
  <si>
    <t>Nguyễn Việt Tiến</t>
  </si>
  <si>
    <t>0016100006523007</t>
  </si>
  <si>
    <t>1603215002794</t>
  </si>
  <si>
    <t>Nguyễn Thị Tất</t>
  </si>
  <si>
    <t>0016100006522003</t>
  </si>
  <si>
    <t>1603205261860</t>
  </si>
  <si>
    <t>Sỹ Thị Chung</t>
  </si>
  <si>
    <t>0016100006525002</t>
  </si>
  <si>
    <t>1603205250630</t>
  </si>
  <si>
    <t>Trần Nhật Thịnh</t>
  </si>
  <si>
    <t>Phạm Huỳnh Kim Ngân</t>
  </si>
  <si>
    <t>NGÂN</t>
  </si>
  <si>
    <t>0016100006520008</t>
  </si>
  <si>
    <t>1603215003088</t>
  </si>
  <si>
    <t>Nguyễn Đan Trường</t>
  </si>
  <si>
    <t>Lương Công Phi</t>
  </si>
  <si>
    <t>Nguyễn Yến Nhi</t>
  </si>
  <si>
    <t>NHI</t>
  </si>
  <si>
    <t>0016100006703008</t>
  </si>
  <si>
    <t>Nguyễn Khắc Huân</t>
  </si>
  <si>
    <t>1603205639370</t>
  </si>
  <si>
    <t>Lương Thị Thắm</t>
  </si>
  <si>
    <t>0016100006551003</t>
  </si>
  <si>
    <t>Nguyễn Hoàng Hải</t>
  </si>
  <si>
    <t>Hà Thị Hậu</t>
  </si>
  <si>
    <t>0016100006502002</t>
  </si>
  <si>
    <t>1603205414644</t>
  </si>
  <si>
    <t>Lư Diễm Phúc</t>
  </si>
  <si>
    <t>Nguyễn Thị Trang</t>
  </si>
  <si>
    <t>0016100006560002</t>
  </si>
  <si>
    <t>1603205421475</t>
  </si>
  <si>
    <t>BẢNG THU NHẬP TĂNG THÊM - LƯƠNG THEO HỆ SỐ ĐIỀU CHỈNH THÁNG 01 NĂM 2024</t>
  </si>
  <si>
    <t>NHÂN VIÊN HỢP ĐỒNG THEO NGHỊ ĐỊNH 111/2022/NĐ-CP</t>
  </si>
  <si>
    <t>CHÊNH LỆCH</t>
  </si>
  <si>
    <t>ĐÃ NHẬN</t>
  </si>
  <si>
    <t>BẢNG TRUY LÃNH THU NHẬP TĂNG THÊM - LƯƠNG THEO HỆ SỐ ĐIỀU CHỈNH THÁNG 01 NĂM 2024</t>
  </si>
  <si>
    <t>Bằng chữ: Hai trăm lẻ bốn triệu một trăm chín mươi hai ngàn hai trăm sáu mươi hai đồng.</t>
  </si>
  <si>
    <t>Thành phố Hồ Chí Minh, ngày 29 tháng 02 năm 2024</t>
  </si>
  <si>
    <t>Truy lãnh do NL thường xuyên T01/2024</t>
  </si>
  <si>
    <t>Nộp báo cáo trễ (BC hàng tháng của phòng, KH tu dưỡng, chưa hoàn thành ĐGRL cho SV lớp QL)</t>
  </si>
  <si>
    <t>Thành phố Hồ Chí Minh, ngày 18 tháng 03 năm 2024</t>
  </si>
  <si>
    <t>Truy lãnh ABC T01/2024</t>
  </si>
  <si>
    <t>Thực lãnh</t>
  </si>
  <si>
    <t>Giảng viên khoa Cơ khí</t>
  </si>
  <si>
    <t>Hệ số chia thêm</t>
  </si>
  <si>
    <t>Mức chia thêm</t>
  </si>
  <si>
    <t>Thành tiền</t>
  </si>
  <si>
    <t>Ghi chú</t>
  </si>
  <si>
    <t>CẤP BẬC CHỨC VỤ</t>
  </si>
  <si>
    <t>3 = 1 x 2</t>
  </si>
  <si>
    <t>D</t>
  </si>
  <si>
    <t>Độc lập - Tự do - Hạnh phúc</t>
  </si>
  <si>
    <t>Mẫu C04-HD</t>
  </si>
  <si>
    <t>(Ban hành theo TT số: 107/2017/TT-BTC</t>
  </si>
  <si>
    <t>ngày 10/10/2017 của Bộ Tài chính)</t>
  </si>
  <si>
    <t>BẢNG THANH TOÁN THU NHẬP TĂNG THÊM</t>
  </si>
  <si>
    <t>Tháng 02 năm 2024</t>
  </si>
  <si>
    <t>Thành phố Hồ Chí Minh, ngày 08 tháng 02 năm 2021</t>
  </si>
  <si>
    <t>Bằng chữ: Hai tỷ sáu trăm lẻ bốn triệu tám trăm bốn mươi bảy ngàn tám trăm sáu mươi chín đồng.</t>
  </si>
  <si>
    <t>Biên chế</t>
  </si>
  <si>
    <t>Cộng biên chế</t>
  </si>
  <si>
    <t>Hợp đồng NĐ111</t>
  </si>
  <si>
    <t>Cộng hợp đồng</t>
  </si>
  <si>
    <t>TỔNG</t>
  </si>
  <si>
    <t>- Ngày 08/03/2024,  GV vào lớp trễ 6 phút 
- Ngày 21/03/2024, GV vào lớp trễ 11 phút</t>
  </si>
  <si>
    <t>Cá nhân đi làm trễ nhiều lần trong tháng. Thống nhất đề nghị xếp loại B2 của đơn vị</t>
  </si>
  <si>
    <t>GV vào lớp trễ 10 phút ngày 04/3/2024</t>
  </si>
  <si>
    <t>Trừ 3 ngày nghỉ phép 1+8+13/3
- Tự ý đổi ca trực không báo lãnh đạo phòng</t>
  </si>
  <si>
    <t>Cộng 3 ngày nghỉ chế độ; Trừ 4 ngày nghỉ phép từ 27 đến 30/3
- Nghỉ quá số ngày</t>
  </si>
  <si>
    <t>Đăng các nội dung của trường lên mạng XH chưa được sự đồng ý của lãnh đạo Nhà trường</t>
  </si>
  <si>
    <t>BẢNG THU NHẬP TĂNG THÊM - LƯƠNG THEO HỆ SỐ ĐIỀU CHỈNH THÁNG 03 NĂM 2024</t>
  </si>
  <si>
    <t>Thành phố Hồ Chí Minh, ngày 17 tháng 4 năm 2024</t>
  </si>
  <si>
    <t>Hợp đồng theo NĐ111</t>
  </si>
  <si>
    <t>Giảng viên khoa Xây dựng - Nhiệt lạnh</t>
  </si>
  <si>
    <t>Phó Trưởng khoa Xây dựng - Nhiệt lạnh</t>
  </si>
  <si>
    <t>Trưởng khoa Xây dựng - Nhiệt lạnh</t>
  </si>
  <si>
    <t>Trưởng khoa Kinh tế</t>
  </si>
  <si>
    <t>Trưởng phòng Thanh tra GD - Quan hệ DN</t>
  </si>
  <si>
    <t>Nhân viên phòng Thanh tra GD - Quan hệ DN</t>
  </si>
  <si>
    <t>Tháng 03 năm 2024</t>
  </si>
  <si>
    <t>Cộng Hợp đồng NĐ111</t>
  </si>
  <si>
    <t>Truy lãnh từ T1/23 đến T2/24</t>
  </si>
  <si>
    <t>Bằng chữ: Hai tỷ sáu trăm hai mươi ba triệu bảy trăm lẻ ba ngàn tám trăm bảy mươi lăm đồng.</t>
  </si>
  <si>
    <t>BẢNG THU NHẬP TĂNG THÊM - LƯƠNG THEO HỆ SỐ ĐIỀU CHỈNH THÁNG 04 NĂM 2024</t>
  </si>
  <si>
    <t xml:space="preserve">Cá nhân làm việc riêng và vi phạm văn hoá ứng xử trong khi làm việc </t>
  </si>
  <si>
    <t>GV vi phạm vào lớp trễ 50 phút, theo quy định xếp loại C2. TTHĐ thống nhất xếp loại B1</t>
  </si>
  <si>
    <t>GV vào lớp trễ nhiều lần trong tháng. TTHĐ thống nhất xếp loại B2</t>
  </si>
  <si>
    <t>Thành phố Hồ Chí Minh, ngày 15 tháng 5 năm 2024</t>
  </si>
  <si>
    <t>Tháng 04 năm 2024</t>
  </si>
  <si>
    <t>Bằng chữ: Hai tỷ sáu trăm sáu mươi ba triệu chín trăm hai mươi lăm ngàn không trăm chín mươi mốt đồng.</t>
  </si>
  <si>
    <t>NV Phòng KHCN &amp; HTQT</t>
  </si>
  <si>
    <t>QTDV</t>
  </si>
  <si>
    <t>Nhân viên TT Đào tạo và QLTB</t>
  </si>
  <si>
    <t>Phó Trưởng TT Đào tạo và QLTB</t>
  </si>
  <si>
    <t>TTĐT</t>
  </si>
  <si>
    <t>TTYT</t>
  </si>
  <si>
    <t>KHTC</t>
  </si>
  <si>
    <t>TTrGD</t>
  </si>
  <si>
    <t>TSĐT</t>
  </si>
  <si>
    <t>KTĐBCL</t>
  </si>
  <si>
    <t>TTĐHDL</t>
  </si>
  <si>
    <t>TTTV</t>
  </si>
  <si>
    <t>QLKH</t>
  </si>
  <si>
    <t>Giám đốc TT Đào tạo và QLTB</t>
  </si>
  <si>
    <t>XD-NL</t>
  </si>
  <si>
    <t>KT</t>
  </si>
  <si>
    <t>DL-KS</t>
  </si>
  <si>
    <t>M-TT</t>
  </si>
  <si>
    <t>DLKS</t>
  </si>
  <si>
    <t>NN</t>
  </si>
  <si>
    <t>LLCT</t>
  </si>
  <si>
    <t>CK</t>
  </si>
  <si>
    <t>Đ-ĐT</t>
  </si>
  <si>
    <t>ĐL</t>
  </si>
  <si>
    <t>Nhân viên phòng Quản trị - Dịch vụ</t>
  </si>
  <si>
    <t>GV vi phạm vào lớp trễ nhiều lần:
- Ngày 25/4/2024, trễ 5 phút
- Ngày 26/4/2024, trễ 13 phút
- Ngày 9/5/2024, trễ 5 phút, GV không đeo thẻ trong giờ dạy</t>
  </si>
  <si>
    <t>Trừ 1 ngày nghỉ phép 11/5; Cộng 1 ngày nghỉ chế độ cưới 31/5</t>
  </si>
  <si>
    <t>Lâm Võ Hữu Duy</t>
  </si>
  <si>
    <t>HĐ từ 01/5/2024</t>
  </si>
  <si>
    <t>Nghỉ hết phép năm học 2023-2024 và ứng 02 ngày phép ngày 24,25/5; NH 2024-2025</t>
  </si>
  <si>
    <t>Tháng 05 năm 2024</t>
  </si>
  <si>
    <t>Thành phố Hồ Chí Minh, ngày 25 tháng 6 năm 2024</t>
  </si>
  <si>
    <t>Bằng chữ: Hai tỷ năm trăm tám mươi sáu triệu một trăm bảy mươi ba ngàn không trăm chín mươi hai đồng.</t>
  </si>
  <si>
    <t>Giảng viên khoa Du lịch - Khách sạn</t>
  </si>
  <si>
    <t>Giảng viên khoa Kinh tế</t>
  </si>
  <si>
    <t>Võ Lạc Tân</t>
  </si>
  <si>
    <t>Cộng 2 ngày nghỉ chế độ cưới 1+3/6</t>
  </si>
  <si>
    <t>Hợp đồng thử việc từ 10/6/2024</t>
  </si>
  <si>
    <t>Cá nhân nghỉ phép 8 ngày, theo quy định xếp loại D. TTHĐ xem xét cá nhân về quê dự đám tang bà ngoại tại Thanh Hóa. Thống nhất xếp loại B1</t>
  </si>
  <si>
    <t>BẢNG THU NHẬP TĂNG THÊM - LƯƠNG THEO HỆ SỐ ĐIỀU CHỈNH THÁNG 06 NĂM 2024</t>
  </si>
  <si>
    <t>Thành phố Hồ Chí Minh, ngày 10 tháng 7 năm 2024</t>
  </si>
  <si>
    <t>Tháng 06 năm 2024</t>
  </si>
  <si>
    <t>Bằng chữ: Hai tỷ năm trăm tám mươi mốt triệu hai trăm năm mươi tám ngàn bảy trăm năm mươi tám đồng.</t>
  </si>
  <si>
    <t>(Chi theo Chương II - "Những quy định cụ thể"/ Mục 2 - "Chi thanh toán cá nhân"/ Điều 17 - "Các khoản thanh toán cá nhân"/ Khoản b - "Thu nhập tăng thêm"
trong Quy chế chi tiêu nội bộ năm 2024 ban hành kèm theo Quyết định số 729/QĐ-LTT-KHTC ngày 08 tháng 11 năm 2023)</t>
  </si>
  <si>
    <t>HS Vượt khung</t>
  </si>
  <si>
    <t>THÁNG 08</t>
  </si>
  <si>
    <t>THÁNG 09</t>
  </si>
  <si>
    <t>THÁNG 7</t>
  </si>
  <si>
    <t>THÁNG 8</t>
  </si>
  <si>
    <t>THÁNG 9</t>
  </si>
  <si>
    <t>NGÀY CÔNG THỰC HIỆN</t>
  </si>
  <si>
    <t>TRUY LÃNH</t>
  </si>
  <si>
    <t>MỨC XL</t>
  </si>
  <si>
    <t>HỆ SỐ XẾP LOẠI</t>
  </si>
  <si>
    <t>Stt</t>
  </si>
  <si>
    <t>Ký hiệu</t>
  </si>
  <si>
    <t>ĐƠN VỊ</t>
  </si>
  <si>
    <t>BAN GIÁM HIỆU</t>
  </si>
  <si>
    <t>PHÒNG KẾ HOẠCH - TÀI CHÍNH</t>
  </si>
  <si>
    <t>PHÒNG TỔ CHỨC - HÀNH CHÍNH - TỔNG HỢP</t>
  </si>
  <si>
    <t>PHÒNG KHẢO THÍ VÀ ĐẢM BẢO CHẤT LƯỢNG</t>
  </si>
  <si>
    <t>PHÒNG QUẢN LÝ KHOA HỌC - HỢP TÁC QUỐC TẾ</t>
  </si>
  <si>
    <t>PHÒNG QUẢN TRỊ - DỊCH VỤ</t>
  </si>
  <si>
    <t>KHOA KHOA HỌC CƠ BẢN</t>
  </si>
  <si>
    <t>KHOA NGOẠI NGỮ</t>
  </si>
  <si>
    <t>KHOA LÝ LUẬN CHÍNH TRỊ</t>
  </si>
  <si>
    <t>KHOA CƠ KHÍ</t>
  </si>
  <si>
    <t>KHOA CÔNG NGHỆ THÔNG TIN</t>
  </si>
  <si>
    <t>KHOA ĐỘNG LỰC</t>
  </si>
  <si>
    <t>KHOA ĐIỆN - ĐIỆN TỬ</t>
  </si>
  <si>
    <t>PHÒNG TUYỂN SINH - ĐÀO TẠO</t>
  </si>
  <si>
    <t>N-L</t>
  </si>
  <si>
    <t>KHOA NHIỆT - LẠNH</t>
  </si>
  <si>
    <t>KHOA KINH TẾ</t>
  </si>
  <si>
    <t>KHOA DU LỊCH - KHÁCH SẠN</t>
  </si>
  <si>
    <t>XD</t>
  </si>
  <si>
    <t>KHOA XÂY DỰNG</t>
  </si>
  <si>
    <t>TRUNG TÂM THƯ VIỆN</t>
  </si>
  <si>
    <t>TRUNG TÂM ĐÀO TẠO VÀ QUẢN LÝ THIẾT BỊ</t>
  </si>
  <si>
    <t>TRUNG TÂM Y TẾ</t>
  </si>
  <si>
    <t>TTQHDN</t>
  </si>
  <si>
    <t>TRUNG TÂM QUAN HỆ DOANH NGHIỆP</t>
  </si>
  <si>
    <t>TRUNG TÂM ĐIỀU HÀNH VÀ QUẢN LÝ DỮ LIỆU</t>
  </si>
  <si>
    <t>KHOA MAY - THỜI TRANG</t>
  </si>
  <si>
    <t>PHÒNG THANH TRA GIÁO DỤC - QUAN HỆ DOANH NGHIỆP</t>
  </si>
  <si>
    <t>KT. HIỆU TRƯỞNG</t>
  </si>
  <si>
    <t>PHÓ HIỆU TRƯỞNG</t>
  </si>
  <si>
    <t xml:space="preserve">Lương </t>
  </si>
  <si>
    <t>Truy lãnh</t>
  </si>
  <si>
    <t xml:space="preserve">ỦY BAN NHÂN DÂN TP. HỒ CHÍ MINH </t>
  </si>
  <si>
    <t xml:space="preserve">CỘNG HÒA XÃ HỘI CHỦ NGHĨA VIỆT NAM </t>
  </si>
  <si>
    <t xml:space="preserve">TRƯỜNG CAO ĐẲNG LÝ TỰ TRỌNG TP. HCM </t>
  </si>
  <si>
    <t>BẢNG ĐIỀU CHỈNH THAY ĐỔI LƯƠNG CỦA CÁN BỘ, VIÊN CHỨC - THÁNG 07/2024</t>
  </si>
  <si>
    <t>TT</t>
  </si>
  <si>
    <t>STT TRÊN BẢNG LƯƠNG</t>
  </si>
  <si>
    <t xml:space="preserve">LOẠI, HẠNG VC </t>
  </si>
  <si>
    <t>Bảng lương tháng 06/2024</t>
  </si>
  <si>
    <t>Bảng lương tháng 07/2024</t>
  </si>
  <si>
    <t xml:space="preserve">GHI CHÚ </t>
  </si>
  <si>
    <t xml:space="preserve">Ngạch </t>
  </si>
  <si>
    <t xml:space="preserve">Hệ số </t>
  </si>
  <si>
    <t xml:space="preserve">Hệ số TNVK </t>
  </si>
  <si>
    <t>Hệ số PCCV</t>
  </si>
  <si>
    <t>Hệ số PC TNNG</t>
  </si>
  <si>
    <t>Hệ số PC khác</t>
  </si>
  <si>
    <t>Hệ số TNVK</t>
  </si>
  <si>
    <t>Hide</t>
  </si>
  <si>
    <t>01.003</t>
  </si>
  <si>
    <t>QĐ Thôi giữ chức Trưởng phòng Thanh tra giáo dục từ 01/3/2024. Hệ số PCCV 0,45 được bảo lưu đến hết T08/2024</t>
  </si>
  <si>
    <t>V.09.02.03</t>
  </si>
  <si>
    <t>25% PCƯĐ</t>
  </si>
  <si>
    <t>Nghỉ hộ sản hưởng chế độ BHXH từ 09/03/2024 đến hết ngày 08/03/2024. Trừ trên BL T4+5+6+7+8+9/2024. Vẫn hưởng PCƯĐ</t>
  </si>
  <si>
    <t>40% HS 2,34</t>
  </si>
  <si>
    <t>QĐ số 495/QĐ-UBND ngày 20 tháng 02 năm 2023 về cử viên chức Nguyễn Hoàng Thanh Ngân đi học nghiên cứu sinh tại Trường ĐHQG Khoa học và Công nghệ Cao Hùng, Đài Loan (Trung Quốc). Hưởng 40% lương</t>
  </si>
  <si>
    <t xml:space="preserve">                                      </t>
  </si>
  <si>
    <t>QĐ Nâng 1% phụ cấp thâm niên nhà giáo từ 01/7/2024</t>
  </si>
  <si>
    <t>QĐ Bổ nhiệm chức danh nghề nghiệp và xếp lương đồi với viên chức (Hết thời gian tập sự)</t>
  </si>
  <si>
    <t>45% PCƯĐ</t>
  </si>
  <si>
    <t>Hết thời gian nghỉ hộ sản đi làm lại từ ngày  12/6/2024. Nhập lại BL T7/2024</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</si>
  <si>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</si>
  <si>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 xml:space="preserve"> </t>
  </si>
  <si>
    <t>Thành phố Hồ Chí Minh, ngày 01 tháng 7 năm 2024</t>
  </si>
  <si>
    <t>NGƯỜI LẬP BIỂU</t>
  </si>
  <si>
    <t xml:space="preserve">HIỆU TRƯỞNG </t>
  </si>
  <si>
    <t>BẢNG ĐIỀU CHỈNH THAY ĐỔI LƯƠNG CỦA CÁN BỘ, VIÊN CHỨC - THÁNG 08/2024</t>
  </si>
  <si>
    <t>Bảng lương tháng 08/2024</t>
  </si>
  <si>
    <t>QĐ Nâng 1% phụ cấp thâm niên nhà giáo từ ngày 01/8/2024</t>
  </si>
  <si>
    <t>Nguyễn Huỳnh Khánh Vy</t>
  </si>
  <si>
    <t>QĐ về tuyển dụng viên chức từ ngày 01/8/2024</t>
  </si>
  <si>
    <t>Nghỉ hộ sản hưởng chế độ BHXH từ 09/03/2024 đến hết ngày 08/09/2024. Trừ trên BL T4+5+6+7+8+9/2024. Vẫn hưởng PCƯĐ</t>
  </si>
  <si>
    <t>QĐ số 409/QĐ-LTT-TC ngày 23 tháng 7 năm 2024 về việc chấm dứt HĐ lao động đối vời viên chức Võ Quốc Duy từ ngày 01/8/2024. Ông Duy không còn tên trên BL T8/2004 của Trường.</t>
  </si>
  <si>
    <t>Thành phố Hồ Chí Minh, ngày 01 tháng 8 năm 2024</t>
  </si>
  <si>
    <t>Vượt khung</t>
  </si>
  <si>
    <t>% VK</t>
  </si>
  <si>
    <t>Lương</t>
  </si>
  <si>
    <t>Võ Thị Mỹ Ngọc</t>
  </si>
  <si>
    <t>Nghỉ việc từ 01/8/2024</t>
  </si>
  <si>
    <t>QĐ Tuyển dụng từ 01/8/2024</t>
  </si>
  <si>
    <t>HS Lương</t>
  </si>
  <si>
    <t>% Vượt khung</t>
  </si>
  <si>
    <t>PCCV</t>
  </si>
  <si>
    <t>THÁNG 07</t>
  </si>
  <si>
    <t>QĐ Nâng PCTN VK từ 01/9/2024
- Hếtt thời gian BL PCCV từ 01/9/24</t>
  </si>
  <si>
    <t xml:space="preserve">QĐ Nâng PCTN VK từ 01/9/2024
</t>
  </si>
  <si>
    <t>QĐ Nâng PCTN VK từ 01/9/2024</t>
  </si>
  <si>
    <t>QĐ Nâng lương từ 01/9/2024</t>
  </si>
  <si>
    <t>QĐ Nâng PCTN vượt khung từ 01/9/2024</t>
  </si>
  <si>
    <t>Nghỉ hưu từ ngày 01/9/2024</t>
  </si>
  <si>
    <t>GV sử dụng thời gian giảng dạy chưa hợp lý, trao đổi nội dung ngoài chuyên môn gây hiểu lầm cho SV</t>
  </si>
  <si>
    <t>Bỏ lớp không xin phép trong T9:
- Tổng số tiết tạm ngưng: 33 tiết
- Tổng số tiết nghỉ đột xuất: 46 tiết</t>
  </si>
  <si>
    <t>Nghỉ hộ sản hưởng chế độ BHXH đi làm lại từ 9/9/24</t>
  </si>
  <si>
    <t>Nghỉ không hưởng lương từ 01/9/2024 đến hết 31/10/2024</t>
  </si>
  <si>
    <t>Mức lương tối thiểu hệ số 1 = 2.340.000</t>
  </si>
  <si>
    <t>LCB:</t>
  </si>
  <si>
    <t>Số ngày công kế hoạch:</t>
  </si>
  <si>
    <t>BẢNG THU NHẬP TĂNG THÊM - LƯƠNG THEO HỆ SỐ ĐIỀU CHỈNH QUÝ 2 NĂM 2024</t>
  </si>
  <si>
    <t>Giảng viên khoa Ngoại ngữ</t>
  </si>
  <si>
    <t>Giảng viên khoa LLCT</t>
  </si>
  <si>
    <t>NV Phòng Tuyển sinh - Đào tạo</t>
  </si>
  <si>
    <t>Bằng chữ: Bốn tỷ ba trăm lẻ tám triệu ba trăm hai mươi ba ngàn sáu trăm năm mươi hai đồng.</t>
  </si>
  <si>
    <t>Nghỉ HS từ 9/9</t>
  </si>
  <si>
    <t>Tuyển dụng GV Cơ hữu từ T9/24</t>
  </si>
  <si>
    <t>Nghỉ HS từ T8/24</t>
  </si>
  <si>
    <t>TT Đào tạo và Quản lý vật tư thiết bị</t>
  </si>
  <si>
    <t>Giám đốc TT Đào tạo và Quản lý vật tư thiết bị</t>
  </si>
  <si>
    <t>Phó GĐ TT Đào tạo và Quản lý thiết bị</t>
  </si>
  <si>
    <t>NV - TT Đào tạo và Quản lý vật tư thiết bị</t>
  </si>
  <si>
    <t>Thành phố Hồ Chí Minh, ngày 09 tháng 10 năm 2024</t>
  </si>
  <si>
    <t>Quý 3 năm 2024</t>
  </si>
  <si>
    <t xml:space="preserve">NGÀY CÔNG </t>
  </si>
  <si>
    <t>KẾ HOẠCH</t>
  </si>
  <si>
    <t>THỰC HIỆN</t>
  </si>
  <si>
    <t>Số ngày công</t>
  </si>
  <si>
    <t>Kế hoạch</t>
  </si>
  <si>
    <t>Thực hiện</t>
  </si>
  <si>
    <t>Đoàn Thanh Long</t>
  </si>
  <si>
    <t>Phó Trưởng TT Điều hành và QLDL</t>
  </si>
  <si>
    <t>Tuyển dụng từ ngày 01/10/2024</t>
  </si>
  <si>
    <t>Thành phố Hồ Chí Minh, ngày        tháng 11 năm 2024</t>
  </si>
  <si>
    <t>Đi làm trễ 2 tiếng</t>
  </si>
  <si>
    <t>Nghỉ quá số ngày phép quy định</t>
  </si>
  <si>
    <t>HỆ SỐ CHIA THÊM</t>
  </si>
  <si>
    <t>MỨC CHIA THÊM</t>
  </si>
  <si>
    <t>Bằng chữ: Một tỷ tám trăm ba mươi bốn triệu chín trăm bảy mươi chín ngàn sáu trăm hai mươi tám đồng.</t>
  </si>
  <si>
    <t>THÁNG 10 NĂM 2024</t>
  </si>
  <si>
    <t>ĐVT: Đồng</t>
  </si>
  <si>
    <t>Thi đua theo lương  (D1+D2: 130%; D3:70%)</t>
  </si>
  <si>
    <t>LƯƠNG + PHỤ CẤP</t>
  </si>
  <si>
    <t>QĐ BNCDNN từ T9/24. Truy lãnh T9+10</t>
  </si>
  <si>
    <t>BẢNG THU NHẬP TĂNG THÊM - LƯƠNG THEO HỆ SỐ ĐIỀU CHỈNH THÁNG 11 NĂM 2024</t>
  </si>
  <si>
    <t>Thành phố Hồ Chí Minh, ngày 20 tháng 12 năm 2024</t>
  </si>
  <si>
    <t>-GV nộp đề thi trễ nhiều lần và đề làm sai. 
- GV vào lớp trễ  6 phút ngày 22/11/2024</t>
  </si>
  <si>
    <t>THÁNG 11 NĂM 2024</t>
  </si>
  <si>
    <t>KT HIỆU TRƯỞNG</t>
  </si>
  <si>
    <t>Thành phố Hồ Chí Minh, ngày 23 tháng 12 năm 2024</t>
  </si>
  <si>
    <t xml:space="preserve">Bằng chữ: Một tỷ tám trăm bốn mươi lăm triệu sáu trăm ba mươi tám ngàn bảy trăm bốn mươi bốn đồng. </t>
  </si>
  <si>
    <t>Giảng viên khoa Động lực</t>
  </si>
  <si>
    <t>(Chi theo Chương II - "Những quy định cụ thể"/ Mục 2 - "Chi thanh toán cá nhân"/ Điều 17 - "Các khoản thanh toán cá nhân"/ Khoản b - "Thu nhập tăng thêm"
trong Quy chế chi tiêu nội bộ năm 2025 ban hành kèm theo Quyết định số 772/QĐ-LTT-KHTC ngày 21 tháng 11 năm 2024)</t>
  </si>
  <si>
    <t>(Chi theo Chương II - "Những quy định cụ thể"/ Mục 2 - "Chi thanh toán cá nhân"/ Điều 17 - "Các khoản thanh toán cá nhân"/ Khoản b - 
"Thu nhập tăng thêm" trong Quy chế chi tiêu nội bộ năm 2025 ban hành kèm theo Quyết định số 772/QĐ-LTT-KHTC ngày 21 tháng 11 năm 2024)</t>
  </si>
  <si>
    <t>NV Phòng KH-TC</t>
  </si>
  <si>
    <t>Phan Đức Hiếu</t>
  </si>
  <si>
    <t>Q. HIỆU TRƯỞNG</t>
  </si>
  <si>
    <t>TS. Đinh Văn Đệ</t>
  </si>
  <si>
    <t>Nghỉ hộ sản hưởng chế độ BHXH từ 29/4/2025</t>
  </si>
  <si>
    <t>Nghỉ hộ sản hưởng chế độ BHXH từ 01/7/2025</t>
  </si>
  <si>
    <t>Trưởng phòng Tổ chức - Hành chính</t>
  </si>
  <si>
    <t>Phó Trưởng phòng Tổ chức - Hành chính</t>
  </si>
  <si>
    <t>NV Phòng Tổ chức - Hành chính</t>
  </si>
  <si>
    <t>Trưởng phòng Cơ sở vật chất - Dịch vụ</t>
  </si>
  <si>
    <t>Phó trưởng phòng Cơ sở vật chất - Dịch vụ</t>
  </si>
  <si>
    <t>NV Phòng Cơ sở vật chất - Dịch vụ</t>
  </si>
  <si>
    <t>NV Trung tâm Đào tạo - Quan hệ DN - Vật tư thiết bị</t>
  </si>
  <si>
    <t>Phó GĐ Trung tâm Đào tạo - Quan hệ DN - Vật tư thiết bị</t>
  </si>
  <si>
    <t>Tổ trưởng tổ QL KTX phòng Cơ sở VC- DV</t>
  </si>
  <si>
    <t>Tổ trưởng Tổ SC cơ bản Phòng Cơ sở vật chất - Dịch vụ</t>
  </si>
  <si>
    <t>Phó Trưởng phòng Thanh tra Giáo dục - Công tác Sinh viên</t>
  </si>
  <si>
    <t>NV Phòng Thanh tra Giáo dục - Công tác Sinh viên</t>
  </si>
  <si>
    <t>Trưởng phòng Thanh tra Giáo dục - Công tác Sinh viên</t>
  </si>
  <si>
    <t>Phó Trưởng phòng Quản lý đào tạo - Hợp tác quốc tế</t>
  </si>
  <si>
    <t>NV Phòng Quản lý đào tạo - Hợp tác quốc tế</t>
  </si>
  <si>
    <t>Trưởng phòng Đảm bảo chất lượng - Nghiên cứu khoa học</t>
  </si>
  <si>
    <t>Phó Trưởng phòng Đảm bảo chất lượng - Nghiên cứu khoa học</t>
  </si>
  <si>
    <t>NV Phòng Đảm bảo chất lượng - Nghiên cứu khoa học</t>
  </si>
  <si>
    <t>Phó Trưởng khoa Giáo dục đại cương</t>
  </si>
  <si>
    <t>Trưởng khoa Công nghệ thông tin</t>
  </si>
  <si>
    <t>GĐ Trung tâm Đào tạo - Quan hệ DN - Vật tư thiết bị</t>
  </si>
  <si>
    <t>Giảng viên khoa Giáo dục Đại cương</t>
  </si>
  <si>
    <t>Trưởng khoa Giáo dục Đại cương</t>
  </si>
  <si>
    <t>Trưởng khoa Ngoại ngữ</t>
  </si>
  <si>
    <t>Giảng viên khoa Điện - Điện tử</t>
  </si>
  <si>
    <t>Phó phụ trách phòng Quản lý đào tạo - Hợp tác quốc tế</t>
  </si>
  <si>
    <t>NV Bảo vệ - Phòng Tổ chức - Hành chính</t>
  </si>
  <si>
    <t>NV Lái xe - Phòng Tổ chức - Hành chính</t>
  </si>
  <si>
    <t>NV Phục vụ - Phòng Tổ chức - Hành chính</t>
  </si>
  <si>
    <t>Nhân viên phòng Tổ chức - Hành chính</t>
  </si>
  <si>
    <t>Nhân viên phòng Cơ sở vật chất - Dịch vụ</t>
  </si>
  <si>
    <t>NV Phục vụ - Phòng Cơ sở vật chất - Dịch vụ</t>
  </si>
  <si>
    <t>NV Y tế - Phòng Thanh tra giáo dục - Công tác SV</t>
  </si>
  <si>
    <t>Nhân viên TT Đào tạo - Quan hệ doanh nghiệp - vật tư thiết bị</t>
  </si>
  <si>
    <t>Nhân viên phòng Kế hoạch - Tài chính</t>
  </si>
  <si>
    <t>Nhân viên - Phòng Cơ sở vật chất - Dịch vụ</t>
  </si>
  <si>
    <t>Nhân viên phòng Thanh tra giáo dục - Công tác SV</t>
  </si>
  <si>
    <t>NV Phòng Thanh tra Giáo dục - Công tác SV</t>
  </si>
  <si>
    <t>Nhân viên phòng Đảm bảo chất lượng - NCKH</t>
  </si>
  <si>
    <t>Nhân viên phòng Quản lý đào tạo - HTQT</t>
  </si>
  <si>
    <t>Phòng Đảm bảo chất lượng - Nghiên cứu khoa học</t>
  </si>
  <si>
    <t>Khoa Động lực</t>
  </si>
  <si>
    <t>Phòng Thanh tra giáo dục - Công tác sinh viên</t>
  </si>
  <si>
    <t>Phụ trách Tổ BV - Phòng Tổ chức - Hành chính</t>
  </si>
  <si>
    <t xml:space="preserve">Cộng 3 ngày nghỉ chế độ tang; Trừ 2 ngày nghỉ phép </t>
  </si>
  <si>
    <t>MỨC XẾP LOẠI THÁNG 9</t>
  </si>
  <si>
    <t>Mức thưởng theo xếp loại TĐ T9</t>
  </si>
  <si>
    <t>BNCD NN từ 01/8/2025 (TĐ T8: ADN)</t>
  </si>
  <si>
    <t>BẢNG THU NHẬP TĂNG THÊM - LƯƠNG THEO HỆ SỐ ĐIỀU CHỈNH THÁNG 09 NĂM 2025</t>
  </si>
  <si>
    <t>Thành phố Hồ Chí Minh, ngày 09 tháng 10 năm 2025</t>
  </si>
  <si>
    <t>BẢNG THU NHẬP TĂNG THÊM - LƯƠNG THEO MỨC XẾP LOẠI THI ĐUA THÁNG 09 NĂM 2025</t>
  </si>
  <si>
    <t>Trừ 3 ngày nghỉ phép 4+5+6/9</t>
  </si>
  <si>
    <t>Trừ 1 ngày nghỉ phép 13/9</t>
  </si>
  <si>
    <t>Trừ 1 ngày nghỉ phép 15/9</t>
  </si>
  <si>
    <t>Trừ 2 ngày nghỉ phép 13+20/9</t>
  </si>
  <si>
    <t>Trừ 1 ngày nghỉ phép 27/9</t>
  </si>
  <si>
    <t>Trừ 2 ngày nghỉ phép 13+27/9</t>
  </si>
  <si>
    <t>Trừ 3 ngày nghỉ phép 17+18+19/9</t>
  </si>
  <si>
    <t>Trừ 2 ngày nghỉ phép 5+6/9</t>
  </si>
  <si>
    <t>Trừ 1/2 ngày 6/7</t>
  </si>
  <si>
    <t>Bằng chữ: Một tỷ năm trăm bốn mươi triệu không trăm ba mươi bảy ngàn chín trăm bốn mươi tám đồng.</t>
  </si>
  <si>
    <t>Bằng chữ: Hai trăm tám mươi bốn triệu bảy trăm bảy mươi ba ngàn bảy trăm hai mươi lăm đồng.</t>
  </si>
  <si>
    <t>TS. Châu Văn Bảo</t>
  </si>
  <si>
    <t>Cấp bậc/ Chức vụ</t>
  </si>
  <si>
    <t>Kỷ luật khiển trách</t>
  </si>
  <si>
    <t>THÁNG 09 NĂM 2025</t>
  </si>
  <si>
    <t>Nhân viên phòng Thanh tra giáo dục - CTSV</t>
  </si>
  <si>
    <t>Nhân viên TT Đào tạo - QHDN - vật tư thiết bị</t>
  </si>
  <si>
    <t>Phòng Đảm bảo chất lượng - NCKH</t>
  </si>
  <si>
    <t>Nhân viên TT Đào tạo - QHDN - Vật tư thiết bị</t>
  </si>
  <si>
    <t>NV Y tế - Phòng Thanh tra giáo dục - CTSV</t>
  </si>
  <si>
    <t>Bằng chữ: Một tỷ tám trăm hai mươi bốn triệu tám trăm mười một ngàn sáu trăm bảy mươi ba đồng.</t>
  </si>
  <si>
    <t>Vào lớp trễ 25 phút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</si>
</sst>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164" formatCode="_-* #,##0.00\ _€_-;\-* #,##0.00\ _€_-;_-* &quot;-&quot;??\ _€_-;_-@_-"/>
    <numFmt numFmtId="165" formatCode="#,##0;[Red]#,##0"/>
    <numFmt numFmtId="166" formatCode="0.0000"/>
    <numFmt numFmtId="167" formatCode="#,##0.0000"/>
    <numFmt numFmtId="168" formatCode="0.000"/>
    <numFmt numFmtId="169" formatCode="_-* #,##0.00\ [$€-1]_-;\-* #,##0.00\ [$€-1]_-;_-* &quot;-&quot;??\ [$€-1]_-"/>
    <numFmt numFmtId="170" formatCode="\$#,##0\ ;\(\$#,##0\)"/>
    <numFmt numFmtId="171" formatCode="&quot;\&quot;#,##0;[Red]&quot;\&quot;\-#,##0"/>
    <numFmt numFmtId="172" formatCode="&quot;\&quot;#,##0.00;[Red]&quot;\&quot;\-#,##0.00"/>
    <numFmt numFmtId="173" formatCode="&quot;\&quot;#,##0;[Red]&quot;\&quot;&quot;\&quot;\-#,##0"/>
    <numFmt numFmtId="174" formatCode="&quot;\&quot;#,##0.00;[Red]&quot;\&quot;&quot;\&quot;&quot;\&quot;&quot;\&quot;&quot;\&quot;&quot;\&quot;\-#,##0.00"/>
    <numFmt numFmtId="175" formatCode="_-* #,##0\ _€_-;\-* #,##0\ _€_-;_-* &quot;-&quot;??\ _€_-;_-@_-"/>
    <numFmt numFmtId="176" formatCode="#,##0.0"/>
    <numFmt numFmtId="177" formatCode="00000"/>
    <numFmt numFmtId="178" formatCode="_-* #,##0.0\ _€_-;\-* #,##0.0\ _€_-;_-* &quot;-&quot;??\ _€_-;_-@_-"/>
    <numFmt numFmtId="179" formatCode="_-* #,##0.000\ _€_-;\-* #,##0.000\ _€_-;_-* &quot;-&quot;??\ _€_-;_-@_-"/>
    <numFmt numFmtId="180" formatCode="#,##0.000"/>
    <numFmt numFmtId="181" formatCode="\-"/>
    <numFmt numFmtId="182" formatCode="_(* #,##0_);_(* \(#,##0\);_(* &quot;-&quot;???_);_(@_)"/>
    <numFmt numFmtId="183" formatCode="#,##0.0000_);\(#,##0.0000\)"/>
    <numFmt numFmtId="184" formatCode="#,##0.000_);\(#,##0.000\)"/>
    <numFmt numFmtId="185" formatCode="#,##0.0000\ _₫;\-#,##0.0000\ _₫"/>
    <numFmt numFmtId="186" formatCode="_(* #,##0_);_(* \(#,##0\);_(* &quot;-&quot;??_);_(@_)"/>
    <numFmt numFmtId="187" formatCode="#,##0.000\ _₫;\-#,##0.000\ _₫"/>
  </numFmts>
  <fonts count="71">
    <font>
      <sz val="10"/>
      <name val="Arial"/>
    </font>
    <font>
      <sz val="10"/>
      <name val="Arial"/>
      <family val="2"/>
    </font>
    <font>
      <sz val="10"/>
      <name val="Times New Roman"/>
      <family val="1"/>
    </font>
    <font>
      <sz val="12"/>
      <name val="Times New Roman"/>
      <family val="1"/>
    </font>
    <font>
      <b/>
      <sz val="12"/>
      <name val="Times New Roman"/>
      <family val="1"/>
    </font>
    <font>
      <b/>
      <sz val="10"/>
      <name val="Times New Roman"/>
      <family val="1"/>
    </font>
    <font>
      <b/>
      <sz val="8"/>
      <name val="Times New Roman"/>
      <family val="1"/>
    </font>
    <font>
      <sz val="8"/>
      <name val="Times New Roman"/>
      <family val="1"/>
    </font>
    <font>
      <sz val="10"/>
      <name val="Arial"/>
      <family val="2"/>
    </font>
    <font>
      <b/>
      <sz val="11"/>
      <name val="Times New Roman"/>
      <family val="1"/>
    </font>
    <font>
      <sz val="8"/>
      <name val="Arial"/>
      <family val="2"/>
    </font>
    <font>
      <sz val="6"/>
      <name val="Times New Roman"/>
      <family val="1"/>
    </font>
    <font>
      <sz val="11"/>
      <name val="Times New Roman"/>
      <family val="1"/>
    </font>
    <font>
      <b/>
      <i/>
      <sz val="12"/>
      <name val="Times New Roman"/>
      <family val="1"/>
    </font>
    <font>
      <b/>
      <u/>
      <sz val="11"/>
      <name val="Times New Roman"/>
      <family val="1"/>
    </font>
    <font>
      <b/>
      <u/>
      <sz val="12"/>
      <name val="Times New Roman"/>
      <family val="1"/>
    </font>
    <font>
      <b/>
      <sz val="13"/>
      <name val="Times New Roman"/>
      <family val="1"/>
    </font>
    <font>
      <sz val="7"/>
      <name val="Times New Roman"/>
      <family val="1"/>
    </font>
    <font>
      <b/>
      <sz val="11"/>
      <color indexed="9"/>
      <name val="Times New Roman"/>
      <family val="1"/>
    </font>
    <font>
      <b/>
      <sz val="9"/>
      <name val="Times New Roman"/>
      <family val="1"/>
    </font>
    <font>
      <sz val="10"/>
      <color indexed="10"/>
      <name val="Times New Roman"/>
      <family val="1"/>
    </font>
    <font>
      <sz val="11"/>
      <color indexed="10"/>
      <name val="Times New Roman"/>
      <family val="1"/>
    </font>
    <font>
      <sz val="9"/>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3"/>
      <name val="Times New Roman"/>
      <family val="1"/>
    </font>
    <font>
      <i/>
      <sz val="12"/>
      <name val="Times New Roman"/>
      <family val="1"/>
    </font>
    <font>
      <b/>
      <sz val="12"/>
      <color indexed="10"/>
      <name val="Times New Roman"/>
      <family val="1"/>
    </font>
    <font>
      <sz val="10"/>
      <color indexed="8"/>
      <name val="Times New Roman"/>
      <family val="1"/>
    </font>
    <font>
      <sz val="8"/>
      <name val="Arial"/>
      <family val="2"/>
    </font>
    <font>
      <sz val="8"/>
      <color indexed="81"/>
      <name val="Tahoma"/>
      <family val="2"/>
    </font>
    <font>
      <b/>
      <sz val="8"/>
      <color indexed="81"/>
      <name val="Tahoma"/>
      <family val="2"/>
    </font>
    <font>
      <sz val="10"/>
      <color indexed="10"/>
      <name val="Times New Roman"/>
      <family val="1"/>
    </font>
    <font>
      <sz val="12"/>
      <color indexed="10"/>
      <name val="Times New Roman"/>
      <family val="1"/>
    </font>
    <font>
      <sz val="9"/>
      <color indexed="81"/>
      <name val="Tahoma"/>
      <family val="2"/>
    </font>
    <font>
      <b/>
      <sz val="9"/>
      <color indexed="81"/>
      <name val="Tahoma"/>
      <family val="2"/>
    </font>
    <font>
      <sz val="10"/>
      <name val="VNI-Times"/>
    </font>
    <font>
      <b/>
      <sz val="6"/>
      <name val="Times New Roman"/>
      <family val="1"/>
    </font>
    <font>
      <b/>
      <sz val="12"/>
      <color rgb="FFFF0000"/>
      <name val="Times New Roman"/>
      <family val="1"/>
    </font>
    <font>
      <b/>
      <sz val="11"/>
      <color theme="0"/>
      <name val="Times New Roman"/>
      <family val="1"/>
    </font>
    <font>
      <sz val="10"/>
      <name val="Arial"/>
      <family val="2"/>
    </font>
    <font>
      <b/>
      <sz val="16"/>
      <name val="Times New Roman"/>
      <family val="1"/>
    </font>
    <font>
      <sz val="16"/>
      <name val="Times New Roman"/>
      <family val="1"/>
    </font>
    <font>
      <i/>
      <sz val="12"/>
      <color theme="0"/>
      <name val="Times New Roman"/>
      <family val="1"/>
    </font>
    <font>
      <b/>
      <i/>
      <u/>
      <sz val="12"/>
      <color theme="0"/>
      <name val="Times New Roman"/>
      <family val="1"/>
    </font>
    <font>
      <sz val="10"/>
      <color rgb="FFFF0000"/>
      <name val="Times New Roman"/>
      <family val="1"/>
    </font>
    <font>
      <sz val="11"/>
      <color theme="0"/>
      <name val="Times New Roman"/>
      <family val="1"/>
    </font>
    <font>
      <b/>
      <u/>
      <sz val="11"/>
      <color theme="0"/>
      <name val="Times New Roman"/>
      <family val="1"/>
    </font>
    <font>
      <sz val="10"/>
      <color theme="0"/>
      <name val="Times New Roman"/>
      <family val="1"/>
    </font>
    <font>
      <b/>
      <sz val="10"/>
      <color indexed="10"/>
      <name val="Times New Roman"/>
      <family val="1"/>
    </font>
    <font>
      <i/>
      <sz val="11"/>
      <name val="Times New Roman"/>
      <family val="1"/>
    </font>
    <font>
      <sz val="14"/>
      <color theme="1"/>
      <name val="Times New Roman"/>
      <family val="1"/>
    </font>
  </fonts>
  <fills count="5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3"/>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9"/>
        <bgColor indexed="64"/>
      </patternFill>
    </fill>
    <fill>
      <patternFill patternType="solid">
        <fgColor indexed="44"/>
        <bgColor indexed="64"/>
      </patternFill>
    </fill>
    <fill>
      <patternFill patternType="solid">
        <fgColor theme="0"/>
        <bgColor indexed="64"/>
      </patternFill>
    </fill>
    <fill>
      <patternFill patternType="solid">
        <fgColor rgb="FFFFFF99"/>
        <bgColor indexed="64"/>
      </patternFill>
    </fill>
    <fill>
      <patternFill patternType="solid">
        <fgColor theme="6" tint="0.59999389629810485"/>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FFFF"/>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rgb="FF00FF00"/>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dotted">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top/>
      <bottom style="dotted">
        <color indexed="64"/>
      </bottom>
      <diagonal/>
    </border>
    <border>
      <left/>
      <right style="thin">
        <color indexed="64"/>
      </right>
      <top style="thin">
        <color indexed="64"/>
      </top>
      <bottom/>
      <diagonal/>
    </border>
    <border>
      <left/>
      <right/>
      <top style="thin">
        <color indexed="64"/>
      </top>
      <bottom style="dotted">
        <color indexed="64"/>
      </bottom>
      <diagonal/>
    </border>
    <border>
      <left/>
      <right/>
      <top style="dotted">
        <color indexed="64"/>
      </top>
      <bottom style="thin">
        <color indexed="64"/>
      </bottom>
      <diagonal/>
    </border>
  </borders>
  <cellStyleXfs count="61">
    <xf numFmtId="0" fontId="0" fillId="0" borderId="0"/>
    <xf numFmtId="0" fontId="23" fillId="2"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8" borderId="0" applyNumberFormat="0" applyBorder="0" applyAlignment="0" applyProtection="0"/>
    <xf numFmtId="0" fontId="23"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0" fontId="27" fillId="21" borderId="2" applyNumberFormat="0" applyAlignment="0" applyProtection="0"/>
    <xf numFmtId="164" fontId="1" fillId="0" borderId="0" applyFont="0" applyFill="0" applyBorder="0" applyAlignment="0" applyProtection="0"/>
    <xf numFmtId="3" fontId="8" fillId="0" borderId="0" applyFont="0" applyFill="0" applyBorder="0" applyAlignment="0" applyProtection="0"/>
    <xf numFmtId="170" fontId="8" fillId="0" borderId="0" applyFont="0" applyFill="0" applyBorder="0" applyAlignment="0" applyProtection="0"/>
    <xf numFmtId="0" fontId="8" fillId="0" borderId="0" applyFont="0" applyFill="0" applyBorder="0" applyAlignment="0" applyProtection="0"/>
    <xf numFmtId="169" fontId="1" fillId="0" borderId="0" applyFont="0" applyFill="0" applyBorder="0" applyAlignment="0" applyProtection="0"/>
    <xf numFmtId="0" fontId="28" fillId="0" borderId="0" applyNumberFormat="0" applyFill="0" applyBorder="0" applyAlignment="0" applyProtection="0"/>
    <xf numFmtId="2" fontId="8" fillId="0" borderId="0" applyFont="0" applyFill="0" applyBorder="0" applyAlignment="0" applyProtection="0"/>
    <xf numFmtId="0" fontId="29" fillId="4" borderId="0" applyNumberFormat="0" applyBorder="0" applyAlignment="0" applyProtection="0"/>
    <xf numFmtId="0" fontId="30" fillId="0" borderId="3"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0" applyNumberFormat="0" applyFill="0" applyBorder="0" applyAlignment="0" applyProtection="0"/>
    <xf numFmtId="0" fontId="33" fillId="7" borderId="1" applyNumberFormat="0" applyAlignment="0" applyProtection="0"/>
    <xf numFmtId="0" fontId="34" fillId="0" borderId="6" applyNumberFormat="0" applyFill="0" applyAlignment="0" applyProtection="0"/>
    <xf numFmtId="0" fontId="35" fillId="22" borderId="0" applyNumberFormat="0" applyBorder="0" applyAlignment="0" applyProtection="0"/>
    <xf numFmtId="0" fontId="55" fillId="0" borderId="0" applyBorder="0"/>
    <xf numFmtId="0" fontId="8" fillId="23" borderId="7" applyNumberFormat="0" applyFont="0" applyAlignment="0" applyProtection="0"/>
    <xf numFmtId="0" fontId="36" fillId="20" borderId="8" applyNumberFormat="0" applyAlignment="0" applyProtection="0"/>
    <xf numFmtId="0" fontId="37" fillId="0" borderId="0" applyNumberFormat="0" applyFill="0" applyBorder="0" applyAlignment="0" applyProtection="0"/>
    <xf numFmtId="0" fontId="38" fillId="0" borderId="9" applyNumberFormat="0" applyFill="0" applyAlignment="0" applyProtection="0"/>
    <xf numFmtId="0" fontId="39" fillId="0" borderId="0" applyNumberFormat="0" applyFill="0" applyBorder="0" applyAlignment="0" applyProtection="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8" fillId="0" borderId="0" applyFont="0" applyFill="0" applyBorder="0" applyAlignment="0" applyProtection="0"/>
    <xf numFmtId="0" fontId="41" fillId="0" borderId="0"/>
    <xf numFmtId="173" fontId="8" fillId="0" borderId="0" applyFont="0" applyFill="0" applyBorder="0" applyAlignment="0" applyProtection="0"/>
    <xf numFmtId="174" fontId="8" fillId="0" borderId="0" applyFont="0" applyFill="0" applyBorder="0" applyAlignment="0" applyProtection="0"/>
    <xf numFmtId="172" fontId="42" fillId="0" borderId="0" applyFont="0" applyFill="0" applyBorder="0" applyAlignment="0" applyProtection="0"/>
    <xf numFmtId="171" fontId="42" fillId="0" borderId="0" applyFont="0" applyFill="0" applyBorder="0" applyAlignment="0" applyProtection="0"/>
    <xf numFmtId="0" fontId="43" fillId="0" borderId="0"/>
    <xf numFmtId="9" fontId="59" fillId="0" borderId="0" applyFont="0" applyFill="0" applyBorder="0" applyAlignment="0" applyProtection="0"/>
  </cellStyleXfs>
  <cellXfs count="1651">
    <xf numFmtId="0" fontId="0" fillId="0" borderId="0" xfId="0"/>
    <xf numFmtId="0" fontId="2" fillId="0" borderId="0" xfId="0" applyFont="1" applyAlignment="1">
      <alignment horizontal="center"/>
    </xf>
    <xf numFmtId="0" fontId="2" fillId="0" borderId="0" xfId="0" applyFont="1"/>
    <xf numFmtId="0" fontId="2" fillId="0" borderId="0" xfId="0" applyFont="1" applyAlignment="1">
      <alignment horizontal="right"/>
    </xf>
    <xf numFmtId="9" fontId="2" fillId="0" borderId="0" xfId="0" applyNumberFormat="1" applyFont="1" applyAlignment="1">
      <alignment horizontal="center"/>
    </xf>
    <xf numFmtId="0" fontId="4" fillId="0" borderId="0" xfId="0" applyFont="1" applyAlignment="1">
      <alignment horizontal="center"/>
    </xf>
    <xf numFmtId="0" fontId="3" fillId="0" borderId="0" xfId="0" applyFont="1"/>
    <xf numFmtId="0" fontId="5" fillId="0" borderId="0" xfId="0" applyFont="1"/>
    <xf numFmtId="0" fontId="7" fillId="0" borderId="10" xfId="0" applyFont="1" applyBorder="1" applyAlignment="1">
      <alignment horizontal="center" vertical="center" wrapText="1"/>
    </xf>
    <xf numFmtId="0" fontId="11"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2" fillId="0" borderId="12" xfId="0" applyFont="1" applyBorder="1" applyAlignment="1">
      <alignment horizontal="right" vertical="center" wrapText="1"/>
    </xf>
    <xf numFmtId="0" fontId="3" fillId="0" borderId="0" xfId="0" applyFont="1" applyAlignment="1">
      <alignment horizontal="center"/>
    </xf>
    <xf numFmtId="0" fontId="9" fillId="0" borderId="0" xfId="0" applyFont="1" applyAlignment="1">
      <alignment horizontal="center"/>
    </xf>
    <xf numFmtId="0" fontId="9" fillId="0" borderId="0" xfId="0" applyFont="1"/>
    <xf numFmtId="0" fontId="14" fillId="0" borderId="0" xfId="0" applyFont="1"/>
    <xf numFmtId="0" fontId="12" fillId="0" borderId="0" xfId="0" applyFont="1"/>
    <xf numFmtId="0" fontId="12" fillId="0" borderId="0" xfId="0" applyFont="1" applyAlignment="1">
      <alignment horizontal="right"/>
    </xf>
    <xf numFmtId="0" fontId="12" fillId="0" borderId="0" xfId="0" applyFont="1" applyAlignment="1">
      <alignment horizontal="center"/>
    </xf>
    <xf numFmtId="0" fontId="2" fillId="0" borderId="13" xfId="0" applyFont="1" applyBorder="1" applyAlignment="1">
      <alignment horizontal="right" vertical="center" wrapText="1"/>
    </xf>
    <xf numFmtId="0" fontId="2" fillId="0" borderId="11" xfId="0" quotePrefix="1" applyFont="1" applyBorder="1" applyAlignment="1">
      <alignment horizontal="center" vertical="center" wrapText="1"/>
    </xf>
    <xf numFmtId="9" fontId="12" fillId="0" borderId="0" xfId="0" applyNumberFormat="1" applyFont="1" applyAlignment="1">
      <alignment horizontal="center"/>
    </xf>
    <xf numFmtId="0" fontId="7" fillId="0" borderId="14" xfId="0" quotePrefix="1" applyFont="1" applyBorder="1" applyAlignment="1">
      <alignment horizontal="center" vertical="center" wrapText="1"/>
    </xf>
    <xf numFmtId="2" fontId="12" fillId="0" borderId="0" xfId="0" applyNumberFormat="1" applyFont="1" applyAlignment="1">
      <alignment horizontal="right"/>
    </xf>
    <xf numFmtId="2" fontId="2" fillId="0" borderId="0" xfId="0" applyNumberFormat="1" applyFont="1" applyAlignment="1">
      <alignment horizontal="right"/>
    </xf>
    <xf numFmtId="2" fontId="2" fillId="0" borderId="0" xfId="0" applyNumberFormat="1" applyFont="1" applyAlignment="1">
      <alignment horizontal="center"/>
    </xf>
    <xf numFmtId="2" fontId="12" fillId="0" borderId="0" xfId="0" applyNumberFormat="1" applyFont="1" applyAlignment="1">
      <alignment horizontal="center"/>
    </xf>
    <xf numFmtId="0" fontId="5" fillId="0" borderId="0" xfId="0" applyFont="1" applyAlignment="1">
      <alignment horizontal="left"/>
    </xf>
    <xf numFmtId="0" fontId="7" fillId="0" borderId="14" xfId="0" applyFont="1" applyBorder="1" applyAlignment="1">
      <alignment horizontal="center" vertical="center" wrapText="1"/>
    </xf>
    <xf numFmtId="0" fontId="7" fillId="0" borderId="10" xfId="0" quotePrefix="1" applyFont="1" applyBorder="1" applyAlignment="1">
      <alignment horizontal="center" vertical="center" wrapText="1"/>
    </xf>
    <xf numFmtId="0" fontId="12" fillId="0" borderId="11" xfId="0" quotePrefix="1" applyFont="1" applyBorder="1" applyAlignment="1">
      <alignment horizontal="center" vertical="center" wrapText="1"/>
    </xf>
    <xf numFmtId="3" fontId="3" fillId="0" borderId="11" xfId="0" applyNumberFormat="1" applyFont="1" applyBorder="1" applyAlignment="1">
      <alignment horizontal="right" vertical="center" wrapText="1"/>
    </xf>
    <xf numFmtId="3" fontId="3" fillId="0" borderId="15" xfId="0" applyNumberFormat="1" applyFont="1" applyBorder="1" applyAlignment="1">
      <alignment horizontal="right" vertical="center" wrapText="1"/>
    </xf>
    <xf numFmtId="0" fontId="3" fillId="0" borderId="12" xfId="0" applyFont="1" applyBorder="1" applyAlignment="1">
      <alignment vertical="center" wrapText="1"/>
    </xf>
    <xf numFmtId="0" fontId="4" fillId="0" borderId="16" xfId="0" applyFont="1" applyBorder="1" applyAlignment="1">
      <alignment vertical="center" wrapText="1"/>
    </xf>
    <xf numFmtId="0" fontId="3" fillId="0" borderId="15" xfId="0" applyFont="1" applyBorder="1" applyAlignment="1">
      <alignment horizontal="center" vertical="center" wrapText="1"/>
    </xf>
    <xf numFmtId="0" fontId="9" fillId="0" borderId="0" xfId="0" applyFont="1" applyAlignment="1">
      <alignment horizontal="left"/>
    </xf>
    <xf numFmtId="0" fontId="14" fillId="0" borderId="0" xfId="0" applyFont="1" applyAlignment="1">
      <alignment horizontal="right"/>
    </xf>
    <xf numFmtId="0" fontId="2" fillId="0" borderId="15" xfId="0" quotePrefix="1" applyFont="1" applyBorder="1" applyAlignment="1">
      <alignment horizontal="center" vertical="center" wrapText="1"/>
    </xf>
    <xf numFmtId="0" fontId="18" fillId="0" borderId="0" xfId="0" applyFont="1"/>
    <xf numFmtId="0" fontId="7" fillId="24" borderId="14" xfId="0" applyFont="1" applyFill="1" applyBorder="1" applyAlignment="1">
      <alignment horizontal="center" vertical="center" wrapText="1"/>
    </xf>
    <xf numFmtId="2" fontId="7" fillId="24" borderId="14" xfId="0" applyNumberFormat="1" applyFont="1" applyFill="1" applyBorder="1" applyAlignment="1">
      <alignment horizontal="center" vertical="center" wrapText="1"/>
    </xf>
    <xf numFmtId="0" fontId="9" fillId="0" borderId="0" xfId="0" applyFont="1" applyAlignment="1">
      <alignment horizontal="right"/>
    </xf>
    <xf numFmtId="3" fontId="12" fillId="0" borderId="0" xfId="0" applyNumberFormat="1" applyFont="1" applyAlignment="1">
      <alignment horizontal="right"/>
    </xf>
    <xf numFmtId="3" fontId="12" fillId="0" borderId="0" xfId="0" applyNumberFormat="1" applyFont="1" applyAlignment="1">
      <alignment horizontal="center"/>
    </xf>
    <xf numFmtId="0" fontId="3" fillId="0" borderId="11" xfId="0" applyFont="1" applyBorder="1" applyAlignment="1">
      <alignment vertical="center" wrapText="1"/>
    </xf>
    <xf numFmtId="3" fontId="4" fillId="0" borderId="11" xfId="0" applyNumberFormat="1" applyFont="1" applyBorder="1" applyAlignment="1">
      <alignment horizontal="right" vertical="center" wrapText="1"/>
    </xf>
    <xf numFmtId="2" fontId="7" fillId="0" borderId="10" xfId="0" quotePrefix="1" applyNumberFormat="1" applyFont="1" applyBorder="1" applyAlignment="1">
      <alignment horizontal="center" vertical="center" wrapText="1"/>
    </xf>
    <xf numFmtId="3" fontId="5" fillId="0" borderId="17" xfId="0" applyNumberFormat="1" applyFont="1" applyBorder="1" applyAlignment="1">
      <alignment horizontal="right"/>
    </xf>
    <xf numFmtId="0" fontId="3" fillId="0" borderId="18" xfId="0" applyFont="1" applyBorder="1" applyAlignment="1">
      <alignment horizontal="center" vertical="center" wrapText="1"/>
    </xf>
    <xf numFmtId="0" fontId="5" fillId="0" borderId="10" xfId="0" applyFont="1" applyBorder="1" applyAlignment="1">
      <alignment horizontal="center"/>
    </xf>
    <xf numFmtId="0" fontId="5" fillId="0" borderId="10" xfId="0" applyFont="1" applyBorder="1" applyAlignment="1">
      <alignment horizontal="right"/>
    </xf>
    <xf numFmtId="3" fontId="5" fillId="0" borderId="10" xfId="0" applyNumberFormat="1" applyFont="1" applyBorder="1" applyAlignment="1">
      <alignment horizontal="right"/>
    </xf>
    <xf numFmtId="0" fontId="3" fillId="0" borderId="18" xfId="0" applyFont="1" applyBorder="1" applyAlignment="1">
      <alignment vertical="center" wrapText="1"/>
    </xf>
    <xf numFmtId="0" fontId="2" fillId="0" borderId="18" xfId="0" applyFont="1" applyBorder="1" applyAlignment="1">
      <alignment horizontal="center" vertical="center" wrapText="1"/>
    </xf>
    <xf numFmtId="3" fontId="3" fillId="0" borderId="18" xfId="0" applyNumberFormat="1" applyFont="1" applyBorder="1" applyAlignment="1">
      <alignment horizontal="right" vertical="center" wrapText="1"/>
    </xf>
    <xf numFmtId="3" fontId="4" fillId="0" borderId="18" xfId="0" applyNumberFormat="1" applyFont="1" applyBorder="1" applyAlignment="1">
      <alignment horizontal="right" vertical="center" wrapText="1"/>
    </xf>
    <xf numFmtId="2" fontId="3" fillId="0" borderId="18" xfId="0" applyNumberFormat="1" applyFont="1" applyBorder="1" applyAlignment="1">
      <alignment horizontal="center" vertical="center" wrapText="1"/>
    </xf>
    <xf numFmtId="0" fontId="2" fillId="0" borderId="18" xfId="0" quotePrefix="1" applyFont="1" applyBorder="1" applyAlignment="1">
      <alignment horizontal="center" vertical="center" wrapText="1"/>
    </xf>
    <xf numFmtId="0" fontId="3" fillId="0" borderId="19" xfId="0" applyFont="1" applyBorder="1" applyAlignment="1">
      <alignment vertical="center" wrapText="1"/>
    </xf>
    <xf numFmtId="0" fontId="2" fillId="0" borderId="19" xfId="0" applyFont="1" applyBorder="1" applyAlignment="1">
      <alignment horizontal="right" vertical="center" wrapText="1"/>
    </xf>
    <xf numFmtId="0" fontId="3" fillId="0" borderId="13" xfId="0" applyFont="1" applyBorder="1" applyAlignment="1">
      <alignment vertical="center" wrapText="1"/>
    </xf>
    <xf numFmtId="0" fontId="3" fillId="0" borderId="11" xfId="0" applyFont="1" applyBorder="1" applyAlignment="1">
      <alignment horizontal="center" vertical="center"/>
    </xf>
    <xf numFmtId="3" fontId="3" fillId="0" borderId="0" xfId="0" applyNumberFormat="1" applyFont="1" applyAlignment="1">
      <alignment horizontal="center"/>
    </xf>
    <xf numFmtId="0" fontId="7" fillId="24" borderId="10" xfId="0" applyFont="1" applyFill="1" applyBorder="1" applyAlignment="1">
      <alignment horizontal="center" vertical="center" wrapText="1"/>
    </xf>
    <xf numFmtId="9" fontId="7" fillId="24" borderId="10" xfId="0" applyNumberFormat="1" applyFont="1" applyFill="1" applyBorder="1" applyAlignment="1">
      <alignment horizontal="center" vertical="center" wrapText="1"/>
    </xf>
    <xf numFmtId="0" fontId="11" fillId="24" borderId="10" xfId="0" applyFont="1" applyFill="1" applyBorder="1" applyAlignment="1">
      <alignment horizontal="center" vertical="center" wrapText="1"/>
    </xf>
    <xf numFmtId="0" fontId="7" fillId="24" borderId="14" xfId="0" quotePrefix="1" applyFont="1" applyFill="1" applyBorder="1" applyAlignment="1">
      <alignment horizontal="center" vertical="center" wrapText="1"/>
    </xf>
    <xf numFmtId="0" fontId="5" fillId="24" borderId="10" xfId="0" applyFont="1" applyFill="1" applyBorder="1" applyAlignment="1">
      <alignment horizontal="center"/>
    </xf>
    <xf numFmtId="2" fontId="7" fillId="24" borderId="14" xfId="0" quotePrefix="1" applyNumberFormat="1" applyFont="1" applyFill="1" applyBorder="1" applyAlignment="1">
      <alignment horizontal="center" vertical="center" wrapText="1"/>
    </xf>
    <xf numFmtId="3" fontId="5" fillId="24" borderId="10" xfId="0" applyNumberFormat="1" applyFont="1" applyFill="1" applyBorder="1" applyAlignment="1">
      <alignment horizontal="right"/>
    </xf>
    <xf numFmtId="168" fontId="12" fillId="0" borderId="0" xfId="0" applyNumberFormat="1" applyFont="1" applyAlignment="1">
      <alignment horizontal="center"/>
    </xf>
    <xf numFmtId="168" fontId="7" fillId="0" borderId="10" xfId="0" quotePrefix="1" applyNumberFormat="1" applyFont="1" applyBorder="1" applyAlignment="1">
      <alignment horizontal="center" vertical="center" wrapText="1"/>
    </xf>
    <xf numFmtId="168" fontId="2" fillId="0" borderId="0" xfId="0" applyNumberFormat="1" applyFont="1" applyAlignment="1">
      <alignment horizontal="center"/>
    </xf>
    <xf numFmtId="2" fontId="3" fillId="0" borderId="11" xfId="0" applyNumberFormat="1" applyFont="1" applyBorder="1" applyAlignment="1">
      <alignment horizontal="right" vertical="center" wrapText="1"/>
    </xf>
    <xf numFmtId="49" fontId="3" fillId="0" borderId="11"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0" fontId="3" fillId="25" borderId="10" xfId="0" applyFont="1" applyFill="1" applyBorder="1" applyAlignment="1">
      <alignment horizontal="center" vertical="center" wrapText="1"/>
    </xf>
    <xf numFmtId="168" fontId="7" fillId="0" borderId="14" xfId="0" applyNumberFormat="1" applyFont="1" applyBorder="1" applyAlignment="1">
      <alignment horizontal="center" vertical="center" wrapText="1"/>
    </xf>
    <xf numFmtId="168" fontId="2" fillId="0" borderId="0" xfId="0" applyNumberFormat="1" applyFont="1"/>
    <xf numFmtId="168" fontId="12" fillId="0" borderId="0" xfId="0" applyNumberFormat="1" applyFont="1"/>
    <xf numFmtId="0" fontId="2" fillId="0" borderId="11" xfId="0" applyFont="1" applyBorder="1" applyAlignment="1">
      <alignment horizontal="center" vertical="center" wrapText="1"/>
    </xf>
    <xf numFmtId="168" fontId="3" fillId="0" borderId="11" xfId="0" applyNumberFormat="1" applyFont="1" applyBorder="1" applyAlignment="1">
      <alignment horizontal="center" vertical="center" wrapText="1"/>
    </xf>
    <xf numFmtId="2" fontId="3" fillId="0" borderId="11" xfId="0" applyNumberFormat="1" applyFont="1" applyBorder="1" applyAlignment="1">
      <alignment horizontal="center" vertical="center" wrapText="1"/>
    </xf>
    <xf numFmtId="0" fontId="2" fillId="0" borderId="15" xfId="0" applyFont="1" applyBorder="1" applyAlignment="1">
      <alignment horizontal="center" vertical="center" wrapText="1"/>
    </xf>
    <xf numFmtId="49" fontId="4" fillId="0" borderId="11" xfId="0" applyNumberFormat="1" applyFont="1" applyBorder="1" applyAlignment="1">
      <alignment horizontal="center" vertical="center" wrapText="1"/>
    </xf>
    <xf numFmtId="0" fontId="15" fillId="0" borderId="0" xfId="0" applyFont="1"/>
    <xf numFmtId="0" fontId="4" fillId="0" borderId="0" xfId="0" applyFont="1"/>
    <xf numFmtId="0" fontId="3" fillId="0" borderId="10" xfId="0" applyFont="1" applyBorder="1" applyAlignment="1">
      <alignment horizontal="center" vertical="center" wrapText="1"/>
    </xf>
    <xf numFmtId="14" fontId="3" fillId="0" borderId="11" xfId="0" applyNumberFormat="1" applyFont="1" applyBorder="1" applyAlignment="1">
      <alignment horizontal="center" vertical="center"/>
    </xf>
    <xf numFmtId="2" fontId="17" fillId="0" borderId="14" xfId="0" applyNumberFormat="1" applyFont="1" applyBorder="1" applyAlignment="1">
      <alignment horizontal="center" vertical="center" wrapText="1"/>
    </xf>
    <xf numFmtId="14" fontId="3" fillId="0" borderId="18" xfId="0" applyNumberFormat="1" applyFont="1" applyBorder="1" applyAlignment="1">
      <alignment horizontal="center" vertical="center" wrapText="1"/>
    </xf>
    <xf numFmtId="0" fontId="19" fillId="0" borderId="16" xfId="0" applyFont="1" applyBorder="1" applyAlignment="1">
      <alignment vertical="center" wrapText="1"/>
    </xf>
    <xf numFmtId="0" fontId="17" fillId="0" borderId="14" xfId="0" applyFont="1" applyBorder="1" applyAlignment="1">
      <alignment horizontal="center" vertical="center" wrapText="1"/>
    </xf>
    <xf numFmtId="0" fontId="2" fillId="0" borderId="0" xfId="0" applyFont="1" applyAlignment="1">
      <alignment horizontal="left"/>
    </xf>
    <xf numFmtId="168" fontId="3" fillId="0" borderId="0" xfId="0" applyNumberFormat="1" applyFont="1" applyAlignment="1">
      <alignment horizontal="center"/>
    </xf>
    <xf numFmtId="0" fontId="2" fillId="0" borderId="0" xfId="0" applyFont="1" applyAlignment="1">
      <alignment horizontal="center" vertical="top"/>
    </xf>
    <xf numFmtId="3" fontId="2" fillId="0" borderId="0" xfId="0" applyNumberFormat="1" applyFont="1" applyAlignment="1">
      <alignment horizontal="center" vertical="top"/>
    </xf>
    <xf numFmtId="0" fontId="5" fillId="0" borderId="0" xfId="0" applyFont="1" applyAlignment="1">
      <alignment horizontal="center" vertical="top"/>
    </xf>
    <xf numFmtId="0" fontId="21" fillId="0" borderId="0" xfId="0" applyFont="1" applyAlignment="1">
      <alignment horizontal="left"/>
    </xf>
    <xf numFmtId="168" fontId="3" fillId="0" borderId="11" xfId="0" applyNumberFormat="1" applyFont="1" applyBorder="1" applyAlignment="1">
      <alignment horizontal="right" vertical="center" wrapText="1"/>
    </xf>
    <xf numFmtId="2" fontId="3" fillId="0" borderId="18" xfId="0" applyNumberFormat="1" applyFont="1" applyBorder="1" applyAlignment="1">
      <alignment horizontal="right" vertical="center" wrapText="1"/>
    </xf>
    <xf numFmtId="1" fontId="3" fillId="0" borderId="11" xfId="0" applyNumberFormat="1" applyFont="1" applyBorder="1" applyAlignment="1">
      <alignment horizontal="center" vertical="center" wrapText="1"/>
    </xf>
    <xf numFmtId="166" fontId="3" fillId="0" borderId="11" xfId="0" applyNumberFormat="1" applyFont="1" applyBorder="1" applyAlignment="1">
      <alignment horizontal="right" vertical="center" wrapText="1"/>
    </xf>
    <xf numFmtId="2" fontId="2" fillId="0" borderId="0" xfId="0" applyNumberFormat="1" applyFont="1"/>
    <xf numFmtId="0" fontId="5" fillId="0" borderId="20" xfId="0" applyFont="1" applyBorder="1" applyAlignment="1">
      <alignment horizontal="center"/>
    </xf>
    <xf numFmtId="3" fontId="12" fillId="0" borderId="0" xfId="0" applyNumberFormat="1" applyFont="1"/>
    <xf numFmtId="0" fontId="44" fillId="0" borderId="0" xfId="0" applyFont="1"/>
    <xf numFmtId="0" fontId="2" fillId="0" borderId="0" xfId="0" applyFont="1" applyAlignment="1">
      <alignment vertical="center" wrapText="1"/>
    </xf>
    <xf numFmtId="9" fontId="2" fillId="0" borderId="0" xfId="0" applyNumberFormat="1" applyFont="1"/>
    <xf numFmtId="0" fontId="5" fillId="0" borderId="21" xfId="0" applyFont="1" applyBorder="1" applyAlignment="1">
      <alignment horizontal="center"/>
    </xf>
    <xf numFmtId="0" fontId="7" fillId="0" borderId="0" xfId="0" applyFont="1" applyAlignment="1">
      <alignment vertical="center" wrapText="1"/>
    </xf>
    <xf numFmtId="0" fontId="22" fillId="0" borderId="16" xfId="0" applyFont="1" applyBorder="1" applyAlignment="1">
      <alignment vertical="center" wrapText="1"/>
    </xf>
    <xf numFmtId="14" fontId="3" fillId="0" borderId="11" xfId="0" applyNumberFormat="1" applyFont="1" applyBorder="1" applyAlignment="1">
      <alignment horizontal="center" vertical="center" wrapText="1"/>
    </xf>
    <xf numFmtId="2" fontId="3" fillId="0" borderId="15" xfId="0" applyNumberFormat="1" applyFont="1" applyBorder="1" applyAlignment="1">
      <alignment horizontal="right" vertical="center" wrapText="1"/>
    </xf>
    <xf numFmtId="0" fontId="9" fillId="0" borderId="17" xfId="0" applyFont="1" applyBorder="1" applyAlignment="1">
      <alignment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7" xfId="0" applyFont="1" applyBorder="1" applyAlignment="1">
      <alignment horizontal="right" vertical="center" wrapText="1"/>
    </xf>
    <xf numFmtId="168" fontId="9" fillId="0" borderId="17" xfId="0" applyNumberFormat="1" applyFont="1" applyBorder="1" applyAlignment="1">
      <alignment horizontal="right" vertical="center" wrapText="1"/>
    </xf>
    <xf numFmtId="3" fontId="9" fillId="0" borderId="17" xfId="0" applyNumberFormat="1" applyFont="1" applyBorder="1" applyAlignment="1">
      <alignment horizontal="right" vertical="center" wrapText="1"/>
    </xf>
    <xf numFmtId="3" fontId="9" fillId="0" borderId="17" xfId="0" applyNumberFormat="1" applyFont="1" applyBorder="1" applyAlignment="1">
      <alignment vertical="center" wrapText="1"/>
    </xf>
    <xf numFmtId="0" fontId="9" fillId="0" borderId="22" xfId="0" applyFont="1" applyBorder="1" applyAlignment="1">
      <alignment horizontal="right" vertical="center" wrapText="1"/>
    </xf>
    <xf numFmtId="0" fontId="9" fillId="0" borderId="0" xfId="0" applyFont="1" applyAlignment="1">
      <alignment vertical="center" wrapText="1"/>
    </xf>
    <xf numFmtId="0" fontId="2" fillId="0" borderId="16" xfId="0" applyFont="1" applyBorder="1" applyAlignment="1">
      <alignment horizontal="left" vertical="center" wrapText="1"/>
    </xf>
    <xf numFmtId="0" fontId="22" fillId="0" borderId="16" xfId="0" applyFont="1" applyBorder="1" applyAlignment="1">
      <alignment horizontal="left" vertical="center" wrapText="1"/>
    </xf>
    <xf numFmtId="0" fontId="22" fillId="0" borderId="16" xfId="0" applyFont="1" applyBorder="1" applyAlignment="1">
      <alignment vertical="center"/>
    </xf>
    <xf numFmtId="0" fontId="4" fillId="0" borderId="23" xfId="0" applyFont="1" applyBorder="1" applyAlignment="1">
      <alignment horizontal="center"/>
    </xf>
    <xf numFmtId="2" fontId="13" fillId="0" borderId="17" xfId="0" applyNumberFormat="1" applyFont="1" applyBorder="1" applyAlignment="1">
      <alignment horizontal="center"/>
    </xf>
    <xf numFmtId="0" fontId="45" fillId="0" borderId="0" xfId="0" applyFont="1" applyAlignment="1">
      <alignment horizontal="center"/>
    </xf>
    <xf numFmtId="166" fontId="12" fillId="0" borderId="0" xfId="0" applyNumberFormat="1" applyFont="1" applyAlignment="1">
      <alignment horizontal="right"/>
    </xf>
    <xf numFmtId="166" fontId="2" fillId="0" borderId="0" xfId="0" applyNumberFormat="1" applyFont="1" applyAlignment="1">
      <alignment horizontal="right"/>
    </xf>
    <xf numFmtId="166" fontId="11" fillId="0" borderId="14" xfId="0" applyNumberFormat="1" applyFont="1" applyBorder="1" applyAlignment="1">
      <alignment horizontal="center" vertical="center" wrapText="1"/>
    </xf>
    <xf numFmtId="166" fontId="11" fillId="0" borderId="10" xfId="0" quotePrefix="1" applyNumberFormat="1" applyFont="1" applyBorder="1" applyAlignment="1">
      <alignment horizontal="center" vertical="center" wrapText="1"/>
    </xf>
    <xf numFmtId="166" fontId="3" fillId="0" borderId="11" xfId="0" applyNumberFormat="1" applyFont="1" applyBorder="1" applyAlignment="1">
      <alignment horizontal="center" vertical="center" wrapText="1"/>
    </xf>
    <xf numFmtId="0" fontId="3" fillId="0" borderId="17" xfId="0" quotePrefix="1" applyFont="1" applyBorder="1" applyAlignment="1">
      <alignment horizontal="center" vertical="center" wrapText="1"/>
    </xf>
    <xf numFmtId="166" fontId="2" fillId="0" borderId="0" xfId="0" applyNumberFormat="1" applyFont="1" applyAlignment="1">
      <alignment horizontal="center"/>
    </xf>
    <xf numFmtId="166" fontId="9" fillId="0" borderId="0" xfId="0" applyNumberFormat="1" applyFont="1" applyAlignment="1">
      <alignment horizontal="center"/>
    </xf>
    <xf numFmtId="166" fontId="12" fillId="0" borderId="0" xfId="0" applyNumberFormat="1" applyFont="1" applyAlignment="1">
      <alignment horizontal="center"/>
    </xf>
    <xf numFmtId="166" fontId="2" fillId="0" borderId="0" xfId="0" applyNumberFormat="1" applyFont="1"/>
    <xf numFmtId="3" fontId="2" fillId="0" borderId="0" xfId="0" applyNumberFormat="1" applyFont="1" applyAlignment="1">
      <alignment vertical="center" wrapText="1"/>
    </xf>
    <xf numFmtId="0" fontId="2" fillId="0" borderId="0" xfId="0" applyFont="1" applyAlignment="1">
      <alignment horizontal="left" vertical="center"/>
    </xf>
    <xf numFmtId="0" fontId="3" fillId="0" borderId="24" xfId="0" applyFont="1" applyBorder="1" applyAlignment="1">
      <alignment vertical="center" wrapText="1"/>
    </xf>
    <xf numFmtId="14" fontId="3" fillId="0" borderId="16"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0" fontId="3" fillId="0" borderId="25" xfId="0" applyFont="1" applyBorder="1" applyAlignment="1">
      <alignment horizontal="center" vertical="center" wrapText="1"/>
    </xf>
    <xf numFmtId="3" fontId="3" fillId="0" borderId="25" xfId="0" applyNumberFormat="1" applyFont="1" applyBorder="1" applyAlignment="1">
      <alignment horizontal="right" vertical="center" wrapText="1"/>
    </xf>
    <xf numFmtId="3" fontId="4" fillId="0" borderId="25" xfId="0" applyNumberFormat="1" applyFont="1" applyBorder="1" applyAlignment="1">
      <alignment horizontal="right" vertical="center" wrapText="1"/>
    </xf>
    <xf numFmtId="0" fontId="46" fillId="0" borderId="16" xfId="0" applyFont="1" applyBorder="1" applyAlignment="1">
      <alignment vertical="center" wrapText="1"/>
    </xf>
    <xf numFmtId="0" fontId="9" fillId="0" borderId="26" xfId="0" applyFont="1" applyBorder="1" applyAlignment="1">
      <alignment horizontal="center" vertical="center" wrapText="1"/>
    </xf>
    <xf numFmtId="175" fontId="2" fillId="0" borderId="0" xfId="28" applyNumberFormat="1" applyFont="1" applyFill="1"/>
    <xf numFmtId="175" fontId="12" fillId="0" borderId="0" xfId="28" applyNumberFormat="1" applyFont="1" applyFill="1"/>
    <xf numFmtId="175" fontId="7" fillId="0" borderId="0" xfId="28" applyNumberFormat="1" applyFont="1" applyFill="1" applyBorder="1" applyAlignment="1">
      <alignment vertical="center" wrapText="1"/>
    </xf>
    <xf numFmtId="175" fontId="2" fillId="0" borderId="0" xfId="28" applyNumberFormat="1" applyFont="1" applyFill="1" applyBorder="1" applyAlignment="1">
      <alignment vertical="center" wrapText="1"/>
    </xf>
    <xf numFmtId="175" fontId="2" fillId="0" borderId="0" xfId="28" applyNumberFormat="1" applyFont="1" applyFill="1" applyAlignment="1">
      <alignment vertical="center" wrapText="1"/>
    </xf>
    <xf numFmtId="175" fontId="9" fillId="0" borderId="0" xfId="28" applyNumberFormat="1" applyFont="1" applyFill="1" applyAlignment="1">
      <alignment vertical="center" wrapText="1"/>
    </xf>
    <xf numFmtId="9" fontId="2" fillId="0" borderId="11" xfId="0" applyNumberFormat="1" applyFont="1" applyBorder="1" applyAlignment="1">
      <alignment horizontal="center" vertical="center" wrapText="1"/>
    </xf>
    <xf numFmtId="165" fontId="2" fillId="0" borderId="11" xfId="0" applyNumberFormat="1" applyFont="1" applyBorder="1" applyAlignment="1">
      <alignment horizontal="center" vertical="center" wrapText="1"/>
    </xf>
    <xf numFmtId="0" fontId="2" fillId="0" borderId="16" xfId="0" applyFont="1" applyBorder="1" applyAlignment="1">
      <alignment horizontal="left"/>
    </xf>
    <xf numFmtId="0" fontId="20" fillId="0" borderId="11" xfId="0" applyFont="1" applyBorder="1" applyAlignment="1">
      <alignment horizontal="center" vertical="center" wrapText="1"/>
    </xf>
    <xf numFmtId="2" fontId="2" fillId="0" borderId="11" xfId="0" applyNumberFormat="1" applyFont="1" applyBorder="1" applyAlignment="1">
      <alignment horizontal="center" vertical="center" wrapText="1"/>
    </xf>
    <xf numFmtId="2" fontId="3" fillId="0" borderId="11" xfId="0" applyNumberFormat="1" applyFont="1" applyBorder="1" applyAlignment="1">
      <alignment horizontal="center" vertical="center"/>
    </xf>
    <xf numFmtId="0" fontId="6" fillId="0" borderId="16" xfId="0" applyFont="1" applyBorder="1" applyAlignment="1">
      <alignment vertical="center" wrapText="1"/>
    </xf>
    <xf numFmtId="3" fontId="4" fillId="0" borderId="10" xfId="0" applyNumberFormat="1" applyFont="1" applyBorder="1" applyAlignment="1">
      <alignment horizontal="right"/>
    </xf>
    <xf numFmtId="175" fontId="2" fillId="0" borderId="0" xfId="28" quotePrefix="1" applyNumberFormat="1" applyFont="1" applyFill="1" applyAlignment="1">
      <alignment vertical="center" wrapText="1"/>
    </xf>
    <xf numFmtId="0" fontId="4" fillId="0" borderId="27" xfId="0" applyFont="1" applyBorder="1" applyAlignment="1">
      <alignment vertical="center" wrapText="1"/>
    </xf>
    <xf numFmtId="49" fontId="3" fillId="0" borderId="11" xfId="0" quotePrefix="1" applyNumberFormat="1" applyFont="1" applyBorder="1" applyAlignment="1">
      <alignment horizontal="center" vertical="center" wrapText="1"/>
    </xf>
    <xf numFmtId="0" fontId="2" fillId="0" borderId="18" xfId="0" applyFont="1" applyBorder="1" applyAlignment="1">
      <alignment vertical="center" wrapText="1"/>
    </xf>
    <xf numFmtId="165" fontId="3" fillId="0" borderId="18" xfId="0" applyNumberFormat="1" applyFont="1" applyBorder="1" applyAlignment="1">
      <alignment horizontal="center" vertical="center" wrapText="1"/>
    </xf>
    <xf numFmtId="167" fontId="3" fillId="0" borderId="18" xfId="0" applyNumberFormat="1" applyFont="1" applyBorder="1" applyAlignment="1">
      <alignment horizontal="right" vertical="center" wrapText="1"/>
    </xf>
    <xf numFmtId="0" fontId="22" fillId="0" borderId="27" xfId="0" applyFont="1" applyBorder="1" applyAlignment="1">
      <alignment vertical="center" wrapText="1"/>
    </xf>
    <xf numFmtId="0" fontId="2" fillId="0" borderId="11" xfId="0" applyFont="1" applyBorder="1" applyAlignment="1">
      <alignment vertical="center" wrapText="1"/>
    </xf>
    <xf numFmtId="165" fontId="3" fillId="0" borderId="11" xfId="0" applyNumberFormat="1" applyFont="1" applyBorder="1" applyAlignment="1">
      <alignment horizontal="center" vertical="center" wrapText="1"/>
    </xf>
    <xf numFmtId="167" fontId="3" fillId="0" borderId="11" xfId="0" applyNumberFormat="1" applyFont="1" applyBorder="1" applyAlignment="1">
      <alignment horizontal="right" vertical="center" wrapText="1"/>
    </xf>
    <xf numFmtId="165" fontId="3" fillId="0" borderId="15" xfId="0" applyNumberFormat="1" applyFont="1" applyBorder="1" applyAlignment="1">
      <alignment horizontal="center" vertical="center" wrapText="1"/>
    </xf>
    <xf numFmtId="0" fontId="46" fillId="0" borderId="27" xfId="0" applyFont="1" applyBorder="1" applyAlignment="1">
      <alignment vertical="center" wrapText="1"/>
    </xf>
    <xf numFmtId="0" fontId="3" fillId="0" borderId="18" xfId="0" applyFont="1" applyBorder="1" applyAlignment="1">
      <alignment horizontal="center" vertical="center"/>
    </xf>
    <xf numFmtId="168" fontId="9" fillId="0" borderId="0" xfId="0" applyNumberFormat="1" applyFont="1"/>
    <xf numFmtId="168" fontId="5" fillId="0" borderId="0" xfId="0" applyNumberFormat="1" applyFont="1"/>
    <xf numFmtId="9" fontId="7" fillId="0" borderId="10" xfId="0" applyNumberFormat="1" applyFont="1" applyBorder="1" applyAlignment="1">
      <alignment horizontal="center" vertical="center" wrapText="1"/>
    </xf>
    <xf numFmtId="168" fontId="17" fillId="0" borderId="14" xfId="0" applyNumberFormat="1" applyFont="1" applyBorder="1" applyAlignment="1">
      <alignment horizontal="center" vertical="center" wrapText="1"/>
    </xf>
    <xf numFmtId="168" fontId="3" fillId="0" borderId="18" xfId="0" applyNumberFormat="1" applyFont="1" applyBorder="1" applyAlignment="1">
      <alignment horizontal="right" vertical="center" wrapText="1"/>
    </xf>
    <xf numFmtId="1" fontId="3" fillId="0" borderId="16" xfId="0" applyNumberFormat="1" applyFont="1" applyBorder="1" applyAlignment="1">
      <alignment horizontal="center" vertical="center" wrapText="1"/>
    </xf>
    <xf numFmtId="0" fontId="3" fillId="24" borderId="11" xfId="0" applyFont="1" applyFill="1" applyBorder="1" applyAlignment="1">
      <alignment horizontal="center" vertical="center" wrapText="1"/>
    </xf>
    <xf numFmtId="175" fontId="2" fillId="0" borderId="28" xfId="28" applyNumberFormat="1" applyFont="1" applyFill="1" applyBorder="1" applyAlignment="1">
      <alignment vertical="center" wrapText="1"/>
    </xf>
    <xf numFmtId="175" fontId="2" fillId="0" borderId="29" xfId="28" applyNumberFormat="1" applyFont="1" applyFill="1" applyBorder="1" applyAlignment="1">
      <alignment vertical="center" wrapText="1"/>
    </xf>
    <xf numFmtId="0" fontId="14" fillId="0" borderId="0" xfId="0" applyFont="1" applyAlignment="1">
      <alignment horizontal="center"/>
    </xf>
    <xf numFmtId="0" fontId="5" fillId="0" borderId="0" xfId="0" applyFont="1" applyAlignment="1">
      <alignment horizontal="center"/>
    </xf>
    <xf numFmtId="3" fontId="4" fillId="0" borderId="10" xfId="0" applyNumberFormat="1" applyFont="1" applyBorder="1" applyAlignment="1">
      <alignment horizontal="right" vertical="center" wrapText="1"/>
    </xf>
    <xf numFmtId="1" fontId="13" fillId="0" borderId="10" xfId="0" applyNumberFormat="1" applyFont="1" applyBorder="1" applyAlignment="1">
      <alignment horizontal="center"/>
    </xf>
    <xf numFmtId="1" fontId="4" fillId="0" borderId="11" xfId="0" quotePrefix="1" applyNumberFormat="1" applyFont="1" applyBorder="1" applyAlignment="1">
      <alignment horizontal="center" vertical="center"/>
    </xf>
    <xf numFmtId="1" fontId="4" fillId="0" borderId="12" xfId="0" quotePrefix="1" applyNumberFormat="1" applyFont="1" applyBorder="1" applyAlignment="1">
      <alignment horizontal="center" vertical="center"/>
    </xf>
    <xf numFmtId="175" fontId="2" fillId="0" borderId="0" xfId="0" applyNumberFormat="1" applyFont="1" applyAlignment="1">
      <alignment vertical="center" wrapText="1"/>
    </xf>
    <xf numFmtId="1" fontId="3" fillId="0" borderId="11" xfId="0" quotePrefix="1" applyNumberFormat="1" applyFont="1" applyBorder="1" applyAlignment="1">
      <alignment horizontal="center" vertical="center"/>
    </xf>
    <xf numFmtId="1" fontId="3" fillId="0" borderId="11" xfId="0" applyNumberFormat="1" applyFont="1" applyBorder="1" applyAlignment="1">
      <alignment horizontal="center" vertical="center"/>
    </xf>
    <xf numFmtId="0" fontId="2" fillId="0" borderId="12" xfId="0" quotePrefix="1" applyFont="1" applyBorder="1" applyAlignment="1">
      <alignment horizontal="right" vertical="center" wrapText="1"/>
    </xf>
    <xf numFmtId="0" fontId="12" fillId="0" borderId="11" xfId="0" applyFont="1" applyBorder="1" applyAlignment="1">
      <alignment horizontal="center" vertical="center"/>
    </xf>
    <xf numFmtId="49" fontId="4" fillId="0" borderId="12" xfId="0" applyNumberFormat="1" applyFont="1" applyBorder="1" applyAlignment="1">
      <alignment horizontal="center" vertical="center" wrapText="1"/>
    </xf>
    <xf numFmtId="1" fontId="4" fillId="0" borderId="12" xfId="0" applyNumberFormat="1" applyFont="1" applyBorder="1" applyAlignment="1">
      <alignment horizontal="center" vertical="center"/>
    </xf>
    <xf numFmtId="9" fontId="22" fillId="0" borderId="11" xfId="0" applyNumberFormat="1" applyFont="1" applyBorder="1" applyAlignment="1">
      <alignment horizontal="center" vertical="center" wrapText="1"/>
    </xf>
    <xf numFmtId="1" fontId="4" fillId="0" borderId="16" xfId="0" quotePrefix="1" applyNumberFormat="1" applyFont="1" applyBorder="1" applyAlignment="1">
      <alignment horizontal="center" vertical="center"/>
    </xf>
    <xf numFmtId="0" fontId="7" fillId="0" borderId="0" xfId="0" applyFont="1" applyAlignment="1">
      <alignment horizontal="right"/>
    </xf>
    <xf numFmtId="0" fontId="9" fillId="0" borderId="22" xfId="0" applyFont="1" applyBorder="1" applyAlignment="1">
      <alignment vertical="center" wrapText="1"/>
    </xf>
    <xf numFmtId="0" fontId="4" fillId="0" borderId="30" xfId="0" applyFont="1" applyBorder="1" applyAlignment="1">
      <alignment vertical="center" wrapText="1"/>
    </xf>
    <xf numFmtId="0" fontId="12" fillId="0" borderId="15" xfId="0" applyFont="1" applyBorder="1" applyAlignment="1">
      <alignment horizontal="center" vertical="center"/>
    </xf>
    <xf numFmtId="49" fontId="4" fillId="0" borderId="13"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168" fontId="3" fillId="0" borderId="15" xfId="0" applyNumberFormat="1" applyFont="1" applyBorder="1" applyAlignment="1">
      <alignment horizontal="center" vertical="center" wrapText="1"/>
    </xf>
    <xf numFmtId="165" fontId="2" fillId="0" borderId="15" xfId="0" applyNumberFormat="1" applyFont="1" applyBorder="1" applyAlignment="1">
      <alignment horizontal="center" vertical="center" wrapText="1"/>
    </xf>
    <xf numFmtId="166" fontId="3" fillId="0" borderId="15" xfId="0" applyNumberFormat="1" applyFont="1" applyBorder="1" applyAlignment="1">
      <alignment horizontal="right" vertical="center" wrapText="1"/>
    </xf>
    <xf numFmtId="3" fontId="4" fillId="0" borderId="15" xfId="0" applyNumberFormat="1" applyFont="1" applyBorder="1" applyAlignment="1">
      <alignment horizontal="right" vertical="center" wrapText="1"/>
    </xf>
    <xf numFmtId="0" fontId="22" fillId="0" borderId="30" xfId="0" applyFont="1" applyBorder="1" applyAlignment="1">
      <alignment vertical="center" wrapText="1"/>
    </xf>
    <xf numFmtId="177" fontId="3" fillId="0" borderId="11" xfId="0" quotePrefix="1" applyNumberFormat="1" applyFont="1" applyBorder="1" applyAlignment="1">
      <alignment horizontal="center" vertical="center" wrapText="1"/>
    </xf>
    <xf numFmtId="14" fontId="3" fillId="0" borderId="15" xfId="0" applyNumberFormat="1" applyFont="1" applyBorder="1" applyAlignment="1">
      <alignment horizontal="center" vertical="center" wrapText="1"/>
    </xf>
    <xf numFmtId="177" fontId="3" fillId="0" borderId="15" xfId="0" quotePrefix="1" applyNumberFormat="1" applyFont="1" applyBorder="1" applyAlignment="1">
      <alignment horizontal="center" vertical="center" wrapText="1"/>
    </xf>
    <xf numFmtId="0" fontId="3" fillId="0" borderId="15" xfId="0" applyFont="1" applyBorder="1" applyAlignment="1">
      <alignment vertical="center" wrapText="1"/>
    </xf>
    <xf numFmtId="168" fontId="3" fillId="0" borderId="15" xfId="0" applyNumberFormat="1" applyFont="1" applyBorder="1" applyAlignment="1">
      <alignment horizontal="right" vertical="center" wrapText="1"/>
    </xf>
    <xf numFmtId="0" fontId="2" fillId="0" borderId="30" xfId="0" applyFont="1" applyBorder="1" applyAlignment="1">
      <alignment horizontal="left" vertical="center" wrapText="1"/>
    </xf>
    <xf numFmtId="3" fontId="2" fillId="0" borderId="0" xfId="0" applyNumberFormat="1" applyFont="1"/>
    <xf numFmtId="9" fontId="7" fillId="24" borderId="14" xfId="0" applyNumberFormat="1" applyFont="1" applyFill="1" applyBorder="1" applyAlignment="1">
      <alignment horizontal="center" vertical="center" wrapText="1"/>
    </xf>
    <xf numFmtId="9" fontId="2" fillId="24" borderId="11" xfId="0" applyNumberFormat="1" applyFont="1" applyFill="1" applyBorder="1" applyAlignment="1">
      <alignment horizontal="center" vertical="center" wrapText="1"/>
    </xf>
    <xf numFmtId="9" fontId="5" fillId="0" borderId="0" xfId="0" applyNumberFormat="1" applyFont="1" applyAlignment="1">
      <alignment horizontal="center"/>
    </xf>
    <xf numFmtId="2" fontId="3" fillId="24" borderId="11" xfId="0" applyNumberFormat="1" applyFont="1" applyFill="1" applyBorder="1" applyAlignment="1">
      <alignment horizontal="center" vertical="center" wrapText="1"/>
    </xf>
    <xf numFmtId="178" fontId="9" fillId="0" borderId="17" xfId="28" applyNumberFormat="1" applyFont="1" applyFill="1" applyBorder="1" applyAlignment="1">
      <alignment horizontal="center" vertical="center" wrapText="1"/>
    </xf>
    <xf numFmtId="168" fontId="9" fillId="0" borderId="0" xfId="0" applyNumberFormat="1" applyFont="1" applyAlignment="1">
      <alignment horizontal="center"/>
    </xf>
    <xf numFmtId="175" fontId="2" fillId="26" borderId="0" xfId="28" applyNumberFormat="1" applyFont="1" applyFill="1" applyAlignment="1">
      <alignment vertical="center" wrapText="1"/>
    </xf>
    <xf numFmtId="0" fontId="3" fillId="27" borderId="12" xfId="0" applyFont="1" applyFill="1" applyBorder="1" applyAlignment="1">
      <alignment vertical="center" wrapText="1"/>
    </xf>
    <xf numFmtId="0" fontId="4" fillId="27" borderId="16" xfId="0" applyFont="1" applyFill="1" applyBorder="1" applyAlignment="1">
      <alignment vertical="center" wrapText="1"/>
    </xf>
    <xf numFmtId="0" fontId="3" fillId="27" borderId="11" xfId="0" applyFont="1" applyFill="1" applyBorder="1" applyAlignment="1">
      <alignment horizontal="center" vertical="center"/>
    </xf>
    <xf numFmtId="49" fontId="3" fillId="27" borderId="11" xfId="0" applyNumberFormat="1" applyFont="1" applyFill="1" applyBorder="1" applyAlignment="1">
      <alignment horizontal="center" vertical="center" wrapText="1"/>
    </xf>
    <xf numFmtId="0" fontId="3" fillId="27" borderId="11" xfId="0" applyFont="1" applyFill="1" applyBorder="1" applyAlignment="1">
      <alignment horizontal="center" vertical="center" wrapText="1"/>
    </xf>
    <xf numFmtId="9" fontId="2" fillId="27" borderId="11" xfId="0" applyNumberFormat="1" applyFont="1" applyFill="1" applyBorder="1" applyAlignment="1">
      <alignment horizontal="center" vertical="center" wrapText="1"/>
    </xf>
    <xf numFmtId="0" fontId="2" fillId="27" borderId="11" xfId="0" applyFont="1" applyFill="1" applyBorder="1" applyAlignment="1">
      <alignment horizontal="center" vertical="center" wrapText="1"/>
    </xf>
    <xf numFmtId="168" fontId="3" fillId="27" borderId="11" xfId="0" applyNumberFormat="1" applyFont="1" applyFill="1" applyBorder="1" applyAlignment="1">
      <alignment horizontal="center" vertical="center" wrapText="1"/>
    </xf>
    <xf numFmtId="3" fontId="3" fillId="27" borderId="11" xfId="0" applyNumberFormat="1" applyFont="1" applyFill="1" applyBorder="1" applyAlignment="1">
      <alignment horizontal="right" vertical="center" wrapText="1"/>
    </xf>
    <xf numFmtId="165" fontId="2" fillId="27" borderId="11" xfId="0" applyNumberFormat="1" applyFont="1" applyFill="1" applyBorder="1" applyAlignment="1">
      <alignment horizontal="center" vertical="center" wrapText="1"/>
    </xf>
    <xf numFmtId="166" fontId="3" fillId="27" borderId="11" xfId="0" applyNumberFormat="1" applyFont="1" applyFill="1" applyBorder="1" applyAlignment="1">
      <alignment horizontal="right" vertical="center" wrapText="1"/>
    </xf>
    <xf numFmtId="0" fontId="3" fillId="0" borderId="15" xfId="0" applyFont="1" applyBorder="1" applyAlignment="1">
      <alignment horizontal="center" vertical="center"/>
    </xf>
    <xf numFmtId="2" fontId="3" fillId="27" borderId="11" xfId="0" applyNumberFormat="1" applyFont="1" applyFill="1" applyBorder="1" applyAlignment="1">
      <alignment horizontal="right" vertical="center" wrapText="1"/>
    </xf>
    <xf numFmtId="3" fontId="4" fillId="27" borderId="11" xfId="0" applyNumberFormat="1" applyFont="1" applyFill="1" applyBorder="1" applyAlignment="1">
      <alignment horizontal="right" vertical="center" wrapText="1"/>
    </xf>
    <xf numFmtId="0" fontId="2" fillId="27" borderId="12" xfId="0" applyFont="1" applyFill="1" applyBorder="1" applyAlignment="1">
      <alignment horizontal="right" vertical="center" wrapText="1"/>
    </xf>
    <xf numFmtId="0" fontId="3" fillId="0" borderId="11" xfId="0" applyFont="1" applyBorder="1" applyAlignment="1">
      <alignment horizontal="center"/>
    </xf>
    <xf numFmtId="0" fontId="3" fillId="0" borderId="31" xfId="0" applyFont="1" applyBorder="1" applyAlignment="1">
      <alignment horizontal="center" vertical="center"/>
    </xf>
    <xf numFmtId="0" fontId="22" fillId="0" borderId="28" xfId="0" applyFont="1" applyBorder="1" applyAlignment="1">
      <alignment vertical="center" wrapText="1"/>
    </xf>
    <xf numFmtId="0" fontId="22" fillId="0" borderId="32" xfId="0" applyFont="1" applyBorder="1" applyAlignment="1">
      <alignment horizontal="left" vertical="center" wrapText="1"/>
    </xf>
    <xf numFmtId="0" fontId="47" fillId="0" borderId="16" xfId="0" applyFont="1" applyBorder="1" applyAlignment="1">
      <alignment horizontal="left" vertical="center" wrapText="1"/>
    </xf>
    <xf numFmtId="0" fontId="22" fillId="27" borderId="16" xfId="0" applyFont="1" applyFill="1" applyBorder="1" applyAlignment="1">
      <alignment vertical="center" wrapText="1"/>
    </xf>
    <xf numFmtId="0" fontId="22" fillId="27" borderId="16" xfId="0" applyFont="1" applyFill="1" applyBorder="1" applyAlignment="1">
      <alignment horizontal="left" vertical="center" wrapText="1"/>
    </xf>
    <xf numFmtId="0" fontId="46" fillId="0" borderId="30" xfId="0" applyFont="1" applyBorder="1" applyAlignment="1">
      <alignment vertical="center" wrapText="1"/>
    </xf>
    <xf numFmtId="49" fontId="3" fillId="0" borderId="15" xfId="0" applyNumberFormat="1" applyFont="1" applyBorder="1" applyAlignment="1">
      <alignment horizontal="center" vertical="center" wrapText="1"/>
    </xf>
    <xf numFmtId="0" fontId="2" fillId="0" borderId="15" xfId="0" applyFont="1" applyBorder="1" applyAlignment="1">
      <alignment vertical="center" wrapText="1"/>
    </xf>
    <xf numFmtId="167" fontId="3" fillId="0" borderId="15" xfId="0" applyNumberFormat="1" applyFont="1" applyBorder="1" applyAlignment="1">
      <alignment horizontal="right" vertical="center" wrapText="1"/>
    </xf>
    <xf numFmtId="0" fontId="22" fillId="0" borderId="30" xfId="0" applyFont="1" applyBorder="1" applyAlignment="1">
      <alignment horizontal="left" vertical="center" wrapText="1"/>
    </xf>
    <xf numFmtId="0" fontId="2" fillId="27" borderId="11" xfId="0" quotePrefix="1" applyFont="1" applyFill="1" applyBorder="1" applyAlignment="1">
      <alignment horizontal="center" vertical="center" wrapText="1"/>
    </xf>
    <xf numFmtId="2" fontId="3" fillId="27" borderId="11" xfId="0" applyNumberFormat="1" applyFont="1" applyFill="1" applyBorder="1" applyAlignment="1">
      <alignment horizontal="center" vertical="center" wrapText="1"/>
    </xf>
    <xf numFmtId="0" fontId="3" fillId="27" borderId="11" xfId="0" applyFont="1" applyFill="1" applyBorder="1" applyAlignment="1">
      <alignment vertical="center" wrapText="1"/>
    </xf>
    <xf numFmtId="165" fontId="3" fillId="27" borderId="11" xfId="0" applyNumberFormat="1" applyFont="1" applyFill="1" applyBorder="1" applyAlignment="1">
      <alignment horizontal="center" vertical="center" wrapText="1"/>
    </xf>
    <xf numFmtId="168" fontId="3" fillId="27" borderId="11" xfId="0" applyNumberFormat="1" applyFont="1" applyFill="1" applyBorder="1" applyAlignment="1">
      <alignment horizontal="right" vertical="center" wrapText="1"/>
    </xf>
    <xf numFmtId="0" fontId="2" fillId="27" borderId="16" xfId="0" applyFont="1" applyFill="1" applyBorder="1" applyAlignment="1">
      <alignment horizontal="left" vertical="center" wrapText="1"/>
    </xf>
    <xf numFmtId="0" fontId="3" fillId="0" borderId="18" xfId="0" applyFont="1" applyBorder="1" applyAlignment="1">
      <alignment horizontal="center"/>
    </xf>
    <xf numFmtId="175" fontId="2" fillId="24" borderId="0" xfId="28" applyNumberFormat="1" applyFont="1" applyFill="1" applyAlignment="1">
      <alignment vertical="center" wrapText="1"/>
    </xf>
    <xf numFmtId="0" fontId="46" fillId="27" borderId="16" xfId="0" applyFont="1" applyFill="1" applyBorder="1" applyAlignment="1">
      <alignment vertical="center" wrapText="1"/>
    </xf>
    <xf numFmtId="1" fontId="3" fillId="27" borderId="11" xfId="0" applyNumberFormat="1" applyFont="1" applyFill="1" applyBorder="1" applyAlignment="1">
      <alignment horizontal="center" vertical="center" wrapText="1"/>
    </xf>
    <xf numFmtId="3" fontId="3" fillId="27" borderId="25" xfId="0" applyNumberFormat="1" applyFont="1" applyFill="1" applyBorder="1" applyAlignment="1">
      <alignment horizontal="right" vertical="center" wrapText="1"/>
    </xf>
    <xf numFmtId="3" fontId="4" fillId="27" borderId="25" xfId="0" applyNumberFormat="1" applyFont="1" applyFill="1" applyBorder="1" applyAlignment="1">
      <alignment horizontal="right" vertical="center" wrapText="1"/>
    </xf>
    <xf numFmtId="2" fontId="4" fillId="0" borderId="17" xfId="0" applyNumberFormat="1" applyFont="1" applyBorder="1" applyAlignment="1">
      <alignment horizontal="center" vertical="center"/>
    </xf>
    <xf numFmtId="0" fontId="2" fillId="0" borderId="16" xfId="0" applyFont="1" applyBorder="1" applyAlignment="1">
      <alignment vertical="center" wrapText="1"/>
    </xf>
    <xf numFmtId="0" fontId="3" fillId="27" borderId="25" xfId="0" applyFont="1" applyFill="1" applyBorder="1" applyAlignment="1">
      <alignment horizontal="center" vertical="center" wrapText="1"/>
    </xf>
    <xf numFmtId="0" fontId="3" fillId="28" borderId="25" xfId="0" applyFont="1" applyFill="1" applyBorder="1" applyAlignment="1">
      <alignment horizontal="center" vertical="center" wrapText="1"/>
    </xf>
    <xf numFmtId="0" fontId="2" fillId="28" borderId="11" xfId="0" quotePrefix="1" applyFont="1" applyFill="1" applyBorder="1" applyAlignment="1">
      <alignment horizontal="center" vertical="center" wrapText="1"/>
    </xf>
    <xf numFmtId="0" fontId="3" fillId="28" borderId="12" xfId="0" applyFont="1" applyFill="1" applyBorder="1" applyAlignment="1">
      <alignment vertical="center" wrapText="1"/>
    </xf>
    <xf numFmtId="0" fontId="4" fillId="28" borderId="16" xfId="0" applyFont="1" applyFill="1" applyBorder="1" applyAlignment="1">
      <alignment vertical="center" wrapText="1"/>
    </xf>
    <xf numFmtId="14" fontId="3" fillId="28" borderId="11" xfId="0" applyNumberFormat="1" applyFont="1" applyFill="1" applyBorder="1" applyAlignment="1">
      <alignment horizontal="center" vertical="center" wrapText="1"/>
    </xf>
    <xf numFmtId="49" fontId="3" fillId="28" borderId="11" xfId="0" applyNumberFormat="1" applyFont="1" applyFill="1" applyBorder="1" applyAlignment="1">
      <alignment horizontal="center" vertical="center" wrapText="1"/>
    </xf>
    <xf numFmtId="2" fontId="3" fillId="28" borderId="11" xfId="0" applyNumberFormat="1" applyFont="1" applyFill="1" applyBorder="1" applyAlignment="1">
      <alignment horizontal="center" vertical="center" wrapText="1"/>
    </xf>
    <xf numFmtId="0" fontId="3" fillId="28" borderId="11" xfId="0" applyFont="1" applyFill="1" applyBorder="1" applyAlignment="1">
      <alignment vertical="center" wrapText="1"/>
    </xf>
    <xf numFmtId="0" fontId="2" fillId="28" borderId="11" xfId="0" applyFont="1" applyFill="1" applyBorder="1" applyAlignment="1">
      <alignment horizontal="center" vertical="center" wrapText="1"/>
    </xf>
    <xf numFmtId="0" fontId="3" fillId="28" borderId="11" xfId="0" applyFont="1" applyFill="1" applyBorder="1" applyAlignment="1">
      <alignment horizontal="center" vertical="center" wrapText="1"/>
    </xf>
    <xf numFmtId="3" fontId="3" fillId="28" borderId="11" xfId="0" applyNumberFormat="1" applyFont="1" applyFill="1" applyBorder="1" applyAlignment="1">
      <alignment horizontal="right" vertical="center" wrapText="1"/>
    </xf>
    <xf numFmtId="3" fontId="3" fillId="28" borderId="25" xfId="0" applyNumberFormat="1" applyFont="1" applyFill="1" applyBorder="1" applyAlignment="1">
      <alignment horizontal="right" vertical="center" wrapText="1"/>
    </xf>
    <xf numFmtId="165" fontId="3"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right" vertical="center" wrapText="1"/>
    </xf>
    <xf numFmtId="2" fontId="3" fillId="28" borderId="11" xfId="0" applyNumberFormat="1" applyFont="1" applyFill="1" applyBorder="1" applyAlignment="1">
      <alignment horizontal="right" vertical="center" wrapText="1"/>
    </xf>
    <xf numFmtId="3" fontId="4" fillId="28" borderId="25" xfId="0" applyNumberFormat="1" applyFont="1" applyFill="1" applyBorder="1" applyAlignment="1">
      <alignment horizontal="right" vertical="center" wrapText="1"/>
    </xf>
    <xf numFmtId="0" fontId="2" fillId="28" borderId="12" xfId="0" applyFont="1" applyFill="1" applyBorder="1" applyAlignment="1">
      <alignment horizontal="right" vertical="center" wrapText="1"/>
    </xf>
    <xf numFmtId="0" fontId="2" fillId="28" borderId="16" xfId="0" applyFont="1" applyFill="1" applyBorder="1" applyAlignment="1">
      <alignment horizontal="left" vertical="center" wrapText="1"/>
    </xf>
    <xf numFmtId="0" fontId="2" fillId="28" borderId="0" xfId="0" applyFont="1" applyFill="1" applyAlignment="1">
      <alignment vertical="center" wrapText="1"/>
    </xf>
    <xf numFmtId="0" fontId="22" fillId="29" borderId="16" xfId="0" applyFont="1" applyFill="1" applyBorder="1" applyAlignment="1">
      <alignment vertical="center" wrapText="1"/>
    </xf>
    <xf numFmtId="0" fontId="22" fillId="29" borderId="16" xfId="0" applyFont="1" applyFill="1" applyBorder="1" applyAlignment="1">
      <alignment horizontal="left" vertical="center" wrapText="1"/>
    </xf>
    <xf numFmtId="0" fontId="3" fillId="30" borderId="11" xfId="0" applyFont="1" applyFill="1" applyBorder="1" applyAlignment="1">
      <alignment horizontal="center" vertical="center"/>
    </xf>
    <xf numFmtId="0" fontId="3" fillId="31" borderId="11" xfId="0" applyFont="1" applyFill="1" applyBorder="1" applyAlignment="1">
      <alignment horizontal="center" vertical="center"/>
    </xf>
    <xf numFmtId="0" fontId="3" fillId="31" borderId="33" xfId="0" applyFont="1" applyFill="1" applyBorder="1" applyAlignment="1">
      <alignment horizontal="center" vertical="center" wrapText="1"/>
    </xf>
    <xf numFmtId="0" fontId="46" fillId="28" borderId="16" xfId="0" applyFont="1" applyFill="1" applyBorder="1" applyAlignment="1">
      <alignment vertical="center" wrapText="1"/>
    </xf>
    <xf numFmtId="0" fontId="3" fillId="28" borderId="11" xfId="0" applyFont="1" applyFill="1" applyBorder="1" applyAlignment="1">
      <alignment horizontal="center" vertical="center"/>
    </xf>
    <xf numFmtId="9" fontId="2"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center" vertical="center" wrapText="1"/>
    </xf>
    <xf numFmtId="165" fontId="2" fillId="28" borderId="11" xfId="0" applyNumberFormat="1" applyFont="1" applyFill="1" applyBorder="1" applyAlignment="1">
      <alignment horizontal="center" vertical="center" wrapText="1"/>
    </xf>
    <xf numFmtId="166" fontId="3" fillId="28" borderId="11" xfId="0" applyNumberFormat="1" applyFont="1" applyFill="1" applyBorder="1" applyAlignment="1">
      <alignment horizontal="right" vertical="center" wrapText="1"/>
    </xf>
    <xf numFmtId="3" fontId="4" fillId="28" borderId="11" xfId="0" applyNumberFormat="1" applyFont="1" applyFill="1" applyBorder="1" applyAlignment="1">
      <alignment horizontal="right" vertical="center" wrapText="1"/>
    </xf>
    <xf numFmtId="0" fontId="22" fillId="28" borderId="16" xfId="0" applyFont="1" applyFill="1" applyBorder="1" applyAlignment="1">
      <alignment vertical="center" wrapText="1"/>
    </xf>
    <xf numFmtId="0" fontId="3" fillId="30" borderId="12" xfId="0" applyFont="1" applyFill="1" applyBorder="1" applyAlignment="1">
      <alignment vertical="center" wrapText="1"/>
    </xf>
    <xf numFmtId="0" fontId="4" fillId="30" borderId="16" xfId="0" applyFont="1" applyFill="1" applyBorder="1" applyAlignment="1">
      <alignment vertical="center" wrapText="1"/>
    </xf>
    <xf numFmtId="49" fontId="3" fillId="30" borderId="11" xfId="0" applyNumberFormat="1" applyFont="1" applyFill="1" applyBorder="1" applyAlignment="1">
      <alignment horizontal="center" vertical="center" wrapText="1"/>
    </xf>
    <xf numFmtId="0" fontId="3" fillId="30" borderId="11" xfId="0" applyFont="1" applyFill="1" applyBorder="1" applyAlignment="1">
      <alignment horizontal="center" vertical="center" wrapText="1"/>
    </xf>
    <xf numFmtId="9" fontId="2" fillId="30" borderId="11" xfId="0" applyNumberFormat="1" applyFont="1" applyFill="1" applyBorder="1" applyAlignment="1">
      <alignment horizontal="center" vertical="center" wrapText="1"/>
    </xf>
    <xf numFmtId="0" fontId="2" fillId="30" borderId="11" xfId="0" applyFont="1" applyFill="1" applyBorder="1" applyAlignment="1">
      <alignment horizontal="center" vertical="center" wrapText="1"/>
    </xf>
    <xf numFmtId="168" fontId="3" fillId="30" borderId="11" xfId="0" applyNumberFormat="1" applyFont="1" applyFill="1" applyBorder="1" applyAlignment="1">
      <alignment horizontal="center" vertical="center" wrapText="1"/>
    </xf>
    <xf numFmtId="3" fontId="3" fillId="30" borderId="11" xfId="0" applyNumberFormat="1" applyFont="1" applyFill="1" applyBorder="1" applyAlignment="1">
      <alignment horizontal="right" vertical="center" wrapText="1"/>
    </xf>
    <xf numFmtId="165" fontId="2" fillId="30" borderId="11" xfId="0" applyNumberFormat="1" applyFont="1" applyFill="1" applyBorder="1" applyAlignment="1">
      <alignment horizontal="center" vertical="center" wrapText="1"/>
    </xf>
    <xf numFmtId="166" fontId="3" fillId="30" borderId="11" xfId="0" applyNumberFormat="1" applyFont="1" applyFill="1" applyBorder="1" applyAlignment="1">
      <alignment horizontal="right" vertical="center" wrapText="1"/>
    </xf>
    <xf numFmtId="2" fontId="3" fillId="30" borderId="11" xfId="0" applyNumberFormat="1" applyFont="1" applyFill="1" applyBorder="1" applyAlignment="1">
      <alignment horizontal="right" vertical="center" wrapText="1"/>
    </xf>
    <xf numFmtId="3" fontId="4" fillId="30" borderId="11" xfId="0" applyNumberFormat="1" applyFont="1" applyFill="1" applyBorder="1" applyAlignment="1">
      <alignment horizontal="right" vertical="center" wrapText="1"/>
    </xf>
    <xf numFmtId="0" fontId="2" fillId="30" borderId="12" xfId="0" applyFont="1" applyFill="1" applyBorder="1" applyAlignment="1">
      <alignment horizontal="right" vertical="center" wrapText="1"/>
    </xf>
    <xf numFmtId="0" fontId="22" fillId="30" borderId="16" xfId="0" applyFont="1" applyFill="1" applyBorder="1" applyAlignment="1">
      <alignment vertical="center" wrapText="1"/>
    </xf>
    <xf numFmtId="175" fontId="2" fillId="30" borderId="0" xfId="28" applyNumberFormat="1" applyFont="1" applyFill="1" applyAlignment="1">
      <alignment vertical="center" wrapText="1"/>
    </xf>
    <xf numFmtId="0" fontId="2" fillId="30" borderId="0" xfId="0" applyFont="1" applyFill="1" applyAlignment="1">
      <alignment vertical="center" wrapText="1"/>
    </xf>
    <xf numFmtId="49" fontId="4" fillId="28" borderId="11" xfId="0" applyNumberFormat="1" applyFont="1" applyFill="1" applyBorder="1" applyAlignment="1">
      <alignment horizontal="center" vertical="center" wrapText="1"/>
    </xf>
    <xf numFmtId="2" fontId="2" fillId="28" borderId="11" xfId="0" applyNumberFormat="1" applyFont="1" applyFill="1" applyBorder="1" applyAlignment="1">
      <alignment horizontal="center" vertical="center" wrapText="1"/>
    </xf>
    <xf numFmtId="0" fontId="3" fillId="24" borderId="15" xfId="0" applyFont="1" applyFill="1" applyBorder="1" applyAlignment="1">
      <alignment horizontal="center" vertical="center" wrapText="1"/>
    </xf>
    <xf numFmtId="0" fontId="3" fillId="24" borderId="18" xfId="0" applyFont="1" applyFill="1" applyBorder="1" applyAlignment="1">
      <alignment horizontal="center" vertical="center" wrapText="1"/>
    </xf>
    <xf numFmtId="0" fontId="3" fillId="24" borderId="25" xfId="0" applyFont="1" applyFill="1" applyBorder="1" applyAlignment="1">
      <alignment horizontal="center" vertical="center" wrapText="1"/>
    </xf>
    <xf numFmtId="0" fontId="2" fillId="0" borderId="0" xfId="0" applyFont="1" applyAlignment="1">
      <alignment vertical="center"/>
    </xf>
    <xf numFmtId="0" fontId="3" fillId="31" borderId="12" xfId="0" applyFont="1" applyFill="1" applyBorder="1" applyAlignment="1">
      <alignment vertical="center" wrapText="1"/>
    </xf>
    <xf numFmtId="0" fontId="4" fillId="31" borderId="16" xfId="0" applyFont="1" applyFill="1" applyBorder="1" applyAlignment="1">
      <alignment vertical="center" wrapText="1"/>
    </xf>
    <xf numFmtId="49" fontId="3" fillId="31" borderId="11" xfId="0" applyNumberFormat="1" applyFont="1" applyFill="1" applyBorder="1" applyAlignment="1">
      <alignment horizontal="center" vertical="center" wrapText="1"/>
    </xf>
    <xf numFmtId="0" fontId="3" fillId="31" borderId="11" xfId="0" applyFont="1" applyFill="1" applyBorder="1" applyAlignment="1">
      <alignment horizontal="center" vertical="center" wrapText="1"/>
    </xf>
    <xf numFmtId="9" fontId="2" fillId="31" borderId="11" xfId="0" applyNumberFormat="1" applyFont="1" applyFill="1" applyBorder="1" applyAlignment="1">
      <alignment horizontal="center" vertical="center" wrapText="1"/>
    </xf>
    <xf numFmtId="0" fontId="2" fillId="31" borderId="11" xfId="0" applyFont="1" applyFill="1" applyBorder="1" applyAlignment="1">
      <alignment horizontal="center" vertical="center" wrapText="1"/>
    </xf>
    <xf numFmtId="168" fontId="3" fillId="31" borderId="11" xfId="0" applyNumberFormat="1" applyFont="1" applyFill="1" applyBorder="1" applyAlignment="1">
      <alignment horizontal="center" vertical="center" wrapText="1"/>
    </xf>
    <xf numFmtId="3" fontId="3" fillId="31" borderId="11" xfId="0" applyNumberFormat="1" applyFont="1" applyFill="1" applyBorder="1" applyAlignment="1">
      <alignment horizontal="right" vertical="center" wrapText="1"/>
    </xf>
    <xf numFmtId="165" fontId="2" fillId="31" borderId="11" xfId="0" applyNumberFormat="1" applyFont="1" applyFill="1" applyBorder="1" applyAlignment="1">
      <alignment horizontal="center" vertical="center" wrapText="1"/>
    </xf>
    <xf numFmtId="166" fontId="3" fillId="31" borderId="11" xfId="0" applyNumberFormat="1" applyFont="1" applyFill="1" applyBorder="1" applyAlignment="1">
      <alignment horizontal="right" vertical="center" wrapText="1"/>
    </xf>
    <xf numFmtId="2" fontId="3" fillId="31" borderId="11" xfId="0" applyNumberFormat="1" applyFont="1" applyFill="1" applyBorder="1" applyAlignment="1">
      <alignment horizontal="right" vertical="center" wrapText="1"/>
    </xf>
    <xf numFmtId="3" fontId="4" fillId="31" borderId="11" xfId="0" applyNumberFormat="1" applyFont="1" applyFill="1" applyBorder="1" applyAlignment="1">
      <alignment horizontal="right" vertical="center" wrapText="1"/>
    </xf>
    <xf numFmtId="0" fontId="2" fillId="31" borderId="12" xfId="0" applyFont="1" applyFill="1" applyBorder="1" applyAlignment="1">
      <alignment horizontal="right" vertical="center" wrapText="1"/>
    </xf>
    <xf numFmtId="0" fontId="22" fillId="31" borderId="16" xfId="0" applyFont="1" applyFill="1" applyBorder="1" applyAlignment="1">
      <alignment horizontal="left" vertical="center" wrapText="1"/>
    </xf>
    <xf numFmtId="175" fontId="2" fillId="31" borderId="0" xfId="28" quotePrefix="1" applyNumberFormat="1" applyFont="1" applyFill="1" applyAlignment="1">
      <alignment vertical="center" wrapText="1"/>
    </xf>
    <xf numFmtId="175" fontId="2" fillId="31" borderId="0" xfId="28" applyNumberFormat="1" applyFont="1" applyFill="1" applyAlignment="1">
      <alignment vertical="center" wrapText="1"/>
    </xf>
    <xf numFmtId="0" fontId="2" fillId="31" borderId="0" xfId="0" applyFont="1" applyFill="1" applyAlignment="1">
      <alignment vertical="center" wrapText="1"/>
    </xf>
    <xf numFmtId="175" fontId="2" fillId="0" borderId="0" xfId="28" applyNumberFormat="1" applyFont="1" applyFill="1" applyAlignment="1">
      <alignment vertical="center"/>
    </xf>
    <xf numFmtId="0" fontId="4" fillId="0" borderId="10" xfId="0" applyFont="1" applyBorder="1" applyAlignment="1">
      <alignment horizontal="center"/>
    </xf>
    <xf numFmtId="0" fontId="4" fillId="24" borderId="10" xfId="0" applyFont="1" applyFill="1" applyBorder="1" applyAlignment="1">
      <alignment horizontal="center"/>
    </xf>
    <xf numFmtId="0" fontId="4" fillId="0" borderId="10" xfId="0" applyFont="1" applyBorder="1" applyAlignment="1">
      <alignment horizontal="right"/>
    </xf>
    <xf numFmtId="3" fontId="4" fillId="24" borderId="10" xfId="0" applyNumberFormat="1" applyFont="1" applyFill="1" applyBorder="1" applyAlignment="1">
      <alignment horizontal="right"/>
    </xf>
    <xf numFmtId="0" fontId="4" fillId="0" borderId="20" xfId="0" applyFont="1" applyBorder="1" applyAlignment="1">
      <alignment horizontal="center"/>
    </xf>
    <xf numFmtId="3" fontId="5" fillId="0" borderId="0" xfId="0" applyNumberFormat="1" applyFont="1" applyAlignment="1">
      <alignment horizontal="left"/>
    </xf>
    <xf numFmtId="0" fontId="9" fillId="0" borderId="10" xfId="0" applyFont="1" applyBorder="1" applyAlignment="1">
      <alignment vertical="center" wrapText="1"/>
    </xf>
    <xf numFmtId="0" fontId="9" fillId="0" borderId="21" xfId="0" applyFont="1" applyBorder="1" applyAlignment="1">
      <alignment horizontal="center" vertical="center" wrapText="1"/>
    </xf>
    <xf numFmtId="0" fontId="9" fillId="0" borderId="20" xfId="0" applyFont="1" applyBorder="1" applyAlignment="1">
      <alignment horizontal="right" vertical="center" wrapText="1"/>
    </xf>
    <xf numFmtId="0" fontId="7" fillId="25" borderId="14" xfId="0" applyFont="1" applyFill="1" applyBorder="1" applyAlignment="1">
      <alignment horizontal="center" vertical="center" wrapText="1"/>
    </xf>
    <xf numFmtId="0" fontId="7" fillId="25" borderId="10" xfId="0" quotePrefix="1" applyFont="1" applyFill="1" applyBorder="1" applyAlignment="1">
      <alignment horizontal="center" vertical="center" wrapText="1"/>
    </xf>
    <xf numFmtId="0" fontId="9" fillId="25" borderId="0" xfId="0" applyFont="1" applyFill="1"/>
    <xf numFmtId="0" fontId="9" fillId="25" borderId="0" xfId="0" applyFont="1" applyFill="1" applyAlignment="1">
      <alignment horizontal="center"/>
    </xf>
    <xf numFmtId="0" fontId="2" fillId="25" borderId="0" xfId="0" applyFont="1" applyFill="1"/>
    <xf numFmtId="0" fontId="12" fillId="25" borderId="0" xfId="0" applyFont="1" applyFill="1" applyAlignment="1">
      <alignment horizontal="right"/>
    </xf>
    <xf numFmtId="0" fontId="2" fillId="25" borderId="0" xfId="0" applyFont="1" applyFill="1" applyAlignment="1">
      <alignment horizontal="right"/>
    </xf>
    <xf numFmtId="0" fontId="7" fillId="25" borderId="0" xfId="0" applyFont="1" applyFill="1" applyAlignment="1">
      <alignment horizontal="right"/>
    </xf>
    <xf numFmtId="0" fontId="5" fillId="25" borderId="0" xfId="0" applyFont="1" applyFill="1"/>
    <xf numFmtId="3" fontId="2" fillId="25" borderId="0" xfId="0" applyNumberFormat="1" applyFont="1" applyFill="1"/>
    <xf numFmtId="0" fontId="7" fillId="24" borderId="10" xfId="0" quotePrefix="1" applyFont="1" applyFill="1" applyBorder="1" applyAlignment="1">
      <alignment horizontal="center" vertical="center" wrapText="1"/>
    </xf>
    <xf numFmtId="2" fontId="7" fillId="24" borderId="10" xfId="0" quotePrefix="1" applyNumberFormat="1" applyFont="1" applyFill="1" applyBorder="1" applyAlignment="1">
      <alignment horizontal="center" vertical="center" wrapText="1"/>
    </xf>
    <xf numFmtId="3" fontId="3" fillId="32" borderId="11" xfId="0" applyNumberFormat="1" applyFont="1" applyFill="1" applyBorder="1" applyAlignment="1">
      <alignment horizontal="right" vertical="center" wrapText="1"/>
    </xf>
    <xf numFmtId="0" fontId="3" fillId="32" borderId="12" xfId="0" applyFont="1" applyFill="1" applyBorder="1" applyAlignment="1">
      <alignment vertical="center" wrapText="1"/>
    </xf>
    <xf numFmtId="0" fontId="4" fillId="32" borderId="16" xfId="0" applyFont="1" applyFill="1" applyBorder="1" applyAlignment="1">
      <alignment vertical="center" wrapText="1"/>
    </xf>
    <xf numFmtId="0" fontId="12" fillId="32" borderId="11" xfId="0" applyFont="1" applyFill="1" applyBorder="1" applyAlignment="1">
      <alignment horizontal="center" vertical="center"/>
    </xf>
    <xf numFmtId="0" fontId="3" fillId="32" borderId="11" xfId="0" applyFont="1" applyFill="1" applyBorder="1" applyAlignment="1">
      <alignment horizontal="center" vertical="center" wrapText="1"/>
    </xf>
    <xf numFmtId="9" fontId="2" fillId="32" borderId="11" xfId="0" applyNumberFormat="1" applyFont="1" applyFill="1" applyBorder="1" applyAlignment="1">
      <alignment horizontal="center" vertical="center" wrapText="1"/>
    </xf>
    <xf numFmtId="0" fontId="2" fillId="32" borderId="11" xfId="0" applyFont="1" applyFill="1" applyBorder="1" applyAlignment="1">
      <alignment horizontal="center" vertical="center" wrapText="1"/>
    </xf>
    <xf numFmtId="168" fontId="3" fillId="32" borderId="11" xfId="0" applyNumberFormat="1" applyFont="1" applyFill="1" applyBorder="1" applyAlignment="1">
      <alignment horizontal="center" vertical="center" wrapText="1"/>
    </xf>
    <xf numFmtId="2" fontId="3" fillId="32" borderId="11" xfId="0" applyNumberFormat="1" applyFont="1" applyFill="1" applyBorder="1" applyAlignment="1">
      <alignment horizontal="right" vertical="center" wrapText="1"/>
    </xf>
    <xf numFmtId="3" fontId="4" fillId="32" borderId="11" xfId="0" applyNumberFormat="1" applyFont="1" applyFill="1" applyBorder="1" applyAlignment="1">
      <alignment horizontal="right" vertical="center" wrapText="1"/>
    </xf>
    <xf numFmtId="0" fontId="2" fillId="32" borderId="0" xfId="0" applyFont="1" applyFill="1" applyAlignment="1">
      <alignment vertical="center" wrapText="1"/>
    </xf>
    <xf numFmtId="2" fontId="3" fillId="32" borderId="11" xfId="0" applyNumberFormat="1" applyFont="1" applyFill="1" applyBorder="1" applyAlignment="1">
      <alignment horizontal="center" vertical="center" wrapText="1"/>
    </xf>
    <xf numFmtId="0" fontId="3" fillId="32" borderId="11" xfId="0" applyFont="1" applyFill="1" applyBorder="1" applyAlignment="1">
      <alignment vertical="center" wrapText="1"/>
    </xf>
    <xf numFmtId="0" fontId="46" fillId="32" borderId="16" xfId="0" applyFont="1" applyFill="1" applyBorder="1" applyAlignment="1">
      <alignment vertical="center" wrapText="1"/>
    </xf>
    <xf numFmtId="0" fontId="52" fillId="32" borderId="11" xfId="0" applyFont="1" applyFill="1" applyBorder="1" applyAlignment="1">
      <alignment horizontal="center" vertical="center" wrapText="1"/>
    </xf>
    <xf numFmtId="0" fontId="3" fillId="32" borderId="24" xfId="0" applyFont="1" applyFill="1" applyBorder="1" applyAlignment="1">
      <alignment vertical="center" wrapText="1"/>
    </xf>
    <xf numFmtId="9" fontId="51" fillId="32" borderId="11" xfId="0" applyNumberFormat="1" applyFont="1" applyFill="1" applyBorder="1" applyAlignment="1">
      <alignment horizontal="center" vertical="center" wrapText="1"/>
    </xf>
    <xf numFmtId="0" fontId="12" fillId="32" borderId="11" xfId="0" quotePrefix="1" applyFont="1" applyFill="1" applyBorder="1" applyAlignment="1">
      <alignment horizontal="center" vertical="center" wrapText="1"/>
    </xf>
    <xf numFmtId="0" fontId="57" fillId="32" borderId="16" xfId="0" applyFont="1" applyFill="1" applyBorder="1" applyAlignment="1">
      <alignment vertical="center" wrapText="1"/>
    </xf>
    <xf numFmtId="2" fontId="12" fillId="33" borderId="0" xfId="0" applyNumberFormat="1" applyFont="1" applyFill="1" applyAlignment="1">
      <alignment horizontal="right"/>
    </xf>
    <xf numFmtId="2" fontId="2" fillId="33" borderId="0" xfId="0" applyNumberFormat="1" applyFont="1" applyFill="1" applyAlignment="1">
      <alignment horizontal="right"/>
    </xf>
    <xf numFmtId="2" fontId="17" fillId="33" borderId="14" xfId="0" applyNumberFormat="1" applyFont="1" applyFill="1" applyBorder="1" applyAlignment="1">
      <alignment horizontal="center" vertical="center" wrapText="1"/>
    </xf>
    <xf numFmtId="2" fontId="7" fillId="33" borderId="10" xfId="0" quotePrefix="1" applyNumberFormat="1" applyFont="1" applyFill="1" applyBorder="1" applyAlignment="1">
      <alignment horizontal="center" vertical="center" wrapText="1"/>
    </xf>
    <xf numFmtId="2" fontId="3" fillId="33" borderId="11" xfId="0" applyNumberFormat="1" applyFont="1" applyFill="1" applyBorder="1" applyAlignment="1">
      <alignment horizontal="right" vertical="center" wrapText="1"/>
    </xf>
    <xf numFmtId="2" fontId="2" fillId="33" borderId="0" xfId="0" applyNumberFormat="1" applyFont="1" applyFill="1" applyAlignment="1">
      <alignment horizontal="center"/>
    </xf>
    <xf numFmtId="0" fontId="9" fillId="33" borderId="0" xfId="0" applyFont="1" applyFill="1"/>
    <xf numFmtId="2" fontId="12" fillId="33" borderId="0" xfId="0" applyNumberFormat="1" applyFont="1" applyFill="1" applyAlignment="1">
      <alignment horizontal="center"/>
    </xf>
    <xf numFmtId="2" fontId="2" fillId="33" borderId="0" xfId="0" applyNumberFormat="1" applyFont="1" applyFill="1"/>
    <xf numFmtId="0" fontId="3" fillId="32" borderId="34" xfId="0" applyFont="1" applyFill="1" applyBorder="1" applyAlignment="1">
      <alignment horizontal="left" vertical="center" wrapText="1"/>
    </xf>
    <xf numFmtId="3" fontId="4" fillId="0" borderId="20" xfId="0" applyNumberFormat="1" applyFont="1" applyBorder="1" applyAlignment="1">
      <alignment horizontal="right"/>
    </xf>
    <xf numFmtId="166" fontId="3" fillId="34" borderId="11" xfId="0" applyNumberFormat="1" applyFont="1" applyFill="1" applyBorder="1" applyAlignment="1">
      <alignment horizontal="right" vertical="center" wrapText="1"/>
    </xf>
    <xf numFmtId="181" fontId="22" fillId="0" borderId="16" xfId="0" applyNumberFormat="1" applyFont="1" applyBorder="1" applyAlignment="1">
      <alignment horizontal="justify" vertical="center" wrapText="1"/>
    </xf>
    <xf numFmtId="0" fontId="12" fillId="0" borderId="18" xfId="0" applyFont="1" applyBorder="1" applyAlignment="1">
      <alignment horizontal="center" vertical="center" wrapText="1"/>
    </xf>
    <xf numFmtId="0" fontId="2" fillId="35" borderId="1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24" borderId="10" xfId="0" applyFont="1" applyFill="1" applyBorder="1" applyAlignment="1">
      <alignment horizontal="center" vertical="center" wrapText="1"/>
    </xf>
    <xf numFmtId="9" fontId="6" fillId="24" borderId="10" xfId="0" applyNumberFormat="1" applyFont="1" applyFill="1" applyBorder="1" applyAlignment="1">
      <alignment horizontal="center" vertical="center" wrapText="1"/>
    </xf>
    <xf numFmtId="0" fontId="56" fillId="24" borderId="10" xfId="0" applyFont="1" applyFill="1" applyBorder="1" applyAlignment="1">
      <alignment horizontal="center" vertical="center" wrapText="1"/>
    </xf>
    <xf numFmtId="0" fontId="56" fillId="0" borderId="10" xfId="0" applyFont="1" applyBorder="1" applyAlignment="1">
      <alignment horizontal="center" vertical="center" wrapText="1"/>
    </xf>
    <xf numFmtId="0" fontId="6" fillId="0" borderId="14" xfId="0" applyFont="1" applyBorder="1" applyAlignment="1">
      <alignment horizontal="center" vertical="center" wrapText="1"/>
    </xf>
    <xf numFmtId="2" fontId="6" fillId="24" borderId="14" xfId="0" applyNumberFormat="1" applyFont="1" applyFill="1" applyBorder="1" applyAlignment="1">
      <alignment horizontal="center" vertical="center" wrapText="1"/>
    </xf>
    <xf numFmtId="0" fontId="4" fillId="36" borderId="16" xfId="0" applyFont="1" applyFill="1" applyBorder="1" applyAlignment="1">
      <alignment vertical="center" wrapText="1"/>
    </xf>
    <xf numFmtId="2" fontId="3" fillId="36" borderId="11" xfId="0" applyNumberFormat="1" applyFont="1" applyFill="1" applyBorder="1" applyAlignment="1">
      <alignment horizontal="right" vertical="center" wrapText="1"/>
    </xf>
    <xf numFmtId="0" fontId="6" fillId="25" borderId="10"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37" borderId="11" xfId="0" applyFont="1" applyFill="1" applyBorder="1" applyAlignment="1">
      <alignment horizontal="center" vertical="center" wrapText="1"/>
    </xf>
    <xf numFmtId="2" fontId="3" fillId="37" borderId="11" xfId="0" applyNumberFormat="1" applyFont="1" applyFill="1" applyBorder="1" applyAlignment="1">
      <alignment horizontal="right" vertical="center" wrapText="1"/>
    </xf>
    <xf numFmtId="0" fontId="4" fillId="37" borderId="16" xfId="0" applyFont="1" applyFill="1" applyBorder="1" applyAlignment="1">
      <alignment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0" xfId="0" applyFont="1" applyBorder="1" applyAlignment="1">
      <alignment vertical="center" wrapText="1"/>
    </xf>
    <xf numFmtId="0" fontId="4" fillId="0" borderId="10" xfId="0" applyFont="1" applyBorder="1" applyAlignment="1">
      <alignment horizontal="center" vertical="center" wrapText="1"/>
    </xf>
    <xf numFmtId="3" fontId="4" fillId="25" borderId="10" xfId="0" applyNumberFormat="1" applyFont="1" applyFill="1" applyBorder="1" applyAlignment="1">
      <alignment horizontal="center" vertical="center" wrapText="1"/>
    </xf>
    <xf numFmtId="3" fontId="4" fillId="0" borderId="10" xfId="0" applyNumberFormat="1" applyFont="1" applyBorder="1" applyAlignment="1">
      <alignment vertical="center" wrapText="1"/>
    </xf>
    <xf numFmtId="176" fontId="4" fillId="0" borderId="10" xfId="0" applyNumberFormat="1" applyFont="1" applyBorder="1" applyAlignment="1">
      <alignment vertical="center" wrapText="1"/>
    </xf>
    <xf numFmtId="3" fontId="4" fillId="33" borderId="10" xfId="0" applyNumberFormat="1" applyFont="1" applyFill="1" applyBorder="1" applyAlignment="1">
      <alignment vertical="center" wrapText="1"/>
    </xf>
    <xf numFmtId="14" fontId="12" fillId="32" borderId="11" xfId="0" applyNumberFormat="1" applyFont="1" applyFill="1" applyBorder="1" applyAlignment="1">
      <alignment horizontal="center" vertical="center"/>
    </xf>
    <xf numFmtId="0" fontId="3" fillId="32" borderId="16" xfId="0" applyFont="1" applyFill="1" applyBorder="1" applyAlignment="1">
      <alignment vertical="center"/>
    </xf>
    <xf numFmtId="0" fontId="12" fillId="0" borderId="10" xfId="0" applyFont="1" applyBorder="1" applyAlignment="1">
      <alignment horizontal="center" vertical="center" wrapText="1"/>
    </xf>
    <xf numFmtId="0" fontId="12" fillId="0" borderId="10" xfId="0" quotePrefix="1" applyFont="1" applyBorder="1" applyAlignment="1">
      <alignment horizontal="center" vertical="center" wrapText="1"/>
    </xf>
    <xf numFmtId="49" fontId="12" fillId="32" borderId="11" xfId="0" quotePrefix="1" applyNumberFormat="1" applyFont="1" applyFill="1" applyBorder="1" applyAlignment="1">
      <alignment horizontal="center" vertical="center" wrapText="1"/>
    </xf>
    <xf numFmtId="49" fontId="12" fillId="32" borderId="11" xfId="0" applyNumberFormat="1" applyFont="1" applyFill="1" applyBorder="1" applyAlignment="1">
      <alignment horizontal="center" vertical="center" wrapText="1"/>
    </xf>
    <xf numFmtId="49" fontId="12" fillId="0" borderId="11" xfId="0" applyNumberFormat="1" applyFont="1" applyBorder="1" applyAlignment="1">
      <alignment horizontal="center" vertical="center" wrapText="1"/>
    </xf>
    <xf numFmtId="49" fontId="12" fillId="37" borderId="11" xfId="0" applyNumberFormat="1"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xf>
    <xf numFmtId="1" fontId="12" fillId="0" borderId="11" xfId="0" applyNumberFormat="1" applyFont="1" applyBorder="1" applyAlignment="1">
      <alignment horizontal="center" vertical="center"/>
    </xf>
    <xf numFmtId="1" fontId="12" fillId="32" borderId="11" xfId="0" applyNumberFormat="1" applyFont="1" applyFill="1" applyBorder="1" applyAlignment="1">
      <alignment horizontal="center" vertical="center" wrapText="1"/>
    </xf>
    <xf numFmtId="1" fontId="12" fillId="0" borderId="11" xfId="0" quotePrefix="1" applyNumberFormat="1" applyFont="1" applyBorder="1" applyAlignment="1">
      <alignment horizontal="center" vertical="center"/>
    </xf>
    <xf numFmtId="1" fontId="12" fillId="32" borderId="11" xfId="0" applyNumberFormat="1" applyFont="1" applyFill="1" applyBorder="1" applyAlignment="1">
      <alignment horizontal="center" vertical="center"/>
    </xf>
    <xf numFmtId="1" fontId="12" fillId="0" borderId="11" xfId="0" applyNumberFormat="1" applyFont="1" applyBorder="1" applyAlignment="1">
      <alignment horizontal="center" vertical="center" wrapText="1"/>
    </xf>
    <xf numFmtId="49" fontId="12" fillId="0" borderId="11" xfId="0" quotePrefix="1" applyNumberFormat="1" applyFont="1" applyBorder="1" applyAlignment="1">
      <alignment horizontal="center" vertical="center" wrapText="1"/>
    </xf>
    <xf numFmtId="49" fontId="12" fillId="36" borderId="11" xfId="0" applyNumberFormat="1" applyFont="1" applyFill="1" applyBorder="1" applyAlignment="1">
      <alignment horizontal="center" vertical="center" wrapText="1"/>
    </xf>
    <xf numFmtId="0" fontId="12" fillId="32" borderId="11" xfId="0"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wrapText="1"/>
    </xf>
    <xf numFmtId="1" fontId="12" fillId="36" borderId="11" xfId="0" applyNumberFormat="1" applyFont="1" applyFill="1" applyBorder="1" applyAlignment="1">
      <alignment horizontal="center" vertical="center"/>
    </xf>
    <xf numFmtId="3" fontId="7" fillId="0" borderId="0" xfId="0" applyNumberFormat="1" applyFont="1" applyAlignment="1">
      <alignment vertical="center" wrapText="1"/>
    </xf>
    <xf numFmtId="3" fontId="9" fillId="0" borderId="0" xfId="0" applyNumberFormat="1" applyFont="1" applyAlignment="1">
      <alignment vertical="center" wrapText="1"/>
    </xf>
    <xf numFmtId="37" fontId="3" fillId="0" borderId="18" xfId="28" quotePrefix="1" applyNumberFormat="1" applyFont="1" applyBorder="1" applyAlignment="1">
      <alignment horizontal="center" vertical="center"/>
    </xf>
    <xf numFmtId="37" fontId="3" fillId="0" borderId="11" xfId="28" quotePrefix="1" applyNumberFormat="1" applyFont="1" applyBorder="1" applyAlignment="1">
      <alignment horizontal="center" vertical="center"/>
    </xf>
    <xf numFmtId="0" fontId="7" fillId="0" borderId="35" xfId="0" applyFont="1" applyBorder="1" applyAlignment="1">
      <alignment horizontal="center" vertical="center" wrapText="1"/>
    </xf>
    <xf numFmtId="3" fontId="4" fillId="0" borderId="20" xfId="0" applyNumberFormat="1" applyFont="1" applyBorder="1" applyAlignment="1">
      <alignment vertical="center" wrapText="1"/>
    </xf>
    <xf numFmtId="181" fontId="2" fillId="0" borderId="16" xfId="0" applyNumberFormat="1" applyFont="1" applyBorder="1" applyAlignment="1">
      <alignment horizontal="left" vertical="center" wrapText="1"/>
    </xf>
    <xf numFmtId="0" fontId="3" fillId="32" borderId="12" xfId="0" applyFont="1" applyFill="1" applyBorder="1" applyAlignment="1">
      <alignment vertical="center"/>
    </xf>
    <xf numFmtId="2" fontId="2" fillId="32" borderId="11" xfId="0" applyNumberFormat="1" applyFont="1" applyFill="1" applyBorder="1" applyAlignment="1">
      <alignment horizontal="center" vertical="center" wrapText="1"/>
    </xf>
    <xf numFmtId="1" fontId="22" fillId="32" borderId="16" xfId="0" quotePrefix="1" applyNumberFormat="1" applyFont="1" applyFill="1" applyBorder="1" applyAlignment="1">
      <alignment horizontal="center" vertical="center"/>
    </xf>
    <xf numFmtId="0" fontId="2" fillId="38" borderId="11" xfId="0" applyFont="1" applyFill="1" applyBorder="1" applyAlignment="1">
      <alignment horizontal="center" vertical="center" wrapText="1"/>
    </xf>
    <xf numFmtId="37" fontId="2" fillId="0" borderId="0" xfId="0" applyNumberFormat="1" applyFont="1" applyAlignment="1">
      <alignment horizontal="center" vertical="top"/>
    </xf>
    <xf numFmtId="0" fontId="9" fillId="34" borderId="0" xfId="0" applyFont="1" applyFill="1"/>
    <xf numFmtId="166" fontId="12" fillId="34" borderId="0" xfId="0" applyNumberFormat="1" applyFont="1" applyFill="1" applyAlignment="1">
      <alignment horizontal="right"/>
    </xf>
    <xf numFmtId="166" fontId="2" fillId="34" borderId="0" xfId="0" applyNumberFormat="1" applyFont="1" applyFill="1" applyAlignment="1">
      <alignment horizontal="right"/>
    </xf>
    <xf numFmtId="166" fontId="11" fillId="34" borderId="14" xfId="0" applyNumberFormat="1" applyFont="1" applyFill="1" applyBorder="1" applyAlignment="1">
      <alignment horizontal="center" vertical="center" wrapText="1"/>
    </xf>
    <xf numFmtId="166" fontId="11" fillId="34" borderId="10" xfId="0" quotePrefix="1" applyNumberFormat="1" applyFont="1" applyFill="1" applyBorder="1" applyAlignment="1">
      <alignment horizontal="center" vertical="center" wrapText="1"/>
    </xf>
    <xf numFmtId="168" fontId="3" fillId="34" borderId="11" xfId="0" applyNumberFormat="1" applyFont="1" applyFill="1" applyBorder="1" applyAlignment="1">
      <alignment horizontal="right" vertical="center" wrapText="1"/>
    </xf>
    <xf numFmtId="166" fontId="3" fillId="34" borderId="11" xfId="0" applyNumberFormat="1" applyFont="1" applyFill="1" applyBorder="1" applyAlignment="1">
      <alignment horizontal="center" vertical="center" wrapText="1"/>
    </xf>
    <xf numFmtId="166" fontId="2" fillId="34" borderId="0" xfId="0" applyNumberFormat="1" applyFont="1" applyFill="1" applyAlignment="1">
      <alignment horizontal="center"/>
    </xf>
    <xf numFmtId="166" fontId="9" fillId="34" borderId="0" xfId="0" applyNumberFormat="1" applyFont="1" applyFill="1" applyAlignment="1">
      <alignment horizontal="center"/>
    </xf>
    <xf numFmtId="166" fontId="12" fillId="34" borderId="0" xfId="0" applyNumberFormat="1" applyFont="1" applyFill="1" applyAlignment="1">
      <alignment horizontal="center"/>
    </xf>
    <xf numFmtId="166" fontId="2" fillId="34" borderId="0" xfId="0" applyNumberFormat="1" applyFont="1" applyFill="1"/>
    <xf numFmtId="166" fontId="3" fillId="32" borderId="11" xfId="0" applyNumberFormat="1" applyFont="1" applyFill="1" applyBorder="1" applyAlignment="1">
      <alignment horizontal="right" vertical="center" wrapText="1"/>
    </xf>
    <xf numFmtId="164" fontId="2" fillId="0" borderId="0" xfId="28" applyFont="1" applyFill="1" applyAlignment="1">
      <alignment vertical="center" wrapText="1"/>
    </xf>
    <xf numFmtId="0" fontId="3" fillId="32" borderId="34" xfId="0" applyFont="1" applyFill="1" applyBorder="1" applyAlignment="1">
      <alignment vertical="center" wrapText="1"/>
    </xf>
    <xf numFmtId="2" fontId="12" fillId="32" borderId="11" xfId="0" applyNumberFormat="1" applyFont="1" applyFill="1" applyBorder="1" applyAlignment="1">
      <alignment horizontal="center" vertical="center"/>
    </xf>
    <xf numFmtId="0" fontId="7" fillId="0" borderId="11" xfId="0" applyFont="1" applyBorder="1" applyAlignment="1">
      <alignment horizontal="center" vertical="center" wrapText="1"/>
    </xf>
    <xf numFmtId="179" fontId="2" fillId="0" borderId="0" xfId="28" applyNumberFormat="1" applyFont="1" applyFill="1" applyAlignment="1">
      <alignment vertical="center" wrapText="1"/>
    </xf>
    <xf numFmtId="3" fontId="3" fillId="32" borderId="11" xfId="0" applyNumberFormat="1" applyFont="1" applyFill="1" applyBorder="1" applyAlignment="1" applyProtection="1">
      <alignment horizontal="right" vertical="center" wrapText="1"/>
      <protection hidden="1"/>
    </xf>
    <xf numFmtId="37" fontId="3" fillId="32" borderId="11" xfId="28" quotePrefix="1" applyNumberFormat="1" applyFont="1" applyFill="1" applyBorder="1" applyAlignment="1">
      <alignment horizontal="center" vertical="center"/>
    </xf>
    <xf numFmtId="9" fontId="22" fillId="32" borderId="11" xfId="0" applyNumberFormat="1" applyFont="1" applyFill="1" applyBorder="1" applyAlignment="1">
      <alignment horizontal="center" vertical="center" wrapText="1"/>
    </xf>
    <xf numFmtId="167" fontId="2" fillId="0" borderId="0" xfId="0" applyNumberFormat="1" applyFont="1" applyAlignment="1">
      <alignment vertical="center" wrapText="1"/>
    </xf>
    <xf numFmtId="180" fontId="2" fillId="0" borderId="0" xfId="0" applyNumberFormat="1" applyFont="1" applyAlignment="1">
      <alignment vertical="center" wrapText="1"/>
    </xf>
    <xf numFmtId="181" fontId="22" fillId="0" borderId="0" xfId="0" applyNumberFormat="1" applyFont="1" applyAlignment="1">
      <alignment horizontal="justify" vertical="center" wrapText="1"/>
    </xf>
    <xf numFmtId="0" fontId="2" fillId="39" borderId="11" xfId="0" applyFont="1" applyFill="1" applyBorder="1" applyAlignment="1">
      <alignment horizontal="center" vertical="center" wrapText="1"/>
    </xf>
    <xf numFmtId="168" fontId="12" fillId="32" borderId="11" xfId="0" applyNumberFormat="1" applyFont="1" applyFill="1" applyBorder="1" applyAlignment="1">
      <alignment horizontal="center" vertical="center"/>
    </xf>
    <xf numFmtId="37" fontId="3" fillId="0" borderId="15" xfId="28" quotePrefix="1" applyNumberFormat="1" applyFont="1" applyBorder="1" applyAlignment="1">
      <alignment horizontal="center" vertical="center"/>
    </xf>
    <xf numFmtId="180" fontId="4" fillId="34" borderId="10" xfId="0" applyNumberFormat="1" applyFont="1" applyFill="1" applyBorder="1" applyAlignment="1">
      <alignment vertical="center" wrapText="1"/>
    </xf>
    <xf numFmtId="168" fontId="3" fillId="32" borderId="11" xfId="0" applyNumberFormat="1" applyFont="1" applyFill="1" applyBorder="1" applyAlignment="1">
      <alignment horizontal="right" vertical="center" wrapText="1"/>
    </xf>
    <xf numFmtId="49" fontId="3" fillId="32" borderId="11" xfId="0" quotePrefix="1" applyNumberFormat="1" applyFont="1" applyFill="1" applyBorder="1" applyAlignment="1">
      <alignment horizontal="center" vertical="center" wrapText="1"/>
    </xf>
    <xf numFmtId="49" fontId="12" fillId="32" borderId="18"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xf>
    <xf numFmtId="1" fontId="3" fillId="0" borderId="11" xfId="0" quotePrefix="1" applyNumberFormat="1" applyFont="1" applyBorder="1" applyAlignment="1">
      <alignment horizontal="center" vertical="center" wrapText="1"/>
    </xf>
    <xf numFmtId="0" fontId="2" fillId="32" borderId="11" xfId="0" quotePrefix="1" applyFont="1" applyFill="1" applyBorder="1" applyAlignment="1">
      <alignment horizontal="center" vertical="center"/>
    </xf>
    <xf numFmtId="0" fontId="12" fillId="0" borderId="15" xfId="0" applyFont="1" applyBorder="1" applyAlignment="1">
      <alignment horizontal="center" vertical="center" wrapText="1"/>
    </xf>
    <xf numFmtId="1" fontId="12" fillId="0" borderId="30" xfId="0" quotePrefix="1" applyNumberFormat="1" applyFont="1" applyBorder="1" applyAlignment="1">
      <alignment horizontal="center" vertical="center"/>
    </xf>
    <xf numFmtId="166" fontId="3" fillId="32" borderId="11" xfId="0" applyNumberFormat="1" applyFont="1" applyFill="1" applyBorder="1" applyAlignment="1">
      <alignment horizontal="center" vertical="center" wrapText="1"/>
    </xf>
    <xf numFmtId="1" fontId="3" fillId="32" borderId="11" xfId="0" applyNumberFormat="1" applyFont="1" applyFill="1" applyBorder="1" applyAlignment="1">
      <alignment horizontal="center" vertical="center" wrapText="1"/>
    </xf>
    <xf numFmtId="175" fontId="2" fillId="32" borderId="0" xfId="28" applyNumberFormat="1" applyFont="1" applyFill="1" applyAlignment="1">
      <alignment vertical="center" wrapText="1"/>
    </xf>
    <xf numFmtId="0" fontId="12" fillId="32" borderId="16" xfId="0" quotePrefix="1" applyFont="1" applyFill="1" applyBorder="1" applyAlignment="1">
      <alignment horizontal="center" vertical="center" wrapText="1"/>
    </xf>
    <xf numFmtId="2" fontId="3" fillId="32" borderId="11" xfId="43" applyNumberFormat="1" applyFont="1" applyFill="1" applyBorder="1" applyAlignment="1">
      <alignment horizontal="center" vertical="center" wrapText="1"/>
    </xf>
    <xf numFmtId="0" fontId="4" fillId="32" borderId="28" xfId="0" applyFont="1" applyFill="1" applyBorder="1" applyAlignment="1">
      <alignment horizontal="left" vertical="center" wrapText="1"/>
    </xf>
    <xf numFmtId="37" fontId="3" fillId="0" borderId="12" xfId="28" quotePrefix="1" applyNumberFormat="1" applyFont="1" applyBorder="1" applyAlignment="1">
      <alignment horizontal="center" vertical="center"/>
    </xf>
    <xf numFmtId="0" fontId="4" fillId="0" borderId="0" xfId="0" applyFont="1" applyAlignment="1">
      <alignment horizontal="left" vertical="center"/>
    </xf>
    <xf numFmtId="181" fontId="22" fillId="0" borderId="16" xfId="0" applyNumberFormat="1" applyFont="1" applyBorder="1" applyAlignment="1" applyProtection="1">
      <alignment horizontal="justify" vertical="center" wrapText="1"/>
      <protection hidden="1"/>
    </xf>
    <xf numFmtId="3" fontId="3" fillId="32" borderId="11" xfId="0" applyNumberFormat="1" applyFont="1" applyFill="1" applyBorder="1" applyAlignment="1" applyProtection="1">
      <alignment horizontal="right" vertical="center" wrapText="1"/>
      <protection locked="0" hidden="1"/>
    </xf>
    <xf numFmtId="168" fontId="2" fillId="0" borderId="0" xfId="0" applyNumberFormat="1" applyFont="1" applyAlignment="1">
      <alignment vertical="center" wrapText="1"/>
    </xf>
    <xf numFmtId="179" fontId="2" fillId="0" borderId="0" xfId="28" applyNumberFormat="1" applyFont="1" applyFill="1" applyBorder="1" applyAlignment="1">
      <alignment vertical="center" wrapText="1"/>
    </xf>
    <xf numFmtId="182" fontId="2" fillId="0" borderId="0" xfId="0" applyNumberFormat="1" applyFont="1" applyAlignment="1">
      <alignment vertical="center" wrapText="1"/>
    </xf>
    <xf numFmtId="3" fontId="19" fillId="0" borderId="0" xfId="0" applyNumberFormat="1" applyFont="1"/>
    <xf numFmtId="0" fontId="5" fillId="0" borderId="0" xfId="0" applyFont="1" applyAlignment="1">
      <alignment vertical="center"/>
    </xf>
    <xf numFmtId="0" fontId="12" fillId="0" borderId="0" xfId="0" applyFont="1" applyAlignment="1">
      <alignment vertical="center"/>
    </xf>
    <xf numFmtId="3" fontId="5" fillId="0" borderId="0" xfId="0" applyNumberFormat="1" applyFont="1" applyAlignment="1">
      <alignment horizontal="left" vertical="center"/>
    </xf>
    <xf numFmtId="0" fontId="9" fillId="0" borderId="0" xfId="0" applyFont="1" applyAlignment="1">
      <alignment vertical="center"/>
    </xf>
    <xf numFmtId="0" fontId="9" fillId="0" borderId="0" xfId="0" applyFont="1" applyAlignment="1">
      <alignment horizontal="center" vertical="center"/>
    </xf>
    <xf numFmtId="165" fontId="9" fillId="0" borderId="0" xfId="0" applyNumberFormat="1" applyFont="1" applyAlignment="1">
      <alignment vertical="center"/>
    </xf>
    <xf numFmtId="0" fontId="12" fillId="0" borderId="0" xfId="0" applyFont="1" applyAlignment="1">
      <alignment horizontal="center" vertical="center"/>
    </xf>
    <xf numFmtId="168" fontId="12" fillId="0" borderId="0" xfId="0" applyNumberFormat="1" applyFont="1" applyAlignment="1">
      <alignment horizontal="center" vertical="center"/>
    </xf>
    <xf numFmtId="0" fontId="12" fillId="25" borderId="0" xfId="0" applyFont="1" applyFill="1" applyAlignment="1">
      <alignment horizontal="right" vertical="center"/>
    </xf>
    <xf numFmtId="0" fontId="9" fillId="0" borderId="0" xfId="0" applyFont="1" applyAlignment="1">
      <alignment horizontal="right" vertical="center"/>
    </xf>
    <xf numFmtId="2" fontId="12" fillId="33" borderId="0" xfId="0" applyNumberFormat="1" applyFont="1" applyFill="1" applyAlignment="1">
      <alignment horizontal="right" vertical="center"/>
    </xf>
    <xf numFmtId="0" fontId="12" fillId="0" borderId="0" xfId="0" applyFont="1" applyAlignment="1">
      <alignment horizontal="right" vertical="center"/>
    </xf>
    <xf numFmtId="0" fontId="2" fillId="0" borderId="0" xfId="0" applyFont="1" applyAlignment="1">
      <alignment horizontal="center" vertical="center"/>
    </xf>
    <xf numFmtId="3" fontId="12" fillId="0" borderId="0" xfId="0" applyNumberFormat="1" applyFont="1" applyAlignment="1">
      <alignment vertical="center"/>
    </xf>
    <xf numFmtId="175" fontId="12" fillId="0" borderId="0" xfId="28" applyNumberFormat="1" applyFont="1" applyFill="1" applyAlignment="1">
      <alignment vertical="center"/>
    </xf>
    <xf numFmtId="0" fontId="2" fillId="40" borderId="11" xfId="0" applyFont="1" applyFill="1" applyBorder="1" applyAlignment="1">
      <alignment horizontal="center" vertical="center" wrapText="1"/>
    </xf>
    <xf numFmtId="1" fontId="3" fillId="32" borderId="11" xfId="0" applyNumberFormat="1" applyFont="1" applyFill="1" applyBorder="1" applyAlignment="1">
      <alignment horizontal="center" vertical="center"/>
    </xf>
    <xf numFmtId="0" fontId="2" fillId="32" borderId="12" xfId="0" quotePrefix="1" applyFont="1" applyFill="1" applyBorder="1" applyAlignment="1">
      <alignment horizontal="left" vertical="center" wrapText="1"/>
    </xf>
    <xf numFmtId="4" fontId="3" fillId="0" borderId="11" xfId="0" applyNumberFormat="1" applyFont="1" applyBorder="1" applyAlignment="1">
      <alignment horizontal="center" vertical="center" wrapText="1"/>
    </xf>
    <xf numFmtId="3" fontId="3" fillId="0" borderId="11" xfId="0" quotePrefix="1" applyNumberFormat="1" applyFont="1" applyBorder="1" applyAlignment="1">
      <alignment horizontal="right" vertical="center" wrapText="1"/>
    </xf>
    <xf numFmtId="0" fontId="2" fillId="0" borderId="12" xfId="0" applyFont="1" applyBorder="1" applyAlignment="1">
      <alignment horizontal="left" vertical="center" wrapText="1"/>
    </xf>
    <xf numFmtId="168" fontId="4" fillId="0" borderId="10" xfId="0" applyNumberFormat="1" applyFont="1" applyBorder="1" applyAlignment="1">
      <alignment horizontal="center"/>
    </xf>
    <xf numFmtId="37" fontId="4" fillId="0" borderId="10" xfId="0" applyNumberFormat="1" applyFont="1" applyBorder="1" applyAlignment="1">
      <alignment horizontal="center"/>
    </xf>
    <xf numFmtId="3" fontId="2" fillId="0" borderId="0" xfId="0" quotePrefix="1" applyNumberFormat="1" applyFont="1" applyAlignment="1">
      <alignment vertical="center" wrapText="1"/>
    </xf>
    <xf numFmtId="3" fontId="2" fillId="0" borderId="36" xfId="0" quotePrefix="1" applyNumberFormat="1" applyFont="1" applyBorder="1" applyAlignment="1">
      <alignment vertical="center" wrapText="1"/>
    </xf>
    <xf numFmtId="181" fontId="22" fillId="0" borderId="0" xfId="0" applyNumberFormat="1" applyFont="1" applyAlignment="1">
      <alignment vertical="center" wrapText="1"/>
    </xf>
    <xf numFmtId="0" fontId="19" fillId="32" borderId="16" xfId="0" applyFont="1" applyFill="1" applyBorder="1" applyAlignment="1">
      <alignment vertical="center" wrapText="1"/>
    </xf>
    <xf numFmtId="9" fontId="2" fillId="32" borderId="11" xfId="0" applyNumberFormat="1" applyFont="1" applyFill="1" applyBorder="1" applyAlignment="1">
      <alignment horizontal="center" vertical="center"/>
    </xf>
    <xf numFmtId="0" fontId="4" fillId="39" borderId="16" xfId="0" applyFont="1" applyFill="1" applyBorder="1" applyAlignment="1">
      <alignment vertical="center" wrapText="1"/>
    </xf>
    <xf numFmtId="9" fontId="2" fillId="39" borderId="11" xfId="0" applyNumberFormat="1" applyFont="1" applyFill="1" applyBorder="1" applyAlignment="1">
      <alignment horizontal="center" vertical="center" wrapText="1"/>
    </xf>
    <xf numFmtId="168" fontId="3" fillId="39" borderId="11" xfId="0" applyNumberFormat="1" applyFont="1" applyFill="1" applyBorder="1" applyAlignment="1">
      <alignment horizontal="center" vertical="center" wrapText="1"/>
    </xf>
    <xf numFmtId="3" fontId="3" fillId="39" borderId="11" xfId="0" applyNumberFormat="1" applyFont="1" applyFill="1" applyBorder="1" applyAlignment="1">
      <alignment horizontal="right" vertical="center" wrapText="1"/>
    </xf>
    <xf numFmtId="3" fontId="3" fillId="39" borderId="11" xfId="0" applyNumberFormat="1" applyFont="1" applyFill="1" applyBorder="1" applyAlignment="1" applyProtection="1">
      <alignment horizontal="right" vertical="center" wrapText="1"/>
      <protection locked="0" hidden="1"/>
    </xf>
    <xf numFmtId="37" fontId="3" fillId="39" borderId="11" xfId="28" quotePrefix="1" applyNumberFormat="1" applyFont="1" applyFill="1" applyBorder="1" applyAlignment="1">
      <alignment horizontal="center" vertical="center"/>
    </xf>
    <xf numFmtId="166" fontId="3" fillId="39" borderId="11" xfId="0" applyNumberFormat="1" applyFont="1" applyFill="1" applyBorder="1" applyAlignment="1">
      <alignment horizontal="right" vertical="center" wrapText="1"/>
    </xf>
    <xf numFmtId="2" fontId="3" fillId="39" borderId="11" xfId="0" applyNumberFormat="1" applyFont="1" applyFill="1" applyBorder="1" applyAlignment="1">
      <alignment horizontal="right" vertical="center" wrapText="1"/>
    </xf>
    <xf numFmtId="0" fontId="58" fillId="0" borderId="0" xfId="0" applyFont="1"/>
    <xf numFmtId="3" fontId="2" fillId="32" borderId="0" xfId="0" applyNumberFormat="1" applyFont="1" applyFill="1" applyAlignment="1">
      <alignment vertical="center" wrapText="1"/>
    </xf>
    <xf numFmtId="0" fontId="2" fillId="32" borderId="24" xfId="0" applyFont="1" applyFill="1" applyBorder="1" applyAlignment="1">
      <alignment vertical="center" wrapText="1"/>
    </xf>
    <xf numFmtId="0" fontId="4" fillId="32" borderId="28" xfId="0" applyFont="1" applyFill="1" applyBorder="1" applyAlignment="1">
      <alignment horizontal="center" vertical="center" wrapText="1"/>
    </xf>
    <xf numFmtId="3" fontId="2" fillId="32" borderId="36" xfId="0" quotePrefix="1" applyNumberFormat="1" applyFont="1" applyFill="1" applyBorder="1" applyAlignment="1">
      <alignment vertical="center" wrapText="1"/>
    </xf>
    <xf numFmtId="3" fontId="2" fillId="32" borderId="0" xfId="0" quotePrefix="1" applyNumberFormat="1" applyFont="1" applyFill="1" applyAlignment="1">
      <alignment vertical="center" wrapText="1"/>
    </xf>
    <xf numFmtId="181" fontId="22" fillId="32" borderId="0" xfId="0" applyNumberFormat="1" applyFont="1" applyFill="1" applyAlignment="1">
      <alignment horizontal="justify" vertical="center" wrapText="1"/>
    </xf>
    <xf numFmtId="167" fontId="2" fillId="32" borderId="0" xfId="0" applyNumberFormat="1" applyFont="1" applyFill="1" applyAlignment="1">
      <alignment vertical="center" wrapText="1"/>
    </xf>
    <xf numFmtId="0" fontId="12" fillId="39" borderId="11" xfId="0" quotePrefix="1" applyFont="1" applyFill="1" applyBorder="1" applyAlignment="1">
      <alignment horizontal="center" vertical="center" wrapText="1"/>
    </xf>
    <xf numFmtId="0" fontId="3" fillId="39" borderId="34" xfId="0" applyFont="1" applyFill="1" applyBorder="1" applyAlignment="1">
      <alignment vertical="center" wrapText="1"/>
    </xf>
    <xf numFmtId="1" fontId="3" fillId="39" borderId="11" xfId="0" quotePrefix="1" applyNumberFormat="1" applyFont="1" applyFill="1" applyBorder="1" applyAlignment="1">
      <alignment horizontal="center" vertical="center" wrapText="1"/>
    </xf>
    <xf numFmtId="2" fontId="2" fillId="39" borderId="11" xfId="0" applyNumberFormat="1" applyFont="1" applyFill="1" applyBorder="1" applyAlignment="1">
      <alignment horizontal="center" vertical="center" wrapText="1"/>
    </xf>
    <xf numFmtId="3" fontId="4" fillId="39" borderId="11" xfId="0" applyNumberFormat="1" applyFont="1" applyFill="1" applyBorder="1" applyAlignment="1">
      <alignment horizontal="right" vertical="center" wrapText="1"/>
    </xf>
    <xf numFmtId="0" fontId="3" fillId="39" borderId="11" xfId="0" applyFont="1" applyFill="1" applyBorder="1" applyAlignment="1">
      <alignment horizontal="center" vertical="center" wrapText="1"/>
    </xf>
    <xf numFmtId="0" fontId="52" fillId="39" borderId="11" xfId="0" applyFont="1" applyFill="1" applyBorder="1" applyAlignment="1">
      <alignment horizontal="center" vertical="center" wrapText="1"/>
    </xf>
    <xf numFmtId="181" fontId="22" fillId="39" borderId="16" xfId="0" applyNumberFormat="1" applyFont="1" applyFill="1" applyBorder="1" applyAlignment="1" applyProtection="1">
      <alignment horizontal="justify" vertical="center" wrapText="1"/>
      <protection hidden="1"/>
    </xf>
    <xf numFmtId="181" fontId="22" fillId="32" borderId="16" xfId="0" applyNumberFormat="1" applyFont="1" applyFill="1" applyBorder="1" applyAlignment="1" applyProtection="1">
      <alignment horizontal="justify" vertical="center" wrapText="1"/>
      <protection hidden="1"/>
    </xf>
    <xf numFmtId="0" fontId="4" fillId="41" borderId="16" xfId="0" applyFont="1" applyFill="1" applyBorder="1" applyAlignment="1">
      <alignment vertical="center" wrapText="1"/>
    </xf>
    <xf numFmtId="9" fontId="2" fillId="41" borderId="11" xfId="0" applyNumberFormat="1" applyFont="1" applyFill="1" applyBorder="1" applyAlignment="1">
      <alignment horizontal="center" vertical="center" wrapText="1"/>
    </xf>
    <xf numFmtId="0" fontId="2" fillId="41" borderId="11" xfId="0" applyFont="1" applyFill="1" applyBorder="1" applyAlignment="1">
      <alignment horizontal="center" vertical="center" wrapText="1"/>
    </xf>
    <xf numFmtId="168" fontId="3" fillId="41" borderId="11" xfId="0" applyNumberFormat="1" applyFont="1" applyFill="1" applyBorder="1" applyAlignment="1">
      <alignment horizontal="center" vertical="center" wrapText="1"/>
    </xf>
    <xf numFmtId="3" fontId="3" fillId="41" borderId="11" xfId="0" applyNumberFormat="1" applyFont="1" applyFill="1" applyBorder="1" applyAlignment="1">
      <alignment horizontal="right" vertical="center" wrapText="1"/>
    </xf>
    <xf numFmtId="0" fontId="3" fillId="41" borderId="11" xfId="0"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locked="0" hidden="1"/>
    </xf>
    <xf numFmtId="37" fontId="3" fillId="41" borderId="11" xfId="28" quotePrefix="1" applyNumberFormat="1" applyFont="1" applyFill="1" applyBorder="1" applyAlignment="1">
      <alignment horizontal="center" vertical="center"/>
    </xf>
    <xf numFmtId="166" fontId="3" fillId="41" borderId="11" xfId="0" applyNumberFormat="1" applyFont="1" applyFill="1" applyBorder="1" applyAlignment="1">
      <alignment horizontal="right" vertical="center" wrapText="1"/>
    </xf>
    <xf numFmtId="2" fontId="3" fillId="41" borderId="11" xfId="0" applyNumberFormat="1" applyFont="1" applyFill="1" applyBorder="1" applyAlignment="1">
      <alignment horizontal="right" vertical="center" wrapText="1"/>
    </xf>
    <xf numFmtId="181" fontId="22" fillId="41" borderId="16" xfId="0" applyNumberFormat="1" applyFont="1" applyFill="1" applyBorder="1" applyAlignment="1" applyProtection="1">
      <alignment horizontal="justify" vertical="center" wrapText="1"/>
      <protection hidden="1"/>
    </xf>
    <xf numFmtId="0" fontId="3" fillId="41" borderId="12" xfId="0" applyFont="1" applyFill="1" applyBorder="1" applyAlignment="1">
      <alignment vertical="center" wrapText="1"/>
    </xf>
    <xf numFmtId="0" fontId="12" fillId="41" borderId="11" xfId="0" applyFont="1" applyFill="1" applyBorder="1" applyAlignment="1">
      <alignment horizontal="center" vertical="center" wrapText="1"/>
    </xf>
    <xf numFmtId="1" fontId="3" fillId="41" borderId="11" xfId="0" applyNumberFormat="1" applyFont="1" applyFill="1" applyBorder="1" applyAlignment="1">
      <alignment horizontal="center" vertical="center"/>
    </xf>
    <xf numFmtId="2" fontId="3" fillId="41" borderId="11" xfId="0" applyNumberFormat="1" applyFont="1" applyFill="1" applyBorder="1" applyAlignment="1">
      <alignment horizontal="center" vertical="center" wrapText="1"/>
    </xf>
    <xf numFmtId="49" fontId="12" fillId="41" borderId="11" xfId="0" applyNumberFormat="1" applyFont="1" applyFill="1" applyBorder="1" applyAlignment="1">
      <alignment horizontal="center" vertical="center" wrapText="1"/>
    </xf>
    <xf numFmtId="0" fontId="7" fillId="32" borderId="12" xfId="0" quotePrefix="1" applyFont="1" applyFill="1" applyBorder="1" applyAlignment="1">
      <alignment vertical="center" wrapText="1"/>
    </xf>
    <xf numFmtId="0" fontId="7" fillId="32" borderId="12" xfId="0" quotePrefix="1" applyFont="1" applyFill="1" applyBorder="1" applyAlignment="1">
      <alignment horizontal="left" vertical="center" wrapText="1"/>
    </xf>
    <xf numFmtId="0" fontId="7" fillId="0" borderId="12" xfId="0" applyFont="1" applyBorder="1" applyAlignment="1">
      <alignment horizontal="left" vertical="center" wrapText="1"/>
    </xf>
    <xf numFmtId="0" fontId="7" fillId="39" borderId="12" xfId="0" quotePrefix="1" applyFont="1" applyFill="1" applyBorder="1" applyAlignment="1">
      <alignment vertical="center" wrapText="1"/>
    </xf>
    <xf numFmtId="0" fontId="7" fillId="32" borderId="24" xfId="0" quotePrefix="1" applyFont="1" applyFill="1" applyBorder="1" applyAlignment="1">
      <alignment vertical="center" wrapText="1"/>
    </xf>
    <xf numFmtId="0" fontId="7" fillId="41" borderId="12" xfId="0" quotePrefix="1" applyFont="1" applyFill="1" applyBorder="1" applyAlignment="1">
      <alignment vertical="center" wrapText="1"/>
    </xf>
    <xf numFmtId="164" fontId="2" fillId="32" borderId="0" xfId="28" applyFont="1" applyFill="1" applyAlignment="1">
      <alignment vertical="center" wrapText="1"/>
    </xf>
    <xf numFmtId="0" fontId="3" fillId="39" borderId="12" xfId="0" applyFont="1" applyFill="1" applyBorder="1" applyAlignment="1">
      <alignment vertical="center" wrapText="1"/>
    </xf>
    <xf numFmtId="0" fontId="12" fillId="39" borderId="11" xfId="0" applyFont="1" applyFill="1" applyBorder="1" applyAlignment="1">
      <alignment horizontal="center" vertical="center" wrapText="1"/>
    </xf>
    <xf numFmtId="49" fontId="12" fillId="39" borderId="11" xfId="0" applyNumberFormat="1" applyFont="1" applyFill="1" applyBorder="1" applyAlignment="1">
      <alignment horizontal="center" vertical="center" wrapText="1"/>
    </xf>
    <xf numFmtId="2" fontId="3" fillId="39" borderId="11" xfId="0" applyNumberFormat="1" applyFont="1" applyFill="1" applyBorder="1" applyAlignment="1">
      <alignment horizontal="center" vertical="center" wrapText="1"/>
    </xf>
    <xf numFmtId="0" fontId="12" fillId="42" borderId="0" xfId="0" applyFont="1" applyFill="1" applyAlignment="1">
      <alignment horizontal="right"/>
    </xf>
    <xf numFmtId="0" fontId="12" fillId="42" borderId="0" xfId="0" applyFont="1" applyFill="1" applyAlignment="1">
      <alignment horizontal="right" vertical="center"/>
    </xf>
    <xf numFmtId="0" fontId="2" fillId="42" borderId="0" xfId="0" applyFont="1" applyFill="1" applyAlignment="1">
      <alignment horizontal="right"/>
    </xf>
    <xf numFmtId="0" fontId="7" fillId="42" borderId="14" xfId="0" applyFont="1" applyFill="1" applyBorder="1" applyAlignment="1">
      <alignment horizontal="center" vertical="center" wrapText="1"/>
    </xf>
    <xf numFmtId="0" fontId="7" fillId="42" borderId="10" xfId="0" quotePrefix="1" applyFont="1" applyFill="1" applyBorder="1" applyAlignment="1">
      <alignment horizontal="center" vertical="center" wrapText="1"/>
    </xf>
    <xf numFmtId="3" fontId="3" fillId="42" borderId="11" xfId="0" applyNumberFormat="1" applyFont="1" applyFill="1" applyBorder="1" applyAlignment="1">
      <alignment horizontal="right" vertical="center" wrapText="1"/>
    </xf>
    <xf numFmtId="3" fontId="3" fillId="42" borderId="11" xfId="0" quotePrefix="1" applyNumberFormat="1" applyFont="1" applyFill="1" applyBorder="1" applyAlignment="1">
      <alignment horizontal="right" vertical="center" wrapText="1"/>
    </xf>
    <xf numFmtId="3" fontId="4" fillId="42" borderId="10" xfId="0" applyNumberFormat="1" applyFont="1" applyFill="1" applyBorder="1" applyAlignment="1">
      <alignment vertical="center" wrapText="1"/>
    </xf>
    <xf numFmtId="0" fontId="9" fillId="42" borderId="0" xfId="0" applyFont="1" applyFill="1"/>
    <xf numFmtId="0" fontId="12" fillId="42" borderId="0" xfId="0" applyFont="1" applyFill="1" applyAlignment="1">
      <alignment horizontal="center"/>
    </xf>
    <xf numFmtId="0" fontId="2" fillId="42" borderId="0" xfId="0" applyFont="1" applyFill="1"/>
    <xf numFmtId="179" fontId="2" fillId="32" borderId="0" xfId="28" applyNumberFormat="1" applyFont="1" applyFill="1" applyBorder="1" applyAlignment="1">
      <alignment vertical="center" wrapText="1"/>
    </xf>
    <xf numFmtId="179" fontId="2" fillId="32" borderId="0" xfId="28" applyNumberFormat="1" applyFont="1" applyFill="1" applyAlignment="1">
      <alignment vertical="center" wrapText="1"/>
    </xf>
    <xf numFmtId="0" fontId="6" fillId="32" borderId="16" xfId="0" applyFont="1" applyFill="1" applyBorder="1" applyAlignment="1">
      <alignment vertical="center" wrapText="1"/>
    </xf>
    <xf numFmtId="1" fontId="3" fillId="39" borderId="11" xfId="0" applyNumberFormat="1" applyFont="1" applyFill="1" applyBorder="1" applyAlignment="1">
      <alignment horizontal="center" vertical="center"/>
    </xf>
    <xf numFmtId="0" fontId="9" fillId="32" borderId="0" xfId="0" applyFont="1" applyFill="1"/>
    <xf numFmtId="0" fontId="12" fillId="32" borderId="0" xfId="0" applyFont="1" applyFill="1" applyAlignment="1">
      <alignment horizontal="center"/>
    </xf>
    <xf numFmtId="0" fontId="14" fillId="0" borderId="0" xfId="0" applyFont="1" applyAlignment="1">
      <alignment horizontal="center" vertical="center"/>
    </xf>
    <xf numFmtId="168" fontId="12" fillId="32" borderId="0" xfId="0" applyNumberFormat="1" applyFont="1" applyFill="1" applyAlignment="1">
      <alignment horizontal="center"/>
    </xf>
    <xf numFmtId="0" fontId="5" fillId="0" borderId="0" xfId="0" applyFont="1" applyAlignment="1">
      <alignment horizontal="center" vertical="center"/>
    </xf>
    <xf numFmtId="0" fontId="2" fillId="32" borderId="0" xfId="0" applyFont="1" applyFill="1" applyAlignment="1">
      <alignment horizontal="center"/>
    </xf>
    <xf numFmtId="168" fontId="2" fillId="32" borderId="0" xfId="0" applyNumberFormat="1" applyFont="1" applyFill="1" applyAlignment="1">
      <alignment horizontal="center"/>
    </xf>
    <xf numFmtId="0" fontId="6" fillId="0" borderId="35" xfId="0" applyFont="1" applyBorder="1" applyAlignment="1">
      <alignment horizontal="center" vertical="center" wrapText="1"/>
    </xf>
    <xf numFmtId="168" fontId="7" fillId="32" borderId="10" xfId="0" quotePrefix="1" applyNumberFormat="1" applyFont="1" applyFill="1" applyBorder="1" applyAlignment="1">
      <alignment horizontal="center" vertical="center" wrapText="1"/>
    </xf>
    <xf numFmtId="0" fontId="7" fillId="32" borderId="10" xfId="0" quotePrefix="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xf>
    <xf numFmtId="3" fontId="3" fillId="32" borderId="11" xfId="0" applyNumberFormat="1" applyFont="1" applyFill="1" applyBorder="1" applyAlignment="1">
      <alignment horizontal="center" vertical="center" wrapText="1"/>
    </xf>
    <xf numFmtId="0" fontId="3" fillId="32" borderId="11" xfId="0" applyFont="1" applyFill="1" applyBorder="1" applyAlignment="1" applyProtection="1">
      <alignment horizontal="center" vertical="center" wrapText="1"/>
      <protection hidden="1"/>
    </xf>
    <xf numFmtId="0" fontId="3" fillId="32" borderId="25" xfId="0" applyFont="1" applyFill="1" applyBorder="1" applyAlignment="1" applyProtection="1">
      <alignment horizontal="center" vertical="center" wrapText="1"/>
      <protection hidden="1"/>
    </xf>
    <xf numFmtId="165" fontId="2" fillId="32" borderId="11" xfId="0" applyNumberFormat="1" applyFont="1" applyFill="1" applyBorder="1" applyAlignment="1" applyProtection="1">
      <alignment horizontal="center" vertical="center" wrapText="1"/>
      <protection hidden="1"/>
    </xf>
    <xf numFmtId="166" fontId="3" fillId="32" borderId="11" xfId="0" applyNumberFormat="1" applyFont="1" applyFill="1" applyBorder="1" applyAlignment="1" applyProtection="1">
      <alignment horizontal="right" vertical="center" wrapText="1"/>
      <protection hidden="1"/>
    </xf>
    <xf numFmtId="2" fontId="3" fillId="32" borderId="11" xfId="0" applyNumberFormat="1" applyFont="1" applyFill="1" applyBorder="1" applyAlignment="1" applyProtection="1">
      <alignment horizontal="right" vertical="center" wrapText="1"/>
      <protection hidden="1"/>
    </xf>
    <xf numFmtId="3" fontId="4" fillId="32" borderId="11" xfId="0" applyNumberFormat="1" applyFont="1" applyFill="1" applyBorder="1" applyAlignment="1" applyProtection="1">
      <alignment horizontal="right" vertical="center" wrapText="1"/>
      <protection hidden="1"/>
    </xf>
    <xf numFmtId="0" fontId="7" fillId="32" borderId="12" xfId="0" applyFont="1" applyFill="1" applyBorder="1" applyAlignment="1">
      <alignment horizontal="center" vertical="center" wrapText="1"/>
    </xf>
    <xf numFmtId="181" fontId="22" fillId="32" borderId="29" xfId="0" applyNumberFormat="1" applyFont="1" applyFill="1" applyBorder="1" applyAlignment="1">
      <alignment horizontal="left" vertical="center" wrapText="1"/>
    </xf>
    <xf numFmtId="1" fontId="2" fillId="0" borderId="11" xfId="0" quotePrefix="1" applyNumberFormat="1" applyFont="1" applyBorder="1" applyAlignment="1">
      <alignment horizontal="center" vertical="center"/>
    </xf>
    <xf numFmtId="1" fontId="2" fillId="32" borderId="11" xfId="0" applyNumberFormat="1" applyFont="1" applyFill="1" applyBorder="1" applyAlignment="1">
      <alignment horizontal="center" vertical="center"/>
    </xf>
    <xf numFmtId="0" fontId="2" fillId="0" borderId="36" xfId="0" applyFont="1" applyBorder="1" applyAlignment="1">
      <alignment vertical="center" wrapText="1"/>
    </xf>
    <xf numFmtId="181" fontId="22" fillId="32" borderId="36" xfId="0" applyNumberFormat="1" applyFont="1" applyFill="1" applyBorder="1" applyAlignment="1">
      <alignment horizontal="left" vertical="center" wrapText="1"/>
    </xf>
    <xf numFmtId="175" fontId="2" fillId="0" borderId="36" xfId="28" applyNumberFormat="1" applyFont="1" applyFill="1" applyBorder="1" applyAlignment="1">
      <alignment vertical="center" wrapText="1"/>
    </xf>
    <xf numFmtId="175" fontId="2" fillId="32" borderId="36" xfId="28" applyNumberFormat="1" applyFont="1" applyFill="1" applyBorder="1" applyAlignment="1">
      <alignment vertical="center" wrapText="1"/>
    </xf>
    <xf numFmtId="49" fontId="2" fillId="32" borderId="11" xfId="0" applyNumberFormat="1" applyFont="1" applyFill="1" applyBorder="1" applyAlignment="1">
      <alignment horizontal="center" vertical="center" wrapText="1"/>
    </xf>
    <xf numFmtId="0" fontId="2" fillId="32" borderId="24" xfId="0" applyFont="1" applyFill="1" applyBorder="1" applyAlignment="1" applyProtection="1">
      <alignment vertical="center" wrapText="1"/>
      <protection hidden="1"/>
    </xf>
    <xf numFmtId="1" fontId="2" fillId="0" borderId="11" xfId="0" applyNumberFormat="1" applyFont="1" applyBorder="1" applyAlignment="1">
      <alignment horizontal="center" vertical="center"/>
    </xf>
    <xf numFmtId="1" fontId="22" fillId="32" borderId="11" xfId="0" quotePrefix="1" applyNumberFormat="1" applyFont="1" applyFill="1" applyBorder="1" applyAlignment="1">
      <alignment horizontal="center" vertical="center"/>
    </xf>
    <xf numFmtId="0" fontId="3" fillId="0" borderId="12" xfId="0" applyFont="1" applyBorder="1" applyAlignment="1">
      <alignment vertical="center"/>
    </xf>
    <xf numFmtId="0" fontId="3" fillId="0" borderId="16" xfId="0" applyFont="1" applyBorder="1" applyAlignment="1">
      <alignment vertical="center"/>
    </xf>
    <xf numFmtId="2" fontId="3" fillId="33" borderId="11" xfId="0" applyNumberFormat="1" applyFont="1" applyFill="1" applyBorder="1" applyAlignment="1" applyProtection="1">
      <alignment horizontal="right" vertical="center" wrapText="1"/>
      <protection hidden="1"/>
    </xf>
    <xf numFmtId="3" fontId="3" fillId="39" borderId="11" xfId="0" applyNumberFormat="1" applyFont="1" applyFill="1" applyBorder="1" applyAlignment="1">
      <alignment horizontal="center" vertical="center" wrapText="1"/>
    </xf>
    <xf numFmtId="3" fontId="3" fillId="39" borderId="11" xfId="0" applyNumberFormat="1" applyFont="1" applyFill="1" applyBorder="1" applyAlignment="1" applyProtection="1">
      <alignment horizontal="right" vertical="center" wrapText="1"/>
      <protection hidden="1"/>
    </xf>
    <xf numFmtId="0" fontId="3" fillId="39" borderId="11" xfId="0" applyFont="1" applyFill="1" applyBorder="1" applyAlignment="1" applyProtection="1">
      <alignment horizontal="center" vertical="center" wrapText="1"/>
      <protection hidden="1"/>
    </xf>
    <xf numFmtId="0" fontId="3" fillId="39" borderId="25" xfId="0" applyFont="1" applyFill="1" applyBorder="1" applyAlignment="1" applyProtection="1">
      <alignment horizontal="center" vertical="center" wrapText="1"/>
      <protection hidden="1"/>
    </xf>
    <xf numFmtId="165" fontId="2" fillId="39" borderId="11" xfId="0" applyNumberFormat="1" applyFont="1" applyFill="1" applyBorder="1" applyAlignment="1" applyProtection="1">
      <alignment horizontal="center" vertical="center" wrapText="1"/>
      <protection hidden="1"/>
    </xf>
    <xf numFmtId="166" fontId="3" fillId="39" borderId="11" xfId="0" applyNumberFormat="1" applyFont="1" applyFill="1" applyBorder="1" applyAlignment="1" applyProtection="1">
      <alignment horizontal="right" vertical="center" wrapText="1"/>
      <protection hidden="1"/>
    </xf>
    <xf numFmtId="2" fontId="3" fillId="39" borderId="11" xfId="0" applyNumberFormat="1" applyFont="1" applyFill="1" applyBorder="1" applyAlignment="1" applyProtection="1">
      <alignment horizontal="right" vertical="center" wrapText="1"/>
      <protection hidden="1"/>
    </xf>
    <xf numFmtId="0" fontId="7" fillId="39" borderId="12" xfId="0" applyFont="1" applyFill="1" applyBorder="1" applyAlignment="1">
      <alignment horizontal="center" vertical="center" wrapText="1"/>
    </xf>
    <xf numFmtId="181" fontId="22" fillId="39" borderId="29" xfId="0" applyNumberFormat="1" applyFont="1" applyFill="1" applyBorder="1" applyAlignment="1">
      <alignment horizontal="left" vertical="center" wrapText="1"/>
    </xf>
    <xf numFmtId="0" fontId="2" fillId="32" borderId="11" xfId="0" quotePrefix="1" applyFont="1" applyFill="1" applyBorder="1" applyAlignment="1">
      <alignment horizontal="center" vertical="center" wrapText="1"/>
    </xf>
    <xf numFmtId="1" fontId="2" fillId="32" borderId="15" xfId="0" quotePrefix="1" applyNumberFormat="1" applyFont="1" applyFill="1" applyBorder="1" applyAlignment="1">
      <alignment horizontal="center" vertical="center"/>
    </xf>
    <xf numFmtId="1" fontId="2" fillId="32" borderId="31" xfId="0" quotePrefix="1" applyNumberFormat="1" applyFont="1" applyFill="1" applyBorder="1" applyAlignment="1">
      <alignment horizontal="center" vertical="center"/>
    </xf>
    <xf numFmtId="0" fontId="9" fillId="0" borderId="2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1" xfId="0" applyFont="1" applyBorder="1" applyAlignment="1">
      <alignment horizontal="right" vertical="center" wrapText="1"/>
    </xf>
    <xf numFmtId="0" fontId="22" fillId="32" borderId="28" xfId="0" quotePrefix="1" applyFont="1" applyFill="1" applyBorder="1" applyAlignment="1">
      <alignment vertical="center" wrapText="1"/>
    </xf>
    <xf numFmtId="0" fontId="4" fillId="0" borderId="0" xfId="0" applyFont="1" applyAlignment="1">
      <alignment horizontal="left"/>
    </xf>
    <xf numFmtId="0" fontId="22" fillId="32" borderId="0" xfId="0" quotePrefix="1" applyFont="1" applyFill="1" applyAlignment="1">
      <alignment vertical="center" wrapText="1"/>
    </xf>
    <xf numFmtId="0" fontId="2" fillId="32" borderId="0" xfId="0" applyFont="1" applyFill="1"/>
    <xf numFmtId="0" fontId="2" fillId="0" borderId="0" xfId="0" quotePrefix="1" applyFont="1"/>
    <xf numFmtId="3" fontId="3" fillId="42" borderId="11" xfId="0" applyNumberFormat="1" applyFont="1" applyFill="1" applyBorder="1" applyAlignment="1" applyProtection="1">
      <alignment horizontal="right" vertical="center" wrapText="1"/>
      <protection hidden="1"/>
    </xf>
    <xf numFmtId="1" fontId="2" fillId="39" borderId="11" xfId="0" applyNumberFormat="1" applyFont="1" applyFill="1" applyBorder="1" applyAlignment="1">
      <alignment horizontal="center" vertical="center"/>
    </xf>
    <xf numFmtId="0" fontId="58" fillId="32" borderId="0" xfId="0" applyFont="1" applyFill="1"/>
    <xf numFmtId="0" fontId="46" fillId="39" borderId="16" xfId="0" applyFont="1" applyFill="1" applyBorder="1" applyAlignment="1">
      <alignment vertical="center" wrapText="1"/>
    </xf>
    <xf numFmtId="0" fontId="9" fillId="0" borderId="0" xfId="0" applyFont="1" applyAlignment="1">
      <alignment horizontal="left" vertical="center"/>
    </xf>
    <xf numFmtId="0" fontId="7" fillId="0" borderId="20" xfId="0" quotePrefix="1" applyFont="1" applyBorder="1" applyAlignment="1">
      <alignment horizontal="center" vertical="center" wrapText="1"/>
    </xf>
    <xf numFmtId="37" fontId="4" fillId="0" borderId="11" xfId="28" quotePrefix="1" applyNumberFormat="1" applyFont="1" applyBorder="1" applyAlignment="1">
      <alignment horizontal="center" vertical="center"/>
    </xf>
    <xf numFmtId="0" fontId="2" fillId="32" borderId="36" xfId="0" applyFont="1" applyFill="1" applyBorder="1" applyAlignment="1">
      <alignment vertical="center" wrapText="1"/>
    </xf>
    <xf numFmtId="0" fontId="52" fillId="41" borderId="11" xfId="0" applyFont="1" applyFill="1" applyBorder="1" applyAlignment="1">
      <alignment horizontal="center" vertical="center" wrapText="1"/>
    </xf>
    <xf numFmtId="3" fontId="4" fillId="41" borderId="11" xfId="0" applyNumberFormat="1" applyFont="1" applyFill="1" applyBorder="1" applyAlignment="1">
      <alignment horizontal="right" vertical="center" wrapText="1"/>
    </xf>
    <xf numFmtId="0" fontId="3" fillId="32" borderId="11" xfId="0" quotePrefix="1" applyFont="1" applyFill="1" applyBorder="1" applyAlignment="1">
      <alignment horizontal="center" vertical="center" wrapText="1"/>
    </xf>
    <xf numFmtId="0" fontId="7" fillId="0" borderId="21" xfId="0" quotePrefix="1" applyFont="1" applyBorder="1" applyAlignment="1">
      <alignment horizontal="center" vertical="center" wrapText="1"/>
    </xf>
    <xf numFmtId="0" fontId="2" fillId="0" borderId="0" xfId="0" applyFont="1" applyAlignment="1">
      <alignment horizontal="center" vertical="center" wrapText="1"/>
    </xf>
    <xf numFmtId="0" fontId="12" fillId="41" borderId="11" xfId="0" quotePrefix="1" applyFont="1" applyFill="1" applyBorder="1" applyAlignment="1">
      <alignment horizontal="center" vertical="center" wrapText="1"/>
    </xf>
    <xf numFmtId="0" fontId="3" fillId="41" borderId="12" xfId="0" applyFont="1" applyFill="1" applyBorder="1" applyAlignment="1">
      <alignment vertical="center"/>
    </xf>
    <xf numFmtId="37" fontId="3" fillId="0" borderId="38" xfId="28" quotePrefix="1" applyNumberFormat="1" applyFont="1" applyBorder="1" applyAlignment="1">
      <alignment horizontal="center" vertical="center"/>
    </xf>
    <xf numFmtId="37" fontId="4" fillId="0" borderId="38" xfId="28" quotePrefix="1" applyNumberFormat="1" applyFont="1" applyBorder="1" applyAlignment="1">
      <alignment horizontal="center" vertical="center"/>
    </xf>
    <xf numFmtId="183" fontId="3" fillId="0" borderId="38" xfId="28" quotePrefix="1" applyNumberFormat="1" applyFont="1" applyBorder="1" applyAlignment="1">
      <alignment horizontal="center" vertical="center"/>
    </xf>
    <xf numFmtId="167" fontId="4" fillId="0" borderId="20" xfId="0" applyNumberFormat="1" applyFont="1" applyBorder="1" applyAlignment="1">
      <alignment vertical="center" wrapText="1"/>
    </xf>
    <xf numFmtId="0" fontId="6" fillId="0" borderId="35" xfId="0" applyFont="1" applyBorder="1" applyAlignment="1" applyProtection="1">
      <alignment horizontal="center" vertical="center" wrapText="1"/>
      <protection locked="0"/>
    </xf>
    <xf numFmtId="0" fontId="6" fillId="0" borderId="14" xfId="0" applyFont="1" applyBorder="1" applyAlignment="1" applyProtection="1">
      <alignment horizontal="center" vertical="center" wrapText="1"/>
      <protection locked="0"/>
    </xf>
    <xf numFmtId="0" fontId="7" fillId="0" borderId="20" xfId="0" quotePrefix="1" applyFont="1" applyBorder="1" applyAlignment="1">
      <alignment vertical="center" wrapText="1"/>
    </xf>
    <xf numFmtId="0" fontId="12" fillId="0" borderId="0" xfId="0" applyFont="1" applyAlignment="1" applyProtection="1">
      <alignment horizontal="center"/>
      <protection locked="0"/>
    </xf>
    <xf numFmtId="0" fontId="2" fillId="0" borderId="0" xfId="0" applyFont="1" applyProtection="1">
      <protection locked="0"/>
    </xf>
    <xf numFmtId="0" fontId="9" fillId="0" borderId="0" xfId="0" applyFont="1" applyProtection="1">
      <protection locked="0"/>
    </xf>
    <xf numFmtId="0" fontId="9" fillId="34" borderId="0" xfId="0" applyFont="1" applyFill="1" applyProtection="1">
      <protection locked="0"/>
    </xf>
    <xf numFmtId="0" fontId="9" fillId="0" borderId="0" xfId="0" applyFont="1" applyAlignment="1" applyProtection="1">
      <alignment horizontal="center"/>
      <protection locked="0"/>
    </xf>
    <xf numFmtId="0" fontId="21" fillId="0" borderId="0" xfId="0" applyFont="1" applyAlignment="1" applyProtection="1">
      <alignment horizontal="left"/>
      <protection locked="0"/>
    </xf>
    <xf numFmtId="0" fontId="12" fillId="0" borderId="0" xfId="0" applyFont="1" applyAlignment="1" applyProtection="1">
      <alignment horizontal="right"/>
      <protection locked="0"/>
    </xf>
    <xf numFmtId="166" fontId="12" fillId="0" borderId="0" xfId="0" applyNumberFormat="1" applyFont="1" applyAlignment="1" applyProtection="1">
      <alignment horizontal="right"/>
      <protection locked="0"/>
    </xf>
    <xf numFmtId="2" fontId="12" fillId="0" borderId="0" xfId="0" applyNumberFormat="1" applyFont="1" applyAlignment="1" applyProtection="1">
      <alignment horizontal="right"/>
      <protection locked="0"/>
    </xf>
    <xf numFmtId="0" fontId="14" fillId="0" borderId="0" xfId="0" applyFont="1" applyAlignment="1" applyProtection="1">
      <alignment horizontal="center"/>
      <protection locked="0"/>
    </xf>
    <xf numFmtId="0" fontId="14" fillId="0" borderId="0" xfId="0" applyFont="1" applyAlignment="1" applyProtection="1">
      <alignment horizontal="center" wrapText="1"/>
      <protection locked="0"/>
    </xf>
    <xf numFmtId="0" fontId="12" fillId="0" borderId="0" xfId="0" applyFont="1" applyProtection="1">
      <protection locked="0"/>
    </xf>
    <xf numFmtId="0" fontId="4" fillId="0" borderId="0" xfId="0" applyFont="1" applyAlignment="1" applyProtection="1">
      <alignment vertical="center"/>
      <protection locked="0"/>
    </xf>
    <xf numFmtId="0" fontId="12" fillId="43" borderId="11" xfId="0" quotePrefix="1" applyFont="1" applyFill="1" applyBorder="1" applyAlignment="1">
      <alignment horizontal="center" vertical="center" wrapText="1"/>
    </xf>
    <xf numFmtId="0" fontId="3" fillId="43" borderId="12" xfId="0" applyFont="1" applyFill="1" applyBorder="1" applyAlignment="1">
      <alignment vertical="center" wrapText="1"/>
    </xf>
    <xf numFmtId="0" fontId="4" fillId="43" borderId="16" xfId="0" applyFont="1" applyFill="1" applyBorder="1" applyAlignment="1">
      <alignment vertical="center" wrapText="1"/>
    </xf>
    <xf numFmtId="0" fontId="12" fillId="43" borderId="11" xfId="0" applyFont="1" applyFill="1" applyBorder="1" applyAlignment="1">
      <alignment horizontal="center" vertical="center" wrapText="1"/>
    </xf>
    <xf numFmtId="49" fontId="12" fillId="43" borderId="11" xfId="0" applyNumberFormat="1" applyFont="1" applyFill="1" applyBorder="1" applyAlignment="1">
      <alignment horizontal="center" vertical="center" wrapText="1"/>
    </xf>
    <xf numFmtId="0" fontId="3" fillId="43" borderId="11" xfId="0" applyFont="1" applyFill="1" applyBorder="1" applyAlignment="1">
      <alignment horizontal="center" vertical="center" wrapText="1"/>
    </xf>
    <xf numFmtId="9" fontId="2" fillId="43" borderId="11" xfId="0" applyNumberFormat="1" applyFont="1" applyFill="1" applyBorder="1" applyAlignment="1">
      <alignment horizontal="center" vertical="center" wrapText="1"/>
    </xf>
    <xf numFmtId="0" fontId="2" fillId="43" borderId="11" xfId="0" applyFont="1" applyFill="1" applyBorder="1" applyAlignment="1">
      <alignment horizontal="center" vertical="center" wrapText="1"/>
    </xf>
    <xf numFmtId="168" fontId="3" fillId="43" borderId="11" xfId="0" applyNumberFormat="1" applyFont="1" applyFill="1" applyBorder="1" applyAlignment="1">
      <alignment horizontal="center" vertical="center" wrapText="1"/>
    </xf>
    <xf numFmtId="3" fontId="3" fillId="43" borderId="11" xfId="0" applyNumberFormat="1" applyFont="1" applyFill="1" applyBorder="1" applyAlignment="1">
      <alignment horizontal="right" vertical="center" wrapText="1"/>
    </xf>
    <xf numFmtId="3" fontId="3" fillId="43" borderId="11" xfId="0" applyNumberFormat="1" applyFont="1" applyFill="1" applyBorder="1" applyAlignment="1" applyProtection="1">
      <alignment horizontal="right" vertical="center" wrapText="1"/>
      <protection locked="0" hidden="1"/>
    </xf>
    <xf numFmtId="0" fontId="52" fillId="43" borderId="11" xfId="0" applyFont="1" applyFill="1" applyBorder="1" applyAlignment="1">
      <alignment horizontal="center" vertical="center" wrapText="1"/>
    </xf>
    <xf numFmtId="37" fontId="3" fillId="43" borderId="11" xfId="28" quotePrefix="1" applyNumberFormat="1" applyFont="1" applyFill="1" applyBorder="1" applyAlignment="1">
      <alignment horizontal="center" vertical="center"/>
    </xf>
    <xf numFmtId="166" fontId="3" fillId="43" borderId="11" xfId="0" applyNumberFormat="1" applyFont="1" applyFill="1" applyBorder="1" applyAlignment="1">
      <alignment horizontal="right" vertical="center" wrapText="1"/>
    </xf>
    <xf numFmtId="2" fontId="3" fillId="43" borderId="11" xfId="0" applyNumberFormat="1" applyFont="1" applyFill="1" applyBorder="1" applyAlignment="1">
      <alignment horizontal="right" vertical="center" wrapText="1"/>
    </xf>
    <xf numFmtId="3" fontId="4" fillId="43" borderId="11" xfId="0" applyNumberFormat="1" applyFont="1" applyFill="1" applyBorder="1" applyAlignment="1">
      <alignment horizontal="right" vertical="center" wrapText="1"/>
    </xf>
    <xf numFmtId="37" fontId="4" fillId="43" borderId="38" xfId="28" quotePrefix="1" applyNumberFormat="1" applyFont="1" applyFill="1" applyBorder="1" applyAlignment="1">
      <alignment horizontal="center" vertical="center"/>
    </xf>
    <xf numFmtId="183" fontId="3" fillId="43" borderId="38" xfId="28" quotePrefix="1" applyNumberFormat="1" applyFont="1" applyFill="1" applyBorder="1" applyAlignment="1">
      <alignment horizontal="center" vertical="center"/>
    </xf>
    <xf numFmtId="37" fontId="3" fillId="43" borderId="38" xfId="28" quotePrefix="1" applyNumberFormat="1" applyFont="1" applyFill="1" applyBorder="1" applyAlignment="1">
      <alignment horizontal="center" vertical="center"/>
    </xf>
    <xf numFmtId="0" fontId="7" fillId="43" borderId="12" xfId="0" quotePrefix="1" applyFont="1" applyFill="1" applyBorder="1" applyAlignment="1">
      <alignment vertical="center" wrapText="1"/>
    </xf>
    <xf numFmtId="181" fontId="22" fillId="43" borderId="16" xfId="0" applyNumberFormat="1" applyFont="1" applyFill="1" applyBorder="1" applyAlignment="1" applyProtection="1">
      <alignment horizontal="justify" vertical="center" wrapText="1"/>
      <protection hidden="1"/>
    </xf>
    <xf numFmtId="37" fontId="4" fillId="41" borderId="38" xfId="28" quotePrefix="1" applyNumberFormat="1" applyFont="1" applyFill="1" applyBorder="1" applyAlignment="1">
      <alignment horizontal="center" vertical="center"/>
    </xf>
    <xf numFmtId="183" fontId="3" fillId="41" borderId="38" xfId="28" quotePrefix="1" applyNumberFormat="1" applyFont="1" applyFill="1" applyBorder="1" applyAlignment="1">
      <alignment horizontal="center" vertical="center"/>
    </xf>
    <xf numFmtId="37" fontId="3" fillId="41" borderId="38" xfId="28" quotePrefix="1" applyNumberFormat="1" applyFont="1" applyFill="1" applyBorder="1" applyAlignment="1">
      <alignment horizontal="center" vertical="center"/>
    </xf>
    <xf numFmtId="37" fontId="4" fillId="39" borderId="38" xfId="28" quotePrefix="1" applyNumberFormat="1" applyFont="1" applyFill="1" applyBorder="1" applyAlignment="1">
      <alignment horizontal="center" vertical="center"/>
    </xf>
    <xf numFmtId="183" fontId="3" fillId="39" borderId="38" xfId="28" quotePrefix="1" applyNumberFormat="1" applyFont="1" applyFill="1" applyBorder="1" applyAlignment="1">
      <alignment horizontal="center" vertical="center"/>
    </xf>
    <xf numFmtId="37" fontId="3" fillId="39" borderId="38" xfId="28" quotePrefix="1" applyNumberFormat="1" applyFont="1" applyFill="1" applyBorder="1" applyAlignment="1">
      <alignment horizontal="center" vertical="center"/>
    </xf>
    <xf numFmtId="0" fontId="4" fillId="32" borderId="32" xfId="0" applyFont="1" applyFill="1" applyBorder="1" applyAlignment="1">
      <alignment vertical="center" wrapText="1"/>
    </xf>
    <xf numFmtId="0" fontId="12" fillId="0" borderId="22" xfId="0" applyFont="1" applyBorder="1" applyAlignment="1">
      <alignment horizontal="center" vertical="center" wrapText="1"/>
    </xf>
    <xf numFmtId="1" fontId="12" fillId="0" borderId="23" xfId="0" quotePrefix="1" applyNumberFormat="1" applyFont="1" applyBorder="1" applyAlignment="1">
      <alignment horizontal="center" vertical="center"/>
    </xf>
    <xf numFmtId="2" fontId="3" fillId="32" borderId="33" xfId="0" applyNumberFormat="1" applyFont="1" applyFill="1" applyBorder="1" applyAlignment="1">
      <alignment horizontal="center" vertical="center" wrapText="1"/>
    </xf>
    <xf numFmtId="9" fontId="2" fillId="32" borderId="33" xfId="0" applyNumberFormat="1" applyFont="1" applyFill="1" applyBorder="1" applyAlignment="1">
      <alignment horizontal="center" vertical="center" wrapText="1"/>
    </xf>
    <xf numFmtId="2" fontId="2" fillId="32" borderId="33" xfId="0" applyNumberFormat="1" applyFont="1" applyFill="1" applyBorder="1" applyAlignment="1">
      <alignment horizontal="center" vertical="center" wrapText="1"/>
    </xf>
    <xf numFmtId="0" fontId="2" fillId="32" borderId="33" xfId="0" applyFont="1" applyFill="1" applyBorder="1" applyAlignment="1">
      <alignment horizontal="center" vertical="center" wrapText="1"/>
    </xf>
    <xf numFmtId="168" fontId="3" fillId="32" borderId="33" xfId="0" applyNumberFormat="1" applyFont="1" applyFill="1" applyBorder="1" applyAlignment="1">
      <alignment horizontal="center" vertical="center" wrapText="1"/>
    </xf>
    <xf numFmtId="3" fontId="3" fillId="32" borderId="33" xfId="0" applyNumberFormat="1" applyFont="1" applyFill="1" applyBorder="1" applyAlignment="1">
      <alignment horizontal="right" vertical="center" wrapText="1"/>
    </xf>
    <xf numFmtId="0" fontId="3" fillId="32" borderId="33" xfId="0"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locked="0" hidden="1"/>
    </xf>
    <xf numFmtId="0" fontId="52" fillId="32" borderId="33" xfId="0" applyFont="1" applyFill="1" applyBorder="1" applyAlignment="1">
      <alignment horizontal="center" vertical="center" wrapText="1"/>
    </xf>
    <xf numFmtId="37" fontId="3" fillId="0" borderId="33" xfId="28" quotePrefix="1" applyNumberFormat="1" applyFont="1" applyBorder="1" applyAlignment="1">
      <alignment horizontal="center" vertical="center"/>
    </xf>
    <xf numFmtId="166" fontId="3" fillId="34" borderId="33" xfId="0" applyNumberFormat="1" applyFont="1" applyFill="1" applyBorder="1" applyAlignment="1">
      <alignment horizontal="right" vertical="center" wrapText="1"/>
    </xf>
    <xf numFmtId="2" fontId="3" fillId="33" borderId="33" xfId="0" applyNumberFormat="1" applyFont="1" applyFill="1" applyBorder="1" applyAlignment="1">
      <alignment horizontal="right" vertical="center" wrapText="1"/>
    </xf>
    <xf numFmtId="3" fontId="3" fillId="42" borderId="33" xfId="0" applyNumberFormat="1" applyFont="1" applyFill="1" applyBorder="1" applyAlignment="1">
      <alignment horizontal="right" vertical="center" wrapText="1"/>
    </xf>
    <xf numFmtId="3" fontId="4" fillId="32" borderId="33" xfId="0" applyNumberFormat="1" applyFont="1" applyFill="1" applyBorder="1" applyAlignment="1">
      <alignment horizontal="right" vertical="center" wrapText="1"/>
    </xf>
    <xf numFmtId="37" fontId="3" fillId="0" borderId="22" xfId="28" quotePrefix="1" applyNumberFormat="1" applyFont="1" applyBorder="1" applyAlignment="1">
      <alignment horizontal="center" vertical="center"/>
    </xf>
    <xf numFmtId="37" fontId="4" fillId="0" borderId="36" xfId="28" quotePrefix="1" applyNumberFormat="1" applyFont="1" applyBorder="1" applyAlignment="1">
      <alignment horizontal="center" vertical="center"/>
    </xf>
    <xf numFmtId="183" fontId="3" fillId="0" borderId="36" xfId="28" quotePrefix="1" applyNumberFormat="1" applyFont="1" applyBorder="1" applyAlignment="1">
      <alignment horizontal="center" vertical="center"/>
    </xf>
    <xf numFmtId="37" fontId="3" fillId="0" borderId="36" xfId="28" quotePrefix="1" applyNumberFormat="1" applyFont="1" applyBorder="1" applyAlignment="1">
      <alignment horizontal="center" vertical="center"/>
    </xf>
    <xf numFmtId="0" fontId="45" fillId="0" borderId="0" xfId="0" applyFont="1"/>
    <xf numFmtId="0" fontId="4" fillId="39" borderId="32" xfId="0" applyFont="1" applyFill="1" applyBorder="1" applyAlignment="1">
      <alignment vertical="center" wrapText="1"/>
    </xf>
    <xf numFmtId="0" fontId="12" fillId="39" borderId="22" xfId="0" applyFont="1" applyFill="1" applyBorder="1" applyAlignment="1">
      <alignment horizontal="center" vertical="center" wrapText="1"/>
    </xf>
    <xf numFmtId="1" fontId="12" fillId="39" borderId="23" xfId="0" quotePrefix="1" applyNumberFormat="1" applyFont="1" applyFill="1" applyBorder="1" applyAlignment="1">
      <alignment horizontal="center" vertical="center"/>
    </xf>
    <xf numFmtId="2" fontId="3" fillId="39" borderId="33" xfId="0" applyNumberFormat="1" applyFont="1" applyFill="1" applyBorder="1" applyAlignment="1">
      <alignment horizontal="center" vertical="center" wrapText="1"/>
    </xf>
    <xf numFmtId="9" fontId="2" fillId="39" borderId="33" xfId="0" applyNumberFormat="1" applyFont="1" applyFill="1" applyBorder="1" applyAlignment="1">
      <alignment horizontal="center" vertical="center" wrapText="1"/>
    </xf>
    <xf numFmtId="2" fontId="2" fillId="39" borderId="33" xfId="0" applyNumberFormat="1" applyFont="1" applyFill="1" applyBorder="1" applyAlignment="1">
      <alignment horizontal="center" vertical="center" wrapText="1"/>
    </xf>
    <xf numFmtId="0" fontId="2" fillId="39" borderId="33" xfId="0" applyFont="1" applyFill="1" applyBorder="1" applyAlignment="1">
      <alignment horizontal="center" vertical="center" wrapText="1"/>
    </xf>
    <xf numFmtId="168" fontId="3" fillId="39" borderId="33" xfId="0" applyNumberFormat="1" applyFont="1" applyFill="1" applyBorder="1" applyAlignment="1">
      <alignment horizontal="center" vertical="center" wrapText="1"/>
    </xf>
    <xf numFmtId="3" fontId="3" fillId="39" borderId="33" xfId="0" applyNumberFormat="1" applyFont="1" applyFill="1" applyBorder="1" applyAlignment="1">
      <alignment horizontal="right" vertical="center" wrapText="1"/>
    </xf>
    <xf numFmtId="0" fontId="3" fillId="39" borderId="33" xfId="0" applyFont="1" applyFill="1" applyBorder="1" applyAlignment="1">
      <alignment horizontal="center" vertical="center" wrapText="1"/>
    </xf>
    <xf numFmtId="3" fontId="3" fillId="39" borderId="33" xfId="0" applyNumberFormat="1" applyFont="1" applyFill="1" applyBorder="1" applyAlignment="1" applyProtection="1">
      <alignment horizontal="right" vertical="center" wrapText="1"/>
      <protection locked="0" hidden="1"/>
    </xf>
    <xf numFmtId="0" fontId="52" fillId="39" borderId="33" xfId="0" applyFont="1" applyFill="1" applyBorder="1" applyAlignment="1">
      <alignment horizontal="center" vertical="center" wrapText="1"/>
    </xf>
    <xf numFmtId="37" fontId="3" fillId="39" borderId="33" xfId="28" quotePrefix="1" applyNumberFormat="1" applyFont="1" applyFill="1" applyBorder="1" applyAlignment="1">
      <alignment horizontal="center" vertical="center"/>
    </xf>
    <xf numFmtId="166" fontId="3" fillId="39" borderId="33" xfId="0" applyNumberFormat="1" applyFont="1" applyFill="1" applyBorder="1" applyAlignment="1">
      <alignment horizontal="right" vertical="center" wrapText="1"/>
    </xf>
    <xf numFmtId="2" fontId="3" fillId="39" borderId="33" xfId="0" applyNumberFormat="1" applyFont="1" applyFill="1" applyBorder="1" applyAlignment="1">
      <alignment horizontal="right" vertical="center" wrapText="1"/>
    </xf>
    <xf numFmtId="3" fontId="4" fillId="39" borderId="33" xfId="0" applyNumberFormat="1" applyFont="1" applyFill="1" applyBorder="1" applyAlignment="1">
      <alignment horizontal="right" vertical="center" wrapText="1"/>
    </xf>
    <xf numFmtId="37" fontId="3" fillId="39" borderId="22" xfId="28" quotePrefix="1" applyNumberFormat="1" applyFont="1" applyFill="1" applyBorder="1" applyAlignment="1">
      <alignment horizontal="center" vertical="center"/>
    </xf>
    <xf numFmtId="37" fontId="4" fillId="39" borderId="36" xfId="28" quotePrefix="1" applyNumberFormat="1" applyFont="1" applyFill="1" applyBorder="1" applyAlignment="1">
      <alignment horizontal="center" vertical="center"/>
    </xf>
    <xf numFmtId="0" fontId="4" fillId="41" borderId="32" xfId="0" applyFont="1" applyFill="1" applyBorder="1" applyAlignment="1">
      <alignment vertical="center" wrapText="1"/>
    </xf>
    <xf numFmtId="0" fontId="12" fillId="41" borderId="22" xfId="0" applyFont="1" applyFill="1" applyBorder="1" applyAlignment="1">
      <alignment horizontal="center" vertical="center" wrapText="1"/>
    </xf>
    <xf numFmtId="1" fontId="12" fillId="41" borderId="23" xfId="0" quotePrefix="1" applyNumberFormat="1" applyFont="1" applyFill="1" applyBorder="1" applyAlignment="1">
      <alignment horizontal="center" vertical="center"/>
    </xf>
    <xf numFmtId="2" fontId="3" fillId="41" borderId="33" xfId="0" applyNumberFormat="1" applyFont="1" applyFill="1" applyBorder="1" applyAlignment="1">
      <alignment horizontal="center" vertical="center" wrapText="1"/>
    </xf>
    <xf numFmtId="9" fontId="2" fillId="41" borderId="33" xfId="0" applyNumberFormat="1" applyFont="1" applyFill="1" applyBorder="1" applyAlignment="1">
      <alignment horizontal="center" vertical="center" wrapText="1"/>
    </xf>
    <xf numFmtId="2" fontId="2" fillId="41" borderId="33" xfId="0" applyNumberFormat="1" applyFont="1" applyFill="1" applyBorder="1" applyAlignment="1">
      <alignment horizontal="center" vertical="center" wrapText="1"/>
    </xf>
    <xf numFmtId="0" fontId="2" fillId="41" borderId="33" xfId="0" applyFont="1" applyFill="1" applyBorder="1" applyAlignment="1">
      <alignment horizontal="center" vertical="center" wrapText="1"/>
    </xf>
    <xf numFmtId="168" fontId="3" fillId="41" borderId="33" xfId="0" applyNumberFormat="1" applyFont="1" applyFill="1" applyBorder="1" applyAlignment="1">
      <alignment horizontal="center" vertical="center" wrapText="1"/>
    </xf>
    <xf numFmtId="3" fontId="3" fillId="41" borderId="33" xfId="0" applyNumberFormat="1" applyFont="1" applyFill="1" applyBorder="1" applyAlignment="1">
      <alignment horizontal="right" vertical="center" wrapText="1"/>
    </xf>
    <xf numFmtId="0" fontId="3" fillId="41" borderId="33" xfId="0" applyFont="1" applyFill="1" applyBorder="1" applyAlignment="1">
      <alignment horizontal="center" vertical="center" wrapText="1"/>
    </xf>
    <xf numFmtId="3" fontId="3" fillId="41" borderId="33" xfId="0" applyNumberFormat="1" applyFont="1" applyFill="1" applyBorder="1" applyAlignment="1" applyProtection="1">
      <alignment horizontal="right" vertical="center" wrapText="1"/>
      <protection locked="0" hidden="1"/>
    </xf>
    <xf numFmtId="0" fontId="52" fillId="41" borderId="33" xfId="0" applyFont="1" applyFill="1" applyBorder="1" applyAlignment="1">
      <alignment horizontal="center" vertical="center" wrapText="1"/>
    </xf>
    <xf numFmtId="37" fontId="3" fillId="41" borderId="33" xfId="28" quotePrefix="1" applyNumberFormat="1" applyFont="1" applyFill="1" applyBorder="1" applyAlignment="1">
      <alignment horizontal="center" vertical="center"/>
    </xf>
    <xf numFmtId="166" fontId="3" fillId="41" borderId="33" xfId="0" applyNumberFormat="1" applyFont="1" applyFill="1" applyBorder="1" applyAlignment="1">
      <alignment horizontal="right" vertical="center" wrapText="1"/>
    </xf>
    <xf numFmtId="2" fontId="3" fillId="41" borderId="33" xfId="0" applyNumberFormat="1" applyFont="1" applyFill="1" applyBorder="1" applyAlignment="1">
      <alignment horizontal="right" vertical="center" wrapText="1"/>
    </xf>
    <xf numFmtId="3" fontId="4" fillId="41" borderId="33" xfId="0" applyNumberFormat="1" applyFont="1" applyFill="1" applyBorder="1" applyAlignment="1">
      <alignment horizontal="right" vertical="center" wrapText="1"/>
    </xf>
    <xf numFmtId="37" fontId="3" fillId="41" borderId="22" xfId="28" quotePrefix="1" applyNumberFormat="1" applyFont="1" applyFill="1" applyBorder="1" applyAlignment="1">
      <alignment horizontal="center" vertical="center"/>
    </xf>
    <xf numFmtId="37" fontId="4" fillId="41" borderId="36" xfId="28" quotePrefix="1" applyNumberFormat="1" applyFont="1" applyFill="1" applyBorder="1" applyAlignment="1">
      <alignment horizontal="center" vertical="center"/>
    </xf>
    <xf numFmtId="37" fontId="4" fillId="0" borderId="25" xfId="28" quotePrefix="1" applyNumberFormat="1" applyFont="1" applyBorder="1" applyAlignment="1">
      <alignment horizontal="center" vertical="center"/>
    </xf>
    <xf numFmtId="181" fontId="22" fillId="39" borderId="16" xfId="0" applyNumberFormat="1" applyFont="1" applyFill="1" applyBorder="1" applyAlignment="1">
      <alignment horizontal="left" vertical="center" wrapText="1"/>
    </xf>
    <xf numFmtId="181" fontId="22" fillId="41" borderId="16" xfId="0" applyNumberFormat="1" applyFont="1" applyFill="1" applyBorder="1" applyAlignment="1">
      <alignment horizontal="left" vertical="center" wrapText="1"/>
    </xf>
    <xf numFmtId="181" fontId="22" fillId="0" borderId="30" xfId="0" applyNumberFormat="1" applyFont="1" applyBorder="1" applyAlignment="1" applyProtection="1">
      <alignment horizontal="justify" vertical="center" wrapText="1"/>
      <protection hidden="1"/>
    </xf>
    <xf numFmtId="0" fontId="7" fillId="41" borderId="33" xfId="0" quotePrefix="1" applyFont="1" applyFill="1" applyBorder="1" applyAlignment="1">
      <alignment horizontal="center" vertical="center" wrapText="1"/>
    </xf>
    <xf numFmtId="0" fontId="16" fillId="41" borderId="36" xfId="0" quotePrefix="1" applyFont="1" applyFill="1" applyBorder="1" applyAlignment="1">
      <alignment horizontal="left" vertical="center" wrapText="1"/>
    </xf>
    <xf numFmtId="0" fontId="7" fillId="41" borderId="32" xfId="0" quotePrefix="1" applyFont="1" applyFill="1" applyBorder="1" applyAlignment="1">
      <alignment horizontal="center" vertical="center" wrapText="1"/>
    </xf>
    <xf numFmtId="0" fontId="7" fillId="41" borderId="14" xfId="0" quotePrefix="1" applyFont="1" applyFill="1" applyBorder="1" applyAlignment="1">
      <alignment horizontal="center" vertical="center" wrapText="1"/>
    </xf>
    <xf numFmtId="0" fontId="12" fillId="41" borderId="14" xfId="0" quotePrefix="1" applyFont="1" applyFill="1" applyBorder="1" applyAlignment="1">
      <alignment horizontal="center" vertical="center" wrapText="1"/>
    </xf>
    <xf numFmtId="166" fontId="11" fillId="41" borderId="33" xfId="0" quotePrefix="1" applyNumberFormat="1" applyFont="1" applyFill="1" applyBorder="1" applyAlignment="1">
      <alignment horizontal="center" vertical="center" wrapText="1"/>
    </xf>
    <xf numFmtId="2" fontId="7" fillId="41" borderId="33" xfId="0" quotePrefix="1" applyNumberFormat="1" applyFont="1" applyFill="1" applyBorder="1" applyAlignment="1">
      <alignment horizontal="center" vertical="center" wrapText="1"/>
    </xf>
    <xf numFmtId="0" fontId="7" fillId="41" borderId="35" xfId="0" quotePrefix="1" applyFont="1" applyFill="1" applyBorder="1" applyAlignment="1">
      <alignment horizontal="center" vertical="center" wrapText="1"/>
    </xf>
    <xf numFmtId="0" fontId="7" fillId="41" borderId="36" xfId="0" quotePrefix="1" applyFont="1" applyFill="1" applyBorder="1" applyAlignment="1">
      <alignment horizontal="center" vertical="center" wrapText="1"/>
    </xf>
    <xf numFmtId="0" fontId="7" fillId="41" borderId="36" xfId="0" quotePrefix="1" applyFont="1" applyFill="1" applyBorder="1" applyAlignment="1">
      <alignment vertical="center" wrapText="1"/>
    </xf>
    <xf numFmtId="0" fontId="12" fillId="32" borderId="31" xfId="0" quotePrefix="1" applyFont="1" applyFill="1" applyBorder="1" applyAlignment="1">
      <alignment horizontal="center" vertical="center" wrapText="1"/>
    </xf>
    <xf numFmtId="0" fontId="4" fillId="32" borderId="28" xfId="0" applyFont="1" applyFill="1" applyBorder="1" applyAlignment="1">
      <alignment vertical="center" wrapText="1"/>
    </xf>
    <xf numFmtId="0" fontId="12" fillId="0" borderId="31" xfId="0" applyFont="1" applyBorder="1" applyAlignment="1">
      <alignment horizontal="center" vertical="center" wrapText="1"/>
    </xf>
    <xf numFmtId="1" fontId="12" fillId="0" borderId="28" xfId="0" quotePrefix="1" applyNumberFormat="1" applyFont="1" applyBorder="1" applyAlignment="1">
      <alignment horizontal="center" vertical="center"/>
    </xf>
    <xf numFmtId="2" fontId="3" fillId="32" borderId="31" xfId="0" applyNumberFormat="1" applyFont="1" applyFill="1" applyBorder="1" applyAlignment="1">
      <alignment horizontal="center" vertical="center" wrapText="1"/>
    </xf>
    <xf numFmtId="9" fontId="2" fillId="32" borderId="31" xfId="0" applyNumberFormat="1" applyFont="1" applyFill="1" applyBorder="1" applyAlignment="1">
      <alignment horizontal="center" vertical="center" wrapText="1"/>
    </xf>
    <xf numFmtId="2" fontId="2" fillId="32" borderId="31" xfId="0" applyNumberFormat="1" applyFont="1" applyFill="1" applyBorder="1" applyAlignment="1">
      <alignment horizontal="center" vertical="center" wrapText="1"/>
    </xf>
    <xf numFmtId="0" fontId="2" fillId="32" borderId="31" xfId="0" applyFont="1" applyFill="1" applyBorder="1" applyAlignment="1">
      <alignment horizontal="center" vertical="center" wrapText="1"/>
    </xf>
    <xf numFmtId="168" fontId="3" fillId="32" borderId="31" xfId="0" applyNumberFormat="1" applyFont="1" applyFill="1" applyBorder="1" applyAlignment="1">
      <alignment horizontal="center" vertical="center" wrapText="1"/>
    </xf>
    <xf numFmtId="3" fontId="3" fillId="32" borderId="31" xfId="0" applyNumberFormat="1" applyFont="1" applyFill="1" applyBorder="1" applyAlignment="1">
      <alignment horizontal="right" vertical="center" wrapText="1"/>
    </xf>
    <xf numFmtId="0" fontId="3" fillId="32" borderId="31" xfId="0" applyFont="1" applyFill="1" applyBorder="1" applyAlignment="1">
      <alignment horizontal="center" vertical="center" wrapText="1"/>
    </xf>
    <xf numFmtId="3" fontId="3" fillId="32" borderId="31" xfId="0" applyNumberFormat="1" applyFont="1" applyFill="1" applyBorder="1" applyAlignment="1" applyProtection="1">
      <alignment horizontal="right" vertical="center" wrapText="1"/>
      <protection locked="0" hidden="1"/>
    </xf>
    <xf numFmtId="0" fontId="52" fillId="32" borderId="31" xfId="0" applyFont="1" applyFill="1" applyBorder="1" applyAlignment="1">
      <alignment horizontal="center" vertical="center" wrapText="1"/>
    </xf>
    <xf numFmtId="37" fontId="3" fillId="0" borderId="31" xfId="28" quotePrefix="1" applyNumberFormat="1" applyFont="1" applyBorder="1" applyAlignment="1">
      <alignment horizontal="center" vertical="center"/>
    </xf>
    <xf numFmtId="166" fontId="3" fillId="34" borderId="31" xfId="0" applyNumberFormat="1" applyFont="1" applyFill="1" applyBorder="1" applyAlignment="1">
      <alignment horizontal="right" vertical="center" wrapText="1"/>
    </xf>
    <xf numFmtId="2" fontId="3" fillId="33" borderId="31" xfId="0" applyNumberFormat="1" applyFont="1" applyFill="1" applyBorder="1" applyAlignment="1">
      <alignment horizontal="right" vertical="center" wrapText="1"/>
    </xf>
    <xf numFmtId="3" fontId="3" fillId="42" borderId="31" xfId="0" applyNumberFormat="1" applyFont="1" applyFill="1" applyBorder="1" applyAlignment="1">
      <alignment horizontal="right" vertical="center" wrapText="1"/>
    </xf>
    <xf numFmtId="3" fontId="4" fillId="32" borderId="31" xfId="0" applyNumberFormat="1" applyFont="1" applyFill="1" applyBorder="1" applyAlignment="1">
      <alignment horizontal="right" vertical="center" wrapText="1"/>
    </xf>
    <xf numFmtId="0" fontId="7" fillId="32" borderId="34" xfId="0" quotePrefix="1" applyFont="1" applyFill="1" applyBorder="1" applyAlignment="1">
      <alignment vertical="center" wrapText="1"/>
    </xf>
    <xf numFmtId="181" fontId="22" fillId="0" borderId="28" xfId="0" applyNumberFormat="1" applyFont="1" applyBorder="1" applyAlignment="1" applyProtection="1">
      <alignment horizontal="justify" vertical="center" wrapText="1"/>
      <protection hidden="1"/>
    </xf>
    <xf numFmtId="0" fontId="12" fillId="32" borderId="25" xfId="0" quotePrefix="1" applyFont="1" applyFill="1" applyBorder="1" applyAlignment="1">
      <alignment horizontal="center" vertical="center" wrapText="1"/>
    </xf>
    <xf numFmtId="0" fontId="3" fillId="32" borderId="38" xfId="0" applyFont="1" applyFill="1" applyBorder="1" applyAlignment="1">
      <alignment vertical="center"/>
    </xf>
    <xf numFmtId="0" fontId="2" fillId="32" borderId="25" xfId="0" applyFont="1" applyFill="1" applyBorder="1" applyAlignment="1">
      <alignment horizontal="center" vertical="center" wrapText="1"/>
    </xf>
    <xf numFmtId="0" fontId="7" fillId="32" borderId="38" xfId="0" quotePrefix="1" applyFont="1" applyFill="1" applyBorder="1" applyAlignment="1">
      <alignment vertical="center" wrapText="1"/>
    </xf>
    <xf numFmtId="181" fontId="22" fillId="0" borderId="29" xfId="0" applyNumberFormat="1" applyFont="1" applyBorder="1" applyAlignment="1" applyProtection="1">
      <alignment horizontal="justify" vertical="center" wrapText="1"/>
      <protection hidden="1"/>
    </xf>
    <xf numFmtId="0" fontId="9" fillId="41" borderId="10" xfId="0" quotePrefix="1" applyFont="1" applyFill="1" applyBorder="1" applyAlignment="1">
      <alignment horizontal="center" vertical="center" wrapText="1"/>
    </xf>
    <xf numFmtId="0" fontId="4" fillId="41" borderId="10" xfId="0" applyFont="1" applyFill="1" applyBorder="1" applyAlignment="1">
      <alignment vertical="center" wrapText="1"/>
    </xf>
    <xf numFmtId="0" fontId="9" fillId="41" borderId="10" xfId="0" applyFont="1" applyFill="1" applyBorder="1" applyAlignment="1">
      <alignment horizontal="center" vertical="center" wrapText="1"/>
    </xf>
    <xf numFmtId="1" fontId="9" fillId="41" borderId="10" xfId="0" quotePrefix="1" applyNumberFormat="1" applyFont="1" applyFill="1" applyBorder="1" applyAlignment="1">
      <alignment horizontal="center" vertical="center"/>
    </xf>
    <xf numFmtId="2" fontId="4" fillId="41" borderId="10" xfId="0" applyNumberFormat="1" applyFont="1" applyFill="1" applyBorder="1" applyAlignment="1">
      <alignment horizontal="center" vertical="center" wrapText="1"/>
    </xf>
    <xf numFmtId="9" fontId="5" fillId="41" borderId="10" xfId="0" applyNumberFormat="1" applyFont="1" applyFill="1" applyBorder="1" applyAlignment="1">
      <alignment horizontal="center" vertical="center" wrapText="1"/>
    </xf>
    <xf numFmtId="2" fontId="5" fillId="41" borderId="10" xfId="0" applyNumberFormat="1" applyFont="1" applyFill="1" applyBorder="1" applyAlignment="1">
      <alignment horizontal="center" vertical="center" wrapText="1"/>
    </xf>
    <xf numFmtId="0" fontId="5" fillId="41" borderId="10" xfId="0" applyFont="1" applyFill="1" applyBorder="1" applyAlignment="1">
      <alignment horizontal="center" vertical="center" wrapText="1"/>
    </xf>
    <xf numFmtId="168" fontId="4" fillId="41" borderId="10" xfId="0" applyNumberFormat="1" applyFont="1" applyFill="1" applyBorder="1" applyAlignment="1">
      <alignment horizontal="center" vertical="center" wrapText="1"/>
    </xf>
    <xf numFmtId="3" fontId="4" fillId="41" borderId="10" xfId="0" applyNumberFormat="1" applyFont="1" applyFill="1" applyBorder="1" applyAlignment="1">
      <alignment horizontal="right" vertical="center" wrapText="1"/>
    </xf>
    <xf numFmtId="0" fontId="4" fillId="41" borderId="10" xfId="0" applyFont="1" applyFill="1" applyBorder="1" applyAlignment="1">
      <alignment horizontal="center" vertical="center" wrapText="1"/>
    </xf>
    <xf numFmtId="3" fontId="4" fillId="41" borderId="10" xfId="0" applyNumberFormat="1" applyFont="1" applyFill="1" applyBorder="1" applyAlignment="1" applyProtection="1">
      <alignment horizontal="right" vertical="center" wrapText="1"/>
      <protection locked="0" hidden="1"/>
    </xf>
    <xf numFmtId="0" fontId="46" fillId="41" borderId="10" xfId="0" applyFont="1" applyFill="1" applyBorder="1" applyAlignment="1">
      <alignment horizontal="center" vertical="center" wrapText="1"/>
    </xf>
    <xf numFmtId="37" fontId="4" fillId="41" borderId="10" xfId="28" quotePrefix="1" applyNumberFormat="1" applyFont="1" applyFill="1" applyBorder="1" applyAlignment="1">
      <alignment horizontal="center" vertical="center"/>
    </xf>
    <xf numFmtId="166" fontId="4" fillId="41" borderId="10" xfId="0" applyNumberFormat="1" applyFont="1" applyFill="1" applyBorder="1" applyAlignment="1">
      <alignment horizontal="right" vertical="center" wrapText="1"/>
    </xf>
    <xf numFmtId="2" fontId="4" fillId="41" borderId="10" xfId="0" applyNumberFormat="1" applyFont="1" applyFill="1" applyBorder="1" applyAlignment="1">
      <alignment horizontal="right" vertical="center" wrapText="1"/>
    </xf>
    <xf numFmtId="183" fontId="4" fillId="41" borderId="10" xfId="28" quotePrefix="1" applyNumberFormat="1" applyFont="1" applyFill="1" applyBorder="1" applyAlignment="1">
      <alignment horizontal="center" vertical="center"/>
    </xf>
    <xf numFmtId="0" fontId="6" fillId="41" borderId="20" xfId="0" quotePrefix="1" applyFont="1" applyFill="1" applyBorder="1" applyAlignment="1">
      <alignment vertical="center" wrapText="1"/>
    </xf>
    <xf numFmtId="181" fontId="19" fillId="41" borderId="21" xfId="0" applyNumberFormat="1" applyFont="1" applyFill="1" applyBorder="1" applyAlignment="1" applyProtection="1">
      <alignment horizontal="justify" vertical="center" wrapText="1"/>
      <protection hidden="1"/>
    </xf>
    <xf numFmtId="0" fontId="4" fillId="41" borderId="20" xfId="0" applyFont="1" applyFill="1" applyBorder="1" applyAlignment="1">
      <alignment vertical="center" wrapText="1"/>
    </xf>
    <xf numFmtId="0" fontId="4" fillId="41" borderId="21" xfId="0" applyFont="1" applyFill="1" applyBorder="1" applyAlignment="1">
      <alignment vertical="center" wrapText="1"/>
    </xf>
    <xf numFmtId="0" fontId="9" fillId="41" borderId="20" xfId="0" applyFont="1" applyFill="1" applyBorder="1" applyAlignment="1">
      <alignment horizontal="center" vertical="center" wrapText="1"/>
    </xf>
    <xf numFmtId="1" fontId="9" fillId="41" borderId="21" xfId="0" quotePrefix="1" applyNumberFormat="1" applyFont="1" applyFill="1" applyBorder="1" applyAlignment="1">
      <alignment horizontal="center" vertical="center"/>
    </xf>
    <xf numFmtId="37" fontId="4" fillId="41" borderId="20" xfId="28" quotePrefix="1" applyNumberFormat="1" applyFont="1" applyFill="1" applyBorder="1" applyAlignment="1">
      <alignment horizontal="center" vertical="center"/>
    </xf>
    <xf numFmtId="183" fontId="4" fillId="41" borderId="20" xfId="28" quotePrefix="1" applyNumberFormat="1" applyFont="1" applyFill="1" applyBorder="1" applyAlignment="1">
      <alignment horizontal="center" vertical="center"/>
    </xf>
    <xf numFmtId="0" fontId="4" fillId="0" borderId="20" xfId="0" applyFont="1" applyBorder="1" applyAlignment="1">
      <alignment horizontal="left" vertical="center" wrapText="1"/>
    </xf>
    <xf numFmtId="0" fontId="4" fillId="0" borderId="10" xfId="0" applyFont="1" applyBorder="1" applyAlignment="1">
      <alignment vertical="center" wrapText="1"/>
    </xf>
    <xf numFmtId="167" fontId="4" fillId="0" borderId="10" xfId="0" applyNumberFormat="1" applyFont="1" applyBorder="1" applyAlignment="1">
      <alignment vertical="center" wrapText="1"/>
    </xf>
    <xf numFmtId="0" fontId="9" fillId="0" borderId="37" xfId="0" applyFont="1" applyBorder="1" applyAlignment="1">
      <alignment horizontal="center" vertical="center" wrapText="1"/>
    </xf>
    <xf numFmtId="1" fontId="12" fillId="39" borderId="11" xfId="0" applyNumberFormat="1" applyFont="1" applyFill="1" applyBorder="1" applyAlignment="1">
      <alignment horizontal="center" vertical="center" wrapText="1"/>
    </xf>
    <xf numFmtId="0" fontId="3" fillId="41" borderId="34" xfId="0" applyFont="1" applyFill="1" applyBorder="1" applyAlignment="1">
      <alignment horizontal="left" vertical="center" wrapText="1"/>
    </xf>
    <xf numFmtId="49" fontId="12" fillId="41" borderId="11" xfId="0" quotePrefix="1" applyNumberFormat="1" applyFont="1" applyFill="1" applyBorder="1" applyAlignment="1">
      <alignment horizontal="center" vertical="center" wrapText="1"/>
    </xf>
    <xf numFmtId="168" fontId="12" fillId="41" borderId="11" xfId="0" applyNumberFormat="1" applyFont="1" applyFill="1" applyBorder="1" applyAlignment="1">
      <alignment horizontal="center" vertical="center"/>
    </xf>
    <xf numFmtId="1" fontId="2" fillId="39" borderId="11" xfId="0" quotePrefix="1" applyNumberFormat="1" applyFont="1" applyFill="1" applyBorder="1" applyAlignment="1">
      <alignment horizontal="center" vertical="center"/>
    </xf>
    <xf numFmtId="0" fontId="3" fillId="39" borderId="12" xfId="0" applyFont="1" applyFill="1" applyBorder="1" applyAlignment="1">
      <alignment vertical="center"/>
    </xf>
    <xf numFmtId="0" fontId="3" fillId="39" borderId="16" xfId="0" applyFont="1" applyFill="1" applyBorder="1" applyAlignment="1">
      <alignment vertical="center"/>
    </xf>
    <xf numFmtId="14" fontId="12" fillId="39" borderId="11" xfId="0" applyNumberFormat="1" applyFont="1" applyFill="1" applyBorder="1" applyAlignment="1">
      <alignment horizontal="center" vertical="center"/>
    </xf>
    <xf numFmtId="37" fontId="3" fillId="39" borderId="12" xfId="28" quotePrefix="1" applyNumberFormat="1" applyFont="1" applyFill="1" applyBorder="1" applyAlignment="1">
      <alignment horizontal="center" vertical="center"/>
    </xf>
    <xf numFmtId="37" fontId="3" fillId="41" borderId="12" xfId="28" quotePrefix="1" applyNumberFormat="1" applyFont="1" applyFill="1" applyBorder="1" applyAlignment="1">
      <alignment horizontal="center" vertical="center"/>
    </xf>
    <xf numFmtId="184" fontId="3" fillId="0" borderId="18" xfId="28" quotePrefix="1" applyNumberFormat="1" applyFont="1" applyBorder="1" applyAlignment="1">
      <alignment horizontal="center" vertical="center"/>
    </xf>
    <xf numFmtId="184" fontId="3" fillId="0" borderId="11" xfId="28" quotePrefix="1" applyNumberFormat="1" applyFont="1" applyBorder="1" applyAlignment="1">
      <alignment horizontal="center" vertical="center"/>
    </xf>
    <xf numFmtId="184" fontId="3" fillId="0" borderId="15" xfId="28" quotePrefix="1" applyNumberFormat="1" applyFont="1" applyBorder="1" applyAlignment="1">
      <alignment horizontal="center" vertical="center"/>
    </xf>
    <xf numFmtId="0" fontId="7" fillId="0" borderId="0" xfId="0" quotePrefix="1" applyFont="1" applyAlignment="1">
      <alignment vertical="center" wrapText="1"/>
    </xf>
    <xf numFmtId="0" fontId="7" fillId="0" borderId="0" xfId="0" quotePrefix="1" applyFont="1" applyAlignment="1">
      <alignment horizontal="center" vertical="center" wrapText="1"/>
    </xf>
    <xf numFmtId="0" fontId="7" fillId="41" borderId="0" xfId="0" quotePrefix="1" applyFont="1" applyFill="1" applyAlignment="1">
      <alignment vertical="center" wrapText="1"/>
    </xf>
    <xf numFmtId="0" fontId="7" fillId="41" borderId="0" xfId="0" quotePrefix="1" applyFont="1" applyFill="1" applyAlignment="1">
      <alignment horizontal="center" vertical="center" wrapText="1"/>
    </xf>
    <xf numFmtId="0" fontId="7" fillId="41" borderId="10" xfId="0" quotePrefix="1" applyFont="1" applyFill="1" applyBorder="1" applyAlignment="1">
      <alignment horizontal="center" vertical="center" wrapText="1"/>
    </xf>
    <xf numFmtId="0" fontId="16" fillId="41" borderId="20" xfId="0" quotePrefix="1" applyFont="1" applyFill="1" applyBorder="1" applyAlignment="1">
      <alignment horizontal="left" vertical="center" wrapText="1"/>
    </xf>
    <xf numFmtId="0" fontId="7" fillId="41" borderId="21" xfId="0" quotePrefix="1" applyFont="1" applyFill="1" applyBorder="1" applyAlignment="1">
      <alignment horizontal="center" vertical="center" wrapText="1"/>
    </xf>
    <xf numFmtId="0" fontId="12" fillId="41" borderId="10" xfId="0" quotePrefix="1" applyFont="1" applyFill="1" applyBorder="1" applyAlignment="1">
      <alignment horizontal="center" vertical="center" wrapText="1"/>
    </xf>
    <xf numFmtId="0" fontId="7" fillId="41" borderId="20" xfId="0" quotePrefix="1" applyFont="1" applyFill="1" applyBorder="1" applyAlignment="1">
      <alignment horizontal="center" vertical="center" wrapText="1"/>
    </xf>
    <xf numFmtId="0" fontId="7" fillId="41" borderId="20" xfId="0" quotePrefix="1" applyFont="1" applyFill="1" applyBorder="1" applyAlignment="1">
      <alignment vertical="center" wrapText="1"/>
    </xf>
    <xf numFmtId="166" fontId="11" fillId="41" borderId="10" xfId="0" quotePrefix="1" applyNumberFormat="1" applyFont="1" applyFill="1" applyBorder="1" applyAlignment="1">
      <alignment horizontal="center" vertical="center" wrapText="1"/>
    </xf>
    <xf numFmtId="2" fontId="7" fillId="41" borderId="10" xfId="0" quotePrefix="1" applyNumberFormat="1" applyFont="1" applyFill="1" applyBorder="1" applyAlignment="1">
      <alignment horizontal="center" vertical="center" wrapText="1"/>
    </xf>
    <xf numFmtId="184" fontId="3" fillId="41" borderId="11" xfId="28" quotePrefix="1" applyNumberFormat="1" applyFont="1" applyFill="1" applyBorder="1" applyAlignment="1">
      <alignment horizontal="center" vertical="center"/>
    </xf>
    <xf numFmtId="0" fontId="3" fillId="32" borderId="13" xfId="0" applyFont="1" applyFill="1" applyBorder="1" applyAlignment="1">
      <alignment vertical="center" wrapText="1"/>
    </xf>
    <xf numFmtId="0" fontId="4" fillId="32" borderId="30" xfId="0" applyFont="1" applyFill="1" applyBorder="1" applyAlignment="1">
      <alignment vertical="center" wrapText="1"/>
    </xf>
    <xf numFmtId="2" fontId="3" fillId="32" borderId="15" xfId="0" applyNumberFormat="1" applyFont="1" applyFill="1" applyBorder="1" applyAlignment="1">
      <alignment horizontal="center" vertical="center" wrapText="1"/>
    </xf>
    <xf numFmtId="9" fontId="2" fillId="32" borderId="15" xfId="0" applyNumberFormat="1" applyFont="1" applyFill="1" applyBorder="1" applyAlignment="1">
      <alignment horizontal="center" vertical="center" wrapText="1"/>
    </xf>
    <xf numFmtId="2" fontId="2" fillId="32" borderId="15" xfId="0" applyNumberFormat="1" applyFont="1" applyFill="1" applyBorder="1" applyAlignment="1">
      <alignment horizontal="center" vertical="center" wrapText="1"/>
    </xf>
    <xf numFmtId="0" fontId="2" fillId="32" borderId="15" xfId="0" applyFont="1" applyFill="1" applyBorder="1" applyAlignment="1">
      <alignment horizontal="center" vertical="center" wrapText="1"/>
    </xf>
    <xf numFmtId="168" fontId="3" fillId="32" borderId="15" xfId="0" applyNumberFormat="1" applyFont="1" applyFill="1" applyBorder="1" applyAlignment="1">
      <alignment horizontal="center" vertical="center" wrapText="1"/>
    </xf>
    <xf numFmtId="3" fontId="3" fillId="32" borderId="15" xfId="0" applyNumberFormat="1" applyFont="1" applyFill="1" applyBorder="1" applyAlignment="1">
      <alignment horizontal="right" vertical="center" wrapText="1"/>
    </xf>
    <xf numFmtId="0" fontId="3" fillId="32" borderId="15" xfId="0"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locked="0" hidden="1"/>
    </xf>
    <xf numFmtId="0" fontId="52" fillId="32" borderId="15" xfId="0" applyFont="1" applyFill="1" applyBorder="1" applyAlignment="1">
      <alignment horizontal="center" vertical="center" wrapText="1"/>
    </xf>
    <xf numFmtId="166" fontId="3" fillId="34" borderId="15" xfId="0" applyNumberFormat="1" applyFont="1" applyFill="1" applyBorder="1" applyAlignment="1">
      <alignment horizontal="right" vertical="center" wrapText="1"/>
    </xf>
    <xf numFmtId="2" fontId="3" fillId="33" borderId="15" xfId="0" applyNumberFormat="1" applyFont="1" applyFill="1" applyBorder="1" applyAlignment="1">
      <alignment horizontal="right" vertical="center" wrapText="1"/>
    </xf>
    <xf numFmtId="3" fontId="3" fillId="42" borderId="15" xfId="0" applyNumberFormat="1" applyFont="1" applyFill="1" applyBorder="1" applyAlignment="1">
      <alignment horizontal="right" vertical="center" wrapText="1"/>
    </xf>
    <xf numFmtId="37" fontId="3" fillId="0" borderId="13" xfId="28" quotePrefix="1" applyNumberFormat="1" applyFont="1" applyBorder="1" applyAlignment="1">
      <alignment horizontal="center" vertical="center"/>
    </xf>
    <xf numFmtId="0" fontId="12" fillId="0" borderId="25" xfId="0" quotePrefix="1" applyFont="1" applyBorder="1" applyAlignment="1">
      <alignment horizontal="center" vertical="center" wrapText="1"/>
    </xf>
    <xf numFmtId="0" fontId="3" fillId="32" borderId="29" xfId="0" applyFont="1" applyFill="1" applyBorder="1" applyAlignment="1">
      <alignment vertical="center"/>
    </xf>
    <xf numFmtId="14" fontId="12" fillId="32" borderId="25" xfId="0" applyNumberFormat="1" applyFont="1" applyFill="1" applyBorder="1" applyAlignment="1">
      <alignment horizontal="center" vertical="center"/>
    </xf>
    <xf numFmtId="1" fontId="2" fillId="32" borderId="25" xfId="0" quotePrefix="1" applyNumberFormat="1" applyFont="1" applyFill="1" applyBorder="1" applyAlignment="1">
      <alignment horizontal="center" vertical="center"/>
    </xf>
    <xf numFmtId="3" fontId="3" fillId="32" borderId="25" xfId="0" applyNumberFormat="1" applyFont="1" applyFill="1" applyBorder="1" applyAlignment="1">
      <alignment horizontal="center" vertical="center" wrapText="1"/>
    </xf>
    <xf numFmtId="3" fontId="3" fillId="32" borderId="25" xfId="0" applyNumberFormat="1" applyFont="1" applyFill="1" applyBorder="1" applyAlignment="1" applyProtection="1">
      <alignment horizontal="right" vertical="center" wrapText="1"/>
      <protection hidden="1"/>
    </xf>
    <xf numFmtId="165" fontId="2" fillId="32" borderId="25" xfId="0" applyNumberFormat="1" applyFont="1" applyFill="1" applyBorder="1" applyAlignment="1" applyProtection="1">
      <alignment horizontal="center" vertical="center" wrapText="1"/>
      <protection hidden="1"/>
    </xf>
    <xf numFmtId="166" fontId="3" fillId="32" borderId="25" xfId="0" applyNumberFormat="1" applyFont="1" applyFill="1" applyBorder="1" applyAlignment="1" applyProtection="1">
      <alignment horizontal="right" vertical="center" wrapText="1"/>
      <protection hidden="1"/>
    </xf>
    <xf numFmtId="2" fontId="3" fillId="32" borderId="25" xfId="0" applyNumberFormat="1" applyFont="1" applyFill="1" applyBorder="1" applyAlignment="1" applyProtection="1">
      <alignment horizontal="right" vertical="center" wrapText="1"/>
      <protection hidden="1"/>
    </xf>
    <xf numFmtId="3" fontId="3" fillId="42" borderId="25" xfId="0" applyNumberFormat="1" applyFont="1" applyFill="1" applyBorder="1" applyAlignment="1" applyProtection="1">
      <alignment horizontal="right" vertical="center" wrapText="1"/>
      <protection hidden="1"/>
    </xf>
    <xf numFmtId="3" fontId="4" fillId="32" borderId="25" xfId="0" applyNumberFormat="1" applyFont="1" applyFill="1" applyBorder="1" applyAlignment="1" applyProtection="1">
      <alignment horizontal="right" vertical="center" wrapText="1"/>
      <protection hidden="1"/>
    </xf>
    <xf numFmtId="184" fontId="3" fillId="0" borderId="25" xfId="28" quotePrefix="1" applyNumberFormat="1" applyFont="1" applyBorder="1" applyAlignment="1">
      <alignment horizontal="center" vertical="center"/>
    </xf>
    <xf numFmtId="0" fontId="7" fillId="32" borderId="38" xfId="0" applyFont="1" applyFill="1" applyBorder="1" applyAlignment="1">
      <alignment horizontal="center" vertical="center" wrapText="1"/>
    </xf>
    <xf numFmtId="184" fontId="4" fillId="41" borderId="10" xfId="28" quotePrefix="1" applyNumberFormat="1" applyFont="1" applyFill="1" applyBorder="1" applyAlignment="1">
      <alignment horizontal="center" vertical="center"/>
    </xf>
    <xf numFmtId="3" fontId="5" fillId="0" borderId="0" xfId="0" applyNumberFormat="1" applyFont="1" applyAlignment="1">
      <alignment vertical="center" wrapText="1"/>
    </xf>
    <xf numFmtId="0" fontId="5" fillId="0" borderId="0" xfId="0" applyFont="1" applyAlignment="1">
      <alignment vertical="center" wrapText="1"/>
    </xf>
    <xf numFmtId="175" fontId="5" fillId="0" borderId="0" xfId="28" applyNumberFormat="1" applyFont="1" applyFill="1" applyAlignment="1">
      <alignment vertical="center" wrapText="1"/>
    </xf>
    <xf numFmtId="0" fontId="5" fillId="32" borderId="0" xfId="0" applyFont="1" applyFill="1" applyAlignment="1">
      <alignment vertical="center" wrapText="1"/>
    </xf>
    <xf numFmtId="184" fontId="3" fillId="39" borderId="11" xfId="28" quotePrefix="1" applyNumberFormat="1" applyFont="1" applyFill="1" applyBorder="1" applyAlignment="1">
      <alignment horizontal="center" vertical="center"/>
    </xf>
    <xf numFmtId="37" fontId="3" fillId="0" borderId="25" xfId="28" quotePrefix="1" applyNumberFormat="1" applyFont="1" applyBorder="1" applyAlignment="1">
      <alignment horizontal="center" vertical="center"/>
    </xf>
    <xf numFmtId="0" fontId="12" fillId="0" borderId="33" xfId="0" quotePrefix="1" applyFont="1" applyBorder="1" applyAlignment="1">
      <alignment horizontal="center" vertical="center" wrapText="1"/>
    </xf>
    <xf numFmtId="0" fontId="3" fillId="32" borderId="32" xfId="0" applyFont="1" applyFill="1" applyBorder="1" applyAlignment="1">
      <alignment vertical="center"/>
    </xf>
    <xf numFmtId="14" fontId="12" fillId="32" borderId="36" xfId="0" applyNumberFormat="1" applyFont="1" applyFill="1" applyBorder="1" applyAlignment="1">
      <alignment horizontal="center" vertical="center"/>
    </xf>
    <xf numFmtId="1" fontId="2" fillId="32" borderId="23" xfId="0" quotePrefix="1" applyNumberFormat="1" applyFont="1" applyFill="1" applyBorder="1" applyAlignment="1">
      <alignment horizontal="center" vertical="center"/>
    </xf>
    <xf numFmtId="1" fontId="2" fillId="32" borderId="33" xfId="0" quotePrefix="1" applyNumberFormat="1" applyFont="1" applyFill="1" applyBorder="1" applyAlignment="1">
      <alignment horizontal="center" vertical="center"/>
    </xf>
    <xf numFmtId="0" fontId="2" fillId="0" borderId="33" xfId="0" applyFont="1" applyBorder="1" applyAlignment="1">
      <alignment horizontal="center" vertical="center" wrapText="1"/>
    </xf>
    <xf numFmtId="3" fontId="3" fillId="32" borderId="33" xfId="0" applyNumberFormat="1"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hidden="1"/>
    </xf>
    <xf numFmtId="0" fontId="3" fillId="32" borderId="33" xfId="0" applyFont="1" applyFill="1" applyBorder="1" applyAlignment="1" applyProtection="1">
      <alignment horizontal="center" vertical="center" wrapText="1"/>
      <protection hidden="1"/>
    </xf>
    <xf numFmtId="165" fontId="2" fillId="32" borderId="33" xfId="0" applyNumberFormat="1" applyFont="1" applyFill="1" applyBorder="1" applyAlignment="1" applyProtection="1">
      <alignment horizontal="center" vertical="center" wrapText="1"/>
      <protection hidden="1"/>
    </xf>
    <xf numFmtId="166" fontId="3" fillId="32" borderId="33" xfId="0" applyNumberFormat="1" applyFont="1" applyFill="1" applyBorder="1" applyAlignment="1" applyProtection="1">
      <alignment horizontal="right" vertical="center" wrapText="1"/>
      <protection hidden="1"/>
    </xf>
    <xf numFmtId="2" fontId="3" fillId="32" borderId="33" xfId="0" applyNumberFormat="1" applyFont="1" applyFill="1" applyBorder="1" applyAlignment="1" applyProtection="1">
      <alignment horizontal="right" vertical="center" wrapText="1"/>
      <protection hidden="1"/>
    </xf>
    <xf numFmtId="3" fontId="3" fillId="42" borderId="33" xfId="0" applyNumberFormat="1" applyFont="1" applyFill="1" applyBorder="1" applyAlignment="1" applyProtection="1">
      <alignment horizontal="right" vertical="center" wrapText="1"/>
      <protection hidden="1"/>
    </xf>
    <xf numFmtId="3" fontId="4" fillId="32" borderId="33" xfId="0" applyNumberFormat="1" applyFont="1" applyFill="1" applyBorder="1" applyAlignment="1" applyProtection="1">
      <alignment horizontal="right" vertical="center" wrapText="1"/>
      <protection hidden="1"/>
    </xf>
    <xf numFmtId="0" fontId="7" fillId="32" borderId="36" xfId="0" applyFont="1" applyFill="1" applyBorder="1" applyAlignment="1">
      <alignment horizontal="center" vertical="center" wrapText="1"/>
    </xf>
    <xf numFmtId="181" fontId="22" fillId="32" borderId="32" xfId="0" applyNumberFormat="1" applyFont="1" applyFill="1" applyBorder="1" applyAlignment="1">
      <alignment horizontal="left" vertical="center" wrapText="1"/>
    </xf>
    <xf numFmtId="0" fontId="12" fillId="0" borderId="15" xfId="0" quotePrefix="1" applyFont="1" applyBorder="1" applyAlignment="1">
      <alignment horizontal="center" vertical="center" wrapText="1"/>
    </xf>
    <xf numFmtId="0" fontId="3" fillId="32" borderId="13" xfId="0" applyFont="1" applyFill="1" applyBorder="1" applyAlignment="1">
      <alignment vertical="center"/>
    </xf>
    <xf numFmtId="0" fontId="3" fillId="32" borderId="30" xfId="0" applyFont="1" applyFill="1" applyBorder="1" applyAlignment="1">
      <alignment vertical="center"/>
    </xf>
    <xf numFmtId="14" fontId="12" fillId="32" borderId="15" xfId="0" applyNumberFormat="1" applyFont="1" applyFill="1" applyBorder="1" applyAlignment="1">
      <alignment horizontal="center" vertical="center"/>
    </xf>
    <xf numFmtId="3" fontId="3" fillId="32" borderId="15" xfId="0" applyNumberFormat="1"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hidden="1"/>
    </xf>
    <xf numFmtId="0" fontId="3" fillId="32" borderId="15" xfId="0" applyFont="1" applyFill="1" applyBorder="1" applyAlignment="1" applyProtection="1">
      <alignment horizontal="center" vertical="center" wrapText="1"/>
      <protection hidden="1"/>
    </xf>
    <xf numFmtId="165" fontId="2" fillId="32" borderId="15" xfId="0" applyNumberFormat="1" applyFont="1" applyFill="1" applyBorder="1" applyAlignment="1" applyProtection="1">
      <alignment horizontal="center" vertical="center" wrapText="1"/>
      <protection hidden="1"/>
    </xf>
    <xf numFmtId="166" fontId="3" fillId="32" borderId="15" xfId="0" applyNumberFormat="1" applyFont="1" applyFill="1" applyBorder="1" applyAlignment="1" applyProtection="1">
      <alignment horizontal="right" vertical="center" wrapText="1"/>
      <protection hidden="1"/>
    </xf>
    <xf numFmtId="2" fontId="3" fillId="32" borderId="15" xfId="0" applyNumberFormat="1" applyFont="1" applyFill="1" applyBorder="1" applyAlignment="1" applyProtection="1">
      <alignment horizontal="right" vertical="center" wrapText="1"/>
      <protection hidden="1"/>
    </xf>
    <xf numFmtId="3" fontId="3" fillId="42" borderId="15" xfId="0" applyNumberFormat="1" applyFont="1" applyFill="1" applyBorder="1" applyAlignment="1" applyProtection="1">
      <alignment horizontal="right" vertical="center" wrapText="1"/>
      <protection hidden="1"/>
    </xf>
    <xf numFmtId="0" fontId="7" fillId="32" borderId="13" xfId="0" applyFont="1" applyFill="1" applyBorder="1" applyAlignment="1">
      <alignment horizontal="center" vertical="center" wrapText="1"/>
    </xf>
    <xf numFmtId="181" fontId="22" fillId="32" borderId="30" xfId="0" applyNumberFormat="1" applyFont="1" applyFill="1" applyBorder="1" applyAlignment="1">
      <alignment horizontal="left" vertical="center" wrapText="1"/>
    </xf>
    <xf numFmtId="184" fontId="4" fillId="0" borderId="22" xfId="28" quotePrefix="1" applyNumberFormat="1" applyFont="1" applyBorder="1" applyAlignment="1">
      <alignment horizontal="center" vertical="center"/>
    </xf>
    <xf numFmtId="37" fontId="4" fillId="0" borderId="13" xfId="28" quotePrefix="1" applyNumberFormat="1" applyFont="1" applyBorder="1" applyAlignment="1">
      <alignment horizontal="center" vertical="center"/>
    </xf>
    <xf numFmtId="0" fontId="4" fillId="32" borderId="36" xfId="0" applyFont="1" applyFill="1" applyBorder="1" applyAlignment="1">
      <alignment vertical="center"/>
    </xf>
    <xf numFmtId="180" fontId="4" fillId="0" borderId="20" xfId="0" applyNumberFormat="1" applyFont="1" applyBorder="1" applyAlignment="1">
      <alignment vertical="center" wrapText="1"/>
    </xf>
    <xf numFmtId="0" fontId="57" fillId="41" borderId="16" xfId="0" applyFont="1" applyFill="1" applyBorder="1" applyAlignment="1">
      <alignment vertical="center" wrapText="1"/>
    </xf>
    <xf numFmtId="2" fontId="2" fillId="41" borderId="11" xfId="0" applyNumberFormat="1" applyFont="1" applyFill="1" applyBorder="1" applyAlignment="1">
      <alignment horizontal="center" vertical="center" wrapText="1"/>
    </xf>
    <xf numFmtId="3" fontId="4" fillId="32" borderId="12" xfId="0" applyNumberFormat="1" applyFont="1" applyFill="1" applyBorder="1" applyAlignment="1">
      <alignment horizontal="right" vertical="center" wrapText="1"/>
    </xf>
    <xf numFmtId="3" fontId="4" fillId="41" borderId="12" xfId="0" applyNumberFormat="1" applyFont="1" applyFill="1" applyBorder="1" applyAlignment="1">
      <alignment horizontal="right" vertical="center" wrapText="1"/>
    </xf>
    <xf numFmtId="3" fontId="4" fillId="39" borderId="12" xfId="0" applyNumberFormat="1" applyFont="1" applyFill="1" applyBorder="1" applyAlignment="1">
      <alignment horizontal="right" vertical="center" wrapText="1"/>
    </xf>
    <xf numFmtId="3" fontId="3" fillId="32" borderId="12" xfId="0" applyNumberFormat="1" applyFont="1" applyFill="1" applyBorder="1" applyAlignment="1">
      <alignment horizontal="right" vertical="center" wrapText="1"/>
    </xf>
    <xf numFmtId="180" fontId="3" fillId="32" borderId="12" xfId="0" applyNumberFormat="1" applyFont="1" applyFill="1" applyBorder="1" applyAlignment="1">
      <alignment horizontal="center" vertical="center" wrapText="1"/>
    </xf>
    <xf numFmtId="180" fontId="3" fillId="41" borderId="12" xfId="0" applyNumberFormat="1" applyFont="1" applyFill="1" applyBorder="1" applyAlignment="1">
      <alignment horizontal="center" vertical="center" wrapText="1"/>
    </xf>
    <xf numFmtId="3" fontId="3" fillId="41" borderId="12" xfId="0" applyNumberFormat="1" applyFont="1" applyFill="1" applyBorder="1" applyAlignment="1">
      <alignment horizontal="right" vertical="center" wrapText="1"/>
    </xf>
    <xf numFmtId="180" fontId="3" fillId="39" borderId="12" xfId="0" applyNumberFormat="1" applyFont="1" applyFill="1" applyBorder="1" applyAlignment="1">
      <alignment horizontal="center" vertical="center" wrapText="1"/>
    </xf>
    <xf numFmtId="3" fontId="3" fillId="39" borderId="12" xfId="0" applyNumberFormat="1" applyFont="1" applyFill="1" applyBorder="1" applyAlignment="1">
      <alignment horizontal="right" vertical="center" wrapText="1"/>
    </xf>
    <xf numFmtId="0" fontId="12" fillId="0" borderId="0" xfId="0" quotePrefix="1" applyFont="1"/>
    <xf numFmtId="0" fontId="3" fillId="32" borderId="36" xfId="0" applyFont="1" applyFill="1" applyBorder="1" applyAlignment="1">
      <alignment vertical="center"/>
    </xf>
    <xf numFmtId="180" fontId="3" fillId="32" borderId="36" xfId="0" applyNumberFormat="1" applyFont="1" applyFill="1" applyBorder="1" applyAlignment="1">
      <alignment horizontal="center" vertical="center" wrapText="1"/>
    </xf>
    <xf numFmtId="3" fontId="3" fillId="32" borderId="36" xfId="0" applyNumberFormat="1" applyFont="1" applyFill="1" applyBorder="1" applyAlignment="1">
      <alignment horizontal="right" vertical="center" wrapText="1"/>
    </xf>
    <xf numFmtId="3" fontId="4" fillId="32" borderId="36" xfId="0" applyNumberFormat="1" applyFont="1" applyFill="1" applyBorder="1" applyAlignment="1">
      <alignment horizontal="right" vertical="center" wrapText="1"/>
    </xf>
    <xf numFmtId="3" fontId="2" fillId="0" borderId="36" xfId="0" applyNumberFormat="1" applyFont="1" applyBorder="1" applyAlignment="1">
      <alignment vertical="center" wrapText="1"/>
    </xf>
    <xf numFmtId="3" fontId="2" fillId="32" borderId="36" xfId="0" applyNumberFormat="1" applyFont="1" applyFill="1" applyBorder="1" applyAlignment="1">
      <alignment vertical="center" wrapText="1"/>
    </xf>
    <xf numFmtId="0" fontId="12" fillId="44" borderId="36" xfId="0" applyFont="1" applyFill="1" applyBorder="1" applyAlignment="1">
      <alignment horizontal="center" vertical="center" wrapText="1"/>
    </xf>
    <xf numFmtId="0" fontId="12" fillId="0" borderId="36" xfId="0" applyFont="1" applyBorder="1" applyAlignment="1">
      <alignment horizontal="center" vertical="center" wrapText="1"/>
    </xf>
    <xf numFmtId="0" fontId="12" fillId="42" borderId="36" xfId="0" applyFont="1" applyFill="1" applyBorder="1" applyAlignment="1">
      <alignment horizontal="center" vertical="center" wrapText="1"/>
    </xf>
    <xf numFmtId="175" fontId="2" fillId="0" borderId="36" xfId="0" applyNumberFormat="1" applyFont="1" applyBorder="1" applyAlignment="1">
      <alignment vertical="center" wrapText="1"/>
    </xf>
    <xf numFmtId="1" fontId="22" fillId="39" borderId="11" xfId="0" quotePrefix="1" applyNumberFormat="1" applyFont="1" applyFill="1" applyBorder="1" applyAlignment="1">
      <alignment horizontal="center" vertical="center"/>
    </xf>
    <xf numFmtId="3" fontId="4" fillId="39" borderId="11" xfId="0" applyNumberFormat="1" applyFont="1" applyFill="1" applyBorder="1" applyAlignment="1" applyProtection="1">
      <alignment horizontal="right" vertical="center" wrapText="1"/>
      <protection hidden="1"/>
    </xf>
    <xf numFmtId="0" fontId="12" fillId="0" borderId="14" xfId="0" applyFont="1" applyBorder="1" applyAlignment="1">
      <alignment horizontal="center" vertical="center" wrapText="1"/>
    </xf>
    <xf numFmtId="0" fontId="3" fillId="32" borderId="18" xfId="0" applyFont="1" applyFill="1" applyBorder="1" applyAlignment="1">
      <alignment vertical="center" wrapText="1"/>
    </xf>
    <xf numFmtId="0" fontId="46" fillId="32" borderId="18" xfId="0" applyFont="1" applyFill="1" applyBorder="1" applyAlignment="1">
      <alignment vertical="center" wrapText="1"/>
    </xf>
    <xf numFmtId="0" fontId="46" fillId="32" borderId="11" xfId="0" applyFont="1" applyFill="1" applyBorder="1" applyAlignment="1">
      <alignment vertical="center" wrapText="1"/>
    </xf>
    <xf numFmtId="0" fontId="3" fillId="32" borderId="11" xfId="0" applyFont="1" applyFill="1" applyBorder="1" applyAlignment="1">
      <alignment vertical="center"/>
    </xf>
    <xf numFmtId="0" fontId="46" fillId="0" borderId="11" xfId="0" applyFont="1" applyBorder="1" applyAlignment="1">
      <alignment vertical="center" wrapText="1"/>
    </xf>
    <xf numFmtId="0" fontId="57" fillId="32" borderId="11" xfId="0" applyFont="1" applyFill="1" applyBorder="1" applyAlignment="1">
      <alignment vertical="center" wrapText="1"/>
    </xf>
    <xf numFmtId="0" fontId="4" fillId="32" borderId="11" xfId="0" applyFont="1" applyFill="1" applyBorder="1" applyAlignment="1">
      <alignment vertical="center" wrapText="1"/>
    </xf>
    <xf numFmtId="0" fontId="4" fillId="0" borderId="11" xfId="0" applyFont="1" applyBorder="1" applyAlignment="1">
      <alignment vertical="center" wrapText="1"/>
    </xf>
    <xf numFmtId="0" fontId="3" fillId="39" borderId="11" xfId="0" applyFont="1" applyFill="1" applyBorder="1" applyAlignment="1">
      <alignment vertical="center" wrapText="1"/>
    </xf>
    <xf numFmtId="0" fontId="4" fillId="39" borderId="11" xfId="0" applyFont="1" applyFill="1" applyBorder="1" applyAlignment="1">
      <alignment vertical="center" wrapText="1"/>
    </xf>
    <xf numFmtId="0" fontId="3" fillId="41" borderId="11" xfId="0" applyFont="1" applyFill="1" applyBorder="1" applyAlignment="1">
      <alignment vertical="center" wrapText="1"/>
    </xf>
    <xf numFmtId="0" fontId="4" fillId="41" borderId="11" xfId="0" applyFont="1" applyFill="1" applyBorder="1" applyAlignment="1">
      <alignment vertical="center" wrapText="1"/>
    </xf>
    <xf numFmtId="0" fontId="19" fillId="32" borderId="11" xfId="0" applyFont="1" applyFill="1" applyBorder="1" applyAlignment="1">
      <alignment vertical="center" wrapText="1"/>
    </xf>
    <xf numFmtId="0" fontId="3" fillId="32" borderId="11" xfId="0" applyFont="1" applyFill="1" applyBorder="1" applyAlignment="1">
      <alignment horizontal="left" vertical="center" wrapText="1"/>
    </xf>
    <xf numFmtId="0" fontId="4" fillId="32" borderId="11" xfId="0" applyFont="1" applyFill="1" applyBorder="1" applyAlignment="1">
      <alignment horizontal="left" vertical="center" wrapText="1"/>
    </xf>
    <xf numFmtId="0" fontId="6" fillId="32" borderId="11" xfId="0" applyFont="1" applyFill="1" applyBorder="1" applyAlignment="1">
      <alignment vertical="center" wrapText="1"/>
    </xf>
    <xf numFmtId="0" fontId="4" fillId="36" borderId="11" xfId="0" applyFont="1" applyFill="1" applyBorder="1" applyAlignment="1">
      <alignment vertical="center" wrapText="1"/>
    </xf>
    <xf numFmtId="0" fontId="4" fillId="37" borderId="11" xfId="0" applyFont="1" applyFill="1" applyBorder="1" applyAlignment="1">
      <alignment vertical="center" wrapText="1"/>
    </xf>
    <xf numFmtId="0" fontId="4" fillId="32" borderId="11" xfId="0" applyFont="1" applyFill="1" applyBorder="1" applyAlignment="1">
      <alignment horizontal="center" vertical="center" wrapText="1"/>
    </xf>
    <xf numFmtId="0" fontId="46" fillId="39" borderId="11" xfId="0" applyFont="1" applyFill="1" applyBorder="1" applyAlignment="1">
      <alignment vertical="center" wrapText="1"/>
    </xf>
    <xf numFmtId="0" fontId="3" fillId="0" borderId="11" xfId="0" applyFont="1" applyBorder="1" applyAlignment="1">
      <alignment vertical="center"/>
    </xf>
    <xf numFmtId="0" fontId="3" fillId="32" borderId="15" xfId="0" applyFont="1" applyFill="1" applyBorder="1" applyAlignment="1">
      <alignment vertical="center"/>
    </xf>
    <xf numFmtId="185" fontId="3" fillId="0" borderId="18" xfId="28" quotePrefix="1" applyNumberFormat="1" applyFont="1" applyBorder="1" applyAlignment="1">
      <alignment horizontal="center" vertical="center"/>
    </xf>
    <xf numFmtId="185" fontId="3" fillId="0" borderId="11" xfId="28" quotePrefix="1" applyNumberFormat="1" applyFont="1" applyBorder="1" applyAlignment="1">
      <alignment horizontal="center" vertical="center"/>
    </xf>
    <xf numFmtId="185" fontId="3" fillId="0" borderId="15" xfId="28" quotePrefix="1" applyNumberFormat="1" applyFont="1" applyBorder="1" applyAlignment="1">
      <alignment horizontal="center" vertical="center"/>
    </xf>
    <xf numFmtId="185" fontId="3" fillId="39" borderId="11" xfId="28" quotePrefix="1" applyNumberFormat="1" applyFont="1" applyFill="1" applyBorder="1" applyAlignment="1">
      <alignment horizontal="center" vertical="center"/>
    </xf>
    <xf numFmtId="185" fontId="3" fillId="41" borderId="11" xfId="28" quotePrefix="1" applyNumberFormat="1" applyFont="1" applyFill="1" applyBorder="1" applyAlignment="1">
      <alignment horizontal="center" vertical="center"/>
    </xf>
    <xf numFmtId="3" fontId="4" fillId="0" borderId="20" xfId="0" applyNumberFormat="1" applyFont="1" applyBorder="1" applyAlignment="1">
      <alignment horizontal="center" vertical="center" wrapText="1"/>
    </xf>
    <xf numFmtId="3" fontId="3" fillId="45" borderId="11" xfId="0" applyNumberFormat="1" applyFont="1" applyFill="1" applyBorder="1" applyAlignment="1">
      <alignment horizontal="center" vertical="center" wrapText="1"/>
    </xf>
    <xf numFmtId="0" fontId="3" fillId="41" borderId="16" xfId="0" applyFont="1" applyFill="1" applyBorder="1" applyAlignment="1">
      <alignment vertical="center"/>
    </xf>
    <xf numFmtId="14" fontId="12" fillId="41" borderId="11" xfId="0" applyNumberFormat="1" applyFont="1" applyFill="1" applyBorder="1" applyAlignment="1">
      <alignment horizontal="center" vertical="center"/>
    </xf>
    <xf numFmtId="1" fontId="2" fillId="41" borderId="11" xfId="0" applyNumberFormat="1" applyFont="1" applyFill="1" applyBorder="1" applyAlignment="1">
      <alignment horizontal="center" vertical="center"/>
    </xf>
    <xf numFmtId="3" fontId="3" fillId="41" borderId="11" xfId="0" applyNumberFormat="1"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hidden="1"/>
    </xf>
    <xf numFmtId="0" fontId="3" fillId="41" borderId="11" xfId="0" applyFont="1" applyFill="1" applyBorder="1" applyAlignment="1" applyProtection="1">
      <alignment horizontal="center" vertical="center" wrapText="1"/>
      <protection hidden="1"/>
    </xf>
    <xf numFmtId="0" fontId="3" fillId="41" borderId="25" xfId="0" applyFont="1" applyFill="1" applyBorder="1" applyAlignment="1" applyProtection="1">
      <alignment horizontal="center" vertical="center" wrapText="1"/>
      <protection hidden="1"/>
    </xf>
    <xf numFmtId="165" fontId="2" fillId="41" borderId="11" xfId="0" applyNumberFormat="1" applyFont="1" applyFill="1" applyBorder="1" applyAlignment="1" applyProtection="1">
      <alignment horizontal="center" vertical="center" wrapText="1"/>
      <protection hidden="1"/>
    </xf>
    <xf numFmtId="166" fontId="3" fillId="41" borderId="11" xfId="0" applyNumberFormat="1" applyFont="1" applyFill="1" applyBorder="1" applyAlignment="1" applyProtection="1">
      <alignment horizontal="right" vertical="center" wrapText="1"/>
      <protection hidden="1"/>
    </xf>
    <xf numFmtId="2" fontId="3" fillId="41" borderId="11" xfId="0" applyNumberFormat="1" applyFont="1" applyFill="1" applyBorder="1" applyAlignment="1" applyProtection="1">
      <alignment horizontal="right" vertical="center" wrapText="1"/>
      <protection hidden="1"/>
    </xf>
    <xf numFmtId="3" fontId="4" fillId="41" borderId="11" xfId="0" applyNumberFormat="1" applyFont="1" applyFill="1" applyBorder="1" applyAlignment="1" applyProtection="1">
      <alignment horizontal="right" vertical="center" wrapText="1"/>
      <protection hidden="1"/>
    </xf>
    <xf numFmtId="181" fontId="22" fillId="41" borderId="29" xfId="0" applyNumberFormat="1" applyFont="1" applyFill="1" applyBorder="1" applyAlignment="1">
      <alignment horizontal="left" vertical="center" wrapText="1"/>
    </xf>
    <xf numFmtId="0" fontId="3" fillId="32" borderId="18" xfId="0" applyFont="1" applyFill="1" applyBorder="1" applyAlignment="1">
      <alignment horizontal="center" vertical="center" wrapText="1"/>
    </xf>
    <xf numFmtId="9" fontId="2" fillId="32" borderId="18" xfId="0" applyNumberFormat="1" applyFont="1" applyFill="1" applyBorder="1" applyAlignment="1">
      <alignment horizontal="center" vertical="center" wrapText="1"/>
    </xf>
    <xf numFmtId="0" fontId="2" fillId="32" borderId="18" xfId="0" applyFont="1" applyFill="1" applyBorder="1" applyAlignment="1">
      <alignment horizontal="center" vertical="center" wrapText="1"/>
    </xf>
    <xf numFmtId="0" fontId="9" fillId="0" borderId="0" xfId="0" quotePrefix="1" applyFont="1" applyAlignment="1">
      <alignment horizontal="center"/>
    </xf>
    <xf numFmtId="37" fontId="3" fillId="0" borderId="38" xfId="28" quotePrefix="1" applyNumberFormat="1" applyFont="1" applyBorder="1" applyAlignment="1">
      <alignment vertical="center"/>
    </xf>
    <xf numFmtId="37" fontId="4" fillId="0" borderId="38" xfId="28" quotePrefix="1" applyNumberFormat="1" applyFont="1" applyBorder="1" applyAlignment="1">
      <alignment vertical="center"/>
    </xf>
    <xf numFmtId="181" fontId="22" fillId="0" borderId="27" xfId="0" applyNumberFormat="1" applyFont="1" applyBorder="1" applyAlignment="1" applyProtection="1">
      <alignment horizontal="justify" vertical="center" wrapText="1"/>
      <protection hidden="1"/>
    </xf>
    <xf numFmtId="0" fontId="5" fillId="0" borderId="0" xfId="0" applyFont="1" applyAlignment="1" applyProtection="1">
      <alignment vertical="center"/>
      <protection locked="0" hidden="1"/>
    </xf>
    <xf numFmtId="0" fontId="12" fillId="0" borderId="0" xfId="0" applyFont="1" applyAlignment="1" applyProtection="1">
      <alignment vertical="center"/>
      <protection locked="0" hidden="1"/>
    </xf>
    <xf numFmtId="0" fontId="9" fillId="0" borderId="0" xfId="0" applyFont="1" applyAlignment="1" applyProtection="1">
      <alignment vertical="center"/>
      <protection locked="0" hidden="1"/>
    </xf>
    <xf numFmtId="165" fontId="9" fillId="0" borderId="0" xfId="0" applyNumberFormat="1" applyFont="1" applyAlignment="1" applyProtection="1">
      <alignment vertical="center"/>
      <protection locked="0" hidden="1"/>
    </xf>
    <xf numFmtId="0" fontId="12" fillId="0" borderId="0" xfId="0" applyFont="1" applyAlignment="1" applyProtection="1">
      <alignment horizontal="center" vertical="center"/>
      <protection locked="0" hidden="1"/>
    </xf>
    <xf numFmtId="0" fontId="2" fillId="0" borderId="0" xfId="0" applyFont="1" applyAlignment="1" applyProtection="1">
      <alignment horizontal="center" vertical="center"/>
      <protection locked="0" hidden="1"/>
    </xf>
    <xf numFmtId="3" fontId="12" fillId="0" borderId="0" xfId="0" applyNumberFormat="1" applyFont="1" applyAlignment="1" applyProtection="1">
      <alignment vertical="center"/>
      <protection locked="0" hidden="1"/>
    </xf>
    <xf numFmtId="175" fontId="12" fillId="0" borderId="0" xfId="28" applyNumberFormat="1" applyFont="1" applyFill="1" applyAlignment="1" applyProtection="1">
      <alignment vertical="center"/>
      <protection locked="0" hidden="1"/>
    </xf>
    <xf numFmtId="0" fontId="7" fillId="0" borderId="10" xfId="0" quotePrefix="1" applyFont="1" applyBorder="1" applyAlignment="1" applyProtection="1">
      <alignment horizontal="center" vertical="center" wrapText="1"/>
      <protection locked="0" hidden="1"/>
    </xf>
    <xf numFmtId="3" fontId="2" fillId="0" borderId="0" xfId="0" applyNumberFormat="1" applyFont="1" applyAlignment="1" applyProtection="1">
      <alignment vertical="center" wrapText="1"/>
      <protection locked="0" hidden="1"/>
    </xf>
    <xf numFmtId="0" fontId="2" fillId="0" borderId="0" xfId="0" applyFont="1" applyAlignment="1" applyProtection="1">
      <alignment vertical="center" wrapText="1"/>
      <protection locked="0" hidden="1"/>
    </xf>
    <xf numFmtId="175" fontId="2" fillId="0" borderId="0" xfId="28" applyNumberFormat="1" applyFont="1" applyFill="1" applyBorder="1" applyAlignment="1" applyProtection="1">
      <alignment vertical="center" wrapText="1"/>
      <protection locked="0" hidden="1"/>
    </xf>
    <xf numFmtId="0" fontId="12" fillId="32" borderId="11" xfId="0" quotePrefix="1" applyFont="1" applyFill="1" applyBorder="1" applyAlignment="1" applyProtection="1">
      <alignment horizontal="center" vertical="center" wrapText="1"/>
      <protection locked="0" hidden="1"/>
    </xf>
    <xf numFmtId="0" fontId="3" fillId="32" borderId="12" xfId="0" applyFont="1" applyFill="1" applyBorder="1" applyAlignment="1" applyProtection="1">
      <alignment vertical="center" wrapText="1"/>
      <protection locked="0" hidden="1"/>
    </xf>
    <xf numFmtId="0" fontId="12" fillId="0" borderId="18" xfId="0" applyFont="1" applyBorder="1" applyAlignment="1" applyProtection="1">
      <alignment horizontal="center" vertical="center" wrapText="1"/>
      <protection locked="0" hidden="1"/>
    </xf>
    <xf numFmtId="49" fontId="12" fillId="32" borderId="18" xfId="0" quotePrefix="1" applyNumberFormat="1" applyFont="1" applyFill="1" applyBorder="1" applyAlignment="1" applyProtection="1">
      <alignment horizontal="center" vertical="center" wrapText="1"/>
      <protection locked="0" hidden="1"/>
    </xf>
    <xf numFmtId="0" fontId="3" fillId="32" borderId="11" xfId="0" applyFont="1" applyFill="1" applyBorder="1" applyAlignment="1" applyProtection="1">
      <alignment horizontal="center" vertical="center" wrapText="1"/>
      <protection locked="0" hidden="1"/>
    </xf>
    <xf numFmtId="9" fontId="2" fillId="32" borderId="11" xfId="0" applyNumberFormat="1" applyFont="1" applyFill="1" applyBorder="1" applyAlignment="1" applyProtection="1">
      <alignment horizontal="center" vertical="center" wrapText="1"/>
      <protection locked="0" hidden="1"/>
    </xf>
    <xf numFmtId="0" fontId="2" fillId="32" borderId="11" xfId="0" applyFont="1" applyFill="1" applyBorder="1" applyAlignment="1" applyProtection="1">
      <alignment horizontal="center" vertical="center" wrapText="1"/>
      <protection locked="0" hidden="1"/>
    </xf>
    <xf numFmtId="0" fontId="3" fillId="32" borderId="11" xfId="0" quotePrefix="1" applyFont="1" applyFill="1" applyBorder="1" applyAlignment="1" applyProtection="1">
      <alignment horizontal="center" vertical="center" wrapText="1"/>
      <protection locked="0" hidden="1"/>
    </xf>
    <xf numFmtId="37" fontId="3" fillId="0" borderId="11" xfId="28" quotePrefix="1" applyNumberFormat="1" applyFont="1" applyBorder="1" applyAlignment="1" applyProtection="1">
      <alignment horizontal="center" vertical="center"/>
      <protection locked="0" hidden="1"/>
    </xf>
    <xf numFmtId="175" fontId="4" fillId="32" borderId="11" xfId="28" applyNumberFormat="1" applyFont="1" applyFill="1" applyBorder="1" applyAlignment="1" applyProtection="1">
      <alignment horizontal="right" vertical="center" wrapText="1"/>
      <protection locked="0" hidden="1"/>
    </xf>
    <xf numFmtId="0" fontId="7" fillId="32" borderId="12" xfId="0" quotePrefix="1" applyFont="1" applyFill="1" applyBorder="1" applyAlignment="1" applyProtection="1">
      <alignment vertical="center" wrapText="1"/>
      <protection locked="0" hidden="1"/>
    </xf>
    <xf numFmtId="181" fontId="22" fillId="0" borderId="16" xfId="0" applyNumberFormat="1" applyFont="1" applyBorder="1" applyAlignment="1" applyProtection="1">
      <alignment horizontal="justify" vertical="center" wrapText="1"/>
      <protection locked="0" hidden="1"/>
    </xf>
    <xf numFmtId="168" fontId="2" fillId="0" borderId="0" xfId="0" applyNumberFormat="1" applyFont="1" applyAlignment="1" applyProtection="1">
      <alignment vertical="center" wrapText="1"/>
      <protection locked="0" hidden="1"/>
    </xf>
    <xf numFmtId="175" fontId="2" fillId="0" borderId="0" xfId="28" applyNumberFormat="1" applyFont="1" applyFill="1" applyAlignment="1" applyProtection="1">
      <alignment vertical="center" wrapText="1"/>
      <protection locked="0" hidden="1"/>
    </xf>
    <xf numFmtId="0" fontId="2" fillId="32" borderId="0" xfId="0" applyFont="1" applyFill="1" applyAlignment="1" applyProtection="1">
      <alignment vertical="center" wrapText="1"/>
      <protection locked="0" hidden="1"/>
    </xf>
    <xf numFmtId="0" fontId="12" fillId="0" borderId="11" xfId="0" applyFont="1" applyBorder="1" applyAlignment="1" applyProtection="1">
      <alignment horizontal="center" vertical="center" wrapText="1"/>
      <protection locked="0" hidden="1"/>
    </xf>
    <xf numFmtId="49" fontId="12" fillId="32" borderId="11" xfId="0" quotePrefix="1" applyNumberFormat="1" applyFont="1" applyFill="1" applyBorder="1" applyAlignment="1" applyProtection="1">
      <alignment horizontal="center" vertical="center" wrapText="1"/>
      <protection locked="0" hidden="1"/>
    </xf>
    <xf numFmtId="179" fontId="2" fillId="0" borderId="0" xfId="28" applyNumberFormat="1" applyFont="1" applyFill="1" applyBorder="1" applyAlignment="1" applyProtection="1">
      <alignment vertical="center" wrapText="1"/>
      <protection locked="0" hidden="1"/>
    </xf>
    <xf numFmtId="179" fontId="2" fillId="0" borderId="0" xfId="28" applyNumberFormat="1" applyFont="1" applyFill="1" applyAlignment="1" applyProtection="1">
      <alignment vertical="center" wrapText="1"/>
      <protection locked="0" hidden="1"/>
    </xf>
    <xf numFmtId="0" fontId="12" fillId="32" borderId="11" xfId="0" applyFont="1" applyFill="1" applyBorder="1" applyAlignment="1" applyProtection="1">
      <alignment horizontal="center" vertical="center" wrapText="1"/>
      <protection locked="0" hidden="1"/>
    </xf>
    <xf numFmtId="49" fontId="12" fillId="32" borderId="11" xfId="0" applyNumberFormat="1" applyFont="1" applyFill="1" applyBorder="1" applyAlignment="1" applyProtection="1">
      <alignment horizontal="center" vertical="center" wrapText="1"/>
      <protection locked="0" hidden="1"/>
    </xf>
    <xf numFmtId="37" fontId="3" fillId="32" borderId="11" xfId="28" quotePrefix="1" applyNumberFormat="1" applyFont="1" applyFill="1" applyBorder="1" applyAlignment="1" applyProtection="1">
      <alignment horizontal="center" vertical="center"/>
      <protection locked="0" hidden="1"/>
    </xf>
    <xf numFmtId="179" fontId="2" fillId="32" borderId="0" xfId="28" applyNumberFormat="1" applyFont="1" applyFill="1" applyBorder="1" applyAlignment="1" applyProtection="1">
      <alignment vertical="center" wrapText="1"/>
      <protection locked="0" hidden="1"/>
    </xf>
    <xf numFmtId="179" fontId="2" fillId="32" borderId="0" xfId="28" applyNumberFormat="1" applyFont="1" applyFill="1" applyAlignment="1" applyProtection="1">
      <alignment vertical="center" wrapText="1"/>
      <protection locked="0" hidden="1"/>
    </xf>
    <xf numFmtId="175" fontId="2" fillId="32" borderId="0" xfId="28" applyNumberFormat="1" applyFont="1" applyFill="1" applyAlignment="1" applyProtection="1">
      <alignment vertical="center" wrapText="1"/>
      <protection locked="0" hidden="1"/>
    </xf>
    <xf numFmtId="1" fontId="3" fillId="0" borderId="11" xfId="0" applyNumberFormat="1" applyFont="1" applyBorder="1" applyAlignment="1" applyProtection="1">
      <alignment horizontal="center" vertical="center" wrapText="1"/>
      <protection locked="0" hidden="1"/>
    </xf>
    <xf numFmtId="2" fontId="3" fillId="32" borderId="11" xfId="0" applyNumberFormat="1" applyFont="1" applyFill="1" applyBorder="1" applyAlignment="1" applyProtection="1">
      <alignment horizontal="center" vertical="center" wrapText="1"/>
      <protection locked="0" hidden="1"/>
    </xf>
    <xf numFmtId="182" fontId="2" fillId="0" borderId="0" xfId="0" applyNumberFormat="1" applyFont="1" applyAlignment="1" applyProtection="1">
      <alignment vertical="center" wrapText="1"/>
      <protection locked="0" hidden="1"/>
    </xf>
    <xf numFmtId="49" fontId="12" fillId="0" borderId="11" xfId="0" quotePrefix="1" applyNumberFormat="1" applyFont="1" applyBorder="1" applyAlignment="1" applyProtection="1">
      <alignment horizontal="center" vertical="center" wrapText="1"/>
      <protection locked="0" hidden="1"/>
    </xf>
    <xf numFmtId="0" fontId="3" fillId="32" borderId="12" xfId="0" applyFont="1" applyFill="1" applyBorder="1" applyAlignment="1" applyProtection="1">
      <alignment vertical="center"/>
      <protection locked="0" hidden="1"/>
    </xf>
    <xf numFmtId="14" fontId="12" fillId="32" borderId="11" xfId="0" applyNumberFormat="1" applyFont="1" applyFill="1" applyBorder="1" applyAlignment="1" applyProtection="1">
      <alignment horizontal="center" vertical="center"/>
      <protection locked="0" hidden="1"/>
    </xf>
    <xf numFmtId="1" fontId="12" fillId="32" borderId="11" xfId="0" quotePrefix="1" applyNumberFormat="1" applyFont="1" applyFill="1" applyBorder="1" applyAlignment="1" applyProtection="1">
      <alignment horizontal="center" vertical="center"/>
      <protection locked="0" hidden="1"/>
    </xf>
    <xf numFmtId="181" fontId="22" fillId="0" borderId="0" xfId="0" applyNumberFormat="1" applyFont="1" applyAlignment="1" applyProtection="1">
      <alignment horizontal="justify" vertical="center" wrapText="1"/>
      <protection locked="0" hidden="1"/>
    </xf>
    <xf numFmtId="1" fontId="12" fillId="32" borderId="11" xfId="0" applyNumberFormat="1" applyFont="1" applyFill="1" applyBorder="1" applyAlignment="1" applyProtection="1">
      <alignment horizontal="center" vertical="center" wrapText="1"/>
      <protection locked="0" hidden="1"/>
    </xf>
    <xf numFmtId="1" fontId="12" fillId="0" borderId="11" xfId="0" applyNumberFormat="1" applyFont="1" applyBorder="1" applyAlignment="1" applyProtection="1">
      <alignment horizontal="center" vertical="center"/>
      <protection locked="0" hidden="1"/>
    </xf>
    <xf numFmtId="9" fontId="51" fillId="32" borderId="11" xfId="0" applyNumberFormat="1" applyFont="1" applyFill="1" applyBorder="1" applyAlignment="1" applyProtection="1">
      <alignment horizontal="center" vertical="center" wrapText="1"/>
      <protection locked="0" hidden="1"/>
    </xf>
    <xf numFmtId="0" fontId="3" fillId="0" borderId="12" xfId="0" applyFont="1" applyBorder="1" applyAlignment="1" applyProtection="1">
      <alignment vertical="center" wrapText="1"/>
      <protection locked="0" hidden="1"/>
    </xf>
    <xf numFmtId="49" fontId="12" fillId="0" borderId="11" xfId="0" applyNumberFormat="1" applyFont="1" applyBorder="1" applyAlignment="1" applyProtection="1">
      <alignment horizontal="center" vertical="center" wrapText="1"/>
      <protection locked="0" hidden="1"/>
    </xf>
    <xf numFmtId="0" fontId="3" fillId="0" borderId="11" xfId="0" applyFont="1" applyBorder="1" applyAlignment="1" applyProtection="1">
      <alignment horizontal="center" vertical="center" wrapText="1"/>
      <protection locked="0" hidden="1"/>
    </xf>
    <xf numFmtId="9" fontId="2" fillId="0" borderId="11" xfId="0" applyNumberFormat="1" applyFont="1" applyBorder="1" applyAlignment="1" applyProtection="1">
      <alignment horizontal="center" vertical="center" wrapText="1"/>
      <protection locked="0" hidden="1"/>
    </xf>
    <xf numFmtId="0" fontId="2" fillId="0" borderId="11" xfId="0" applyFont="1" applyBorder="1" applyAlignment="1" applyProtection="1">
      <alignment horizontal="center" vertical="center" wrapText="1"/>
      <protection locked="0" hidden="1"/>
    </xf>
    <xf numFmtId="1" fontId="12" fillId="0" borderId="11" xfId="0" applyNumberFormat="1" applyFont="1" applyBorder="1" applyAlignment="1" applyProtection="1">
      <alignment horizontal="center" vertical="center" wrapText="1"/>
      <protection locked="0" hidden="1"/>
    </xf>
    <xf numFmtId="2" fontId="3" fillId="0" borderId="11" xfId="0" applyNumberFormat="1" applyFont="1" applyBorder="1" applyAlignment="1" applyProtection="1">
      <alignment horizontal="center" vertical="center" wrapText="1"/>
      <protection locked="0" hidden="1"/>
    </xf>
    <xf numFmtId="1" fontId="12" fillId="32" borderId="11" xfId="0" applyNumberFormat="1" applyFont="1" applyFill="1" applyBorder="1" applyAlignment="1" applyProtection="1">
      <alignment horizontal="center" vertical="center"/>
      <protection locked="0" hidden="1"/>
    </xf>
    <xf numFmtId="0" fontId="12" fillId="32" borderId="16" xfId="0" quotePrefix="1" applyFont="1" applyFill="1" applyBorder="1" applyAlignment="1" applyProtection="1">
      <alignment horizontal="center" vertical="center" wrapText="1"/>
      <protection locked="0" hidden="1"/>
    </xf>
    <xf numFmtId="1" fontId="3" fillId="32" borderId="11" xfId="0" quotePrefix="1" applyNumberFormat="1" applyFont="1" applyFill="1" applyBorder="1" applyAlignment="1" applyProtection="1">
      <alignment horizontal="center" vertical="center" wrapText="1"/>
      <protection locked="0" hidden="1"/>
    </xf>
    <xf numFmtId="2" fontId="2" fillId="0" borderId="11" xfId="0" applyNumberFormat="1" applyFont="1" applyBorder="1" applyAlignment="1" applyProtection="1">
      <alignment horizontal="center" vertical="center" wrapText="1"/>
      <protection locked="0" hidden="1"/>
    </xf>
    <xf numFmtId="0" fontId="3" fillId="32" borderId="24" xfId="0" applyFont="1" applyFill="1" applyBorder="1" applyAlignment="1" applyProtection="1">
      <alignment vertical="center" wrapText="1"/>
      <protection locked="0" hidden="1"/>
    </xf>
    <xf numFmtId="0" fontId="3" fillId="32" borderId="11" xfId="0" applyFont="1" applyFill="1" applyBorder="1" applyAlignment="1" applyProtection="1">
      <alignment vertical="center" wrapText="1"/>
      <protection locked="0" hidden="1"/>
    </xf>
    <xf numFmtId="1" fontId="12" fillId="0" borderId="11" xfId="0" quotePrefix="1" applyNumberFormat="1" applyFont="1" applyBorder="1" applyAlignment="1" applyProtection="1">
      <alignment horizontal="center" vertical="center"/>
      <protection locked="0" hidden="1"/>
    </xf>
    <xf numFmtId="2" fontId="3" fillId="32" borderId="11" xfId="43" applyNumberFormat="1" applyFont="1" applyFill="1" applyBorder="1" applyAlignment="1" applyProtection="1">
      <alignment horizontal="center" vertical="center" wrapText="1"/>
      <protection locked="0" hidden="1"/>
    </xf>
    <xf numFmtId="164" fontId="2" fillId="0" borderId="0" xfId="28" applyFont="1" applyFill="1" applyAlignment="1" applyProtection="1">
      <alignment vertical="center" wrapText="1"/>
      <protection locked="0" hidden="1"/>
    </xf>
    <xf numFmtId="1" fontId="3" fillId="32" borderId="11" xfId="0" quotePrefix="1" applyNumberFormat="1" applyFont="1" applyFill="1" applyBorder="1" applyAlignment="1" applyProtection="1">
      <alignment horizontal="center" vertical="center"/>
      <protection locked="0" hidden="1"/>
    </xf>
    <xf numFmtId="3" fontId="2" fillId="32" borderId="0" xfId="0" applyNumberFormat="1" applyFont="1" applyFill="1" applyAlignment="1" applyProtection="1">
      <alignment vertical="center" wrapText="1"/>
      <protection locked="0" hidden="1"/>
    </xf>
    <xf numFmtId="1" fontId="22" fillId="32" borderId="16" xfId="0" quotePrefix="1" applyNumberFormat="1" applyFont="1" applyFill="1" applyBorder="1" applyAlignment="1" applyProtection="1">
      <alignment horizontal="center" vertical="center"/>
      <protection locked="0" hidden="1"/>
    </xf>
    <xf numFmtId="0" fontId="7" fillId="32" borderId="12" xfId="0" quotePrefix="1" applyFont="1" applyFill="1" applyBorder="1" applyAlignment="1" applyProtection="1">
      <alignment horizontal="left" vertical="center" wrapText="1"/>
      <protection locked="0" hidden="1"/>
    </xf>
    <xf numFmtId="0" fontId="3" fillId="0" borderId="11" xfId="0" applyFont="1" applyBorder="1" applyAlignment="1" applyProtection="1">
      <alignment horizontal="center" vertical="center"/>
      <protection locked="0" hidden="1"/>
    </xf>
    <xf numFmtId="49" fontId="3" fillId="0" borderId="11" xfId="0" applyNumberFormat="1" applyFont="1" applyBorder="1" applyAlignment="1" applyProtection="1">
      <alignment horizontal="center" vertical="center" wrapText="1"/>
      <protection locked="0" hidden="1"/>
    </xf>
    <xf numFmtId="0" fontId="2" fillId="0" borderId="11" xfId="0" applyFont="1" applyBorder="1" applyAlignment="1" applyProtection="1">
      <alignment vertical="center" wrapText="1"/>
      <protection locked="0" hidden="1"/>
    </xf>
    <xf numFmtId="0" fontId="7" fillId="0" borderId="12" xfId="0" applyFont="1" applyBorder="1" applyAlignment="1" applyProtection="1">
      <alignment horizontal="left" vertical="center" wrapText="1"/>
      <protection locked="0" hidden="1"/>
    </xf>
    <xf numFmtId="1" fontId="12" fillId="32" borderId="11" xfId="0" quotePrefix="1" applyNumberFormat="1" applyFont="1" applyFill="1" applyBorder="1" applyAlignment="1" applyProtection="1">
      <alignment horizontal="center" vertical="center" wrapText="1"/>
      <protection locked="0" hidden="1"/>
    </xf>
    <xf numFmtId="168" fontId="3" fillId="32" borderId="11" xfId="0" applyNumberFormat="1" applyFont="1" applyFill="1" applyBorder="1" applyAlignment="1" applyProtection="1">
      <alignment horizontal="center" vertical="center" wrapText="1"/>
      <protection locked="0" hidden="1"/>
    </xf>
    <xf numFmtId="1" fontId="3" fillId="0" borderId="11" xfId="0" quotePrefix="1" applyNumberFormat="1" applyFont="1" applyBorder="1" applyAlignment="1" applyProtection="1">
      <alignment horizontal="center" vertical="center" wrapText="1"/>
      <protection locked="0" hidden="1"/>
    </xf>
    <xf numFmtId="0" fontId="3" fillId="32" borderId="34" xfId="0" applyFont="1" applyFill="1" applyBorder="1" applyAlignment="1" applyProtection="1">
      <alignment vertical="center" wrapText="1"/>
      <protection locked="0" hidden="1"/>
    </xf>
    <xf numFmtId="0" fontId="12" fillId="39" borderId="11" xfId="0" quotePrefix="1" applyFont="1" applyFill="1" applyBorder="1" applyAlignment="1" applyProtection="1">
      <alignment horizontal="center" vertical="center" wrapText="1"/>
      <protection locked="0" hidden="1"/>
    </xf>
    <xf numFmtId="0" fontId="3" fillId="39" borderId="34" xfId="0" applyFont="1" applyFill="1" applyBorder="1" applyAlignment="1" applyProtection="1">
      <alignment vertical="center" wrapText="1"/>
      <protection locked="0" hidden="1"/>
    </xf>
    <xf numFmtId="1" fontId="3" fillId="39" borderId="11" xfId="0" quotePrefix="1" applyNumberFormat="1" applyFont="1" applyFill="1" applyBorder="1" applyAlignment="1" applyProtection="1">
      <alignment horizontal="center" vertical="center" wrapText="1"/>
      <protection locked="0" hidden="1"/>
    </xf>
    <xf numFmtId="168" fontId="3" fillId="39" borderId="11" xfId="0" applyNumberFormat="1" applyFont="1" applyFill="1" applyBorder="1" applyAlignment="1" applyProtection="1">
      <alignment horizontal="center" vertical="center" wrapText="1"/>
      <protection locked="0" hidden="1"/>
    </xf>
    <xf numFmtId="9" fontId="2" fillId="39" borderId="11" xfId="0" applyNumberFormat="1" applyFont="1" applyFill="1" applyBorder="1" applyAlignment="1" applyProtection="1">
      <alignment horizontal="center" vertical="center" wrapText="1"/>
      <protection locked="0" hidden="1"/>
    </xf>
    <xf numFmtId="0" fontId="2" fillId="39" borderId="11" xfId="0" applyFont="1" applyFill="1" applyBorder="1" applyAlignment="1" applyProtection="1">
      <alignment horizontal="center" vertical="center" wrapText="1"/>
      <protection locked="0" hidden="1"/>
    </xf>
    <xf numFmtId="37" fontId="3" fillId="39" borderId="11" xfId="28" quotePrefix="1" applyNumberFormat="1" applyFont="1" applyFill="1" applyBorder="1" applyAlignment="1" applyProtection="1">
      <alignment horizontal="center" vertical="center"/>
      <protection locked="0" hidden="1"/>
    </xf>
    <xf numFmtId="0" fontId="7" fillId="39" borderId="12" xfId="0" quotePrefix="1" applyFont="1" applyFill="1" applyBorder="1" applyAlignment="1" applyProtection="1">
      <alignment vertical="center" wrapText="1"/>
      <protection locked="0" hidden="1"/>
    </xf>
    <xf numFmtId="1" fontId="3" fillId="0" borderId="11" xfId="0" applyNumberFormat="1" applyFont="1" applyBorder="1" applyAlignment="1" applyProtection="1">
      <alignment horizontal="center" vertical="center"/>
      <protection locked="0" hidden="1"/>
    </xf>
    <xf numFmtId="0" fontId="3" fillId="0" borderId="11" xfId="0" applyFont="1" applyBorder="1" applyAlignment="1" applyProtection="1">
      <alignment vertical="center" wrapText="1"/>
      <protection locked="0" hidden="1"/>
    </xf>
    <xf numFmtId="0" fontId="7" fillId="0" borderId="11" xfId="0" applyFont="1" applyBorder="1" applyAlignment="1" applyProtection="1">
      <alignment horizontal="center" vertical="center" wrapText="1"/>
      <protection locked="0" hidden="1"/>
    </xf>
    <xf numFmtId="0" fontId="7" fillId="32" borderId="24" xfId="0" quotePrefix="1" applyFont="1" applyFill="1" applyBorder="1" applyAlignment="1" applyProtection="1">
      <alignment vertical="center" wrapText="1"/>
      <protection locked="0" hidden="1"/>
    </xf>
    <xf numFmtId="1" fontId="3" fillId="0" borderId="11" xfId="0" quotePrefix="1" applyNumberFormat="1" applyFont="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protection locked="0" hidden="1"/>
    </xf>
    <xf numFmtId="0" fontId="12" fillId="41" borderId="11" xfId="0" quotePrefix="1" applyFont="1" applyFill="1" applyBorder="1" applyAlignment="1" applyProtection="1">
      <alignment horizontal="center" vertical="center" wrapText="1"/>
      <protection locked="0" hidden="1"/>
    </xf>
    <xf numFmtId="0" fontId="3" fillId="41" borderId="12" xfId="0" applyFont="1" applyFill="1" applyBorder="1" applyAlignment="1" applyProtection="1">
      <alignment vertical="center" wrapText="1"/>
      <protection locked="0" hidden="1"/>
    </xf>
    <xf numFmtId="0" fontId="12" fillId="41" borderId="11" xfId="0" applyFont="1" applyFill="1" applyBorder="1" applyAlignment="1" applyProtection="1">
      <alignment horizontal="center" vertical="center" wrapText="1"/>
      <protection locked="0" hidden="1"/>
    </xf>
    <xf numFmtId="0" fontId="3" fillId="41" borderId="11" xfId="0" applyFont="1" applyFill="1" applyBorder="1" applyAlignment="1" applyProtection="1">
      <alignment horizontal="center" vertical="center" wrapText="1"/>
      <protection locked="0" hidden="1"/>
    </xf>
    <xf numFmtId="9" fontId="2" fillId="41" borderId="11" xfId="0" applyNumberFormat="1" applyFont="1" applyFill="1" applyBorder="1" applyAlignment="1" applyProtection="1">
      <alignment horizontal="center" vertical="center" wrapText="1"/>
      <protection locked="0" hidden="1"/>
    </xf>
    <xf numFmtId="0" fontId="2" fillId="41" borderId="11" xfId="0" applyFont="1" applyFill="1" applyBorder="1" applyAlignment="1" applyProtection="1">
      <alignment horizontal="center" vertical="center" wrapText="1"/>
      <protection locked="0" hidden="1"/>
    </xf>
    <xf numFmtId="37" fontId="3" fillId="41" borderId="11" xfId="28" quotePrefix="1" applyNumberFormat="1" applyFont="1" applyFill="1" applyBorder="1" applyAlignment="1" applyProtection="1">
      <alignment horizontal="center" vertical="center"/>
      <protection locked="0" hidden="1"/>
    </xf>
    <xf numFmtId="0" fontId="7" fillId="41" borderId="12" xfId="0" quotePrefix="1" applyFont="1" applyFill="1" applyBorder="1" applyAlignment="1" applyProtection="1">
      <alignment vertical="center" wrapText="1"/>
      <protection locked="0" hidden="1"/>
    </xf>
    <xf numFmtId="9" fontId="2" fillId="32" borderId="11" xfId="0" applyNumberFormat="1" applyFont="1" applyFill="1" applyBorder="1" applyAlignment="1" applyProtection="1">
      <alignment horizontal="center" vertical="center"/>
      <protection locked="0" hidden="1"/>
    </xf>
    <xf numFmtId="0" fontId="3" fillId="32" borderId="34" xfId="0" applyFont="1" applyFill="1" applyBorder="1" applyAlignment="1" applyProtection="1">
      <alignment horizontal="left" vertical="center" wrapText="1"/>
      <protection locked="0" hidden="1"/>
    </xf>
    <xf numFmtId="37" fontId="3" fillId="0" borderId="12" xfId="28" quotePrefix="1" applyNumberFormat="1" applyFont="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wrapText="1"/>
      <protection locked="0" hidden="1"/>
    </xf>
    <xf numFmtId="0" fontId="12" fillId="32" borderId="11" xfId="0" applyFont="1" applyFill="1" applyBorder="1" applyAlignment="1" applyProtection="1">
      <alignment horizontal="center" vertical="center"/>
      <protection locked="0" hidden="1"/>
    </xf>
    <xf numFmtId="181" fontId="22" fillId="32" borderId="0" xfId="0" applyNumberFormat="1" applyFont="1" applyFill="1" applyAlignment="1" applyProtection="1">
      <alignment horizontal="justify" vertical="center" wrapText="1"/>
      <protection locked="0" hidden="1"/>
    </xf>
    <xf numFmtId="181" fontId="22" fillId="0" borderId="0" xfId="0" applyNumberFormat="1" applyFont="1" applyAlignment="1" applyProtection="1">
      <alignment vertical="center" wrapText="1"/>
      <protection locked="0" hidden="1"/>
    </xf>
    <xf numFmtId="0" fontId="2" fillId="32" borderId="11" xfId="0" quotePrefix="1" applyFont="1" applyFill="1" applyBorder="1" applyAlignment="1" applyProtection="1">
      <alignment horizontal="center" vertical="center"/>
      <protection locked="0" hidden="1"/>
    </xf>
    <xf numFmtId="49" fontId="3" fillId="32" borderId="11" xfId="0" quotePrefix="1" applyNumberFormat="1" applyFont="1" applyFill="1" applyBorder="1" applyAlignment="1" applyProtection="1">
      <alignment horizontal="center" vertical="center" wrapText="1"/>
      <protection locked="0" hidden="1"/>
    </xf>
    <xf numFmtId="2" fontId="12" fillId="32" borderId="11" xfId="0" applyNumberFormat="1" applyFont="1" applyFill="1" applyBorder="1" applyAlignment="1" applyProtection="1">
      <alignment horizontal="center" vertical="center"/>
      <protection locked="0" hidden="1"/>
    </xf>
    <xf numFmtId="168" fontId="12" fillId="32" borderId="11" xfId="0" applyNumberFormat="1" applyFont="1" applyFill="1" applyBorder="1" applyAlignment="1" applyProtection="1">
      <alignment horizontal="center" vertical="center"/>
      <protection locked="0" hidden="1"/>
    </xf>
    <xf numFmtId="1" fontId="12" fillId="36" borderId="11" xfId="0" applyNumberFormat="1" applyFont="1" applyFill="1" applyBorder="1" applyAlignment="1" applyProtection="1">
      <alignment horizontal="center" vertical="center"/>
      <protection locked="0" hidden="1"/>
    </xf>
    <xf numFmtId="0" fontId="12" fillId="0" borderId="15" xfId="0" applyFont="1" applyBorder="1" applyAlignment="1" applyProtection="1">
      <alignment horizontal="center" vertical="center" wrapText="1"/>
      <protection locked="0" hidden="1"/>
    </xf>
    <xf numFmtId="1" fontId="12" fillId="0" borderId="30" xfId="0" quotePrefix="1" applyNumberFormat="1" applyFont="1" applyBorder="1" applyAlignment="1" applyProtection="1">
      <alignment horizontal="center" vertical="center"/>
      <protection locked="0" hidden="1"/>
    </xf>
    <xf numFmtId="37" fontId="3" fillId="0" borderId="15" xfId="28" quotePrefix="1" applyNumberFormat="1" applyFont="1" applyBorder="1" applyAlignment="1" applyProtection="1">
      <alignment horizontal="center" vertical="center"/>
      <protection locked="0" hidden="1"/>
    </xf>
    <xf numFmtId="0" fontId="9" fillId="0" borderId="10" xfId="0" applyFont="1" applyBorder="1" applyAlignment="1" applyProtection="1">
      <alignment vertical="center" wrapText="1"/>
      <protection locked="0" hidden="1"/>
    </xf>
    <xf numFmtId="0" fontId="4" fillId="0" borderId="20" xfId="0" applyFont="1" applyBorder="1" applyAlignment="1" applyProtection="1">
      <alignment horizontal="center" vertical="center" wrapText="1"/>
      <protection locked="0" hidden="1"/>
    </xf>
    <xf numFmtId="0" fontId="4" fillId="0" borderId="20" xfId="0" applyFont="1" applyBorder="1" applyAlignment="1" applyProtection="1">
      <alignment vertical="center" wrapText="1"/>
      <protection locked="0" hidden="1"/>
    </xf>
    <xf numFmtId="0" fontId="9" fillId="0" borderId="21" xfId="0" applyFont="1" applyBorder="1" applyAlignment="1" applyProtection="1">
      <alignment horizontal="center" vertical="center" wrapText="1"/>
      <protection locked="0" hidden="1"/>
    </xf>
    <xf numFmtId="0" fontId="4" fillId="0" borderId="10" xfId="0" applyFont="1" applyBorder="1" applyAlignment="1" applyProtection="1">
      <alignment horizontal="center" vertical="center" wrapText="1"/>
      <protection locked="0" hidden="1"/>
    </xf>
    <xf numFmtId="3" fontId="4" fillId="0" borderId="10" xfId="0" applyNumberFormat="1" applyFont="1" applyBorder="1" applyAlignment="1" applyProtection="1">
      <alignment vertical="center" wrapText="1"/>
      <protection locked="0" hidden="1"/>
    </xf>
    <xf numFmtId="176" fontId="4" fillId="0" borderId="10" xfId="0" applyNumberFormat="1" applyFont="1" applyBorder="1" applyAlignment="1" applyProtection="1">
      <alignment vertical="center" wrapText="1"/>
      <protection locked="0" hidden="1"/>
    </xf>
    <xf numFmtId="3" fontId="4" fillId="0" borderId="20" xfId="0" applyNumberFormat="1" applyFont="1" applyBorder="1" applyAlignment="1" applyProtection="1">
      <alignment vertical="center" wrapText="1"/>
      <protection locked="0" hidden="1"/>
    </xf>
    <xf numFmtId="0" fontId="9" fillId="0" borderId="20" xfId="0" applyFont="1" applyBorder="1" applyAlignment="1" applyProtection="1">
      <alignment horizontal="right" vertical="center" wrapText="1"/>
      <protection locked="0" hidden="1"/>
    </xf>
    <xf numFmtId="3" fontId="9" fillId="0" borderId="0" xfId="0" applyNumberFormat="1" applyFont="1" applyAlignment="1" applyProtection="1">
      <alignment vertical="center" wrapText="1"/>
      <protection locked="0" hidden="1"/>
    </xf>
    <xf numFmtId="0" fontId="9" fillId="0" borderId="0" xfId="0" applyFont="1" applyAlignment="1" applyProtection="1">
      <alignment vertical="center" wrapText="1"/>
      <protection locked="0" hidden="1"/>
    </xf>
    <xf numFmtId="175" fontId="9" fillId="0" borderId="0" xfId="28" applyNumberFormat="1" applyFont="1" applyFill="1" applyAlignment="1" applyProtection="1">
      <alignment vertical="center" wrapText="1"/>
      <protection locked="0" hidden="1"/>
    </xf>
    <xf numFmtId="0" fontId="4" fillId="0" borderId="0" xfId="0" applyFont="1" applyAlignment="1" applyProtection="1">
      <alignment horizontal="left" vertical="center"/>
      <protection locked="0" hidden="1"/>
    </xf>
    <xf numFmtId="0" fontId="9" fillId="0" borderId="14" xfId="0" applyFont="1" applyBorder="1" applyAlignment="1">
      <alignment horizontal="center" vertical="center" wrapText="1"/>
    </xf>
    <xf numFmtId="0" fontId="12" fillId="44" borderId="10" xfId="0" applyFont="1" applyFill="1" applyBorder="1" applyAlignment="1">
      <alignment horizontal="center" vertical="center" wrapText="1"/>
    </xf>
    <xf numFmtId="0" fontId="12" fillId="44" borderId="10" xfId="0" applyFont="1" applyFill="1" applyBorder="1" applyAlignment="1">
      <alignment horizontal="justify" vertical="center" wrapText="1"/>
    </xf>
    <xf numFmtId="186" fontId="4" fillId="0" borderId="10" xfId="28" applyNumberFormat="1" applyFont="1" applyBorder="1" applyAlignment="1">
      <alignment vertical="center"/>
    </xf>
    <xf numFmtId="0" fontId="12" fillId="32" borderId="10" xfId="0" applyFont="1" applyFill="1" applyBorder="1" applyAlignment="1">
      <alignment horizontal="center" vertical="center" wrapText="1"/>
    </xf>
    <xf numFmtId="0" fontId="12" fillId="32" borderId="10" xfId="0" applyFont="1" applyFill="1" applyBorder="1" applyAlignment="1">
      <alignment horizontal="justify" vertical="center" wrapText="1"/>
    </xf>
    <xf numFmtId="186" fontId="4" fillId="32" borderId="10" xfId="28" applyNumberFormat="1" applyFont="1" applyFill="1" applyBorder="1" applyAlignment="1">
      <alignment vertical="center"/>
    </xf>
    <xf numFmtId="0" fontId="5" fillId="0" borderId="0" xfId="0" applyFont="1" applyAlignment="1" applyProtection="1">
      <alignment horizontal="center" vertical="center"/>
      <protection locked="0" hidden="1"/>
    </xf>
    <xf numFmtId="9" fontId="5" fillId="0" borderId="0" xfId="0" applyNumberFormat="1" applyFont="1" applyAlignment="1" applyProtection="1">
      <alignment horizontal="center" vertical="center"/>
      <protection locked="0" hidden="1"/>
    </xf>
    <xf numFmtId="0" fontId="5" fillId="0" borderId="0" xfId="0" applyFont="1" applyAlignment="1" applyProtection="1">
      <alignment horizontal="left" vertical="center"/>
      <protection locked="0" hidden="1"/>
    </xf>
    <xf numFmtId="3" fontId="2" fillId="0" borderId="0" xfId="0" applyNumberFormat="1" applyFont="1" applyAlignment="1" applyProtection="1">
      <alignment vertical="center"/>
      <protection locked="0" hidden="1"/>
    </xf>
    <xf numFmtId="0" fontId="2" fillId="0" borderId="0" xfId="0" applyFont="1" applyAlignment="1" applyProtection="1">
      <alignment vertical="center"/>
      <protection locked="0" hidden="1"/>
    </xf>
    <xf numFmtId="175" fontId="2" fillId="0" borderId="0" xfId="28" applyNumberFormat="1" applyFont="1" applyFill="1" applyAlignment="1" applyProtection="1">
      <alignment vertical="center"/>
      <protection locked="0" hidden="1"/>
    </xf>
    <xf numFmtId="168" fontId="6" fillId="32" borderId="14" xfId="0" applyNumberFormat="1" applyFont="1" applyFill="1" applyBorder="1" applyAlignment="1">
      <alignment horizontal="center" vertical="center" wrapText="1"/>
    </xf>
    <xf numFmtId="166" fontId="3" fillId="0" borderId="0" xfId="0" applyNumberFormat="1" applyFont="1" applyAlignment="1">
      <alignment horizontal="center"/>
    </xf>
    <xf numFmtId="9" fontId="3" fillId="0" borderId="0" xfId="0" applyNumberFormat="1" applyFont="1"/>
    <xf numFmtId="0" fontId="3" fillId="0" borderId="0" xfId="0" applyFont="1" applyAlignment="1">
      <alignment vertical="center"/>
    </xf>
    <xf numFmtId="0" fontId="61" fillId="0" borderId="0" xfId="0" applyFont="1"/>
    <xf numFmtId="0" fontId="2" fillId="42" borderId="10" xfId="0" applyFont="1" applyFill="1" applyBorder="1" applyAlignment="1">
      <alignment horizontal="center" vertical="center" wrapText="1"/>
    </xf>
    <xf numFmtId="0" fontId="22" fillId="0" borderId="10" xfId="0" applyFont="1" applyBorder="1" applyAlignment="1">
      <alignment horizontal="center" vertical="center" wrapText="1"/>
    </xf>
    <xf numFmtId="9" fontId="22" fillId="42" borderId="10" xfId="0" applyNumberFormat="1" applyFont="1" applyFill="1" applyBorder="1" applyAlignment="1">
      <alignment horizontal="center" vertical="center" wrapText="1"/>
    </xf>
    <xf numFmtId="9" fontId="22" fillId="0" borderId="10" xfId="0" applyNumberFormat="1" applyFont="1" applyBorder="1" applyAlignment="1">
      <alignment horizontal="center" vertical="center" wrapText="1"/>
    </xf>
    <xf numFmtId="0" fontId="22" fillId="42" borderId="10" xfId="0" applyFont="1" applyFill="1" applyBorder="1" applyAlignment="1">
      <alignment horizontal="center" vertical="center" wrapText="1"/>
    </xf>
    <xf numFmtId="166" fontId="22" fillId="0" borderId="10" xfId="0" applyNumberFormat="1" applyFont="1" applyBorder="1" applyAlignment="1">
      <alignment horizontal="center" vertical="center" wrapText="1"/>
    </xf>
    <xf numFmtId="0" fontId="2" fillId="0" borderId="10" xfId="0" quotePrefix="1" applyFont="1" applyBorder="1" applyAlignment="1">
      <alignment horizontal="center" vertical="center" wrapText="1"/>
    </xf>
    <xf numFmtId="0" fontId="2" fillId="42" borderId="10" xfId="0" quotePrefix="1" applyFont="1" applyFill="1" applyBorder="1" applyAlignment="1">
      <alignment horizontal="center" vertical="center" wrapText="1"/>
    </xf>
    <xf numFmtId="9" fontId="2" fillId="42" borderId="10" xfId="0" quotePrefix="1" applyNumberFormat="1" applyFont="1" applyFill="1" applyBorder="1" applyAlignment="1">
      <alignment horizontal="center" vertical="center" wrapText="1"/>
    </xf>
    <xf numFmtId="9" fontId="22" fillId="0" borderId="10" xfId="0" quotePrefix="1" applyNumberFormat="1" applyFont="1" applyBorder="1" applyAlignment="1">
      <alignment horizontal="center" vertical="center" wrapText="1"/>
    </xf>
    <xf numFmtId="0" fontId="22" fillId="0" borderId="10" xfId="0" quotePrefix="1" applyFont="1" applyBorder="1" applyAlignment="1">
      <alignment horizontal="center" vertical="center" wrapText="1"/>
    </xf>
    <xf numFmtId="166" fontId="22" fillId="0" borderId="10" xfId="0" quotePrefix="1" applyNumberFormat="1" applyFont="1" applyBorder="1" applyAlignment="1">
      <alignment horizontal="center" vertical="center" wrapText="1"/>
    </xf>
    <xf numFmtId="0" fontId="3" fillId="0" borderId="11" xfId="0" quotePrefix="1" applyFont="1" applyBorder="1" applyAlignment="1">
      <alignment horizontal="center" vertical="center" wrapText="1"/>
    </xf>
    <xf numFmtId="3" fontId="3" fillId="32" borderId="11" xfId="0" quotePrefix="1" applyNumberFormat="1" applyFont="1" applyFill="1" applyBorder="1" applyAlignment="1">
      <alignment horizontal="center" vertical="center" wrapText="1"/>
    </xf>
    <xf numFmtId="9" fontId="3" fillId="32" borderId="11" xfId="0" applyNumberFormat="1" applyFont="1" applyFill="1" applyBorder="1" applyAlignment="1">
      <alignment horizontal="center" vertical="center" wrapText="1"/>
    </xf>
    <xf numFmtId="166" fontId="3" fillId="32" borderId="11" xfId="43" applyNumberFormat="1" applyFont="1" applyFill="1" applyBorder="1" applyAlignment="1">
      <alignment horizontal="center" vertical="center" wrapText="1"/>
    </xf>
    <xf numFmtId="9" fontId="3" fillId="32" borderId="11" xfId="60" quotePrefix="1" applyFont="1" applyFill="1" applyBorder="1" applyAlignment="1">
      <alignment horizontal="center" vertical="center" wrapText="1"/>
    </xf>
    <xf numFmtId="167" fontId="3" fillId="32" borderId="11" xfId="0" applyNumberFormat="1" applyFont="1" applyFill="1" applyBorder="1" applyAlignment="1">
      <alignment horizontal="right" vertical="center" wrapText="1"/>
    </xf>
    <xf numFmtId="0" fontId="3" fillId="32" borderId="11" xfId="0" quotePrefix="1" applyFont="1" applyFill="1" applyBorder="1" applyAlignment="1">
      <alignment horizontal="justify" vertical="center" wrapText="1"/>
    </xf>
    <xf numFmtId="0" fontId="3" fillId="0" borderId="0" xfId="0" applyFont="1" applyAlignment="1">
      <alignment horizontal="center" vertical="center" wrapText="1"/>
    </xf>
    <xf numFmtId="0" fontId="3" fillId="32" borderId="31" xfId="0" quotePrefix="1" applyFont="1" applyFill="1" applyBorder="1" applyAlignment="1">
      <alignment horizontal="center" vertical="center" wrapText="1"/>
    </xf>
    <xf numFmtId="0" fontId="3" fillId="32" borderId="31" xfId="0" applyFont="1" applyFill="1" applyBorder="1" applyAlignment="1">
      <alignment horizontal="left" vertical="center" wrapText="1"/>
    </xf>
    <xf numFmtId="9" fontId="3" fillId="32" borderId="31" xfId="0" applyNumberFormat="1" applyFont="1" applyFill="1" applyBorder="1" applyAlignment="1">
      <alignment horizontal="center" vertical="center" wrapText="1"/>
    </xf>
    <xf numFmtId="9" fontId="3" fillId="32" borderId="31" xfId="60" quotePrefix="1" applyFont="1" applyFill="1" applyBorder="1" applyAlignment="1">
      <alignment horizontal="center" vertical="center" wrapText="1"/>
    </xf>
    <xf numFmtId="166" fontId="3" fillId="32" borderId="31" xfId="0" applyNumberFormat="1" applyFont="1" applyFill="1" applyBorder="1" applyAlignment="1">
      <alignment horizontal="center" vertical="center" wrapText="1"/>
    </xf>
    <xf numFmtId="0" fontId="3" fillId="32" borderId="31" xfId="0" quotePrefix="1" applyFont="1" applyFill="1" applyBorder="1" applyAlignment="1">
      <alignment horizontal="justify" vertical="center" wrapText="1"/>
    </xf>
    <xf numFmtId="0" fontId="3" fillId="0" borderId="15" xfId="0" quotePrefix="1" applyFont="1" applyBorder="1" applyAlignment="1">
      <alignment horizontal="center" vertical="center" wrapText="1"/>
    </xf>
    <xf numFmtId="0" fontId="3" fillId="32" borderId="15" xfId="0" quotePrefix="1" applyFont="1" applyFill="1" applyBorder="1" applyAlignment="1">
      <alignment horizontal="center" vertical="center" wrapText="1"/>
    </xf>
    <xf numFmtId="0" fontId="3" fillId="32" borderId="15" xfId="0" applyFont="1" applyFill="1" applyBorder="1" applyAlignment="1">
      <alignment horizontal="left" vertical="center" wrapText="1"/>
    </xf>
    <xf numFmtId="3" fontId="3" fillId="32" borderId="15" xfId="0" quotePrefix="1" applyNumberFormat="1" applyFont="1" applyFill="1" applyBorder="1" applyAlignment="1">
      <alignment horizontal="center" vertical="center" wrapText="1"/>
    </xf>
    <xf numFmtId="9" fontId="3" fillId="32" borderId="15" xfId="0" applyNumberFormat="1" applyFont="1" applyFill="1" applyBorder="1" applyAlignment="1">
      <alignment horizontal="center" vertical="center" wrapText="1"/>
    </xf>
    <xf numFmtId="166" fontId="3" fillId="32" borderId="15" xfId="43" applyNumberFormat="1" applyFont="1" applyFill="1" applyBorder="1" applyAlignment="1">
      <alignment horizontal="center" vertical="center" wrapText="1"/>
    </xf>
    <xf numFmtId="9" fontId="3" fillId="32" borderId="15" xfId="60" quotePrefix="1" applyFont="1" applyFill="1" applyBorder="1" applyAlignment="1">
      <alignment horizontal="center" vertical="center" wrapText="1"/>
    </xf>
    <xf numFmtId="167" fontId="3" fillId="32" borderId="15" xfId="0" applyNumberFormat="1" applyFont="1" applyFill="1" applyBorder="1" applyAlignment="1">
      <alignment horizontal="right" vertical="center" wrapText="1"/>
    </xf>
    <xf numFmtId="166" fontId="3" fillId="32" borderId="15" xfId="0" applyNumberFormat="1" applyFont="1" applyFill="1" applyBorder="1" applyAlignment="1">
      <alignment horizontal="center" vertical="center" wrapText="1"/>
    </xf>
    <xf numFmtId="0" fontId="3" fillId="32" borderId="15" xfId="0" quotePrefix="1" applyFont="1" applyFill="1" applyBorder="1" applyAlignment="1">
      <alignment horizontal="justify" vertical="center" wrapText="1"/>
    </xf>
    <xf numFmtId="0" fontId="3" fillId="0" borderId="0" xfId="0" quotePrefix="1" applyFont="1" applyAlignment="1">
      <alignment horizontal="center" vertical="center" wrapText="1"/>
    </xf>
    <xf numFmtId="0" fontId="3" fillId="0" borderId="0" xfId="0" applyFont="1" applyAlignment="1">
      <alignment horizontal="left" vertical="center" wrapText="1"/>
    </xf>
    <xf numFmtId="3" fontId="3" fillId="0" borderId="0" xfId="0" quotePrefix="1" applyNumberFormat="1" applyFont="1" applyAlignment="1">
      <alignment horizontal="center" vertical="center" wrapText="1"/>
    </xf>
    <xf numFmtId="2" fontId="3" fillId="0" borderId="0" xfId="0" applyNumberFormat="1" applyFont="1" applyAlignment="1">
      <alignment horizontal="center" vertical="center" wrapText="1"/>
    </xf>
    <xf numFmtId="9" fontId="3" fillId="0" borderId="0" xfId="0" applyNumberFormat="1" applyFont="1" applyAlignment="1">
      <alignment horizontal="center" vertical="center" wrapText="1"/>
    </xf>
    <xf numFmtId="166" fontId="3" fillId="0" borderId="0" xfId="43" applyNumberFormat="1" applyFont="1" applyBorder="1" applyAlignment="1">
      <alignment horizontal="center" vertical="center" wrapText="1"/>
    </xf>
    <xf numFmtId="9" fontId="3" fillId="0" borderId="0" xfId="60" quotePrefix="1" applyFont="1" applyFill="1" applyBorder="1" applyAlignment="1">
      <alignment horizontal="center" vertical="center" wrapText="1"/>
    </xf>
    <xf numFmtId="167" fontId="3" fillId="0" borderId="0" xfId="0" applyNumberFormat="1" applyFont="1" applyAlignment="1">
      <alignment horizontal="right" vertical="center" wrapText="1"/>
    </xf>
    <xf numFmtId="166" fontId="3" fillId="0" borderId="0" xfId="0" applyNumberFormat="1" applyFont="1" applyAlignment="1">
      <alignment horizontal="center" vertical="center" wrapText="1"/>
    </xf>
    <xf numFmtId="0" fontId="3" fillId="0" borderId="0" xfId="0" quotePrefix="1" applyFont="1" applyAlignment="1">
      <alignment horizontal="justify" vertical="center" wrapText="1"/>
    </xf>
    <xf numFmtId="0" fontId="3" fillId="0" borderId="0" xfId="0" quotePrefix="1" applyFont="1" applyAlignment="1">
      <alignment horizontal="center" vertical="center"/>
    </xf>
    <xf numFmtId="0" fontId="15" fillId="0" borderId="0" xfId="0" applyFont="1" applyAlignment="1">
      <alignment horizontal="left" vertical="center"/>
    </xf>
    <xf numFmtId="0" fontId="3" fillId="0" borderId="0" xfId="0" applyFont="1" applyAlignment="1">
      <alignment horizontal="left" vertical="center"/>
    </xf>
    <xf numFmtId="168" fontId="3" fillId="0" borderId="0" xfId="43" applyNumberFormat="1" applyFont="1" applyBorder="1" applyAlignment="1">
      <alignment horizontal="center" vertical="center" wrapText="1"/>
    </xf>
    <xf numFmtId="9" fontId="3" fillId="0" borderId="0" xfId="43" applyNumberFormat="1" applyFont="1" applyBorder="1" applyAlignment="1">
      <alignment horizontal="center" vertical="center" wrapText="1"/>
    </xf>
    <xf numFmtId="9" fontId="3" fillId="0" borderId="0" xfId="0" quotePrefix="1" applyNumberFormat="1" applyFont="1" applyAlignment="1">
      <alignment horizontal="center" vertical="center" wrapText="1"/>
    </xf>
    <xf numFmtId="166" fontId="3" fillId="0" borderId="0" xfId="0" quotePrefix="1" applyNumberFormat="1" applyFont="1" applyAlignment="1">
      <alignment horizontal="center" vertical="center" wrapText="1"/>
    </xf>
    <xf numFmtId="0" fontId="3" fillId="0" borderId="0" xfId="0" quotePrefix="1" applyFont="1" applyAlignment="1">
      <alignment horizontal="left" vertical="center"/>
    </xf>
    <xf numFmtId="0" fontId="3" fillId="0" borderId="0" xfId="43" applyFont="1" applyBorder="1" applyAlignment="1">
      <alignment horizontal="left" vertical="center"/>
    </xf>
    <xf numFmtId="9" fontId="3" fillId="0" borderId="0" xfId="43" applyNumberFormat="1" applyFont="1" applyBorder="1" applyAlignment="1">
      <alignment horizontal="left" vertical="center"/>
    </xf>
    <xf numFmtId="0" fontId="45" fillId="0" borderId="0" xfId="0" applyFont="1" applyAlignment="1">
      <alignment horizontal="right"/>
    </xf>
    <xf numFmtId="0" fontId="3" fillId="39" borderId="11" xfId="0" quotePrefix="1" applyFont="1" applyFill="1" applyBorder="1" applyAlignment="1" applyProtection="1">
      <alignment horizontal="center" vertical="center" wrapText="1"/>
      <protection locked="0" hidden="1"/>
    </xf>
    <xf numFmtId="175" fontId="4" fillId="39" borderId="11" xfId="28" applyNumberFormat="1" applyFont="1" applyFill="1" applyBorder="1" applyAlignment="1" applyProtection="1">
      <alignment horizontal="right" vertical="center" wrapText="1"/>
      <protection locked="0" hidden="1"/>
    </xf>
    <xf numFmtId="181" fontId="22" fillId="39" borderId="16" xfId="0" applyNumberFormat="1" applyFont="1" applyFill="1" applyBorder="1" applyAlignment="1" applyProtection="1">
      <alignment horizontal="justify" vertical="center" wrapText="1"/>
      <protection locked="0" hidden="1"/>
    </xf>
    <xf numFmtId="9" fontId="2" fillId="32" borderId="18" xfId="0" applyNumberFormat="1" applyFont="1" applyFill="1" applyBorder="1" applyAlignment="1" applyProtection="1">
      <alignment horizontal="center" vertical="center" wrapText="1"/>
      <protection locked="0" hidden="1"/>
    </xf>
    <xf numFmtId="0" fontId="2" fillId="32" borderId="18" xfId="0" applyFont="1" applyFill="1" applyBorder="1" applyAlignment="1" applyProtection="1">
      <alignment horizontal="center" vertical="center" wrapText="1"/>
      <protection locked="0" hidden="1"/>
    </xf>
    <xf numFmtId="0" fontId="3" fillId="32" borderId="18" xfId="0" applyFont="1" applyFill="1" applyBorder="1" applyAlignment="1" applyProtection="1">
      <alignment horizontal="center" vertical="center" wrapText="1"/>
      <protection locked="0" hidden="1"/>
    </xf>
    <xf numFmtId="9" fontId="2" fillId="32" borderId="15" xfId="0" applyNumberFormat="1" applyFont="1" applyFill="1" applyBorder="1" applyAlignment="1" applyProtection="1">
      <alignment horizontal="center" vertical="center" wrapText="1"/>
      <protection locked="0" hidden="1"/>
    </xf>
    <xf numFmtId="0" fontId="2" fillId="32" borderId="15" xfId="0" applyFont="1" applyFill="1" applyBorder="1" applyAlignment="1" applyProtection="1">
      <alignment horizontal="center" vertical="center" wrapText="1"/>
      <protection locked="0" hidden="1"/>
    </xf>
    <xf numFmtId="2" fontId="3" fillId="32" borderId="15" xfId="0" applyNumberFormat="1" applyFont="1" applyFill="1" applyBorder="1" applyAlignment="1" applyProtection="1">
      <alignment horizontal="center" vertical="center" wrapText="1"/>
      <protection locked="0" hidden="1"/>
    </xf>
    <xf numFmtId="49" fontId="12" fillId="41" borderId="11" xfId="0" applyNumberFormat="1" applyFont="1" applyFill="1" applyBorder="1" applyAlignment="1" applyProtection="1">
      <alignment horizontal="center" vertical="center" wrapText="1"/>
      <protection locked="0" hidden="1"/>
    </xf>
    <xf numFmtId="0" fontId="3" fillId="41" borderId="11" xfId="0" quotePrefix="1" applyFont="1" applyFill="1" applyBorder="1" applyAlignment="1" applyProtection="1">
      <alignment horizontal="center" vertical="center" wrapText="1"/>
      <protection locked="0" hidden="1"/>
    </xf>
    <xf numFmtId="175" fontId="4" fillId="41" borderId="11" xfId="28" applyNumberFormat="1" applyFont="1" applyFill="1" applyBorder="1" applyAlignment="1" applyProtection="1">
      <alignment horizontal="right" vertical="center" wrapText="1"/>
      <protection locked="0" hidden="1"/>
    </xf>
    <xf numFmtId="181" fontId="22" fillId="41" borderId="16" xfId="0" applyNumberFormat="1" applyFont="1" applyFill="1" applyBorder="1" applyAlignment="1" applyProtection="1">
      <alignment horizontal="justify" vertical="center" wrapText="1"/>
      <protection locked="0" hidden="1"/>
    </xf>
    <xf numFmtId="0" fontId="9" fillId="0" borderId="0" xfId="0" applyFont="1" applyAlignment="1" applyProtection="1">
      <alignment horizontal="left" vertical="center"/>
      <protection locked="0" hidden="1"/>
    </xf>
    <xf numFmtId="0" fontId="7" fillId="0" borderId="20" xfId="0" quotePrefix="1" applyFont="1" applyBorder="1" applyAlignment="1" applyProtection="1">
      <alignment horizontal="center" vertical="center" wrapText="1"/>
      <protection locked="0" hidden="1"/>
    </xf>
    <xf numFmtId="0" fontId="9" fillId="0" borderId="0" xfId="0" applyFont="1" applyAlignment="1" applyProtection="1">
      <alignment horizontal="center" vertical="center"/>
      <protection locked="0" hidden="1"/>
    </xf>
    <xf numFmtId="0" fontId="2" fillId="0" borderId="0" xfId="0" applyFont="1" applyAlignment="1" applyProtection="1">
      <alignment horizontal="center" vertical="center" wrapText="1"/>
      <protection locked="0" hidden="1"/>
    </xf>
    <xf numFmtId="0" fontId="7" fillId="41" borderId="24" xfId="0" quotePrefix="1" applyFont="1" applyFill="1" applyBorder="1" applyAlignment="1" applyProtection="1">
      <alignment vertical="center" wrapText="1"/>
      <protection locked="0" hidden="1"/>
    </xf>
    <xf numFmtId="49" fontId="12" fillId="41" borderId="11" xfId="0" quotePrefix="1" applyNumberFormat="1" applyFont="1" applyFill="1" applyBorder="1" applyAlignment="1" applyProtection="1">
      <alignment horizontal="center" vertical="center" wrapText="1"/>
      <protection locked="0" hidden="1"/>
    </xf>
    <xf numFmtId="1" fontId="12" fillId="41" borderId="11" xfId="0" applyNumberFormat="1" applyFont="1" applyFill="1" applyBorder="1" applyAlignment="1" applyProtection="1">
      <alignment horizontal="center" vertical="center" wrapText="1"/>
      <protection locked="0" hidden="1"/>
    </xf>
    <xf numFmtId="9" fontId="22" fillId="41" borderId="11" xfId="0" applyNumberFormat="1" applyFont="1" applyFill="1" applyBorder="1" applyAlignment="1" applyProtection="1">
      <alignment horizontal="center" vertical="center" wrapText="1"/>
      <protection locked="0" hidden="1"/>
    </xf>
    <xf numFmtId="2" fontId="3" fillId="41" borderId="11" xfId="0" applyNumberFormat="1" applyFont="1" applyFill="1" applyBorder="1" applyAlignment="1" applyProtection="1">
      <alignment horizontal="center" vertical="center" wrapText="1"/>
      <protection locked="0" hidden="1"/>
    </xf>
    <xf numFmtId="37" fontId="3" fillId="41" borderId="12" xfId="28" quotePrefix="1" applyNumberFormat="1" applyFont="1" applyFill="1" applyBorder="1" applyAlignment="1" applyProtection="1">
      <alignment horizontal="center" vertical="center"/>
      <protection locked="0" hidden="1"/>
    </xf>
    <xf numFmtId="0" fontId="5" fillId="0" borderId="10" xfId="0" applyFont="1" applyBorder="1" applyAlignment="1">
      <alignment horizontal="center" vertical="center" wrapText="1"/>
    </xf>
    <xf numFmtId="1" fontId="12" fillId="41" borderId="11" xfId="0" quotePrefix="1" applyNumberFormat="1" applyFont="1" applyFill="1" applyBorder="1" applyAlignment="1" applyProtection="1">
      <alignment horizontal="center" vertical="center"/>
      <protection locked="0" hidden="1"/>
    </xf>
    <xf numFmtId="2" fontId="12" fillId="41" borderId="11" xfId="0" applyNumberFormat="1" applyFont="1" applyFill="1" applyBorder="1" applyAlignment="1" applyProtection="1">
      <alignment horizontal="center" vertical="center"/>
      <protection locked="0" hidden="1"/>
    </xf>
    <xf numFmtId="0" fontId="3" fillId="41" borderId="12" xfId="0" applyFont="1" applyFill="1" applyBorder="1" applyAlignment="1" applyProtection="1">
      <alignment vertical="center"/>
      <protection locked="0" hidden="1"/>
    </xf>
    <xf numFmtId="14" fontId="12" fillId="41" borderId="11" xfId="0" applyNumberFormat="1" applyFont="1" applyFill="1" applyBorder="1" applyAlignment="1" applyProtection="1">
      <alignment horizontal="center" vertical="center"/>
      <protection locked="0" hidden="1"/>
    </xf>
    <xf numFmtId="1" fontId="3" fillId="41" borderId="11" xfId="0" quotePrefix="1" applyNumberFormat="1" applyFont="1" applyFill="1" applyBorder="1" applyAlignment="1" applyProtection="1">
      <alignment horizontal="center" vertical="center"/>
      <protection locked="0" hidden="1"/>
    </xf>
    <xf numFmtId="3" fontId="64" fillId="0" borderId="0" xfId="0" applyNumberFormat="1" applyFont="1" applyAlignment="1" applyProtection="1">
      <alignment vertical="center" wrapText="1"/>
      <protection locked="0" hidden="1"/>
    </xf>
    <xf numFmtId="0" fontId="64" fillId="0" borderId="0" xfId="0" applyFont="1" applyAlignment="1" applyProtection="1">
      <alignment vertical="center" wrapText="1"/>
      <protection locked="0" hidden="1"/>
    </xf>
    <xf numFmtId="175" fontId="64" fillId="0" borderId="0" xfId="28" applyNumberFormat="1" applyFont="1" applyFill="1" applyAlignment="1" applyProtection="1">
      <alignment vertical="center" wrapText="1"/>
      <protection locked="0" hidden="1"/>
    </xf>
    <xf numFmtId="0" fontId="64" fillId="32" borderId="0" xfId="0" applyFont="1" applyFill="1" applyAlignment="1" applyProtection="1">
      <alignment vertical="center" wrapText="1"/>
      <protection locked="0" hidden="1"/>
    </xf>
    <xf numFmtId="0" fontId="4" fillId="32" borderId="10" xfId="0" applyFont="1" applyFill="1" applyBorder="1" applyAlignment="1" applyProtection="1">
      <alignment horizontal="center" vertical="center" wrapText="1"/>
      <protection locked="0" hidden="1"/>
    </xf>
    <xf numFmtId="0" fontId="9" fillId="32" borderId="10" xfId="0" applyFont="1" applyFill="1" applyBorder="1" applyAlignment="1" applyProtection="1">
      <alignment horizontal="center" vertical="center" wrapText="1"/>
      <protection locked="0" hidden="1"/>
    </xf>
    <xf numFmtId="0" fontId="6" fillId="32" borderId="35" xfId="0" applyFont="1" applyFill="1" applyBorder="1" applyAlignment="1" applyProtection="1">
      <alignment horizontal="center" vertical="center" wrapText="1"/>
      <protection locked="0" hidden="1"/>
    </xf>
    <xf numFmtId="3" fontId="6" fillId="32" borderId="0" xfId="0" applyNumberFormat="1" applyFont="1" applyFill="1" applyAlignment="1" applyProtection="1">
      <alignment vertical="center" wrapText="1"/>
      <protection locked="0" hidden="1"/>
    </xf>
    <xf numFmtId="0" fontId="6" fillId="32" borderId="0" xfId="0" applyFont="1" applyFill="1" applyAlignment="1" applyProtection="1">
      <alignment vertical="center" wrapText="1"/>
      <protection locked="0" hidden="1"/>
    </xf>
    <xf numFmtId="175" fontId="6" fillId="32" borderId="0" xfId="28" applyNumberFormat="1" applyFont="1" applyFill="1" applyBorder="1" applyAlignment="1" applyProtection="1">
      <alignment vertical="center" wrapText="1"/>
      <protection locked="0" hidden="1"/>
    </xf>
    <xf numFmtId="0" fontId="6" fillId="32" borderId="14" xfId="0" applyFont="1" applyFill="1" applyBorder="1" applyAlignment="1" applyProtection="1">
      <alignment horizontal="center" vertical="center" wrapText="1"/>
      <protection locked="0" hidden="1"/>
    </xf>
    <xf numFmtId="0" fontId="12" fillId="0" borderId="0" xfId="0" applyFont="1" applyAlignment="1" applyProtection="1">
      <alignment horizontal="right" vertical="center"/>
      <protection locked="0" hidden="1"/>
    </xf>
    <xf numFmtId="0" fontId="14" fillId="0" borderId="0" xfId="0" applyFont="1" applyAlignment="1" applyProtection="1">
      <alignment horizontal="center" vertical="center"/>
      <protection locked="0" hidden="1"/>
    </xf>
    <xf numFmtId="0" fontId="2" fillId="0" borderId="40" xfId="0" applyFont="1" applyBorder="1" applyAlignment="1" applyProtection="1">
      <alignment horizontal="center" vertical="center"/>
      <protection locked="0" hidden="1"/>
    </xf>
    <xf numFmtId="0" fontId="2" fillId="0" borderId="27" xfId="0" applyFont="1" applyBorder="1" applyAlignment="1" applyProtection="1">
      <alignment horizontal="center" vertical="center"/>
      <protection locked="0" hidden="1"/>
    </xf>
    <xf numFmtId="0" fontId="2" fillId="0" borderId="24" xfId="0" applyFont="1" applyBorder="1" applyAlignment="1" applyProtection="1">
      <alignment horizontal="center" vertical="center"/>
      <protection locked="0" hidden="1"/>
    </xf>
    <xf numFmtId="0" fontId="2" fillId="0" borderId="16" xfId="0" applyFont="1" applyBorder="1" applyAlignment="1" applyProtection="1">
      <alignment horizontal="center" vertical="center"/>
      <protection locked="0" hidden="1"/>
    </xf>
    <xf numFmtId="0" fontId="2" fillId="41" borderId="24" xfId="0" applyFont="1" applyFill="1" applyBorder="1" applyAlignment="1" applyProtection="1">
      <alignment horizontal="center" vertical="center"/>
      <protection locked="0" hidden="1"/>
    </xf>
    <xf numFmtId="0" fontId="2" fillId="41" borderId="16" xfId="0" applyFont="1" applyFill="1" applyBorder="1" applyAlignment="1" applyProtection="1">
      <alignment horizontal="center" vertical="center"/>
      <protection locked="0" hidden="1"/>
    </xf>
    <xf numFmtId="0" fontId="0" fillId="0" borderId="10" xfId="0" applyBorder="1" applyAlignment="1">
      <alignment vertical="center"/>
    </xf>
    <xf numFmtId="0" fontId="2" fillId="39" borderId="24" xfId="0" applyFont="1" applyFill="1" applyBorder="1" applyAlignment="1" applyProtection="1">
      <alignment horizontal="center" vertical="center"/>
      <protection locked="0" hidden="1"/>
    </xf>
    <xf numFmtId="0" fontId="2" fillId="39" borderId="16" xfId="0" applyFont="1" applyFill="1" applyBorder="1" applyAlignment="1" applyProtection="1">
      <alignment horizontal="center" vertical="center"/>
      <protection locked="0" hidden="1"/>
    </xf>
    <xf numFmtId="0" fontId="2" fillId="32" borderId="24" xfId="0" applyFont="1" applyFill="1" applyBorder="1" applyAlignment="1" applyProtection="1">
      <alignment horizontal="center" vertical="center"/>
      <protection locked="0" hidden="1"/>
    </xf>
    <xf numFmtId="0" fontId="2" fillId="32" borderId="16" xfId="0" applyFont="1" applyFill="1" applyBorder="1" applyAlignment="1" applyProtection="1">
      <alignment horizontal="center" vertical="center"/>
      <protection locked="0" hidden="1"/>
    </xf>
    <xf numFmtId="0" fontId="2" fillId="0" borderId="41" xfId="0" applyFont="1" applyBorder="1" applyAlignment="1" applyProtection="1">
      <alignment horizontal="center" vertical="center"/>
      <protection locked="0" hidden="1"/>
    </xf>
    <xf numFmtId="0" fontId="2" fillId="0" borderId="30" xfId="0" applyFont="1" applyBorder="1" applyAlignment="1" applyProtection="1">
      <alignment horizontal="center" vertical="center"/>
      <protection locked="0" hidden="1"/>
    </xf>
    <xf numFmtId="9" fontId="2" fillId="0" borderId="0" xfId="0" applyNumberFormat="1" applyFont="1" applyAlignment="1" applyProtection="1">
      <alignment horizontal="center" vertical="center"/>
      <protection locked="0" hidden="1"/>
    </xf>
    <xf numFmtId="0" fontId="2" fillId="0" borderId="0" xfId="0" applyFont="1" applyAlignment="1" applyProtection="1">
      <alignment horizontal="right" vertical="center"/>
      <protection locked="0" hidden="1"/>
    </xf>
    <xf numFmtId="0" fontId="14" fillId="0" borderId="0" xfId="0" applyFont="1" applyAlignment="1" applyProtection="1">
      <alignment vertical="center"/>
      <protection locked="0" hidden="1"/>
    </xf>
    <xf numFmtId="3" fontId="12" fillId="0" borderId="0" xfId="0" applyNumberFormat="1" applyFont="1" applyAlignment="1" applyProtection="1">
      <alignment horizontal="right" vertical="center"/>
      <protection locked="0" hidden="1"/>
    </xf>
    <xf numFmtId="3" fontId="2" fillId="0" borderId="0" xfId="0" applyNumberFormat="1" applyFont="1" applyAlignment="1" applyProtection="1">
      <alignment horizontal="center" vertical="center"/>
      <protection locked="0" hidden="1"/>
    </xf>
    <xf numFmtId="0" fontId="14" fillId="0" borderId="0" xfId="0" applyFont="1" applyAlignment="1" applyProtection="1">
      <alignment horizontal="right" vertical="center"/>
      <protection locked="0" hidden="1"/>
    </xf>
    <xf numFmtId="37" fontId="2" fillId="0" borderId="0" xfId="0" applyNumberFormat="1" applyFont="1" applyAlignment="1" applyProtection="1">
      <alignment horizontal="center" vertical="center"/>
      <protection locked="0" hidden="1"/>
    </xf>
    <xf numFmtId="3" fontId="12" fillId="0" borderId="0" xfId="0" applyNumberFormat="1" applyFont="1" applyAlignment="1" applyProtection="1">
      <alignment horizontal="center" vertical="center"/>
      <protection locked="0" hidden="1"/>
    </xf>
    <xf numFmtId="9" fontId="12" fillId="0" borderId="0" xfId="0" applyNumberFormat="1" applyFont="1" applyAlignment="1" applyProtection="1">
      <alignment horizontal="center" vertical="center"/>
      <protection locked="0" hidden="1"/>
    </xf>
    <xf numFmtId="0" fontId="3" fillId="0" borderId="0" xfId="0" applyFont="1" applyAlignment="1" applyProtection="1">
      <alignment vertical="center"/>
      <protection locked="0" hidden="1"/>
    </xf>
    <xf numFmtId="9" fontId="2" fillId="0" borderId="0" xfId="0" applyNumberFormat="1" applyFont="1" applyAlignment="1" applyProtection="1">
      <alignment vertical="center"/>
      <protection locked="0" hidden="1"/>
    </xf>
    <xf numFmtId="0" fontId="2" fillId="46" borderId="24" xfId="0" applyFont="1" applyFill="1" applyBorder="1" applyAlignment="1" applyProtection="1">
      <alignment horizontal="center" vertical="center"/>
      <protection locked="0" hidden="1"/>
    </xf>
    <xf numFmtId="0" fontId="2" fillId="46" borderId="11" xfId="0" applyFont="1" applyFill="1" applyBorder="1" applyAlignment="1" applyProtection="1">
      <alignment horizontal="center" vertical="center" wrapText="1"/>
      <protection locked="0" hidden="1"/>
    </xf>
    <xf numFmtId="168" fontId="12" fillId="46" borderId="11" xfId="0" applyNumberFormat="1" applyFont="1" applyFill="1" applyBorder="1" applyAlignment="1" applyProtection="1">
      <alignment horizontal="center" vertical="center"/>
      <protection locked="0" hidden="1"/>
    </xf>
    <xf numFmtId="9" fontId="2" fillId="46" borderId="11" xfId="0" applyNumberFormat="1" applyFont="1" applyFill="1" applyBorder="1" applyAlignment="1" applyProtection="1">
      <alignment horizontal="center" vertical="center" wrapText="1"/>
      <protection locked="0" hidden="1"/>
    </xf>
    <xf numFmtId="0" fontId="2" fillId="46" borderId="16" xfId="0" applyFont="1" applyFill="1" applyBorder="1" applyAlignment="1" applyProtection="1">
      <alignment horizontal="center" vertical="center"/>
      <protection locked="0" hidden="1"/>
    </xf>
    <xf numFmtId="0" fontId="3" fillId="46" borderId="11" xfId="0" quotePrefix="1" applyFont="1" applyFill="1" applyBorder="1" applyAlignment="1" applyProtection="1">
      <alignment horizontal="center" vertical="center" wrapText="1"/>
      <protection locked="0" hidden="1"/>
    </xf>
    <xf numFmtId="37" fontId="3" fillId="46" borderId="11" xfId="28" quotePrefix="1" applyNumberFormat="1" applyFont="1" applyFill="1" applyBorder="1" applyAlignment="1" applyProtection="1">
      <alignment horizontal="center" vertical="center"/>
      <protection locked="0" hidden="1"/>
    </xf>
    <xf numFmtId="175" fontId="4" fillId="46" borderId="11" xfId="28" applyNumberFormat="1" applyFont="1" applyFill="1" applyBorder="1" applyAlignment="1" applyProtection="1">
      <alignment horizontal="right" vertical="center" wrapText="1"/>
      <protection locked="0" hidden="1"/>
    </xf>
    <xf numFmtId="0" fontId="7" fillId="46" borderId="12" xfId="0" quotePrefix="1" applyFont="1" applyFill="1" applyBorder="1" applyAlignment="1" applyProtection="1">
      <alignment vertical="center" wrapText="1"/>
      <protection locked="0" hidden="1"/>
    </xf>
    <xf numFmtId="181" fontId="22" fillId="46" borderId="16" xfId="0" applyNumberFormat="1" applyFont="1" applyFill="1" applyBorder="1" applyAlignment="1" applyProtection="1">
      <alignment horizontal="justify" vertical="center" wrapText="1"/>
      <protection locked="0" hidden="1"/>
    </xf>
    <xf numFmtId="0" fontId="3" fillId="46" borderId="12" xfId="0" applyFont="1" applyFill="1" applyBorder="1" applyAlignment="1" applyProtection="1">
      <alignment vertical="center" wrapText="1"/>
      <protection locked="0" hidden="1"/>
    </xf>
    <xf numFmtId="0" fontId="12" fillId="46" borderId="11" xfId="0" applyFont="1" applyFill="1" applyBorder="1" applyAlignment="1" applyProtection="1">
      <alignment horizontal="center" vertical="center" wrapText="1"/>
      <protection locked="0" hidden="1"/>
    </xf>
    <xf numFmtId="49" fontId="12" fillId="46" borderId="11" xfId="0" applyNumberFormat="1" applyFont="1" applyFill="1" applyBorder="1" applyAlignment="1" applyProtection="1">
      <alignment horizontal="center" vertical="center" wrapText="1"/>
      <protection locked="0" hidden="1"/>
    </xf>
    <xf numFmtId="0" fontId="3" fillId="46" borderId="11" xfId="0" applyFont="1" applyFill="1" applyBorder="1" applyAlignment="1" applyProtection="1">
      <alignment horizontal="center" vertical="center" wrapText="1"/>
      <protection locked="0" hidden="1"/>
    </xf>
    <xf numFmtId="0" fontId="12" fillId="47" borderId="11" xfId="0" quotePrefix="1" applyFont="1" applyFill="1" applyBorder="1" applyAlignment="1" applyProtection="1">
      <alignment horizontal="center" vertical="center" wrapText="1"/>
      <protection locked="0" hidden="1"/>
    </xf>
    <xf numFmtId="0" fontId="3" fillId="47" borderId="12" xfId="0" applyFont="1" applyFill="1" applyBorder="1" applyAlignment="1" applyProtection="1">
      <alignment vertical="center" wrapText="1"/>
      <protection locked="0" hidden="1"/>
    </xf>
    <xf numFmtId="0" fontId="12" fillId="47" borderId="11" xfId="0" applyFont="1" applyFill="1" applyBorder="1" applyAlignment="1" applyProtection="1">
      <alignment horizontal="center" vertical="center" wrapText="1"/>
      <protection locked="0" hidden="1"/>
    </xf>
    <xf numFmtId="49" fontId="12" fillId="47" borderId="11" xfId="0" applyNumberFormat="1" applyFont="1" applyFill="1" applyBorder="1" applyAlignment="1" applyProtection="1">
      <alignment horizontal="center" vertical="center" wrapText="1"/>
      <protection locked="0" hidden="1"/>
    </xf>
    <xf numFmtId="2" fontId="3" fillId="47" borderId="11" xfId="0" applyNumberFormat="1" applyFont="1" applyFill="1" applyBorder="1" applyAlignment="1" applyProtection="1">
      <alignment horizontal="center" vertical="center" wrapText="1"/>
      <protection locked="0" hidden="1"/>
    </xf>
    <xf numFmtId="9" fontId="2" fillId="47" borderId="11" xfId="0" applyNumberFormat="1" applyFont="1" applyFill="1" applyBorder="1" applyAlignment="1" applyProtection="1">
      <alignment horizontal="center" vertical="center" wrapText="1"/>
      <protection locked="0" hidden="1"/>
    </xf>
    <xf numFmtId="0" fontId="2" fillId="47" borderId="24" xfId="0" applyFont="1" applyFill="1" applyBorder="1" applyAlignment="1" applyProtection="1">
      <alignment horizontal="center" vertical="center"/>
      <protection locked="0" hidden="1"/>
    </xf>
    <xf numFmtId="0" fontId="2" fillId="47" borderId="11" xfId="0" applyFont="1" applyFill="1" applyBorder="1" applyAlignment="1" applyProtection="1">
      <alignment horizontal="center" vertical="center" wrapText="1"/>
      <protection locked="0" hidden="1"/>
    </xf>
    <xf numFmtId="0" fontId="2" fillId="47" borderId="16" xfId="0" applyFont="1" applyFill="1" applyBorder="1" applyAlignment="1" applyProtection="1">
      <alignment horizontal="center" vertical="center"/>
      <protection locked="0" hidden="1"/>
    </xf>
    <xf numFmtId="0" fontId="3" fillId="47" borderId="11" xfId="0" quotePrefix="1" applyFont="1" applyFill="1" applyBorder="1" applyAlignment="1" applyProtection="1">
      <alignment horizontal="center" vertical="center" wrapText="1"/>
      <protection locked="0" hidden="1"/>
    </xf>
    <xf numFmtId="37" fontId="3" fillId="47" borderId="11" xfId="28" quotePrefix="1" applyNumberFormat="1" applyFont="1" applyFill="1" applyBorder="1" applyAlignment="1" applyProtection="1">
      <alignment horizontal="center" vertical="center"/>
      <protection locked="0" hidden="1"/>
    </xf>
    <xf numFmtId="175" fontId="4" fillId="47" borderId="11" xfId="28" applyNumberFormat="1" applyFont="1" applyFill="1" applyBorder="1" applyAlignment="1" applyProtection="1">
      <alignment horizontal="right" vertical="center" wrapText="1"/>
      <protection locked="0" hidden="1"/>
    </xf>
    <xf numFmtId="0" fontId="7" fillId="47" borderId="12" xfId="0" quotePrefix="1" applyFont="1" applyFill="1" applyBorder="1" applyAlignment="1" applyProtection="1">
      <alignment vertical="center" wrapText="1"/>
      <protection locked="0" hidden="1"/>
    </xf>
    <xf numFmtId="181" fontId="22" fillId="47" borderId="16" xfId="0" applyNumberFormat="1" applyFont="1" applyFill="1" applyBorder="1" applyAlignment="1" applyProtection="1">
      <alignment horizontal="justify" vertical="center" wrapText="1"/>
      <protection locked="0" hidden="1"/>
    </xf>
    <xf numFmtId="0" fontId="3" fillId="43" borderId="12" xfId="0" applyFont="1" applyFill="1" applyBorder="1" applyAlignment="1" applyProtection="1">
      <alignment vertical="center" wrapText="1"/>
      <protection locked="0" hidden="1"/>
    </xf>
    <xf numFmtId="0" fontId="12" fillId="43" borderId="11" xfId="0" applyFont="1" applyFill="1" applyBorder="1" applyAlignment="1" applyProtection="1">
      <alignment horizontal="center" vertical="center" wrapText="1"/>
      <protection locked="0" hidden="1"/>
    </xf>
    <xf numFmtId="49" fontId="12" fillId="43" borderId="11" xfId="0" applyNumberFormat="1" applyFont="1" applyFill="1" applyBorder="1" applyAlignment="1" applyProtection="1">
      <alignment horizontal="center" vertical="center" wrapText="1"/>
      <protection locked="0" hidden="1"/>
    </xf>
    <xf numFmtId="2" fontId="3" fillId="43" borderId="11" xfId="0" applyNumberFormat="1" applyFont="1" applyFill="1" applyBorder="1" applyAlignment="1" applyProtection="1">
      <alignment horizontal="center" vertical="center" wrapText="1"/>
      <protection locked="0" hidden="1"/>
    </xf>
    <xf numFmtId="9" fontId="2" fillId="43" borderId="11" xfId="0" applyNumberFormat="1" applyFont="1" applyFill="1" applyBorder="1" applyAlignment="1" applyProtection="1">
      <alignment horizontal="center" vertical="center" wrapText="1"/>
      <protection locked="0" hidden="1"/>
    </xf>
    <xf numFmtId="0" fontId="2" fillId="43" borderId="24" xfId="0" applyFont="1" applyFill="1" applyBorder="1" applyAlignment="1" applyProtection="1">
      <alignment horizontal="center" vertical="center"/>
      <protection locked="0" hidden="1"/>
    </xf>
    <xf numFmtId="0" fontId="2" fillId="43" borderId="11" xfId="0" applyFont="1" applyFill="1" applyBorder="1" applyAlignment="1" applyProtection="1">
      <alignment horizontal="center" vertical="center" wrapText="1"/>
      <protection locked="0" hidden="1"/>
    </xf>
    <xf numFmtId="0" fontId="2" fillId="43" borderId="16" xfId="0" applyFont="1" applyFill="1" applyBorder="1" applyAlignment="1" applyProtection="1">
      <alignment horizontal="center" vertical="center"/>
      <protection locked="0" hidden="1"/>
    </xf>
    <xf numFmtId="0" fontId="3" fillId="43" borderId="11" xfId="0" quotePrefix="1" applyFont="1" applyFill="1" applyBorder="1" applyAlignment="1" applyProtection="1">
      <alignment horizontal="center" vertical="center" wrapText="1"/>
      <protection locked="0" hidden="1"/>
    </xf>
    <xf numFmtId="37" fontId="3" fillId="43" borderId="11" xfId="28" quotePrefix="1" applyNumberFormat="1" applyFont="1" applyFill="1" applyBorder="1" applyAlignment="1" applyProtection="1">
      <alignment horizontal="center" vertical="center"/>
      <protection locked="0" hidden="1"/>
    </xf>
    <xf numFmtId="175" fontId="4" fillId="43" borderId="11" xfId="28" applyNumberFormat="1" applyFont="1" applyFill="1" applyBorder="1" applyAlignment="1" applyProtection="1">
      <alignment horizontal="right" vertical="center" wrapText="1"/>
      <protection locked="0" hidden="1"/>
    </xf>
    <xf numFmtId="0" fontId="7" fillId="43" borderId="12" xfId="0" quotePrefix="1" applyFont="1" applyFill="1" applyBorder="1" applyAlignment="1" applyProtection="1">
      <alignment vertical="center" wrapText="1"/>
      <protection locked="0" hidden="1"/>
    </xf>
    <xf numFmtId="181" fontId="22" fillId="43" borderId="16" xfId="0" applyNumberFormat="1" applyFont="1" applyFill="1" applyBorder="1" applyAlignment="1" applyProtection="1">
      <alignment horizontal="justify" vertical="center" wrapText="1"/>
      <protection locked="0" hidden="1"/>
    </xf>
    <xf numFmtId="1" fontId="3" fillId="43" borderId="11" xfId="0" applyNumberFormat="1" applyFont="1" applyFill="1" applyBorder="1" applyAlignment="1" applyProtection="1">
      <alignment horizontal="center" vertical="center"/>
      <protection locked="0" hidden="1"/>
    </xf>
    <xf numFmtId="0" fontId="3" fillId="43" borderId="11" xfId="0" applyFont="1" applyFill="1" applyBorder="1" applyAlignment="1" applyProtection="1">
      <alignment horizontal="center" vertical="center" wrapText="1"/>
      <protection locked="0" hidden="1"/>
    </xf>
    <xf numFmtId="1" fontId="3" fillId="47" borderId="11" xfId="0" applyNumberFormat="1" applyFont="1" applyFill="1" applyBorder="1" applyAlignment="1" applyProtection="1">
      <alignment horizontal="center" vertical="center"/>
      <protection locked="0" hidden="1"/>
    </xf>
    <xf numFmtId="0" fontId="3" fillId="47" borderId="11" xfId="0" applyFont="1" applyFill="1" applyBorder="1" applyAlignment="1" applyProtection="1">
      <alignment horizontal="center" vertical="center" wrapText="1"/>
      <protection locked="0" hidden="1"/>
    </xf>
    <xf numFmtId="0" fontId="3" fillId="47" borderId="34" xfId="0" applyFont="1" applyFill="1" applyBorder="1" applyAlignment="1" applyProtection="1">
      <alignment vertical="center" wrapText="1"/>
      <protection locked="0" hidden="1"/>
    </xf>
    <xf numFmtId="1" fontId="3" fillId="47" borderId="11" xfId="0" quotePrefix="1" applyNumberFormat="1" applyFont="1" applyFill="1" applyBorder="1" applyAlignment="1" applyProtection="1">
      <alignment horizontal="center" vertical="center" wrapText="1"/>
      <protection locked="0" hidden="1"/>
    </xf>
    <xf numFmtId="0" fontId="3" fillId="46" borderId="34" xfId="0" applyFont="1" applyFill="1" applyBorder="1" applyAlignment="1" applyProtection="1">
      <alignment horizontal="left" vertical="center" wrapText="1"/>
      <protection locked="0" hidden="1"/>
    </xf>
    <xf numFmtId="49" fontId="12" fillId="46" borderId="11" xfId="0" quotePrefix="1" applyNumberFormat="1" applyFont="1" applyFill="1" applyBorder="1" applyAlignment="1" applyProtection="1">
      <alignment horizontal="center" vertical="center" wrapText="1"/>
      <protection locked="0" hidden="1"/>
    </xf>
    <xf numFmtId="0" fontId="6" fillId="32" borderId="14" xfId="0" applyFont="1" applyFill="1" applyBorder="1" applyAlignment="1">
      <alignment horizontal="center" vertical="center" wrapText="1"/>
    </xf>
    <xf numFmtId="175" fontId="5" fillId="0" borderId="0" xfId="28" applyNumberFormat="1" applyFont="1" applyFill="1" applyAlignment="1" applyProtection="1">
      <alignment horizontal="center" vertical="center"/>
      <protection locked="0" hidden="1"/>
    </xf>
    <xf numFmtId="0" fontId="2" fillId="0" borderId="26" xfId="0" applyFont="1" applyBorder="1" applyAlignment="1" applyProtection="1">
      <alignment horizontal="right" vertical="center"/>
      <protection locked="0" hidden="1"/>
    </xf>
    <xf numFmtId="0" fontId="65" fillId="0" borderId="0" xfId="0" applyFont="1" applyAlignment="1" applyProtection="1">
      <alignment vertical="center"/>
      <protection locked="0" hidden="1"/>
    </xf>
    <xf numFmtId="0" fontId="66" fillId="0" borderId="0" xfId="0" applyFont="1" applyAlignment="1" applyProtection="1">
      <alignment vertical="center"/>
      <protection locked="0" hidden="1"/>
    </xf>
    <xf numFmtId="0" fontId="67" fillId="0" borderId="0" xfId="0" applyFont="1" applyAlignment="1" applyProtection="1">
      <alignment vertical="center"/>
      <protection locked="0" hidden="1"/>
    </xf>
    <xf numFmtId="0" fontId="58" fillId="0" borderId="0" xfId="0" applyFont="1" applyAlignment="1" applyProtection="1">
      <alignment horizontal="center" vertical="center"/>
      <protection locked="0" hidden="1"/>
    </xf>
    <xf numFmtId="3" fontId="2" fillId="32" borderId="11" xfId="0" applyNumberFormat="1" applyFont="1" applyFill="1" applyBorder="1" applyAlignment="1">
      <alignment horizontal="center" vertical="center" wrapText="1"/>
    </xf>
    <xf numFmtId="9" fontId="2" fillId="32" borderId="11" xfId="60" applyFont="1" applyFill="1" applyBorder="1" applyAlignment="1">
      <alignment horizontal="center" vertical="center" wrapText="1"/>
    </xf>
    <xf numFmtId="3" fontId="2" fillId="32" borderId="11" xfId="0" applyNumberFormat="1" applyFont="1" applyFill="1" applyBorder="1" applyAlignment="1" applyProtection="1">
      <alignment horizontal="right" vertical="center" wrapText="1"/>
      <protection hidden="1"/>
    </xf>
    <xf numFmtId="0" fontId="2" fillId="32" borderId="11" xfId="0" applyFont="1" applyFill="1" applyBorder="1" applyAlignment="1" applyProtection="1">
      <alignment horizontal="center" vertical="center" wrapText="1"/>
      <protection hidden="1"/>
    </xf>
    <xf numFmtId="0" fontId="2" fillId="32" borderId="25" xfId="0" applyFont="1" applyFill="1" applyBorder="1" applyAlignment="1" applyProtection="1">
      <alignment horizontal="center" vertical="center" wrapText="1"/>
      <protection hidden="1"/>
    </xf>
    <xf numFmtId="0" fontId="2" fillId="32" borderId="12" xfId="0" applyFont="1" applyFill="1" applyBorder="1" applyAlignment="1">
      <alignment vertical="center" wrapText="1"/>
    </xf>
    <xf numFmtId="0" fontId="68" fillId="32" borderId="16" xfId="0" applyFont="1" applyFill="1" applyBorder="1" applyAlignment="1">
      <alignment vertical="center" wrapText="1"/>
    </xf>
    <xf numFmtId="0" fontId="2" fillId="39" borderId="12" xfId="0" applyFont="1" applyFill="1" applyBorder="1" applyAlignment="1">
      <alignment vertical="center" wrapText="1"/>
    </xf>
    <xf numFmtId="0" fontId="5" fillId="0" borderId="10" xfId="0" applyFont="1" applyBorder="1" applyAlignment="1">
      <alignment vertical="center" wrapText="1"/>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175" fontId="5" fillId="0" borderId="10" xfId="28" applyNumberFormat="1" applyFont="1" applyFill="1" applyBorder="1" applyAlignment="1">
      <alignment horizontal="center" vertical="center" wrapText="1"/>
    </xf>
    <xf numFmtId="0" fontId="2" fillId="32" borderId="16" xfId="0" applyFont="1" applyFill="1" applyBorder="1" applyAlignment="1">
      <alignment vertical="center" wrapText="1"/>
    </xf>
    <xf numFmtId="14" fontId="2" fillId="32" borderId="11" xfId="0" applyNumberFormat="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wrapText="1"/>
    </xf>
    <xf numFmtId="1" fontId="2" fillId="0" borderId="11" xfId="0" quotePrefix="1" applyNumberFormat="1" applyFont="1" applyBorder="1" applyAlignment="1">
      <alignment horizontal="center" vertical="center" wrapText="1"/>
    </xf>
    <xf numFmtId="1" fontId="2" fillId="32" borderId="11" xfId="0" applyNumberFormat="1" applyFont="1" applyFill="1" applyBorder="1" applyAlignment="1">
      <alignment horizontal="center" vertical="center" wrapText="1"/>
    </xf>
    <xf numFmtId="0" fontId="2" fillId="41" borderId="12" xfId="0" applyFont="1" applyFill="1" applyBorder="1" applyAlignment="1">
      <alignment vertical="center" wrapText="1"/>
    </xf>
    <xf numFmtId="1" fontId="2" fillId="0" borderId="11" xfId="0" applyNumberFormat="1" applyFont="1" applyBorder="1" applyAlignment="1">
      <alignment horizontal="center" vertical="center" wrapText="1"/>
    </xf>
    <xf numFmtId="0" fontId="2" fillId="0" borderId="12" xfId="0" applyFont="1" applyBorder="1" applyAlignment="1">
      <alignment vertical="center" wrapText="1"/>
    </xf>
    <xf numFmtId="1" fontId="2" fillId="32" borderId="15" xfId="0" quotePrefix="1" applyNumberFormat="1" applyFont="1" applyFill="1" applyBorder="1" applyAlignment="1">
      <alignment horizontal="center" vertical="center" wrapText="1"/>
    </xf>
    <xf numFmtId="3" fontId="5" fillId="32" borderId="11" xfId="0" applyNumberFormat="1" applyFont="1" applyFill="1" applyBorder="1" applyAlignment="1" applyProtection="1">
      <alignment horizontal="right" vertical="center" wrapText="1"/>
      <protection hidden="1"/>
    </xf>
    <xf numFmtId="0" fontId="12" fillId="32" borderId="0" xfId="0" applyFont="1" applyFill="1" applyAlignment="1">
      <alignment horizontal="left"/>
    </xf>
    <xf numFmtId="168" fontId="9" fillId="0" borderId="0" xfId="0" applyNumberFormat="1" applyFont="1" applyAlignment="1">
      <alignment vertical="center"/>
    </xf>
    <xf numFmtId="0" fontId="12" fillId="0" borderId="22" xfId="0" applyFont="1" applyBorder="1" applyAlignment="1" applyProtection="1">
      <alignment horizontal="center" vertical="center" wrapText="1"/>
      <protection locked="0" hidden="1"/>
    </xf>
    <xf numFmtId="1" fontId="12" fillId="0" borderId="23" xfId="0" quotePrefix="1" applyNumberFormat="1" applyFont="1" applyBorder="1" applyAlignment="1" applyProtection="1">
      <alignment horizontal="center" vertical="center"/>
      <protection locked="0" hidden="1"/>
    </xf>
    <xf numFmtId="2" fontId="3" fillId="32" borderId="33" xfId="0" applyNumberFormat="1" applyFont="1" applyFill="1" applyBorder="1" applyAlignment="1" applyProtection="1">
      <alignment horizontal="center" vertical="center" wrapText="1"/>
      <protection locked="0" hidden="1"/>
    </xf>
    <xf numFmtId="9" fontId="2" fillId="32" borderId="17" xfId="0" applyNumberFormat="1" applyFont="1" applyFill="1" applyBorder="1" applyAlignment="1" applyProtection="1">
      <alignment horizontal="center" vertical="center" wrapText="1"/>
      <protection locked="0" hidden="1"/>
    </xf>
    <xf numFmtId="0" fontId="2" fillId="0" borderId="26" xfId="0" applyFont="1" applyBorder="1" applyAlignment="1" applyProtection="1">
      <alignment horizontal="center" vertical="center"/>
      <protection locked="0" hidden="1"/>
    </xf>
    <xf numFmtId="0" fontId="2" fillId="32" borderId="17" xfId="0" applyFont="1" applyFill="1" applyBorder="1" applyAlignment="1" applyProtection="1">
      <alignment horizontal="center" vertical="center" wrapText="1"/>
      <protection locked="0" hidden="1"/>
    </xf>
    <xf numFmtId="2" fontId="3" fillId="32" borderId="17" xfId="0" applyNumberFormat="1" applyFont="1" applyFill="1" applyBorder="1" applyAlignment="1" applyProtection="1">
      <alignment horizontal="center" vertical="center" wrapText="1"/>
      <protection locked="0" hidden="1"/>
    </xf>
    <xf numFmtId="0" fontId="2" fillId="0" borderId="23" xfId="0" applyFont="1" applyBorder="1" applyAlignment="1" applyProtection="1">
      <alignment horizontal="center" vertical="center"/>
      <protection locked="0" hidden="1"/>
    </xf>
    <xf numFmtId="0" fontId="2" fillId="32" borderId="33" xfId="0" applyFont="1" applyFill="1" applyBorder="1" applyAlignment="1" applyProtection="1">
      <alignment horizontal="center" vertical="center" wrapText="1"/>
      <protection locked="0" hidden="1"/>
    </xf>
    <xf numFmtId="0" fontId="3" fillId="32" borderId="33" xfId="0" quotePrefix="1" applyFont="1" applyFill="1" applyBorder="1" applyAlignment="1" applyProtection="1">
      <alignment horizontal="center" vertical="center" wrapText="1"/>
      <protection locked="0" hidden="1"/>
    </xf>
    <xf numFmtId="37" fontId="3" fillId="0" borderId="33" xfId="28" quotePrefix="1" applyNumberFormat="1" applyFont="1" applyBorder="1" applyAlignment="1" applyProtection="1">
      <alignment horizontal="center" vertical="center"/>
      <protection locked="0" hidden="1"/>
    </xf>
    <xf numFmtId="175" fontId="4" fillId="32" borderId="33" xfId="28" applyNumberFormat="1" applyFont="1" applyFill="1" applyBorder="1" applyAlignment="1" applyProtection="1">
      <alignment horizontal="right" vertical="center" wrapText="1"/>
      <protection locked="0" hidden="1"/>
    </xf>
    <xf numFmtId="0" fontId="3" fillId="32" borderId="18" xfId="0" applyFont="1" applyFill="1" applyBorder="1" applyAlignment="1" applyProtection="1">
      <alignment vertical="center" wrapText="1"/>
      <protection locked="0" hidden="1"/>
    </xf>
    <xf numFmtId="0" fontId="2" fillId="0" borderId="25" xfId="0" applyFont="1" applyBorder="1" applyAlignment="1">
      <alignment horizontal="center" vertical="center" wrapText="1"/>
    </xf>
    <xf numFmtId="0" fontId="6" fillId="32" borderId="36" xfId="0" applyFont="1" applyFill="1" applyBorder="1" applyAlignment="1" applyProtection="1">
      <alignment horizontal="center" vertical="center" wrapText="1"/>
      <protection locked="0" hidden="1"/>
    </xf>
    <xf numFmtId="37" fontId="3" fillId="39" borderId="12" xfId="28" quotePrefix="1" applyNumberFormat="1" applyFont="1" applyFill="1" applyBorder="1" applyAlignment="1" applyProtection="1">
      <alignment horizontal="center" vertical="center"/>
      <protection locked="0" hidden="1"/>
    </xf>
    <xf numFmtId="37" fontId="3" fillId="47" borderId="12" xfId="28" quotePrefix="1" applyNumberFormat="1" applyFont="1" applyFill="1" applyBorder="1" applyAlignment="1" applyProtection="1">
      <alignment horizontal="center" vertical="center"/>
      <protection locked="0" hidden="1"/>
    </xf>
    <xf numFmtId="37" fontId="3" fillId="43" borderId="12" xfId="28" quotePrefix="1" applyNumberFormat="1" applyFont="1" applyFill="1" applyBorder="1" applyAlignment="1" applyProtection="1">
      <alignment horizontal="center" vertical="center"/>
      <protection locked="0" hidden="1"/>
    </xf>
    <xf numFmtId="37" fontId="3" fillId="46" borderId="12" xfId="28" quotePrefix="1" applyNumberFormat="1" applyFont="1" applyFill="1" applyBorder="1" applyAlignment="1" applyProtection="1">
      <alignment horizontal="center" vertical="center"/>
      <protection locked="0" hidden="1"/>
    </xf>
    <xf numFmtId="37" fontId="3" fillId="0" borderId="19" xfId="28" quotePrefix="1" applyNumberFormat="1" applyFont="1" applyBorder="1" applyAlignment="1" applyProtection="1">
      <alignment horizontal="center" vertical="center"/>
      <protection locked="0" hidden="1"/>
    </xf>
    <xf numFmtId="37" fontId="3" fillId="0" borderId="13" xfId="28" quotePrefix="1" applyNumberFormat="1" applyFont="1" applyBorder="1" applyAlignment="1" applyProtection="1">
      <alignment horizontal="center" vertical="center"/>
      <protection locked="0" hidden="1"/>
    </xf>
    <xf numFmtId="185" fontId="3" fillId="0" borderId="18" xfId="28" quotePrefix="1" applyNumberFormat="1" applyFont="1" applyBorder="1" applyAlignment="1" applyProtection="1">
      <alignment horizontal="center" vertical="center"/>
      <protection locked="0" hidden="1"/>
    </xf>
    <xf numFmtId="185" fontId="3" fillId="0" borderId="11" xfId="28" quotePrefix="1" applyNumberFormat="1" applyFont="1" applyBorder="1" applyAlignment="1" applyProtection="1">
      <alignment horizontal="center" vertical="center"/>
      <protection locked="0" hidden="1"/>
    </xf>
    <xf numFmtId="37" fontId="4" fillId="0" borderId="18" xfId="28" quotePrefix="1" applyNumberFormat="1" applyFont="1" applyBorder="1" applyAlignment="1" applyProtection="1">
      <alignment horizontal="center" vertical="center"/>
      <protection locked="0" hidden="1"/>
    </xf>
    <xf numFmtId="37" fontId="4" fillId="0" borderId="11" xfId="28" quotePrefix="1" applyNumberFormat="1" applyFont="1" applyBorder="1" applyAlignment="1" applyProtection="1">
      <alignment horizontal="center" vertical="center"/>
      <protection locked="0" hidden="1"/>
    </xf>
    <xf numFmtId="167" fontId="4" fillId="0" borderId="20" xfId="0" applyNumberFormat="1" applyFont="1" applyBorder="1" applyAlignment="1" applyProtection="1">
      <alignment vertical="center" wrapText="1"/>
      <protection locked="0" hidden="1"/>
    </xf>
    <xf numFmtId="0" fontId="4" fillId="32" borderId="10" xfId="0" applyFont="1" applyFill="1" applyBorder="1" applyAlignment="1" applyProtection="1">
      <alignment horizontal="center" wrapText="1"/>
      <protection locked="0" hidden="1"/>
    </xf>
    <xf numFmtId="0" fontId="9" fillId="32" borderId="1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3" fontId="6" fillId="32" borderId="0" xfId="0" applyNumberFormat="1" applyFont="1" applyFill="1" applyAlignment="1" applyProtection="1">
      <alignment wrapText="1"/>
      <protection locked="0" hidden="1"/>
    </xf>
    <xf numFmtId="0" fontId="6" fillId="32" borderId="0" xfId="0" applyFont="1" applyFill="1" applyAlignment="1" applyProtection="1">
      <alignment wrapText="1"/>
      <protection locked="0" hidden="1"/>
    </xf>
    <xf numFmtId="175" fontId="6" fillId="32" borderId="0" xfId="28" applyNumberFormat="1" applyFont="1" applyFill="1" applyBorder="1" applyAlignment="1" applyProtection="1">
      <alignment wrapText="1"/>
      <protection locked="0" hidden="1"/>
    </xf>
    <xf numFmtId="0" fontId="2" fillId="47" borderId="11" xfId="0" applyFont="1" applyFill="1" applyBorder="1" applyAlignment="1">
      <alignment horizontal="center" vertical="center" wrapText="1"/>
    </xf>
    <xf numFmtId="185" fontId="3" fillId="47" borderId="11" xfId="28" quotePrefix="1" applyNumberFormat="1" applyFont="1" applyFill="1" applyBorder="1" applyAlignment="1" applyProtection="1">
      <alignment horizontal="center" vertical="center"/>
      <protection locked="0" hidden="1"/>
    </xf>
    <xf numFmtId="37" fontId="4" fillId="47" borderId="11" xfId="28" quotePrefix="1" applyNumberFormat="1" applyFont="1" applyFill="1" applyBorder="1" applyAlignment="1" applyProtection="1">
      <alignment horizontal="center" vertical="center"/>
      <protection locked="0" hidden="1"/>
    </xf>
    <xf numFmtId="0" fontId="2" fillId="46" borderId="11" xfId="0" applyFont="1" applyFill="1" applyBorder="1" applyAlignment="1">
      <alignment horizontal="center" vertical="center" wrapText="1"/>
    </xf>
    <xf numFmtId="185" fontId="3" fillId="46" borderId="11" xfId="28" quotePrefix="1" applyNumberFormat="1" applyFont="1" applyFill="1" applyBorder="1" applyAlignment="1" applyProtection="1">
      <alignment horizontal="center" vertical="center"/>
      <protection locked="0" hidden="1"/>
    </xf>
    <xf numFmtId="37" fontId="4" fillId="46" borderId="11" xfId="28" quotePrefix="1" applyNumberFormat="1" applyFont="1" applyFill="1" applyBorder="1" applyAlignment="1" applyProtection="1">
      <alignment horizontal="center" vertical="center"/>
      <protection locked="0" hidden="1"/>
    </xf>
    <xf numFmtId="181" fontId="22" fillId="0" borderId="30" xfId="0" applyNumberFormat="1" applyFont="1" applyBorder="1" applyAlignment="1" applyProtection="1">
      <alignment horizontal="justify" vertical="center" wrapText="1"/>
      <protection locked="0" hidden="1"/>
    </xf>
    <xf numFmtId="0" fontId="12" fillId="41" borderId="22" xfId="0" applyFont="1" applyFill="1" applyBorder="1" applyAlignment="1" applyProtection="1">
      <alignment horizontal="center" vertical="center" wrapText="1"/>
      <protection locked="0" hidden="1"/>
    </xf>
    <xf numFmtId="1" fontId="12" fillId="41" borderId="23" xfId="0" quotePrefix="1" applyNumberFormat="1" applyFont="1" applyFill="1" applyBorder="1" applyAlignment="1" applyProtection="1">
      <alignment horizontal="center" vertical="center"/>
      <protection locked="0" hidden="1"/>
    </xf>
    <xf numFmtId="2" fontId="3" fillId="41" borderId="33" xfId="0" applyNumberFormat="1" applyFont="1" applyFill="1" applyBorder="1" applyAlignment="1" applyProtection="1">
      <alignment horizontal="center" vertical="center" wrapText="1"/>
      <protection locked="0" hidden="1"/>
    </xf>
    <xf numFmtId="9" fontId="2" fillId="41" borderId="17" xfId="0" applyNumberFormat="1" applyFont="1" applyFill="1" applyBorder="1" applyAlignment="1" applyProtection="1">
      <alignment horizontal="center" vertical="center" wrapText="1"/>
      <protection locked="0" hidden="1"/>
    </xf>
    <xf numFmtId="0" fontId="2" fillId="41" borderId="26" xfId="0" applyFont="1" applyFill="1" applyBorder="1" applyAlignment="1" applyProtection="1">
      <alignment horizontal="center" vertical="center"/>
      <protection locked="0" hidden="1"/>
    </xf>
    <xf numFmtId="0" fontId="2" fillId="41" borderId="17" xfId="0" applyFont="1" applyFill="1" applyBorder="1" applyAlignment="1" applyProtection="1">
      <alignment horizontal="center" vertical="center" wrapText="1"/>
      <protection locked="0" hidden="1"/>
    </xf>
    <xf numFmtId="2" fontId="3" fillId="41" borderId="17" xfId="0" applyNumberFormat="1" applyFont="1" applyFill="1" applyBorder="1" applyAlignment="1" applyProtection="1">
      <alignment horizontal="center" vertical="center" wrapText="1"/>
      <protection locked="0" hidden="1"/>
    </xf>
    <xf numFmtId="0" fontId="2" fillId="41" borderId="23" xfId="0" applyFont="1" applyFill="1" applyBorder="1" applyAlignment="1" applyProtection="1">
      <alignment horizontal="center" vertical="center"/>
      <protection locked="0" hidden="1"/>
    </xf>
    <xf numFmtId="0" fontId="2" fillId="41" borderId="33" xfId="0" applyFont="1" applyFill="1" applyBorder="1" applyAlignment="1" applyProtection="1">
      <alignment horizontal="center" vertical="center" wrapText="1"/>
      <protection locked="0" hidden="1"/>
    </xf>
    <xf numFmtId="0" fontId="3" fillId="41" borderId="33" xfId="0" quotePrefix="1" applyFont="1" applyFill="1" applyBorder="1" applyAlignment="1" applyProtection="1">
      <alignment horizontal="center" vertical="center" wrapText="1"/>
      <protection locked="0" hidden="1"/>
    </xf>
    <xf numFmtId="37" fontId="3" fillId="41" borderId="33" xfId="28" quotePrefix="1" applyNumberFormat="1" applyFont="1" applyFill="1" applyBorder="1" applyAlignment="1" applyProtection="1">
      <alignment horizontal="center" vertical="center"/>
      <protection locked="0" hidden="1"/>
    </xf>
    <xf numFmtId="175" fontId="4" fillId="41" borderId="33" xfId="28" applyNumberFormat="1" applyFont="1" applyFill="1" applyBorder="1" applyAlignment="1" applyProtection="1">
      <alignment horizontal="right" vertical="center" wrapText="1"/>
      <protection locked="0" hidden="1"/>
    </xf>
    <xf numFmtId="185" fontId="3" fillId="41" borderId="11" xfId="28" quotePrefix="1" applyNumberFormat="1" applyFont="1" applyFill="1" applyBorder="1" applyAlignment="1" applyProtection="1">
      <alignment horizontal="center" vertical="center"/>
      <protection locked="0" hidden="1"/>
    </xf>
    <xf numFmtId="37" fontId="4" fillId="41" borderId="11" xfId="28" quotePrefix="1" applyNumberFormat="1" applyFont="1" applyFill="1" applyBorder="1" applyAlignment="1" applyProtection="1">
      <alignment horizontal="center" vertical="center"/>
      <protection locked="0" hidden="1"/>
    </xf>
    <xf numFmtId="0" fontId="3" fillId="40" borderId="12" xfId="0" applyFont="1" applyFill="1" applyBorder="1" applyAlignment="1">
      <alignment vertical="center" wrapText="1"/>
    </xf>
    <xf numFmtId="0" fontId="12" fillId="40" borderId="22" xfId="0" applyFont="1" applyFill="1" applyBorder="1" applyAlignment="1" applyProtection="1">
      <alignment horizontal="center" vertical="center" wrapText="1"/>
      <protection locked="0" hidden="1"/>
    </xf>
    <xf numFmtId="1" fontId="12" fillId="40" borderId="23" xfId="0" quotePrefix="1" applyNumberFormat="1" applyFont="1" applyFill="1" applyBorder="1" applyAlignment="1" applyProtection="1">
      <alignment horizontal="center" vertical="center"/>
      <protection locked="0" hidden="1"/>
    </xf>
    <xf numFmtId="2" fontId="3" fillId="40" borderId="33" xfId="0" applyNumberFormat="1" applyFont="1" applyFill="1" applyBorder="1" applyAlignment="1" applyProtection="1">
      <alignment horizontal="center" vertical="center" wrapText="1"/>
      <protection locked="0" hidden="1"/>
    </xf>
    <xf numFmtId="9" fontId="2" fillId="40" borderId="17" xfId="0" applyNumberFormat="1" applyFont="1" applyFill="1" applyBorder="1" applyAlignment="1" applyProtection="1">
      <alignment horizontal="center" vertical="center" wrapText="1"/>
      <protection locked="0" hidden="1"/>
    </xf>
    <xf numFmtId="0" fontId="2" fillId="40" borderId="26" xfId="0" applyFont="1" applyFill="1" applyBorder="1" applyAlignment="1" applyProtection="1">
      <alignment horizontal="center" vertical="center"/>
      <protection locked="0" hidden="1"/>
    </xf>
    <xf numFmtId="0" fontId="2" fillId="40" borderId="17" xfId="0" applyFont="1" applyFill="1" applyBorder="1" applyAlignment="1" applyProtection="1">
      <alignment horizontal="center" vertical="center" wrapText="1"/>
      <protection locked="0" hidden="1"/>
    </xf>
    <xf numFmtId="2" fontId="3" fillId="40" borderId="17" xfId="0" applyNumberFormat="1" applyFont="1" applyFill="1" applyBorder="1" applyAlignment="1" applyProtection="1">
      <alignment horizontal="center" vertical="center" wrapText="1"/>
      <protection locked="0" hidden="1"/>
    </xf>
    <xf numFmtId="0" fontId="2" fillId="40" borderId="23" xfId="0" applyFont="1" applyFill="1" applyBorder="1" applyAlignment="1" applyProtection="1">
      <alignment horizontal="center" vertical="center"/>
      <protection locked="0" hidden="1"/>
    </xf>
    <xf numFmtId="0" fontId="2" fillId="40" borderId="33" xfId="0" applyFont="1" applyFill="1" applyBorder="1" applyAlignment="1" applyProtection="1">
      <alignment horizontal="center" vertical="center" wrapText="1"/>
      <protection locked="0" hidden="1"/>
    </xf>
    <xf numFmtId="0" fontId="3" fillId="40" borderId="33" xfId="0" quotePrefix="1" applyFont="1" applyFill="1" applyBorder="1" applyAlignment="1" applyProtection="1">
      <alignment horizontal="center" vertical="center" wrapText="1"/>
      <protection locked="0" hidden="1"/>
    </xf>
    <xf numFmtId="37" fontId="3" fillId="40" borderId="33" xfId="28" quotePrefix="1" applyNumberFormat="1" applyFont="1" applyFill="1" applyBorder="1" applyAlignment="1" applyProtection="1">
      <alignment horizontal="center" vertical="center"/>
      <protection locked="0" hidden="1"/>
    </xf>
    <xf numFmtId="175" fontId="4" fillId="40" borderId="33" xfId="28" applyNumberFormat="1" applyFont="1" applyFill="1" applyBorder="1" applyAlignment="1" applyProtection="1">
      <alignment horizontal="right" vertical="center" wrapText="1"/>
      <protection locked="0" hidden="1"/>
    </xf>
    <xf numFmtId="185" fontId="3" fillId="40" borderId="11" xfId="28" quotePrefix="1" applyNumberFormat="1" applyFont="1" applyFill="1" applyBorder="1" applyAlignment="1" applyProtection="1">
      <alignment horizontal="center" vertical="center"/>
      <protection locked="0" hidden="1"/>
    </xf>
    <xf numFmtId="37" fontId="3" fillId="40" borderId="12" xfId="28" quotePrefix="1" applyNumberFormat="1" applyFont="1" applyFill="1" applyBorder="1" applyAlignment="1" applyProtection="1">
      <alignment horizontal="center" vertical="center"/>
      <protection locked="0" hidden="1"/>
    </xf>
    <xf numFmtId="37" fontId="4" fillId="40" borderId="11" xfId="28" quotePrefix="1" applyNumberFormat="1" applyFont="1" applyFill="1" applyBorder="1" applyAlignment="1" applyProtection="1">
      <alignment horizontal="center" vertical="center"/>
      <protection locked="0" hidden="1"/>
    </xf>
    <xf numFmtId="0" fontId="7" fillId="40" borderId="12" xfId="0" quotePrefix="1" applyFont="1" applyFill="1" applyBorder="1" applyAlignment="1" applyProtection="1">
      <alignment vertical="center" wrapText="1"/>
      <protection locked="0" hidden="1"/>
    </xf>
    <xf numFmtId="181" fontId="22" fillId="40" borderId="16" xfId="0" applyNumberFormat="1" applyFont="1" applyFill="1" applyBorder="1" applyAlignment="1" applyProtection="1">
      <alignment horizontal="justify" vertical="center" wrapText="1"/>
      <protection locked="0" hidden="1"/>
    </xf>
    <xf numFmtId="185" fontId="3" fillId="39" borderId="11" xfId="28" quotePrefix="1" applyNumberFormat="1" applyFont="1" applyFill="1" applyBorder="1" applyAlignment="1" applyProtection="1">
      <alignment horizontal="center" vertical="center"/>
      <protection locked="0" hidden="1"/>
    </xf>
    <xf numFmtId="37" fontId="4" fillId="39" borderId="11" xfId="28" quotePrefix="1" applyNumberFormat="1" applyFont="1" applyFill="1" applyBorder="1" applyAlignment="1" applyProtection="1">
      <alignment horizontal="center" vertical="center"/>
      <protection locked="0" hidden="1"/>
    </xf>
    <xf numFmtId="185" fontId="3" fillId="43" borderId="11" xfId="28" quotePrefix="1" applyNumberFormat="1" applyFont="1" applyFill="1" applyBorder="1" applyAlignment="1" applyProtection="1">
      <alignment horizontal="center" vertical="center"/>
      <protection locked="0" hidden="1"/>
    </xf>
    <xf numFmtId="37" fontId="4" fillId="43" borderId="11" xfId="28" quotePrefix="1" applyNumberFormat="1" applyFont="1" applyFill="1" applyBorder="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0" fontId="6" fillId="32" borderId="33" xfId="0" applyFont="1" applyFill="1" applyBorder="1" applyAlignment="1" applyProtection="1">
      <alignment vertical="center" wrapText="1"/>
      <protection locked="0" hidden="1"/>
    </xf>
    <xf numFmtId="0" fontId="9" fillId="32" borderId="14" xfId="0" applyFont="1" applyFill="1" applyBorder="1" applyAlignment="1">
      <alignment horizontal="center" vertical="center" wrapText="1"/>
    </xf>
    <xf numFmtId="0" fontId="0" fillId="32" borderId="10" xfId="0" applyFill="1" applyBorder="1" applyAlignment="1">
      <alignment vertical="center"/>
    </xf>
    <xf numFmtId="175" fontId="2" fillId="32" borderId="0" xfId="28" applyNumberFormat="1" applyFont="1" applyFill="1" applyBorder="1" applyAlignment="1" applyProtection="1">
      <alignment vertical="center" wrapText="1"/>
      <protection locked="0" hidden="1"/>
    </xf>
    <xf numFmtId="37" fontId="3" fillId="32" borderId="12" xfId="28" quotePrefix="1" applyNumberFormat="1" applyFont="1" applyFill="1" applyBorder="1" applyAlignment="1" applyProtection="1">
      <alignment horizontal="center" vertical="center"/>
      <protection locked="0" hidden="1"/>
    </xf>
    <xf numFmtId="181" fontId="22" fillId="32" borderId="0" xfId="0" applyNumberFormat="1" applyFont="1" applyFill="1" applyAlignment="1" applyProtection="1">
      <alignment vertical="center" wrapText="1"/>
      <protection locked="0" hidden="1"/>
    </xf>
    <xf numFmtId="9" fontId="22" fillId="32" borderId="11" xfId="0" applyNumberFormat="1" applyFont="1" applyFill="1" applyBorder="1" applyAlignment="1" applyProtection="1">
      <alignment horizontal="center" vertical="center" wrapText="1"/>
      <protection locked="0" hidden="1"/>
    </xf>
    <xf numFmtId="0" fontId="3" fillId="39" borderId="12" xfId="0" applyFont="1" applyFill="1" applyBorder="1" applyAlignment="1" applyProtection="1">
      <alignment vertical="center" wrapText="1"/>
      <protection locked="0" hidden="1"/>
    </xf>
    <xf numFmtId="0" fontId="12" fillId="39" borderId="11" xfId="0" applyFont="1" applyFill="1" applyBorder="1" applyAlignment="1" applyProtection="1">
      <alignment horizontal="center" vertical="center" wrapText="1"/>
      <protection locked="0" hidden="1"/>
    </xf>
    <xf numFmtId="1" fontId="3" fillId="39" borderId="11" xfId="0" applyNumberFormat="1" applyFont="1" applyFill="1" applyBorder="1" applyAlignment="1" applyProtection="1">
      <alignment horizontal="center" vertical="center"/>
      <protection locked="0" hidden="1"/>
    </xf>
    <xf numFmtId="0" fontId="3" fillId="39" borderId="11" xfId="0" applyFont="1" applyFill="1" applyBorder="1" applyAlignment="1" applyProtection="1">
      <alignment horizontal="center" vertical="center" wrapText="1"/>
      <protection locked="0" hidden="1"/>
    </xf>
    <xf numFmtId="0" fontId="65" fillId="0" borderId="0" xfId="0" applyFont="1" applyAlignment="1" applyProtection="1">
      <alignment horizontal="center" vertical="center"/>
      <protection locked="0" hidden="1"/>
    </xf>
    <xf numFmtId="0" fontId="2" fillId="32" borderId="34" xfId="0" applyFont="1" applyFill="1" applyBorder="1" applyAlignment="1">
      <alignment vertical="center" wrapText="1"/>
    </xf>
    <xf numFmtId="0" fontId="4" fillId="0" borderId="35" xfId="0" applyFont="1" applyBorder="1" applyAlignment="1" applyProtection="1">
      <alignment vertical="center" wrapText="1"/>
      <protection locked="0" hidden="1"/>
    </xf>
    <xf numFmtId="0" fontId="9" fillId="0" borderId="39" xfId="0" applyFont="1" applyBorder="1" applyAlignment="1" applyProtection="1">
      <alignment horizontal="center" vertical="center" wrapText="1"/>
      <protection locked="0" hidden="1"/>
    </xf>
    <xf numFmtId="0" fontId="2" fillId="0" borderId="31" xfId="0" applyFont="1" applyBorder="1" applyAlignment="1">
      <alignment horizontal="center" vertical="center" wrapText="1"/>
    </xf>
    <xf numFmtId="0" fontId="4" fillId="0" borderId="14" xfId="0" applyFont="1" applyBorder="1" applyAlignment="1" applyProtection="1">
      <alignment horizontal="center" vertical="center" wrapText="1"/>
      <protection locked="0" hidden="1"/>
    </xf>
    <xf numFmtId="3" fontId="4" fillId="0" borderId="14" xfId="0" applyNumberFormat="1" applyFont="1" applyBorder="1" applyAlignment="1" applyProtection="1">
      <alignment vertical="center" wrapText="1"/>
      <protection locked="0" hidden="1"/>
    </xf>
    <xf numFmtId="176" fontId="4" fillId="0" borderId="14" xfId="0" applyNumberFormat="1" applyFont="1" applyBorder="1" applyAlignment="1" applyProtection="1">
      <alignment vertical="center" wrapText="1"/>
      <protection locked="0" hidden="1"/>
    </xf>
    <xf numFmtId="0" fontId="4" fillId="0" borderId="10" xfId="0" applyFont="1" applyBorder="1" applyAlignment="1" applyProtection="1">
      <alignment vertical="center" wrapText="1"/>
      <protection locked="0" hidden="1"/>
    </xf>
    <xf numFmtId="0" fontId="9" fillId="0" borderId="10" xfId="0" applyFont="1" applyBorder="1" applyAlignment="1" applyProtection="1">
      <alignment horizontal="center" vertical="center" wrapText="1"/>
      <protection locked="0" hidden="1"/>
    </xf>
    <xf numFmtId="0" fontId="2" fillId="0" borderId="10" xfId="0" applyFont="1" applyBorder="1" applyAlignment="1">
      <alignment horizontal="center" vertical="center" wrapText="1"/>
    </xf>
    <xf numFmtId="175" fontId="4" fillId="32" borderId="15" xfId="28" applyNumberFormat="1" applyFont="1" applyFill="1" applyBorder="1" applyAlignment="1" applyProtection="1">
      <alignment horizontal="right" vertical="center" wrapText="1"/>
      <protection locked="0" hidden="1"/>
    </xf>
    <xf numFmtId="37" fontId="3" fillId="0" borderId="38" xfId="28" quotePrefix="1" applyNumberFormat="1" applyFont="1" applyBorder="1" applyAlignment="1" applyProtection="1">
      <alignment vertical="center"/>
      <protection locked="0" hidden="1"/>
    </xf>
    <xf numFmtId="185" fontId="3" fillId="0" borderId="15" xfId="28" quotePrefix="1" applyNumberFormat="1" applyFont="1" applyBorder="1" applyAlignment="1" applyProtection="1">
      <alignment horizontal="center" vertical="center"/>
      <protection locked="0" hidden="1"/>
    </xf>
    <xf numFmtId="37" fontId="3" fillId="41" borderId="38" xfId="28" quotePrefix="1" applyNumberFormat="1" applyFont="1" applyFill="1" applyBorder="1" applyAlignment="1" applyProtection="1">
      <alignment vertical="center"/>
      <protection locked="0" hidden="1"/>
    </xf>
    <xf numFmtId="0" fontId="12" fillId="39" borderId="22" xfId="0" applyFont="1" applyFill="1" applyBorder="1" applyAlignment="1" applyProtection="1">
      <alignment horizontal="center" vertical="center" wrapText="1"/>
      <protection locked="0" hidden="1"/>
    </xf>
    <xf numFmtId="1" fontId="12" fillId="39" borderId="23" xfId="0" quotePrefix="1" applyNumberFormat="1" applyFont="1" applyFill="1" applyBorder="1" applyAlignment="1" applyProtection="1">
      <alignment horizontal="center" vertical="center"/>
      <protection locked="0" hidden="1"/>
    </xf>
    <xf numFmtId="2" fontId="3" fillId="39" borderId="17" xfId="0" applyNumberFormat="1" applyFont="1" applyFill="1" applyBorder="1" applyAlignment="1" applyProtection="1">
      <alignment horizontal="center" vertical="center" wrapText="1"/>
      <protection locked="0" hidden="1"/>
    </xf>
    <xf numFmtId="9" fontId="2" fillId="39" borderId="17" xfId="0" applyNumberFormat="1" applyFont="1" applyFill="1" applyBorder="1" applyAlignment="1" applyProtection="1">
      <alignment horizontal="center" vertical="center" wrapText="1"/>
      <protection locked="0" hidden="1"/>
    </xf>
    <xf numFmtId="0" fontId="2" fillId="39" borderId="23" xfId="0" applyFont="1" applyFill="1" applyBorder="1" applyAlignment="1" applyProtection="1">
      <alignment horizontal="center" vertical="center"/>
      <protection locked="0" hidden="1"/>
    </xf>
    <xf numFmtId="0" fontId="2" fillId="39" borderId="33" xfId="0" applyFont="1" applyFill="1" applyBorder="1" applyAlignment="1" applyProtection="1">
      <alignment horizontal="center" vertical="center" wrapText="1"/>
      <protection locked="0" hidden="1"/>
    </xf>
    <xf numFmtId="0" fontId="3" fillId="39" borderId="33" xfId="0" quotePrefix="1" applyFont="1" applyFill="1" applyBorder="1" applyAlignment="1" applyProtection="1">
      <alignment horizontal="center" vertical="center" wrapText="1"/>
      <protection locked="0" hidden="1"/>
    </xf>
    <xf numFmtId="37" fontId="3" fillId="39" borderId="33" xfId="28" quotePrefix="1" applyNumberFormat="1" applyFont="1" applyFill="1" applyBorder="1" applyAlignment="1" applyProtection="1">
      <alignment horizontal="center" vertical="center"/>
      <protection locked="0" hidden="1"/>
    </xf>
    <xf numFmtId="37" fontId="3" fillId="39" borderId="38" xfId="28" quotePrefix="1" applyNumberFormat="1" applyFont="1" applyFill="1" applyBorder="1" applyAlignment="1" applyProtection="1">
      <alignment vertical="center"/>
      <protection locked="0" hidden="1"/>
    </xf>
    <xf numFmtId="37" fontId="4" fillId="0" borderId="38" xfId="28" quotePrefix="1" applyNumberFormat="1" applyFont="1" applyBorder="1" applyAlignment="1" applyProtection="1">
      <alignment vertical="center"/>
      <protection locked="0" hidden="1"/>
    </xf>
    <xf numFmtId="37" fontId="4" fillId="39" borderId="38" xfId="28" quotePrefix="1" applyNumberFormat="1" applyFont="1" applyFill="1" applyBorder="1" applyAlignment="1" applyProtection="1">
      <alignment vertical="center"/>
      <protection locked="0" hidden="1"/>
    </xf>
    <xf numFmtId="37" fontId="4" fillId="41" borderId="38" xfId="28" quotePrefix="1" applyNumberFormat="1" applyFont="1" applyFill="1" applyBorder="1" applyAlignment="1" applyProtection="1">
      <alignment vertical="center"/>
      <protection locked="0" hidden="1"/>
    </xf>
    <xf numFmtId="167" fontId="4" fillId="0" borderId="10" xfId="0" applyNumberFormat="1" applyFont="1" applyBorder="1" applyAlignment="1" applyProtection="1">
      <alignment vertical="center" wrapText="1"/>
      <protection locked="0" hidden="1"/>
    </xf>
    <xf numFmtId="0" fontId="4" fillId="0" borderId="0" xfId="0" applyFont="1" applyAlignment="1" applyProtection="1">
      <alignment vertical="center"/>
      <protection locked="0" hidden="1"/>
    </xf>
    <xf numFmtId="37" fontId="3" fillId="47" borderId="38" xfId="28" quotePrefix="1" applyNumberFormat="1" applyFont="1" applyFill="1" applyBorder="1" applyAlignment="1" applyProtection="1">
      <alignment vertical="center"/>
      <protection locked="0" hidden="1"/>
    </xf>
    <xf numFmtId="37" fontId="4" fillId="47" borderId="38" xfId="28" quotePrefix="1" applyNumberFormat="1" applyFont="1" applyFill="1" applyBorder="1" applyAlignment="1" applyProtection="1">
      <alignment vertical="center"/>
      <protection locked="0" hidden="1"/>
    </xf>
    <xf numFmtId="0" fontId="5" fillId="32" borderId="10" xfId="0" applyFont="1" applyFill="1" applyBorder="1" applyAlignment="1">
      <alignment horizontal="center" vertical="center" wrapText="1"/>
    </xf>
    <xf numFmtId="0" fontId="70" fillId="0" borderId="10" xfId="0" applyFont="1" applyBorder="1" applyAlignment="1">
      <alignment horizontal="center" vertical="center"/>
    </xf>
    <xf numFmtId="49" fontId="12" fillId="39" borderId="11" xfId="0" applyNumberFormat="1" applyFont="1" applyFill="1" applyBorder="1" applyAlignment="1" applyProtection="1">
      <alignment horizontal="center" vertical="center" wrapText="1"/>
      <protection locked="0" hidden="1"/>
    </xf>
    <xf numFmtId="181" fontId="22" fillId="32" borderId="16" xfId="0" applyNumberFormat="1" applyFont="1" applyFill="1" applyBorder="1" applyAlignment="1" applyProtection="1">
      <alignment horizontal="justify" vertical="center" wrapText="1"/>
      <protection locked="0" hidden="1"/>
    </xf>
    <xf numFmtId="37" fontId="3" fillId="38" borderId="11" xfId="28" quotePrefix="1" applyNumberFormat="1" applyFont="1" applyFill="1" applyBorder="1" applyAlignment="1" applyProtection="1">
      <alignment horizontal="center" vertical="center"/>
      <protection locked="0" hidden="1"/>
    </xf>
    <xf numFmtId="1" fontId="12" fillId="39" borderId="11" xfId="0" applyNumberFormat="1" applyFont="1" applyFill="1" applyBorder="1" applyAlignment="1" applyProtection="1">
      <alignment horizontal="center" vertical="center" wrapText="1"/>
      <protection locked="0" hidden="1"/>
    </xf>
    <xf numFmtId="2" fontId="3" fillId="39" borderId="11" xfId="0" applyNumberFormat="1" applyFont="1" applyFill="1" applyBorder="1" applyAlignment="1" applyProtection="1">
      <alignment horizontal="center" vertical="center" wrapText="1"/>
      <protection locked="0" hidden="1"/>
    </xf>
    <xf numFmtId="49" fontId="12" fillId="39" borderId="11" xfId="0" quotePrefix="1" applyNumberFormat="1" applyFont="1" applyFill="1" applyBorder="1" applyAlignment="1" applyProtection="1">
      <alignment horizontal="center" vertical="center" wrapText="1"/>
      <protection locked="0" hidden="1"/>
    </xf>
    <xf numFmtId="1" fontId="12" fillId="41" borderId="11" xfId="0" applyNumberFormat="1" applyFont="1" applyFill="1" applyBorder="1" applyAlignment="1" applyProtection="1">
      <alignment horizontal="center" vertical="center"/>
      <protection locked="0" hidden="1"/>
    </xf>
    <xf numFmtId="0" fontId="7" fillId="41" borderId="16" xfId="0" quotePrefix="1" applyFont="1" applyFill="1" applyBorder="1" applyAlignment="1" applyProtection="1">
      <alignment horizontal="justify" vertical="center" wrapText="1"/>
      <protection locked="0"/>
    </xf>
    <xf numFmtId="187" fontId="3" fillId="0" borderId="11" xfId="28" quotePrefix="1" applyNumberFormat="1" applyFont="1" applyBorder="1" applyAlignment="1" applyProtection="1">
      <alignment horizontal="center" vertical="center"/>
      <protection locked="0" hidden="1"/>
    </xf>
    <xf numFmtId="37" fontId="4" fillId="0" borderId="12" xfId="28" quotePrefix="1" applyNumberFormat="1" applyFont="1" applyBorder="1" applyAlignment="1" applyProtection="1">
      <alignment vertical="center"/>
      <protection locked="0" hidden="1"/>
    </xf>
    <xf numFmtId="187" fontId="3" fillId="41" borderId="11" xfId="28" quotePrefix="1" applyNumberFormat="1" applyFont="1" applyFill="1" applyBorder="1" applyAlignment="1" applyProtection="1">
      <alignment horizontal="center" vertical="center"/>
      <protection locked="0" hidden="1"/>
    </xf>
    <xf numFmtId="37" fontId="4" fillId="41" borderId="12" xfId="28" quotePrefix="1" applyNumberFormat="1" applyFont="1" applyFill="1" applyBorder="1" applyAlignment="1" applyProtection="1">
      <alignment vertical="center"/>
      <protection locked="0" hidden="1"/>
    </xf>
    <xf numFmtId="187" fontId="3" fillId="39" borderId="11" xfId="28" quotePrefix="1" applyNumberFormat="1" applyFont="1" applyFill="1" applyBorder="1" applyAlignment="1" applyProtection="1">
      <alignment horizontal="center" vertical="center"/>
      <protection locked="0" hidden="1"/>
    </xf>
    <xf numFmtId="37" fontId="4" fillId="39" borderId="12" xfId="28" quotePrefix="1" applyNumberFormat="1" applyFont="1" applyFill="1" applyBorder="1" applyAlignment="1" applyProtection="1">
      <alignment vertical="center"/>
      <protection locked="0" hidden="1"/>
    </xf>
    <xf numFmtId="0" fontId="69" fillId="0" borderId="0" xfId="0" applyFont="1" applyAlignment="1" applyProtection="1">
      <alignment vertical="center"/>
      <protection locked="0" hidden="1"/>
    </xf>
    <xf numFmtId="1" fontId="12" fillId="0" borderId="16" xfId="0" quotePrefix="1" applyNumberFormat="1" applyFont="1" applyBorder="1" applyAlignment="1" applyProtection="1">
      <alignment horizontal="center" vertical="center"/>
      <protection locked="0" hidden="1"/>
    </xf>
    <xf numFmtId="0" fontId="7" fillId="32" borderId="13" xfId="0" quotePrefix="1" applyFont="1" applyFill="1" applyBorder="1" applyAlignment="1" applyProtection="1">
      <alignment vertical="center" wrapText="1"/>
      <protection locked="0" hidden="1"/>
    </xf>
    <xf numFmtId="37" fontId="4" fillId="0" borderId="12" xfId="28" quotePrefix="1" applyNumberFormat="1" applyFont="1" applyBorder="1" applyAlignment="1" applyProtection="1">
      <alignment horizontal="center" vertical="center"/>
      <protection locked="0" hidden="1"/>
    </xf>
    <xf numFmtId="37" fontId="4" fillId="41" borderId="12" xfId="28" quotePrefix="1" applyNumberFormat="1" applyFont="1" applyFill="1" applyBorder="1" applyAlignment="1" applyProtection="1">
      <alignment horizontal="center" vertical="center"/>
      <protection locked="0" hidden="1"/>
    </xf>
    <xf numFmtId="37" fontId="4" fillId="39" borderId="12" xfId="28" quotePrefix="1" applyNumberFormat="1" applyFont="1" applyFill="1" applyBorder="1" applyAlignment="1" applyProtection="1">
      <alignment horizontal="center" vertical="center"/>
      <protection locked="0" hidden="1"/>
    </xf>
    <xf numFmtId="175" fontId="2" fillId="0" borderId="0" xfId="0" applyNumberFormat="1" applyFont="1" applyAlignment="1" applyProtection="1">
      <alignment vertical="center" wrapText="1"/>
      <protection locked="0" hidden="1"/>
    </xf>
    <xf numFmtId="175" fontId="2" fillId="32" borderId="0" xfId="0" applyNumberFormat="1" applyFont="1" applyFill="1" applyAlignment="1" applyProtection="1">
      <alignment vertical="center" wrapText="1"/>
      <protection locked="0" hidden="1"/>
    </xf>
    <xf numFmtId="0" fontId="2" fillId="38" borderId="11" xfId="0" applyFont="1" applyFill="1" applyBorder="1" applyAlignment="1" applyProtection="1">
      <alignment horizontal="center" vertical="center" wrapText="1"/>
      <protection locked="0" hidden="1"/>
    </xf>
    <xf numFmtId="0" fontId="2" fillId="41" borderId="16" xfId="0" applyFont="1" applyFill="1" applyBorder="1" applyAlignment="1">
      <alignment vertical="center" wrapText="1"/>
    </xf>
    <xf numFmtId="14" fontId="2" fillId="41" borderId="11" xfId="0" applyNumberFormat="1" applyFont="1" applyFill="1" applyBorder="1" applyAlignment="1">
      <alignment horizontal="center" vertical="center" wrapText="1"/>
    </xf>
    <xf numFmtId="3" fontId="2" fillId="41" borderId="11" xfId="0" applyNumberFormat="1" applyFont="1" applyFill="1" applyBorder="1" applyAlignment="1">
      <alignment horizontal="center" vertical="center" wrapText="1"/>
    </xf>
    <xf numFmtId="9" fontId="2" fillId="41" borderId="11" xfId="60" applyFont="1" applyFill="1" applyBorder="1" applyAlignment="1">
      <alignment horizontal="center" vertical="center" wrapText="1"/>
    </xf>
    <xf numFmtId="3" fontId="2" fillId="41" borderId="11" xfId="0" applyNumberFormat="1" applyFont="1" applyFill="1" applyBorder="1" applyAlignment="1" applyProtection="1">
      <alignment horizontal="right" vertical="center" wrapText="1"/>
      <protection hidden="1"/>
    </xf>
    <xf numFmtId="0" fontId="2" fillId="41" borderId="11" xfId="0" applyFont="1" applyFill="1" applyBorder="1" applyAlignment="1" applyProtection="1">
      <alignment horizontal="center" vertical="center" wrapText="1"/>
      <protection hidden="1"/>
    </xf>
    <xf numFmtId="0" fontId="2" fillId="41" borderId="25" xfId="0" applyFont="1" applyFill="1" applyBorder="1" applyAlignment="1" applyProtection="1">
      <alignment horizontal="center" vertical="center" wrapText="1"/>
      <protection hidden="1"/>
    </xf>
    <xf numFmtId="0" fontId="7" fillId="41" borderId="12" xfId="0" applyFont="1" applyFill="1" applyBorder="1" applyAlignment="1">
      <alignment horizontal="center" vertical="center" wrapText="1"/>
    </xf>
    <xf numFmtId="1" fontId="2" fillId="41" borderId="11" xfId="0" applyNumberFormat="1" applyFont="1" applyFill="1" applyBorder="1" applyAlignment="1">
      <alignment horizontal="center" vertical="center" wrapText="1"/>
    </xf>
    <xf numFmtId="0" fontId="2" fillId="48" borderId="11" xfId="0" quotePrefix="1" applyFont="1" applyFill="1" applyBorder="1" applyAlignment="1">
      <alignment horizontal="center" vertical="center" wrapText="1"/>
    </xf>
    <xf numFmtId="0" fontId="2" fillId="48" borderId="12" xfId="0" applyFont="1" applyFill="1" applyBorder="1" applyAlignment="1">
      <alignment vertical="center" wrapText="1"/>
    </xf>
    <xf numFmtId="0" fontId="2" fillId="48" borderId="16" xfId="0" applyFont="1" applyFill="1" applyBorder="1" applyAlignment="1">
      <alignment vertical="center" wrapText="1"/>
    </xf>
    <xf numFmtId="14" fontId="2" fillId="48" borderId="11" xfId="0" applyNumberFormat="1" applyFont="1" applyFill="1" applyBorder="1" applyAlignment="1">
      <alignment horizontal="center" vertical="center" wrapText="1"/>
    </xf>
    <xf numFmtId="0" fontId="2" fillId="48" borderId="11" xfId="0" applyFont="1" applyFill="1" applyBorder="1" applyAlignment="1">
      <alignment horizontal="center" vertical="center" wrapText="1"/>
    </xf>
    <xf numFmtId="3" fontId="2" fillId="48" borderId="11" xfId="0" applyNumberFormat="1" applyFont="1" applyFill="1" applyBorder="1" applyAlignment="1">
      <alignment horizontal="center" vertical="center" wrapText="1"/>
    </xf>
    <xf numFmtId="9" fontId="2" fillId="48" borderId="11" xfId="60" applyFont="1" applyFill="1" applyBorder="1" applyAlignment="1">
      <alignment horizontal="center" vertical="center" wrapText="1"/>
    </xf>
    <xf numFmtId="3" fontId="2" fillId="48" borderId="11" xfId="0" applyNumberFormat="1" applyFont="1" applyFill="1" applyBorder="1" applyAlignment="1" applyProtection="1">
      <alignment horizontal="right" vertical="center" wrapText="1"/>
      <protection hidden="1"/>
    </xf>
    <xf numFmtId="0" fontId="2" fillId="48" borderId="11" xfId="0" applyFont="1" applyFill="1" applyBorder="1" applyAlignment="1" applyProtection="1">
      <alignment horizontal="center" vertical="center" wrapText="1"/>
      <protection hidden="1"/>
    </xf>
    <xf numFmtId="0" fontId="2" fillId="48" borderId="25" xfId="0" applyFont="1" applyFill="1" applyBorder="1" applyAlignment="1" applyProtection="1">
      <alignment horizontal="center" vertical="center" wrapText="1"/>
      <protection hidden="1"/>
    </xf>
    <xf numFmtId="3" fontId="5" fillId="48" borderId="11" xfId="0" applyNumberFormat="1" applyFont="1" applyFill="1" applyBorder="1" applyAlignment="1" applyProtection="1">
      <alignment horizontal="right" vertical="center" wrapText="1"/>
      <protection hidden="1"/>
    </xf>
    <xf numFmtId="0" fontId="7" fillId="48" borderId="12" xfId="0" applyFont="1" applyFill="1" applyBorder="1" applyAlignment="1">
      <alignment horizontal="center" vertical="center" wrapText="1"/>
    </xf>
    <xf numFmtId="2" fontId="2" fillId="32" borderId="11" xfId="0" applyNumberFormat="1" applyFont="1" applyFill="1" applyBorder="1" applyAlignment="1" applyProtection="1">
      <alignment horizontal="center" vertical="center" wrapText="1"/>
      <protection locked="0" hidden="1"/>
    </xf>
    <xf numFmtId="3" fontId="5" fillId="41" borderId="11" xfId="0" applyNumberFormat="1" applyFont="1" applyFill="1" applyBorder="1" applyAlignment="1" applyProtection="1">
      <alignment horizontal="right" vertical="center" wrapText="1"/>
      <protection hidden="1"/>
    </xf>
    <xf numFmtId="183" fontId="3" fillId="0" borderId="11" xfId="28" quotePrefix="1" applyNumberFormat="1" applyFont="1" applyBorder="1" applyAlignment="1" applyProtection="1">
      <alignment horizontal="center" vertical="center"/>
      <protection locked="0" hidden="1"/>
    </xf>
    <xf numFmtId="0" fontId="7" fillId="38" borderId="11" xfId="0" applyFont="1" applyFill="1" applyBorder="1" applyAlignment="1" applyProtection="1">
      <alignment horizontal="center" vertical="center" wrapText="1"/>
      <protection locked="0" hidden="1"/>
    </xf>
    <xf numFmtId="0" fontId="2" fillId="49" borderId="11" xfId="0" applyFont="1" applyFill="1" applyBorder="1" applyAlignment="1" applyProtection="1">
      <alignment horizontal="center" vertical="center" wrapText="1"/>
      <protection locked="0" hidden="1"/>
    </xf>
    <xf numFmtId="0" fontId="12" fillId="0" borderId="36" xfId="0" applyFont="1" applyBorder="1" applyAlignment="1" applyProtection="1">
      <alignment horizontal="center" vertical="center" wrapText="1"/>
      <protection locked="0" hidden="1"/>
    </xf>
    <xf numFmtId="1" fontId="12" fillId="0" borderId="32" xfId="0" applyNumberFormat="1" applyFont="1" applyBorder="1" applyAlignment="1" applyProtection="1">
      <alignment horizontal="center" vertical="center"/>
      <protection locked="0" hidden="1"/>
    </xf>
    <xf numFmtId="0" fontId="3" fillId="0" borderId="33" xfId="0" applyFont="1" applyBorder="1" applyAlignment="1" applyProtection="1">
      <alignment horizontal="center" vertical="center" wrapText="1"/>
      <protection locked="0" hidden="1"/>
    </xf>
    <xf numFmtId="9" fontId="2" fillId="0" borderId="33" xfId="0" applyNumberFormat="1" applyFont="1" applyBorder="1" applyAlignment="1" applyProtection="1">
      <alignment horizontal="center" vertical="center" wrapText="1"/>
      <protection locked="0" hidden="1"/>
    </xf>
    <xf numFmtId="0" fontId="2" fillId="0" borderId="32" xfId="0" applyFont="1" applyBorder="1" applyAlignment="1" applyProtection="1">
      <alignment horizontal="center" vertical="center"/>
      <protection locked="0" hidden="1"/>
    </xf>
    <xf numFmtId="0" fontId="2" fillId="0" borderId="33" xfId="0" applyFont="1" applyBorder="1" applyAlignment="1" applyProtection="1">
      <alignment horizontal="center" vertical="center" wrapText="1"/>
      <protection locked="0" hidden="1"/>
    </xf>
    <xf numFmtId="0" fontId="3" fillId="0" borderId="33" xfId="0" quotePrefix="1" applyFont="1" applyBorder="1" applyAlignment="1" applyProtection="1">
      <alignment horizontal="center" vertical="center" wrapText="1"/>
      <protection locked="0" hidden="1"/>
    </xf>
    <xf numFmtId="37" fontId="3" fillId="0" borderId="33" xfId="28" quotePrefix="1" applyNumberFormat="1" applyFont="1" applyFill="1" applyBorder="1" applyAlignment="1" applyProtection="1">
      <alignment horizontal="center" vertical="center"/>
      <protection locked="0" hidden="1"/>
    </xf>
    <xf numFmtId="175" fontId="4" fillId="0" borderId="33" xfId="28" applyNumberFormat="1" applyFont="1" applyFill="1" applyBorder="1" applyAlignment="1" applyProtection="1">
      <alignment horizontal="right" vertical="center" wrapText="1"/>
      <protection locked="0" hidden="1"/>
    </xf>
    <xf numFmtId="0" fontId="12" fillId="41" borderId="36" xfId="0" applyFont="1" applyFill="1" applyBorder="1" applyAlignment="1" applyProtection="1">
      <alignment horizontal="center" vertical="center" wrapText="1"/>
      <protection locked="0" hidden="1"/>
    </xf>
    <xf numFmtId="1" fontId="12" fillId="41" borderId="32" xfId="0" applyNumberFormat="1" applyFont="1" applyFill="1" applyBorder="1" applyAlignment="1" applyProtection="1">
      <alignment horizontal="center" vertical="center"/>
      <protection locked="0" hidden="1"/>
    </xf>
    <xf numFmtId="0" fontId="3" fillId="41" borderId="33" xfId="0" applyFont="1" applyFill="1" applyBorder="1" applyAlignment="1" applyProtection="1">
      <alignment horizontal="center" vertical="center" wrapText="1"/>
      <protection locked="0" hidden="1"/>
    </xf>
    <xf numFmtId="9" fontId="2" fillId="41" borderId="33" xfId="0" applyNumberFormat="1" applyFont="1" applyFill="1" applyBorder="1" applyAlignment="1" applyProtection="1">
      <alignment horizontal="center" vertical="center" wrapText="1"/>
      <protection locked="0" hidden="1"/>
    </xf>
    <xf numFmtId="0" fontId="2" fillId="41" borderId="32" xfId="0" applyFont="1" applyFill="1" applyBorder="1" applyAlignment="1" applyProtection="1">
      <alignment horizontal="center" vertical="center"/>
      <protection locked="0" hidden="1"/>
    </xf>
    <xf numFmtId="183" fontId="3" fillId="41" borderId="11" xfId="28" quotePrefix="1" applyNumberFormat="1" applyFont="1" applyFill="1" applyBorder="1" applyAlignment="1" applyProtection="1">
      <alignment horizontal="center" vertical="center"/>
      <protection locked="0" hidden="1"/>
    </xf>
    <xf numFmtId="183" fontId="3" fillId="39" borderId="11" xfId="28" quotePrefix="1" applyNumberFormat="1" applyFont="1" applyFill="1" applyBorder="1" applyAlignment="1" applyProtection="1">
      <alignment horizontal="center" vertical="center"/>
      <protection locked="0" hidden="1"/>
    </xf>
    <xf numFmtId="183" fontId="3" fillId="32" borderId="11" xfId="28" quotePrefix="1" applyNumberFormat="1" applyFont="1" applyFill="1" applyBorder="1" applyAlignment="1" applyProtection="1">
      <alignment horizontal="center" vertical="center"/>
      <protection locked="0" hidden="1"/>
    </xf>
    <xf numFmtId="37" fontId="4" fillId="32" borderId="12" xfId="28" quotePrefix="1" applyNumberFormat="1" applyFont="1" applyFill="1" applyBorder="1" applyAlignment="1" applyProtection="1">
      <alignment horizontal="center" vertical="center"/>
      <protection locked="0" hidden="1"/>
    </xf>
    <xf numFmtId="0" fontId="12" fillId="39" borderId="36" xfId="0" applyFont="1" applyFill="1" applyBorder="1" applyAlignment="1" applyProtection="1">
      <alignment horizontal="center" vertical="center" wrapText="1"/>
      <protection locked="0" hidden="1"/>
    </xf>
    <xf numFmtId="1" fontId="12" fillId="39" borderId="32" xfId="0" applyNumberFormat="1" applyFont="1" applyFill="1" applyBorder="1" applyAlignment="1" applyProtection="1">
      <alignment horizontal="center" vertical="center"/>
      <protection locked="0" hidden="1"/>
    </xf>
    <xf numFmtId="0" fontId="2" fillId="39" borderId="11" xfId="0" quotePrefix="1" applyFont="1" applyFill="1" applyBorder="1" applyAlignment="1">
      <alignment horizontal="center" vertical="center" wrapText="1"/>
    </xf>
    <xf numFmtId="0" fontId="3" fillId="39" borderId="33" xfId="0" applyFont="1" applyFill="1" applyBorder="1" applyAlignment="1" applyProtection="1">
      <alignment horizontal="center" vertical="center" wrapText="1"/>
      <protection locked="0" hidden="1"/>
    </xf>
    <xf numFmtId="9" fontId="2" fillId="39" borderId="33" xfId="0" applyNumberFormat="1" applyFont="1" applyFill="1" applyBorder="1" applyAlignment="1" applyProtection="1">
      <alignment horizontal="center" vertical="center" wrapText="1"/>
      <protection locked="0" hidden="1"/>
    </xf>
    <xf numFmtId="0" fontId="2" fillId="39" borderId="32" xfId="0" applyFont="1" applyFill="1" applyBorder="1" applyAlignment="1" applyProtection="1">
      <alignment horizontal="center" vertical="center"/>
      <protection locked="0" hidden="1"/>
    </xf>
    <xf numFmtId="175" fontId="4" fillId="39" borderId="33" xfId="28" applyNumberFormat="1" applyFont="1" applyFill="1" applyBorder="1" applyAlignment="1" applyProtection="1">
      <alignment horizontal="right" vertical="center" wrapText="1"/>
      <protection locked="0" hidden="1"/>
    </xf>
    <xf numFmtId="0" fontId="9" fillId="0" borderId="0" xfId="0" applyFont="1" applyAlignment="1">
      <alignment horizontal="center"/>
    </xf>
    <xf numFmtId="0" fontId="12" fillId="0" borderId="0" xfId="0" applyFont="1" applyAlignment="1">
      <alignment horizontal="center"/>
    </xf>
    <xf numFmtId="0" fontId="5" fillId="0" borderId="20" xfId="0" applyFont="1" applyBorder="1" applyAlignment="1" applyProtection="1">
      <alignment horizontal="center" vertical="center" wrapText="1"/>
      <protection locked="0"/>
    </xf>
    <xf numFmtId="0" fontId="5" fillId="0" borderId="21" xfId="0" applyFont="1" applyBorder="1" applyAlignment="1" applyProtection="1">
      <alignment horizontal="center" vertical="center" wrapText="1"/>
      <protection locked="0"/>
    </xf>
    <xf numFmtId="0" fontId="4" fillId="0" borderId="0" xfId="0" applyFont="1" applyAlignment="1">
      <alignment horizontal="center"/>
    </xf>
    <xf numFmtId="0" fontId="4" fillId="0" borderId="0" xfId="0" applyFont="1" applyAlignment="1">
      <alignment horizontal="center" vertical="center" wrapText="1"/>
    </xf>
    <xf numFmtId="0" fontId="9" fillId="0" borderId="0" xfId="0" applyFont="1" applyAlignment="1">
      <alignment horizontal="left" vertical="center"/>
    </xf>
    <xf numFmtId="0" fontId="7" fillId="0" borderId="14" xfId="0" applyFont="1" applyBorder="1" applyAlignment="1">
      <alignment horizontal="center" vertical="center" wrapText="1"/>
    </xf>
    <xf numFmtId="0" fontId="5" fillId="0" borderId="0" xfId="0" applyFont="1" applyAlignment="1" applyProtection="1">
      <alignment horizontal="center" vertical="center" wrapText="1"/>
      <protection locked="0"/>
    </xf>
    <xf numFmtId="168" fontId="9" fillId="0" borderId="0" xfId="0" applyNumberFormat="1" applyFont="1" applyAlignment="1">
      <alignment horizontal="center"/>
    </xf>
    <xf numFmtId="9" fontId="12" fillId="0" borderId="0" xfId="0" applyNumberFormat="1" applyFont="1" applyAlignment="1">
      <alignment horizontal="center"/>
    </xf>
    <xf numFmtId="0" fontId="4" fillId="0" borderId="0" xfId="0" applyFont="1" applyAlignment="1" applyProtection="1">
      <alignment horizontal="center" vertical="center"/>
      <protection locked="0"/>
    </xf>
    <xf numFmtId="0" fontId="9" fillId="0" borderId="0" xfId="0" applyFont="1" applyAlignment="1" applyProtection="1">
      <alignment horizontal="center"/>
      <protection locked="0"/>
    </xf>
    <xf numFmtId="0" fontId="12" fillId="0" borderId="0" xfId="0" applyFont="1" applyAlignment="1" applyProtection="1">
      <alignment horizontal="left"/>
      <protection locked="0"/>
    </xf>
    <xf numFmtId="0" fontId="12" fillId="0" borderId="0" xfId="0" applyFont="1" applyAlignment="1" applyProtection="1">
      <alignment horizontal="center"/>
      <protection locked="0"/>
    </xf>
    <xf numFmtId="0" fontId="7" fillId="0" borderId="10" xfId="0" quotePrefix="1" applyFont="1" applyBorder="1" applyAlignment="1">
      <alignment horizontal="center" vertical="center" wrapText="1"/>
    </xf>
    <xf numFmtId="0" fontId="45" fillId="0" borderId="0" xfId="0" applyFont="1" applyAlignment="1">
      <alignment horizontal="right"/>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7" fillId="0" borderId="20" xfId="0" quotePrefix="1" applyFont="1" applyBorder="1" applyAlignment="1">
      <alignment horizontal="center" vertical="center" wrapText="1"/>
    </xf>
    <xf numFmtId="0" fontId="7" fillId="0" borderId="21" xfId="0" quotePrefix="1" applyFont="1" applyBorder="1" applyAlignment="1">
      <alignment horizontal="center" vertical="center" wrapText="1"/>
    </xf>
    <xf numFmtId="0" fontId="6" fillId="0" borderId="20" xfId="0" applyFont="1" applyBorder="1" applyAlignment="1">
      <alignment horizontal="center" vertical="center" wrapText="1"/>
    </xf>
    <xf numFmtId="0" fontId="6" fillId="0" borderId="37" xfId="0" applyFont="1" applyBorder="1" applyAlignment="1">
      <alignment horizontal="center" vertical="center" wrapText="1"/>
    </xf>
    <xf numFmtId="0" fontId="45" fillId="0" borderId="0" xfId="0" applyFont="1" applyAlignment="1">
      <alignment horizontal="center"/>
    </xf>
    <xf numFmtId="0" fontId="6" fillId="0" borderId="14" xfId="0" applyFont="1" applyBorder="1" applyAlignment="1">
      <alignment horizontal="center" vertical="center" wrapText="1"/>
    </xf>
    <xf numFmtId="0" fontId="9" fillId="0" borderId="20" xfId="0" applyFont="1" applyBorder="1" applyAlignment="1" applyProtection="1">
      <alignment horizontal="center" vertical="center" wrapText="1"/>
      <protection locked="0" hidden="1"/>
    </xf>
    <xf numFmtId="0" fontId="9" fillId="0" borderId="21" xfId="0" applyFont="1" applyBorder="1" applyAlignment="1" applyProtection="1">
      <alignment horizontal="center" vertical="center" wrapText="1"/>
      <protection locked="0" hidden="1"/>
    </xf>
    <xf numFmtId="0" fontId="9" fillId="0" borderId="0" xfId="0" applyFont="1" applyAlignment="1" applyProtection="1">
      <alignment horizontal="center" vertical="center"/>
      <protection locked="0" hidden="1"/>
    </xf>
    <xf numFmtId="0" fontId="6" fillId="32" borderId="14" xfId="0" applyFont="1" applyFill="1" applyBorder="1" applyAlignment="1" applyProtection="1">
      <alignment horizontal="center" vertical="center" wrapText="1"/>
      <protection locked="0" hidden="1"/>
    </xf>
    <xf numFmtId="0" fontId="6" fillId="32" borderId="17" xfId="0" applyFont="1" applyFill="1" applyBorder="1" applyAlignment="1" applyProtection="1">
      <alignment horizontal="center" vertical="center" wrapText="1"/>
      <protection locked="0" hidden="1"/>
    </xf>
    <xf numFmtId="0" fontId="6" fillId="32" borderId="33" xfId="0" applyFont="1" applyFill="1" applyBorder="1" applyAlignment="1" applyProtection="1">
      <alignment horizontal="center" vertical="center" wrapText="1"/>
      <protection locked="0" hidden="1"/>
    </xf>
    <xf numFmtId="0" fontId="5" fillId="32" borderId="35" xfId="0" applyFont="1" applyFill="1" applyBorder="1" applyAlignment="1" applyProtection="1">
      <alignment horizontal="center" vertical="center" wrapText="1"/>
      <protection locked="0" hidden="1"/>
    </xf>
    <xf numFmtId="0" fontId="5" fillId="32" borderId="39" xfId="0" applyFont="1" applyFill="1" applyBorder="1" applyAlignment="1" applyProtection="1">
      <alignment horizontal="center" vertical="center" wrapText="1"/>
      <protection locked="0" hidden="1"/>
    </xf>
    <xf numFmtId="0" fontId="5" fillId="32" borderId="36" xfId="0" applyFont="1" applyFill="1" applyBorder="1" applyAlignment="1" applyProtection="1">
      <alignment horizontal="center" vertical="center" wrapText="1"/>
      <protection locked="0" hidden="1"/>
    </xf>
    <xf numFmtId="0" fontId="5" fillId="32" borderId="32" xfId="0" applyFont="1" applyFill="1" applyBorder="1" applyAlignment="1" applyProtection="1">
      <alignment horizontal="center" vertical="center" wrapText="1"/>
      <protection locked="0" hidden="1"/>
    </xf>
    <xf numFmtId="0" fontId="7" fillId="0" borderId="20" xfId="0" quotePrefix="1" applyFont="1" applyBorder="1" applyAlignment="1" applyProtection="1">
      <alignment horizontal="center" vertical="center" wrapText="1"/>
      <protection locked="0" hidden="1"/>
    </xf>
    <xf numFmtId="0" fontId="7" fillId="0" borderId="21" xfId="0" quotePrefix="1" applyFont="1" applyBorder="1" applyAlignment="1" applyProtection="1">
      <alignment horizontal="center" vertical="center" wrapText="1"/>
      <protection locked="0" hidden="1"/>
    </xf>
    <xf numFmtId="0" fontId="69" fillId="0" borderId="0" xfId="0" applyFont="1" applyAlignment="1" applyProtection="1">
      <alignment horizontal="right" vertical="center"/>
      <protection locked="0" hidden="1"/>
    </xf>
    <xf numFmtId="0" fontId="2" fillId="0" borderId="0" xfId="0" applyFont="1" applyAlignment="1" applyProtection="1">
      <alignment horizontal="center" vertical="center" wrapText="1"/>
      <protection locked="0" hidden="1"/>
    </xf>
    <xf numFmtId="0" fontId="4" fillId="0" borderId="0" xfId="0" applyFont="1" applyAlignment="1" applyProtection="1">
      <alignment horizontal="center" vertical="center"/>
      <protection locked="0" hidden="1"/>
    </xf>
    <xf numFmtId="0" fontId="4" fillId="0" borderId="0" xfId="0" applyFont="1" applyAlignment="1" applyProtection="1">
      <alignment horizontal="center" vertical="center" wrapText="1"/>
      <protection locked="0" hidden="1"/>
    </xf>
    <xf numFmtId="0" fontId="9" fillId="0" borderId="0" xfId="0" applyFont="1" applyAlignment="1" applyProtection="1">
      <alignment horizontal="left" vertical="center"/>
      <protection locked="0" hidden="1"/>
    </xf>
    <xf numFmtId="0" fontId="2" fillId="0" borderId="26" xfId="0" applyFont="1" applyBorder="1" applyAlignment="1" applyProtection="1">
      <alignment horizontal="right" vertical="center"/>
      <protection locked="0" hidden="1"/>
    </xf>
    <xf numFmtId="0" fontId="6" fillId="32" borderId="20" xfId="0" applyFont="1" applyFill="1" applyBorder="1" applyAlignment="1" applyProtection="1">
      <alignment horizontal="center" vertical="center" wrapText="1"/>
      <protection locked="0" hidden="1"/>
    </xf>
    <xf numFmtId="0" fontId="6" fillId="32" borderId="37" xfId="0" applyFont="1" applyFill="1" applyBorder="1" applyAlignment="1" applyProtection="1">
      <alignment horizontal="center" vertical="center" wrapText="1"/>
      <protection locked="0" hidden="1"/>
    </xf>
    <xf numFmtId="0" fontId="6" fillId="32" borderId="21" xfId="0" applyFont="1" applyFill="1" applyBorder="1" applyAlignment="1" applyProtection="1">
      <alignment horizontal="center" vertical="center" wrapText="1"/>
      <protection locked="0" hidden="1"/>
    </xf>
    <xf numFmtId="0" fontId="12" fillId="0" borderId="0" xfId="0" applyFont="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9" fontId="6" fillId="32" borderId="17" xfId="0" applyNumberFormat="1" applyFont="1" applyFill="1" applyBorder="1" applyAlignment="1" applyProtection="1">
      <alignment horizontal="center" vertical="center" wrapText="1"/>
      <protection locked="0" hidden="1"/>
    </xf>
    <xf numFmtId="0" fontId="6" fillId="32" borderId="2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0" fontId="6" fillId="32" borderId="21" xfId="0" applyFont="1" applyFill="1" applyBorder="1" applyAlignment="1" applyProtection="1">
      <alignment horizontal="center" wrapText="1"/>
      <protection locked="0" hidden="1"/>
    </xf>
    <xf numFmtId="9" fontId="12" fillId="0" borderId="0" xfId="0" applyNumberFormat="1" applyFont="1" applyAlignment="1" applyProtection="1">
      <alignment horizontal="center" vertical="center"/>
      <protection locked="0" hidden="1"/>
    </xf>
    <xf numFmtId="0" fontId="69" fillId="0" borderId="0" xfId="0" applyFont="1" applyAlignment="1" applyProtection="1">
      <alignment horizontal="center" vertical="center"/>
      <protection locked="0" hidden="1"/>
    </xf>
    <xf numFmtId="0" fontId="5" fillId="32" borderId="22" xfId="0" applyFont="1" applyFill="1" applyBorder="1" applyAlignment="1" applyProtection="1">
      <alignment horizontal="center" vertical="center" wrapText="1"/>
      <protection locked="0" hidden="1"/>
    </xf>
    <xf numFmtId="0" fontId="5" fillId="32" borderId="23" xfId="0" applyFont="1" applyFill="1" applyBorder="1" applyAlignment="1" applyProtection="1">
      <alignment horizontal="center" vertical="center" wrapText="1"/>
      <protection locked="0" hidden="1"/>
    </xf>
    <xf numFmtId="0" fontId="2" fillId="0" borderId="0" xfId="0" applyFont="1" applyAlignment="1" applyProtection="1">
      <alignment horizontal="center"/>
      <protection locked="0"/>
    </xf>
    <xf numFmtId="0" fontId="5" fillId="0" borderId="0" xfId="0" applyFont="1" applyAlignment="1" applyProtection="1">
      <alignment horizontal="center"/>
      <protection locked="0"/>
    </xf>
    <xf numFmtId="0" fontId="5" fillId="0" borderId="0" xfId="0" applyFont="1" applyAlignment="1" applyProtection="1">
      <alignment horizontal="center" vertical="center"/>
      <protection locked="0" hidden="1"/>
    </xf>
    <xf numFmtId="0" fontId="4" fillId="0" borderId="0" xfId="0" applyFont="1" applyAlignment="1" applyProtection="1">
      <alignment horizontal="left" vertical="center"/>
      <protection locked="0" hidden="1"/>
    </xf>
    <xf numFmtId="0" fontId="6" fillId="0" borderId="10" xfId="0" applyFont="1" applyBorder="1" applyAlignment="1">
      <alignment horizontal="center" vertical="center" wrapText="1"/>
    </xf>
    <xf numFmtId="0" fontId="4" fillId="0" borderId="10" xfId="0" applyFont="1" applyBorder="1" applyAlignment="1">
      <alignment horizontal="center"/>
    </xf>
    <xf numFmtId="0" fontId="9" fillId="0" borderId="0" xfId="0" applyFont="1" applyAlignment="1">
      <alignment horizontal="center" vertical="center" wrapText="1"/>
    </xf>
    <xf numFmtId="175" fontId="2" fillId="24" borderId="36" xfId="28" applyNumberFormat="1" applyFont="1" applyFill="1" applyBorder="1" applyAlignment="1">
      <alignment horizontal="center" vertical="center" wrapText="1"/>
    </xf>
    <xf numFmtId="175" fontId="2" fillId="24" borderId="0" xfId="28" applyNumberFormat="1" applyFont="1" applyFill="1" applyAlignment="1">
      <alignment horizontal="center" vertical="center" wrapText="1"/>
    </xf>
    <xf numFmtId="175" fontId="2" fillId="0" borderId="36" xfId="28" applyNumberFormat="1" applyFont="1" applyFill="1" applyBorder="1" applyAlignment="1">
      <alignment horizontal="center" vertical="center" wrapText="1"/>
    </xf>
    <xf numFmtId="175" fontId="2" fillId="0" borderId="0" xfId="28" applyNumberFormat="1" applyFont="1" applyFill="1" applyAlignment="1">
      <alignment horizontal="center" vertical="center" wrapText="1"/>
    </xf>
    <xf numFmtId="0" fontId="4" fillId="0" borderId="0" xfId="0" applyFont="1" applyAlignment="1">
      <alignment horizontal="center" wrapText="1"/>
    </xf>
    <xf numFmtId="165" fontId="9" fillId="0" borderId="0" xfId="0" applyNumberFormat="1" applyFont="1" applyAlignment="1">
      <alignment horizontal="center"/>
    </xf>
    <xf numFmtId="0" fontId="9" fillId="0" borderId="0" xfId="0" applyFont="1" applyAlignment="1">
      <alignment horizontal="left"/>
    </xf>
    <xf numFmtId="0" fontId="14" fillId="0" borderId="0" xfId="0" applyFont="1" applyAlignment="1">
      <alignment horizontal="center"/>
    </xf>
    <xf numFmtId="0" fontId="16" fillId="0" borderId="0" xfId="0" applyFont="1" applyAlignment="1">
      <alignment horizontal="center"/>
    </xf>
    <xf numFmtId="0" fontId="7" fillId="0" borderId="10"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2" fillId="0" borderId="36" xfId="0" applyFont="1" applyBorder="1" applyAlignment="1">
      <alignment horizontal="center" vertical="center" wrapText="1"/>
    </xf>
    <xf numFmtId="0" fontId="2" fillId="0" borderId="0" xfId="0" applyFont="1" applyAlignment="1">
      <alignment horizontal="center" vertical="center" wrapText="1"/>
    </xf>
    <xf numFmtId="0" fontId="4" fillId="0" borderId="26" xfId="0" applyFont="1" applyBorder="1" applyAlignment="1">
      <alignment horizontal="center"/>
    </xf>
    <xf numFmtId="0" fontId="4" fillId="0" borderId="23" xfId="0" applyFont="1" applyBorder="1" applyAlignment="1">
      <alignment horizontal="center"/>
    </xf>
    <xf numFmtId="0" fontId="13" fillId="0" borderId="23" xfId="0" applyFont="1" applyBorder="1" applyAlignment="1">
      <alignment horizontal="center"/>
    </xf>
    <xf numFmtId="0" fontId="13" fillId="0" borderId="17" xfId="0" applyFont="1" applyBorder="1" applyAlignment="1">
      <alignment horizontal="center"/>
    </xf>
    <xf numFmtId="0" fontId="5" fillId="0" borderId="10" xfId="0" applyFont="1" applyBorder="1" applyAlignment="1">
      <alignment horizontal="center"/>
    </xf>
    <xf numFmtId="0" fontId="7" fillId="0" borderId="14" xfId="0" quotePrefix="1" applyFont="1" applyBorder="1" applyAlignment="1">
      <alignment horizontal="center" vertical="center" wrapText="1"/>
    </xf>
    <xf numFmtId="0" fontId="4" fillId="0" borderId="0" xfId="0" applyFont="1" applyAlignment="1">
      <alignment horizontal="center" vertical="center"/>
    </xf>
    <xf numFmtId="0" fontId="6" fillId="0" borderId="35"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6" fillId="32" borderId="14" xfId="0" applyFont="1" applyFill="1" applyBorder="1" applyAlignment="1">
      <alignment horizontal="center" vertical="center" wrapText="1"/>
    </xf>
    <xf numFmtId="0" fontId="6" fillId="32" borderId="17" xfId="0" applyFont="1" applyFill="1" applyBorder="1" applyAlignment="1">
      <alignment horizontal="center" vertical="center" wrapText="1"/>
    </xf>
    <xf numFmtId="0" fontId="6" fillId="32" borderId="20" xfId="0" applyFont="1" applyFill="1" applyBorder="1" applyAlignment="1">
      <alignment horizontal="center" vertical="center" wrapText="1"/>
    </xf>
    <xf numFmtId="0" fontId="6" fillId="32" borderId="37" xfId="0" applyFont="1" applyFill="1" applyBorder="1" applyAlignment="1">
      <alignment horizontal="center" vertical="center" wrapText="1"/>
    </xf>
    <xf numFmtId="0" fontId="6" fillId="32" borderId="21" xfId="0" applyFont="1" applyFill="1" applyBorder="1" applyAlignment="1">
      <alignment horizontal="center" vertical="center" wrapText="1"/>
    </xf>
    <xf numFmtId="0" fontId="12" fillId="0" borderId="0" xfId="0" applyFont="1" applyAlignment="1">
      <alignment horizontal="right"/>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69" fillId="0" borderId="0" xfId="0" applyFont="1" applyAlignment="1">
      <alignment horizontal="right" vertical="center"/>
    </xf>
    <xf numFmtId="0" fontId="9" fillId="0" borderId="0" xfId="0" applyFont="1" applyAlignment="1">
      <alignment horizontal="center" vertical="center"/>
    </xf>
    <xf numFmtId="168" fontId="9" fillId="0" borderId="0" xfId="0" applyNumberFormat="1" applyFont="1" applyAlignment="1">
      <alignment horizontal="center" vertical="center"/>
    </xf>
    <xf numFmtId="0" fontId="3" fillId="0" borderId="0" xfId="0" applyFont="1" applyAlignment="1">
      <alignment horizontal="center"/>
    </xf>
    <xf numFmtId="0" fontId="60" fillId="0" borderId="0" xfId="0" applyFont="1" applyAlignment="1">
      <alignment horizontal="center"/>
    </xf>
    <xf numFmtId="0" fontId="5" fillId="0" borderId="10" xfId="0" applyFont="1" applyBorder="1" applyAlignment="1">
      <alignment horizontal="center" vertical="center" wrapText="1"/>
    </xf>
    <xf numFmtId="0" fontId="2" fillId="0" borderId="10" xfId="0" applyFont="1" applyBorder="1" applyAlignment="1">
      <alignment horizontal="center" vertical="center" wrapText="1"/>
    </xf>
    <xf numFmtId="0" fontId="62" fillId="0" borderId="0" xfId="0" applyFont="1" applyAlignment="1">
      <alignment horizontal="left" vertical="center" wrapText="1"/>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0" xfId="29" xr:uid="{00000000-0005-0000-0000-00001C000000}"/>
    <cellStyle name="Currency0" xfId="30" xr:uid="{00000000-0005-0000-0000-00001D000000}"/>
    <cellStyle name="Date" xfId="31" xr:uid="{00000000-0005-0000-0000-00001E000000}"/>
    <cellStyle name="Euro" xfId="32" xr:uid="{00000000-0005-0000-0000-00001F000000}"/>
    <cellStyle name="Explanatory Text" xfId="33" builtinId="53" customBuiltin="1"/>
    <cellStyle name="Fixed" xfId="34" xr:uid="{00000000-0005-0000-0000-000021000000}"/>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_Ke can Cap pho -PTTH" xfId="43" xr:uid="{00000000-0005-0000-0000-00002B000000}"/>
    <cellStyle name="Note" xfId="44" builtinId="10" customBuiltin="1"/>
    <cellStyle name="Output" xfId="45" builtinId="21" customBuiltin="1"/>
    <cellStyle name="Percent" xfId="60" builtinId="5"/>
    <cellStyle name="Title" xfId="46" builtinId="15" customBuiltin="1"/>
    <cellStyle name="Total" xfId="47" builtinId="25" customBuiltin="1"/>
    <cellStyle name="Warning Text" xfId="48" builtinId="11" customBuiltin="1"/>
    <cellStyle name="똿뗦먛귟 [0.00]_PRODUCT DETAIL Q1" xfId="49" xr:uid="{00000000-0005-0000-0000-000032000000}"/>
    <cellStyle name="똿뗦먛귟_PRODUCT DETAIL Q1" xfId="50" xr:uid="{00000000-0005-0000-0000-000033000000}"/>
    <cellStyle name="믅됞 [0.00]_PRODUCT DETAIL Q1" xfId="51" xr:uid="{00000000-0005-0000-0000-000034000000}"/>
    <cellStyle name="믅됞_PRODUCT DETAIL Q1" xfId="52" xr:uid="{00000000-0005-0000-0000-000035000000}"/>
    <cellStyle name="백분율_HOBONG" xfId="53" xr:uid="{00000000-0005-0000-0000-000036000000}"/>
    <cellStyle name="뷭?_BOOKSHIP" xfId="54" xr:uid="{00000000-0005-0000-0000-000037000000}"/>
    <cellStyle name="콤마 [0]_1202" xfId="55" xr:uid="{00000000-0005-0000-0000-000038000000}"/>
    <cellStyle name="콤마_1202" xfId="56" xr:uid="{00000000-0005-0000-0000-000039000000}"/>
    <cellStyle name="통화 [0]_1202" xfId="57" xr:uid="{00000000-0005-0000-0000-00003A000000}"/>
    <cellStyle name="통화_1202" xfId="58" xr:uid="{00000000-0005-0000-0000-00003B000000}"/>
    <cellStyle name="표준_(정보부문)월별인원계획" xfId="59" xr:uid="{00000000-0005-0000-0000-00003C000000}"/>
  </cellStyles>
  <dxfs count="2533">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rgb="FF00FF99"/>
        </patternFill>
      </fill>
    </dxf>
    <dxf>
      <fill>
        <patternFill>
          <bgColor theme="8" tint="0.59996337778862885"/>
        </patternFill>
      </fill>
    </dxf>
    <dxf>
      <fill>
        <patternFill>
          <bgColor theme="0" tint="-0.14996795556505021"/>
        </patternFill>
      </fill>
    </dxf>
    <dxf>
      <fill>
        <patternFill>
          <bgColor rgb="FFFFFF66"/>
        </patternFill>
      </fill>
    </dxf>
    <dxf>
      <fill>
        <patternFill>
          <bgColor rgb="FF3399FF"/>
        </patternFill>
      </fill>
    </dxf>
    <dxf>
      <fill>
        <patternFill>
          <bgColor theme="0" tint="-0.14996795556505021"/>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rgb="FFFFFFCC"/>
        </patternFill>
      </fill>
    </dxf>
    <dxf>
      <fill>
        <patternFill>
          <bgColor theme="9" tint="0.59996337778862885"/>
        </patternFill>
      </fill>
    </dxf>
    <dxf>
      <fill>
        <patternFill>
          <bgColor theme="6" tint="0.59996337778862885"/>
        </patternFill>
      </fill>
    </dxf>
    <dxf>
      <fill>
        <patternFill>
          <bgColor rgb="FFFFFFCC"/>
        </patternFill>
      </fill>
    </dxf>
    <dxf>
      <fill>
        <patternFill>
          <bgColor theme="9"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rgb="FFFFFFCC"/>
        </patternFill>
      </fill>
    </dxf>
    <dxf>
      <fill>
        <patternFill>
          <bgColor theme="9" tint="0.59996337778862885"/>
        </patternFill>
      </fill>
    </dxf>
    <dxf>
      <fill>
        <patternFill>
          <bgColor theme="6" tint="0.59996337778862885"/>
        </patternFill>
      </fill>
    </dxf>
    <dxf>
      <fill>
        <patternFill>
          <bgColor rgb="FFFFFFCC"/>
        </patternFill>
      </fill>
    </dxf>
    <dxf>
      <fill>
        <patternFill>
          <bgColor theme="9" tint="0.59996337778862885"/>
        </patternFill>
      </fill>
    </dxf>
    <dxf>
      <fill>
        <patternFill>
          <bgColor rgb="FFFFFFCC"/>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rgb="FFFFFFCC"/>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rgb="FFFFFFCC"/>
        </patternFill>
      </fill>
    </dxf>
    <dxf>
      <fill>
        <patternFill>
          <bgColor theme="0" tint="-0.14996795556505021"/>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rgb="FFFFFFCC"/>
        </patternFill>
      </fill>
    </dxf>
    <dxf>
      <fill>
        <patternFill>
          <bgColor theme="0" tint="-0.14996795556505021"/>
        </patternFill>
      </fill>
    </dxf>
    <dxf>
      <fill>
        <patternFill>
          <bgColor rgb="FFFFFFCC"/>
        </patternFill>
      </fill>
    </dxf>
    <dxf>
      <fill>
        <patternFill>
          <bgColor rgb="FFFFFFCC"/>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rgb="FFFFFFCC"/>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0" tint="-0.14996795556505021"/>
        </patternFill>
      </fill>
    </dxf>
    <dxf>
      <fill>
        <patternFill>
          <bgColor rgb="FFFFFF66"/>
        </patternFill>
      </fill>
    </dxf>
    <dxf>
      <fill>
        <patternFill>
          <bgColor rgb="FF3399FF"/>
        </patternFill>
      </fill>
    </dxf>
    <dxf>
      <fill>
        <patternFill>
          <bgColor rgb="FF00FF99"/>
        </patternFill>
      </fill>
    </dxf>
    <dxf>
      <fill>
        <patternFill>
          <bgColor theme="8" tint="0.59996337778862885"/>
        </patternFill>
      </fill>
    </dxf>
    <dxf>
      <fill>
        <patternFill>
          <bgColor theme="9" tint="0.59996337778862885"/>
        </patternFill>
      </fill>
    </dxf>
    <dxf>
      <fill>
        <patternFill>
          <bgColor theme="7" tint="0.59996337778862885"/>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rgb="FFFFFFCC"/>
        </patternFill>
      </fill>
    </dxf>
    <dxf>
      <fill>
        <patternFill>
          <bgColor theme="9" tint="0.79998168889431442"/>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rgb="FFFFFFCC"/>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99"/>
        </patternFill>
      </fill>
    </dxf>
    <dxf>
      <fill>
        <patternFill>
          <bgColor theme="0" tint="-0.14996795556505021"/>
        </patternFill>
      </fill>
    </dxf>
    <dxf>
      <fill>
        <patternFill>
          <bgColor theme="1" tint="0.499984740745262"/>
        </patternFill>
      </fill>
    </dxf>
    <dxf>
      <fill>
        <patternFill>
          <bgColor theme="5" tint="0.59996337778862885"/>
        </patternFill>
      </fill>
    </dxf>
    <dxf>
      <fill>
        <patternFill>
          <bgColor theme="3" tint="0.59996337778862885"/>
        </patternFill>
      </fill>
    </dxf>
    <dxf>
      <fill>
        <patternFill>
          <bgColor theme="3" tint="0.59996337778862885"/>
        </patternFill>
      </fill>
    </dxf>
    <dxf>
      <fill>
        <patternFill>
          <bgColor theme="7" tint="0.59996337778862885"/>
        </patternFill>
      </fill>
    </dxf>
    <dxf>
      <fill>
        <patternFill>
          <bgColor theme="6" tint="0.59996337778862885"/>
        </patternFill>
      </fill>
    </dxf>
    <dxf>
      <fill>
        <patternFill>
          <bgColor rgb="FFCCFFCC"/>
        </patternFill>
      </fill>
    </dxf>
    <dxf>
      <fill>
        <patternFill>
          <bgColor rgb="FFCC66FF"/>
        </patternFill>
      </fill>
    </dxf>
    <dxf>
      <fill>
        <patternFill>
          <bgColor rgb="FF00FF99"/>
        </patternFill>
      </fill>
    </dxf>
    <dxf>
      <fill>
        <patternFill>
          <bgColor theme="8" tint="0.59996337778862885"/>
        </patternFill>
      </fill>
    </dxf>
    <dxf>
      <fill>
        <patternFill>
          <bgColor rgb="FFCC99FF"/>
        </patternFill>
      </fill>
    </dxf>
    <dxf>
      <fill>
        <patternFill>
          <bgColor theme="9" tint="0.59996337778862885"/>
        </patternFill>
      </fill>
    </dxf>
    <dxf>
      <fill>
        <patternFill>
          <bgColor theme="4" tint="0.39994506668294322"/>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theme="9" tint="0.59996337778862885"/>
        </patternFill>
      </fill>
    </dxf>
    <dxf>
      <fill>
        <patternFill>
          <bgColor rgb="FFFFFF00"/>
        </patternFill>
      </fill>
    </dxf>
    <dxf>
      <fill>
        <patternFill>
          <bgColor rgb="FFFFFF00"/>
        </patternFill>
      </fill>
    </dxf>
    <dxf>
      <fill>
        <patternFill>
          <bgColor rgb="FF00B050"/>
        </patternFill>
      </fill>
    </dxf>
    <dxf>
      <font>
        <color rgb="FF9C0006"/>
      </font>
    </dxf>
    <dxf>
      <fill>
        <patternFill>
          <bgColor rgb="FFFFFF00"/>
        </patternFill>
      </fill>
    </dxf>
    <dxf>
      <fill>
        <patternFill>
          <bgColor theme="8" tint="0.59996337778862885"/>
        </patternFill>
      </fill>
    </dxf>
    <dxf>
      <fill>
        <patternFill>
          <bgColor theme="9" tint="0.59996337778862885"/>
        </patternFill>
      </fill>
    </dxf>
    <dxf>
      <fill>
        <patternFill>
          <bgColor rgb="FF00B050"/>
        </patternFill>
      </fill>
    </dxf>
    <dxf>
      <fill>
        <patternFill>
          <bgColor rgb="FFFFFF00"/>
        </patternFill>
      </fill>
    </dxf>
    <dxf>
      <fill>
        <patternFill>
          <bgColor rgb="FFFFFF00"/>
        </patternFill>
      </fill>
    </dxf>
    <dxf>
      <fill>
        <patternFill>
          <bgColor theme="0" tint="-0.14996795556505021"/>
        </patternFill>
      </fill>
    </dxf>
    <dxf>
      <fill>
        <patternFill>
          <bgColor theme="2" tint="-0.24994659260841701"/>
        </patternFill>
      </fill>
    </dxf>
    <dxf>
      <fill>
        <patternFill>
          <bgColor theme="5" tint="0.59996337778862885"/>
        </patternFill>
      </fill>
    </dxf>
    <dxf>
      <fill>
        <patternFill>
          <bgColor theme="4" tint="0.59996337778862885"/>
        </patternFill>
      </fill>
    </dxf>
    <dxf>
      <fill>
        <patternFill>
          <bgColor theme="6" tint="0.59996337778862885"/>
        </patternFill>
      </fill>
    </dxf>
    <dxf>
      <fill>
        <patternFill>
          <bgColor theme="7" tint="0.59996337778862885"/>
        </patternFill>
      </fill>
    </dxf>
    <dxf>
      <fill>
        <patternFill>
          <bgColor theme="5" tint="0.59996337778862885"/>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4"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ont>
        <color rgb="FF9C0006"/>
      </font>
    </dxf>
    <dxf>
      <fill>
        <patternFill>
          <bgColor theme="2" tint="-0.24994659260841701"/>
        </patternFill>
      </fill>
    </dxf>
    <dxf>
      <fill>
        <patternFill>
          <bgColor theme="0" tint="-0.14996795556505021"/>
        </patternFill>
      </fill>
    </dxf>
    <dxf>
      <fill>
        <patternFill>
          <bgColor theme="7" tint="0.59996337778862885"/>
        </patternFill>
      </fill>
    </dxf>
    <dxf>
      <fill>
        <patternFill>
          <bgColor theme="6"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00B050"/>
        </patternFill>
      </fill>
    </dxf>
    <dxf>
      <fill>
        <patternFill>
          <bgColor theme="9" tint="0.59996337778862885"/>
        </patternFill>
      </fill>
    </dxf>
    <dxf>
      <fill>
        <patternFill>
          <bgColor theme="8" tint="0.59996337778862885"/>
        </patternFill>
      </fill>
    </dxf>
    <dxf>
      <font>
        <color rgb="FF9C0006"/>
      </font>
    </dxf>
    <dxf>
      <fill>
        <patternFill>
          <bgColor rgb="FFFFFF00"/>
        </patternFill>
      </fill>
    </dxf>
    <dxf>
      <fill>
        <patternFill>
          <bgColor rgb="FFFFFF00"/>
        </patternFill>
      </fill>
    </dxf>
    <dxf>
      <fill>
        <patternFill>
          <bgColor theme="5"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8" tint="0.59996337778862885"/>
        </patternFill>
      </fill>
    </dxf>
    <dxf>
      <fill>
        <patternFill>
          <bgColor theme="9" tint="0.59996337778862885"/>
        </patternFill>
      </fill>
    </dxf>
    <dxf>
      <fill>
        <patternFill>
          <bgColor rgb="FF00B050"/>
        </patternFill>
      </fill>
    </dxf>
    <dxf>
      <fill>
        <patternFill>
          <bgColor rgb="FFFFFF00"/>
        </patternFill>
      </fill>
    </dxf>
    <dxf>
      <fill>
        <patternFill>
          <bgColor theme="0" tint="-0.14996795556505021"/>
        </patternFill>
      </fill>
    </dxf>
    <dxf>
      <fill>
        <patternFill>
          <bgColor theme="2" tint="-0.24994659260841701"/>
        </patternFill>
      </fill>
    </dxf>
    <dxf>
      <fill>
        <patternFill>
          <bgColor theme="4" tint="0.59996337778862885"/>
        </patternFill>
      </fill>
    </dxf>
    <dxf>
      <fill>
        <patternFill>
          <bgColor rgb="FFFFFF00"/>
        </patternFill>
      </fill>
    </dxf>
    <dxf>
      <font>
        <color rgb="FF9C0006"/>
      </font>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ont>
        <color rgb="FF9C0006"/>
      </font>
    </dxf>
    <dxf>
      <fill>
        <patternFill>
          <bgColor rgb="FFFFFF00"/>
        </patternFill>
      </fill>
    </dxf>
    <dxf>
      <fill>
        <patternFill>
          <bgColor theme="8" tint="0.59996337778862885"/>
        </patternFill>
      </fill>
    </dxf>
    <dxf>
      <fill>
        <patternFill>
          <bgColor theme="9" tint="0.59996337778862885"/>
        </patternFill>
      </fill>
    </dxf>
    <dxf>
      <fill>
        <patternFill>
          <bgColor rgb="FF00B050"/>
        </patternFill>
      </fill>
    </dxf>
    <dxf>
      <fill>
        <patternFill>
          <bgColor theme="9" tint="0.59996337778862885"/>
        </patternFill>
      </fill>
    </dxf>
    <dxf>
      <fill>
        <patternFill>
          <bgColor theme="4" tint="0.39994506668294322"/>
        </patternFill>
      </fill>
    </dxf>
    <dxf>
      <fill>
        <patternFill>
          <bgColor rgb="FFFFFF00"/>
        </patternFill>
      </fill>
    </dxf>
    <dxf>
      <fill>
        <patternFill>
          <bgColor theme="0" tint="-0.14996795556505021"/>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4" tint="0.59996337778862885"/>
        </patternFill>
      </fill>
    </dxf>
    <dxf>
      <fill>
        <patternFill>
          <bgColor theme="2" tint="-0.24994659260841701"/>
        </patternFill>
      </fill>
    </dxf>
    <dxf>
      <fill>
        <patternFill>
          <bgColor rgb="FFFFFF00"/>
        </patternFill>
      </fill>
    </dxf>
    <dxf>
      <font>
        <color rgb="FF9C0006"/>
      </font>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rgb="FFFFFFCC"/>
        </patternFill>
      </fill>
    </dxf>
    <dxf>
      <fill>
        <patternFill>
          <bgColor rgb="FFFFFFCC"/>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rgb="FFFFFFCC"/>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6" tint="0.59996337778862885"/>
        </patternFill>
      </fill>
    </dxf>
    <dxf>
      <fill>
        <patternFill>
          <bgColor theme="9"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rgb="FFFFFFCC"/>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00"/>
        </patternFill>
      </fill>
    </dxf>
    <dxf>
      <fill>
        <patternFill>
          <bgColor rgb="FF00B050"/>
        </patternFill>
      </fill>
    </dxf>
    <dxf>
      <fill>
        <patternFill>
          <bgColor rgb="FFFFFF00"/>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0" tint="-0.14996795556505021"/>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9"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theme="8" tint="0.59996337778862885"/>
        </patternFill>
      </fill>
    </dxf>
    <dxf>
      <fill>
        <patternFill>
          <bgColor theme="0" tint="-0.14996795556505021"/>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rgb="FF00B050"/>
        </patternFill>
      </fill>
    </dxf>
    <dxf>
      <fill>
        <patternFill>
          <bgColor rgb="FFFFFF00"/>
        </patternFill>
      </fill>
    </dxf>
    <dxf>
      <fill>
        <patternFill>
          <bgColor rgb="FFFFFF00"/>
        </patternFill>
      </fill>
    </dxf>
    <dxf>
      <fill>
        <patternFill>
          <bgColor theme="7" tint="0.59996337778862885"/>
        </patternFill>
      </fill>
    </dxf>
    <dxf>
      <font>
        <color rgb="FF9C0006"/>
      </font>
    </dxf>
    <dxf>
      <fill>
        <patternFill>
          <bgColor rgb="FFFFFF00"/>
        </patternFill>
      </fill>
    </dxf>
    <dxf>
      <fill>
        <patternFill>
          <bgColor rgb="FF00B050"/>
        </patternFill>
      </fill>
    </dxf>
    <dxf>
      <fill>
        <patternFill>
          <bgColor theme="9" tint="0.59996337778862885"/>
        </patternFill>
      </fill>
    </dxf>
    <dxf>
      <fill>
        <patternFill>
          <bgColor rgb="FFFFFF00"/>
        </patternFill>
      </fill>
    </dxf>
    <dxf>
      <fill>
        <patternFill>
          <bgColor theme="2" tint="-0.24994659260841701"/>
        </patternFill>
      </fill>
    </dxf>
    <dxf>
      <fill>
        <patternFill>
          <bgColor theme="8" tint="0.59996337778862885"/>
        </patternFill>
      </fill>
    </dxf>
    <dxf>
      <fill>
        <patternFill>
          <bgColor theme="4" tint="0.59996337778862885"/>
        </patternFill>
      </fill>
    </dxf>
    <dxf>
      <fill>
        <patternFill>
          <bgColor theme="5" tint="0.59996337778862885"/>
        </patternFill>
      </fill>
    </dxf>
    <dxf>
      <fill>
        <patternFill>
          <bgColor theme="6" tint="0.59996337778862885"/>
        </patternFill>
      </fill>
    </dxf>
    <dxf>
      <fill>
        <patternFill>
          <bgColor theme="0" tint="-0.14996795556505021"/>
        </patternFill>
      </fill>
    </dxf>
    <dxf>
      <fill>
        <patternFill>
          <bgColor theme="2" tint="-0.24994659260841701"/>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0" tint="-0.14996795556505021"/>
        </patternFill>
      </fill>
    </dxf>
    <dxf>
      <fill>
        <patternFill>
          <bgColor theme="6" tint="0.59996337778862885"/>
        </patternFill>
      </fill>
    </dxf>
    <dxf>
      <fill>
        <patternFill>
          <bgColor theme="4" tint="0.59996337778862885"/>
        </patternFill>
      </fill>
    </dxf>
    <dxf>
      <fill>
        <patternFill>
          <bgColor theme="5" tint="0.59996337778862885"/>
        </patternFill>
      </fill>
    </dxf>
    <dxf>
      <font>
        <color rgb="FF9C0006"/>
      </font>
    </dxf>
    <dxf>
      <fill>
        <patternFill>
          <bgColor theme="5" tint="0.59996337778862885"/>
        </patternFill>
      </fill>
    </dxf>
    <dxf>
      <fill>
        <patternFill>
          <bgColor theme="7" tint="0.59996337778862885"/>
        </patternFill>
      </fill>
    </dxf>
    <dxf>
      <fill>
        <patternFill>
          <bgColor theme="0" tint="-0.14996795556505021"/>
        </patternFill>
      </fill>
    </dxf>
    <dxf>
      <fill>
        <patternFill>
          <bgColor theme="2" tint="-0.24994659260841701"/>
        </patternFill>
      </fill>
    </dxf>
    <dxf>
      <fill>
        <patternFill>
          <bgColor rgb="FFFFFF00"/>
        </patternFill>
      </fill>
    </dxf>
    <dxf>
      <fill>
        <patternFill>
          <bgColor rgb="FFFFFF00"/>
        </patternFill>
      </fill>
    </dxf>
    <dxf>
      <fill>
        <patternFill>
          <bgColor rgb="FF00B050"/>
        </patternFill>
      </fill>
    </dxf>
    <dxf>
      <fill>
        <patternFill>
          <bgColor theme="8" tint="0.59996337778862885"/>
        </patternFill>
      </fill>
    </dxf>
    <dxf>
      <fill>
        <patternFill>
          <bgColor theme="9" tint="0.59996337778862885"/>
        </patternFill>
      </fill>
    </dxf>
    <dxf>
      <fill>
        <patternFill>
          <bgColor theme="6" tint="0.59996337778862885"/>
        </patternFill>
      </fill>
    </dxf>
    <dxf>
      <font>
        <color rgb="FF9C0006"/>
      </font>
    </dxf>
    <dxf>
      <fill>
        <patternFill>
          <bgColor theme="4"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0" tint="-0.14996795556505021"/>
        </patternFill>
      </fill>
    </dxf>
    <dxf>
      <fill>
        <patternFill>
          <bgColor theme="4" tint="0.59996337778862885"/>
        </patternFill>
      </fill>
    </dxf>
    <dxf>
      <fill>
        <patternFill>
          <bgColor theme="2" tint="-0.24994659260841701"/>
        </patternFill>
      </fill>
    </dxf>
    <dxf>
      <fill>
        <patternFill>
          <bgColor theme="5"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2" tint="-0.24994659260841701"/>
        </patternFill>
      </fill>
    </dxf>
    <dxf>
      <fill>
        <patternFill>
          <bgColor theme="0" tint="-0.14996795556505021"/>
        </patternFill>
      </fill>
    </dxf>
    <dxf>
      <fill>
        <patternFill>
          <bgColor theme="4" tint="0.59996337778862885"/>
        </patternFill>
      </fill>
    </dxf>
    <dxf>
      <fill>
        <patternFill>
          <bgColor rgb="FFFFFF00"/>
        </patternFill>
      </fill>
    </dxf>
    <dxf>
      <fill>
        <patternFill>
          <bgColor rgb="FFFFFF00"/>
        </patternFill>
      </fill>
    </dxf>
    <dxf>
      <fill>
        <patternFill>
          <bgColor rgb="FF00B050"/>
        </patternFill>
      </fill>
    </dxf>
    <dxf>
      <fill>
        <patternFill>
          <bgColor theme="0" tint="-0.14996795556505021"/>
        </patternFill>
      </fill>
    </dxf>
    <dxf>
      <fill>
        <patternFill>
          <bgColor theme="2" tint="-0.2499465926084170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4" tint="0.59996337778862885"/>
        </patternFill>
      </fill>
    </dxf>
    <dxf>
      <fill>
        <patternFill>
          <bgColor theme="5" tint="0.59996337778862885"/>
        </patternFill>
      </fill>
    </dxf>
    <dxf>
      <fill>
        <patternFill>
          <bgColor theme="6" tint="0.59996337778862885"/>
        </patternFill>
      </fill>
    </dxf>
    <dxf>
      <fill>
        <patternFill>
          <bgColor rgb="FFFFFF00"/>
        </patternFill>
      </fill>
    </dxf>
    <dxf>
      <font>
        <color rgb="FF9C0006"/>
      </font>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0" tint="-0.14996795556505021"/>
        </patternFill>
      </fill>
    </dxf>
    <dxf>
      <fill>
        <patternFill>
          <bgColor theme="2" tint="-0.24994659260841701"/>
        </patternFill>
      </fill>
    </dxf>
    <dxf>
      <fill>
        <patternFill>
          <bgColor rgb="FFFFFF00"/>
        </patternFill>
      </fill>
    </dxf>
    <dxf>
      <fill>
        <patternFill>
          <bgColor rgb="FF00B050"/>
        </patternFill>
      </fill>
    </dxf>
    <dxf>
      <font>
        <color rgb="FF9C0006"/>
      </font>
    </dxf>
    <dxf>
      <fill>
        <patternFill>
          <bgColor rgb="FFFFFF00"/>
        </patternFill>
      </fill>
    </dxf>
    <dxf>
      <fill>
        <patternFill>
          <bgColor theme="0" tint="-0.14996795556505021"/>
        </patternFill>
      </fill>
    </dxf>
    <dxf>
      <fill>
        <patternFill>
          <bgColor theme="9"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4" tint="0.39994506668294322"/>
        </patternFill>
      </fill>
    </dxf>
    <dxf>
      <fill>
        <patternFill>
          <bgColor rgb="FFFFFFCC"/>
        </patternFill>
      </fill>
    </dxf>
    <dxf>
      <fill>
        <patternFill>
          <bgColor rgb="FFFFFFCC"/>
        </patternFill>
      </fill>
    </dxf>
    <dxf>
      <fill>
        <patternFill>
          <bgColor rgb="FFFFFFCC"/>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rgb="FFFFFFCC"/>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9" tint="0.59996337778862885"/>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rgb="FFFFFF99"/>
        </patternFill>
      </fill>
    </dxf>
    <dxf>
      <fill>
        <patternFill>
          <bgColor rgb="FF00FF99"/>
        </patternFill>
      </fill>
    </dxf>
    <dxf>
      <fill>
        <patternFill>
          <bgColor rgb="FFCC66FF"/>
        </patternFill>
      </fill>
    </dxf>
    <dxf>
      <fill>
        <patternFill>
          <bgColor theme="8" tint="0.59996337778862885"/>
        </patternFill>
      </fill>
    </dxf>
    <dxf>
      <fill>
        <patternFill>
          <bgColor rgb="FFCCFFCC"/>
        </patternFill>
      </fill>
    </dxf>
    <dxf>
      <fill>
        <patternFill>
          <bgColor rgb="FFCC99FF"/>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theme="9" tint="0.59996337778862885"/>
        </patternFill>
      </fill>
    </dxf>
    <dxf>
      <fill>
        <patternFill>
          <bgColor theme="9" tint="0.59996337778862885"/>
        </patternFill>
      </fill>
    </dxf>
    <dxf>
      <fill>
        <patternFill>
          <bgColor theme="4" tint="0.39994506668294322"/>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8" tint="0.59996337778862885"/>
        </patternFill>
      </fill>
    </dxf>
    <dxf>
      <fill>
        <patternFill>
          <bgColor theme="9" tint="0.59996337778862885"/>
        </patternFill>
      </fill>
    </dxf>
    <dxf>
      <fill>
        <patternFill>
          <bgColor theme="9" tint="0.59996337778862885"/>
        </patternFill>
      </fill>
    </dxf>
    <dxf>
      <fill>
        <patternFill>
          <bgColor rgb="FFFFFF00"/>
        </patternFill>
      </fill>
    </dxf>
    <dxf>
      <fill>
        <patternFill>
          <bgColor rgb="FFFFFF00"/>
        </patternFill>
      </fill>
    </dxf>
    <dxf>
      <fill>
        <patternFill>
          <bgColor rgb="FFFFFF00"/>
        </patternFill>
      </fill>
    </dxf>
    <dxf>
      <fill>
        <patternFill>
          <bgColor theme="4" tint="0.39994506668294322"/>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rgb="FFFFFFCC"/>
        </patternFill>
      </fill>
    </dxf>
    <dxf>
      <fill>
        <patternFill>
          <bgColor theme="7" tint="0.59996337778862885"/>
        </patternFill>
      </fill>
    </dxf>
    <dxf>
      <fill>
        <patternFill>
          <bgColor rgb="FFCC66FF"/>
        </patternFill>
      </fill>
    </dxf>
    <dxf>
      <fill>
        <patternFill>
          <bgColor rgb="FFCCFFCC"/>
        </patternFill>
      </fill>
    </dxf>
    <dxf>
      <fill>
        <patternFill>
          <bgColor rgb="FFFFFF00"/>
        </patternFill>
      </fill>
    </dxf>
    <dxf>
      <fill>
        <patternFill>
          <bgColor rgb="FFFFFF00"/>
        </patternFill>
      </fill>
    </dxf>
    <dxf>
      <fill>
        <patternFill>
          <bgColor rgb="FF00B050"/>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9" tint="0.59996337778862885"/>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theme="8" tint="0.59996337778862885"/>
        </patternFill>
      </fill>
    </dxf>
    <dxf>
      <fill>
        <patternFill>
          <bgColor rgb="FFFFFF99"/>
        </patternFill>
      </fill>
    </dxf>
    <dxf>
      <fill>
        <patternFill>
          <bgColor rgb="FF00FF99"/>
        </patternFill>
      </fill>
    </dxf>
    <dxf>
      <fill>
        <patternFill>
          <bgColor rgb="FFCCFFCC"/>
        </patternFill>
      </fill>
    </dxf>
    <dxf>
      <fill>
        <patternFill>
          <bgColor rgb="FFCC99FF"/>
        </patternFill>
      </fill>
    </dxf>
    <dxf>
      <fill>
        <patternFill>
          <bgColor theme="1" tint="0.499984740745262"/>
        </patternFill>
      </fill>
    </dxf>
    <dxf>
      <fill>
        <patternFill>
          <bgColor theme="3" tint="0.59996337778862885"/>
        </patternFill>
      </fill>
    </dxf>
    <dxf>
      <fill>
        <patternFill>
          <bgColor theme="3" tint="0.59996337778862885"/>
        </patternFill>
      </fill>
    </dxf>
    <dxf>
      <fill>
        <patternFill>
          <bgColor rgb="FFCC66FF"/>
        </patternFill>
      </fill>
    </dxf>
    <dxf>
      <fill>
        <patternFill>
          <bgColor theme="6" tint="0.59996337778862885"/>
        </patternFill>
      </fill>
    </dxf>
    <dxf>
      <fill>
        <patternFill>
          <bgColor theme="7" tint="0.59996337778862885"/>
        </patternFill>
      </fill>
    </dxf>
    <dxf>
      <fill>
        <patternFill>
          <bgColor theme="0" tint="-0.14996795556505021"/>
        </patternFill>
      </fill>
    </dxf>
    <dxf>
      <fill>
        <patternFill>
          <bgColor theme="5" tint="0.59996337778862885"/>
        </patternFill>
      </fill>
    </dxf>
    <dxf>
      <fill>
        <patternFill>
          <bgColor rgb="FFFFFF00"/>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9" tint="0.59996337778862885"/>
        </patternFill>
      </fill>
    </dxf>
    <dxf>
      <fill>
        <patternFill>
          <bgColor rgb="FFFFFF00"/>
        </patternFill>
      </fill>
    </dxf>
    <dxf>
      <fill>
        <patternFill>
          <bgColor rgb="FF00B050"/>
        </patternFill>
      </fill>
    </dxf>
    <dxf>
      <fill>
        <patternFill>
          <bgColor theme="3" tint="0.59996337778862885"/>
        </patternFill>
      </fill>
    </dxf>
    <dxf>
      <fill>
        <patternFill>
          <bgColor theme="3" tint="0.59996337778862885"/>
        </patternFill>
      </fill>
    </dxf>
    <dxf>
      <fill>
        <patternFill>
          <bgColor theme="6" tint="0.59996337778862885"/>
        </patternFill>
      </fill>
    </dxf>
    <dxf>
      <fill>
        <patternFill>
          <bgColor rgb="FFFFFF00"/>
        </patternFill>
      </fill>
    </dxf>
    <dxf>
      <fill>
        <patternFill>
          <bgColor rgb="FFFFFF00"/>
        </patternFill>
      </fill>
    </dxf>
    <dxf>
      <fill>
        <patternFill>
          <bgColor theme="5" tint="0.59996337778862885"/>
        </patternFill>
      </fill>
    </dxf>
    <dxf>
      <fill>
        <patternFill>
          <bgColor theme="1" tint="0.499984740745262"/>
        </patternFill>
      </fill>
    </dxf>
    <dxf>
      <fill>
        <patternFill>
          <bgColor theme="4" tint="0.39994506668294322"/>
        </patternFill>
      </fill>
    </dxf>
    <dxf>
      <fill>
        <patternFill>
          <bgColor rgb="FFFFFF99"/>
        </patternFill>
      </fill>
    </dxf>
    <dxf>
      <fill>
        <patternFill>
          <bgColor theme="9" tint="0.59996337778862885"/>
        </patternFill>
      </fill>
    </dxf>
    <dxf>
      <fill>
        <patternFill>
          <bgColor rgb="FF00FF99"/>
        </patternFill>
      </fill>
    </dxf>
    <dxf>
      <fill>
        <patternFill>
          <bgColor rgb="FFFFFF00"/>
        </patternFill>
      </fill>
    </dxf>
    <dxf>
      <fill>
        <patternFill>
          <bgColor rgb="FFFFFF00"/>
        </patternFill>
      </fill>
    </dxf>
    <dxf>
      <fill>
        <patternFill>
          <bgColor theme="8" tint="0.59996337778862885"/>
        </patternFill>
      </fill>
    </dxf>
    <dxf>
      <fill>
        <patternFill>
          <bgColor theme="0" tint="-0.14996795556505021"/>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rgb="FFCC99FF"/>
        </patternFill>
      </fill>
    </dxf>
    <dxf>
      <fill>
        <patternFill>
          <bgColor rgb="FFCCFFCC"/>
        </patternFill>
      </fill>
    </dxf>
    <dxf>
      <fill>
        <patternFill>
          <bgColor rgb="FFCC66FF"/>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8" tint="0.59996337778862885"/>
        </patternFill>
      </fill>
    </dxf>
    <dxf>
      <fill>
        <patternFill>
          <bgColor theme="9" tint="0.59996337778862885"/>
        </patternFill>
      </fill>
    </dxf>
    <dxf>
      <fill>
        <patternFill>
          <bgColor rgb="FFCC99FF"/>
        </patternFill>
      </fill>
    </dxf>
    <dxf>
      <fill>
        <patternFill>
          <bgColor rgb="FFCCFFCC"/>
        </patternFill>
      </fill>
    </dxf>
    <dxf>
      <fill>
        <patternFill>
          <bgColor rgb="FFCC66FF"/>
        </patternFill>
      </fill>
    </dxf>
    <dxf>
      <fill>
        <patternFill>
          <bgColor rgb="FF00FF99"/>
        </patternFill>
      </fill>
    </dxf>
    <dxf>
      <fill>
        <patternFill>
          <bgColor rgb="FFFFFF99"/>
        </patternFill>
      </fill>
    </dxf>
    <dxf>
      <fill>
        <patternFill>
          <bgColor theme="0" tint="-0.14996795556505021"/>
        </patternFill>
      </fill>
    </dxf>
    <dxf>
      <fill>
        <patternFill>
          <bgColor theme="1" tint="0.499984740745262"/>
        </patternFill>
      </fill>
    </dxf>
    <dxf>
      <fill>
        <patternFill>
          <bgColor theme="5" tint="0.59996337778862885"/>
        </patternFill>
      </fill>
    </dxf>
    <dxf>
      <fill>
        <patternFill>
          <bgColor theme="3" tint="0.59996337778862885"/>
        </patternFill>
      </fill>
    </dxf>
    <dxf>
      <fill>
        <patternFill>
          <bgColor theme="3" tint="0.59996337778862885"/>
        </patternFill>
      </fill>
    </dxf>
    <dxf>
      <fill>
        <patternFill>
          <bgColor theme="6" tint="0.59996337778862885"/>
        </patternFill>
      </fill>
    </dxf>
    <dxf>
      <fill>
        <patternFill>
          <bgColor theme="7" tint="0.59996337778862885"/>
        </patternFill>
      </fill>
    </dxf>
    <dxf>
      <fill>
        <patternFill>
          <bgColor theme="8" tint="0.59996337778862885"/>
        </patternFill>
      </fill>
    </dxf>
    <dxf>
      <fill>
        <patternFill>
          <bgColor rgb="FFFFFF00"/>
        </patternFill>
      </fill>
    </dxf>
    <dxf>
      <fill>
        <patternFill>
          <bgColor theme="9" tint="0.59996337778862885"/>
        </patternFill>
      </fill>
    </dxf>
    <dxf>
      <fill>
        <patternFill>
          <bgColor theme="4" tint="0.39994506668294322"/>
        </patternFill>
      </fill>
    </dxf>
    <dxf>
      <fill>
        <patternFill>
          <bgColor rgb="FFFFFF00"/>
        </patternFill>
      </fill>
    </dxf>
    <dxf>
      <fill>
        <patternFill>
          <bgColor theme="8" tint="0.59996337778862885"/>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CC99FF"/>
        </patternFill>
      </fill>
    </dxf>
    <dxf>
      <fill>
        <patternFill>
          <bgColor rgb="FFCCFFCC"/>
        </patternFill>
      </fill>
    </dxf>
    <dxf>
      <fill>
        <patternFill>
          <bgColor rgb="FFCC66FF"/>
        </patternFill>
      </fill>
    </dxf>
    <dxf>
      <fill>
        <patternFill>
          <bgColor rgb="FF00FF99"/>
        </patternFill>
      </fill>
    </dxf>
    <dxf>
      <fill>
        <patternFill>
          <bgColor rgb="FFFFFF99"/>
        </patternFill>
      </fill>
    </dxf>
    <dxf>
      <fill>
        <patternFill>
          <bgColor theme="0" tint="-0.14996795556505021"/>
        </patternFill>
      </fill>
    </dxf>
    <dxf>
      <fill>
        <patternFill>
          <bgColor theme="1" tint="0.499984740745262"/>
        </patternFill>
      </fill>
    </dxf>
    <dxf>
      <fill>
        <patternFill>
          <bgColor theme="9" tint="0.59996337778862885"/>
        </patternFill>
      </fill>
    </dxf>
    <dxf>
      <fill>
        <patternFill>
          <bgColor rgb="FFFFFF00"/>
        </patternFill>
      </fill>
    </dxf>
    <dxf>
      <fill>
        <patternFill>
          <bgColor theme="4" tint="0.39994506668294322"/>
        </patternFill>
      </fill>
    </dxf>
    <dxf>
      <fill>
        <patternFill>
          <bgColor theme="5" tint="0.59996337778862885"/>
        </patternFill>
      </fill>
    </dxf>
    <dxf>
      <fill>
        <patternFill>
          <bgColor theme="9" tint="0.59996337778862885"/>
        </patternFill>
      </fill>
    </dxf>
    <dxf>
      <fill>
        <patternFill>
          <bgColor theme="3"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rgb="FF00B05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rgb="FFFFFF00"/>
        </patternFill>
      </fill>
    </dxf>
    <dxf>
      <fill>
        <patternFill>
          <bgColor theme="9" tint="0.59996337778862885"/>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1" tint="0.499984740745262"/>
        </patternFill>
      </fill>
    </dxf>
    <dxf>
      <fill>
        <patternFill>
          <bgColor theme="5" tint="0.59996337778862885"/>
        </patternFill>
      </fill>
    </dxf>
    <dxf>
      <fill>
        <patternFill>
          <bgColor theme="0" tint="-0.14996795556505021"/>
        </patternFill>
      </fill>
    </dxf>
    <dxf>
      <fill>
        <patternFill>
          <bgColor rgb="FFCC99FF"/>
        </patternFill>
      </fill>
    </dxf>
    <dxf>
      <fill>
        <patternFill>
          <bgColor rgb="FFCCFFCC"/>
        </patternFill>
      </fill>
    </dxf>
    <dxf>
      <fill>
        <patternFill>
          <bgColor rgb="FFCC66FF"/>
        </patternFill>
      </fill>
    </dxf>
    <dxf>
      <fill>
        <patternFill>
          <bgColor rgb="FF00FF99"/>
        </patternFill>
      </fill>
    </dxf>
    <dxf>
      <fill>
        <patternFill>
          <bgColor rgb="FFFFFF99"/>
        </patternFill>
      </fill>
    </dxf>
    <dxf>
      <fill>
        <patternFill>
          <bgColor rgb="FFFFFF00"/>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9" tint="0.59996337778862885"/>
        </patternFill>
      </fill>
    </dxf>
    <dxf>
      <fill>
        <patternFill>
          <bgColor rgb="FFFFFF00"/>
        </patternFill>
      </fill>
    </dxf>
    <dxf>
      <fill>
        <patternFill>
          <bgColor rgb="FF00B050"/>
        </patternFill>
      </fill>
    </dxf>
    <dxf>
      <fill>
        <patternFill>
          <bgColor rgb="FFFFFF00"/>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9" tint="0.59996337778862885"/>
        </patternFill>
      </fill>
    </dxf>
    <dxf>
      <fill>
        <patternFill>
          <bgColor theme="6"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rgb="FFFFFFCC"/>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FF99"/>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rgb="FFFFFF00"/>
        </patternFill>
      </fill>
    </dxf>
    <dxf>
      <fill>
        <patternFill>
          <bgColor rgb="FFCC99FF"/>
        </patternFill>
      </fill>
    </dxf>
    <dxf>
      <fill>
        <patternFill>
          <bgColor theme="0" tint="-0.14996795556505021"/>
        </patternFill>
      </fill>
    </dxf>
    <dxf>
      <fill>
        <patternFill>
          <bgColor rgb="FFCCFFCC"/>
        </patternFill>
      </fill>
    </dxf>
    <dxf>
      <fill>
        <patternFill>
          <bgColor rgb="FFCC66FF"/>
        </patternFill>
      </fill>
    </dxf>
    <dxf>
      <fill>
        <patternFill>
          <bgColor rgb="FF00B050"/>
        </patternFill>
      </fill>
    </dxf>
    <dxf>
      <fill>
        <patternFill>
          <bgColor rgb="FFFFFF99"/>
        </patternFill>
      </fill>
    </dxf>
    <dxf>
      <fill>
        <patternFill>
          <bgColor theme="1" tint="0.499984740745262"/>
        </patternFill>
      </fill>
    </dxf>
    <dxf>
      <fill>
        <patternFill>
          <bgColor theme="5" tint="0.59996337778862885"/>
        </patternFill>
      </fill>
    </dxf>
    <dxf>
      <fill>
        <patternFill>
          <bgColor theme="3" tint="0.59996337778862885"/>
        </patternFill>
      </fill>
    </dxf>
    <dxf>
      <fill>
        <patternFill>
          <bgColor theme="3" tint="0.59996337778862885"/>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rgb="FFCCFFCC"/>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9" tint="0.59996337778862885"/>
        </patternFill>
      </fill>
    </dxf>
    <dxf>
      <fill>
        <patternFill>
          <bgColor rgb="FF00B050"/>
        </patternFill>
      </fill>
    </dxf>
    <dxf>
      <fill>
        <patternFill>
          <bgColor rgb="FFFFFF00"/>
        </patternFill>
      </fill>
    </dxf>
    <dxf>
      <fill>
        <patternFill>
          <bgColor rgb="FFFFFF00"/>
        </patternFill>
      </fill>
    </dxf>
    <dxf>
      <font>
        <color rgb="FF9C0006"/>
      </font>
    </dxf>
    <dxf>
      <fill>
        <patternFill>
          <bgColor rgb="FFFFFF00"/>
        </patternFill>
      </fill>
    </dxf>
    <dxf>
      <fill>
        <patternFill>
          <bgColor theme="4" tint="0.59996337778862885"/>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2" tint="-0.24994659260841701"/>
        </patternFill>
      </fill>
    </dxf>
    <dxf>
      <fill>
        <patternFill>
          <bgColor rgb="FFFFFF00"/>
        </patternFill>
      </fill>
    </dxf>
    <dxf>
      <font>
        <color rgb="FF9C0006"/>
      </font>
    </dxf>
    <dxf>
      <fill>
        <patternFill>
          <bgColor theme="6" tint="0.59996337778862885"/>
        </patternFill>
      </fill>
    </dxf>
    <dxf>
      <fill>
        <patternFill>
          <bgColor theme="0" tint="-0.14996795556505021"/>
        </patternFill>
      </fill>
    </dxf>
    <dxf>
      <fill>
        <patternFill>
          <bgColor theme="2" tint="-0.24994659260841701"/>
        </patternFill>
      </fill>
    </dxf>
    <dxf>
      <fill>
        <patternFill>
          <bgColor theme="4" tint="0.59996337778862885"/>
        </patternFill>
      </fill>
    </dxf>
    <dxf>
      <fill>
        <patternFill>
          <bgColor theme="5" tint="0.59996337778862885"/>
        </patternFill>
      </fill>
    </dxf>
    <dxf>
      <fill>
        <patternFill>
          <bgColor theme="7" tint="0.59996337778862885"/>
        </patternFill>
      </fill>
    </dxf>
    <dxf>
      <fill>
        <patternFill>
          <bgColor theme="8" tint="0.59996337778862885"/>
        </patternFill>
      </fill>
    </dxf>
    <dxf>
      <fill>
        <patternFill>
          <bgColor theme="9" tint="0.59996337778862885"/>
        </patternFill>
      </fill>
    </dxf>
    <dxf>
      <fill>
        <patternFill>
          <bgColor rgb="FF00B050"/>
        </patternFill>
      </fill>
    </dxf>
    <dxf>
      <fill>
        <patternFill>
          <bgColor rgb="FFFFFF00"/>
        </patternFill>
      </fill>
    </dxf>
    <dxf>
      <fill>
        <patternFill>
          <bgColor theme="8" tint="0.59996337778862885"/>
        </patternFill>
      </fill>
    </dxf>
    <dxf>
      <fill>
        <patternFill>
          <bgColor theme="0" tint="-0.14996795556505021"/>
        </patternFill>
      </fill>
    </dxf>
    <dxf>
      <font>
        <color rgb="FF9C0006"/>
      </font>
    </dxf>
    <dxf>
      <fill>
        <patternFill>
          <bgColor theme="9" tint="0.59996337778862885"/>
        </patternFill>
      </fill>
    </dxf>
    <dxf>
      <fill>
        <patternFill>
          <bgColor rgb="FFFFFF00"/>
        </patternFill>
      </fill>
    </dxf>
    <dxf>
      <fill>
        <patternFill>
          <bgColor rgb="FFFFFF00"/>
        </patternFill>
      </fill>
    </dxf>
    <dxf>
      <fill>
        <patternFill>
          <bgColor rgb="FF00B050"/>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6" tint="0.59996337778862885"/>
        </patternFill>
      </fill>
    </dxf>
    <dxf>
      <fill>
        <patternFill>
          <bgColor theme="7" tint="0.59996337778862885"/>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2" tint="-0.24994659260841701"/>
        </patternFill>
      </fill>
    </dxf>
    <dxf>
      <fill>
        <patternFill>
          <bgColor theme="4"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8" tint="0.59996337778862885"/>
        </patternFill>
      </fill>
    </dxf>
    <dxf>
      <fill>
        <patternFill>
          <bgColor theme="9" tint="0.59996337778862885"/>
        </patternFill>
      </fill>
    </dxf>
    <dxf>
      <fill>
        <patternFill>
          <bgColor rgb="FF00B050"/>
        </patternFill>
      </fill>
    </dxf>
    <dxf>
      <fill>
        <patternFill>
          <bgColor rgb="FFFFFF00"/>
        </patternFill>
      </fill>
    </dxf>
    <dxf>
      <fill>
        <patternFill>
          <bgColor theme="7" tint="0.59996337778862885"/>
        </patternFill>
      </fill>
    </dxf>
    <dxf>
      <fill>
        <patternFill>
          <bgColor rgb="FFFFFF00"/>
        </patternFill>
      </fill>
    </dxf>
    <dxf>
      <fill>
        <patternFill>
          <bgColor theme="5" tint="0.59996337778862885"/>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ont>
        <color rgb="FF9C0006"/>
      </font>
    </dxf>
    <dxf>
      <fill>
        <patternFill>
          <bgColor rgb="FFFFFF00"/>
        </patternFill>
      </fill>
    </dxf>
    <dxf>
      <fill>
        <patternFill>
          <bgColor rgb="FF00B050"/>
        </patternFill>
      </fill>
    </dxf>
    <dxf>
      <fill>
        <patternFill>
          <bgColor theme="5"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0" tint="-0.14996795556505021"/>
        </patternFill>
      </fill>
    </dxf>
    <dxf>
      <fill>
        <patternFill>
          <bgColor theme="2" tint="-0.24994659260841701"/>
        </patternFill>
      </fill>
    </dxf>
    <dxf>
      <fill>
        <patternFill>
          <bgColor theme="4" tint="0.59996337778862885"/>
        </patternFill>
      </fill>
    </dxf>
    <dxf>
      <fill>
        <patternFill>
          <bgColor rgb="FFFFFF00"/>
        </patternFill>
      </fill>
    </dxf>
    <dxf>
      <fill>
        <patternFill>
          <bgColor rgb="FFFFFF00"/>
        </patternFill>
      </fill>
    </dxf>
    <dxf>
      <font>
        <color rgb="FF9C0006"/>
      </font>
    </dxf>
    <dxf>
      <fill>
        <patternFill>
          <bgColor theme="9" tint="0.59996337778862885"/>
        </patternFill>
      </fill>
    </dxf>
    <dxf>
      <fill>
        <patternFill>
          <bgColor theme="4" tint="0.39994506668294322"/>
        </patternFill>
      </fill>
    </dxf>
    <dxf>
      <fill>
        <patternFill>
          <bgColor rgb="FF00B050"/>
        </patternFill>
      </fill>
    </dxf>
    <dxf>
      <fill>
        <patternFill>
          <bgColor rgb="FFFFFF00"/>
        </patternFill>
      </fill>
    </dxf>
    <dxf>
      <fill>
        <patternFill>
          <bgColor theme="9" tint="0.59996337778862885"/>
        </patternFill>
      </fill>
    </dxf>
    <dxf>
      <fill>
        <patternFill>
          <bgColor rgb="FFFFFF00"/>
        </patternFill>
      </fill>
    </dxf>
    <dxf>
      <font>
        <color rgb="FF9C0006"/>
      </font>
    </dxf>
    <dxf>
      <fill>
        <patternFill>
          <bgColor theme="8" tint="0.59996337778862885"/>
        </patternFill>
      </fill>
    </dxf>
    <dxf>
      <fill>
        <patternFill>
          <bgColor theme="0" tint="-0.14996795556505021"/>
        </patternFill>
      </fill>
    </dxf>
    <dxf>
      <fill>
        <patternFill>
          <bgColor theme="2" tint="-0.24994659260841701"/>
        </patternFill>
      </fill>
    </dxf>
    <dxf>
      <fill>
        <patternFill>
          <bgColor theme="4"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rgb="FFFFFFCC"/>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s>
  <tableStyles count="0" defaultTableStyle="TableStyleMedium9" defaultPivotStyle="PivotStyleLight16"/>
  <colors>
    <mruColors>
      <color rgb="FF00FF00"/>
      <color rgb="FFFFFF66"/>
      <color rgb="FF3399FF"/>
      <color rgb="FF00FF99"/>
      <color rgb="FF66FF66"/>
      <color rgb="FF00FFFF"/>
      <color rgb="FFFFCC99"/>
      <color rgb="FFFF9933"/>
      <color rgb="FFFF7C80"/>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9" Type="http://schemas.openxmlformats.org/officeDocument/2006/relationships/externalLink" Target="externalLinks/externalLink20.xml"/><Relationship Id="rId3" Type="http://schemas.openxmlformats.org/officeDocument/2006/relationships/worksheet" Target="worksheets/sheet3.xml"/><Relationship Id="rId21" Type="http://schemas.openxmlformats.org/officeDocument/2006/relationships/externalLink" Target="externalLinks/externalLink2.xml"/><Relationship Id="rId34" Type="http://schemas.openxmlformats.org/officeDocument/2006/relationships/externalLink" Target="externalLinks/externalLink15.xml"/><Relationship Id="rId42" Type="http://schemas.openxmlformats.org/officeDocument/2006/relationships/externalLink" Target="externalLinks/externalLink23.xml"/><Relationship Id="rId47" Type="http://schemas.openxmlformats.org/officeDocument/2006/relationships/externalLink" Target="externalLinks/externalLink28.xml"/><Relationship Id="rId50"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externalLink" Target="externalLinks/externalLink14.xml"/><Relationship Id="rId38" Type="http://schemas.openxmlformats.org/officeDocument/2006/relationships/externalLink" Target="externalLinks/externalLink19.xml"/><Relationship Id="rId46" Type="http://schemas.openxmlformats.org/officeDocument/2006/relationships/externalLink" Target="externalLinks/externalLink2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41" Type="http://schemas.openxmlformats.org/officeDocument/2006/relationships/externalLink" Target="externalLinks/externalLink2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externalLink" Target="externalLinks/externalLink13.xml"/><Relationship Id="rId37" Type="http://schemas.openxmlformats.org/officeDocument/2006/relationships/externalLink" Target="externalLinks/externalLink18.xml"/><Relationship Id="rId40" Type="http://schemas.openxmlformats.org/officeDocument/2006/relationships/externalLink" Target="externalLinks/externalLink21.xml"/><Relationship Id="rId45" Type="http://schemas.openxmlformats.org/officeDocument/2006/relationships/externalLink" Target="externalLinks/externalLink2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36" Type="http://schemas.openxmlformats.org/officeDocument/2006/relationships/externalLink" Target="externalLinks/externalLink17.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2.xml"/><Relationship Id="rId44" Type="http://schemas.openxmlformats.org/officeDocument/2006/relationships/externalLink" Target="externalLinks/externalLink25.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 Id="rId35" Type="http://schemas.openxmlformats.org/officeDocument/2006/relationships/externalLink" Target="externalLinks/externalLink16.xml"/><Relationship Id="rId43" Type="http://schemas.openxmlformats.org/officeDocument/2006/relationships/externalLink" Target="externalLinks/externalLink24.xml"/><Relationship Id="rId48" Type="http://schemas.openxmlformats.org/officeDocument/2006/relationships/externalLink" Target="externalLinks/externalLink29.xml"/><Relationship Id="rId8" Type="http://schemas.openxmlformats.org/officeDocument/2006/relationships/worksheet" Target="worksheets/sheet8.xml"/><Relationship Id="rId51"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605790</xdr:colOff>
      <xdr:row>20</xdr:row>
      <xdr:rowOff>200025</xdr:rowOff>
    </xdr:from>
    <xdr:to>
      <xdr:col>1</xdr:col>
      <xdr:colOff>1447715</xdr:colOff>
      <xdr:row>20</xdr:row>
      <xdr:rowOff>200025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20</xdr:row>
      <xdr:rowOff>0</xdr:rowOff>
    </xdr:from>
    <xdr:to>
      <xdr:col>27</xdr:col>
      <xdr:colOff>208216</xdr:colOff>
      <xdr:row>20</xdr:row>
      <xdr:rowOff>1</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605790</xdr:colOff>
      <xdr:row>9</xdr:row>
      <xdr:rowOff>200025</xdr:rowOff>
    </xdr:from>
    <xdr:to>
      <xdr:col>1</xdr:col>
      <xdr:colOff>1447715</xdr:colOff>
      <xdr:row>9</xdr:row>
      <xdr:rowOff>200025</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flipV="1">
          <a:off x="3162300" y="1457325"/>
          <a:ext cx="31133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478928</xdr:colOff>
      <xdr:row>1</xdr:row>
      <xdr:rowOff>174625</xdr:rowOff>
    </xdr:from>
    <xdr:to>
      <xdr:col>27</xdr:col>
      <xdr:colOff>216619</xdr:colOff>
      <xdr:row>1</xdr:row>
      <xdr:rowOff>174625</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4546103"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28</xdr:col>
      <xdr:colOff>208216</xdr:colOff>
      <xdr:row>9</xdr:row>
      <xdr:rowOff>1</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478928</xdr:colOff>
      <xdr:row>1</xdr:row>
      <xdr:rowOff>174625</xdr:rowOff>
    </xdr:from>
    <xdr:to>
      <xdr:col>28</xdr:col>
      <xdr:colOff>216619</xdr:colOff>
      <xdr:row>1</xdr:row>
      <xdr:rowOff>174625</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4542928"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605790</xdr:colOff>
      <xdr:row>2</xdr:row>
      <xdr:rowOff>200025</xdr:rowOff>
    </xdr:from>
    <xdr:to>
      <xdr:col>1</xdr:col>
      <xdr:colOff>1447715</xdr:colOff>
      <xdr:row>2</xdr:row>
      <xdr:rowOff>200025</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811953</xdr:colOff>
      <xdr:row>2</xdr:row>
      <xdr:rowOff>0</xdr:rowOff>
    </xdr:from>
    <xdr:to>
      <xdr:col>23</xdr:col>
      <xdr:colOff>436076</xdr:colOff>
      <xdr:row>2</xdr:row>
      <xdr:rowOff>1</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flipV="1">
          <a:off x="8265266" y="381000"/>
          <a:ext cx="171168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flipV="1">
          <a:off x="3257550" y="1457325"/>
          <a:ext cx="4599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a:extLst>
            <a:ext uri="{FF2B5EF4-FFF2-40B4-BE49-F238E27FC236}">
              <a16:creationId xmlns:a16="http://schemas.microsoft.com/office/drawing/2014/main" id="{00000000-0008-0000-0300-000006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4683150" y="1539875"/>
          <a:ext cx="17194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flipV="1">
          <a:off x="10022332"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a:extLst>
            <a:ext uri="{FF2B5EF4-FFF2-40B4-BE49-F238E27FC236}">
              <a16:creationId xmlns:a16="http://schemas.microsoft.com/office/drawing/2014/main" id="{00000000-0008-0000-0400-000006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a:extLst>
            <a:ext uri="{FF2B5EF4-FFF2-40B4-BE49-F238E27FC236}">
              <a16:creationId xmlns:a16="http://schemas.microsoft.com/office/drawing/2014/main" id="{00000000-0008-0000-0400-000007000000}"/>
            </a:ext>
          </a:extLst>
        </xdr:cNvPr>
        <xdr:cNvCxnSpPr/>
      </xdr:nvCxnSpPr>
      <xdr:spPr>
        <a:xfrm>
          <a:off x="4599012" y="365125"/>
          <a:ext cx="17225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864567</xdr:colOff>
      <xdr:row>2</xdr:row>
      <xdr:rowOff>200025</xdr:rowOff>
    </xdr:from>
    <xdr:to>
      <xdr:col>1</xdr:col>
      <xdr:colOff>1421440</xdr:colOff>
      <xdr:row>2</xdr:row>
      <xdr:rowOff>200025</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a:off x="1237630"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5" name="Straight Connector 4">
          <a:extLst>
            <a:ext uri="{FF2B5EF4-FFF2-40B4-BE49-F238E27FC236}">
              <a16:creationId xmlns:a16="http://schemas.microsoft.com/office/drawing/2014/main" id="{00000000-0008-0000-0500-000005000000}"/>
            </a:ext>
          </a:extLst>
        </xdr:cNvPr>
        <xdr:cNvCxnSpPr/>
      </xdr:nvCxnSpPr>
      <xdr:spPr>
        <a:xfrm flipV="1">
          <a:off x="4595813" y="365483"/>
          <a:ext cx="1690687"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858297</xdr:colOff>
      <xdr:row>2</xdr:row>
      <xdr:rowOff>200025</xdr:rowOff>
    </xdr:from>
    <xdr:to>
      <xdr:col>1</xdr:col>
      <xdr:colOff>1433342</xdr:colOff>
      <xdr:row>2</xdr:row>
      <xdr:rowOff>200025</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a:off x="1231360" y="581025"/>
          <a:ext cx="57504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492108</xdr:colOff>
      <xdr:row>2</xdr:row>
      <xdr:rowOff>0</xdr:rowOff>
    </xdr:from>
    <xdr:to>
      <xdr:col>29</xdr:col>
      <xdr:colOff>409373</xdr:colOff>
      <xdr:row>2</xdr:row>
      <xdr:rowOff>1</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flipV="1">
          <a:off x="11426808" y="381000"/>
          <a:ext cx="165081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32</xdr:col>
      <xdr:colOff>302016</xdr:colOff>
      <xdr:row>2</xdr:row>
      <xdr:rowOff>0</xdr:rowOff>
    </xdr:from>
    <xdr:to>
      <xdr:col>34</xdr:col>
      <xdr:colOff>31347</xdr:colOff>
      <xdr:row>2</xdr:row>
      <xdr:rowOff>0</xdr:rowOff>
    </xdr:to>
    <xdr:cxnSp macro="">
      <xdr:nvCxnSpPr>
        <xdr:cNvPr id="5" name="Straight Connector 4">
          <a:extLst>
            <a:ext uri="{FF2B5EF4-FFF2-40B4-BE49-F238E27FC236}">
              <a16:creationId xmlns:a16="http://schemas.microsoft.com/office/drawing/2014/main" id="{00000000-0008-0000-0600-000005000000}"/>
            </a:ext>
          </a:extLst>
        </xdr:cNvPr>
        <xdr:cNvCxnSpPr/>
      </xdr:nvCxnSpPr>
      <xdr:spPr>
        <a:xfrm>
          <a:off x="4437454" y="381000"/>
          <a:ext cx="173751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flipV="1">
          <a:off x="7574407"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a:extLst>
            <a:ext uri="{FF2B5EF4-FFF2-40B4-BE49-F238E27FC236}">
              <a16:creationId xmlns:a16="http://schemas.microsoft.com/office/drawing/2014/main" id="{00000000-0008-0000-0700-000004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403005</xdr:colOff>
      <xdr:row>1</xdr:row>
      <xdr:rowOff>174625</xdr:rowOff>
    </xdr:from>
    <xdr:to>
      <xdr:col>27</xdr:col>
      <xdr:colOff>78205</xdr:colOff>
      <xdr:row>1</xdr:row>
      <xdr:rowOff>174625</xdr:rowOff>
    </xdr:to>
    <xdr:cxnSp macro="">
      <xdr:nvCxnSpPr>
        <xdr:cNvPr id="5" name="Straight Connector 4">
          <a:extLst>
            <a:ext uri="{FF2B5EF4-FFF2-40B4-BE49-F238E27FC236}">
              <a16:creationId xmlns:a16="http://schemas.microsoft.com/office/drawing/2014/main" id="{00000000-0008-0000-0700-000005000000}"/>
            </a:ext>
          </a:extLst>
        </xdr:cNvPr>
        <xdr:cNvCxnSpPr/>
      </xdr:nvCxnSpPr>
      <xdr:spPr>
        <a:xfrm>
          <a:off x="4474943" y="365125"/>
          <a:ext cx="1786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1582124</xdr:colOff>
      <xdr:row>14</xdr:row>
      <xdr:rowOff>200025</xdr:rowOff>
    </xdr:from>
    <xdr:to>
      <xdr:col>4</xdr:col>
      <xdr:colOff>285764</xdr:colOff>
      <xdr:row>14</xdr:row>
      <xdr:rowOff>200025</xdr:rowOff>
    </xdr:to>
    <xdr:cxnSp macro="">
      <xdr:nvCxnSpPr>
        <xdr:cNvPr id="2" name="Straight Connector 1">
          <a:extLst>
            <a:ext uri="{FF2B5EF4-FFF2-40B4-BE49-F238E27FC236}">
              <a16:creationId xmlns:a16="http://schemas.microsoft.com/office/drawing/2014/main" id="{F877EA1C-2C14-4288-84CC-8EE075799364}"/>
            </a:ext>
          </a:extLst>
        </xdr:cNvPr>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55561</xdr:colOff>
      <xdr:row>14</xdr:row>
      <xdr:rowOff>0</xdr:rowOff>
    </xdr:from>
    <xdr:to>
      <xdr:col>15</xdr:col>
      <xdr:colOff>441138</xdr:colOff>
      <xdr:row>14</xdr:row>
      <xdr:rowOff>1</xdr:rowOff>
    </xdr:to>
    <xdr:cxnSp macro="">
      <xdr:nvCxnSpPr>
        <xdr:cNvPr id="3" name="Straight Connector 2">
          <a:extLst>
            <a:ext uri="{FF2B5EF4-FFF2-40B4-BE49-F238E27FC236}">
              <a16:creationId xmlns:a16="http://schemas.microsoft.com/office/drawing/2014/main" id="{EE8026A8-C7D9-4271-A419-D9CF8B589CF6}"/>
            </a:ext>
          </a:extLst>
        </xdr:cNvPr>
        <xdr:cNvCxnSpPr/>
      </xdr:nvCxnSpPr>
      <xdr:spPr>
        <a:xfrm flipV="1">
          <a:off x="8008936"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1084627</xdr:colOff>
      <xdr:row>2</xdr:row>
      <xdr:rowOff>200025</xdr:rowOff>
    </xdr:from>
    <xdr:to>
      <xdr:col>1</xdr:col>
      <xdr:colOff>1503013</xdr:colOff>
      <xdr:row>2</xdr:row>
      <xdr:rowOff>200025</xdr:rowOff>
    </xdr:to>
    <xdr:cxnSp macro="">
      <xdr:nvCxnSpPr>
        <xdr:cNvPr id="4" name="Straight Connector 3">
          <a:extLst>
            <a:ext uri="{FF2B5EF4-FFF2-40B4-BE49-F238E27FC236}">
              <a16:creationId xmlns:a16="http://schemas.microsoft.com/office/drawing/2014/main" id="{4F4F4CEC-83E7-4F6A-859E-94092EA3D197}"/>
            </a:ext>
          </a:extLst>
        </xdr:cNvPr>
        <xdr:cNvCxnSpPr/>
      </xdr:nvCxnSpPr>
      <xdr:spPr>
        <a:xfrm>
          <a:off x="1457690" y="581025"/>
          <a:ext cx="41838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331840</xdr:colOff>
      <xdr:row>2</xdr:row>
      <xdr:rowOff>0</xdr:rowOff>
    </xdr:from>
    <xdr:to>
      <xdr:col>19</xdr:col>
      <xdr:colOff>220493</xdr:colOff>
      <xdr:row>2</xdr:row>
      <xdr:rowOff>1</xdr:rowOff>
    </xdr:to>
    <xdr:cxnSp macro="">
      <xdr:nvCxnSpPr>
        <xdr:cNvPr id="5" name="Straight Connector 4">
          <a:extLst>
            <a:ext uri="{FF2B5EF4-FFF2-40B4-BE49-F238E27FC236}">
              <a16:creationId xmlns:a16="http://schemas.microsoft.com/office/drawing/2014/main" id="{D10B52AE-D3FB-4F01-BD60-9A102380CDFA}"/>
            </a:ext>
          </a:extLst>
        </xdr:cNvPr>
        <xdr:cNvCxnSpPr/>
      </xdr:nvCxnSpPr>
      <xdr:spPr>
        <a:xfrm flipV="1">
          <a:off x="4713340" y="381000"/>
          <a:ext cx="176190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1582124</xdr:colOff>
      <xdr:row>14</xdr:row>
      <xdr:rowOff>200025</xdr:rowOff>
    </xdr:from>
    <xdr:to>
      <xdr:col>4</xdr:col>
      <xdr:colOff>285764</xdr:colOff>
      <xdr:row>14</xdr:row>
      <xdr:rowOff>200025</xdr:rowOff>
    </xdr:to>
    <xdr:cxnSp macro="">
      <xdr:nvCxnSpPr>
        <xdr:cNvPr id="2" name="Straight Connector 1">
          <a:extLst>
            <a:ext uri="{FF2B5EF4-FFF2-40B4-BE49-F238E27FC236}">
              <a16:creationId xmlns:a16="http://schemas.microsoft.com/office/drawing/2014/main" id="{00000000-0008-0000-0F00-000002000000}"/>
            </a:ext>
          </a:extLst>
        </xdr:cNvPr>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14</xdr:row>
      <xdr:rowOff>0</xdr:rowOff>
    </xdr:from>
    <xdr:to>
      <xdr:col>15</xdr:col>
      <xdr:colOff>726900</xdr:colOff>
      <xdr:row>14</xdr:row>
      <xdr:rowOff>1</xdr:rowOff>
    </xdr:to>
    <xdr:cxnSp macro="">
      <xdr:nvCxnSpPr>
        <xdr:cNvPr id="3" name="Straight Connector 2">
          <a:extLst>
            <a:ext uri="{FF2B5EF4-FFF2-40B4-BE49-F238E27FC236}">
              <a16:creationId xmlns:a16="http://schemas.microsoft.com/office/drawing/2014/main" id="{00000000-0008-0000-0F00-000003000000}"/>
            </a:ext>
          </a:extLst>
        </xdr:cNvPr>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864567</xdr:colOff>
      <xdr:row>2</xdr:row>
      <xdr:rowOff>200025</xdr:rowOff>
    </xdr:from>
    <xdr:to>
      <xdr:col>1</xdr:col>
      <xdr:colOff>1421440</xdr:colOff>
      <xdr:row>2</xdr:row>
      <xdr:rowOff>200025</xdr:rowOff>
    </xdr:to>
    <xdr:cxnSp macro="">
      <xdr:nvCxnSpPr>
        <xdr:cNvPr id="4" name="Straight Connector 3">
          <a:extLst>
            <a:ext uri="{FF2B5EF4-FFF2-40B4-BE49-F238E27FC236}">
              <a16:creationId xmlns:a16="http://schemas.microsoft.com/office/drawing/2014/main" id="{00000000-0008-0000-0F00-000004000000}"/>
            </a:ext>
          </a:extLst>
        </xdr:cNvPr>
        <xdr:cNvCxnSpPr/>
      </xdr:nvCxnSpPr>
      <xdr:spPr>
        <a:xfrm>
          <a:off x="1236042"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5" name="Straight Connector 4">
          <a:extLst>
            <a:ext uri="{FF2B5EF4-FFF2-40B4-BE49-F238E27FC236}">
              <a16:creationId xmlns:a16="http://schemas.microsoft.com/office/drawing/2014/main" id="{00000000-0008-0000-0F00-000005000000}"/>
            </a:ext>
          </a:extLst>
        </xdr:cNvPr>
        <xdr:cNvCxnSpPr/>
      </xdr:nvCxnSpPr>
      <xdr:spPr>
        <a:xfrm flipV="1">
          <a:off x="3209925" y="381000"/>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6" name="Straight Connector 5">
          <a:extLst>
            <a:ext uri="{FF2B5EF4-FFF2-40B4-BE49-F238E27FC236}">
              <a16:creationId xmlns:a16="http://schemas.microsoft.com/office/drawing/2014/main" id="{00000000-0008-0000-0F00-000006000000}"/>
            </a:ext>
          </a:extLst>
        </xdr:cNvPr>
        <xdr:cNvCxnSpPr/>
      </xdr:nvCxnSpPr>
      <xdr:spPr>
        <a:xfrm flipV="1">
          <a:off x="4600575" y="365483"/>
          <a:ext cx="1692275"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1582124</xdr:colOff>
      <xdr:row>2</xdr:row>
      <xdr:rowOff>200025</xdr:rowOff>
    </xdr:from>
    <xdr:to>
      <xdr:col>4</xdr:col>
      <xdr:colOff>285764</xdr:colOff>
      <xdr:row>2</xdr:row>
      <xdr:rowOff>200025</xdr:rowOff>
    </xdr:to>
    <xdr:cxnSp macro="">
      <xdr:nvCxnSpPr>
        <xdr:cNvPr id="3" name="Straight Connector 2">
          <a:extLst>
            <a:ext uri="{FF2B5EF4-FFF2-40B4-BE49-F238E27FC236}">
              <a16:creationId xmlns:a16="http://schemas.microsoft.com/office/drawing/2014/main" id="{00000000-0008-0000-1000-000003000000}"/>
            </a:ext>
          </a:extLst>
        </xdr:cNvPr>
        <xdr:cNvCxnSpPr/>
      </xdr:nvCxnSpPr>
      <xdr:spPr>
        <a:xfrm>
          <a:off x="1955187"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330890</xdr:colOff>
      <xdr:row>2</xdr:row>
      <xdr:rowOff>0</xdr:rowOff>
    </xdr:from>
    <xdr:to>
      <xdr:col>15</xdr:col>
      <xdr:colOff>564123</xdr:colOff>
      <xdr:row>2</xdr:row>
      <xdr:rowOff>1</xdr:rowOff>
    </xdr:to>
    <xdr:cxnSp macro="">
      <xdr:nvCxnSpPr>
        <xdr:cNvPr id="7" name="Straight Connector 6">
          <a:extLst>
            <a:ext uri="{FF2B5EF4-FFF2-40B4-BE49-F238E27FC236}">
              <a16:creationId xmlns:a16="http://schemas.microsoft.com/office/drawing/2014/main" id="{00000000-0008-0000-1000-000007000000}"/>
            </a:ext>
          </a:extLst>
        </xdr:cNvPr>
        <xdr:cNvCxnSpPr/>
      </xdr:nvCxnSpPr>
      <xdr:spPr>
        <a:xfrm flipV="1">
          <a:off x="7872958" y="381000"/>
          <a:ext cx="1523438"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699135</xdr:colOff>
      <xdr:row>3</xdr:row>
      <xdr:rowOff>9525</xdr:rowOff>
    </xdr:from>
    <xdr:to>
      <xdr:col>9</xdr:col>
      <xdr:colOff>76158</xdr:colOff>
      <xdr:row>3</xdr:row>
      <xdr:rowOff>9525</xdr:rowOff>
    </xdr:to>
    <xdr:cxnSp macro="">
      <xdr:nvCxnSpPr>
        <xdr:cNvPr id="3" name="Straight Connector 2">
          <a:extLst>
            <a:ext uri="{FF2B5EF4-FFF2-40B4-BE49-F238E27FC236}">
              <a16:creationId xmlns:a16="http://schemas.microsoft.com/office/drawing/2014/main" id="{00000000-0008-0000-1100-000003000000}"/>
            </a:ext>
          </a:extLst>
        </xdr:cNvPr>
        <xdr:cNvCxnSpPr/>
      </xdr:nvCxnSpPr>
      <xdr:spPr>
        <a:xfrm>
          <a:off x="1028700" y="561975"/>
          <a:ext cx="6572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407670</xdr:colOff>
      <xdr:row>2</xdr:row>
      <xdr:rowOff>11430</xdr:rowOff>
    </xdr:from>
    <xdr:to>
      <xdr:col>24</xdr:col>
      <xdr:colOff>188595</xdr:colOff>
      <xdr:row>2</xdr:row>
      <xdr:rowOff>11431</xdr:rowOff>
    </xdr:to>
    <xdr:cxnSp macro="">
      <xdr:nvCxnSpPr>
        <xdr:cNvPr id="6" name="Straight Connector 5">
          <a:extLst>
            <a:ext uri="{FF2B5EF4-FFF2-40B4-BE49-F238E27FC236}">
              <a16:creationId xmlns:a16="http://schemas.microsoft.com/office/drawing/2014/main" id="{00000000-0008-0000-1100-000006000000}"/>
            </a:ext>
          </a:extLst>
        </xdr:cNvPr>
        <xdr:cNvCxnSpPr/>
      </xdr:nvCxnSpPr>
      <xdr:spPr>
        <a:xfrm flipV="1">
          <a:off x="7562850" y="390525"/>
          <a:ext cx="170497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17</xdr:col>
      <xdr:colOff>350824</xdr:colOff>
      <xdr:row>1</xdr:row>
      <xdr:rowOff>171739</xdr:rowOff>
    </xdr:from>
    <xdr:to>
      <xdr:col>21</xdr:col>
      <xdr:colOff>272630</xdr:colOff>
      <xdr:row>1</xdr:row>
      <xdr:rowOff>187614</xdr:rowOff>
    </xdr:to>
    <xdr:cxnSp macro="">
      <xdr:nvCxnSpPr>
        <xdr:cNvPr id="2" name="Straight Connector 1">
          <a:extLst>
            <a:ext uri="{FF2B5EF4-FFF2-40B4-BE49-F238E27FC236}">
              <a16:creationId xmlns:a16="http://schemas.microsoft.com/office/drawing/2014/main" id="{00000000-0008-0000-1500-000002000000}"/>
            </a:ext>
          </a:extLst>
        </xdr:cNvPr>
        <xdr:cNvCxnSpPr/>
      </xdr:nvCxnSpPr>
      <xdr:spPr>
        <a:xfrm flipV="1">
          <a:off x="8741483" y="362239"/>
          <a:ext cx="1575692" cy="158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775669</xdr:colOff>
      <xdr:row>2</xdr:row>
      <xdr:rowOff>198438</xdr:rowOff>
    </xdr:from>
    <xdr:to>
      <xdr:col>5</xdr:col>
      <xdr:colOff>1241187</xdr:colOff>
      <xdr:row>2</xdr:row>
      <xdr:rowOff>198438</xdr:rowOff>
    </xdr:to>
    <xdr:cxnSp macro="">
      <xdr:nvCxnSpPr>
        <xdr:cNvPr id="4" name="Straight Connector 3">
          <a:extLst>
            <a:ext uri="{FF2B5EF4-FFF2-40B4-BE49-F238E27FC236}">
              <a16:creationId xmlns:a16="http://schemas.microsoft.com/office/drawing/2014/main" id="{00000000-0008-0000-1500-000004000000}"/>
            </a:ext>
          </a:extLst>
        </xdr:cNvPr>
        <xdr:cNvCxnSpPr/>
      </xdr:nvCxnSpPr>
      <xdr:spPr>
        <a:xfrm>
          <a:off x="2368942" y="579438"/>
          <a:ext cx="46551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a:extLst>
            <a:ext uri="{FF2B5EF4-FFF2-40B4-BE49-F238E27FC236}">
              <a16:creationId xmlns:a16="http://schemas.microsoft.com/office/drawing/2014/main" id="{00000000-0008-0000-1600-000002000000}"/>
            </a:ext>
          </a:extLst>
        </xdr:cNvPr>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a:extLst>
            <a:ext uri="{FF2B5EF4-FFF2-40B4-BE49-F238E27FC236}">
              <a16:creationId xmlns:a16="http://schemas.microsoft.com/office/drawing/2014/main" id="{00000000-0008-0000-1600-000003000000}"/>
            </a:ext>
          </a:extLst>
        </xdr:cNvPr>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a:extLst>
            <a:ext uri="{FF2B5EF4-FFF2-40B4-BE49-F238E27FC236}">
              <a16:creationId xmlns:a16="http://schemas.microsoft.com/office/drawing/2014/main" id="{00000000-0008-0000-1600-000004000000}"/>
            </a:ext>
          </a:extLst>
        </xdr:cNvPr>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a:extLst>
            <a:ext uri="{FF2B5EF4-FFF2-40B4-BE49-F238E27FC236}">
              <a16:creationId xmlns:a16="http://schemas.microsoft.com/office/drawing/2014/main" id="{00000000-0008-0000-1700-000002000000}"/>
            </a:ext>
          </a:extLst>
        </xdr:cNvPr>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a:extLst>
            <a:ext uri="{FF2B5EF4-FFF2-40B4-BE49-F238E27FC236}">
              <a16:creationId xmlns:a16="http://schemas.microsoft.com/office/drawing/2014/main" id="{00000000-0008-0000-1700-000003000000}"/>
            </a:ext>
          </a:extLst>
        </xdr:cNvPr>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a:extLst>
            <a:ext uri="{FF2B5EF4-FFF2-40B4-BE49-F238E27FC236}">
              <a16:creationId xmlns:a16="http://schemas.microsoft.com/office/drawing/2014/main" id="{00000000-0008-0000-1700-000004000000}"/>
            </a:ext>
          </a:extLst>
        </xdr:cNvPr>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3.2024%20gui%20don%20v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3-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ULIEUMAYCU\Quynh%20chung\Quynh%20Exel\2019\ABC\Tu%20co\ABC%20T01-2019%20T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ULIEUMAYCU\Quynh%20chung\Quynh%20Exel\2024\ABC\DS%20Chi%20tra%20thu%20nhap%20tang%20them%20T01-202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2.2024%20gui%20don%20v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2-202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DULIEUMAYCU\Quynh%20chung\Quynh%20Exel\2024\ABC\Bien%20che\ABC%20T01-202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DULIEUMAYCU\Quynh%20chung\Quynh%20Exel\2024\ABC\New%20folder\Ket%20qua%20thi%20dua%20thang%2001.2024%20gui%20don%20v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1-202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DULIEUMAYCU\Quynh%20chung\Quynh%20Exel\2023\Com\Com%20trua%20T12-2023.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4.2024%20gui%20don%20vi.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4-202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5.2024%20gui%20don%20vi.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5-2024.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10.2024%20gui%20don%20vi.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10-2024.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6-2024.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7.2024%20gui%20don%20v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8.2024%20gui%20don%20vi.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9.2024%20gui%20don%20vi.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7-2024.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8-2024.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9-2024.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6.2024%20gui%20don%20vi.xlsx"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file:///D:\Quynh%20Exel\2025\ABC\Ket%20qua%20thi%20dua%20thang%209.2025%20gui%20don%20vi.xlsx" TargetMode="External"/><Relationship Id="rId1" Type="http://schemas.openxmlformats.org/officeDocument/2006/relationships/externalLinkPath" Target="Ket%20qua%20thi%20dua%20thang%209.2025%20gui%20don%20vi.xlsx"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file:///D:\Quynh%20Exel\2025\Com\Com%20trua%20T09-2025.xlsx" TargetMode="External"/><Relationship Id="rId1" Type="http://schemas.openxmlformats.org/officeDocument/2006/relationships/externalLinkPath" Target="/Quynh%20Exel/2025/Com/Com%20trua%20T09-2025.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11.2024%20gui%20don%20vi.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11-2024.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TVExcel\TVExcel.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A3</v>
          </cell>
          <cell r="E32" t="str">
            <v>A2</v>
          </cell>
        </row>
        <row r="33">
          <cell r="B33" t="str">
            <v>Nguyễn Thị Thanh Thảo</v>
          </cell>
          <cell r="C33" t="str">
            <v>01004008</v>
          </cell>
          <cell r="D33" t="str">
            <v>A1</v>
          </cell>
          <cell r="E33" t="str">
            <v>A1</v>
          </cell>
        </row>
        <row r="34">
          <cell r="B34" t="str">
            <v>Huỳnh Thị Cẩm Hoa</v>
          </cell>
          <cell r="C34" t="str">
            <v>01005009</v>
          </cell>
          <cell r="D34" t="str">
            <v>A3</v>
          </cell>
          <cell r="E34" t="str">
            <v>A3</v>
          </cell>
        </row>
        <row r="35">
          <cell r="B35" t="str">
            <v>Giáp Thị Vượng</v>
          </cell>
          <cell r="C35" t="str">
            <v>01004009</v>
          </cell>
          <cell r="D35" t="str">
            <v>A3</v>
          </cell>
          <cell r="E35" t="str">
            <v>A3</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A2</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A2</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A3</v>
          </cell>
          <cell r="E49" t="str">
            <v>A2</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A2</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A4</v>
          </cell>
          <cell r="E61" t="str">
            <v>A2</v>
          </cell>
        </row>
        <row r="62">
          <cell r="B62" t="str">
            <v>Trần Văn Cu Anh</v>
          </cell>
          <cell r="C62" t="str">
            <v>01002007</v>
          </cell>
          <cell r="D62" t="str">
            <v>A4</v>
          </cell>
          <cell r="E62" t="str">
            <v>A4</v>
          </cell>
        </row>
        <row r="63">
          <cell r="B63" t="str">
            <v>Nguyễn Hữu Xuân Vũ</v>
          </cell>
          <cell r="C63" t="str">
            <v>01002010</v>
          </cell>
          <cell r="D63" t="str">
            <v>A4</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B1</v>
          </cell>
          <cell r="E70" t="str">
            <v>B1</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A2</v>
          </cell>
          <cell r="E81" t="str">
            <v>A2</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A3</v>
          </cell>
          <cell r="E87" t="str">
            <v>A3</v>
          </cell>
        </row>
        <row r="88">
          <cell r="B88" t="str">
            <v>Phạm Huy Hoàng</v>
          </cell>
          <cell r="C88" t="str">
            <v>01009011</v>
          </cell>
          <cell r="D88" t="str">
            <v>A3</v>
          </cell>
          <cell r="E88" t="str">
            <v>A3</v>
          </cell>
        </row>
        <row r="89">
          <cell r="B89" t="str">
            <v>Trần Anh Mỹ</v>
          </cell>
          <cell r="C89" t="str">
            <v>01009028</v>
          </cell>
          <cell r="D89" t="str">
            <v>A4</v>
          </cell>
          <cell r="E89" t="str">
            <v>A4</v>
          </cell>
        </row>
        <row r="90">
          <cell r="B90" t="str">
            <v>Bùi Đức Phước</v>
          </cell>
          <cell r="C90" t="str">
            <v>01009026</v>
          </cell>
          <cell r="D90" t="str">
            <v>A3</v>
          </cell>
          <cell r="E90" t="str">
            <v>A2</v>
          </cell>
        </row>
        <row r="91">
          <cell r="B91" t="str">
            <v>Nguyễn Thị Thảo</v>
          </cell>
          <cell r="C91" t="str">
            <v>01007003</v>
          </cell>
          <cell r="D91" t="str">
            <v>A4</v>
          </cell>
          <cell r="E91" t="str">
            <v>A4</v>
          </cell>
        </row>
        <row r="92">
          <cell r="B92" t="str">
            <v>Lưu Hoàng Bảo Châu</v>
          </cell>
          <cell r="C92" t="str">
            <v>01009029</v>
          </cell>
          <cell r="D92" t="str">
            <v>B1</v>
          </cell>
          <cell r="E92" t="str">
            <v>B1</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A1</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A2</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A1</v>
          </cell>
        </row>
        <row r="110">
          <cell r="B110" t="str">
            <v>Lê Trần Thanh Nga</v>
          </cell>
          <cell r="C110" t="str">
            <v>01005011</v>
          </cell>
          <cell r="D110" t="str">
            <v>A4</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A2</v>
          </cell>
          <cell r="E117" t="str">
            <v>A2</v>
          </cell>
        </row>
        <row r="118">
          <cell r="B118" t="str">
            <v>Giáp Văn Thịnh</v>
          </cell>
          <cell r="C118" t="str">
            <v>01008008</v>
          </cell>
          <cell r="D118" t="str">
            <v>A1</v>
          </cell>
          <cell r="E118" t="str">
            <v>A1</v>
          </cell>
        </row>
        <row r="119">
          <cell r="B119" t="str">
            <v>Vũ Ngọc Quang</v>
          </cell>
          <cell r="C119" t="str">
            <v>01008006</v>
          </cell>
          <cell r="D119" t="str">
            <v>A3</v>
          </cell>
          <cell r="E119" t="str">
            <v>A2</v>
          </cell>
        </row>
        <row r="120">
          <cell r="B120" t="str">
            <v>Ninh Đỗ Hiệp</v>
          </cell>
          <cell r="C120" t="str">
            <v>01017009</v>
          </cell>
          <cell r="D120" t="str">
            <v>A3</v>
          </cell>
          <cell r="E120" t="str">
            <v>A3</v>
          </cell>
        </row>
        <row r="121">
          <cell r="B121" t="str">
            <v>Lê Hồng Anh Tuấn</v>
          </cell>
          <cell r="C121" t="str">
            <v>01008005</v>
          </cell>
          <cell r="D121" t="str">
            <v>A2</v>
          </cell>
          <cell r="E121" t="str">
            <v>A2</v>
          </cell>
        </row>
        <row r="122">
          <cell r="B122" t="str">
            <v>Bùi Thị Dương</v>
          </cell>
          <cell r="C122" t="str">
            <v>01009014</v>
          </cell>
          <cell r="D122" t="str">
            <v>A3</v>
          </cell>
          <cell r="E122" t="str">
            <v>B2</v>
          </cell>
        </row>
        <row r="123">
          <cell r="B123" t="str">
            <v>Hợp đồng trường</v>
          </cell>
          <cell r="C123">
            <v>0</v>
          </cell>
          <cell r="D123">
            <v>0</v>
          </cell>
          <cell r="E123">
            <v>16</v>
          </cell>
        </row>
        <row r="124">
          <cell r="B124" t="str">
            <v>Trần Thị Thu</v>
          </cell>
          <cell r="C124" t="str">
            <v>01008021</v>
          </cell>
          <cell r="D124" t="str">
            <v>A2</v>
          </cell>
          <cell r="E124" t="str">
            <v>A2</v>
          </cell>
        </row>
        <row r="125">
          <cell r="B125" t="str">
            <v>Dương Thị Thủy</v>
          </cell>
          <cell r="C125" t="str">
            <v>01008009</v>
          </cell>
          <cell r="D125" t="str">
            <v>A4</v>
          </cell>
          <cell r="E125" t="str">
            <v>A4</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A3</v>
          </cell>
        </row>
        <row r="133">
          <cell r="B133" t="str">
            <v>Võ Thị Tuyết</v>
          </cell>
          <cell r="C133" t="str">
            <v>01013033</v>
          </cell>
          <cell r="D133" t="str">
            <v>A3</v>
          </cell>
          <cell r="E133" t="str">
            <v>A3</v>
          </cell>
        </row>
        <row r="134">
          <cell r="B134" t="str">
            <v>Trịnh Tuấn Vũ</v>
          </cell>
          <cell r="C134" t="str">
            <v>01009015</v>
          </cell>
          <cell r="D134" t="str">
            <v>A4</v>
          </cell>
          <cell r="E134" t="str">
            <v>A4</v>
          </cell>
        </row>
        <row r="135">
          <cell r="B135" t="str">
            <v>Võ Tấn Đức</v>
          </cell>
          <cell r="C135" t="str">
            <v>01008042</v>
          </cell>
          <cell r="D135" t="str">
            <v>A3</v>
          </cell>
          <cell r="E135" t="str">
            <v>A3</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A3</v>
          </cell>
          <cell r="E139" t="str">
            <v>A2</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A4</v>
          </cell>
          <cell r="E144" t="str">
            <v>A4</v>
          </cell>
        </row>
        <row r="145">
          <cell r="B145" t="str">
            <v>Dương Đức Kiên</v>
          </cell>
          <cell r="C145" t="str">
            <v>01010037</v>
          </cell>
          <cell r="D145" t="str">
            <v>A3</v>
          </cell>
          <cell r="E145" t="str">
            <v>A4</v>
          </cell>
        </row>
        <row r="146">
          <cell r="B146" t="str">
            <v>Hà Như Mai</v>
          </cell>
          <cell r="C146" t="str">
            <v>01010031</v>
          </cell>
          <cell r="D146" t="str">
            <v>A4</v>
          </cell>
          <cell r="E146" t="str">
            <v>A4</v>
          </cell>
        </row>
        <row r="147">
          <cell r="B147" t="str">
            <v>Nguyễn Thị Cẩm Thạch</v>
          </cell>
          <cell r="C147" t="str">
            <v>01010016</v>
          </cell>
          <cell r="D147" t="str">
            <v>A3</v>
          </cell>
          <cell r="E147" t="str">
            <v>A4</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A3</v>
          </cell>
          <cell r="E151" t="str">
            <v>A2</v>
          </cell>
        </row>
        <row r="152">
          <cell r="B152" t="str">
            <v>Đặng Thị Kiến Trúc</v>
          </cell>
          <cell r="C152" t="str">
            <v>01010024</v>
          </cell>
          <cell r="D152" t="str">
            <v>A3</v>
          </cell>
          <cell r="E152" t="str">
            <v>A3</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A4</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A2</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A1</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A3</v>
          </cell>
          <cell r="E166" t="str">
            <v>A3</v>
          </cell>
        </row>
        <row r="167">
          <cell r="B167" t="str">
            <v>Lê Nguyễn Mỹ Trâm</v>
          </cell>
          <cell r="C167" t="str">
            <v>01010009</v>
          </cell>
          <cell r="D167" t="str">
            <v>A3</v>
          </cell>
          <cell r="E167" t="str">
            <v>A4</v>
          </cell>
        </row>
        <row r="168">
          <cell r="B168" t="str">
            <v>Nguyễn Thị Bảo Trân</v>
          </cell>
          <cell r="C168" t="str">
            <v>01010020</v>
          </cell>
          <cell r="D168" t="str">
            <v>A3</v>
          </cell>
          <cell r="E168" t="str">
            <v>A3</v>
          </cell>
        </row>
        <row r="169">
          <cell r="B169" t="str">
            <v>Vương Thanh Thủy</v>
          </cell>
          <cell r="C169" t="str">
            <v>01010018</v>
          </cell>
          <cell r="D169" t="str">
            <v>A3</v>
          </cell>
          <cell r="E169" t="str">
            <v>A2</v>
          </cell>
        </row>
        <row r="170">
          <cell r="B170" t="str">
            <v>Nguyễn Thị Thu Tâm</v>
          </cell>
          <cell r="C170" t="str">
            <v>01010019</v>
          </cell>
          <cell r="D170" t="str">
            <v>A3</v>
          </cell>
          <cell r="E170" t="str">
            <v>A3</v>
          </cell>
        </row>
        <row r="171">
          <cell r="B171" t="str">
            <v>Võ Thị Hồng Lan</v>
          </cell>
          <cell r="C171" t="str">
            <v>01010015</v>
          </cell>
          <cell r="D171" t="str">
            <v>A3</v>
          </cell>
          <cell r="E171" t="str">
            <v>A4</v>
          </cell>
        </row>
        <row r="172">
          <cell r="B172" t="str">
            <v>Nguyễn Thị Thanh Tú</v>
          </cell>
          <cell r="C172" t="str">
            <v>01010027</v>
          </cell>
          <cell r="D172" t="str">
            <v>A4</v>
          </cell>
          <cell r="E172" t="str">
            <v>A4</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A2</v>
          </cell>
        </row>
        <row r="176">
          <cell r="B176" t="str">
            <v>Trần Hà Trang</v>
          </cell>
          <cell r="C176" t="str">
            <v>01010254</v>
          </cell>
          <cell r="D176" t="str">
            <v>A4</v>
          </cell>
          <cell r="E176" t="str">
            <v>A4</v>
          </cell>
        </row>
        <row r="177">
          <cell r="B177" t="str">
            <v>Lê Thu Hà</v>
          </cell>
          <cell r="C177" t="str">
            <v>01010260</v>
          </cell>
          <cell r="D177" t="str">
            <v>A4</v>
          </cell>
          <cell r="E177" t="str">
            <v>A4</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A3</v>
          </cell>
          <cell r="E181" t="str">
            <v>A3</v>
          </cell>
        </row>
        <row r="182">
          <cell r="B182" t="str">
            <v>Nguyễn Ngọc Quỳnh</v>
          </cell>
          <cell r="C182" t="str">
            <v>01011012</v>
          </cell>
          <cell r="D182" t="str">
            <v>A3</v>
          </cell>
          <cell r="E182" t="str">
            <v>A3</v>
          </cell>
        </row>
        <row r="183">
          <cell r="B183" t="str">
            <v>Nguyễn Thị Dinh</v>
          </cell>
          <cell r="C183" t="str">
            <v>01011005</v>
          </cell>
          <cell r="D183" t="str">
            <v>A3</v>
          </cell>
          <cell r="E183" t="str">
            <v>A3</v>
          </cell>
        </row>
        <row r="184">
          <cell r="B184" t="str">
            <v>Bùi Thành Dũng</v>
          </cell>
          <cell r="C184" t="str">
            <v>01011011</v>
          </cell>
          <cell r="D184" t="str">
            <v>A4</v>
          </cell>
          <cell r="E184" t="str">
            <v>A4</v>
          </cell>
        </row>
        <row r="185">
          <cell r="B185" t="str">
            <v>Lê Thị Mai Hường</v>
          </cell>
          <cell r="C185" t="str">
            <v>01011013</v>
          </cell>
          <cell r="D185" t="str">
            <v>A3</v>
          </cell>
          <cell r="E185" t="str">
            <v>A4</v>
          </cell>
        </row>
        <row r="186">
          <cell r="B186" t="str">
            <v>Đinh Thị Huyên</v>
          </cell>
          <cell r="C186" t="str">
            <v>01011009</v>
          </cell>
          <cell r="D186" t="str">
            <v>A3</v>
          </cell>
          <cell r="E186" t="str">
            <v>A3</v>
          </cell>
        </row>
        <row r="187">
          <cell r="B187" t="str">
            <v>Nguyễn Anh Kiệt</v>
          </cell>
          <cell r="C187" t="str">
            <v>01011001</v>
          </cell>
          <cell r="D187" t="str">
            <v>A4</v>
          </cell>
          <cell r="E187" t="str">
            <v>A4</v>
          </cell>
        </row>
        <row r="188">
          <cell r="B188" t="str">
            <v>Trần Văn Lượng</v>
          </cell>
          <cell r="C188" t="str">
            <v>01011014</v>
          </cell>
          <cell r="D188" t="str">
            <v>A3</v>
          </cell>
          <cell r="E188" t="str">
            <v>A4</v>
          </cell>
        </row>
        <row r="189">
          <cell r="B189" t="str">
            <v>Đỗ Thị Ngát</v>
          </cell>
          <cell r="C189" t="str">
            <v>01011016</v>
          </cell>
          <cell r="D189" t="str">
            <v>A3</v>
          </cell>
          <cell r="E189" t="str">
            <v>A3</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A4</v>
          </cell>
          <cell r="E195" t="str">
            <v>A4</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A2</v>
          </cell>
          <cell r="E200" t="str">
            <v>A2</v>
          </cell>
        </row>
        <row r="201">
          <cell r="B201" t="str">
            <v>Vũ Đức Pháp</v>
          </cell>
          <cell r="C201" t="str">
            <v>01012013</v>
          </cell>
          <cell r="D201" t="str">
            <v>A1</v>
          </cell>
          <cell r="E201" t="str">
            <v>A1</v>
          </cell>
        </row>
        <row r="202">
          <cell r="B202" t="str">
            <v>Bùi Anh Tuấn</v>
          </cell>
          <cell r="C202" t="str">
            <v>01012023</v>
          </cell>
          <cell r="D202" t="str">
            <v>A1</v>
          </cell>
          <cell r="E202" t="str">
            <v>A1</v>
          </cell>
        </row>
        <row r="203">
          <cell r="B203" t="str">
            <v>Dương Minh Chung</v>
          </cell>
          <cell r="C203" t="str">
            <v>01012014</v>
          </cell>
          <cell r="D203" t="str">
            <v>A3</v>
          </cell>
          <cell r="E203" t="str">
            <v>A3</v>
          </cell>
        </row>
        <row r="204">
          <cell r="B204" t="str">
            <v>Đỗ Thị Phương Khanh</v>
          </cell>
          <cell r="C204" t="str">
            <v>01012005</v>
          </cell>
          <cell r="D204" t="str">
            <v>A4</v>
          </cell>
          <cell r="E204" t="str">
            <v>A4</v>
          </cell>
        </row>
        <row r="205">
          <cell r="B205" t="str">
            <v>Trương Thị Phương Hồng</v>
          </cell>
          <cell r="C205" t="str">
            <v>01012006</v>
          </cell>
          <cell r="D205" t="str">
            <v>A1</v>
          </cell>
          <cell r="E205" t="str">
            <v>A3</v>
          </cell>
        </row>
        <row r="206">
          <cell r="B206" t="str">
            <v>Phan Văn Thành</v>
          </cell>
          <cell r="C206" t="str">
            <v>01012004</v>
          </cell>
          <cell r="D206" t="str">
            <v>A4</v>
          </cell>
          <cell r="E206" t="str">
            <v>A4</v>
          </cell>
        </row>
        <row r="207">
          <cell r="B207" t="str">
            <v>Phan Thị Xuân Trang</v>
          </cell>
          <cell r="C207" t="str">
            <v>01012012</v>
          </cell>
          <cell r="D207" t="str">
            <v>A3</v>
          </cell>
          <cell r="E207" t="str">
            <v>A3</v>
          </cell>
        </row>
        <row r="208">
          <cell r="B208" t="str">
            <v>Lư Thị Yến Vũ</v>
          </cell>
          <cell r="C208" t="str">
            <v>01012016</v>
          </cell>
          <cell r="D208" t="str">
            <v>A4</v>
          </cell>
          <cell r="E208" t="str">
            <v>A4</v>
          </cell>
        </row>
        <row r="209">
          <cell r="B209" t="str">
            <v>Nguyễn Thanh Vũ</v>
          </cell>
          <cell r="C209" t="str">
            <v>01012015</v>
          </cell>
          <cell r="D209" t="str">
            <v>A4</v>
          </cell>
          <cell r="E209" t="str">
            <v>A4</v>
          </cell>
        </row>
        <row r="210">
          <cell r="B210" t="str">
            <v>Nguyễn Tiến Dũng</v>
          </cell>
          <cell r="C210" t="str">
            <v>01012019</v>
          </cell>
          <cell r="D210" t="str">
            <v>A3</v>
          </cell>
          <cell r="E210" t="str">
            <v>A3</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A4</v>
          </cell>
          <cell r="E215" t="str">
            <v>A4</v>
          </cell>
        </row>
        <row r="216">
          <cell r="B216" t="str">
            <v>Nguyễn Thanh Vĩnh Phúc</v>
          </cell>
          <cell r="C216" t="str">
            <v>01012011</v>
          </cell>
          <cell r="D216" t="str">
            <v>A3</v>
          </cell>
          <cell r="E216" t="str">
            <v>A3</v>
          </cell>
        </row>
        <row r="217">
          <cell r="B217" t="str">
            <v>Võ Minh Quang</v>
          </cell>
          <cell r="C217" t="str">
            <v>01017002</v>
          </cell>
          <cell r="D217" t="str">
            <v>A4</v>
          </cell>
          <cell r="E217" t="str">
            <v>A4</v>
          </cell>
        </row>
        <row r="218">
          <cell r="B218" t="str">
            <v>Dương Thị Hồng</v>
          </cell>
          <cell r="C218" t="str">
            <v>01012028</v>
          </cell>
          <cell r="D218" t="str">
            <v>A3</v>
          </cell>
          <cell r="E218" t="str">
            <v>A4</v>
          </cell>
        </row>
        <row r="219">
          <cell r="B219" t="str">
            <v>Nguyễn Thanh Giang</v>
          </cell>
          <cell r="C219" t="str">
            <v>01012032</v>
          </cell>
          <cell r="D219" t="str">
            <v>A4</v>
          </cell>
          <cell r="E219" t="str">
            <v>A4</v>
          </cell>
        </row>
        <row r="220">
          <cell r="B220" t="str">
            <v>Nguyễn Hồng Phúc</v>
          </cell>
          <cell r="C220" t="str">
            <v>01025017</v>
          </cell>
          <cell r="D220" t="str">
            <v>A1</v>
          </cell>
          <cell r="E220" t="str">
            <v>A1</v>
          </cell>
        </row>
        <row r="221">
          <cell r="B221" t="str">
            <v>Nguyễn Văn Sơn</v>
          </cell>
          <cell r="C221" t="str">
            <v>01006004</v>
          </cell>
          <cell r="D221" t="str">
            <v>A4</v>
          </cell>
          <cell r="E221" t="str">
            <v>A4</v>
          </cell>
        </row>
        <row r="222">
          <cell r="B222" t="str">
            <v>Nguyễn Khắc Huy</v>
          </cell>
          <cell r="C222" t="str">
            <v>01013068</v>
          </cell>
          <cell r="D222" t="str">
            <v>A1</v>
          </cell>
          <cell r="E222" t="str">
            <v>A3</v>
          </cell>
        </row>
        <row r="223">
          <cell r="B223" t="str">
            <v>Võ Hoài Sơn</v>
          </cell>
          <cell r="C223" t="str">
            <v>01012048</v>
          </cell>
          <cell r="D223" t="str">
            <v>A2</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A2</v>
          </cell>
          <cell r="E229" t="str">
            <v>A2</v>
          </cell>
        </row>
        <row r="230">
          <cell r="B230" t="str">
            <v>Nguyễn Văn Đôn</v>
          </cell>
          <cell r="C230" t="str">
            <v>01015023</v>
          </cell>
          <cell r="D230" t="str">
            <v>A4</v>
          </cell>
          <cell r="E230" t="str">
            <v>A4</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B1</v>
          </cell>
          <cell r="E233" t="str">
            <v>B1</v>
          </cell>
        </row>
        <row r="234">
          <cell r="B234" t="str">
            <v>Huỳnh Quốc Dũng</v>
          </cell>
          <cell r="C234" t="str">
            <v>01015041</v>
          </cell>
          <cell r="D234" t="str">
            <v>A4</v>
          </cell>
          <cell r="E234" t="str">
            <v>A4</v>
          </cell>
        </row>
        <row r="235">
          <cell r="B235" t="str">
            <v>Vũ Thị Thái Linh</v>
          </cell>
          <cell r="C235" t="str">
            <v>01015013</v>
          </cell>
          <cell r="D235" t="str">
            <v>A4</v>
          </cell>
          <cell r="E235" t="str">
            <v>A4</v>
          </cell>
        </row>
        <row r="236">
          <cell r="B236" t="str">
            <v>Nguyễn Văn Minh</v>
          </cell>
          <cell r="C236" t="str">
            <v>01015006</v>
          </cell>
          <cell r="D236" t="str">
            <v>A3</v>
          </cell>
          <cell r="E236" t="str">
            <v>A4</v>
          </cell>
        </row>
        <row r="237">
          <cell r="B237" t="str">
            <v>Nguyễn Cao Phong</v>
          </cell>
          <cell r="C237" t="str">
            <v>01018001</v>
          </cell>
          <cell r="D237" t="str">
            <v>A4</v>
          </cell>
          <cell r="E237" t="str">
            <v>A4</v>
          </cell>
        </row>
        <row r="238">
          <cell r="B238" t="str">
            <v>Lê Quý Hưng Quốc</v>
          </cell>
          <cell r="C238" t="str">
            <v>01015004</v>
          </cell>
          <cell r="D238" t="str">
            <v>A3</v>
          </cell>
          <cell r="E238" t="str">
            <v>A3</v>
          </cell>
        </row>
        <row r="239">
          <cell r="B239" t="str">
            <v>Lê Hồng Thái</v>
          </cell>
          <cell r="C239" t="str">
            <v>01015017</v>
          </cell>
          <cell r="D239" t="str">
            <v>A4</v>
          </cell>
          <cell r="E239" t="str">
            <v>A4</v>
          </cell>
        </row>
        <row r="240">
          <cell r="B240" t="str">
            <v>Nguyễn Thị Khánh Thư</v>
          </cell>
          <cell r="C240" t="str">
            <v>01015016</v>
          </cell>
          <cell r="D240" t="str">
            <v>A4</v>
          </cell>
          <cell r="E240" t="str">
            <v>A4</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A4</v>
          </cell>
        </row>
        <row r="245">
          <cell r="B245" t="str">
            <v>Trần Vĩnh Xuyên</v>
          </cell>
          <cell r="C245" t="str">
            <v>01015008</v>
          </cell>
          <cell r="D245" t="str">
            <v>A4</v>
          </cell>
          <cell r="E245" t="str">
            <v>A4</v>
          </cell>
        </row>
        <row r="246">
          <cell r="B246" t="str">
            <v>Đỗ Thị Hải Yến</v>
          </cell>
          <cell r="C246" t="str">
            <v>01015021</v>
          </cell>
          <cell r="D246" t="str">
            <v>A4</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A4</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A1</v>
          </cell>
        </row>
        <row r="252">
          <cell r="B252" t="str">
            <v>Võ Đắc Thịnh</v>
          </cell>
          <cell r="C252" t="str">
            <v>01013002</v>
          </cell>
          <cell r="D252" t="str">
            <v>A2</v>
          </cell>
          <cell r="E252" t="str">
            <v>A2</v>
          </cell>
        </row>
        <row r="253">
          <cell r="B253" t="str">
            <v>Nguyễn Hữu Mạnh</v>
          </cell>
          <cell r="C253" t="str">
            <v>01013004</v>
          </cell>
          <cell r="D253" t="str">
            <v>A4</v>
          </cell>
          <cell r="E253" t="str">
            <v>A4</v>
          </cell>
        </row>
        <row r="254">
          <cell r="B254" t="str">
            <v>Hà Quốc Bảo</v>
          </cell>
          <cell r="C254" t="str">
            <v>01013021</v>
          </cell>
          <cell r="D254" t="str">
            <v>A3</v>
          </cell>
          <cell r="E254" t="str">
            <v>A3</v>
          </cell>
        </row>
        <row r="255">
          <cell r="B255" t="str">
            <v>Triệu Phú Nguyên</v>
          </cell>
          <cell r="C255" t="str">
            <v>01013006</v>
          </cell>
          <cell r="D255" t="str">
            <v>A2</v>
          </cell>
          <cell r="E255" t="str">
            <v>A2</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B1</v>
          </cell>
          <cell r="E260" t="str">
            <v>A4</v>
          </cell>
        </row>
        <row r="261">
          <cell r="B261" t="str">
            <v>Trần Quốc Duy</v>
          </cell>
          <cell r="C261" t="str">
            <v>01013026</v>
          </cell>
          <cell r="D261" t="str">
            <v>A4</v>
          </cell>
          <cell r="E261" t="str">
            <v>A4</v>
          </cell>
        </row>
        <row r="262">
          <cell r="B262" t="str">
            <v>Hồ Văn Hóa</v>
          </cell>
          <cell r="C262" t="str">
            <v>01013029</v>
          </cell>
          <cell r="D262" t="str">
            <v>A4</v>
          </cell>
          <cell r="E262" t="str">
            <v>A4</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A2</v>
          </cell>
        </row>
        <row r="270">
          <cell r="B270" t="str">
            <v>Nguyễn Hoàng Vinh</v>
          </cell>
          <cell r="C270" t="str">
            <v>01013087</v>
          </cell>
          <cell r="D270" t="str">
            <v>A4</v>
          </cell>
          <cell r="E270" t="str">
            <v>A4</v>
          </cell>
        </row>
        <row r="271">
          <cell r="B271" t="str">
            <v>Đỗ Hoàng Duy</v>
          </cell>
          <cell r="C271" t="str">
            <v>01013061</v>
          </cell>
          <cell r="D271" t="str">
            <v>B1</v>
          </cell>
          <cell r="E271" t="str">
            <v>B1</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A3</v>
          </cell>
          <cell r="E275" t="str">
            <v>A3</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A1</v>
          </cell>
          <cell r="E278" t="str">
            <v>A1</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A3</v>
          </cell>
        </row>
        <row r="283">
          <cell r="B283" t="str">
            <v>Phạm Minh Nghĩa</v>
          </cell>
          <cell r="C283" t="str">
            <v>01023003</v>
          </cell>
          <cell r="D283" t="str">
            <v>A3</v>
          </cell>
          <cell r="E283" t="str">
            <v>A3</v>
          </cell>
        </row>
        <row r="284">
          <cell r="B284" t="str">
            <v>Trần Nguyên Bảo Trân</v>
          </cell>
          <cell r="C284" t="str">
            <v>01014038</v>
          </cell>
          <cell r="D284" t="str">
            <v>A1</v>
          </cell>
          <cell r="E284" t="str">
            <v>A1</v>
          </cell>
        </row>
        <row r="285">
          <cell r="B285" t="str">
            <v>Huỳnh Duy An</v>
          </cell>
          <cell r="C285" t="str">
            <v>01014051</v>
          </cell>
          <cell r="D285" t="str">
            <v>A3</v>
          </cell>
          <cell r="E285" t="str">
            <v>A3</v>
          </cell>
        </row>
        <row r="286">
          <cell r="B286" t="str">
            <v>Ngô Hoàng Anh</v>
          </cell>
          <cell r="C286" t="str">
            <v>01014005</v>
          </cell>
          <cell r="D286" t="str">
            <v>A4</v>
          </cell>
          <cell r="E286" t="str">
            <v>A4</v>
          </cell>
        </row>
        <row r="287">
          <cell r="B287" t="str">
            <v>Trần Nam Anh</v>
          </cell>
          <cell r="C287" t="str">
            <v>01014046</v>
          </cell>
          <cell r="D287" t="str">
            <v>A3</v>
          </cell>
          <cell r="E287" t="str">
            <v>A3</v>
          </cell>
        </row>
        <row r="288">
          <cell r="B288" t="str">
            <v>Vũ Hạnh Chiêu</v>
          </cell>
          <cell r="C288" t="str">
            <v>01014026</v>
          </cell>
          <cell r="D288" t="str">
            <v>A4</v>
          </cell>
          <cell r="E288" t="str">
            <v>A4</v>
          </cell>
        </row>
        <row r="289">
          <cell r="B289" t="str">
            <v>Ngô Phong Cường</v>
          </cell>
          <cell r="C289" t="str">
            <v>01014029</v>
          </cell>
          <cell r="D289" t="str">
            <v>A4</v>
          </cell>
          <cell r="E289" t="str">
            <v>A4</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A4</v>
          </cell>
          <cell r="E292" t="str">
            <v>A4</v>
          </cell>
        </row>
        <row r="293">
          <cell r="B293" t="str">
            <v>Nguyễn Thị Ngọc Hiền</v>
          </cell>
          <cell r="C293" t="str">
            <v>01014034</v>
          </cell>
          <cell r="D293" t="str">
            <v>A4</v>
          </cell>
          <cell r="E293" t="str">
            <v>A4</v>
          </cell>
        </row>
        <row r="294">
          <cell r="B294" t="str">
            <v>Trần Trung Hiếu</v>
          </cell>
          <cell r="C294" t="str">
            <v>01014020</v>
          </cell>
          <cell r="D294" t="str">
            <v>A4</v>
          </cell>
          <cell r="E294" t="str">
            <v>A4</v>
          </cell>
        </row>
        <row r="295">
          <cell r="B295" t="str">
            <v>Mạnh Lê Hoàn</v>
          </cell>
          <cell r="C295" t="str">
            <v>01014018</v>
          </cell>
          <cell r="D295" t="str">
            <v>A4</v>
          </cell>
          <cell r="E295" t="str">
            <v>A4</v>
          </cell>
        </row>
        <row r="296">
          <cell r="B296" t="str">
            <v>Phan Thanh Hoàng</v>
          </cell>
          <cell r="C296" t="str">
            <v>01014042</v>
          </cell>
          <cell r="D296" t="str">
            <v>A4</v>
          </cell>
          <cell r="E296" t="str">
            <v>A4</v>
          </cell>
        </row>
        <row r="297">
          <cell r="B297" t="str">
            <v>Lê Thế Huân</v>
          </cell>
          <cell r="C297" t="str">
            <v>01014019</v>
          </cell>
          <cell r="D297" t="str">
            <v>A4</v>
          </cell>
          <cell r="E297" t="str">
            <v>A4</v>
          </cell>
        </row>
        <row r="298">
          <cell r="B298" t="str">
            <v>Tăng Cẩm Huê</v>
          </cell>
          <cell r="C298" t="str">
            <v>01014010</v>
          </cell>
          <cell r="D298" t="str">
            <v>A3</v>
          </cell>
          <cell r="E298" t="str">
            <v>A4</v>
          </cell>
        </row>
        <row r="299">
          <cell r="B299" t="str">
            <v>Nguyễn Thùy Linh</v>
          </cell>
          <cell r="C299" t="str">
            <v>01014030</v>
          </cell>
          <cell r="D299" t="str">
            <v>A3</v>
          </cell>
          <cell r="E299" t="str">
            <v>A3</v>
          </cell>
        </row>
        <row r="300">
          <cell r="B300" t="str">
            <v>Đặng Đức Minh</v>
          </cell>
          <cell r="C300" t="str">
            <v>01014024</v>
          </cell>
          <cell r="D300" t="str">
            <v>A3</v>
          </cell>
          <cell r="E300" t="str">
            <v>A4</v>
          </cell>
        </row>
        <row r="301">
          <cell r="B301" t="str">
            <v>Trần Giang Nam</v>
          </cell>
          <cell r="C301" t="str">
            <v>01014048</v>
          </cell>
          <cell r="D301" t="str">
            <v>A3</v>
          </cell>
          <cell r="E301" t="str">
            <v>A3</v>
          </cell>
        </row>
        <row r="302">
          <cell r="B302" t="str">
            <v>Nguyễn Thị Tố Nga</v>
          </cell>
          <cell r="C302" t="str">
            <v>01014022</v>
          </cell>
          <cell r="D302" t="str">
            <v>A4</v>
          </cell>
          <cell r="E302" t="str">
            <v>A4</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A4</v>
          </cell>
        </row>
        <row r="305">
          <cell r="B305" t="str">
            <v>Nguyễn Anh Tăng</v>
          </cell>
          <cell r="C305" t="str">
            <v>01014006</v>
          </cell>
          <cell r="D305" t="str">
            <v>A3</v>
          </cell>
          <cell r="E305" t="str">
            <v>A4</v>
          </cell>
        </row>
        <row r="306">
          <cell r="B306" t="str">
            <v>Nguyễn Khương Thành</v>
          </cell>
          <cell r="C306" t="str">
            <v>01014052</v>
          </cell>
          <cell r="D306" t="str">
            <v>A4</v>
          </cell>
          <cell r="E306" t="str">
            <v>A4</v>
          </cell>
        </row>
        <row r="307">
          <cell r="B307" t="str">
            <v>Trần Công Tiến</v>
          </cell>
          <cell r="C307" t="str">
            <v>01014009</v>
          </cell>
          <cell r="D307" t="str">
            <v>A4</v>
          </cell>
          <cell r="E307" t="str">
            <v>A4</v>
          </cell>
        </row>
        <row r="308">
          <cell r="B308" t="str">
            <v>Cao Văn Tuấn</v>
          </cell>
          <cell r="C308" t="str">
            <v>01014045</v>
          </cell>
          <cell r="D308" t="str">
            <v>A3</v>
          </cell>
          <cell r="E308" t="str">
            <v>A3</v>
          </cell>
        </row>
        <row r="309">
          <cell r="B309" t="str">
            <v>Trần Hiếu Trinh</v>
          </cell>
          <cell r="C309" t="str">
            <v>01014021</v>
          </cell>
          <cell r="D309" t="str">
            <v>A4</v>
          </cell>
          <cell r="E309" t="str">
            <v>A4</v>
          </cell>
        </row>
        <row r="310">
          <cell r="B310" t="str">
            <v>Nguyễn Văn Yên</v>
          </cell>
          <cell r="C310" t="str">
            <v>01014016</v>
          </cell>
          <cell r="D310" t="str">
            <v>A4</v>
          </cell>
          <cell r="E310" t="str">
            <v>A4</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A3</v>
          </cell>
          <cell r="E313" t="str">
            <v>A2</v>
          </cell>
        </row>
        <row r="314">
          <cell r="B314" t="str">
            <v>Chế Vân Cầm</v>
          </cell>
          <cell r="C314" t="str">
            <v>01016004</v>
          </cell>
          <cell r="D314" t="str">
            <v>A3</v>
          </cell>
          <cell r="E314" t="str">
            <v>A3</v>
          </cell>
        </row>
        <row r="315">
          <cell r="B315" t="str">
            <v>Nguyễn Bạch Cẩm Dung</v>
          </cell>
          <cell r="C315" t="str">
            <v>01016002</v>
          </cell>
          <cell r="D315" t="str">
            <v>A3</v>
          </cell>
          <cell r="E315" t="str">
            <v>A4</v>
          </cell>
        </row>
        <row r="316">
          <cell r="B316" t="str">
            <v>Nguyễn Thị Hiền</v>
          </cell>
          <cell r="C316" t="str">
            <v>01016006</v>
          </cell>
          <cell r="D316" t="str">
            <v>A3</v>
          </cell>
          <cell r="E316" t="str">
            <v>A4</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A3</v>
          </cell>
        </row>
        <row r="325">
          <cell r="B325" t="str">
            <v>Đinh Đồng Hiệp</v>
          </cell>
          <cell r="C325" t="str">
            <v>01013020</v>
          </cell>
          <cell r="D325" t="str">
            <v>A3</v>
          </cell>
          <cell r="E325" t="str">
            <v>A3</v>
          </cell>
        </row>
        <row r="326">
          <cell r="B326" t="str">
            <v>Võ Anh Hào</v>
          </cell>
          <cell r="C326" t="str">
            <v>01013010</v>
          </cell>
          <cell r="D326" t="str">
            <v>A4</v>
          </cell>
          <cell r="E326" t="str">
            <v>A4</v>
          </cell>
        </row>
        <row r="327">
          <cell r="B327" t="str">
            <v>Đặng Thế Huân</v>
          </cell>
          <cell r="C327" t="str">
            <v>01013009</v>
          </cell>
          <cell r="D327" t="str">
            <v>A3</v>
          </cell>
          <cell r="E327" t="str">
            <v>A3</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A3</v>
          </cell>
          <cell r="E332" t="str">
            <v>A3</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A3</v>
          </cell>
        </row>
        <row r="340">
          <cell r="B340" t="str">
            <v>Trần Thị Ngọc Dung</v>
          </cell>
          <cell r="C340" t="str">
            <v>01025016</v>
          </cell>
          <cell r="D340" t="str">
            <v>A2</v>
          </cell>
          <cell r="E340" t="str">
            <v>A3</v>
          </cell>
        </row>
        <row r="341">
          <cell r="B341" t="str">
            <v>Cao Xuân Giang</v>
          </cell>
          <cell r="C341" t="str">
            <v>01025018</v>
          </cell>
          <cell r="D341" t="str">
            <v>A3</v>
          </cell>
          <cell r="E341" t="str">
            <v>A4</v>
          </cell>
        </row>
        <row r="342">
          <cell r="B342" t="str">
            <v>Nguyễn Thị Thanh Hòa</v>
          </cell>
          <cell r="C342" t="str">
            <v>01009027</v>
          </cell>
          <cell r="D342" t="str">
            <v>A2</v>
          </cell>
          <cell r="E342" t="str">
            <v>A4</v>
          </cell>
        </row>
        <row r="343">
          <cell r="B343" t="str">
            <v>Huỳnh Kim Liên</v>
          </cell>
          <cell r="C343" t="str">
            <v>01025052</v>
          </cell>
          <cell r="D343" t="str">
            <v>A2</v>
          </cell>
          <cell r="E343" t="str">
            <v>A4</v>
          </cell>
        </row>
        <row r="344">
          <cell r="B344" t="str">
            <v>Lê Hồng Ngọc My</v>
          </cell>
          <cell r="C344" t="str">
            <v>01015053</v>
          </cell>
          <cell r="D344" t="str">
            <v>A2</v>
          </cell>
          <cell r="E344" t="str">
            <v>A4</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A2</v>
          </cell>
        </row>
        <row r="347">
          <cell r="B347" t="str">
            <v>Nguyễn Mỹ Tiên</v>
          </cell>
          <cell r="C347" t="str">
            <v>01025015</v>
          </cell>
          <cell r="D347" t="str">
            <v>A3</v>
          </cell>
          <cell r="E347" t="str">
            <v>A4</v>
          </cell>
        </row>
        <row r="348">
          <cell r="B348" t="str">
            <v>Nguyễn Huỳnh Lưu Phương</v>
          </cell>
          <cell r="C348" t="str">
            <v>01025101</v>
          </cell>
          <cell r="D348" t="str">
            <v>A3</v>
          </cell>
          <cell r="E348" t="str">
            <v>A4</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A1</v>
          </cell>
          <cell r="E352" t="str">
            <v>A3</v>
          </cell>
        </row>
        <row r="353">
          <cell r="B353" t="str">
            <v>Phạm Thị Thanh Thúy</v>
          </cell>
          <cell r="C353" t="str">
            <v>01016003</v>
          </cell>
          <cell r="D353" t="str">
            <v>A2</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A3</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A1</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A2</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A3</v>
          </cell>
          <cell r="E396" t="str">
            <v>B1</v>
          </cell>
        </row>
        <row r="397">
          <cell r="B397">
            <v>0</v>
          </cell>
          <cell r="C397">
            <v>0</v>
          </cell>
          <cell r="D397">
            <v>0</v>
          </cell>
          <cell r="E397">
            <v>0</v>
          </cell>
        </row>
        <row r="398">
          <cell r="B398" t="str">
            <v>Tổng số CB-GV-NV</v>
          </cell>
          <cell r="C398">
            <v>0</v>
          </cell>
          <cell r="D398">
            <v>330</v>
          </cell>
          <cell r="E398">
            <v>0</v>
          </cell>
        </row>
        <row r="399">
          <cell r="B399" t="str">
            <v xml:space="preserve">Xếp loại A1: </v>
          </cell>
          <cell r="C399" t="str">
            <v>A1</v>
          </cell>
          <cell r="D399">
            <v>47</v>
          </cell>
          <cell r="E399">
            <v>0</v>
          </cell>
        </row>
        <row r="400">
          <cell r="B400" t="str">
            <v>Xếp loại A2:</v>
          </cell>
          <cell r="C400" t="str">
            <v>A2</v>
          </cell>
          <cell r="D400">
            <v>53</v>
          </cell>
          <cell r="E400">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cell r="M10">
            <v>0</v>
          </cell>
        </row>
        <row r="11">
          <cell r="H11" t="str">
            <v>Đinh Văn Đệ</v>
          </cell>
          <cell r="J11">
            <v>28</v>
          </cell>
          <cell r="M11">
            <v>0</v>
          </cell>
        </row>
        <row r="12">
          <cell r="H12" t="str">
            <v>Đinh Hồng Minh</v>
          </cell>
          <cell r="J12">
            <v>28</v>
          </cell>
          <cell r="M12">
            <v>0</v>
          </cell>
        </row>
        <row r="13">
          <cell r="H13" t="str">
            <v>Châu Văn Bảo</v>
          </cell>
          <cell r="J13">
            <v>29</v>
          </cell>
          <cell r="M13">
            <v>0</v>
          </cell>
        </row>
        <row r="14">
          <cell r="H14" t="str">
            <v>Lâm Viết Dũng</v>
          </cell>
          <cell r="J14">
            <v>29</v>
          </cell>
          <cell r="M14">
            <v>0</v>
          </cell>
        </row>
        <row r="15">
          <cell r="H15" t="str">
            <v>Lưu Hoàng Hải Yến</v>
          </cell>
          <cell r="J15">
            <v>22.5</v>
          </cell>
          <cell r="M15" t="str">
            <v>Trừ 1 ngày nghỉ phép 28/3</v>
          </cell>
        </row>
        <row r="16">
          <cell r="H16" t="str">
            <v>Huỳnh Thị Minh Ly</v>
          </cell>
          <cell r="J16">
            <v>28</v>
          </cell>
          <cell r="M16">
            <v>0</v>
          </cell>
        </row>
        <row r="17">
          <cell r="H17" t="str">
            <v>Nguyễn Văn Chì</v>
          </cell>
          <cell r="J17">
            <v>22</v>
          </cell>
          <cell r="M17">
            <v>0</v>
          </cell>
        </row>
        <row r="18">
          <cell r="H18" t="str">
            <v>Nguyễn Thị Vân</v>
          </cell>
          <cell r="J18">
            <v>24</v>
          </cell>
          <cell r="M18">
            <v>0</v>
          </cell>
        </row>
        <row r="19">
          <cell r="H19" t="str">
            <v>Phan Thị Ngọc Phượng</v>
          </cell>
          <cell r="J19">
            <v>24</v>
          </cell>
          <cell r="M19">
            <v>0</v>
          </cell>
        </row>
        <row r="20">
          <cell r="H20" t="str">
            <v>Trần Thị Ánh Phượng</v>
          </cell>
          <cell r="J20">
            <v>21.5</v>
          </cell>
          <cell r="M20" t="str">
            <v>Trừ 1 ngày nghỉ phép 1/3</v>
          </cell>
        </row>
        <row r="21">
          <cell r="H21" t="str">
            <v>Thân Thị Nhung</v>
          </cell>
          <cell r="J21">
            <v>21.5</v>
          </cell>
          <cell r="M21">
            <v>0</v>
          </cell>
        </row>
        <row r="22">
          <cell r="H22" t="str">
            <v>Trần Thị Phương Oanh</v>
          </cell>
          <cell r="J22">
            <v>21.5</v>
          </cell>
          <cell r="M22">
            <v>0</v>
          </cell>
        </row>
        <row r="23">
          <cell r="H23" t="str">
            <v>Vũ Như Quỳnh</v>
          </cell>
          <cell r="J23">
            <v>23</v>
          </cell>
          <cell r="M23">
            <v>0</v>
          </cell>
        </row>
        <row r="24">
          <cell r="H24" t="str">
            <v>Nguyễn Thị Bích Liễu</v>
          </cell>
          <cell r="J24">
            <v>23</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26</v>
          </cell>
          <cell r="M29">
            <v>0</v>
          </cell>
        </row>
        <row r="30">
          <cell r="H30" t="str">
            <v>Lê Hồng Anh Tuấn</v>
          </cell>
          <cell r="J30">
            <v>22</v>
          </cell>
          <cell r="M30">
            <v>0</v>
          </cell>
        </row>
        <row r="31">
          <cell r="H31" t="str">
            <v>Giáp Văn Thịnh</v>
          </cell>
          <cell r="J31">
            <v>21</v>
          </cell>
          <cell r="M31">
            <v>0</v>
          </cell>
        </row>
        <row r="32">
          <cell r="H32" t="str">
            <v>Vũ Ngọc Quang</v>
          </cell>
          <cell r="J32">
            <v>21</v>
          </cell>
          <cell r="M32">
            <v>0</v>
          </cell>
        </row>
        <row r="33">
          <cell r="H33" t="str">
            <v>Bùi Thị Dương</v>
          </cell>
          <cell r="J33">
            <v>25</v>
          </cell>
          <cell r="M33" t="str">
            <v>Trừ 1 ngày nghỉ phép 27/3</v>
          </cell>
        </row>
        <row r="34">
          <cell r="H34" t="str">
            <v>Phan Hữu Tước</v>
          </cell>
          <cell r="J34">
            <v>25</v>
          </cell>
          <cell r="M34">
            <v>0</v>
          </cell>
        </row>
        <row r="35">
          <cell r="H35" t="str">
            <v>Trang Thị Xuân Uyên</v>
          </cell>
          <cell r="J35">
            <v>26</v>
          </cell>
          <cell r="M35">
            <v>0</v>
          </cell>
        </row>
        <row r="36">
          <cell r="H36" t="str">
            <v>Bùi Thị Lan Anh</v>
          </cell>
          <cell r="J36">
            <v>26</v>
          </cell>
          <cell r="M36">
            <v>0</v>
          </cell>
        </row>
        <row r="37">
          <cell r="H37" t="str">
            <v>Nguyễn Kính</v>
          </cell>
          <cell r="J37">
            <v>27</v>
          </cell>
          <cell r="M37">
            <v>0</v>
          </cell>
        </row>
        <row r="38">
          <cell r="H38" t="str">
            <v>Võ Thị Lệ Trân</v>
          </cell>
          <cell r="J38">
            <v>25</v>
          </cell>
          <cell r="M38">
            <v>0</v>
          </cell>
        </row>
        <row r="39">
          <cell r="H39" t="str">
            <v>Trần Thị Minh Thoa</v>
          </cell>
          <cell r="J39">
            <v>25</v>
          </cell>
          <cell r="M39">
            <v>0</v>
          </cell>
        </row>
        <row r="40">
          <cell r="H40" t="str">
            <v>Hồng Mộng Tuyết Dung</v>
          </cell>
          <cell r="J40">
            <v>25</v>
          </cell>
          <cell r="M40">
            <v>0</v>
          </cell>
        </row>
        <row r="41">
          <cell r="H41" t="str">
            <v>Nguyễn Thị Hồng Thắm</v>
          </cell>
          <cell r="J41">
            <v>26</v>
          </cell>
          <cell r="M41">
            <v>0</v>
          </cell>
        </row>
        <row r="42">
          <cell r="H42" t="str">
            <v>Nguyễn Văn Chiến</v>
          </cell>
          <cell r="J42">
            <v>27</v>
          </cell>
          <cell r="M42">
            <v>0</v>
          </cell>
        </row>
        <row r="43">
          <cell r="H43" t="str">
            <v>Lê Xuân Thiện</v>
          </cell>
          <cell r="J43">
            <v>24</v>
          </cell>
          <cell r="M43">
            <v>0</v>
          </cell>
        </row>
        <row r="44">
          <cell r="H44" t="str">
            <v>Nguyễn Tất Thắng</v>
          </cell>
          <cell r="J44">
            <v>21</v>
          </cell>
          <cell r="M44">
            <v>0</v>
          </cell>
        </row>
        <row r="45">
          <cell r="H45" t="str">
            <v>Trần Thị Thu Hà</v>
          </cell>
          <cell r="J45">
            <v>24</v>
          </cell>
          <cell r="M45">
            <v>0</v>
          </cell>
        </row>
        <row r="46">
          <cell r="H46" t="str">
            <v>Phạm Thị Lê Chi</v>
          </cell>
          <cell r="J46">
            <v>22</v>
          </cell>
          <cell r="M46">
            <v>0</v>
          </cell>
        </row>
        <row r="47">
          <cell r="H47" t="str">
            <v>Nguyễn Thùy Dương</v>
          </cell>
          <cell r="J47">
            <v>22</v>
          </cell>
          <cell r="M47">
            <v>0</v>
          </cell>
        </row>
        <row r="48">
          <cell r="H48" t="str">
            <v>Nguyễn Thị Kim Anh</v>
          </cell>
          <cell r="J48">
            <v>22</v>
          </cell>
          <cell r="M48">
            <v>0</v>
          </cell>
        </row>
        <row r="49">
          <cell r="H49" t="str">
            <v>Mai Thu Hương</v>
          </cell>
          <cell r="J49">
            <v>22</v>
          </cell>
          <cell r="M49">
            <v>0</v>
          </cell>
        </row>
        <row r="50">
          <cell r="H50" t="str">
            <v>Nguyễn Thành Nam</v>
          </cell>
          <cell r="J50">
            <v>26.5</v>
          </cell>
          <cell r="M50">
            <v>0</v>
          </cell>
        </row>
        <row r="51">
          <cell r="H51" t="str">
            <v>Quách Minh Thử</v>
          </cell>
          <cell r="J51">
            <v>31</v>
          </cell>
          <cell r="M51">
            <v>0</v>
          </cell>
        </row>
        <row r="52">
          <cell r="H52" t="str">
            <v>Võ Thị Xuân Thơ</v>
          </cell>
          <cell r="J52">
            <v>26.5</v>
          </cell>
          <cell r="M52">
            <v>0</v>
          </cell>
        </row>
        <row r="53">
          <cell r="H53" t="str">
            <v>Mai Nguyễn Hoàng Yến</v>
          </cell>
          <cell r="J53">
            <v>27</v>
          </cell>
          <cell r="M53">
            <v>0</v>
          </cell>
        </row>
        <row r="54">
          <cell r="H54" t="str">
            <v>Nguyễn Thị Hải Hà</v>
          </cell>
          <cell r="J54">
            <v>26</v>
          </cell>
          <cell r="M54">
            <v>0</v>
          </cell>
        </row>
        <row r="55">
          <cell r="H55" t="str">
            <v>Nguyễn Thị Thanh Thảo</v>
          </cell>
          <cell r="J55">
            <v>25</v>
          </cell>
          <cell r="M55">
            <v>0</v>
          </cell>
        </row>
        <row r="56">
          <cell r="H56" t="str">
            <v>Thái Thị My Sa</v>
          </cell>
          <cell r="J56">
            <v>26.5</v>
          </cell>
          <cell r="M56">
            <v>0</v>
          </cell>
        </row>
        <row r="57">
          <cell r="H57" t="str">
            <v>Giáp Thị Vượng</v>
          </cell>
          <cell r="J57">
            <v>27</v>
          </cell>
          <cell r="M57">
            <v>0</v>
          </cell>
        </row>
        <row r="58">
          <cell r="H58" t="str">
            <v>Huỳnh Thị Cẩm Hoa</v>
          </cell>
          <cell r="J58">
            <v>23.5</v>
          </cell>
          <cell r="M58">
            <v>0</v>
          </cell>
        </row>
        <row r="59">
          <cell r="H59" t="str">
            <v>Nguyễn Thị Thùy</v>
          </cell>
          <cell r="J59">
            <v>26.5</v>
          </cell>
          <cell r="M59">
            <v>0</v>
          </cell>
        </row>
        <row r="60">
          <cell r="H60" t="str">
            <v>Nguyễn Thị Ngọc Anh</v>
          </cell>
          <cell r="J60">
            <v>24.5</v>
          </cell>
          <cell r="M60" t="str">
            <v>Trừ 1 ngày nghỉ phép 1/3</v>
          </cell>
        </row>
        <row r="61">
          <cell r="H61" t="str">
            <v>Nguyễn Chí Nhân</v>
          </cell>
          <cell r="J61">
            <v>25</v>
          </cell>
          <cell r="M61">
            <v>0</v>
          </cell>
        </row>
        <row r="62">
          <cell r="H62" t="str">
            <v>Nguyễn Thị Kim Dung</v>
          </cell>
          <cell r="J62">
            <v>22</v>
          </cell>
          <cell r="M62">
            <v>0</v>
          </cell>
        </row>
        <row r="63">
          <cell r="H63" t="str">
            <v>Nguyễn Thanh Sơn</v>
          </cell>
          <cell r="J63">
            <v>21</v>
          </cell>
          <cell r="M63">
            <v>0</v>
          </cell>
        </row>
        <row r="64">
          <cell r="H64" t="str">
            <v>Lương Minh Dũng</v>
          </cell>
          <cell r="J64">
            <v>22</v>
          </cell>
          <cell r="M64">
            <v>0</v>
          </cell>
        </row>
        <row r="65">
          <cell r="H65" t="str">
            <v>Nguyễn Thị Tuyết</v>
          </cell>
          <cell r="J65">
            <v>21</v>
          </cell>
          <cell r="M65">
            <v>0</v>
          </cell>
        </row>
        <row r="66">
          <cell r="H66" t="str">
            <v>Vũ Thị Thu Thủy</v>
          </cell>
          <cell r="J66">
            <v>21</v>
          </cell>
          <cell r="M66">
            <v>0</v>
          </cell>
        </row>
        <row r="67">
          <cell r="H67" t="str">
            <v>Nguyễn Trọng Nghĩa</v>
          </cell>
          <cell r="J67">
            <v>21</v>
          </cell>
          <cell r="M67">
            <v>0</v>
          </cell>
        </row>
        <row r="68">
          <cell r="H68" t="str">
            <v>Lê Thị Hải Đăng</v>
          </cell>
          <cell r="J68">
            <v>22</v>
          </cell>
          <cell r="M68">
            <v>0</v>
          </cell>
        </row>
        <row r="69">
          <cell r="H69" t="str">
            <v>Nguyễn Hữu Thiện</v>
          </cell>
          <cell r="J69">
            <v>27</v>
          </cell>
          <cell r="M69">
            <v>0</v>
          </cell>
        </row>
        <row r="70">
          <cell r="H70" t="str">
            <v>Vương Hội Khánh</v>
          </cell>
          <cell r="J70">
            <v>26</v>
          </cell>
          <cell r="M70">
            <v>0</v>
          </cell>
        </row>
        <row r="71">
          <cell r="H71" t="str">
            <v>Trương Hữu Lộc</v>
          </cell>
          <cell r="J71">
            <v>25</v>
          </cell>
          <cell r="M71">
            <v>0</v>
          </cell>
        </row>
        <row r="72">
          <cell r="H72" t="str">
            <v>Trương Thị Hồng</v>
          </cell>
          <cell r="J72">
            <v>26</v>
          </cell>
          <cell r="M72">
            <v>0</v>
          </cell>
        </row>
        <row r="73">
          <cell r="H73" t="str">
            <v>Lương Xuân Thịnh</v>
          </cell>
          <cell r="J73">
            <v>31</v>
          </cell>
          <cell r="M73">
            <v>0</v>
          </cell>
        </row>
        <row r="74">
          <cell r="H74" t="str">
            <v>Nguyễn Cao Thắng</v>
          </cell>
          <cell r="J74">
            <v>31</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28</v>
          </cell>
          <cell r="M77">
            <v>0</v>
          </cell>
        </row>
        <row r="78">
          <cell r="H78" t="str">
            <v>Võ Tấn Kiệt</v>
          </cell>
          <cell r="J78">
            <v>28</v>
          </cell>
          <cell r="M78">
            <v>0</v>
          </cell>
        </row>
        <row r="79">
          <cell r="H79" t="str">
            <v>Hồ Ngọc Chi</v>
          </cell>
          <cell r="J79">
            <v>21.5</v>
          </cell>
          <cell r="M79">
            <v>0</v>
          </cell>
        </row>
        <row r="80">
          <cell r="H80" t="str">
            <v>Nguyễn Tứ Cảnh</v>
          </cell>
          <cell r="J80">
            <v>21</v>
          </cell>
          <cell r="M80">
            <v>0</v>
          </cell>
        </row>
        <row r="81">
          <cell r="H81" t="str">
            <v>Đặng Thu Hà</v>
          </cell>
          <cell r="J81">
            <v>22.5</v>
          </cell>
          <cell r="M81">
            <v>0</v>
          </cell>
        </row>
        <row r="82">
          <cell r="H82" t="str">
            <v>Trần Thị Diễm Thúy</v>
          </cell>
          <cell r="J82">
            <v>21.5</v>
          </cell>
          <cell r="M82">
            <v>0</v>
          </cell>
        </row>
        <row r="83">
          <cell r="H83" t="str">
            <v>Trịnh Hoàng Hiệp</v>
          </cell>
          <cell r="J83">
            <v>21</v>
          </cell>
          <cell r="M83">
            <v>0</v>
          </cell>
        </row>
        <row r="84">
          <cell r="H84" t="str">
            <v>Phạm Quỳnh Như</v>
          </cell>
          <cell r="J84">
            <v>21</v>
          </cell>
          <cell r="M84">
            <v>0</v>
          </cell>
        </row>
        <row r="85">
          <cell r="H85" t="str">
            <v>Lê Thị Thu Thảo</v>
          </cell>
          <cell r="J85">
            <v>21</v>
          </cell>
          <cell r="M85">
            <v>0</v>
          </cell>
        </row>
        <row r="86">
          <cell r="H86" t="str">
            <v>Lưu Thị Thúy</v>
          </cell>
          <cell r="J86">
            <v>21</v>
          </cell>
          <cell r="M86">
            <v>0</v>
          </cell>
        </row>
        <row r="87">
          <cell r="H87" t="str">
            <v>Nguyễn Thị Minh Thùy</v>
          </cell>
          <cell r="J87">
            <v>26</v>
          </cell>
          <cell r="M87" t="str">
            <v>Hỗ trợ công việc phòng KHTC</v>
          </cell>
        </row>
        <row r="88">
          <cell r="H88" t="str">
            <v>Nguyễn Mỹ Tiên</v>
          </cell>
          <cell r="J88">
            <v>21</v>
          </cell>
          <cell r="M88">
            <v>0</v>
          </cell>
        </row>
        <row r="89">
          <cell r="H89" t="str">
            <v>Trần Thị Ngọc Dung</v>
          </cell>
          <cell r="J89">
            <v>21</v>
          </cell>
          <cell r="M89">
            <v>0</v>
          </cell>
        </row>
        <row r="90">
          <cell r="H90" t="str">
            <v>Cao Xuân Giang</v>
          </cell>
          <cell r="J90">
            <v>21</v>
          </cell>
          <cell r="M90">
            <v>0</v>
          </cell>
        </row>
        <row r="91">
          <cell r="H91" t="str">
            <v>Lê Thị Thúy Oanh</v>
          </cell>
          <cell r="J91">
            <v>21</v>
          </cell>
          <cell r="M91">
            <v>0</v>
          </cell>
        </row>
        <row r="92">
          <cell r="H92" t="str">
            <v>Nguyễn Thị Thanh Hòa</v>
          </cell>
          <cell r="J92">
            <v>21</v>
          </cell>
          <cell r="M92">
            <v>0</v>
          </cell>
        </row>
        <row r="93">
          <cell r="H93" t="str">
            <v>Huỳnh Kim Liên</v>
          </cell>
          <cell r="J93">
            <v>21</v>
          </cell>
          <cell r="M93">
            <v>0</v>
          </cell>
        </row>
        <row r="94">
          <cell r="H94" t="str">
            <v>Nguyễn Huỳnh Lưu Phương</v>
          </cell>
          <cell r="J94">
            <v>21</v>
          </cell>
          <cell r="M94">
            <v>0</v>
          </cell>
        </row>
        <row r="95">
          <cell r="H95" t="str">
            <v>Hồ Gia Bảo</v>
          </cell>
          <cell r="J95">
            <v>21</v>
          </cell>
          <cell r="M95">
            <v>0</v>
          </cell>
        </row>
        <row r="96">
          <cell r="H96" t="str">
            <v>Lữ Xuân Trang</v>
          </cell>
          <cell r="J96">
            <v>21</v>
          </cell>
          <cell r="M96">
            <v>0</v>
          </cell>
        </row>
        <row r="97">
          <cell r="H97" t="str">
            <v>Phạm Thị Thanh Thúy</v>
          </cell>
          <cell r="J97">
            <v>21</v>
          </cell>
          <cell r="M97">
            <v>0</v>
          </cell>
        </row>
        <row r="98">
          <cell r="H98" t="str">
            <v>Đinh Thị Trâm</v>
          </cell>
          <cell r="J98">
            <v>21</v>
          </cell>
          <cell r="M98">
            <v>0</v>
          </cell>
        </row>
        <row r="99">
          <cell r="H99" t="str">
            <v>Võ Thị Kim Thư</v>
          </cell>
          <cell r="J99">
            <v>21</v>
          </cell>
          <cell r="M99">
            <v>0</v>
          </cell>
        </row>
        <row r="100">
          <cell r="H100" t="str">
            <v>Lê Hồng Ngọc My</v>
          </cell>
          <cell r="J100">
            <v>21</v>
          </cell>
          <cell r="M100">
            <v>0</v>
          </cell>
        </row>
        <row r="101">
          <cell r="H101" t="str">
            <v>Nguyễn Hoàng Thanh Ngân</v>
          </cell>
          <cell r="J101">
            <v>0</v>
          </cell>
          <cell r="M101" t="str">
            <v>Đi du học nước ngoài từ 28/2/2023</v>
          </cell>
        </row>
        <row r="102">
          <cell r="H102" t="str">
            <v>Nguyễn Ngọc Thọ</v>
          </cell>
          <cell r="J102">
            <v>21</v>
          </cell>
          <cell r="M102">
            <v>0</v>
          </cell>
        </row>
        <row r="103">
          <cell r="H103" t="str">
            <v>Nguyễn Bạch Cẩm Dung</v>
          </cell>
          <cell r="J103">
            <v>21</v>
          </cell>
          <cell r="M103">
            <v>0</v>
          </cell>
        </row>
        <row r="104">
          <cell r="H104" t="str">
            <v>Lâm Thị Phương Thùy</v>
          </cell>
          <cell r="J104">
            <v>21</v>
          </cell>
          <cell r="M104">
            <v>0</v>
          </cell>
        </row>
        <row r="105">
          <cell r="H105" t="str">
            <v>Nguyễn Thị Hiền</v>
          </cell>
          <cell r="J105">
            <v>21</v>
          </cell>
          <cell r="M105">
            <v>0</v>
          </cell>
        </row>
        <row r="106">
          <cell r="H106" t="str">
            <v>Chế Vân Cầm</v>
          </cell>
          <cell r="J106">
            <v>21</v>
          </cell>
          <cell r="M106">
            <v>0</v>
          </cell>
        </row>
        <row r="107">
          <cell r="H107" t="str">
            <v>Trần Hồng Thảo</v>
          </cell>
          <cell r="J107">
            <v>21</v>
          </cell>
          <cell r="M107">
            <v>0</v>
          </cell>
        </row>
        <row r="108">
          <cell r="H108" t="str">
            <v>Lê Thị Phương Thảo</v>
          </cell>
          <cell r="J108">
            <v>21</v>
          </cell>
          <cell r="M108">
            <v>0</v>
          </cell>
        </row>
        <row r="109">
          <cell r="H109" t="str">
            <v>Bùi Thị Ngọc Sương</v>
          </cell>
          <cell r="J109">
            <v>21</v>
          </cell>
          <cell r="M109">
            <v>0</v>
          </cell>
        </row>
        <row r="110">
          <cell r="H110" t="str">
            <v>Nguyễn Thị Nhuận</v>
          </cell>
          <cell r="J110">
            <v>21</v>
          </cell>
          <cell r="M110">
            <v>0</v>
          </cell>
        </row>
        <row r="111">
          <cell r="H111" t="str">
            <v>Nguyễn Thị Huyền Nga</v>
          </cell>
          <cell r="J111">
            <v>21</v>
          </cell>
          <cell r="M111">
            <v>0</v>
          </cell>
        </row>
        <row r="112">
          <cell r="H112" t="str">
            <v>Nguyễn Phương Hà</v>
          </cell>
          <cell r="J112">
            <v>21</v>
          </cell>
          <cell r="M112">
            <v>0</v>
          </cell>
        </row>
        <row r="113">
          <cell r="H113" t="str">
            <v>Trịnh Khắc Vũ</v>
          </cell>
          <cell r="J113">
            <v>21</v>
          </cell>
          <cell r="M113">
            <v>0</v>
          </cell>
        </row>
        <row r="114">
          <cell r="H114" t="str">
            <v>Lê Minh Phong</v>
          </cell>
          <cell r="J114">
            <v>21</v>
          </cell>
          <cell r="M114">
            <v>0</v>
          </cell>
        </row>
        <row r="115">
          <cell r="H115" t="str">
            <v>Nguyễn Văn Đông</v>
          </cell>
          <cell r="J115">
            <v>21</v>
          </cell>
          <cell r="M115">
            <v>0</v>
          </cell>
        </row>
        <row r="116">
          <cell r="H116" t="str">
            <v>Đặng Thị Kiến Trúc</v>
          </cell>
          <cell r="J116">
            <v>21</v>
          </cell>
          <cell r="M116">
            <v>0</v>
          </cell>
        </row>
        <row r="117">
          <cell r="H117" t="str">
            <v>Nguyễn Thanh Tú</v>
          </cell>
          <cell r="J117">
            <v>21</v>
          </cell>
          <cell r="M117">
            <v>0</v>
          </cell>
        </row>
        <row r="118">
          <cell r="H118" t="str">
            <v>Trần Thị Ánh Tuyết</v>
          </cell>
          <cell r="J118">
            <v>21</v>
          </cell>
          <cell r="M118">
            <v>0</v>
          </cell>
        </row>
        <row r="119">
          <cell r="H119" t="str">
            <v>Lê Văn Bình</v>
          </cell>
          <cell r="J119">
            <v>21</v>
          </cell>
          <cell r="M119">
            <v>0</v>
          </cell>
        </row>
        <row r="120">
          <cell r="H120" t="str">
            <v>Phạm Thị Thu Nga</v>
          </cell>
          <cell r="J120">
            <v>21</v>
          </cell>
          <cell r="M120">
            <v>0</v>
          </cell>
        </row>
        <row r="121">
          <cell r="H121" t="str">
            <v>Nguyễn Thị Cẩm Thạch</v>
          </cell>
          <cell r="J121">
            <v>21</v>
          </cell>
          <cell r="M121">
            <v>0</v>
          </cell>
        </row>
        <row r="122">
          <cell r="H122" t="str">
            <v>Hà Như Mai</v>
          </cell>
          <cell r="J122">
            <v>21</v>
          </cell>
          <cell r="M122">
            <v>0</v>
          </cell>
        </row>
        <row r="123">
          <cell r="H123" t="str">
            <v>Nguyễn Thị Thủy</v>
          </cell>
          <cell r="J123">
            <v>21</v>
          </cell>
          <cell r="M123">
            <v>0</v>
          </cell>
        </row>
        <row r="124">
          <cell r="H124" t="str">
            <v>Dương Đức Kiên</v>
          </cell>
          <cell r="J124">
            <v>21</v>
          </cell>
          <cell r="M124">
            <v>0</v>
          </cell>
        </row>
        <row r="125">
          <cell r="H125" t="str">
            <v>Nguyễn Văn Hậu</v>
          </cell>
          <cell r="J125">
            <v>21</v>
          </cell>
          <cell r="M125">
            <v>0</v>
          </cell>
        </row>
        <row r="126">
          <cell r="H126" t="str">
            <v>Lê Thái Hùng</v>
          </cell>
          <cell r="J126">
            <v>23</v>
          </cell>
          <cell r="M126">
            <v>0</v>
          </cell>
        </row>
        <row r="127">
          <cell r="H127" t="str">
            <v>Nguyễn Phú Tân</v>
          </cell>
          <cell r="J127">
            <v>23</v>
          </cell>
          <cell r="M127">
            <v>0</v>
          </cell>
        </row>
        <row r="128">
          <cell r="H128" t="str">
            <v>Nguyễn Mạnh Phương</v>
          </cell>
          <cell r="J128">
            <v>22</v>
          </cell>
          <cell r="M128">
            <v>0</v>
          </cell>
        </row>
        <row r="129">
          <cell r="H129" t="str">
            <v>Giang Phi Hùng</v>
          </cell>
          <cell r="J129">
            <v>24</v>
          </cell>
          <cell r="M129" t="str">
            <v>Hỗ trợ giải bóng đá do công đoàn ngành GD tổ chức</v>
          </cell>
        </row>
        <row r="130">
          <cell r="H130" t="str">
            <v>Ngô Thanh Điền</v>
          </cell>
          <cell r="J130">
            <v>23</v>
          </cell>
          <cell r="M130">
            <v>0</v>
          </cell>
        </row>
        <row r="131">
          <cell r="H131" t="str">
            <v>Nguyễn Thị Thu Hà</v>
          </cell>
          <cell r="J131">
            <v>21</v>
          </cell>
          <cell r="M131">
            <v>0</v>
          </cell>
        </row>
        <row r="132">
          <cell r="H132" t="str">
            <v>Vương Thanh Thủy</v>
          </cell>
          <cell r="J132">
            <v>21</v>
          </cell>
          <cell r="M132">
            <v>0</v>
          </cell>
        </row>
        <row r="133">
          <cell r="H133" t="str">
            <v>Nguyễn Thị Bảo Trân</v>
          </cell>
          <cell r="J133">
            <v>21</v>
          </cell>
          <cell r="M133">
            <v>0</v>
          </cell>
        </row>
        <row r="134">
          <cell r="H134" t="str">
            <v>Nguyễn Thị Thu Tâm</v>
          </cell>
          <cell r="J134">
            <v>21</v>
          </cell>
          <cell r="M134">
            <v>0</v>
          </cell>
        </row>
        <row r="135">
          <cell r="H135" t="str">
            <v>Nguyễn Thị Thanh Tú</v>
          </cell>
          <cell r="J135">
            <v>21</v>
          </cell>
          <cell r="M135">
            <v>0</v>
          </cell>
        </row>
        <row r="136">
          <cell r="H136" t="str">
            <v>Võ Thị Hồng Lan</v>
          </cell>
          <cell r="J136">
            <v>21</v>
          </cell>
          <cell r="M136">
            <v>0</v>
          </cell>
        </row>
        <row r="137">
          <cell r="H137" t="str">
            <v>Lê Nguyễn Mỹ Trâm</v>
          </cell>
          <cell r="J137">
            <v>21</v>
          </cell>
          <cell r="M137">
            <v>0</v>
          </cell>
        </row>
        <row r="138">
          <cell r="H138" t="str">
            <v>Phạm Thị Thu Hiền</v>
          </cell>
          <cell r="J138">
            <v>21</v>
          </cell>
          <cell r="M138">
            <v>0</v>
          </cell>
        </row>
        <row r="139">
          <cell r="H139" t="str">
            <v>Nguyễn Thiện Bình</v>
          </cell>
          <cell r="J139">
            <v>21</v>
          </cell>
          <cell r="M139">
            <v>0</v>
          </cell>
        </row>
        <row r="140">
          <cell r="H140" t="str">
            <v>Trần Thanh Trúc</v>
          </cell>
          <cell r="J140">
            <v>21</v>
          </cell>
          <cell r="M140">
            <v>0</v>
          </cell>
        </row>
        <row r="141">
          <cell r="H141" t="str">
            <v>Lâm Thị Phương Thảo</v>
          </cell>
          <cell r="J141">
            <v>21</v>
          </cell>
          <cell r="M141">
            <v>0</v>
          </cell>
        </row>
        <row r="142">
          <cell r="H142" t="str">
            <v>Trần Hà Trang</v>
          </cell>
          <cell r="J142">
            <v>21</v>
          </cell>
          <cell r="M142">
            <v>0</v>
          </cell>
        </row>
        <row r="143">
          <cell r="H143" t="str">
            <v>Lê Thu Hà</v>
          </cell>
          <cell r="J143">
            <v>5</v>
          </cell>
          <cell r="M143" t="str">
            <v>Nghỉ hộ sản hưởng chế độ BHXH từ 9/3/2024</v>
          </cell>
        </row>
        <row r="144">
          <cell r="H144" t="str">
            <v>Ôn Thị Ngọc Thảo</v>
          </cell>
          <cell r="J144">
            <v>21</v>
          </cell>
          <cell r="M144">
            <v>0</v>
          </cell>
        </row>
        <row r="145">
          <cell r="H145" t="str">
            <v>Lê Thị Hồng Vân</v>
          </cell>
          <cell r="J145">
            <v>21</v>
          </cell>
          <cell r="M145">
            <v>0</v>
          </cell>
        </row>
        <row r="146">
          <cell r="H146" t="str">
            <v>Nguyễn Ngọc Quỳnh</v>
          </cell>
          <cell r="J146">
            <v>21</v>
          </cell>
          <cell r="M146">
            <v>0</v>
          </cell>
        </row>
        <row r="147">
          <cell r="H147" t="str">
            <v>Phan Thị Thùy Trang</v>
          </cell>
          <cell r="J147">
            <v>21</v>
          </cell>
          <cell r="M147">
            <v>0</v>
          </cell>
        </row>
        <row r="148">
          <cell r="H148" t="str">
            <v>Lê Thị Mai Hường</v>
          </cell>
          <cell r="J148">
            <v>21</v>
          </cell>
          <cell r="M148">
            <v>0</v>
          </cell>
        </row>
        <row r="149">
          <cell r="H149" t="str">
            <v>Nguyễn Thị Dinh</v>
          </cell>
          <cell r="J149">
            <v>21</v>
          </cell>
          <cell r="M149">
            <v>0</v>
          </cell>
        </row>
        <row r="150">
          <cell r="H150" t="str">
            <v>Đỗ Thị Ngát</v>
          </cell>
          <cell r="J150">
            <v>21</v>
          </cell>
          <cell r="M150">
            <v>0</v>
          </cell>
        </row>
        <row r="151">
          <cell r="H151" t="str">
            <v>Nguyễn Anh Kiệt</v>
          </cell>
          <cell r="J151">
            <v>21</v>
          </cell>
          <cell r="M151">
            <v>0</v>
          </cell>
        </row>
        <row r="152">
          <cell r="H152" t="str">
            <v>Trần Thị Hồng Thu</v>
          </cell>
          <cell r="J152">
            <v>21</v>
          </cell>
          <cell r="M152">
            <v>0</v>
          </cell>
        </row>
        <row r="153">
          <cell r="H153" t="str">
            <v>Đinh Thị Huyên</v>
          </cell>
          <cell r="J153">
            <v>21</v>
          </cell>
          <cell r="M153">
            <v>0</v>
          </cell>
        </row>
        <row r="154">
          <cell r="H154" t="str">
            <v>Cao Thị Hồng Thắm</v>
          </cell>
          <cell r="J154">
            <v>0</v>
          </cell>
          <cell r="M154" t="str">
            <v>Nghỉ hộ sản hưởng chế độ BHXH từ 12/12/2023</v>
          </cell>
        </row>
        <row r="155">
          <cell r="H155" t="str">
            <v>Đỗ Thị Thơm</v>
          </cell>
          <cell r="J155">
            <v>21</v>
          </cell>
          <cell r="M155">
            <v>0</v>
          </cell>
        </row>
        <row r="156">
          <cell r="H156" t="str">
            <v>Phạm Thị Vinh</v>
          </cell>
          <cell r="J156">
            <v>21</v>
          </cell>
          <cell r="M156">
            <v>0</v>
          </cell>
        </row>
        <row r="157">
          <cell r="H157" t="str">
            <v>Hoàng Thị Trang</v>
          </cell>
          <cell r="J157">
            <v>21</v>
          </cell>
          <cell r="M157">
            <v>0</v>
          </cell>
        </row>
        <row r="158">
          <cell r="H158" t="str">
            <v>Bùi Thành Dũng</v>
          </cell>
          <cell r="J158">
            <v>21</v>
          </cell>
          <cell r="M158">
            <v>0</v>
          </cell>
        </row>
        <row r="159">
          <cell r="H159" t="str">
            <v>Trần Văn Lượng</v>
          </cell>
          <cell r="J159">
            <v>21</v>
          </cell>
          <cell r="M159">
            <v>0</v>
          </cell>
        </row>
        <row r="160">
          <cell r="H160" t="str">
            <v>Trần Việt Khánh</v>
          </cell>
          <cell r="J160">
            <v>21</v>
          </cell>
          <cell r="M160">
            <v>0</v>
          </cell>
        </row>
        <row r="161">
          <cell r="H161" t="str">
            <v>Vũ Thị Thái Linh</v>
          </cell>
          <cell r="J161">
            <v>21</v>
          </cell>
          <cell r="M161">
            <v>0</v>
          </cell>
        </row>
        <row r="162">
          <cell r="H162" t="str">
            <v>Nguyễn Sanh Cường</v>
          </cell>
          <cell r="J162">
            <v>21</v>
          </cell>
          <cell r="M162">
            <v>0</v>
          </cell>
        </row>
        <row r="163">
          <cell r="H163" t="str">
            <v>Lê Quý Hưng Quốc</v>
          </cell>
          <cell r="J163">
            <v>21</v>
          </cell>
          <cell r="M163">
            <v>0</v>
          </cell>
        </row>
        <row r="164">
          <cell r="H164" t="str">
            <v>Bùi Văn Dũng</v>
          </cell>
          <cell r="J164">
            <v>21</v>
          </cell>
          <cell r="M164">
            <v>0</v>
          </cell>
        </row>
        <row r="165">
          <cell r="H165" t="str">
            <v>Nguyễn Văn Minh</v>
          </cell>
          <cell r="J165">
            <v>21</v>
          </cell>
          <cell r="M165">
            <v>0</v>
          </cell>
        </row>
        <row r="166">
          <cell r="H166" t="str">
            <v>Nguyễn Thị Khánh Thư</v>
          </cell>
          <cell r="J166">
            <v>21</v>
          </cell>
          <cell r="M166">
            <v>0</v>
          </cell>
        </row>
        <row r="167">
          <cell r="H167" t="str">
            <v>Đỗ Thị Hải Yến</v>
          </cell>
          <cell r="J167">
            <v>21</v>
          </cell>
          <cell r="M167">
            <v>0</v>
          </cell>
        </row>
        <row r="168">
          <cell r="H168" t="str">
            <v>Lê Hồng Thái</v>
          </cell>
          <cell r="J168">
            <v>21</v>
          </cell>
          <cell r="M168">
            <v>0</v>
          </cell>
        </row>
        <row r="169">
          <cell r="H169" t="str">
            <v>Đặng Ngọc Đoàn</v>
          </cell>
          <cell r="J169">
            <v>21</v>
          </cell>
          <cell r="M169">
            <v>0</v>
          </cell>
        </row>
        <row r="170">
          <cell r="H170" t="str">
            <v>Nguyễn Văn Đôn</v>
          </cell>
          <cell r="J170">
            <v>21</v>
          </cell>
          <cell r="M170">
            <v>0</v>
          </cell>
        </row>
        <row r="171">
          <cell r="H171" t="str">
            <v>Huỳnh Quốc Dũng</v>
          </cell>
          <cell r="J171">
            <v>21</v>
          </cell>
          <cell r="M171">
            <v>0</v>
          </cell>
        </row>
        <row r="172">
          <cell r="H172" t="str">
            <v>Dương Ngọc Vọng</v>
          </cell>
          <cell r="J172">
            <v>21</v>
          </cell>
          <cell r="M172">
            <v>0</v>
          </cell>
        </row>
        <row r="173">
          <cell r="H173" t="str">
            <v>Nguyễn Ngọc Tuyên</v>
          </cell>
          <cell r="J173">
            <v>21</v>
          </cell>
          <cell r="M173">
            <v>0</v>
          </cell>
        </row>
        <row r="174">
          <cell r="H174" t="str">
            <v>Nguyễn Cao Phong</v>
          </cell>
          <cell r="J174">
            <v>21</v>
          </cell>
          <cell r="M174">
            <v>0</v>
          </cell>
        </row>
        <row r="175">
          <cell r="H175" t="str">
            <v>Mai Chiếm Tuấn</v>
          </cell>
          <cell r="J175">
            <v>21</v>
          </cell>
          <cell r="M175">
            <v>0</v>
          </cell>
        </row>
        <row r="176">
          <cell r="H176" t="str">
            <v>Đỗ Tuấn Việt</v>
          </cell>
          <cell r="J176">
            <v>21</v>
          </cell>
          <cell r="M176">
            <v>0</v>
          </cell>
        </row>
        <row r="177">
          <cell r="H177" t="str">
            <v>Trần Vĩnh Xuyên</v>
          </cell>
          <cell r="J177">
            <v>21</v>
          </cell>
          <cell r="M177">
            <v>0</v>
          </cell>
        </row>
        <row r="178">
          <cell r="H178" t="str">
            <v>Đào Lê Phương Anh</v>
          </cell>
          <cell r="J178">
            <v>21</v>
          </cell>
          <cell r="M178">
            <v>0</v>
          </cell>
        </row>
        <row r="179">
          <cell r="H179" t="str">
            <v>Nguyễn Duy Lộc</v>
          </cell>
          <cell r="J179">
            <v>21</v>
          </cell>
          <cell r="M179">
            <v>0</v>
          </cell>
        </row>
        <row r="180">
          <cell r="H180" t="str">
            <v>Chung Trần Thế Vinh</v>
          </cell>
          <cell r="J180">
            <v>26</v>
          </cell>
          <cell r="M180">
            <v>0</v>
          </cell>
        </row>
        <row r="181">
          <cell r="H181" t="str">
            <v>Đỗ Thị Phương Khanh</v>
          </cell>
          <cell r="J181">
            <v>21</v>
          </cell>
          <cell r="M181">
            <v>0</v>
          </cell>
        </row>
        <row r="182">
          <cell r="H182" t="str">
            <v>Trương Thị Phương Hồng</v>
          </cell>
          <cell r="J182">
            <v>21</v>
          </cell>
          <cell r="M182">
            <v>0</v>
          </cell>
        </row>
        <row r="183">
          <cell r="H183" t="str">
            <v>Dương Minh Chung</v>
          </cell>
          <cell r="J183">
            <v>21</v>
          </cell>
          <cell r="M183">
            <v>0</v>
          </cell>
        </row>
        <row r="184">
          <cell r="H184" t="str">
            <v>Phan Văn Thành</v>
          </cell>
          <cell r="J184">
            <v>21</v>
          </cell>
          <cell r="M184">
            <v>0</v>
          </cell>
        </row>
        <row r="185">
          <cell r="H185" t="str">
            <v>Vũ Đức Pháp</v>
          </cell>
          <cell r="J185">
            <v>21</v>
          </cell>
          <cell r="M185">
            <v>0</v>
          </cell>
        </row>
        <row r="186">
          <cell r="H186" t="str">
            <v>Vũ Quang Khải</v>
          </cell>
          <cell r="J186">
            <v>21</v>
          </cell>
          <cell r="M186">
            <v>0</v>
          </cell>
        </row>
        <row r="187">
          <cell r="H187" t="str">
            <v>Nguyễn Thanh Vũ</v>
          </cell>
          <cell r="J187">
            <v>21</v>
          </cell>
          <cell r="M187">
            <v>0</v>
          </cell>
        </row>
        <row r="188">
          <cell r="H188" t="str">
            <v>Phan Thị Xuân Trang</v>
          </cell>
          <cell r="J188">
            <v>21</v>
          </cell>
          <cell r="M188">
            <v>0</v>
          </cell>
        </row>
        <row r="189">
          <cell r="H189" t="str">
            <v>Trần Đình Khải</v>
          </cell>
          <cell r="J189">
            <v>21</v>
          </cell>
          <cell r="M189">
            <v>0</v>
          </cell>
        </row>
        <row r="190">
          <cell r="H190" t="str">
            <v>Lư Thị Yến Vũ</v>
          </cell>
          <cell r="J190">
            <v>21</v>
          </cell>
          <cell r="M190">
            <v>0</v>
          </cell>
        </row>
        <row r="191">
          <cell r="H191" t="str">
            <v>Nguyễn Tiến Dũng</v>
          </cell>
          <cell r="J191">
            <v>21</v>
          </cell>
          <cell r="M191">
            <v>0</v>
          </cell>
        </row>
        <row r="192">
          <cell r="H192" t="str">
            <v>Nguyễn Thành Long</v>
          </cell>
          <cell r="J192">
            <v>21</v>
          </cell>
          <cell r="M192">
            <v>0</v>
          </cell>
        </row>
        <row r="193">
          <cell r="H193" t="str">
            <v>Nguyễn Ngọc Quỳnh.</v>
          </cell>
          <cell r="J193">
            <v>21</v>
          </cell>
          <cell r="M193">
            <v>0</v>
          </cell>
        </row>
        <row r="194">
          <cell r="H194" t="str">
            <v>Nguyễn Duy Hải</v>
          </cell>
          <cell r="J194">
            <v>21</v>
          </cell>
          <cell r="M194">
            <v>0</v>
          </cell>
        </row>
        <row r="195">
          <cell r="H195" t="str">
            <v>Bùi Anh Tuấn</v>
          </cell>
          <cell r="J195">
            <v>21</v>
          </cell>
          <cell r="M195">
            <v>0</v>
          </cell>
        </row>
        <row r="196">
          <cell r="H196" t="str">
            <v>Trần Thị Hương</v>
          </cell>
          <cell r="J196">
            <v>21</v>
          </cell>
          <cell r="M196">
            <v>0</v>
          </cell>
        </row>
        <row r="197">
          <cell r="H197" t="str">
            <v>Trần Minh Thông</v>
          </cell>
          <cell r="J197">
            <v>21</v>
          </cell>
          <cell r="M197">
            <v>0</v>
          </cell>
        </row>
        <row r="198">
          <cell r="H198" t="str">
            <v>Nguyễn Thanh Vĩnh Phúc</v>
          </cell>
          <cell r="J198">
            <v>21</v>
          </cell>
          <cell r="M198">
            <v>0</v>
          </cell>
        </row>
        <row r="199">
          <cell r="H199" t="str">
            <v>Võ Minh Quang</v>
          </cell>
          <cell r="J199">
            <v>21</v>
          </cell>
          <cell r="M199">
            <v>0</v>
          </cell>
        </row>
        <row r="200">
          <cell r="H200" t="str">
            <v>Dương Thị Hồng</v>
          </cell>
          <cell r="J200">
            <v>21</v>
          </cell>
          <cell r="M200">
            <v>0</v>
          </cell>
        </row>
        <row r="201">
          <cell r="H201" t="str">
            <v>Nguyễn Thanh Giang</v>
          </cell>
          <cell r="J201">
            <v>21</v>
          </cell>
          <cell r="M201">
            <v>0</v>
          </cell>
        </row>
        <row r="202">
          <cell r="H202" t="str">
            <v>Nguyễn Hồng Phúc</v>
          </cell>
          <cell r="J202">
            <v>21</v>
          </cell>
          <cell r="M202">
            <v>0</v>
          </cell>
        </row>
        <row r="203">
          <cell r="H203" t="str">
            <v>Nguyễn Văn Sơn</v>
          </cell>
          <cell r="J203">
            <v>21</v>
          </cell>
          <cell r="M203">
            <v>0</v>
          </cell>
        </row>
        <row r="204">
          <cell r="H204" t="str">
            <v>Nguyễn Khắc Huy</v>
          </cell>
          <cell r="J204">
            <v>21</v>
          </cell>
          <cell r="M204">
            <v>0</v>
          </cell>
        </row>
        <row r="205">
          <cell r="H205" t="str">
            <v>Võ Hoài Sơn</v>
          </cell>
          <cell r="J205">
            <v>21</v>
          </cell>
          <cell r="M205">
            <v>0</v>
          </cell>
        </row>
        <row r="206">
          <cell r="H206" t="str">
            <v>Nguyễn Thị Xuân Chinh</v>
          </cell>
          <cell r="J206">
            <v>21</v>
          </cell>
          <cell r="M206">
            <v>0</v>
          </cell>
        </row>
        <row r="207">
          <cell r="H207" t="str">
            <v>Nguyễn Duy Tân</v>
          </cell>
          <cell r="J207">
            <v>21</v>
          </cell>
          <cell r="M207">
            <v>0</v>
          </cell>
        </row>
        <row r="208">
          <cell r="H208" t="str">
            <v>Nguyễn Ngọc Hiệp</v>
          </cell>
          <cell r="J208">
            <v>21</v>
          </cell>
          <cell r="M208">
            <v>0</v>
          </cell>
        </row>
        <row r="209">
          <cell r="H209" t="str">
            <v>Tạ Minh Cường</v>
          </cell>
          <cell r="J209">
            <v>21</v>
          </cell>
          <cell r="M209">
            <v>0</v>
          </cell>
        </row>
        <row r="210">
          <cell r="H210" t="str">
            <v>Phạm Minh Nghĩa</v>
          </cell>
          <cell r="J210">
            <v>21</v>
          </cell>
          <cell r="M210">
            <v>0</v>
          </cell>
        </row>
        <row r="211">
          <cell r="H211" t="str">
            <v>Nguyễn Văn Yên</v>
          </cell>
          <cell r="J211">
            <v>21</v>
          </cell>
          <cell r="M211">
            <v>0</v>
          </cell>
        </row>
        <row r="212">
          <cell r="H212" t="str">
            <v>Nguyễn Minh Đức</v>
          </cell>
          <cell r="J212">
            <v>21</v>
          </cell>
          <cell r="M212">
            <v>0</v>
          </cell>
        </row>
        <row r="213">
          <cell r="H213" t="str">
            <v>Nguyễn Anh Tăng</v>
          </cell>
          <cell r="J213">
            <v>21</v>
          </cell>
          <cell r="M213">
            <v>0</v>
          </cell>
        </row>
        <row r="214">
          <cell r="H214" t="str">
            <v>Lê Thế Huân</v>
          </cell>
          <cell r="J214">
            <v>21</v>
          </cell>
          <cell r="M214">
            <v>0</v>
          </cell>
        </row>
        <row r="215">
          <cell r="H215" t="str">
            <v>Trần Trung Hiếu</v>
          </cell>
          <cell r="J215">
            <v>21</v>
          </cell>
          <cell r="M215">
            <v>0</v>
          </cell>
        </row>
        <row r="216">
          <cell r="H216" t="str">
            <v>Trần Nguyên Bảo Trân</v>
          </cell>
          <cell r="J216">
            <v>21</v>
          </cell>
          <cell r="M216">
            <v>0</v>
          </cell>
        </row>
        <row r="217">
          <cell r="H217" t="str">
            <v>Mạnh Lê Hoàn</v>
          </cell>
          <cell r="J217">
            <v>21</v>
          </cell>
          <cell r="M217">
            <v>0</v>
          </cell>
        </row>
        <row r="218">
          <cell r="H218" t="str">
            <v>Ngô Hoàng Anh</v>
          </cell>
          <cell r="J218">
            <v>21</v>
          </cell>
          <cell r="M218">
            <v>0</v>
          </cell>
        </row>
        <row r="219">
          <cell r="H219" t="str">
            <v>Nguyễn Thùy Linh</v>
          </cell>
          <cell r="J219">
            <v>21</v>
          </cell>
          <cell r="M219">
            <v>0</v>
          </cell>
        </row>
        <row r="220">
          <cell r="H220" t="str">
            <v>Vũ Hạnh Chiêu</v>
          </cell>
          <cell r="J220">
            <v>21</v>
          </cell>
          <cell r="M220">
            <v>0</v>
          </cell>
        </row>
        <row r="221">
          <cell r="H221" t="str">
            <v>Đỗ Huỳnh Thanh Phong</v>
          </cell>
          <cell r="J221">
            <v>21</v>
          </cell>
          <cell r="M221">
            <v>0</v>
          </cell>
        </row>
        <row r="222">
          <cell r="H222" t="str">
            <v>Nguyễn Minh Đức Cường</v>
          </cell>
          <cell r="J222">
            <v>21</v>
          </cell>
          <cell r="M222">
            <v>0</v>
          </cell>
        </row>
        <row r="223">
          <cell r="H223" t="str">
            <v>Huỳnh Ngọc Mai</v>
          </cell>
          <cell r="J223">
            <v>21</v>
          </cell>
          <cell r="M223">
            <v>0</v>
          </cell>
        </row>
        <row r="224">
          <cell r="H224" t="str">
            <v>Nguyễn Hồng Đức</v>
          </cell>
          <cell r="J224">
            <v>21</v>
          </cell>
          <cell r="M224">
            <v>0</v>
          </cell>
        </row>
        <row r="225">
          <cell r="H225" t="str">
            <v>Trần Công Tiến</v>
          </cell>
          <cell r="J225">
            <v>21</v>
          </cell>
          <cell r="M225">
            <v>0</v>
          </cell>
        </row>
        <row r="226">
          <cell r="H226" t="str">
            <v>Nguyễn Trần Thanh Nhàn</v>
          </cell>
          <cell r="J226">
            <v>21</v>
          </cell>
          <cell r="M226">
            <v>0</v>
          </cell>
        </row>
        <row r="227">
          <cell r="H227" t="str">
            <v>Tăng Cẩm Huê</v>
          </cell>
          <cell r="J227">
            <v>21</v>
          </cell>
          <cell r="M227">
            <v>0</v>
          </cell>
        </row>
        <row r="228">
          <cell r="H228" t="str">
            <v>Trần Hiếu Trinh</v>
          </cell>
          <cell r="J228">
            <v>21</v>
          </cell>
          <cell r="M228">
            <v>0</v>
          </cell>
        </row>
        <row r="229">
          <cell r="H229" t="str">
            <v>Nguyễn Thị Tố Nga</v>
          </cell>
          <cell r="J229">
            <v>21</v>
          </cell>
          <cell r="M229">
            <v>0</v>
          </cell>
        </row>
        <row r="230">
          <cell r="H230" t="str">
            <v>Đặng Đức Minh</v>
          </cell>
          <cell r="J230">
            <v>21</v>
          </cell>
          <cell r="M230">
            <v>0</v>
          </cell>
        </row>
        <row r="231">
          <cell r="H231" t="str">
            <v>Nguyễn Thị Ngọc Hiền</v>
          </cell>
          <cell r="J231">
            <v>21</v>
          </cell>
          <cell r="M231">
            <v>0</v>
          </cell>
        </row>
        <row r="232">
          <cell r="H232" t="str">
            <v>Ngô Phong Cường</v>
          </cell>
          <cell r="J232">
            <v>21</v>
          </cell>
          <cell r="M232">
            <v>0</v>
          </cell>
        </row>
        <row r="233">
          <cell r="H233" t="str">
            <v>Cao Văn Tuấn</v>
          </cell>
          <cell r="J233">
            <v>21</v>
          </cell>
          <cell r="M233">
            <v>0</v>
          </cell>
        </row>
        <row r="234">
          <cell r="H234" t="str">
            <v>Trần Nam Anh</v>
          </cell>
          <cell r="J234">
            <v>21</v>
          </cell>
          <cell r="M234">
            <v>0</v>
          </cell>
        </row>
        <row r="235">
          <cell r="H235" t="str">
            <v>Trần Giang Nam</v>
          </cell>
          <cell r="J235">
            <v>21</v>
          </cell>
          <cell r="M235">
            <v>0</v>
          </cell>
        </row>
        <row r="236">
          <cell r="H236" t="str">
            <v>Phan Thanh Hoàng</v>
          </cell>
          <cell r="J236">
            <v>21</v>
          </cell>
          <cell r="M236">
            <v>0</v>
          </cell>
        </row>
        <row r="237">
          <cell r="H237" t="str">
            <v>Huỳnh Duy An</v>
          </cell>
          <cell r="J237">
            <v>21</v>
          </cell>
          <cell r="M237">
            <v>0</v>
          </cell>
        </row>
        <row r="238">
          <cell r="H238" t="str">
            <v>Nguyễn Khương Thành</v>
          </cell>
          <cell r="J238">
            <v>21</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21</v>
          </cell>
          <cell r="M241">
            <v>0</v>
          </cell>
        </row>
        <row r="242">
          <cell r="H242" t="str">
            <v>Phan Anh Tuấn Kiệt</v>
          </cell>
          <cell r="J242">
            <v>21</v>
          </cell>
          <cell r="M242">
            <v>0</v>
          </cell>
        </row>
        <row r="243">
          <cell r="H243" t="str">
            <v>Triệu Phú Nguyên</v>
          </cell>
          <cell r="J243">
            <v>21</v>
          </cell>
          <cell r="M243">
            <v>0</v>
          </cell>
        </row>
        <row r="244">
          <cell r="H244" t="str">
            <v>Nguyễn Thành Đức</v>
          </cell>
          <cell r="J244">
            <v>21</v>
          </cell>
          <cell r="M244">
            <v>0</v>
          </cell>
        </row>
        <row r="245">
          <cell r="H245" t="str">
            <v>Nguyễn Minh Thái</v>
          </cell>
          <cell r="J245">
            <v>21</v>
          </cell>
          <cell r="M245">
            <v>0</v>
          </cell>
        </row>
        <row r="246">
          <cell r="H246" t="str">
            <v>Đặng Thái Sơn</v>
          </cell>
          <cell r="J246">
            <v>21</v>
          </cell>
          <cell r="M246">
            <v>0</v>
          </cell>
        </row>
        <row r="247">
          <cell r="H247" t="str">
            <v>Nguyễn Thái Bình</v>
          </cell>
          <cell r="J247">
            <v>21</v>
          </cell>
          <cell r="M247">
            <v>0</v>
          </cell>
        </row>
        <row r="248">
          <cell r="H248" t="str">
            <v>Kiều Trung Tín</v>
          </cell>
          <cell r="J248">
            <v>21</v>
          </cell>
          <cell r="M248">
            <v>0</v>
          </cell>
        </row>
        <row r="249">
          <cell r="H249" t="str">
            <v>Trần Quốc Duy</v>
          </cell>
          <cell r="J249">
            <v>21</v>
          </cell>
          <cell r="M249">
            <v>0</v>
          </cell>
        </row>
        <row r="250">
          <cell r="H250" t="str">
            <v>Hồ Văn Hóa</v>
          </cell>
          <cell r="J250">
            <v>21</v>
          </cell>
          <cell r="M250">
            <v>0</v>
          </cell>
        </row>
        <row r="251">
          <cell r="H251" t="str">
            <v>Nguyễn Thanh Hùng</v>
          </cell>
          <cell r="J251">
            <v>21</v>
          </cell>
          <cell r="M251">
            <v>0</v>
          </cell>
        </row>
        <row r="252">
          <cell r="H252" t="str">
            <v>Hà Quốc Bảo</v>
          </cell>
          <cell r="J252">
            <v>22</v>
          </cell>
          <cell r="M252">
            <v>0</v>
          </cell>
        </row>
        <row r="253">
          <cell r="H253" t="str">
            <v>Hoàng Phúc Bảo</v>
          </cell>
          <cell r="J253">
            <v>21</v>
          </cell>
          <cell r="M253">
            <v>0</v>
          </cell>
        </row>
        <row r="254">
          <cell r="H254" t="str">
            <v>Nguyễn Lương Tâm</v>
          </cell>
          <cell r="J254">
            <v>21</v>
          </cell>
          <cell r="M254">
            <v>0</v>
          </cell>
        </row>
        <row r="255">
          <cell r="H255" t="str">
            <v>Trần Thế Sơn</v>
          </cell>
          <cell r="J255">
            <v>22</v>
          </cell>
          <cell r="M255">
            <v>0</v>
          </cell>
        </row>
        <row r="256">
          <cell r="H256" t="str">
            <v>Trần Văn Đông</v>
          </cell>
          <cell r="J256">
            <v>24</v>
          </cell>
          <cell r="M256">
            <v>0</v>
          </cell>
        </row>
        <row r="257">
          <cell r="H257" t="str">
            <v>Lý Văn Trung</v>
          </cell>
          <cell r="J257">
            <v>26</v>
          </cell>
          <cell r="M257">
            <v>0</v>
          </cell>
        </row>
        <row r="258">
          <cell r="H258" t="str">
            <v>Đỗ Hoàng Duy</v>
          </cell>
          <cell r="J258">
            <v>21</v>
          </cell>
          <cell r="M258">
            <v>0</v>
          </cell>
        </row>
        <row r="259">
          <cell r="H259" t="str">
            <v>Nguyễn Hoàng Vinh</v>
          </cell>
          <cell r="J259">
            <v>22</v>
          </cell>
          <cell r="M259">
            <v>0</v>
          </cell>
        </row>
        <row r="260">
          <cell r="H260" t="str">
            <v>Bùi Trọng Tân</v>
          </cell>
          <cell r="J260">
            <v>24</v>
          </cell>
          <cell r="M260">
            <v>0</v>
          </cell>
        </row>
        <row r="261">
          <cell r="H261" t="str">
            <v>Võ Quốc Duy</v>
          </cell>
          <cell r="J261">
            <v>21</v>
          </cell>
          <cell r="M261">
            <v>0</v>
          </cell>
        </row>
        <row r="262">
          <cell r="H262" t="str">
            <v>Giang Văn Tiến</v>
          </cell>
          <cell r="J262">
            <v>21</v>
          </cell>
          <cell r="M262">
            <v>0</v>
          </cell>
        </row>
        <row r="263">
          <cell r="H263" t="str">
            <v>Nguyễn Hữu Lương</v>
          </cell>
          <cell r="J263">
            <v>22</v>
          </cell>
          <cell r="M263">
            <v>0</v>
          </cell>
        </row>
        <row r="264">
          <cell r="H264" t="str">
            <v>Huỳnh Đình Văn</v>
          </cell>
          <cell r="J264">
            <v>21</v>
          </cell>
          <cell r="M264">
            <v>0</v>
          </cell>
        </row>
        <row r="265">
          <cell r="H265" t="str">
            <v>Phạm Quang Vũ</v>
          </cell>
          <cell r="J265">
            <v>21</v>
          </cell>
          <cell r="M265">
            <v>0</v>
          </cell>
        </row>
        <row r="266">
          <cell r="H266" t="str">
            <v>Trình Minh Phong</v>
          </cell>
          <cell r="J266">
            <v>21</v>
          </cell>
          <cell r="M266">
            <v>0</v>
          </cell>
        </row>
        <row r="267">
          <cell r="H267" t="str">
            <v>Trần Ngọc Tuấn</v>
          </cell>
          <cell r="J267">
            <v>21</v>
          </cell>
          <cell r="M267">
            <v>0</v>
          </cell>
        </row>
        <row r="268">
          <cell r="H268" t="str">
            <v>Đinh Đồng Hiệp</v>
          </cell>
          <cell r="J268">
            <v>21</v>
          </cell>
          <cell r="M268">
            <v>0</v>
          </cell>
        </row>
        <row r="269">
          <cell r="H269" t="str">
            <v>Đặng Thế Huân</v>
          </cell>
          <cell r="J269">
            <v>21</v>
          </cell>
          <cell r="M269">
            <v>0</v>
          </cell>
        </row>
        <row r="270">
          <cell r="H270" t="str">
            <v>Võ Anh Hào</v>
          </cell>
          <cell r="J270">
            <v>21</v>
          </cell>
          <cell r="M270">
            <v>0</v>
          </cell>
        </row>
        <row r="271">
          <cell r="H271" t="str">
            <v>Phan Văn Hòa</v>
          </cell>
          <cell r="J271">
            <v>21</v>
          </cell>
          <cell r="M271">
            <v>0</v>
          </cell>
        </row>
        <row r="272">
          <cell r="H272" t="str">
            <v>Trần Đình Khoa</v>
          </cell>
          <cell r="J272">
            <v>21</v>
          </cell>
          <cell r="M272">
            <v>0</v>
          </cell>
        </row>
        <row r="273">
          <cell r="H273" t="str">
            <v>Đỗ Trọng Quý</v>
          </cell>
          <cell r="J273">
            <v>21</v>
          </cell>
          <cell r="M273">
            <v>0</v>
          </cell>
        </row>
        <row r="274">
          <cell r="H274" t="str">
            <v>Nguyễn Vũ Xuân Thì</v>
          </cell>
          <cell r="J274">
            <v>21</v>
          </cell>
          <cell r="M274">
            <v>0</v>
          </cell>
        </row>
        <row r="275">
          <cell r="H275" t="str">
            <v>Hoàng Văn Viết</v>
          </cell>
          <cell r="J275">
            <v>21</v>
          </cell>
          <cell r="M275">
            <v>0</v>
          </cell>
        </row>
        <row r="276">
          <cell r="H276" t="str">
            <v>Nguyễn Thanh Dũng</v>
          </cell>
          <cell r="J276">
            <v>21</v>
          </cell>
          <cell r="M276">
            <v>0</v>
          </cell>
        </row>
      </sheetData>
      <sheetData sheetId="1"/>
      <sheetData sheetId="2">
        <row r="10">
          <cell r="F10" t="str">
            <v>060312106186</v>
          </cell>
          <cell r="H10" t="str">
            <v>Đồng Anh Tuấn</v>
          </cell>
          <cell r="J10">
            <v>26</v>
          </cell>
          <cell r="M10">
            <v>0</v>
          </cell>
        </row>
        <row r="11">
          <cell r="H11" t="str">
            <v>Lê Hồng Sơn</v>
          </cell>
          <cell r="J11">
            <v>25</v>
          </cell>
          <cell r="M11" t="str">
            <v>Trừ 1 ngày nghỉ phép 1/3</v>
          </cell>
        </row>
        <row r="12">
          <cell r="H12" t="str">
            <v>Nguyễn Thanh Hiền</v>
          </cell>
          <cell r="J12">
            <v>27</v>
          </cell>
          <cell r="M12">
            <v>0</v>
          </cell>
        </row>
        <row r="13">
          <cell r="H13" t="str">
            <v>Lê Hồng Phúc</v>
          </cell>
          <cell r="J13">
            <v>26</v>
          </cell>
          <cell r="M13">
            <v>0</v>
          </cell>
        </row>
        <row r="14">
          <cell r="H14" t="str">
            <v>Phạm Hữu Tấn</v>
          </cell>
          <cell r="J14">
            <v>26</v>
          </cell>
          <cell r="M14">
            <v>0</v>
          </cell>
        </row>
        <row r="15">
          <cell r="H15" t="str">
            <v>Nguyễn Hữu Xuân Vũ</v>
          </cell>
          <cell r="J15">
            <v>26</v>
          </cell>
          <cell r="M15">
            <v>0</v>
          </cell>
        </row>
        <row r="16">
          <cell r="H16" t="str">
            <v>Phạm Hữu Thành Phú</v>
          </cell>
          <cell r="J16">
            <v>27</v>
          </cell>
          <cell r="M16">
            <v>0</v>
          </cell>
        </row>
        <row r="17">
          <cell r="H17" t="str">
            <v>Huỳnh Thanh Nhàn</v>
          </cell>
          <cell r="J17">
            <v>26</v>
          </cell>
          <cell r="M17">
            <v>0</v>
          </cell>
        </row>
        <row r="18">
          <cell r="H18" t="str">
            <v>Phạm Quang Tùng</v>
          </cell>
          <cell r="J18">
            <v>22</v>
          </cell>
          <cell r="M18" t="str">
            <v>Trừ 3 ngày nghỉ phép 1+8+13/3</v>
          </cell>
        </row>
        <row r="19">
          <cell r="H19" t="str">
            <v>Trần Thanh Cường</v>
          </cell>
          <cell r="J19">
            <v>27</v>
          </cell>
          <cell r="M19">
            <v>0</v>
          </cell>
        </row>
        <row r="20">
          <cell r="H20" t="str">
            <v>Dương Văn Tâm</v>
          </cell>
          <cell r="J20">
            <v>29</v>
          </cell>
          <cell r="M20">
            <v>0</v>
          </cell>
        </row>
        <row r="21">
          <cell r="H21" t="str">
            <v>Huỳnh Ngọc Liên</v>
          </cell>
          <cell r="J21">
            <v>26</v>
          </cell>
          <cell r="M21">
            <v>0</v>
          </cell>
        </row>
        <row r="22">
          <cell r="H22" t="str">
            <v>Huỳnh Thị Xuân Mai</v>
          </cell>
          <cell r="J22">
            <v>24.5</v>
          </cell>
          <cell r="M22" t="str">
            <v>Trừ 1 ngày nghỉ phép 23/3</v>
          </cell>
        </row>
        <row r="23">
          <cell r="H23" t="str">
            <v>Trần Văn Cu Anh</v>
          </cell>
          <cell r="J23">
            <v>26</v>
          </cell>
          <cell r="M23">
            <v>0</v>
          </cell>
        </row>
        <row r="24">
          <cell r="H24" t="str">
            <v>Vũ Anh Hiếu</v>
          </cell>
          <cell r="J24">
            <v>25</v>
          </cell>
          <cell r="M24" t="str">
            <v>Trừ 1 ngày nghỉ phép 16/3</v>
          </cell>
        </row>
        <row r="25">
          <cell r="H25" t="str">
            <v>Dương Thị Thủy</v>
          </cell>
          <cell r="J25">
            <v>23</v>
          </cell>
          <cell r="M25" t="str">
            <v>Trừ 3 ngày nghỉ phép 4+5+6/3</v>
          </cell>
        </row>
        <row r="26">
          <cell r="H26" t="str">
            <v>Tạ Quốc Tấn</v>
          </cell>
          <cell r="J26">
            <v>26</v>
          </cell>
          <cell r="M26">
            <v>0</v>
          </cell>
        </row>
        <row r="27">
          <cell r="H27" t="str">
            <v>Huỳnh Bá Triết</v>
          </cell>
          <cell r="J27">
            <v>24</v>
          </cell>
          <cell r="M27" t="str">
            <v>Trừ 2 ngày nghỉ phép 13+14/3</v>
          </cell>
        </row>
        <row r="28">
          <cell r="H28" t="str">
            <v>Giáp Đức Nhận</v>
          </cell>
          <cell r="J28">
            <v>26</v>
          </cell>
          <cell r="M28">
            <v>0</v>
          </cell>
        </row>
        <row r="29">
          <cell r="H29" t="str">
            <v>Trần Thị Thu</v>
          </cell>
          <cell r="J29">
            <v>26</v>
          </cell>
          <cell r="M29">
            <v>0</v>
          </cell>
        </row>
        <row r="30">
          <cell r="H30" t="str">
            <v>Đỗ Thị Bích Thủy</v>
          </cell>
          <cell r="J30">
            <v>26</v>
          </cell>
          <cell r="M30">
            <v>0</v>
          </cell>
        </row>
        <row r="31">
          <cell r="H31" t="str">
            <v>Trịnh Tuấn Vũ</v>
          </cell>
          <cell r="J31">
            <v>27</v>
          </cell>
          <cell r="M31">
            <v>0</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27</v>
          </cell>
          <cell r="M37">
            <v>0</v>
          </cell>
        </row>
        <row r="38">
          <cell r="H38" t="str">
            <v>Phạm Thị Hoàng Diễm</v>
          </cell>
          <cell r="J38">
            <v>26</v>
          </cell>
          <cell r="M38">
            <v>0</v>
          </cell>
        </row>
        <row r="39">
          <cell r="H39" t="str">
            <v>Nguyễn Văn Hiển</v>
          </cell>
          <cell r="J39">
            <v>26</v>
          </cell>
          <cell r="M39">
            <v>0</v>
          </cell>
        </row>
        <row r="40">
          <cell r="H40" t="str">
            <v>Trần Thanh Phương</v>
          </cell>
          <cell r="J40">
            <v>25</v>
          </cell>
          <cell r="M40" t="str">
            <v>Trừ 1 ngày nghỉ phép 18/3</v>
          </cell>
        </row>
        <row r="41">
          <cell r="H41" t="str">
            <v>Lê Thị Huyền</v>
          </cell>
          <cell r="J41">
            <v>26</v>
          </cell>
          <cell r="M41">
            <v>0</v>
          </cell>
        </row>
        <row r="42">
          <cell r="H42" t="str">
            <v>Trần Thị Thảo Vân</v>
          </cell>
          <cell r="J42">
            <v>26</v>
          </cell>
          <cell r="M42">
            <v>0</v>
          </cell>
        </row>
        <row r="43">
          <cell r="H43" t="str">
            <v>Nguyễn Thụy Nghiêm</v>
          </cell>
          <cell r="J43">
            <v>26</v>
          </cell>
          <cell r="M43">
            <v>0</v>
          </cell>
        </row>
        <row r="44">
          <cell r="H44" t="str">
            <v>Huỳnh Như Ý</v>
          </cell>
          <cell r="J44">
            <v>26</v>
          </cell>
          <cell r="M44">
            <v>0</v>
          </cell>
        </row>
        <row r="45">
          <cell r="H45" t="str">
            <v>Nguyễn Chiến Thắng</v>
          </cell>
          <cell r="J45">
            <v>26</v>
          </cell>
          <cell r="M45">
            <v>0</v>
          </cell>
        </row>
        <row r="46">
          <cell r="H46" t="str">
            <v>Huỳnh Văn Hiếu</v>
          </cell>
          <cell r="J46">
            <v>24</v>
          </cell>
          <cell r="M46" t="str">
            <v>Trừ 2 ngày nghỉ phép 6+13/3</v>
          </cell>
        </row>
        <row r="47">
          <cell r="H47" t="str">
            <v>Trần Anh Mỹ</v>
          </cell>
          <cell r="J47">
            <v>26</v>
          </cell>
          <cell r="M47">
            <v>0</v>
          </cell>
        </row>
        <row r="48">
          <cell r="H48" t="str">
            <v>Nguyễn Trung Dũng</v>
          </cell>
          <cell r="J48">
            <v>25</v>
          </cell>
          <cell r="M48" t="str">
            <v>Trừ 1 ngày nghỉ phép 23/3</v>
          </cell>
        </row>
        <row r="49">
          <cell r="H49" t="str">
            <v>Phạm Huy Hoàng</v>
          </cell>
          <cell r="J49">
            <v>27</v>
          </cell>
          <cell r="M49">
            <v>0</v>
          </cell>
        </row>
        <row r="50">
          <cell r="H50" t="str">
            <v>Bùi Đức Phước</v>
          </cell>
          <cell r="J50">
            <v>26</v>
          </cell>
          <cell r="M50">
            <v>0</v>
          </cell>
        </row>
        <row r="51">
          <cell r="H51" t="str">
            <v>Nguyễn Thị Thảo</v>
          </cell>
          <cell r="J51">
            <v>26</v>
          </cell>
          <cell r="M51">
            <v>0</v>
          </cell>
        </row>
        <row r="52">
          <cell r="H52" t="str">
            <v>Lưu Hoàng Bảo Châu</v>
          </cell>
          <cell r="J52">
            <v>19</v>
          </cell>
          <cell r="M52" t="str">
            <v>Trừ 3 ngày nghỉ chế độ; 4 ngày nghỉ phép từ 27 đến 30/3</v>
          </cell>
        </row>
        <row r="53">
          <cell r="H53" t="str">
            <v>Trần Việt Anh</v>
          </cell>
          <cell r="J53">
            <v>26</v>
          </cell>
          <cell r="M53">
            <v>0</v>
          </cell>
        </row>
        <row r="54">
          <cell r="H54" t="str">
            <v>Phạm Huỳnh Kim Ngân</v>
          </cell>
          <cell r="J54">
            <v>22</v>
          </cell>
          <cell r="M54" t="str">
            <v>Trừ 4 ngày nghỉ phép 9+14+19+25/3</v>
          </cell>
        </row>
        <row r="55">
          <cell r="H55" t="str">
            <v>Nguyễn Đan Trường</v>
          </cell>
          <cell r="J55">
            <v>29</v>
          </cell>
          <cell r="M55">
            <v>0</v>
          </cell>
        </row>
        <row r="56">
          <cell r="H56" t="str">
            <v>Lương Công Phi</v>
          </cell>
          <cell r="J56">
            <v>27</v>
          </cell>
          <cell r="M56">
            <v>0</v>
          </cell>
        </row>
        <row r="57">
          <cell r="H57" t="str">
            <v>Nguyễn Yến Nhi</v>
          </cell>
          <cell r="J57">
            <v>26</v>
          </cell>
          <cell r="M57">
            <v>0</v>
          </cell>
        </row>
        <row r="58">
          <cell r="H58" t="str">
            <v>Nguyễn Khắc Huân</v>
          </cell>
          <cell r="J58">
            <v>26</v>
          </cell>
          <cell r="M58">
            <v>0</v>
          </cell>
        </row>
        <row r="59">
          <cell r="H59" t="str">
            <v>Nguyễn Thị Trang</v>
          </cell>
          <cell r="J59">
            <v>26</v>
          </cell>
          <cell r="M59">
            <v>0</v>
          </cell>
        </row>
        <row r="60">
          <cell r="H60" t="str">
            <v>Lư Diễm Phúc</v>
          </cell>
          <cell r="J60">
            <v>26.5</v>
          </cell>
          <cell r="M60">
            <v>0</v>
          </cell>
        </row>
        <row r="61">
          <cell r="H61" t="str">
            <v>Hà Thị Hậu</v>
          </cell>
          <cell r="J61">
            <v>24</v>
          </cell>
          <cell r="M61" t="str">
            <v>Trừ 2 ngày nghỉ phép 22+23/3</v>
          </cell>
        </row>
        <row r="62">
          <cell r="H62" t="str">
            <v>Lê Tiến Dũng</v>
          </cell>
          <cell r="J62">
            <v>26</v>
          </cell>
          <cell r="M62">
            <v>0</v>
          </cell>
        </row>
        <row r="63">
          <cell r="H63" t="str">
            <v>Lê Trần Thanh Nga</v>
          </cell>
          <cell r="J63">
            <v>26</v>
          </cell>
          <cell r="M63">
            <v>0</v>
          </cell>
        </row>
        <row r="64">
          <cell r="H64" t="str">
            <v>Nguyễn Việt Tiến</v>
          </cell>
          <cell r="J64">
            <v>27.5</v>
          </cell>
          <cell r="M64">
            <v>0</v>
          </cell>
        </row>
        <row r="65">
          <cell r="H65" t="str">
            <v>Nguyễn Thị Tất</v>
          </cell>
          <cell r="J65">
            <v>28</v>
          </cell>
          <cell r="M65">
            <v>0</v>
          </cell>
        </row>
        <row r="66">
          <cell r="H66" t="str">
            <v>Sỹ Thị Chung</v>
          </cell>
          <cell r="J66">
            <v>27</v>
          </cell>
          <cell r="M66">
            <v>0</v>
          </cell>
        </row>
        <row r="67">
          <cell r="H67" t="str">
            <v>Nguyễn Thị Nhung</v>
          </cell>
          <cell r="J67">
            <v>29</v>
          </cell>
          <cell r="M67">
            <v>0</v>
          </cell>
        </row>
        <row r="68">
          <cell r="H68" t="str">
            <v>Trần Nhật Thịnh</v>
          </cell>
          <cell r="J68">
            <v>28</v>
          </cell>
          <cell r="M68">
            <v>0</v>
          </cell>
        </row>
        <row r="69">
          <cell r="H69" t="str">
            <v>Đỗ Công Thành</v>
          </cell>
          <cell r="J69">
            <v>31</v>
          </cell>
          <cell r="M69">
            <v>0</v>
          </cell>
        </row>
        <row r="70">
          <cell r="H70" t="str">
            <v>Lương Thị Thắm</v>
          </cell>
          <cell r="J70">
            <v>28</v>
          </cell>
          <cell r="M70">
            <v>0</v>
          </cell>
        </row>
        <row r="71">
          <cell r="H71" t="str">
            <v>Nguyễn Xuân Lợi</v>
          </cell>
          <cell r="J71">
            <v>28</v>
          </cell>
          <cell r="M71">
            <v>0</v>
          </cell>
        </row>
        <row r="72">
          <cell r="H72" t="str">
            <v>Nguyễn Hoàng Hải</v>
          </cell>
          <cell r="J72">
            <v>31</v>
          </cell>
          <cell r="M72">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sheetName val="NH"/>
      <sheetName val="CN mới"/>
      <sheetName val="THPT mới"/>
      <sheetName val="NH mới"/>
    </sheetNames>
    <sheetDataSet>
      <sheetData sheetId="0">
        <row r="8">
          <cell r="G8">
            <v>1390000</v>
          </cell>
        </row>
      </sheetData>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sheetName val="NH"/>
      <sheetName val="CN mới"/>
      <sheetName val="THPT mới"/>
      <sheetName val="NH mới"/>
      <sheetName val="Sheet1"/>
    </sheetNames>
    <sheetDataSet>
      <sheetData sheetId="0">
        <row r="33">
          <cell r="B33" t="str">
            <v>Phạm Hữu Lộc</v>
          </cell>
          <cell r="C33" t="str">
            <v>LỘC</v>
          </cell>
          <cell r="D33" t="str">
            <v>0016100006544007</v>
          </cell>
          <cell r="E33" t="str">
            <v>1603215001126</v>
          </cell>
          <cell r="F33">
            <v>5.76</v>
          </cell>
          <cell r="G33">
            <v>0</v>
          </cell>
          <cell r="H33">
            <v>5.76</v>
          </cell>
          <cell r="I33">
            <v>0.9</v>
          </cell>
          <cell r="J33" t="str">
            <v>Hiệu trưởng</v>
          </cell>
        </row>
        <row r="34">
          <cell r="B34" t="str">
            <v>Đinh Văn Đệ</v>
          </cell>
          <cell r="C34" t="str">
            <v>ĐỆ</v>
          </cell>
          <cell r="D34" t="str">
            <v>0016100006699008</v>
          </cell>
          <cell r="E34" t="str">
            <v>1603215001371</v>
          </cell>
          <cell r="F34">
            <v>4.9800000000000004</v>
          </cell>
          <cell r="G34">
            <v>7.0000000000000007E-2</v>
          </cell>
          <cell r="H34">
            <v>5.3286000000000007</v>
          </cell>
          <cell r="I34">
            <v>0.7</v>
          </cell>
          <cell r="J34" t="str">
            <v>Phó Hiệu trưởng</v>
          </cell>
        </row>
        <row r="35">
          <cell r="B35" t="str">
            <v>Đinh Hồng Minh</v>
          </cell>
          <cell r="C35" t="str">
            <v>MINH</v>
          </cell>
          <cell r="D35" t="str">
            <v>0016100006543008</v>
          </cell>
          <cell r="E35" t="str">
            <v>1603205186191</v>
          </cell>
          <cell r="F35">
            <v>4.9800000000000004</v>
          </cell>
          <cell r="G35">
            <v>0.08</v>
          </cell>
          <cell r="H35">
            <v>5.3784000000000001</v>
          </cell>
          <cell r="I35">
            <v>0.7</v>
          </cell>
          <cell r="J35" t="str">
            <v>Phó Hiệu trưởng</v>
          </cell>
        </row>
        <row r="36">
          <cell r="B36" t="str">
            <v>Châu Văn Bảo</v>
          </cell>
          <cell r="C36">
            <v>0</v>
          </cell>
          <cell r="D36" t="str">
            <v>0016100006674008</v>
          </cell>
          <cell r="E36" t="str">
            <v>1603215001359</v>
          </cell>
          <cell r="F36">
            <v>4.6500000000000004</v>
          </cell>
          <cell r="G36">
            <v>0</v>
          </cell>
          <cell r="H36">
            <v>4.6500000000000004</v>
          </cell>
          <cell r="I36">
            <v>0.7</v>
          </cell>
          <cell r="J36" t="str">
            <v>Phó Hiệu trưởng</v>
          </cell>
        </row>
        <row r="37">
          <cell r="B37" t="str">
            <v>Lâm Viết Dũng</v>
          </cell>
          <cell r="C37" t="str">
            <v>DŨNG</v>
          </cell>
          <cell r="D37" t="str">
            <v>0016106868686866</v>
          </cell>
          <cell r="E37" t="str">
            <v>1603215002237</v>
          </cell>
          <cell r="F37">
            <v>4.9800000000000004</v>
          </cell>
          <cell r="G37">
            <v>0.05</v>
          </cell>
          <cell r="H37">
            <v>5.2290000000000001</v>
          </cell>
          <cell r="I37">
            <v>0.45</v>
          </cell>
          <cell r="J37" t="str">
            <v>Trưởng phòng TC - HC - TH</v>
          </cell>
        </row>
        <row r="38">
          <cell r="B38" t="str">
            <v>Lưu Hoàng Hải Yến</v>
          </cell>
          <cell r="C38" t="str">
            <v>YẾN</v>
          </cell>
          <cell r="D38" t="str">
            <v>0016100006799005</v>
          </cell>
          <cell r="E38">
            <v>1603205353720</v>
          </cell>
          <cell r="F38">
            <v>3.33</v>
          </cell>
          <cell r="G38">
            <v>0</v>
          </cell>
          <cell r="H38">
            <v>3.33</v>
          </cell>
          <cell r="I38">
            <v>0.35</v>
          </cell>
          <cell r="J38" t="str">
            <v>Phó Trưởng phòng Tổ chức - Hành chính - TH</v>
          </cell>
        </row>
        <row r="39">
          <cell r="B39" t="str">
            <v>Huỳnh Thị Minh Ly</v>
          </cell>
          <cell r="C39" t="str">
            <v>LY</v>
          </cell>
          <cell r="D39" t="str">
            <v>0016100006518006</v>
          </cell>
          <cell r="E39">
            <v>1603205185719</v>
          </cell>
          <cell r="F39">
            <v>3</v>
          </cell>
          <cell r="G39">
            <v>0</v>
          </cell>
          <cell r="H39">
            <v>3</v>
          </cell>
          <cell r="I39">
            <v>0.35</v>
          </cell>
          <cell r="J39" t="str">
            <v>Phó Trưởng phòng Tổ chức - Hành chính - TH</v>
          </cell>
        </row>
        <row r="40">
          <cell r="B40" t="str">
            <v>Phan Thị Ngọc Phượng</v>
          </cell>
          <cell r="C40" t="str">
            <v>PHƯỢNG</v>
          </cell>
          <cell r="D40" t="str">
            <v>0016100006635002</v>
          </cell>
          <cell r="E40" t="str">
            <v>1603205186162</v>
          </cell>
          <cell r="F40">
            <v>3.66</v>
          </cell>
          <cell r="G40">
            <v>0</v>
          </cell>
          <cell r="H40">
            <v>3.66</v>
          </cell>
          <cell r="I40">
            <v>0</v>
          </cell>
          <cell r="J40" t="str">
            <v>NV Phòng Tổ chức - Hành chính - Tổng hợp</v>
          </cell>
        </row>
        <row r="41">
          <cell r="B41" t="str">
            <v>Vũ Như Quỳnh</v>
          </cell>
          <cell r="C41" t="str">
            <v>QUỲNH</v>
          </cell>
          <cell r="D41" t="str">
            <v>0016100006771003</v>
          </cell>
          <cell r="E41" t="str">
            <v>1603205186127</v>
          </cell>
          <cell r="F41">
            <v>3.66</v>
          </cell>
          <cell r="G41">
            <v>0</v>
          </cell>
          <cell r="H41">
            <v>3.66</v>
          </cell>
          <cell r="I41">
            <v>0</v>
          </cell>
          <cell r="J41" t="str">
            <v>NV Phòng Tổ chức - Hành chính - Tổng hợp</v>
          </cell>
        </row>
        <row r="42">
          <cell r="B42" t="str">
            <v>Nguyễn Thị Bích Liễu</v>
          </cell>
          <cell r="C42" t="str">
            <v>LIỄU</v>
          </cell>
          <cell r="D42" t="str">
            <v>0016100006663006</v>
          </cell>
          <cell r="E42" t="str">
            <v>1603205249292</v>
          </cell>
          <cell r="F42">
            <v>3.46</v>
          </cell>
          <cell r="G42">
            <v>0</v>
          </cell>
          <cell r="H42">
            <v>3.46</v>
          </cell>
          <cell r="I42">
            <v>0</v>
          </cell>
          <cell r="J42" t="str">
            <v>NV Phòng Tổ chức - Hành chính - Tổng hợp</v>
          </cell>
        </row>
        <row r="43">
          <cell r="B43" t="str">
            <v>Nguyễn Văn Chì</v>
          </cell>
          <cell r="C43" t="str">
            <v>CHÌ</v>
          </cell>
          <cell r="D43" t="str">
            <v>0016100006765003</v>
          </cell>
          <cell r="E43">
            <v>1603205280047</v>
          </cell>
          <cell r="F43">
            <v>3.66</v>
          </cell>
          <cell r="G43">
            <v>0</v>
          </cell>
          <cell r="H43">
            <v>3.66</v>
          </cell>
          <cell r="I43">
            <v>0</v>
          </cell>
          <cell r="J43" t="str">
            <v>NV Phòng Tổ chức - Hành chính - Tổng hợp</v>
          </cell>
        </row>
        <row r="44">
          <cell r="B44" t="str">
            <v>Trần Thị Ánh Phượng</v>
          </cell>
          <cell r="C44" t="str">
            <v>PHƯỢNG</v>
          </cell>
          <cell r="D44" t="str">
            <v>0016100006767006</v>
          </cell>
          <cell r="E44" t="str">
            <v>1603205246134</v>
          </cell>
          <cell r="F44">
            <v>3.33</v>
          </cell>
          <cell r="G44">
            <v>0</v>
          </cell>
          <cell r="H44">
            <v>3.33</v>
          </cell>
          <cell r="I44">
            <v>0</v>
          </cell>
          <cell r="J44" t="str">
            <v>NV Phòng Tổ chức - Hành chính - Tổng hợp</v>
          </cell>
        </row>
        <row r="45">
          <cell r="B45" t="str">
            <v>Trần Thị Phương Oanh</v>
          </cell>
          <cell r="C45" t="str">
            <v>OANH</v>
          </cell>
          <cell r="D45" t="str">
            <v>0016100006576006</v>
          </cell>
          <cell r="E45" t="str">
            <v>1603205178794</v>
          </cell>
          <cell r="F45">
            <v>3.66</v>
          </cell>
          <cell r="G45">
            <v>0</v>
          </cell>
          <cell r="H45">
            <v>3.66</v>
          </cell>
          <cell r="I45">
            <v>0</v>
          </cell>
          <cell r="J45" t="str">
            <v>NV Phòng Tổ chức - Hành chính - Tổng hợp</v>
          </cell>
        </row>
        <row r="46">
          <cell r="B46" t="str">
            <v>Thân Thị Nhung</v>
          </cell>
          <cell r="C46" t="str">
            <v>NHUNG</v>
          </cell>
          <cell r="D46" t="str">
            <v>0016100006832002</v>
          </cell>
          <cell r="E46">
            <v>1603205360856</v>
          </cell>
          <cell r="F46">
            <v>3.33</v>
          </cell>
          <cell r="G46">
            <v>0</v>
          </cell>
          <cell r="H46">
            <v>3.33</v>
          </cell>
          <cell r="I46">
            <v>0</v>
          </cell>
          <cell r="J46" t="str">
            <v>NV Phòng Tổ chức - Hành chính - Tổng hợp</v>
          </cell>
        </row>
        <row r="47">
          <cell r="B47" t="str">
            <v>Nguyễn Thị Vân</v>
          </cell>
          <cell r="C47" t="str">
            <v xml:space="preserve">VÂN </v>
          </cell>
          <cell r="D47" t="str">
            <v>0016100006864001</v>
          </cell>
          <cell r="E47">
            <v>1603205545491</v>
          </cell>
          <cell r="F47">
            <v>2.41</v>
          </cell>
          <cell r="G47">
            <v>0</v>
          </cell>
          <cell r="H47">
            <v>2.41</v>
          </cell>
          <cell r="I47">
            <v>0</v>
          </cell>
          <cell r="J47" t="str">
            <v>NV Phòng Tổ chức - Hành chính - Tổng hợp</v>
          </cell>
        </row>
        <row r="48">
          <cell r="B48" t="str">
            <v>Lê Thị Hải Đăng</v>
          </cell>
          <cell r="C48">
            <v>0</v>
          </cell>
          <cell r="D48">
            <v>0</v>
          </cell>
          <cell r="E48">
            <v>0</v>
          </cell>
          <cell r="F48">
            <v>3.66</v>
          </cell>
          <cell r="G48">
            <v>0</v>
          </cell>
          <cell r="H48">
            <v>3.66</v>
          </cell>
          <cell r="I48">
            <v>0</v>
          </cell>
          <cell r="J48" t="str">
            <v>NV Phòng Tổ chức - Hành chính - Tổng hợp</v>
          </cell>
        </row>
        <row r="49">
          <cell r="B49" t="str">
            <v>Lê Quang Liêm</v>
          </cell>
          <cell r="C49" t="str">
            <v>LIÊM</v>
          </cell>
          <cell r="D49" t="str">
            <v>0016100006806001</v>
          </cell>
          <cell r="E49" t="str">
            <v>1603215001365</v>
          </cell>
          <cell r="F49">
            <v>4.9800000000000004</v>
          </cell>
          <cell r="G49">
            <v>0.05</v>
          </cell>
          <cell r="H49">
            <v>5.2290000000000001</v>
          </cell>
          <cell r="I49">
            <v>0.45</v>
          </cell>
          <cell r="J49" t="str">
            <v>Trưởng phòng Quản trị - Dịch vụ</v>
          </cell>
        </row>
        <row r="50">
          <cell r="B50" t="str">
            <v>Nguyễn Văn Thành</v>
          </cell>
          <cell r="C50" t="str">
            <v>THÀNH</v>
          </cell>
          <cell r="D50" t="str">
            <v>0016100006495006</v>
          </cell>
          <cell r="E50" t="str">
            <v>1603205182190</v>
          </cell>
          <cell r="F50">
            <v>4.9800000000000004</v>
          </cell>
          <cell r="G50">
            <v>7.0000000000000007E-2</v>
          </cell>
          <cell r="H50">
            <v>5.3286000000000007</v>
          </cell>
          <cell r="I50">
            <v>0.35</v>
          </cell>
          <cell r="J50" t="str">
            <v>Phó TP. Quản trị - 
Dịch vụ</v>
          </cell>
        </row>
        <row r="51">
          <cell r="B51" t="str">
            <v>Nguyễn Trọng Phú</v>
          </cell>
          <cell r="C51" t="str">
            <v xml:space="preserve">PHÚ </v>
          </cell>
          <cell r="D51" t="str">
            <v>0016100006505001</v>
          </cell>
          <cell r="E51" t="str">
            <v>1603205185935</v>
          </cell>
          <cell r="F51">
            <v>3.65</v>
          </cell>
          <cell r="G51">
            <v>0</v>
          </cell>
          <cell r="H51">
            <v>3.65</v>
          </cell>
          <cell r="I51">
            <v>0.25</v>
          </cell>
          <cell r="J51" t="str">
            <v>NV Phòng Quản trị - Dịch vụ</v>
          </cell>
        </row>
        <row r="52">
          <cell r="B52" t="str">
            <v>Vũ Ngọc Quang</v>
          </cell>
          <cell r="C52" t="str">
            <v>QUANG</v>
          </cell>
          <cell r="D52" t="str">
            <v>0016100006807008</v>
          </cell>
          <cell r="E52" t="str">
            <v>1603205185912</v>
          </cell>
          <cell r="F52">
            <v>3.26</v>
          </cell>
          <cell r="G52">
            <v>0</v>
          </cell>
          <cell r="H52">
            <v>3.26</v>
          </cell>
          <cell r="I52">
            <v>0</v>
          </cell>
          <cell r="J52" t="str">
            <v>NV Phòng Quản trị - Dịch vụ</v>
          </cell>
        </row>
        <row r="53">
          <cell r="B53" t="str">
            <v>Giáp Văn Thịnh</v>
          </cell>
          <cell r="C53" t="str">
            <v>THỊNH</v>
          </cell>
          <cell r="D53" t="str">
            <v>0016100006599006</v>
          </cell>
          <cell r="E53" t="str">
            <v>1603205246157</v>
          </cell>
          <cell r="F53">
            <v>3.46</v>
          </cell>
          <cell r="G53">
            <v>0</v>
          </cell>
          <cell r="H53">
            <v>3.46</v>
          </cell>
          <cell r="I53">
            <v>0</v>
          </cell>
          <cell r="J53" t="str">
            <v>Nhân viên phòng Quản trị - Dịch vụ</v>
          </cell>
        </row>
        <row r="54">
          <cell r="B54" t="str">
            <v>Lê Hồng Anh Tuấn</v>
          </cell>
          <cell r="C54" t="str">
            <v xml:space="preserve">TUẤN </v>
          </cell>
          <cell r="D54" t="str">
            <v>0016100006493003</v>
          </cell>
          <cell r="E54">
            <v>1603205348129</v>
          </cell>
          <cell r="F54">
            <v>3.34</v>
          </cell>
          <cell r="G54">
            <v>0</v>
          </cell>
          <cell r="H54">
            <v>3.34</v>
          </cell>
          <cell r="I54">
            <v>0</v>
          </cell>
          <cell r="J54" t="str">
            <v>Nhân viên phòng Quản trị - Dịch vụ</v>
          </cell>
        </row>
        <row r="55">
          <cell r="B55" t="str">
            <v>Ninh Đỗ Hiệp</v>
          </cell>
          <cell r="C55" t="str">
            <v xml:space="preserve">HIỆP </v>
          </cell>
          <cell r="D55" t="str">
            <v>0016100006690003</v>
          </cell>
          <cell r="E55" t="str">
            <v>1603205245965</v>
          </cell>
          <cell r="F55">
            <v>3.66</v>
          </cell>
          <cell r="G55">
            <v>0</v>
          </cell>
          <cell r="H55">
            <v>3.66</v>
          </cell>
          <cell r="I55">
            <v>0</v>
          </cell>
          <cell r="J55" t="str">
            <v>Nhân viên phòng Quản trị - Dịch vụ</v>
          </cell>
        </row>
        <row r="56">
          <cell r="B56" t="str">
            <v>Nguyễn Tiến Việt Dũng</v>
          </cell>
          <cell r="C56" t="str">
            <v>DŨNG</v>
          </cell>
          <cell r="D56" t="str">
            <v>0016100006678003</v>
          </cell>
          <cell r="E56">
            <v>1603205357238</v>
          </cell>
          <cell r="F56">
            <v>3.03</v>
          </cell>
          <cell r="G56">
            <v>0</v>
          </cell>
          <cell r="H56">
            <v>3.03</v>
          </cell>
          <cell r="I56">
            <v>0</v>
          </cell>
          <cell r="J56" t="str">
            <v>Nhân viên P. QT-DV</v>
          </cell>
        </row>
        <row r="57">
          <cell r="B57" t="str">
            <v>Bùi Đặng Hoàng Tuấn</v>
          </cell>
          <cell r="C57" t="str">
            <v xml:space="preserve">TUẤN </v>
          </cell>
          <cell r="D57" t="str">
            <v>0016100006679007</v>
          </cell>
          <cell r="E57">
            <v>1603205302590</v>
          </cell>
          <cell r="F57">
            <v>3.34</v>
          </cell>
          <cell r="G57">
            <v>0</v>
          </cell>
          <cell r="H57">
            <v>3.34</v>
          </cell>
          <cell r="I57">
            <v>0</v>
          </cell>
          <cell r="J57" t="str">
            <v>Nhân viên P. QT-DV</v>
          </cell>
        </row>
        <row r="58">
          <cell r="B58" t="str">
            <v>Nguyễn Cao Thắng</v>
          </cell>
          <cell r="C58" t="str">
            <v>THẮNG</v>
          </cell>
          <cell r="D58" t="str">
            <v>0016100006770007</v>
          </cell>
          <cell r="E58" t="str">
            <v>1603205431614</v>
          </cell>
          <cell r="F58">
            <v>3</v>
          </cell>
          <cell r="G58">
            <v>0</v>
          </cell>
          <cell r="H58">
            <v>3</v>
          </cell>
          <cell r="I58">
            <v>0.35</v>
          </cell>
          <cell r="J58" t="str">
            <v>NV P. QT 
Dịch vụ</v>
          </cell>
        </row>
        <row r="59">
          <cell r="B59" t="str">
            <v>Võ Tấn Kiệt</v>
          </cell>
          <cell r="C59">
            <v>0</v>
          </cell>
          <cell r="D59" t="str">
            <v>0016100006511001</v>
          </cell>
          <cell r="E59" t="str">
            <v>1603215002809</v>
          </cell>
          <cell r="F59">
            <v>2.67</v>
          </cell>
          <cell r="G59">
            <v>0</v>
          </cell>
          <cell r="H59">
            <v>2.67</v>
          </cell>
          <cell r="I59">
            <v>0</v>
          </cell>
          <cell r="J59" t="str">
            <v>NV P. QT 
Dịch vụ</v>
          </cell>
        </row>
        <row r="60">
          <cell r="B60" t="str">
            <v>Phan Đức Long</v>
          </cell>
          <cell r="C60" t="str">
            <v>LONG</v>
          </cell>
          <cell r="D60" t="str">
            <v>0016100006708007</v>
          </cell>
          <cell r="E60" t="str">
            <v>1603205179180</v>
          </cell>
          <cell r="F60">
            <v>4.9800000000000004</v>
          </cell>
          <cell r="G60">
            <v>0.05</v>
          </cell>
          <cell r="H60">
            <v>5.2290000000000001</v>
          </cell>
          <cell r="I60">
            <v>0.25</v>
          </cell>
          <cell r="J60" t="str">
            <v>Nhân viên phòng Quản trị - Dịch vụ</v>
          </cell>
        </row>
        <row r="61">
          <cell r="B61" t="str">
            <v>Bùi Thị Dương</v>
          </cell>
          <cell r="C61" t="str">
            <v>DƯƠNG</v>
          </cell>
          <cell r="D61" t="str">
            <v>0016100006716002</v>
          </cell>
          <cell r="E61">
            <v>1603205182619</v>
          </cell>
          <cell r="F61">
            <v>3.66</v>
          </cell>
          <cell r="G61">
            <v>0</v>
          </cell>
          <cell r="H61">
            <v>3.66</v>
          </cell>
          <cell r="I61">
            <v>0</v>
          </cell>
          <cell r="J61" t="str">
            <v>Nhân viên phòng Quản trị - Dịch vụ</v>
          </cell>
        </row>
        <row r="62">
          <cell r="B62" t="str">
            <v>Phan Hữu Tước</v>
          </cell>
          <cell r="C62">
            <v>0</v>
          </cell>
          <cell r="D62">
            <v>0</v>
          </cell>
          <cell r="E62">
            <v>0</v>
          </cell>
          <cell r="F62">
            <v>4.0599999999999996</v>
          </cell>
          <cell r="G62">
            <v>0.1</v>
          </cell>
          <cell r="H62">
            <v>4.4659999999999993</v>
          </cell>
          <cell r="I62">
            <v>0.35</v>
          </cell>
          <cell r="J62" t="str">
            <v>Nhân viên phòng Quản trị - Dịch vụ</v>
          </cell>
        </row>
        <row r="63">
          <cell r="B63" t="str">
            <v>Trang Thị Xuân Uyên</v>
          </cell>
          <cell r="C63" t="str">
            <v>UYÊN</v>
          </cell>
          <cell r="D63" t="str">
            <v>0016100006567007</v>
          </cell>
          <cell r="E63" t="str">
            <v>1603205186156</v>
          </cell>
          <cell r="F63">
            <v>4.6500000000000004</v>
          </cell>
          <cell r="G63">
            <v>0</v>
          </cell>
          <cell r="H63">
            <v>4.6500000000000004</v>
          </cell>
          <cell r="I63">
            <v>0.45</v>
          </cell>
          <cell r="J63" t="str">
            <v>Trưởng TT Y tế</v>
          </cell>
        </row>
        <row r="64">
          <cell r="B64" t="str">
            <v>Bùi Thị Lan Anh</v>
          </cell>
          <cell r="C64" t="str">
            <v>ANH</v>
          </cell>
          <cell r="D64" t="str">
            <v>0016100006725001</v>
          </cell>
          <cell r="E64">
            <v>1603205247426</v>
          </cell>
          <cell r="F64">
            <v>3.66</v>
          </cell>
          <cell r="G64">
            <v>0</v>
          </cell>
          <cell r="H64">
            <v>3.66</v>
          </cell>
          <cell r="I64">
            <v>0</v>
          </cell>
          <cell r="J64" t="str">
            <v>Nhân viên Trung tâm Y tế</v>
          </cell>
        </row>
        <row r="65">
          <cell r="B65" t="str">
            <v>Nguyễn Kính</v>
          </cell>
          <cell r="C65" t="str">
            <v>KÍNH</v>
          </cell>
          <cell r="D65" t="str">
            <v>0016100006705008</v>
          </cell>
          <cell r="E65" t="str">
            <v>1603205457393</v>
          </cell>
          <cell r="F65">
            <v>4.9800000000000004</v>
          </cell>
          <cell r="G65">
            <v>0.37</v>
          </cell>
          <cell r="H65">
            <v>6.8226000000000004</v>
          </cell>
          <cell r="I65">
            <v>0.45</v>
          </cell>
          <cell r="J65" t="str">
            <v>TP. Kế hoạch - Tài chính</v>
          </cell>
        </row>
        <row r="66">
          <cell r="B66" t="str">
            <v>Hồng Mộng Tuyết Dung</v>
          </cell>
          <cell r="C66" t="str">
            <v>DUNG</v>
          </cell>
          <cell r="D66" t="str">
            <v>0016100006512008</v>
          </cell>
          <cell r="E66" t="str">
            <v>1603205203183</v>
          </cell>
          <cell r="F66">
            <v>3.99</v>
          </cell>
          <cell r="G66">
            <v>0</v>
          </cell>
          <cell r="H66">
            <v>3.99</v>
          </cell>
          <cell r="I66">
            <v>0</v>
          </cell>
          <cell r="J66" t="str">
            <v>NV phòng KH-TC</v>
          </cell>
        </row>
        <row r="67">
          <cell r="B67" t="str">
            <v>Trần Thị Minh Thoa</v>
          </cell>
          <cell r="C67" t="str">
            <v>THOA</v>
          </cell>
          <cell r="D67" t="str">
            <v>0016100006515007</v>
          </cell>
          <cell r="E67">
            <v>1603205178873</v>
          </cell>
          <cell r="F67">
            <v>3.66</v>
          </cell>
          <cell r="G67">
            <v>0</v>
          </cell>
          <cell r="H67">
            <v>3.66</v>
          </cell>
          <cell r="I67">
            <v>0</v>
          </cell>
          <cell r="J67" t="str">
            <v>NV phòng KH-TC</v>
          </cell>
        </row>
        <row r="68">
          <cell r="B68" t="str">
            <v>Nguyễn Thị Hồng Thắm</v>
          </cell>
          <cell r="C68" t="str">
            <v>THẮM</v>
          </cell>
          <cell r="D68" t="str">
            <v>0016100006681004</v>
          </cell>
          <cell r="E68">
            <v>1603205372861</v>
          </cell>
          <cell r="F68">
            <v>2.67</v>
          </cell>
          <cell r="G68">
            <v>0</v>
          </cell>
          <cell r="H68">
            <v>2.67</v>
          </cell>
          <cell r="I68">
            <v>0</v>
          </cell>
          <cell r="J68" t="str">
            <v>NV phòng KH-TC</v>
          </cell>
        </row>
        <row r="69">
          <cell r="B69" t="str">
            <v>Võ Thị Lệ Trân</v>
          </cell>
          <cell r="C69" t="str">
            <v>TRÂN</v>
          </cell>
          <cell r="D69" t="str">
            <v>0016100006524006</v>
          </cell>
          <cell r="E69">
            <v>1603205185357</v>
          </cell>
          <cell r="F69">
            <v>3.66</v>
          </cell>
          <cell r="G69">
            <v>0</v>
          </cell>
          <cell r="H69">
            <v>3.66</v>
          </cell>
          <cell r="I69">
            <v>0</v>
          </cell>
          <cell r="J69" t="str">
            <v>NV Phòng KH-TC</v>
          </cell>
        </row>
        <row r="70">
          <cell r="B70" t="str">
            <v>Nguyễn Văn Chiến</v>
          </cell>
          <cell r="C70" t="str">
            <v>CHIẾN</v>
          </cell>
          <cell r="D70" t="str">
            <v>0016100006548002</v>
          </cell>
          <cell r="E70" t="str">
            <v>1603205341369</v>
          </cell>
          <cell r="F70">
            <v>4.32</v>
          </cell>
          <cell r="G70">
            <v>0</v>
          </cell>
          <cell r="H70">
            <v>4.32</v>
          </cell>
          <cell r="I70">
            <v>0.45</v>
          </cell>
          <cell r="J70" t="str">
            <v>Phu trách TT QHDN</v>
          </cell>
        </row>
        <row r="71">
          <cell r="B71" t="str">
            <v>Nguyễn Thùy Dương</v>
          </cell>
          <cell r="C71" t="str">
            <v>DƯƠNG</v>
          </cell>
          <cell r="D71" t="str">
            <v>0016100006640006</v>
          </cell>
          <cell r="E71">
            <v>1603205356140</v>
          </cell>
          <cell r="F71">
            <v>3.99</v>
          </cell>
          <cell r="G71">
            <v>0</v>
          </cell>
          <cell r="H71">
            <v>3.99</v>
          </cell>
          <cell r="I71">
            <v>0</v>
          </cell>
          <cell r="J71" t="str">
            <v>NV Trung tâm QHDN</v>
          </cell>
        </row>
        <row r="72">
          <cell r="B72" t="str">
            <v>Nguyễn Thị Ngọc Anh</v>
          </cell>
          <cell r="C72" t="str">
            <v>ANH</v>
          </cell>
          <cell r="D72" t="str">
            <v>0016100006654007</v>
          </cell>
          <cell r="E72">
            <v>1603205182727</v>
          </cell>
          <cell r="F72">
            <v>4.32</v>
          </cell>
          <cell r="G72">
            <v>0</v>
          </cell>
          <cell r="H72">
            <v>4.32</v>
          </cell>
          <cell r="I72">
            <v>0</v>
          </cell>
          <cell r="J72" t="str">
            <v>Nhân viên phòng Thanh tra GD - Công tác SV</v>
          </cell>
        </row>
        <row r="73">
          <cell r="B73" t="str">
            <v>Lê Xuân Thiện</v>
          </cell>
          <cell r="C73" t="str">
            <v>THIỆN</v>
          </cell>
          <cell r="D73" t="str">
            <v>0016100006766007</v>
          </cell>
          <cell r="E73" t="str">
            <v>1603205185958</v>
          </cell>
          <cell r="F73">
            <v>4.9800000000000004</v>
          </cell>
          <cell r="G73">
            <v>7.0000000000000007E-2</v>
          </cell>
          <cell r="H73">
            <v>5.3286000000000007</v>
          </cell>
          <cell r="I73">
            <v>0.45</v>
          </cell>
          <cell r="J73" t="str">
            <v>Trưởng phòng Thanh tra GD - CTSV</v>
          </cell>
        </row>
        <row r="74">
          <cell r="B74" t="str">
            <v>Nguyễn Thị Kim Anh</v>
          </cell>
          <cell r="C74" t="str">
            <v>ANH</v>
          </cell>
          <cell r="D74" t="str">
            <v>0016100006719001</v>
          </cell>
          <cell r="E74">
            <v>1603205189653</v>
          </cell>
          <cell r="F74">
            <v>3.99</v>
          </cell>
          <cell r="G74">
            <v>0</v>
          </cell>
          <cell r="H74">
            <v>3.99</v>
          </cell>
          <cell r="I74">
            <v>0</v>
          </cell>
          <cell r="J74" t="str">
            <v>NV phòng Thanh tra Giáo dục - Sinh viên</v>
          </cell>
        </row>
        <row r="75">
          <cell r="B75" t="str">
            <v>Nguyễn Ngọc Hiệp</v>
          </cell>
          <cell r="C75" t="str">
            <v xml:space="preserve">HIỆP </v>
          </cell>
          <cell r="D75" t="str">
            <v>0016100006783001</v>
          </cell>
          <cell r="E75" t="str">
            <v>1603205179173</v>
          </cell>
          <cell r="F75">
            <v>4.9800000000000004</v>
          </cell>
          <cell r="G75">
            <v>0.06</v>
          </cell>
          <cell r="H75">
            <v>5.2788000000000004</v>
          </cell>
          <cell r="I75">
            <v>0.35</v>
          </cell>
          <cell r="J75" t="str">
            <v>PTP. Thanh tra GD - Sinh viên</v>
          </cell>
        </row>
        <row r="76">
          <cell r="B76" t="str">
            <v>Phạm Thị Lê Chi</v>
          </cell>
          <cell r="C76" t="str">
            <v>CHI</v>
          </cell>
          <cell r="D76" t="str">
            <v>0016100006714007</v>
          </cell>
          <cell r="E76" t="str">
            <v>1603205250618</v>
          </cell>
          <cell r="F76">
            <v>3.66</v>
          </cell>
          <cell r="G76">
            <v>0</v>
          </cell>
          <cell r="H76">
            <v>3.66</v>
          </cell>
          <cell r="I76">
            <v>0</v>
          </cell>
          <cell r="J76" t="str">
            <v>NV phòng Thanh tra Giáo dục - Sinh viên</v>
          </cell>
        </row>
        <row r="77">
          <cell r="B77" t="str">
            <v>Trần Thị Thu Hà</v>
          </cell>
          <cell r="C77" t="str">
            <v>HÀ</v>
          </cell>
          <cell r="D77" t="str">
            <v>0016100006711008</v>
          </cell>
          <cell r="E77" t="str">
            <v>1603205186179</v>
          </cell>
          <cell r="F77">
            <v>4.32</v>
          </cell>
          <cell r="G77">
            <v>0</v>
          </cell>
          <cell r="H77">
            <v>4.32</v>
          </cell>
          <cell r="I77">
            <v>0</v>
          </cell>
          <cell r="J77" t="str">
            <v>NV phòng Thanh tra Giáo dục - Sinh viên</v>
          </cell>
        </row>
        <row r="78">
          <cell r="B78" t="str">
            <v>Nguyễn Tất Thắng</v>
          </cell>
          <cell r="C78" t="str">
            <v xml:space="preserve">THẮNG </v>
          </cell>
          <cell r="D78" t="str">
            <v>0016100006715006</v>
          </cell>
          <cell r="E78" t="str">
            <v>1603205179109</v>
          </cell>
          <cell r="F78">
            <v>4.32</v>
          </cell>
          <cell r="G78">
            <v>0</v>
          </cell>
          <cell r="H78">
            <v>4.32</v>
          </cell>
          <cell r="I78">
            <v>0</v>
          </cell>
          <cell r="J78" t="str">
            <v>NV phòng Thanh tra Giáo dục - Sinh viên</v>
          </cell>
        </row>
        <row r="79">
          <cell r="B79" t="str">
            <v>Mai Thu Hương</v>
          </cell>
          <cell r="C79" t="str">
            <v>HƯƠNG</v>
          </cell>
          <cell r="D79" t="str">
            <v>0016100006498005</v>
          </cell>
          <cell r="E79" t="str">
            <v>1603205273823</v>
          </cell>
          <cell r="F79">
            <v>3.66</v>
          </cell>
          <cell r="G79">
            <v>0</v>
          </cell>
          <cell r="H79">
            <v>3.66</v>
          </cell>
          <cell r="I79">
            <v>0</v>
          </cell>
          <cell r="J79" t="str">
            <v>NV Phòng Thanh tra GD - Sinh viên</v>
          </cell>
        </row>
        <row r="80">
          <cell r="B80" t="str">
            <v>Huỳnh Thị Cẩm Hoa</v>
          </cell>
          <cell r="C80" t="str">
            <v>HOA</v>
          </cell>
          <cell r="D80" t="str">
            <v>0016100006568003</v>
          </cell>
          <cell r="E80" t="str">
            <v>1603215003383</v>
          </cell>
          <cell r="F80">
            <v>3.66</v>
          </cell>
          <cell r="G80">
            <v>0</v>
          </cell>
          <cell r="H80">
            <v>3.66</v>
          </cell>
          <cell r="I80">
            <v>0</v>
          </cell>
          <cell r="J80" t="str">
            <v>Nhân viên phòng Tuyển sinh - Đào tạo</v>
          </cell>
        </row>
        <row r="81">
          <cell r="B81" t="str">
            <v>Nguyễn Thành Nam</v>
          </cell>
          <cell r="C81" t="str">
            <v>NAM</v>
          </cell>
          <cell r="D81" t="str">
            <v>0016100006648007</v>
          </cell>
          <cell r="E81" t="str">
            <v>1603215002713</v>
          </cell>
          <cell r="F81">
            <v>4.4000000000000004</v>
          </cell>
          <cell r="G81">
            <v>0</v>
          </cell>
          <cell r="H81">
            <v>4.4000000000000004</v>
          </cell>
          <cell r="I81">
            <v>0.45</v>
          </cell>
          <cell r="J81" t="str">
            <v>Trưởng phòng Tuyển sinh - Đào tạo</v>
          </cell>
        </row>
        <row r="82">
          <cell r="B82" t="str">
            <v>Quách Minh Thử</v>
          </cell>
          <cell r="C82" t="str">
            <v>THỬ</v>
          </cell>
          <cell r="D82" t="str">
            <v>0016100006528001</v>
          </cell>
          <cell r="E82" t="str">
            <v>1603205182415</v>
          </cell>
          <cell r="F82">
            <v>4.32</v>
          </cell>
          <cell r="G82">
            <v>0</v>
          </cell>
          <cell r="H82">
            <v>4.32</v>
          </cell>
          <cell r="I82">
            <v>0.35</v>
          </cell>
          <cell r="J82" t="str">
            <v>Phó TP. Tuyể sinh - Đào tạo</v>
          </cell>
        </row>
        <row r="83">
          <cell r="B83" t="str">
            <v>Võ Thị Xuân Thơ</v>
          </cell>
          <cell r="C83" t="str">
            <v>THƠ</v>
          </cell>
          <cell r="D83" t="str">
            <v>0016100006527005</v>
          </cell>
          <cell r="E83" t="str">
            <v>1603205185760</v>
          </cell>
          <cell r="F83">
            <v>4.6500000000000004</v>
          </cell>
          <cell r="G83">
            <v>0</v>
          </cell>
          <cell r="H83">
            <v>4.6500000000000004</v>
          </cell>
          <cell r="I83">
            <v>0</v>
          </cell>
          <cell r="J83" t="str">
            <v>Nhân viên phòng TS - Đào tạo</v>
          </cell>
        </row>
        <row r="84">
          <cell r="B84" t="str">
            <v>Nguyễn Thị Thanh Thảo</v>
          </cell>
          <cell r="C84" t="str">
            <v>THẢO</v>
          </cell>
          <cell r="D84" t="str">
            <v>0016100006521007</v>
          </cell>
          <cell r="E84">
            <v>1603205182394</v>
          </cell>
          <cell r="F84">
            <v>3.99</v>
          </cell>
          <cell r="G84">
            <v>0</v>
          </cell>
          <cell r="H84">
            <v>3.99</v>
          </cell>
          <cell r="I84">
            <v>0</v>
          </cell>
          <cell r="J84" t="str">
            <v>Nhân viên phòng TS - Đào tạo</v>
          </cell>
        </row>
        <row r="85">
          <cell r="B85" t="str">
            <v>Giáp Thị Vượng</v>
          </cell>
          <cell r="C85" t="str">
            <v>VƯỢNG</v>
          </cell>
          <cell r="D85" t="str">
            <v>0016100006526009</v>
          </cell>
          <cell r="E85" t="str">
            <v>1603205246090</v>
          </cell>
          <cell r="F85">
            <v>3.33</v>
          </cell>
          <cell r="G85">
            <v>0</v>
          </cell>
          <cell r="H85">
            <v>3.33</v>
          </cell>
          <cell r="I85">
            <v>0</v>
          </cell>
          <cell r="J85" t="str">
            <v>Nhân viên phòng TS - Đào tạo</v>
          </cell>
        </row>
        <row r="86">
          <cell r="B86" t="str">
            <v>Nguyễn Thị Thùy</v>
          </cell>
          <cell r="C86" t="str">
            <v>THÙY</v>
          </cell>
          <cell r="D86" t="str">
            <v>0016100006535008</v>
          </cell>
          <cell r="E86">
            <v>1603205182762</v>
          </cell>
          <cell r="F86">
            <v>3.96</v>
          </cell>
          <cell r="G86">
            <v>0</v>
          </cell>
          <cell r="H86">
            <v>3.96</v>
          </cell>
          <cell r="I86">
            <v>0</v>
          </cell>
          <cell r="J86" t="str">
            <v>Nhân viên phòng TS - Đào tạo</v>
          </cell>
        </row>
        <row r="87">
          <cell r="B87" t="str">
            <v>Nguyễn Thị Hải Hà</v>
          </cell>
          <cell r="C87" t="str">
            <v>HÀ</v>
          </cell>
          <cell r="D87" t="str">
            <v>0016100006541008</v>
          </cell>
          <cell r="E87">
            <v>1603205182178</v>
          </cell>
          <cell r="F87">
            <v>3.66</v>
          </cell>
          <cell r="G87">
            <v>0</v>
          </cell>
          <cell r="H87">
            <v>3.66</v>
          </cell>
          <cell r="I87">
            <v>0</v>
          </cell>
          <cell r="J87" t="str">
            <v>Nhân viên phòng TS - Đào tạo</v>
          </cell>
        </row>
        <row r="88">
          <cell r="B88" t="str">
            <v>Thái Thị My Sa</v>
          </cell>
          <cell r="C88" t="str">
            <v>SA</v>
          </cell>
          <cell r="D88" t="str">
            <v>0016100006768002</v>
          </cell>
          <cell r="E88">
            <v>1603205351697</v>
          </cell>
          <cell r="F88">
            <v>3.33</v>
          </cell>
          <cell r="G88">
            <v>0</v>
          </cell>
          <cell r="H88">
            <v>3.33</v>
          </cell>
          <cell r="I88">
            <v>0</v>
          </cell>
          <cell r="J88" t="str">
            <v>Nhân viên phòng TS - Đào tạo</v>
          </cell>
        </row>
        <row r="89">
          <cell r="B89" t="str">
            <v>Mai Nguyễn Hoàng Yến</v>
          </cell>
          <cell r="C89" t="str">
            <v>YẾN</v>
          </cell>
          <cell r="D89" t="str">
            <v>0016100006652004</v>
          </cell>
          <cell r="E89">
            <v>1603205357194</v>
          </cell>
          <cell r="F89">
            <v>3.33</v>
          </cell>
          <cell r="G89">
            <v>0</v>
          </cell>
          <cell r="H89">
            <v>3.33</v>
          </cell>
          <cell r="I89">
            <v>0</v>
          </cell>
          <cell r="J89" t="str">
            <v>Nhân viên phòng Tuyển sinh - Đào tạo</v>
          </cell>
        </row>
        <row r="90">
          <cell r="B90" t="str">
            <v>Nguyễn Chí Nhân</v>
          </cell>
          <cell r="C90" t="str">
            <v>NHÂN</v>
          </cell>
          <cell r="D90" t="str">
            <v>0016100006689005</v>
          </cell>
          <cell r="E90" t="str">
            <v>1603205182184</v>
          </cell>
          <cell r="F90">
            <v>4.6500000000000004</v>
          </cell>
          <cell r="G90">
            <v>0</v>
          </cell>
          <cell r="H90">
            <v>4.6500000000000004</v>
          </cell>
          <cell r="I90">
            <v>0.45</v>
          </cell>
          <cell r="J90" t="str">
            <v>Trưởng phòng Khảo thí và ĐBCL</v>
          </cell>
        </row>
        <row r="91">
          <cell r="B91" t="str">
            <v>Nguyễn Thị Kim Dung</v>
          </cell>
          <cell r="C91" t="str">
            <v>DUNG</v>
          </cell>
          <cell r="D91" t="str">
            <v>0016100006682008</v>
          </cell>
          <cell r="E91" t="str">
            <v>1603205182336</v>
          </cell>
          <cell r="F91">
            <v>4.32</v>
          </cell>
          <cell r="G91">
            <v>0</v>
          </cell>
          <cell r="H91">
            <v>4.32</v>
          </cell>
          <cell r="I91">
            <v>0.35</v>
          </cell>
          <cell r="J91" t="str">
            <v>Phó TP. Kế hoạch - Tài chính</v>
          </cell>
        </row>
        <row r="92">
          <cell r="B92" t="str">
            <v>Nguyễn Thanh Sơn</v>
          </cell>
          <cell r="C92" t="str">
            <v>SƠN (B)</v>
          </cell>
          <cell r="D92" t="str">
            <v>0016100006721006</v>
          </cell>
          <cell r="E92" t="str">
            <v>1603205303449</v>
          </cell>
          <cell r="F92">
            <v>4.9800000000000004</v>
          </cell>
          <cell r="G92">
            <v>0.2</v>
          </cell>
          <cell r="H92">
            <v>5.9760000000000009</v>
          </cell>
          <cell r="I92">
            <v>0</v>
          </cell>
          <cell r="J92" t="str">
            <v>Nhân viên phòng Khảo thí và ĐBCL</v>
          </cell>
        </row>
        <row r="93">
          <cell r="B93" t="str">
            <v>Vũ Thị Thu Thủy</v>
          </cell>
          <cell r="C93" t="str">
            <v>THỦY</v>
          </cell>
          <cell r="D93" t="str">
            <v>0016100006685007</v>
          </cell>
          <cell r="E93" t="str">
            <v>1603205182575</v>
          </cell>
          <cell r="F93">
            <v>3.66</v>
          </cell>
          <cell r="G93">
            <v>0</v>
          </cell>
          <cell r="H93">
            <v>3.66</v>
          </cell>
          <cell r="I93">
            <v>0</v>
          </cell>
          <cell r="J93" t="str">
            <v>Nhân viên phòng Khảo thí và ĐBCL</v>
          </cell>
        </row>
        <row r="94">
          <cell r="B94" t="str">
            <v>Nguyễn Thị Tuyết</v>
          </cell>
          <cell r="C94" t="str">
            <v>TUYẾT</v>
          </cell>
          <cell r="D94" t="str">
            <v>0016100006733004</v>
          </cell>
          <cell r="E94">
            <v>1603205182756</v>
          </cell>
          <cell r="F94">
            <v>3.66</v>
          </cell>
          <cell r="G94">
            <v>0</v>
          </cell>
          <cell r="H94">
            <v>3.66</v>
          </cell>
          <cell r="I94">
            <v>0</v>
          </cell>
          <cell r="J94" t="str">
            <v>Nhân viên phòng Khảo thí và ĐBCL</v>
          </cell>
        </row>
        <row r="95">
          <cell r="B95" t="str">
            <v>Lương Minh Dũng</v>
          </cell>
          <cell r="C95" t="str">
            <v>DŨNG</v>
          </cell>
          <cell r="D95" t="str">
            <v>0016100006792008</v>
          </cell>
          <cell r="E95">
            <v>1603205286752</v>
          </cell>
          <cell r="F95">
            <v>3.66</v>
          </cell>
          <cell r="G95">
            <v>0</v>
          </cell>
          <cell r="H95">
            <v>3.66</v>
          </cell>
          <cell r="I95">
            <v>0</v>
          </cell>
          <cell r="J95" t="str">
            <v>Nhân viên phòng Khảo thí và ĐBCL</v>
          </cell>
        </row>
        <row r="96">
          <cell r="B96" t="str">
            <v>Trương Thị Hồng</v>
          </cell>
          <cell r="C96">
            <v>0</v>
          </cell>
          <cell r="D96" t="str">
            <v>0016100006657006</v>
          </cell>
          <cell r="E96" t="str">
            <v>1603205186603</v>
          </cell>
          <cell r="F96">
            <v>3</v>
          </cell>
          <cell r="G96">
            <v>0</v>
          </cell>
          <cell r="H96">
            <v>3</v>
          </cell>
          <cell r="I96">
            <v>0.35</v>
          </cell>
          <cell r="J96" t="str">
            <v>Nhân viên phòng Khảo thí và ĐBCL</v>
          </cell>
        </row>
        <row r="97">
          <cell r="B97" t="str">
            <v>Nguyễn Hữu Thiện</v>
          </cell>
          <cell r="C97" t="str">
            <v>THIỆN</v>
          </cell>
          <cell r="D97" t="str">
            <v>0016100006563001</v>
          </cell>
          <cell r="E97" t="str">
            <v>1603205185147</v>
          </cell>
          <cell r="F97">
            <v>3.66</v>
          </cell>
          <cell r="G97">
            <v>0</v>
          </cell>
          <cell r="H97">
            <v>3.66</v>
          </cell>
          <cell r="I97">
            <v>0.45</v>
          </cell>
          <cell r="J97" t="str">
            <v>Trưởng TT Điều hành và QLDL</v>
          </cell>
        </row>
        <row r="98">
          <cell r="B98" t="str">
            <v>Trương Hữu Lộc</v>
          </cell>
          <cell r="C98" t="str">
            <v>LỘC</v>
          </cell>
          <cell r="D98" t="str">
            <v>0016100006562005</v>
          </cell>
          <cell r="E98" t="str">
            <v>1603205246010</v>
          </cell>
          <cell r="F98">
            <v>3.66</v>
          </cell>
          <cell r="G98">
            <v>0</v>
          </cell>
          <cell r="H98">
            <v>3.66</v>
          </cell>
          <cell r="I98">
            <v>0</v>
          </cell>
          <cell r="J98" t="str">
            <v>NV Trung tâm ĐH và QLDL</v>
          </cell>
        </row>
        <row r="99">
          <cell r="B99" t="str">
            <v>Vương Hội Khánh</v>
          </cell>
          <cell r="C99" t="str">
            <v>KHÁNH</v>
          </cell>
          <cell r="D99" t="str">
            <v>0016100006542004</v>
          </cell>
          <cell r="E99" t="str">
            <v>1603205254263</v>
          </cell>
          <cell r="F99">
            <v>3.26</v>
          </cell>
          <cell r="G99">
            <v>0</v>
          </cell>
          <cell r="H99">
            <v>3.26</v>
          </cell>
          <cell r="I99">
            <v>0</v>
          </cell>
          <cell r="J99" t="str">
            <v>Nhân viên TT Điều hành và QLDL</v>
          </cell>
        </row>
        <row r="100">
          <cell r="B100" t="str">
            <v>Hồ Ngọc Chi</v>
          </cell>
          <cell r="C100">
            <v>0</v>
          </cell>
          <cell r="D100" t="str">
            <v>0016100007759007</v>
          </cell>
          <cell r="E100">
            <v>1603215005599</v>
          </cell>
          <cell r="F100">
            <v>3.66</v>
          </cell>
          <cell r="G100">
            <v>0</v>
          </cell>
          <cell r="H100">
            <v>3.66</v>
          </cell>
          <cell r="I100">
            <v>0.45</v>
          </cell>
          <cell r="J100" t="str">
            <v>Phụ trách TT Thư viện</v>
          </cell>
        </row>
        <row r="101">
          <cell r="B101" t="str">
            <v>Đặng Thu Hà</v>
          </cell>
          <cell r="C101" t="str">
            <v>HÀ</v>
          </cell>
          <cell r="D101" t="str">
            <v>0016100006633007</v>
          </cell>
          <cell r="E101" t="str">
            <v>1603205246400</v>
          </cell>
          <cell r="F101">
            <v>3.33</v>
          </cell>
          <cell r="G101">
            <v>0</v>
          </cell>
          <cell r="H101">
            <v>3.33</v>
          </cell>
          <cell r="I101">
            <v>0</v>
          </cell>
          <cell r="J101" t="str">
            <v>Nhân viên TT Thư viện</v>
          </cell>
        </row>
        <row r="102">
          <cell r="B102" t="str">
            <v>Trần Thị Diễm Thúy</v>
          </cell>
          <cell r="C102" t="str">
            <v>THÚY</v>
          </cell>
          <cell r="D102" t="str">
            <v>0016100006561009</v>
          </cell>
          <cell r="E102">
            <v>1603205185623</v>
          </cell>
          <cell r="F102">
            <v>3.33</v>
          </cell>
          <cell r="G102">
            <v>0</v>
          </cell>
          <cell r="H102">
            <v>3.33</v>
          </cell>
          <cell r="I102">
            <v>0</v>
          </cell>
          <cell r="J102" t="str">
            <v>Nhân viên TT Thư viện</v>
          </cell>
        </row>
        <row r="103">
          <cell r="B103" t="str">
            <v>Nguyễn Tứ Cảnh</v>
          </cell>
          <cell r="C103" t="str">
            <v xml:space="preserve">CẢNH </v>
          </cell>
          <cell r="D103" t="str">
            <v>0016100006501006</v>
          </cell>
          <cell r="E103" t="str">
            <v>1603205179013</v>
          </cell>
          <cell r="F103">
            <v>4.9800000000000004</v>
          </cell>
          <cell r="G103">
            <v>0.05</v>
          </cell>
          <cell r="H103">
            <v>5.2290000000000001</v>
          </cell>
          <cell r="I103">
            <v>0</v>
          </cell>
          <cell r="J103" t="str">
            <v>Nhân viên TT Thư viện</v>
          </cell>
        </row>
        <row r="104">
          <cell r="B104" t="str">
            <v>Nguyễn Trọng Nghĩa</v>
          </cell>
          <cell r="C104" t="str">
            <v>NGHĨA</v>
          </cell>
          <cell r="D104" t="str">
            <v>0016100006639008</v>
          </cell>
          <cell r="E104" t="str">
            <v>1603215002243</v>
          </cell>
          <cell r="F104">
            <v>4.9800000000000004</v>
          </cell>
          <cell r="G104">
            <v>0</v>
          </cell>
          <cell r="H104">
            <v>4.9800000000000004</v>
          </cell>
          <cell r="I104">
            <v>0.45</v>
          </cell>
          <cell r="J104" t="str">
            <v>Trưởng phòng KHCN &amp; HTQT</v>
          </cell>
        </row>
        <row r="105">
          <cell r="B105" t="str">
            <v>Lương Xuân Thịnh</v>
          </cell>
          <cell r="C105" t="str">
            <v>THỊNH</v>
          </cell>
          <cell r="D105" t="str">
            <v>0016100006540001</v>
          </cell>
          <cell r="E105">
            <v>1603205354978</v>
          </cell>
          <cell r="F105">
            <v>2.67</v>
          </cell>
          <cell r="G105">
            <v>0</v>
          </cell>
          <cell r="H105">
            <v>2.67</v>
          </cell>
          <cell r="I105">
            <v>0.45</v>
          </cell>
          <cell r="J105" t="str">
            <v>Giám đốc TT Đào tạo Lý Tự Trọng</v>
          </cell>
        </row>
        <row r="106">
          <cell r="B106" t="str">
            <v>Đỗ Thị Tâm</v>
          </cell>
          <cell r="C106" t="str">
            <v>TÂM</v>
          </cell>
          <cell r="D106" t="str">
            <v>0016100006552007</v>
          </cell>
          <cell r="E106" t="str">
            <v>1603205179059</v>
          </cell>
          <cell r="F106">
            <v>3.34</v>
          </cell>
          <cell r="G106">
            <v>0</v>
          </cell>
          <cell r="H106">
            <v>3.34</v>
          </cell>
          <cell r="I106">
            <v>0</v>
          </cell>
          <cell r="J106" t="str">
            <v>Nhân viên Trung tâm Lý Tự Trọng</v>
          </cell>
        </row>
        <row r="107">
          <cell r="B107" t="str">
            <v>Phạm Quang Vũ</v>
          </cell>
          <cell r="C107" t="str">
            <v>VŨ</v>
          </cell>
          <cell r="D107" t="str">
            <v>0016100007211001</v>
          </cell>
          <cell r="E107">
            <v>1603215003961</v>
          </cell>
          <cell r="F107">
            <v>3.66</v>
          </cell>
          <cell r="G107">
            <v>0</v>
          </cell>
          <cell r="H107">
            <v>3.66</v>
          </cell>
          <cell r="I107">
            <v>0.45</v>
          </cell>
          <cell r="J107" t="str">
            <v>Trưởng khoa Xây dựng</v>
          </cell>
        </row>
        <row r="108">
          <cell r="B108" t="str">
            <v>Trình Minh Phong</v>
          </cell>
          <cell r="C108">
            <v>0</v>
          </cell>
          <cell r="D108" t="str">
            <v>0004100004671006</v>
          </cell>
          <cell r="E108" t="str">
            <v>1603205634954</v>
          </cell>
          <cell r="F108">
            <v>2.67</v>
          </cell>
          <cell r="G108">
            <v>0</v>
          </cell>
          <cell r="H108">
            <v>2.67</v>
          </cell>
          <cell r="I108">
            <v>0</v>
          </cell>
          <cell r="J108" t="str">
            <v>Giảng viên khoa Xây dựng</v>
          </cell>
        </row>
        <row r="109">
          <cell r="B109" t="str">
            <v>Trần Ngọc Tuấn</v>
          </cell>
          <cell r="C109">
            <v>0</v>
          </cell>
          <cell r="D109" t="str">
            <v>0016100029229001</v>
          </cell>
          <cell r="E109">
            <v>0</v>
          </cell>
          <cell r="F109">
            <v>2.34</v>
          </cell>
          <cell r="G109">
            <v>0</v>
          </cell>
          <cell r="H109">
            <v>2.34</v>
          </cell>
          <cell r="I109">
            <v>0</v>
          </cell>
          <cell r="J109" t="str">
            <v>Giảng viên khoa Xây dựng</v>
          </cell>
        </row>
        <row r="110">
          <cell r="B110" t="str">
            <v>Trịnh Hoàng Hiệp</v>
          </cell>
          <cell r="C110" t="str">
            <v xml:space="preserve">HIỆP </v>
          </cell>
          <cell r="D110" t="str">
            <v>0016100006608005</v>
          </cell>
          <cell r="E110" t="str">
            <v>1603205458242</v>
          </cell>
          <cell r="F110">
            <v>3.99</v>
          </cell>
          <cell r="G110">
            <v>0</v>
          </cell>
          <cell r="H110">
            <v>3.99</v>
          </cell>
          <cell r="I110">
            <v>0.45</v>
          </cell>
          <cell r="J110" t="str">
            <v>Phó Trưởng khoa, Phụ trách khoa Kinh tế</v>
          </cell>
        </row>
        <row r="111">
          <cell r="B111" t="str">
            <v>Trần Thị Ngọc Dung</v>
          </cell>
          <cell r="C111">
            <v>0</v>
          </cell>
          <cell r="D111" t="str">
            <v>0016100006602007</v>
          </cell>
          <cell r="E111" t="str">
            <v>1603215003876</v>
          </cell>
          <cell r="F111">
            <v>3</v>
          </cell>
          <cell r="G111">
            <v>0</v>
          </cell>
          <cell r="H111">
            <v>3</v>
          </cell>
          <cell r="I111">
            <v>0</v>
          </cell>
          <cell r="J111" t="str">
            <v>Giảng viên khoa Kinh tế</v>
          </cell>
        </row>
        <row r="112">
          <cell r="B112" t="str">
            <v>Cao Xuân Giang</v>
          </cell>
          <cell r="C112">
            <v>0</v>
          </cell>
          <cell r="D112" t="str">
            <v>0016100007755001</v>
          </cell>
          <cell r="E112">
            <v>1603215005603</v>
          </cell>
          <cell r="F112">
            <v>3</v>
          </cell>
          <cell r="G112">
            <v>0</v>
          </cell>
          <cell r="H112">
            <v>3</v>
          </cell>
          <cell r="I112">
            <v>0</v>
          </cell>
          <cell r="J112" t="str">
            <v>Giảng viên khoa 
Kinh tế</v>
          </cell>
        </row>
        <row r="113">
          <cell r="B113" t="str">
            <v>Phạm Quỳnh Như</v>
          </cell>
          <cell r="C113" t="str">
            <v>NHƯ</v>
          </cell>
          <cell r="D113" t="str">
            <v>0016100006603003</v>
          </cell>
          <cell r="E113" t="str">
            <v>1603205458417</v>
          </cell>
          <cell r="F113">
            <v>3.66</v>
          </cell>
          <cell r="G113">
            <v>0</v>
          </cell>
          <cell r="H113">
            <v>3.66</v>
          </cell>
          <cell r="I113">
            <v>0.35</v>
          </cell>
          <cell r="J113" t="str">
            <v>Phó Trưởng khoa Kinh tế</v>
          </cell>
        </row>
        <row r="114">
          <cell r="B114" t="str">
            <v>Lê Thị Thúy Oanh</v>
          </cell>
          <cell r="C114">
            <v>0</v>
          </cell>
          <cell r="D114" t="str">
            <v>0016100028104008</v>
          </cell>
          <cell r="E114" t="str">
            <v>1603205647197</v>
          </cell>
          <cell r="F114">
            <v>2.34</v>
          </cell>
          <cell r="G114">
            <v>0</v>
          </cell>
          <cell r="H114">
            <v>2.34</v>
          </cell>
          <cell r="I114">
            <v>0</v>
          </cell>
          <cell r="J114" t="str">
            <v>Giảng viên khoa Kinh tế</v>
          </cell>
        </row>
        <row r="115">
          <cell r="B115" t="str">
            <v>Lê Thị Thu Thảo</v>
          </cell>
          <cell r="C115" t="str">
            <v>THẢO</v>
          </cell>
          <cell r="D115" t="str">
            <v>0016100006606002</v>
          </cell>
          <cell r="E115" t="str">
            <v>1603205458481</v>
          </cell>
          <cell r="F115">
            <v>3.33</v>
          </cell>
          <cell r="G115">
            <v>0</v>
          </cell>
          <cell r="H115">
            <v>3.33</v>
          </cell>
          <cell r="I115">
            <v>0</v>
          </cell>
          <cell r="J115" t="str">
            <v>Giảng viên khoa Kinh tế</v>
          </cell>
        </row>
        <row r="116">
          <cell r="B116" t="str">
            <v>Nguyễn Mỹ Tiên</v>
          </cell>
          <cell r="C116">
            <v>0</v>
          </cell>
          <cell r="D116" t="str">
            <v>0016100006638001</v>
          </cell>
          <cell r="E116" t="str">
            <v>1603215003882</v>
          </cell>
          <cell r="F116">
            <v>3</v>
          </cell>
          <cell r="G116">
            <v>0</v>
          </cell>
          <cell r="H116">
            <v>3</v>
          </cell>
          <cell r="I116">
            <v>0</v>
          </cell>
          <cell r="J116" t="str">
            <v>Giảng viên khoa Kinh tế</v>
          </cell>
        </row>
        <row r="117">
          <cell r="B117" t="str">
            <v>Lưu Thị Thúy</v>
          </cell>
          <cell r="C117" t="str">
            <v>THÚY</v>
          </cell>
          <cell r="D117" t="str">
            <v>0016100006605006</v>
          </cell>
          <cell r="E117" t="str">
            <v>1603205458367</v>
          </cell>
          <cell r="F117">
            <v>3.66</v>
          </cell>
          <cell r="G117">
            <v>0</v>
          </cell>
          <cell r="H117">
            <v>3.66</v>
          </cell>
          <cell r="I117">
            <v>0</v>
          </cell>
          <cell r="J117" t="str">
            <v>Giảng viên khoa Kinh tế</v>
          </cell>
        </row>
        <row r="118">
          <cell r="B118" t="str">
            <v>Võ Thị Kim Thư</v>
          </cell>
          <cell r="C118" t="str">
            <v>THƯ</v>
          </cell>
          <cell r="D118" t="str">
            <v>0016100006637005</v>
          </cell>
          <cell r="E118" t="str">
            <v>1603215002430</v>
          </cell>
          <cell r="F118">
            <v>3</v>
          </cell>
          <cell r="G118">
            <v>0</v>
          </cell>
          <cell r="H118">
            <v>3</v>
          </cell>
          <cell r="I118">
            <v>0</v>
          </cell>
          <cell r="J118" t="str">
            <v>Giảng viên khoa Du lịch - Khách sạn</v>
          </cell>
        </row>
        <row r="119">
          <cell r="B119" t="str">
            <v>Lữ Xuân Trang</v>
          </cell>
          <cell r="C119" t="str">
            <v>TRANG</v>
          </cell>
          <cell r="D119" t="str">
            <v>0016100006604007</v>
          </cell>
          <cell r="E119" t="str">
            <v>1603215002424</v>
          </cell>
          <cell r="F119">
            <v>3.66</v>
          </cell>
          <cell r="G119">
            <v>0</v>
          </cell>
          <cell r="H119">
            <v>3.66</v>
          </cell>
          <cell r="I119">
            <v>0.25</v>
          </cell>
          <cell r="J119" t="str">
            <v>Giảng viên khoa Du lịch - Khách sạn</v>
          </cell>
        </row>
        <row r="120">
          <cell r="B120" t="str">
            <v>Nguyễn Thị Minh Thùy</v>
          </cell>
          <cell r="C120">
            <v>0</v>
          </cell>
          <cell r="D120" t="str">
            <v>0016100006516003</v>
          </cell>
          <cell r="E120" t="str">
            <v>1603215003650</v>
          </cell>
          <cell r="F120">
            <v>3</v>
          </cell>
          <cell r="G120">
            <v>0</v>
          </cell>
          <cell r="H120">
            <v>3</v>
          </cell>
          <cell r="I120">
            <v>0</v>
          </cell>
          <cell r="J120" t="str">
            <v>Giảng viên khoa Kinh tế</v>
          </cell>
        </row>
        <row r="121">
          <cell r="B121" t="str">
            <v>Hồ Gia Bảo</v>
          </cell>
          <cell r="C121">
            <v>0</v>
          </cell>
          <cell r="D121" t="str">
            <v>0016100029650009</v>
          </cell>
          <cell r="E121" t="str">
            <v>1603205670790</v>
          </cell>
          <cell r="F121">
            <v>2.34</v>
          </cell>
          <cell r="G121">
            <v>0</v>
          </cell>
          <cell r="H121">
            <v>2.34</v>
          </cell>
          <cell r="I121">
            <v>0.45</v>
          </cell>
          <cell r="J121" t="str">
            <v>Trưởng khoa Du lịch - Khách sạn</v>
          </cell>
        </row>
        <row r="122">
          <cell r="B122" t="str">
            <v>Nguyễn Hoàng Thanh Ngân</v>
          </cell>
          <cell r="C122">
            <v>0</v>
          </cell>
          <cell r="D122" t="str">
            <v>0016100029652001</v>
          </cell>
          <cell r="E122" t="str">
            <v>1603205670804</v>
          </cell>
          <cell r="F122">
            <v>2.34</v>
          </cell>
          <cell r="G122">
            <v>0</v>
          </cell>
          <cell r="H122">
            <v>2.34</v>
          </cell>
          <cell r="I122">
            <v>0</v>
          </cell>
          <cell r="J122" t="str">
            <v>Giảng viên khoa Du lịch - Khách sạn</v>
          </cell>
        </row>
        <row r="123">
          <cell r="B123" t="str">
            <v>Nguyễn Thị Thanh Hòa</v>
          </cell>
          <cell r="C123">
            <v>0</v>
          </cell>
          <cell r="D123">
            <v>0</v>
          </cell>
          <cell r="E123">
            <v>0</v>
          </cell>
          <cell r="F123">
            <v>2.34</v>
          </cell>
          <cell r="G123">
            <v>0</v>
          </cell>
          <cell r="H123">
            <v>2.34</v>
          </cell>
          <cell r="I123">
            <v>0</v>
          </cell>
          <cell r="J123" t="str">
            <v>Giảng viên khoa Kinh tế</v>
          </cell>
        </row>
        <row r="124">
          <cell r="B124" t="str">
            <v>Đinh Thị Trâm</v>
          </cell>
          <cell r="C124">
            <v>0</v>
          </cell>
          <cell r="D124">
            <v>0</v>
          </cell>
          <cell r="E124">
            <v>0</v>
          </cell>
          <cell r="F124">
            <v>3.33</v>
          </cell>
          <cell r="G124">
            <v>0</v>
          </cell>
          <cell r="H124">
            <v>3.33</v>
          </cell>
          <cell r="I124">
            <v>0</v>
          </cell>
          <cell r="J124" t="str">
            <v>Giảng viên khoa Du lịch - Khách sạn</v>
          </cell>
        </row>
        <row r="125">
          <cell r="B125" t="str">
            <v>Huỳnh Kim Liên</v>
          </cell>
          <cell r="C125">
            <v>0</v>
          </cell>
          <cell r="D125">
            <v>0</v>
          </cell>
          <cell r="E125">
            <v>0</v>
          </cell>
          <cell r="F125">
            <v>3.66</v>
          </cell>
          <cell r="G125">
            <v>0</v>
          </cell>
          <cell r="H125">
            <v>3.66</v>
          </cell>
          <cell r="I125">
            <v>0</v>
          </cell>
          <cell r="J125" t="str">
            <v>Giảng viên khoa Kinh tế</v>
          </cell>
        </row>
        <row r="126">
          <cell r="B126" t="str">
            <v>Lê Hồng Ngọc My</v>
          </cell>
          <cell r="C126">
            <v>0</v>
          </cell>
          <cell r="D126">
            <v>0</v>
          </cell>
          <cell r="E126">
            <v>0</v>
          </cell>
          <cell r="F126">
            <v>3</v>
          </cell>
          <cell r="G126">
            <v>0</v>
          </cell>
          <cell r="H126">
            <v>3</v>
          </cell>
          <cell r="I126">
            <v>0</v>
          </cell>
          <cell r="J126" t="str">
            <v>Giảng viên khoa Du lịch - Khách sạn</v>
          </cell>
        </row>
        <row r="127">
          <cell r="B127" t="str">
            <v>Nguyễn Huỳnh Lưu Phương</v>
          </cell>
          <cell r="C127">
            <v>0</v>
          </cell>
          <cell r="D127">
            <v>0</v>
          </cell>
          <cell r="E127">
            <v>0</v>
          </cell>
          <cell r="F127">
            <v>3.66</v>
          </cell>
          <cell r="G127">
            <v>0</v>
          </cell>
          <cell r="H127">
            <v>3.66</v>
          </cell>
          <cell r="I127">
            <v>0</v>
          </cell>
          <cell r="J127" t="str">
            <v>Giảng viên khoa Kinh tế</v>
          </cell>
        </row>
        <row r="128">
          <cell r="B128" t="str">
            <v>Lâm Thị Phương Thùy</v>
          </cell>
          <cell r="C128" t="str">
            <v>THÙY</v>
          </cell>
          <cell r="D128" t="str">
            <v>0016100006547006</v>
          </cell>
          <cell r="E128" t="str">
            <v>1603205246577</v>
          </cell>
          <cell r="F128">
            <v>3.66</v>
          </cell>
          <cell r="G128">
            <v>0</v>
          </cell>
          <cell r="H128">
            <v>3.66</v>
          </cell>
          <cell r="I128">
            <v>0</v>
          </cell>
          <cell r="J128" t="str">
            <v>Giảng viên khoa May - Thời trang</v>
          </cell>
        </row>
        <row r="129">
          <cell r="B129" t="str">
            <v>Nguyễn Bạch Cẩm Dung</v>
          </cell>
          <cell r="C129" t="str">
            <v>DUNG</v>
          </cell>
          <cell r="D129" t="str">
            <v>0016100006571004</v>
          </cell>
          <cell r="E129" t="str">
            <v>1603205246560</v>
          </cell>
          <cell r="F129">
            <v>3.66</v>
          </cell>
          <cell r="G129">
            <v>0</v>
          </cell>
          <cell r="H129">
            <v>3.66</v>
          </cell>
          <cell r="I129">
            <v>0</v>
          </cell>
          <cell r="J129" t="str">
            <v>Giảng viên khoa May - Thời trang</v>
          </cell>
        </row>
        <row r="130">
          <cell r="B130" t="str">
            <v>Nguyễn Ngọc Thọ</v>
          </cell>
          <cell r="C130" t="str">
            <v>THỌ</v>
          </cell>
          <cell r="D130" t="str">
            <v>0016100006630008</v>
          </cell>
          <cell r="E130" t="str">
            <v>1603205246373</v>
          </cell>
          <cell r="F130">
            <v>3.33</v>
          </cell>
          <cell r="G130">
            <v>0</v>
          </cell>
          <cell r="H130">
            <v>3.33</v>
          </cell>
          <cell r="I130">
            <v>0.45</v>
          </cell>
          <cell r="J130" t="str">
            <v>Phó Trưởng khoa May - Thời trang</v>
          </cell>
        </row>
        <row r="131">
          <cell r="B131" t="str">
            <v>Nguyễn Thị Hiền</v>
          </cell>
          <cell r="C131" t="str">
            <v xml:space="preserve">HIỀN </v>
          </cell>
          <cell r="D131" t="str">
            <v>0016100006631007</v>
          </cell>
          <cell r="E131">
            <v>1603205353742</v>
          </cell>
          <cell r="F131">
            <v>3.33</v>
          </cell>
          <cell r="G131">
            <v>0</v>
          </cell>
          <cell r="H131">
            <v>3.33</v>
          </cell>
          <cell r="I131">
            <v>0</v>
          </cell>
          <cell r="J131" t="str">
            <v>Giảng viên khoa May - Thời trang</v>
          </cell>
        </row>
        <row r="132">
          <cell r="B132" t="str">
            <v>Bùi Thị Ngọc Sương</v>
          </cell>
          <cell r="C132" t="str">
            <v>SƯƠNG</v>
          </cell>
          <cell r="D132" t="str">
            <v>0016100006572008</v>
          </cell>
          <cell r="E132">
            <v>1603205357136</v>
          </cell>
          <cell r="F132">
            <v>3.33</v>
          </cell>
          <cell r="G132">
            <v>0</v>
          </cell>
          <cell r="H132">
            <v>3.33</v>
          </cell>
          <cell r="I132">
            <v>0</v>
          </cell>
          <cell r="J132" t="str">
            <v>Giảng viên khoa May - Thời trang</v>
          </cell>
        </row>
        <row r="133">
          <cell r="B133" t="str">
            <v>Chế Vân Cầm</v>
          </cell>
          <cell r="C133" t="str">
            <v>CẦM</v>
          </cell>
          <cell r="D133" t="str">
            <v>0016100006573007</v>
          </cell>
          <cell r="E133" t="str">
            <v>1603205399028</v>
          </cell>
          <cell r="F133">
            <v>3.33</v>
          </cell>
          <cell r="G133">
            <v>0</v>
          </cell>
          <cell r="H133">
            <v>3.33</v>
          </cell>
          <cell r="I133">
            <v>0</v>
          </cell>
          <cell r="J133" t="str">
            <v>Giảng viên khoa May - Thời trang</v>
          </cell>
        </row>
        <row r="134">
          <cell r="B134" t="str">
            <v>Phạm Thị Thanh Thúy</v>
          </cell>
          <cell r="C134" t="str">
            <v>THÚY</v>
          </cell>
          <cell r="D134" t="str">
            <v>0016100006574003</v>
          </cell>
          <cell r="E134" t="str">
            <v>1603205426614</v>
          </cell>
          <cell r="F134">
            <v>4.9800000000000004</v>
          </cell>
          <cell r="G134">
            <v>0.05</v>
          </cell>
          <cell r="H134">
            <v>5.2290000000000001</v>
          </cell>
          <cell r="I134">
            <v>0.25</v>
          </cell>
          <cell r="J134" t="str">
            <v>Giảng viên khoa Du lịch - Khách sạn</v>
          </cell>
        </row>
        <row r="135">
          <cell r="B135" t="str">
            <v>Trần Hồng Thảo</v>
          </cell>
          <cell r="C135">
            <v>0</v>
          </cell>
          <cell r="D135" t="str">
            <v>0016100006570008</v>
          </cell>
          <cell r="E135" t="str">
            <v>1603215003860</v>
          </cell>
          <cell r="F135">
            <v>3</v>
          </cell>
          <cell r="G135">
            <v>0</v>
          </cell>
          <cell r="H135">
            <v>3</v>
          </cell>
          <cell r="I135">
            <v>0</v>
          </cell>
          <cell r="J135" t="str">
            <v>Giảng viên khoa May - Thời trang</v>
          </cell>
        </row>
        <row r="136">
          <cell r="B136" t="str">
            <v>Lê Thị Phương Thảo</v>
          </cell>
          <cell r="C136">
            <v>0</v>
          </cell>
          <cell r="D136" t="str">
            <v>0016100007787008</v>
          </cell>
          <cell r="E136">
            <v>1603215005610</v>
          </cell>
          <cell r="F136">
            <v>3</v>
          </cell>
          <cell r="G136">
            <v>0</v>
          </cell>
          <cell r="H136">
            <v>3</v>
          </cell>
          <cell r="I136">
            <v>0</v>
          </cell>
          <cell r="J136" t="str">
            <v>Giảng viên khoa May - Thời trang</v>
          </cell>
        </row>
        <row r="137">
          <cell r="B137" t="str">
            <v>Nguyễn Thị Nhuận</v>
          </cell>
          <cell r="C137" t="str">
            <v>NHUẬN</v>
          </cell>
          <cell r="D137" t="str">
            <v>0016100006519002</v>
          </cell>
          <cell r="E137" t="str">
            <v>1603205186786</v>
          </cell>
          <cell r="F137">
            <v>4.9800000000000004</v>
          </cell>
          <cell r="G137">
            <v>0</v>
          </cell>
          <cell r="H137">
            <v>4.9800000000000004</v>
          </cell>
          <cell r="I137">
            <v>0.45</v>
          </cell>
          <cell r="J137" t="str">
            <v>Trưởng khoa KHCB</v>
          </cell>
        </row>
        <row r="138">
          <cell r="B138" t="str">
            <v>Nguyễn Thị Huyền Nga</v>
          </cell>
          <cell r="C138" t="str">
            <v>NGA</v>
          </cell>
          <cell r="D138" t="str">
            <v>0016100006615001</v>
          </cell>
          <cell r="E138" t="str">
            <v>1603205189784</v>
          </cell>
          <cell r="F138">
            <v>4.9800000000000004</v>
          </cell>
          <cell r="G138">
            <v>0.06</v>
          </cell>
          <cell r="H138">
            <v>5.2788000000000004</v>
          </cell>
          <cell r="I138">
            <v>0.25</v>
          </cell>
          <cell r="J138" t="str">
            <v>Giảng viên Khoa KHCB</v>
          </cell>
        </row>
        <row r="139">
          <cell r="B139" t="str">
            <v>Nguyễn Phương Hà</v>
          </cell>
          <cell r="C139" t="str">
            <v>HÀ</v>
          </cell>
          <cell r="D139" t="str">
            <v>0016100006775009</v>
          </cell>
          <cell r="E139" t="str">
            <v>1603205186350</v>
          </cell>
          <cell r="F139">
            <v>4.32</v>
          </cell>
          <cell r="G139">
            <v>0</v>
          </cell>
          <cell r="H139">
            <v>4.32</v>
          </cell>
          <cell r="I139">
            <v>0</v>
          </cell>
          <cell r="J139" t="str">
            <v>Giảng viên Khoa KHCB</v>
          </cell>
        </row>
        <row r="140">
          <cell r="B140" t="str">
            <v>Trịnh Khắc Vũ</v>
          </cell>
          <cell r="C140" t="str">
            <v>VŨ</v>
          </cell>
          <cell r="D140" t="str">
            <v>0016100006625007</v>
          </cell>
          <cell r="E140" t="str">
            <v>1603205246662</v>
          </cell>
          <cell r="F140">
            <v>3.99</v>
          </cell>
          <cell r="G140">
            <v>0</v>
          </cell>
          <cell r="H140">
            <v>3.99</v>
          </cell>
          <cell r="I140">
            <v>0</v>
          </cell>
          <cell r="J140" t="str">
            <v>Giảng viên khoa KHCB</v>
          </cell>
        </row>
        <row r="141">
          <cell r="B141" t="str">
            <v>Lê Minh Phong</v>
          </cell>
          <cell r="C141">
            <v>0</v>
          </cell>
          <cell r="D141" t="str">
            <v>0016100006655003</v>
          </cell>
          <cell r="E141" t="str">
            <v>1603205186678</v>
          </cell>
          <cell r="F141">
            <v>3.66</v>
          </cell>
          <cell r="G141">
            <v>0</v>
          </cell>
          <cell r="H141">
            <v>3.66</v>
          </cell>
          <cell r="I141">
            <v>0</v>
          </cell>
          <cell r="J141" t="str">
            <v>Giảng viên khoa KHCB</v>
          </cell>
        </row>
        <row r="142">
          <cell r="B142" t="str">
            <v>Nguyễn Văn Đông</v>
          </cell>
          <cell r="C142" t="str">
            <v>ĐÔNG</v>
          </cell>
          <cell r="D142" t="str">
            <v>0016100006688009</v>
          </cell>
          <cell r="E142" t="str">
            <v>1603205189886</v>
          </cell>
          <cell r="F142">
            <v>4.6500000000000004</v>
          </cell>
          <cell r="G142">
            <v>0</v>
          </cell>
          <cell r="H142">
            <v>4.6500000000000004</v>
          </cell>
          <cell r="I142">
            <v>0</v>
          </cell>
          <cell r="J142" t="str">
            <v>Giảng viên Khoa KHCB</v>
          </cell>
        </row>
        <row r="143">
          <cell r="B143" t="str">
            <v>Đặng Thị Kiến Trúc</v>
          </cell>
          <cell r="C143" t="str">
            <v>TRÚC</v>
          </cell>
          <cell r="D143" t="str">
            <v>0016100006620005</v>
          </cell>
          <cell r="E143" t="str">
            <v>1603205186501</v>
          </cell>
          <cell r="F143">
            <v>4.32</v>
          </cell>
          <cell r="G143">
            <v>0</v>
          </cell>
          <cell r="H143">
            <v>4.32</v>
          </cell>
          <cell r="I143">
            <v>0</v>
          </cell>
          <cell r="J143" t="str">
            <v>Giảng viên Khoa KHCB</v>
          </cell>
        </row>
        <row r="144">
          <cell r="B144" t="str">
            <v>Nguyễn Thanh Tú</v>
          </cell>
          <cell r="C144" t="str">
            <v>TÚ</v>
          </cell>
          <cell r="D144" t="str">
            <v>0016100006622008</v>
          </cell>
          <cell r="E144" t="str">
            <v>1603205185580</v>
          </cell>
          <cell r="F144">
            <v>4.9800000000000004</v>
          </cell>
          <cell r="G144">
            <v>0.08</v>
          </cell>
          <cell r="H144">
            <v>5.3784000000000001</v>
          </cell>
          <cell r="I144">
            <v>0</v>
          </cell>
          <cell r="J144" t="str">
            <v>Giảng viên Khoa KHCB</v>
          </cell>
        </row>
        <row r="145">
          <cell r="B145" t="str">
            <v>Trần Thị Ánh Tuyết</v>
          </cell>
          <cell r="C145" t="str">
            <v>TUYẾT</v>
          </cell>
          <cell r="D145" t="str">
            <v>0016100006623004</v>
          </cell>
          <cell r="E145" t="str">
            <v>1603205186632</v>
          </cell>
          <cell r="F145">
            <v>3.99</v>
          </cell>
          <cell r="G145">
            <v>0</v>
          </cell>
          <cell r="H145">
            <v>3.99</v>
          </cell>
          <cell r="I145">
            <v>0</v>
          </cell>
          <cell r="J145" t="str">
            <v>Giảng viên khoa KHCB</v>
          </cell>
        </row>
        <row r="146">
          <cell r="B146" t="str">
            <v>Lê Văn Bình</v>
          </cell>
          <cell r="C146" t="str">
            <v>BÌNH</v>
          </cell>
          <cell r="D146" t="str">
            <v>0016100006772007</v>
          </cell>
          <cell r="E146" t="str">
            <v>1603215002447</v>
          </cell>
          <cell r="F146">
            <v>3.66</v>
          </cell>
          <cell r="G146">
            <v>0</v>
          </cell>
          <cell r="H146">
            <v>3.66</v>
          </cell>
          <cell r="I146">
            <v>0</v>
          </cell>
          <cell r="J146" t="str">
            <v>Giảng viên khoa KHCB</v>
          </cell>
        </row>
        <row r="147">
          <cell r="B147" t="str">
            <v>Phạm Thị Thu Nga</v>
          </cell>
          <cell r="C147" t="str">
            <v>NGA</v>
          </cell>
          <cell r="D147" t="str">
            <v>0016100006810009</v>
          </cell>
          <cell r="E147" t="str">
            <v>1603205186372</v>
          </cell>
          <cell r="F147">
            <v>4.9800000000000004</v>
          </cell>
          <cell r="G147">
            <v>0</v>
          </cell>
          <cell r="H147">
            <v>4.9800000000000004</v>
          </cell>
          <cell r="I147">
            <v>0.35</v>
          </cell>
          <cell r="J147" t="str">
            <v>Phó TK Khoa KHCB</v>
          </cell>
        </row>
        <row r="148">
          <cell r="B148" t="str">
            <v>Nguyễn Thị Cẩm Thạch</v>
          </cell>
          <cell r="C148" t="str">
            <v>THẠCH</v>
          </cell>
          <cell r="D148" t="str">
            <v>0016100006753005</v>
          </cell>
          <cell r="E148" t="str">
            <v>1603205189965</v>
          </cell>
          <cell r="F148">
            <v>4.9800000000000004</v>
          </cell>
          <cell r="G148">
            <v>0.05</v>
          </cell>
          <cell r="H148">
            <v>5.2290000000000001</v>
          </cell>
          <cell r="I148">
            <v>0</v>
          </cell>
          <cell r="J148" t="str">
            <v>Giảng viên Khoa KHCB</v>
          </cell>
        </row>
        <row r="149">
          <cell r="B149" t="str">
            <v>Hà Như Mai</v>
          </cell>
          <cell r="C149" t="str">
            <v>MAI</v>
          </cell>
          <cell r="D149" t="str">
            <v>0016100006732008</v>
          </cell>
          <cell r="E149" t="str">
            <v>1603205229027</v>
          </cell>
          <cell r="F149">
            <v>3.99</v>
          </cell>
          <cell r="G149">
            <v>0</v>
          </cell>
          <cell r="H149">
            <v>3.99</v>
          </cell>
          <cell r="I149">
            <v>0</v>
          </cell>
          <cell r="J149" t="str">
            <v>Giảng viên khoa KHCB</v>
          </cell>
        </row>
        <row r="150">
          <cell r="B150" t="str">
            <v>Nguyễn Thị Thủy</v>
          </cell>
          <cell r="C150" t="str">
            <v>THỦY</v>
          </cell>
          <cell r="D150" t="str">
            <v>0016100006756004</v>
          </cell>
          <cell r="E150" t="str">
            <v>1603205246309</v>
          </cell>
          <cell r="F150">
            <v>3.66</v>
          </cell>
          <cell r="G150">
            <v>0</v>
          </cell>
          <cell r="H150">
            <v>3.66</v>
          </cell>
          <cell r="I150">
            <v>0</v>
          </cell>
          <cell r="J150" t="str">
            <v>Giảng viên khoa KHCB</v>
          </cell>
        </row>
        <row r="151">
          <cell r="B151" t="str">
            <v>Dương Đức Kiên</v>
          </cell>
          <cell r="C151" t="str">
            <v>KIÊN</v>
          </cell>
          <cell r="D151" t="str">
            <v>0016100006700009</v>
          </cell>
          <cell r="E151" t="str">
            <v>1603205398372</v>
          </cell>
          <cell r="F151">
            <v>3.33</v>
          </cell>
          <cell r="G151">
            <v>0</v>
          </cell>
          <cell r="H151">
            <v>3.33</v>
          </cell>
          <cell r="I151">
            <v>0</v>
          </cell>
          <cell r="J151" t="str">
            <v>Giảng viên khoa KHCB</v>
          </cell>
        </row>
        <row r="152">
          <cell r="B152" t="str">
            <v>Nguyễn Văn Hậu</v>
          </cell>
          <cell r="C152" t="str">
            <v>HẬU</v>
          </cell>
          <cell r="D152" t="str">
            <v>0016100006722002</v>
          </cell>
          <cell r="E152" t="str">
            <v>1603205399194</v>
          </cell>
          <cell r="F152">
            <v>3.33</v>
          </cell>
          <cell r="G152">
            <v>0</v>
          </cell>
          <cell r="H152">
            <v>3.33</v>
          </cell>
          <cell r="I152">
            <v>0</v>
          </cell>
          <cell r="J152" t="str">
            <v>Giảng viên khoa KHCB</v>
          </cell>
        </row>
        <row r="153">
          <cell r="B153" t="str">
            <v>Lê Thái Hùng</v>
          </cell>
          <cell r="C153" t="str">
            <v>HÙNG</v>
          </cell>
          <cell r="D153" t="str">
            <v>0016100006619007</v>
          </cell>
          <cell r="E153" t="str">
            <v>1603205190068</v>
          </cell>
          <cell r="F153">
            <v>3.99</v>
          </cell>
          <cell r="G153">
            <v>0</v>
          </cell>
          <cell r="H153">
            <v>3.99</v>
          </cell>
          <cell r="I153">
            <v>0.25</v>
          </cell>
          <cell r="J153" t="str">
            <v>Giảng viên Khoa KHCB</v>
          </cell>
        </row>
        <row r="154">
          <cell r="B154" t="str">
            <v>Nguyễn Phú Tân</v>
          </cell>
          <cell r="C154" t="str">
            <v>TÂN</v>
          </cell>
          <cell r="D154" t="str">
            <v>0016100006701005</v>
          </cell>
          <cell r="E154" t="str">
            <v>1603205229368</v>
          </cell>
          <cell r="F154">
            <v>3.99</v>
          </cell>
          <cell r="G154">
            <v>0</v>
          </cell>
          <cell r="H154">
            <v>3.99</v>
          </cell>
          <cell r="I154">
            <v>0</v>
          </cell>
          <cell r="J154" t="str">
            <v>Giảng viên khoa KHCB</v>
          </cell>
        </row>
        <row r="155">
          <cell r="B155" t="str">
            <v>Nguyễn Mạnh Phương</v>
          </cell>
          <cell r="C155" t="str">
            <v>PHƯƠNG</v>
          </cell>
          <cell r="D155" t="str">
            <v>0016100006624008</v>
          </cell>
          <cell r="E155" t="str">
            <v>1603205229056</v>
          </cell>
          <cell r="F155">
            <v>3.99</v>
          </cell>
          <cell r="G155">
            <v>0</v>
          </cell>
          <cell r="H155">
            <v>3.99</v>
          </cell>
          <cell r="I155">
            <v>0</v>
          </cell>
          <cell r="J155" t="str">
            <v>Giảng viên khoa KHCB</v>
          </cell>
        </row>
        <row r="156">
          <cell r="B156" t="str">
            <v>Giang Phi Hùng</v>
          </cell>
          <cell r="C156" t="str">
            <v>HÙNG</v>
          </cell>
          <cell r="D156" t="str">
            <v>0016100006686006</v>
          </cell>
          <cell r="E156" t="str">
            <v>1603205534256</v>
          </cell>
          <cell r="F156">
            <v>3.99</v>
          </cell>
          <cell r="G156">
            <v>0</v>
          </cell>
          <cell r="H156">
            <v>3.99</v>
          </cell>
          <cell r="I156">
            <v>0</v>
          </cell>
          <cell r="J156" t="str">
            <v>Giảng viên khoa KHCB</v>
          </cell>
        </row>
        <row r="157">
          <cell r="B157" t="str">
            <v>Ngô Thanh Điền</v>
          </cell>
          <cell r="C157">
            <v>0</v>
          </cell>
          <cell r="D157" t="str">
            <v>0016100006684003</v>
          </cell>
          <cell r="E157" t="str">
            <v>1603205183266</v>
          </cell>
          <cell r="F157">
            <v>4.32</v>
          </cell>
          <cell r="G157">
            <v>0</v>
          </cell>
          <cell r="H157">
            <v>4.32</v>
          </cell>
          <cell r="I157">
            <v>0</v>
          </cell>
          <cell r="J157" t="str">
            <v>Giảng viên khoa KHCB</v>
          </cell>
        </row>
        <row r="158">
          <cell r="B158" t="str">
            <v>Vương Thanh Thủy</v>
          </cell>
          <cell r="C158" t="str">
            <v>THỦY</v>
          </cell>
          <cell r="D158" t="str">
            <v>0016100006735007</v>
          </cell>
          <cell r="E158" t="str">
            <v>1603205190147</v>
          </cell>
          <cell r="F158">
            <v>4.6500000000000004</v>
          </cell>
          <cell r="G158">
            <v>0</v>
          </cell>
          <cell r="H158">
            <v>4.6500000000000004</v>
          </cell>
          <cell r="I158">
            <v>0</v>
          </cell>
          <cell r="J158" t="str">
            <v>Giảng viên khoa Ngoại ngữ</v>
          </cell>
        </row>
        <row r="159">
          <cell r="B159" t="str">
            <v>Nguyễn Thị Bảo Trân</v>
          </cell>
          <cell r="C159" t="str">
            <v>TRÂN</v>
          </cell>
          <cell r="D159" t="str">
            <v>0016100006801007</v>
          </cell>
          <cell r="E159" t="str">
            <v>1603205189936</v>
          </cell>
          <cell r="F159">
            <v>4.6500000000000004</v>
          </cell>
          <cell r="G159">
            <v>0</v>
          </cell>
          <cell r="H159">
            <v>4.6500000000000004</v>
          </cell>
          <cell r="I159">
            <v>0</v>
          </cell>
          <cell r="J159" t="str">
            <v>Giảng viên khoa Ngoại ngữ</v>
          </cell>
        </row>
        <row r="160">
          <cell r="B160" t="str">
            <v>Nguyễn Thị Thu Tâm</v>
          </cell>
          <cell r="C160" t="str">
            <v>TÂM</v>
          </cell>
          <cell r="D160" t="str">
            <v>0016100006618008</v>
          </cell>
          <cell r="E160" t="str">
            <v>1603205189920</v>
          </cell>
          <cell r="F160">
            <v>4.6500000000000004</v>
          </cell>
          <cell r="G160">
            <v>0</v>
          </cell>
          <cell r="H160">
            <v>4.6500000000000004</v>
          </cell>
          <cell r="I160">
            <v>0</v>
          </cell>
          <cell r="J160" t="str">
            <v>Giảng viên khoa Ngoại ngữ</v>
          </cell>
        </row>
        <row r="161">
          <cell r="B161" t="str">
            <v>Nguyễn Thị Thanh Tú</v>
          </cell>
          <cell r="C161" t="str">
            <v>TÚ</v>
          </cell>
          <cell r="D161" t="str">
            <v>0016100006621001</v>
          </cell>
          <cell r="E161" t="str">
            <v>1603205189971</v>
          </cell>
          <cell r="F161">
            <v>3.99</v>
          </cell>
          <cell r="G161">
            <v>0</v>
          </cell>
          <cell r="H161">
            <v>3.99</v>
          </cell>
          <cell r="I161">
            <v>0</v>
          </cell>
          <cell r="J161" t="str">
            <v>Giảng viên khoa Ngoại ngữ</v>
          </cell>
        </row>
        <row r="162">
          <cell r="B162" t="str">
            <v>Võ Thị Hồng Lan</v>
          </cell>
          <cell r="C162" t="str">
            <v>LAN</v>
          </cell>
          <cell r="D162" t="str">
            <v>0016100006704004</v>
          </cell>
          <cell r="E162" t="str">
            <v>1603205218440</v>
          </cell>
          <cell r="F162">
            <v>4.9800000000000004</v>
          </cell>
          <cell r="G162">
            <v>0</v>
          </cell>
          <cell r="H162">
            <v>4.9800000000000004</v>
          </cell>
          <cell r="I162">
            <v>0</v>
          </cell>
          <cell r="J162" t="str">
            <v>Giảng viên khoa Ngoại ngữ</v>
          </cell>
        </row>
        <row r="163">
          <cell r="B163" t="str">
            <v>Lê Nguyễn Mỹ Trâm</v>
          </cell>
          <cell r="C163" t="str">
            <v>TRÂM</v>
          </cell>
          <cell r="D163" t="str">
            <v>0016100006789007</v>
          </cell>
          <cell r="E163" t="str">
            <v>1603205274861</v>
          </cell>
          <cell r="F163">
            <v>3.99</v>
          </cell>
          <cell r="G163">
            <v>0</v>
          </cell>
          <cell r="H163">
            <v>3.99</v>
          </cell>
          <cell r="I163">
            <v>0</v>
          </cell>
          <cell r="J163" t="str">
            <v>Giảng viên khoa Ngoại ngữ</v>
          </cell>
        </row>
        <row r="164">
          <cell r="B164" t="str">
            <v>Nguyễn Thị Thu Hà</v>
          </cell>
          <cell r="C164" t="str">
            <v>HÀ</v>
          </cell>
          <cell r="D164" t="str">
            <v>0016100006683007</v>
          </cell>
          <cell r="E164" t="str">
            <v>1603215002526</v>
          </cell>
          <cell r="F164">
            <v>3.33</v>
          </cell>
          <cell r="G164">
            <v>0</v>
          </cell>
          <cell r="H164">
            <v>3.33</v>
          </cell>
          <cell r="I164">
            <v>0.45</v>
          </cell>
          <cell r="J164" t="str">
            <v>Giảng viên khoa Ngoại ngữ</v>
          </cell>
        </row>
        <row r="165">
          <cell r="B165" t="str">
            <v>Phạm Thị Thu Hiền</v>
          </cell>
          <cell r="C165" t="str">
            <v>HIỀN</v>
          </cell>
          <cell r="D165" t="str">
            <v>0016100006702001</v>
          </cell>
          <cell r="E165" t="str">
            <v>1603215002499</v>
          </cell>
          <cell r="F165">
            <v>3</v>
          </cell>
          <cell r="G165">
            <v>0</v>
          </cell>
          <cell r="H165">
            <v>3</v>
          </cell>
          <cell r="I165">
            <v>0</v>
          </cell>
          <cell r="J165" t="str">
            <v>Giảng viên khoa Ngoại ngữ</v>
          </cell>
        </row>
        <row r="166">
          <cell r="B166" t="str">
            <v>Nguyễn Thiện Bình</v>
          </cell>
          <cell r="C166">
            <v>0</v>
          </cell>
          <cell r="D166" t="str">
            <v>0016100028103004</v>
          </cell>
          <cell r="E166" t="str">
            <v>1603205647174</v>
          </cell>
          <cell r="F166">
            <v>2.34</v>
          </cell>
          <cell r="G166">
            <v>0</v>
          </cell>
          <cell r="H166">
            <v>2.34</v>
          </cell>
          <cell r="I166">
            <v>0</v>
          </cell>
          <cell r="J166" t="str">
            <v>Giảng viên khoa Ngoại ngữ</v>
          </cell>
        </row>
        <row r="167">
          <cell r="B167" t="str">
            <v>Trần Thanh Trúc</v>
          </cell>
          <cell r="C167" t="str">
            <v>TRÚC</v>
          </cell>
          <cell r="D167" t="str">
            <v>0016100006589008</v>
          </cell>
          <cell r="E167" t="str">
            <v>1603215002482</v>
          </cell>
          <cell r="F167">
            <v>3</v>
          </cell>
          <cell r="G167">
            <v>0</v>
          </cell>
          <cell r="H167">
            <v>3</v>
          </cell>
          <cell r="I167">
            <v>0</v>
          </cell>
          <cell r="J167" t="str">
            <v>Giảng viên khoa Ngoại ngữ</v>
          </cell>
        </row>
        <row r="168">
          <cell r="B168" t="str">
            <v>Lâm Thị Phương Thảo</v>
          </cell>
          <cell r="C168">
            <v>0</v>
          </cell>
          <cell r="D168" t="str">
            <v>0016100019261004</v>
          </cell>
          <cell r="E168" t="str">
            <v>1603205637004</v>
          </cell>
          <cell r="F168">
            <v>2.34</v>
          </cell>
          <cell r="G168">
            <v>0</v>
          </cell>
          <cell r="H168">
            <v>2.34</v>
          </cell>
          <cell r="I168">
            <v>0</v>
          </cell>
          <cell r="J168" t="str">
            <v>Giảng viên khoa Ngoại ngữ</v>
          </cell>
        </row>
        <row r="169">
          <cell r="B169" t="str">
            <v>Lê Thu Hà</v>
          </cell>
          <cell r="C169">
            <v>0</v>
          </cell>
          <cell r="D169">
            <v>0</v>
          </cell>
          <cell r="E169">
            <v>0</v>
          </cell>
          <cell r="F169">
            <v>1.9890000000000001</v>
          </cell>
          <cell r="G169">
            <v>0</v>
          </cell>
          <cell r="H169">
            <v>1.9890000000000001</v>
          </cell>
          <cell r="I169">
            <v>0</v>
          </cell>
          <cell r="J169" t="str">
            <v>Giảng viên khoa Ngoại ngữ</v>
          </cell>
        </row>
        <row r="170">
          <cell r="B170" t="str">
            <v>Ôn Thị Ngọc Thảo</v>
          </cell>
          <cell r="C170">
            <v>0</v>
          </cell>
          <cell r="D170">
            <v>0</v>
          </cell>
          <cell r="E170">
            <v>0</v>
          </cell>
          <cell r="F170">
            <v>0</v>
          </cell>
          <cell r="G170">
            <v>0</v>
          </cell>
          <cell r="H170">
            <v>0</v>
          </cell>
          <cell r="I170">
            <v>0</v>
          </cell>
          <cell r="J170" t="str">
            <v>Giảng viên khoa Ngoại ngữ</v>
          </cell>
        </row>
        <row r="171">
          <cell r="B171" t="str">
            <v>Trần Hà Trang</v>
          </cell>
          <cell r="C171">
            <v>0</v>
          </cell>
          <cell r="D171">
            <v>0</v>
          </cell>
          <cell r="E171">
            <v>0</v>
          </cell>
          <cell r="F171">
            <v>1.9890000000000001</v>
          </cell>
          <cell r="G171">
            <v>0</v>
          </cell>
          <cell r="H171">
            <v>1.9890000000000001</v>
          </cell>
          <cell r="I171">
            <v>0</v>
          </cell>
          <cell r="J171" t="str">
            <v>Giảng viên khoa Ngoại ngữ</v>
          </cell>
        </row>
        <row r="172">
          <cell r="B172" t="str">
            <v>Nguyễn Ngọc Quỳnh</v>
          </cell>
          <cell r="C172" t="str">
            <v>QUỲNH (CB)</v>
          </cell>
          <cell r="D172" t="str">
            <v>0016100006730005</v>
          </cell>
          <cell r="E172" t="str">
            <v>1603205186264</v>
          </cell>
          <cell r="F172">
            <v>3.99</v>
          </cell>
          <cell r="G172">
            <v>0</v>
          </cell>
          <cell r="H172">
            <v>3.99</v>
          </cell>
          <cell r="I172">
            <v>0.35</v>
          </cell>
          <cell r="J172" t="str">
            <v>Phó Trưởng khoa LLCT</v>
          </cell>
        </row>
        <row r="173">
          <cell r="B173" t="str">
            <v>Lê Thị Hồng Vân</v>
          </cell>
          <cell r="C173" t="str">
            <v>VÂN</v>
          </cell>
          <cell r="D173" t="str">
            <v>0016100006777001</v>
          </cell>
          <cell r="E173" t="str">
            <v>1603205189761</v>
          </cell>
          <cell r="F173">
            <v>3.99</v>
          </cell>
          <cell r="G173">
            <v>0</v>
          </cell>
          <cell r="H173">
            <v>3.99</v>
          </cell>
          <cell r="I173">
            <v>0.45</v>
          </cell>
          <cell r="J173" t="str">
            <v>Phó Trưởng khoa LLCT</v>
          </cell>
        </row>
        <row r="174">
          <cell r="B174" t="str">
            <v>Phan Thị Thùy Trang</v>
          </cell>
          <cell r="C174" t="str">
            <v>TRANG</v>
          </cell>
          <cell r="D174" t="str">
            <v>0016100006726008</v>
          </cell>
          <cell r="E174" t="str">
            <v>1603205189942</v>
          </cell>
          <cell r="F174">
            <v>3.99</v>
          </cell>
          <cell r="G174">
            <v>0</v>
          </cell>
          <cell r="H174">
            <v>3.99</v>
          </cell>
          <cell r="I174">
            <v>0.25</v>
          </cell>
          <cell r="J174" t="str">
            <v>Trưởng BM khoa LLCT</v>
          </cell>
        </row>
        <row r="175">
          <cell r="B175" t="str">
            <v>Lê Thị Mai Hường</v>
          </cell>
          <cell r="C175" t="str">
            <v>HƯỜNG</v>
          </cell>
          <cell r="D175" t="str">
            <v>0016100006579005</v>
          </cell>
          <cell r="E175" t="str">
            <v>1603205186270</v>
          </cell>
          <cell r="F175">
            <v>3.99</v>
          </cell>
          <cell r="G175">
            <v>0</v>
          </cell>
          <cell r="H175">
            <v>3.99</v>
          </cell>
          <cell r="I175">
            <v>0</v>
          </cell>
          <cell r="J175" t="str">
            <v>Giảng viên khoa LLCT</v>
          </cell>
        </row>
        <row r="176">
          <cell r="B176" t="str">
            <v>Nguyễn Thị Dinh</v>
          </cell>
          <cell r="C176" t="str">
            <v>DINH</v>
          </cell>
          <cell r="D176" t="str">
            <v>0016100006731001</v>
          </cell>
          <cell r="E176" t="str">
            <v>1603205186468</v>
          </cell>
          <cell r="F176">
            <v>4.6500000000000004</v>
          </cell>
          <cell r="G176">
            <v>0</v>
          </cell>
          <cell r="H176">
            <v>4.6500000000000004</v>
          </cell>
          <cell r="I176">
            <v>0</v>
          </cell>
          <cell r="J176" t="str">
            <v>Giảng viên khoa LLCT</v>
          </cell>
        </row>
        <row r="177">
          <cell r="B177" t="str">
            <v>Đỗ Thị Ngát</v>
          </cell>
          <cell r="C177" t="str">
            <v>NGÁT</v>
          </cell>
          <cell r="D177" t="str">
            <v>0016100006778008</v>
          </cell>
          <cell r="E177" t="str">
            <v>1603205398451</v>
          </cell>
          <cell r="F177">
            <v>3.66</v>
          </cell>
          <cell r="G177">
            <v>0</v>
          </cell>
          <cell r="H177">
            <v>3.66</v>
          </cell>
          <cell r="I177">
            <v>0</v>
          </cell>
          <cell r="J177" t="str">
            <v>Giảng viên khoa LLCT</v>
          </cell>
        </row>
        <row r="178">
          <cell r="B178" t="str">
            <v>Nguyễn Anh Kiệt</v>
          </cell>
          <cell r="C178" t="str">
            <v>KIỆT</v>
          </cell>
          <cell r="D178" t="str">
            <v>0016100006588004</v>
          </cell>
          <cell r="E178" t="str">
            <v>1603205189913</v>
          </cell>
          <cell r="F178">
            <v>4.32</v>
          </cell>
          <cell r="G178">
            <v>0</v>
          </cell>
          <cell r="H178">
            <v>4.32</v>
          </cell>
          <cell r="I178">
            <v>0</v>
          </cell>
          <cell r="J178" t="str">
            <v>Giảng viên khoa LLCT</v>
          </cell>
        </row>
        <row r="179">
          <cell r="B179" t="str">
            <v>Trần Thị Hồng Thu</v>
          </cell>
          <cell r="C179" t="str">
            <v>THU</v>
          </cell>
          <cell r="D179" t="str">
            <v>0016100006109009</v>
          </cell>
          <cell r="E179" t="str">
            <v>1603205186480</v>
          </cell>
          <cell r="F179">
            <v>4.32</v>
          </cell>
          <cell r="G179">
            <v>0</v>
          </cell>
          <cell r="H179">
            <v>4.32</v>
          </cell>
          <cell r="I179">
            <v>0</v>
          </cell>
          <cell r="J179" t="str">
            <v>Giảng viên khoa LLCT</v>
          </cell>
        </row>
        <row r="180">
          <cell r="B180" t="str">
            <v>Đinh Thị Huyên</v>
          </cell>
          <cell r="C180" t="str">
            <v>HUYÊN</v>
          </cell>
          <cell r="D180" t="str">
            <v>0016100006727004</v>
          </cell>
          <cell r="E180" t="str">
            <v>1603205228841</v>
          </cell>
          <cell r="F180">
            <v>3.66</v>
          </cell>
          <cell r="G180">
            <v>0</v>
          </cell>
          <cell r="H180">
            <v>3.66</v>
          </cell>
          <cell r="I180">
            <v>0</v>
          </cell>
          <cell r="J180" t="str">
            <v>Trưởng BM khoa LLCT</v>
          </cell>
        </row>
        <row r="181">
          <cell r="B181" t="str">
            <v>Cao Thị Hồng Thắm</v>
          </cell>
          <cell r="C181" t="str">
            <v>THẮM</v>
          </cell>
          <cell r="D181" t="str">
            <v>0016100006645008</v>
          </cell>
          <cell r="E181" t="str">
            <v>1603205250601</v>
          </cell>
          <cell r="F181">
            <v>3.66</v>
          </cell>
          <cell r="G181">
            <v>0</v>
          </cell>
          <cell r="H181">
            <v>3.66</v>
          </cell>
          <cell r="I181">
            <v>0</v>
          </cell>
          <cell r="J181" t="str">
            <v>Giảng viên khoa LLCT</v>
          </cell>
        </row>
        <row r="182">
          <cell r="B182" t="str">
            <v>Đỗ Thị Thơm</v>
          </cell>
          <cell r="C182" t="str">
            <v>THƠM</v>
          </cell>
          <cell r="D182" t="str">
            <v>0016100005288007</v>
          </cell>
          <cell r="E182" t="str">
            <v>1603205249841</v>
          </cell>
          <cell r="F182">
            <v>3.66</v>
          </cell>
          <cell r="G182">
            <v>0</v>
          </cell>
          <cell r="H182">
            <v>3.66</v>
          </cell>
          <cell r="I182">
            <v>0</v>
          </cell>
          <cell r="J182" t="str">
            <v>Giảng viên khoa LLCT</v>
          </cell>
        </row>
        <row r="183">
          <cell r="B183" t="str">
            <v>Phạm Thị Vinh</v>
          </cell>
          <cell r="C183" t="str">
            <v>VINH</v>
          </cell>
          <cell r="D183" t="str">
            <v>0016100006578009</v>
          </cell>
          <cell r="E183" t="str">
            <v>1603205269412</v>
          </cell>
          <cell r="F183">
            <v>4.32</v>
          </cell>
          <cell r="G183">
            <v>0</v>
          </cell>
          <cell r="H183">
            <v>4.32</v>
          </cell>
          <cell r="I183">
            <v>0</v>
          </cell>
          <cell r="J183" t="str">
            <v>Giảng viên khoa LLCT</v>
          </cell>
        </row>
        <row r="184">
          <cell r="B184" t="str">
            <v>Hoàng Thị Trang</v>
          </cell>
          <cell r="C184" t="str">
            <v>TRANG</v>
          </cell>
          <cell r="D184" t="str">
            <v>0016100006646004</v>
          </cell>
          <cell r="E184" t="str">
            <v>1603215002503</v>
          </cell>
          <cell r="F184">
            <v>3.33</v>
          </cell>
          <cell r="G184">
            <v>0</v>
          </cell>
          <cell r="H184">
            <v>3.33</v>
          </cell>
          <cell r="I184">
            <v>0</v>
          </cell>
          <cell r="J184" t="str">
            <v>Giảng viên khoa LLCT</v>
          </cell>
        </row>
        <row r="185">
          <cell r="B185" t="str">
            <v>Bùi Thành Dũng</v>
          </cell>
          <cell r="C185" t="str">
            <v>DŨNG</v>
          </cell>
          <cell r="D185" t="str">
            <v>0016100006729007</v>
          </cell>
          <cell r="E185" t="str">
            <v>1603205250790</v>
          </cell>
          <cell r="F185">
            <v>3.66</v>
          </cell>
          <cell r="G185">
            <v>0</v>
          </cell>
          <cell r="H185">
            <v>3.66</v>
          </cell>
          <cell r="I185">
            <v>0</v>
          </cell>
          <cell r="J185" t="str">
            <v>Giảng viên khoa LLCT</v>
          </cell>
        </row>
        <row r="186">
          <cell r="B186" t="str">
            <v>Trần Văn Lượng</v>
          </cell>
          <cell r="C186" t="str">
            <v>LƯỢNG</v>
          </cell>
          <cell r="D186" t="str">
            <v>'0016100006822007</v>
          </cell>
          <cell r="E186" t="str">
            <v>1603205398400</v>
          </cell>
          <cell r="F186">
            <v>3.33</v>
          </cell>
          <cell r="G186">
            <v>0</v>
          </cell>
          <cell r="H186">
            <v>3.33</v>
          </cell>
          <cell r="I186">
            <v>0</v>
          </cell>
          <cell r="J186" t="str">
            <v>Giảng viên khoa LLCT</v>
          </cell>
        </row>
        <row r="187">
          <cell r="B187" t="str">
            <v>Nguyễn Nguyên Hoàng Ngọc Quyên</v>
          </cell>
          <cell r="C187" t="str">
            <v>QUYÊN</v>
          </cell>
          <cell r="D187" t="str">
            <v>0016100006612002</v>
          </cell>
          <cell r="E187" t="str">
            <v>1603205185210</v>
          </cell>
          <cell r="F187">
            <v>3.99</v>
          </cell>
          <cell r="G187">
            <v>0</v>
          </cell>
          <cell r="H187">
            <v>3.99</v>
          </cell>
          <cell r="I187">
            <v>0</v>
          </cell>
          <cell r="J187" t="str">
            <v>Giảng viên khoa CNTT</v>
          </cell>
        </row>
        <row r="188">
          <cell r="B188" t="str">
            <v>Vũ Thị Thái Linh</v>
          </cell>
          <cell r="C188" t="str">
            <v xml:space="preserve">LINH </v>
          </cell>
          <cell r="D188" t="str">
            <v>0016100006738006</v>
          </cell>
          <cell r="E188" t="str">
            <v>1603205185284</v>
          </cell>
          <cell r="F188">
            <v>4.32</v>
          </cell>
          <cell r="G188">
            <v>0</v>
          </cell>
          <cell r="H188">
            <v>4.32</v>
          </cell>
          <cell r="I188">
            <v>0</v>
          </cell>
          <cell r="J188" t="str">
            <v>Giảng viên khoa CNTT</v>
          </cell>
        </row>
        <row r="189">
          <cell r="B189" t="str">
            <v>Nguyễn Sanh Cường</v>
          </cell>
          <cell r="C189" t="str">
            <v>CƯỜNG</v>
          </cell>
          <cell r="D189" t="str">
            <v>0016100006791004</v>
          </cell>
          <cell r="E189" t="str">
            <v>1603205185118</v>
          </cell>
          <cell r="F189">
            <v>3.99</v>
          </cell>
          <cell r="G189">
            <v>0</v>
          </cell>
          <cell r="H189">
            <v>3.99</v>
          </cell>
          <cell r="I189">
            <v>0</v>
          </cell>
          <cell r="J189" t="str">
            <v>Giảng viên khoa CNTT</v>
          </cell>
        </row>
        <row r="190">
          <cell r="B190" t="str">
            <v>Lê Quý Hưng Quốc</v>
          </cell>
          <cell r="C190" t="str">
            <v>QUỐC</v>
          </cell>
          <cell r="D190" t="str">
            <v>0016100006629002</v>
          </cell>
          <cell r="E190" t="str">
            <v>1603205185278</v>
          </cell>
          <cell r="F190">
            <v>3.99</v>
          </cell>
          <cell r="G190">
            <v>0</v>
          </cell>
          <cell r="H190">
            <v>3.99</v>
          </cell>
          <cell r="I190">
            <v>0</v>
          </cell>
          <cell r="J190" t="str">
            <v>Giảng viên khoa CNTT</v>
          </cell>
        </row>
        <row r="191">
          <cell r="B191" t="str">
            <v>Bùi Văn Dũng</v>
          </cell>
          <cell r="C191" t="str">
            <v>DŨNG</v>
          </cell>
          <cell r="D191" t="str">
            <v>0016100006816007</v>
          </cell>
          <cell r="E191" t="str">
            <v>1603205234692</v>
          </cell>
          <cell r="F191">
            <v>3.66</v>
          </cell>
          <cell r="G191">
            <v>0</v>
          </cell>
          <cell r="H191">
            <v>3.66</v>
          </cell>
          <cell r="I191">
            <v>0</v>
          </cell>
          <cell r="J191" t="str">
            <v>Giảng viên khoa CNTT</v>
          </cell>
        </row>
        <row r="192">
          <cell r="B192" t="str">
            <v>Nguyễn Văn Minh</v>
          </cell>
          <cell r="C192" t="str">
            <v>MINH</v>
          </cell>
          <cell r="D192" t="str">
            <v>0016100006508008</v>
          </cell>
          <cell r="E192" t="str">
            <v>1603205233313</v>
          </cell>
          <cell r="F192">
            <v>3.99</v>
          </cell>
          <cell r="G192">
            <v>0</v>
          </cell>
          <cell r="H192">
            <v>3.99</v>
          </cell>
          <cell r="I192">
            <v>0</v>
          </cell>
          <cell r="J192" t="str">
            <v>Giảng viên khoa CNTT</v>
          </cell>
        </row>
        <row r="193">
          <cell r="B193" t="str">
            <v>Nguyễn Thị Khánh Thư</v>
          </cell>
          <cell r="C193" t="str">
            <v>THƯ</v>
          </cell>
          <cell r="D193" t="str">
            <v>0016100006809008</v>
          </cell>
          <cell r="E193" t="str">
            <v>1603205233178</v>
          </cell>
          <cell r="F193">
            <v>3.99</v>
          </cell>
          <cell r="G193">
            <v>0</v>
          </cell>
          <cell r="H193">
            <v>3.99</v>
          </cell>
          <cell r="I193">
            <v>0</v>
          </cell>
          <cell r="J193" t="str">
            <v>Giảng viên khoa CNTT</v>
          </cell>
        </row>
        <row r="194">
          <cell r="B194" t="str">
            <v>Trần Việt Khánh</v>
          </cell>
          <cell r="C194" t="str">
            <v>KHÁNH</v>
          </cell>
          <cell r="D194" t="str">
            <v>0016100006626003</v>
          </cell>
          <cell r="E194" t="str">
            <v>1603205234010</v>
          </cell>
          <cell r="F194">
            <v>3.99</v>
          </cell>
          <cell r="G194">
            <v>0</v>
          </cell>
          <cell r="H194">
            <v>3.99</v>
          </cell>
          <cell r="I194">
            <v>0.45</v>
          </cell>
          <cell r="J194" t="str">
            <v>Trưởng BM khoa CNTT</v>
          </cell>
        </row>
        <row r="195">
          <cell r="B195" t="str">
            <v>Đỗ Thị Hải Yến</v>
          </cell>
          <cell r="C195" t="str">
            <v>YẾN</v>
          </cell>
          <cell r="D195" t="str">
            <v>0016100006798009</v>
          </cell>
          <cell r="E195" t="str">
            <v>1603205235506</v>
          </cell>
          <cell r="F195">
            <v>3.66</v>
          </cell>
          <cell r="G195">
            <v>0</v>
          </cell>
          <cell r="H195">
            <v>3.66</v>
          </cell>
          <cell r="I195">
            <v>0</v>
          </cell>
          <cell r="J195" t="str">
            <v>Giảng viên khoa CNTT</v>
          </cell>
        </row>
        <row r="196">
          <cell r="B196" t="str">
            <v>Lê Hồng Thái</v>
          </cell>
          <cell r="C196" t="str">
            <v>THÁI</v>
          </cell>
          <cell r="D196" t="str">
            <v>0016100006795007</v>
          </cell>
          <cell r="E196" t="str">
            <v>1603205231376</v>
          </cell>
          <cell r="F196">
            <v>3.66</v>
          </cell>
          <cell r="G196">
            <v>0</v>
          </cell>
          <cell r="H196">
            <v>3.66</v>
          </cell>
          <cell r="I196">
            <v>0</v>
          </cell>
          <cell r="J196" t="str">
            <v>Giảng viên khoa CNTT</v>
          </cell>
        </row>
        <row r="197">
          <cell r="B197" t="str">
            <v>Đặng Ngọc Đoàn</v>
          </cell>
          <cell r="C197" t="str">
            <v>ĐOÀN</v>
          </cell>
          <cell r="D197" t="str">
            <v>0016100006797002</v>
          </cell>
          <cell r="E197" t="str">
            <v>1603205233018</v>
          </cell>
          <cell r="F197">
            <v>3.66</v>
          </cell>
          <cell r="G197">
            <v>0</v>
          </cell>
          <cell r="H197">
            <v>3.66</v>
          </cell>
          <cell r="I197">
            <v>0</v>
          </cell>
          <cell r="J197" t="str">
            <v>Giảng viên khoa CNTT</v>
          </cell>
        </row>
        <row r="198">
          <cell r="B198" t="str">
            <v>Nguyễn Văn Đôn</v>
          </cell>
          <cell r="C198" t="str">
            <v>ĐÔN</v>
          </cell>
          <cell r="D198" t="str">
            <v>0016100006750006</v>
          </cell>
          <cell r="E198" t="str">
            <v>1603205246344</v>
          </cell>
          <cell r="F198">
            <v>3.99</v>
          </cell>
          <cell r="G198">
            <v>0</v>
          </cell>
          <cell r="H198">
            <v>3.99</v>
          </cell>
          <cell r="I198">
            <v>0.35</v>
          </cell>
          <cell r="J198" t="str">
            <v>Phó Trưởng khoa CNTT</v>
          </cell>
        </row>
        <row r="199">
          <cell r="B199" t="str">
            <v>Huỳnh Quốc Dũng</v>
          </cell>
          <cell r="C199">
            <v>0</v>
          </cell>
          <cell r="D199" t="str">
            <v>0016100007758008</v>
          </cell>
          <cell r="E199">
            <v>1603215005649</v>
          </cell>
          <cell r="F199">
            <v>3.33</v>
          </cell>
          <cell r="G199">
            <v>0</v>
          </cell>
          <cell r="H199">
            <v>3.33</v>
          </cell>
          <cell r="I199">
            <v>0</v>
          </cell>
          <cell r="J199" t="str">
            <v>Giảng viên khoa CNTT</v>
          </cell>
        </row>
        <row r="200">
          <cell r="B200" t="str">
            <v>Dương Ngọc Vọng</v>
          </cell>
          <cell r="C200" t="str">
            <v>VỌNG</v>
          </cell>
          <cell r="D200" t="str">
            <v>0016100006749008</v>
          </cell>
          <cell r="E200" t="str">
            <v>1603205185199</v>
          </cell>
          <cell r="F200">
            <v>3.99</v>
          </cell>
          <cell r="G200">
            <v>0</v>
          </cell>
          <cell r="H200">
            <v>3.99</v>
          </cell>
          <cell r="I200">
            <v>0.25</v>
          </cell>
          <cell r="J200" t="str">
            <v>Giảng viên khoa CNTT</v>
          </cell>
        </row>
        <row r="201">
          <cell r="B201" t="str">
            <v>Nguyễn Ngọc Tuyên</v>
          </cell>
          <cell r="C201" t="str">
            <v xml:space="preserve">TUYÊN </v>
          </cell>
          <cell r="D201" t="str">
            <v>0016100006747005</v>
          </cell>
          <cell r="E201">
            <v>1603205286594</v>
          </cell>
          <cell r="F201">
            <v>3.33</v>
          </cell>
          <cell r="G201">
            <v>0</v>
          </cell>
          <cell r="H201">
            <v>3.33</v>
          </cell>
          <cell r="I201">
            <v>0</v>
          </cell>
          <cell r="J201" t="str">
            <v>Giảng viên khoa CNTT</v>
          </cell>
        </row>
        <row r="202">
          <cell r="B202" t="str">
            <v>Nguyễn Cao Phong</v>
          </cell>
          <cell r="C202" t="str">
            <v>PHONG</v>
          </cell>
          <cell r="D202" t="str">
            <v>0016100006774002</v>
          </cell>
          <cell r="E202" t="str">
            <v>1603205185203</v>
          </cell>
          <cell r="F202">
            <v>3.99</v>
          </cell>
          <cell r="G202">
            <v>0</v>
          </cell>
          <cell r="H202">
            <v>3.99</v>
          </cell>
          <cell r="I202">
            <v>0</v>
          </cell>
          <cell r="J202" t="str">
            <v>Giảng viên khoa CNTT</v>
          </cell>
        </row>
        <row r="203">
          <cell r="B203" t="str">
            <v>Trần Vĩnh Xuyên</v>
          </cell>
          <cell r="C203" t="str">
            <v xml:space="preserve">XUYÊN </v>
          </cell>
          <cell r="D203" t="str">
            <v>0016100006865008</v>
          </cell>
          <cell r="E203" t="str">
            <v>1603205353295</v>
          </cell>
          <cell r="F203">
            <v>3.66</v>
          </cell>
          <cell r="G203">
            <v>0</v>
          </cell>
          <cell r="H203">
            <v>3.66</v>
          </cell>
          <cell r="I203">
            <v>0</v>
          </cell>
          <cell r="J203" t="str">
            <v>Giảng viên khoa CNTT</v>
          </cell>
        </row>
        <row r="204">
          <cell r="B204" t="str">
            <v>Mai Chiếm Tuấn</v>
          </cell>
          <cell r="C204" t="str">
            <v xml:space="preserve">TUẤN </v>
          </cell>
          <cell r="D204" t="str">
            <v>0016100006762004</v>
          </cell>
          <cell r="E204" t="str">
            <v>1603215002634</v>
          </cell>
          <cell r="F204">
            <v>3.99</v>
          </cell>
          <cell r="G204">
            <v>0</v>
          </cell>
          <cell r="H204">
            <v>3.99</v>
          </cell>
          <cell r="I204">
            <v>0.25</v>
          </cell>
          <cell r="J204" t="str">
            <v>Giảng viên khoa CNTT</v>
          </cell>
        </row>
        <row r="205">
          <cell r="B205" t="str">
            <v>Đỗ Tuấn Việt</v>
          </cell>
          <cell r="C205" t="str">
            <v>VIỆT</v>
          </cell>
          <cell r="D205" t="str">
            <v>0016100006500007</v>
          </cell>
          <cell r="E205" t="str">
            <v>1603205185305</v>
          </cell>
          <cell r="F205">
            <v>3.99</v>
          </cell>
          <cell r="G205">
            <v>0</v>
          </cell>
          <cell r="H205">
            <v>3.99</v>
          </cell>
          <cell r="I205">
            <v>0</v>
          </cell>
          <cell r="J205" t="str">
            <v>Giảng viên khoa CNTT</v>
          </cell>
        </row>
        <row r="206">
          <cell r="B206" t="str">
            <v>Đào Lê Phương Anh</v>
          </cell>
          <cell r="C206">
            <v>0</v>
          </cell>
          <cell r="D206">
            <v>0</v>
          </cell>
          <cell r="E206">
            <v>0</v>
          </cell>
          <cell r="F206">
            <v>2.2690000000000001</v>
          </cell>
          <cell r="G206">
            <v>0</v>
          </cell>
          <cell r="H206">
            <v>2.2690000000000001</v>
          </cell>
          <cell r="I206">
            <v>0</v>
          </cell>
          <cell r="J206" t="str">
            <v>Giảng viên khoa CNTT</v>
          </cell>
        </row>
        <row r="207">
          <cell r="B207" t="str">
            <v>Nguyễn Duy Lộc</v>
          </cell>
          <cell r="C207">
            <v>0</v>
          </cell>
          <cell r="D207">
            <v>0</v>
          </cell>
          <cell r="E207">
            <v>0</v>
          </cell>
          <cell r="F207">
            <v>1.9890000000000001</v>
          </cell>
          <cell r="G207">
            <v>0</v>
          </cell>
          <cell r="H207">
            <v>1.9890000000000001</v>
          </cell>
          <cell r="I207">
            <v>0</v>
          </cell>
          <cell r="J207" t="str">
            <v>Giảng viên khoa CNTT</v>
          </cell>
        </row>
        <row r="208">
          <cell r="B208" t="str">
            <v>Chung Trần Thế Vinh</v>
          </cell>
          <cell r="C208" t="str">
            <v>VINH</v>
          </cell>
          <cell r="D208" t="str">
            <v>0016100006787007</v>
          </cell>
          <cell r="E208" t="str">
            <v>1603205182132</v>
          </cell>
          <cell r="F208">
            <v>4.6500000000000004</v>
          </cell>
          <cell r="G208">
            <v>0</v>
          </cell>
          <cell r="H208">
            <v>4.6500000000000004</v>
          </cell>
          <cell r="I208">
            <v>0.45</v>
          </cell>
          <cell r="J208" t="str">
            <v>Trưởng khoa Cơ khí</v>
          </cell>
        </row>
        <row r="209">
          <cell r="B209" t="str">
            <v>Đỗ Thị Phương Khanh</v>
          </cell>
          <cell r="C209" t="str">
            <v>KHANH</v>
          </cell>
          <cell r="D209" t="str">
            <v>0016100006760001</v>
          </cell>
          <cell r="E209" t="str">
            <v>1603205182126</v>
          </cell>
          <cell r="F209">
            <v>4.9800000000000004</v>
          </cell>
          <cell r="G209">
            <v>7.0000000000000007E-2</v>
          </cell>
          <cell r="H209">
            <v>5.3286000000000007</v>
          </cell>
          <cell r="I209">
            <v>0</v>
          </cell>
          <cell r="J209" t="str">
            <v>Giảng viên khoa Cơ khí</v>
          </cell>
        </row>
        <row r="210">
          <cell r="B210" t="str">
            <v>Trương Thị Phương Hồng</v>
          </cell>
          <cell r="C210" t="str">
            <v>HỒNG</v>
          </cell>
          <cell r="D210" t="str">
            <v>0016100006763008</v>
          </cell>
          <cell r="E210" t="str">
            <v>1603205182211</v>
          </cell>
          <cell r="F210">
            <v>4.9800000000000004</v>
          </cell>
          <cell r="G210">
            <v>7.0000000000000007E-2</v>
          </cell>
          <cell r="H210">
            <v>5.3286000000000007</v>
          </cell>
          <cell r="I210">
            <v>0</v>
          </cell>
          <cell r="J210" t="str">
            <v>Giảng viên khoa Cơ khí</v>
          </cell>
        </row>
        <row r="211">
          <cell r="B211" t="str">
            <v>Dương Minh Chung</v>
          </cell>
          <cell r="C211" t="str">
            <v>CHUNG</v>
          </cell>
          <cell r="D211" t="str">
            <v>0016100006794003</v>
          </cell>
          <cell r="E211" t="str">
            <v>1603205182149</v>
          </cell>
          <cell r="F211">
            <v>4.32</v>
          </cell>
          <cell r="G211">
            <v>0</v>
          </cell>
          <cell r="H211">
            <v>4.32</v>
          </cell>
          <cell r="I211">
            <v>0</v>
          </cell>
          <cell r="J211" t="str">
            <v>Giảng viên khoa Cơ khí</v>
          </cell>
        </row>
        <row r="212">
          <cell r="B212" t="str">
            <v>Phan Văn Thành</v>
          </cell>
          <cell r="C212" t="str">
            <v>THÀNH</v>
          </cell>
          <cell r="D212" t="str">
            <v>0016100006815008</v>
          </cell>
          <cell r="E212" t="str">
            <v>1603205249149</v>
          </cell>
          <cell r="F212">
            <v>4.9800000000000004</v>
          </cell>
          <cell r="G212">
            <v>0.15</v>
          </cell>
          <cell r="H212">
            <v>5.7270000000000003</v>
          </cell>
          <cell r="I212">
            <v>0</v>
          </cell>
          <cell r="J212" t="str">
            <v>Giảng viên khoa Cơ khí</v>
          </cell>
        </row>
        <row r="213">
          <cell r="B213" t="str">
            <v>Vũ Đức Pháp</v>
          </cell>
          <cell r="C213" t="str">
            <v>PHÁP</v>
          </cell>
          <cell r="D213" t="str">
            <v>0016100006779004</v>
          </cell>
          <cell r="E213" t="str">
            <v>1603205182234</v>
          </cell>
          <cell r="F213">
            <v>4.6500000000000004</v>
          </cell>
          <cell r="G213">
            <v>0</v>
          </cell>
          <cell r="H213">
            <v>4.6500000000000004</v>
          </cell>
          <cell r="I213">
            <v>0.25</v>
          </cell>
          <cell r="J213" t="str">
            <v>Giảng viên khoa Cơ khí</v>
          </cell>
        </row>
        <row r="214">
          <cell r="B214" t="str">
            <v>Vũ Quang Khải</v>
          </cell>
          <cell r="C214" t="str">
            <v xml:space="preserve">KHẢI </v>
          </cell>
          <cell r="D214" t="str">
            <v>0016100006758007</v>
          </cell>
          <cell r="E214" t="str">
            <v>1603205189699</v>
          </cell>
          <cell r="F214">
            <v>4.9800000000000004</v>
          </cell>
          <cell r="G214">
            <v>0.06</v>
          </cell>
          <cell r="H214">
            <v>5.2788000000000004</v>
          </cell>
          <cell r="I214">
            <v>0.25</v>
          </cell>
          <cell r="J214" t="str">
            <v>Giảng viên khoa Cơ khí</v>
          </cell>
        </row>
        <row r="215">
          <cell r="B215" t="str">
            <v>Nguyễn Thanh Vũ</v>
          </cell>
          <cell r="C215" t="str">
            <v>VŨ</v>
          </cell>
          <cell r="D215" t="str">
            <v>0016100006752009</v>
          </cell>
          <cell r="E215" t="str">
            <v>1603205185600</v>
          </cell>
          <cell r="F215">
            <v>3.99</v>
          </cell>
          <cell r="G215">
            <v>0</v>
          </cell>
          <cell r="H215">
            <v>3.99</v>
          </cell>
          <cell r="I215">
            <v>0</v>
          </cell>
          <cell r="J215" t="str">
            <v>Giảng viên khoa Cơ khí</v>
          </cell>
        </row>
        <row r="216">
          <cell r="B216" t="str">
            <v>Phan Thị Xuân Trang</v>
          </cell>
          <cell r="C216" t="str">
            <v>TRANG</v>
          </cell>
          <cell r="D216" t="str">
            <v>0016100006811005</v>
          </cell>
          <cell r="E216" t="str">
            <v>1603205185550</v>
          </cell>
          <cell r="F216">
            <v>4.9800000000000004</v>
          </cell>
          <cell r="G216">
            <v>0.05</v>
          </cell>
          <cell r="H216">
            <v>5.2290000000000001</v>
          </cell>
          <cell r="I216">
            <v>0</v>
          </cell>
          <cell r="J216" t="str">
            <v>Giảng viên khoa Cơ khí</v>
          </cell>
        </row>
        <row r="217">
          <cell r="B217" t="str">
            <v>Trần Đình Khải</v>
          </cell>
          <cell r="C217" t="str">
            <v>KHẢI</v>
          </cell>
          <cell r="D217" t="str">
            <v>0016100006761008</v>
          </cell>
          <cell r="E217" t="str">
            <v>1603205309314</v>
          </cell>
          <cell r="F217">
            <v>3.66</v>
          </cell>
          <cell r="G217">
            <v>0</v>
          </cell>
          <cell r="H217">
            <v>3.66</v>
          </cell>
          <cell r="I217">
            <v>0.35</v>
          </cell>
          <cell r="J217" t="str">
            <v>Phó Trưởng khoa Cơ khí</v>
          </cell>
        </row>
        <row r="218">
          <cell r="B218" t="str">
            <v>Lư Thị Yến Vũ</v>
          </cell>
          <cell r="C218" t="str">
            <v>VŨ</v>
          </cell>
          <cell r="D218" t="str">
            <v>0016100006793007</v>
          </cell>
          <cell r="E218" t="str">
            <v>1603205234187</v>
          </cell>
          <cell r="F218">
            <v>3.66</v>
          </cell>
          <cell r="G218">
            <v>0</v>
          </cell>
          <cell r="H218">
            <v>3.66</v>
          </cell>
          <cell r="I218">
            <v>0</v>
          </cell>
          <cell r="J218" t="str">
            <v>Giảng viên khoa Cơ khí</v>
          </cell>
        </row>
        <row r="219">
          <cell r="B219" t="str">
            <v>Nguyễn Tiến Dũng</v>
          </cell>
          <cell r="C219" t="str">
            <v>DŨNG</v>
          </cell>
          <cell r="D219" t="str">
            <v>0016100006786008</v>
          </cell>
          <cell r="E219" t="str">
            <v>1603205247012</v>
          </cell>
          <cell r="F219">
            <v>3.66</v>
          </cell>
          <cell r="G219">
            <v>0</v>
          </cell>
          <cell r="H219">
            <v>3.66</v>
          </cell>
          <cell r="I219">
            <v>0</v>
          </cell>
          <cell r="J219" t="str">
            <v>Giảng viên khoa Cơ khí</v>
          </cell>
        </row>
        <row r="220">
          <cell r="B220" t="str">
            <v>Nguyễn Thành Long</v>
          </cell>
          <cell r="C220" t="str">
            <v>LONG</v>
          </cell>
          <cell r="D220" t="str">
            <v>0016100006788003</v>
          </cell>
          <cell r="E220" t="str">
            <v>1603205250699</v>
          </cell>
          <cell r="F220">
            <v>3.66</v>
          </cell>
          <cell r="G220">
            <v>0</v>
          </cell>
          <cell r="H220">
            <v>3.66</v>
          </cell>
          <cell r="I220">
            <v>0</v>
          </cell>
          <cell r="J220" t="str">
            <v>Giảng viên khoa Cơ khí</v>
          </cell>
        </row>
        <row r="221">
          <cell r="B221" t="str">
            <v>Nguyễn Ngọc Quỳnh.</v>
          </cell>
          <cell r="C221" t="str">
            <v>QUỲNH (CK)</v>
          </cell>
          <cell r="D221" t="str">
            <v>0016100006808004</v>
          </cell>
          <cell r="E221" t="str">
            <v>1603205250682</v>
          </cell>
          <cell r="F221">
            <v>3.66</v>
          </cell>
          <cell r="G221">
            <v>0</v>
          </cell>
          <cell r="H221">
            <v>3.66</v>
          </cell>
          <cell r="I221">
            <v>0</v>
          </cell>
          <cell r="J221" t="str">
            <v>Giảng viên khoa Cơ khí</v>
          </cell>
        </row>
        <row r="222">
          <cell r="B222" t="str">
            <v>Nguyễn Duy Hải</v>
          </cell>
          <cell r="C222" t="str">
            <v xml:space="preserve">HẢI </v>
          </cell>
          <cell r="D222" t="str">
            <v>0016100006813008</v>
          </cell>
          <cell r="E222" t="str">
            <v>1603205275388</v>
          </cell>
          <cell r="F222">
            <v>3.66</v>
          </cell>
          <cell r="G222">
            <v>0</v>
          </cell>
          <cell r="H222">
            <v>3.66</v>
          </cell>
          <cell r="I222">
            <v>0</v>
          </cell>
          <cell r="J222" t="str">
            <v>Giảng viên khoa Cơ khí</v>
          </cell>
        </row>
        <row r="223">
          <cell r="B223" t="str">
            <v>Bùi Anh Tuấn</v>
          </cell>
          <cell r="C223" t="str">
            <v xml:space="preserve">TUẤN </v>
          </cell>
          <cell r="D223" t="str">
            <v>0016100006800003</v>
          </cell>
          <cell r="E223" t="str">
            <v>1603205353368</v>
          </cell>
          <cell r="F223">
            <v>3.33</v>
          </cell>
          <cell r="G223">
            <v>0</v>
          </cell>
          <cell r="H223">
            <v>3.33</v>
          </cell>
          <cell r="I223">
            <v>0.25</v>
          </cell>
          <cell r="J223" t="str">
            <v>Giảng viên - Trưởng BM khoa Cơ khí</v>
          </cell>
        </row>
        <row r="224">
          <cell r="B224" t="str">
            <v>Trần Thị Hương</v>
          </cell>
          <cell r="C224" t="str">
            <v>HƯƠNG</v>
          </cell>
          <cell r="D224" t="str">
            <v>0016100006757008</v>
          </cell>
          <cell r="E224">
            <v>1603205357641</v>
          </cell>
          <cell r="F224">
            <v>3.66</v>
          </cell>
          <cell r="G224">
            <v>0</v>
          </cell>
          <cell r="H224">
            <v>3.66</v>
          </cell>
          <cell r="I224">
            <v>0</v>
          </cell>
          <cell r="J224" t="str">
            <v>Giảng viên khoa Cơ khí</v>
          </cell>
        </row>
        <row r="225">
          <cell r="B225" t="str">
            <v>Trần Minh Thông</v>
          </cell>
          <cell r="C225" t="str">
            <v>THÔNG</v>
          </cell>
          <cell r="D225" t="str">
            <v>0016100006790008</v>
          </cell>
          <cell r="E225">
            <v>1603205357120</v>
          </cell>
          <cell r="F225">
            <v>3.33</v>
          </cell>
          <cell r="G225">
            <v>0</v>
          </cell>
          <cell r="H225">
            <v>3.33</v>
          </cell>
          <cell r="I225">
            <v>0</v>
          </cell>
          <cell r="J225" t="str">
            <v>Giảng viên khoa Cơ khí</v>
          </cell>
        </row>
        <row r="226">
          <cell r="B226" t="str">
            <v>Nguyễn Thanh Vĩnh Phúc</v>
          </cell>
          <cell r="C226" t="str">
            <v xml:space="preserve">PHÚC </v>
          </cell>
          <cell r="D226" t="str">
            <v>0016100006814004</v>
          </cell>
          <cell r="E226" t="str">
            <v>1603205186140</v>
          </cell>
          <cell r="F226">
            <v>4.9800000000000004</v>
          </cell>
          <cell r="G226">
            <v>7.0000000000000007E-2</v>
          </cell>
          <cell r="H226">
            <v>5.3286000000000007</v>
          </cell>
          <cell r="I226">
            <v>0</v>
          </cell>
          <cell r="J226" t="str">
            <v>Giảng viên khoa Cơ khí</v>
          </cell>
        </row>
        <row r="227">
          <cell r="B227" t="str">
            <v>Võ Minh Quang</v>
          </cell>
          <cell r="C227" t="str">
            <v>QUANG</v>
          </cell>
          <cell r="D227" t="str">
            <v>0016100006759003</v>
          </cell>
          <cell r="E227" t="str">
            <v>1603205182228</v>
          </cell>
          <cell r="F227">
            <v>4.9800000000000004</v>
          </cell>
          <cell r="G227">
            <v>0.1</v>
          </cell>
          <cell r="H227">
            <v>5.4780000000000006</v>
          </cell>
          <cell r="I227">
            <v>0</v>
          </cell>
          <cell r="J227" t="str">
            <v>Giảng viên khoa Cơ khí</v>
          </cell>
        </row>
        <row r="228">
          <cell r="B228" t="str">
            <v>Dương Thị Hồng</v>
          </cell>
          <cell r="C228" t="str">
            <v>HỒNG</v>
          </cell>
          <cell r="D228" t="str">
            <v>0016100006597003</v>
          </cell>
          <cell r="E228" t="str">
            <v>1603215002605</v>
          </cell>
          <cell r="F228">
            <v>3.33</v>
          </cell>
          <cell r="G228">
            <v>0</v>
          </cell>
          <cell r="H228">
            <v>3.33</v>
          </cell>
          <cell r="I228">
            <v>0</v>
          </cell>
          <cell r="J228" t="str">
            <v>Giảng viên khoa Cơ khí</v>
          </cell>
        </row>
        <row r="229">
          <cell r="B229" t="str">
            <v>Nguyễn Thanh Giang</v>
          </cell>
          <cell r="C229" t="str">
            <v>GIANG</v>
          </cell>
          <cell r="D229" t="str">
            <v>0016100007212008</v>
          </cell>
          <cell r="E229">
            <v>1603215003955</v>
          </cell>
          <cell r="F229">
            <v>3</v>
          </cell>
          <cell r="G229">
            <v>0</v>
          </cell>
          <cell r="H229">
            <v>3</v>
          </cell>
          <cell r="I229">
            <v>0</v>
          </cell>
          <cell r="J229" t="str">
            <v>Giảng viên khoa Cơ khí</v>
          </cell>
        </row>
        <row r="230">
          <cell r="B230" t="str">
            <v>Nguyễn Hồng Phúc</v>
          </cell>
          <cell r="C230">
            <v>0</v>
          </cell>
          <cell r="D230" t="str">
            <v>0016100007698008</v>
          </cell>
          <cell r="E230" t="str">
            <v>1603205584782</v>
          </cell>
          <cell r="F230">
            <v>3</v>
          </cell>
          <cell r="G230">
            <v>0</v>
          </cell>
          <cell r="H230">
            <v>3</v>
          </cell>
          <cell r="I230">
            <v>0</v>
          </cell>
          <cell r="J230" t="str">
            <v>Giảng viên khoa Cơ khí</v>
          </cell>
        </row>
        <row r="231">
          <cell r="B231" t="str">
            <v>Nguyễn Văn Sơn</v>
          </cell>
          <cell r="C231" t="str">
            <v>SƠN</v>
          </cell>
          <cell r="D231" t="str">
            <v>0016100006614005</v>
          </cell>
          <cell r="E231" t="str">
            <v>1603205185698</v>
          </cell>
          <cell r="F231">
            <v>4.9800000000000004</v>
          </cell>
          <cell r="G231">
            <v>0.11</v>
          </cell>
          <cell r="H231">
            <v>5.5278000000000009</v>
          </cell>
          <cell r="I231">
            <v>0</v>
          </cell>
          <cell r="J231" t="str">
            <v>Giảng viên khoa Cơ khí</v>
          </cell>
        </row>
        <row r="232">
          <cell r="B232" t="str">
            <v>Nguyễn Khắc Huy</v>
          </cell>
          <cell r="C232">
            <v>0</v>
          </cell>
          <cell r="D232" t="str">
            <v>0016100012451002</v>
          </cell>
          <cell r="E232">
            <v>1603205596180</v>
          </cell>
          <cell r="F232">
            <v>2.67</v>
          </cell>
          <cell r="G232">
            <v>0</v>
          </cell>
          <cell r="H232">
            <v>2.67</v>
          </cell>
          <cell r="I232">
            <v>0</v>
          </cell>
          <cell r="J232" t="str">
            <v>Giảng viên khoa Cơ khí</v>
          </cell>
        </row>
        <row r="233">
          <cell r="B233" t="str">
            <v>Võ Hoài Sơn</v>
          </cell>
          <cell r="C233">
            <v>0</v>
          </cell>
          <cell r="D233" t="str">
            <v>0003100008196007</v>
          </cell>
          <cell r="E233">
            <v>0</v>
          </cell>
          <cell r="F233">
            <v>3</v>
          </cell>
          <cell r="G233">
            <v>0</v>
          </cell>
          <cell r="H233">
            <v>3</v>
          </cell>
          <cell r="I233">
            <v>0</v>
          </cell>
          <cell r="J233" t="str">
            <v>Giảng viên khoa Cơ khí</v>
          </cell>
        </row>
        <row r="234">
          <cell r="B234" t="str">
            <v>Nguyễn Thị Xuân Chinh</v>
          </cell>
          <cell r="C234">
            <v>0</v>
          </cell>
          <cell r="D234">
            <v>0</v>
          </cell>
          <cell r="E234">
            <v>0</v>
          </cell>
          <cell r="F234">
            <v>4.32</v>
          </cell>
          <cell r="G234">
            <v>0</v>
          </cell>
          <cell r="H234">
            <v>4.32</v>
          </cell>
          <cell r="I234">
            <v>0</v>
          </cell>
          <cell r="J234" t="str">
            <v>Giảng viên khoa Cơ khí</v>
          </cell>
        </row>
        <row r="235">
          <cell r="B235" t="str">
            <v>Nguyễn Duy Tân</v>
          </cell>
          <cell r="C235">
            <v>0</v>
          </cell>
          <cell r="D235">
            <v>0</v>
          </cell>
          <cell r="E235">
            <v>0</v>
          </cell>
          <cell r="F235">
            <v>2.67</v>
          </cell>
          <cell r="G235">
            <v>0</v>
          </cell>
          <cell r="H235">
            <v>2.67</v>
          </cell>
          <cell r="I235">
            <v>0</v>
          </cell>
          <cell r="J235" t="str">
            <v>Giảng viên khoa Cơ khí</v>
          </cell>
        </row>
        <row r="236">
          <cell r="B236" t="str">
            <v>Tạ Minh Cường</v>
          </cell>
          <cell r="C236" t="str">
            <v>CƯỜNG</v>
          </cell>
          <cell r="D236" t="str">
            <v>0016100006592001</v>
          </cell>
          <cell r="E236" t="str">
            <v>1603205182517</v>
          </cell>
          <cell r="F236">
            <v>4.6500000000000004</v>
          </cell>
          <cell r="G236">
            <v>0</v>
          </cell>
          <cell r="H236">
            <v>4.6500000000000004</v>
          </cell>
          <cell r="I236">
            <v>0.45</v>
          </cell>
          <cell r="J236" t="str">
            <v>Trưởng khoa Điện - Điện tử</v>
          </cell>
        </row>
        <row r="237">
          <cell r="B237" t="str">
            <v>Phạm Minh Nghĩa</v>
          </cell>
          <cell r="C237" t="str">
            <v>NGHĨA</v>
          </cell>
          <cell r="D237" t="str">
            <v>0016100006660007</v>
          </cell>
          <cell r="E237" t="str">
            <v>1603205178896</v>
          </cell>
          <cell r="F237">
            <v>4.9800000000000004</v>
          </cell>
          <cell r="G237">
            <v>0.16</v>
          </cell>
          <cell r="H237">
            <v>5.7768000000000006</v>
          </cell>
          <cell r="I237">
            <v>0.35</v>
          </cell>
          <cell r="J237" t="str">
            <v>Phó Trưởng khoa Điện - Điện tử</v>
          </cell>
        </row>
        <row r="238">
          <cell r="B238" t="str">
            <v>Nguyễn Văn Yên</v>
          </cell>
          <cell r="C238" t="str">
            <v>YÊN</v>
          </cell>
          <cell r="D238" t="str">
            <v>0016100006530006</v>
          </cell>
          <cell r="E238" t="str">
            <v>1603205182371</v>
          </cell>
          <cell r="F238">
            <v>4.9800000000000004</v>
          </cell>
          <cell r="G238">
            <v>0.06</v>
          </cell>
          <cell r="H238">
            <v>5.2788000000000004</v>
          </cell>
          <cell r="I238">
            <v>0</v>
          </cell>
          <cell r="J238" t="str">
            <v>Giảng viên khoa Điện - Điện tử</v>
          </cell>
        </row>
        <row r="239">
          <cell r="B239" t="str">
            <v>Nguyễn Minh Đức</v>
          </cell>
          <cell r="C239" t="str">
            <v xml:space="preserve">ĐỨC (B) </v>
          </cell>
          <cell r="D239" t="str">
            <v>0016100006590009</v>
          </cell>
          <cell r="E239" t="str">
            <v>1603205182496</v>
          </cell>
          <cell r="F239">
            <v>4.9800000000000004</v>
          </cell>
          <cell r="G239">
            <v>0.06</v>
          </cell>
          <cell r="H239">
            <v>5.2788000000000004</v>
          </cell>
          <cell r="I239">
            <v>0</v>
          </cell>
          <cell r="J239" t="str">
            <v>Giảng viên khoa Điện - Điện tử</v>
          </cell>
        </row>
        <row r="240">
          <cell r="B240" t="str">
            <v>Nguyễn Anh Tăng</v>
          </cell>
          <cell r="C240" t="str">
            <v>TĂNG</v>
          </cell>
          <cell r="D240" t="str">
            <v>0016100006504005</v>
          </cell>
          <cell r="E240" t="str">
            <v>1603205182438</v>
          </cell>
          <cell r="F240">
            <v>4.6500000000000004</v>
          </cell>
          <cell r="G240">
            <v>0</v>
          </cell>
          <cell r="H240">
            <v>4.6500000000000004</v>
          </cell>
          <cell r="I240">
            <v>0</v>
          </cell>
          <cell r="J240" t="str">
            <v>Giảng viên khoa Điện - Điện tử</v>
          </cell>
        </row>
        <row r="241">
          <cell r="B241" t="str">
            <v>Lê Thế Huân</v>
          </cell>
          <cell r="C241" t="str">
            <v>HUÂN</v>
          </cell>
          <cell r="D241" t="str">
            <v>0016100006596007</v>
          </cell>
          <cell r="E241" t="str">
            <v>1603205182450</v>
          </cell>
          <cell r="F241">
            <v>4.32</v>
          </cell>
          <cell r="G241">
            <v>0</v>
          </cell>
          <cell r="H241">
            <v>4.32</v>
          </cell>
          <cell r="I241">
            <v>0</v>
          </cell>
          <cell r="J241" t="str">
            <v>Giảng viên khoa Điện - Điện tử</v>
          </cell>
        </row>
        <row r="242">
          <cell r="B242" t="str">
            <v>Trần Trung Hiếu</v>
          </cell>
          <cell r="C242" t="str">
            <v>HIẾU</v>
          </cell>
          <cell r="D242" t="str">
            <v>0016100006595008</v>
          </cell>
          <cell r="E242" t="str">
            <v>1603205182480</v>
          </cell>
          <cell r="F242">
            <v>4.32</v>
          </cell>
          <cell r="G242">
            <v>0</v>
          </cell>
          <cell r="H242">
            <v>4.32</v>
          </cell>
          <cell r="I242">
            <v>0</v>
          </cell>
          <cell r="J242" t="str">
            <v>Giảng viên khoa
Điện - Điện tử</v>
          </cell>
        </row>
        <row r="243">
          <cell r="B243" t="str">
            <v>Trần Nguyên Bảo Trân</v>
          </cell>
          <cell r="C243" t="str">
            <v>TRÂN</v>
          </cell>
          <cell r="D243" t="str">
            <v>0016100006643005</v>
          </cell>
          <cell r="E243" t="str">
            <v>1603215002510</v>
          </cell>
          <cell r="F243">
            <v>3.33</v>
          </cell>
          <cell r="G243">
            <v>0</v>
          </cell>
          <cell r="H243">
            <v>3.33</v>
          </cell>
          <cell r="I243">
            <v>0.25</v>
          </cell>
          <cell r="J243" t="str">
            <v>Trưởng BM Cơ điện tử và Tự động hóa</v>
          </cell>
        </row>
        <row r="244">
          <cell r="B244" t="str">
            <v>Mạnh Lê Hoàn</v>
          </cell>
          <cell r="C244" t="str">
            <v>HOÀN</v>
          </cell>
          <cell r="D244" t="str">
            <v>0016100006529008</v>
          </cell>
          <cell r="E244" t="str">
            <v>1603205182473</v>
          </cell>
          <cell r="F244">
            <v>4.32</v>
          </cell>
          <cell r="G244">
            <v>0</v>
          </cell>
          <cell r="H244">
            <v>4.32</v>
          </cell>
          <cell r="I244">
            <v>0</v>
          </cell>
          <cell r="J244" t="str">
            <v>Giảng viên khoa Điện - Điện tử</v>
          </cell>
        </row>
        <row r="245">
          <cell r="B245" t="str">
            <v>Ngô Hoàng Anh</v>
          </cell>
          <cell r="C245" t="str">
            <v>ANH</v>
          </cell>
          <cell r="D245" t="str">
            <v>0016100006593008</v>
          </cell>
          <cell r="E245" t="str">
            <v>1603205185596</v>
          </cell>
          <cell r="F245">
            <v>4.6500000000000004</v>
          </cell>
          <cell r="G245">
            <v>0</v>
          </cell>
          <cell r="H245">
            <v>4.6500000000000004</v>
          </cell>
          <cell r="I245">
            <v>0</v>
          </cell>
          <cell r="J245" t="str">
            <v>Giảng viên khoa Điện - Điện tử</v>
          </cell>
        </row>
        <row r="246">
          <cell r="B246" t="str">
            <v>Nguyễn Thùy Linh</v>
          </cell>
          <cell r="C246" t="str">
            <v xml:space="preserve">LINH </v>
          </cell>
          <cell r="D246" t="str">
            <v>0016100006581007</v>
          </cell>
          <cell r="E246" t="str">
            <v>1603205251259</v>
          </cell>
          <cell r="F246">
            <v>3.66</v>
          </cell>
          <cell r="G246">
            <v>0</v>
          </cell>
          <cell r="H246">
            <v>3.66</v>
          </cell>
          <cell r="I246">
            <v>0</v>
          </cell>
          <cell r="J246" t="str">
            <v>Giảng viên khoa
Điện - Điện tử</v>
          </cell>
        </row>
        <row r="247">
          <cell r="B247" t="str">
            <v>Vũ Hạnh Chiêu</v>
          </cell>
          <cell r="C247" t="str">
            <v>CHIÊU</v>
          </cell>
          <cell r="D247" t="str">
            <v>0016100006591005</v>
          </cell>
          <cell r="E247" t="str">
            <v>1603205219414</v>
          </cell>
          <cell r="F247">
            <v>3.99</v>
          </cell>
          <cell r="G247">
            <v>0</v>
          </cell>
          <cell r="H247">
            <v>3.99</v>
          </cell>
          <cell r="I247">
            <v>0</v>
          </cell>
          <cell r="J247" t="str">
            <v>Giảng viên khoa
Điện - Điện tử</v>
          </cell>
        </row>
        <row r="248">
          <cell r="B248" t="str">
            <v>Đỗ Huỳnh Thanh Phong</v>
          </cell>
          <cell r="C248" t="str">
            <v>PHONG</v>
          </cell>
          <cell r="D248" t="str">
            <v>0016100006610007</v>
          </cell>
          <cell r="E248" t="str">
            <v>1603205246321</v>
          </cell>
          <cell r="F248">
            <v>3.66</v>
          </cell>
          <cell r="G248">
            <v>0</v>
          </cell>
          <cell r="H248">
            <v>3.66</v>
          </cell>
          <cell r="I248">
            <v>0</v>
          </cell>
          <cell r="J248" t="str">
            <v>Giảng viên khoa Điện - Điện tử</v>
          </cell>
        </row>
        <row r="249">
          <cell r="B249" t="str">
            <v>Nguyễn Minh Đức Cường</v>
          </cell>
          <cell r="C249" t="str">
            <v>CƯỜNG</v>
          </cell>
          <cell r="D249" t="str">
            <v>0016100006584009</v>
          </cell>
          <cell r="E249" t="str">
            <v>1603205276158</v>
          </cell>
          <cell r="F249">
            <v>3.66</v>
          </cell>
          <cell r="G249">
            <v>0</v>
          </cell>
          <cell r="H249">
            <v>3.66</v>
          </cell>
          <cell r="I249">
            <v>0</v>
          </cell>
          <cell r="J249" t="str">
            <v>Giảng viên khoa
Điện - Điện tử</v>
          </cell>
        </row>
        <row r="250">
          <cell r="B250" t="str">
            <v>Huỳnh Ngọc Mai</v>
          </cell>
          <cell r="C250" t="str">
            <v>MAI</v>
          </cell>
          <cell r="D250" t="str">
            <v>0016100006617004</v>
          </cell>
          <cell r="E250" t="str">
            <v>1603205179042</v>
          </cell>
          <cell r="F250">
            <v>4.9800000000000004</v>
          </cell>
          <cell r="G250">
            <v>0.08</v>
          </cell>
          <cell r="H250">
            <v>5.3784000000000001</v>
          </cell>
          <cell r="I250">
            <v>0.35</v>
          </cell>
          <cell r="J250" t="str">
            <v>Giảng viên khoa Điện - Điện tử</v>
          </cell>
        </row>
        <row r="251">
          <cell r="B251" t="str">
            <v>Nguyễn Hồng Đức</v>
          </cell>
          <cell r="C251" t="str">
            <v>ĐỨC</v>
          </cell>
          <cell r="D251" t="str">
            <v>0016100006644001</v>
          </cell>
          <cell r="E251" t="str">
            <v>1603205179007</v>
          </cell>
          <cell r="F251">
            <v>4.9800000000000004</v>
          </cell>
          <cell r="G251">
            <v>0.11</v>
          </cell>
          <cell r="H251">
            <v>5.5278000000000009</v>
          </cell>
          <cell r="I251">
            <v>0</v>
          </cell>
          <cell r="J251" t="str">
            <v>Giảng viên khoa Điện - Điện tử</v>
          </cell>
        </row>
        <row r="252">
          <cell r="B252" t="str">
            <v>Trần Công Tiến</v>
          </cell>
          <cell r="C252" t="str">
            <v>TIẾN</v>
          </cell>
          <cell r="D252" t="str">
            <v>0016100006531002</v>
          </cell>
          <cell r="E252" t="str">
            <v>1603205178917</v>
          </cell>
          <cell r="F252">
            <v>4.9800000000000004</v>
          </cell>
          <cell r="G252">
            <v>0.08</v>
          </cell>
          <cell r="H252">
            <v>5.3784000000000001</v>
          </cell>
          <cell r="I252">
            <v>0</v>
          </cell>
          <cell r="J252" t="str">
            <v>Giảng viên khoa Điện - Điện tử</v>
          </cell>
        </row>
        <row r="253">
          <cell r="B253" t="str">
            <v>Nguyễn Trần Thanh Nhàn</v>
          </cell>
          <cell r="C253" t="str">
            <v>NHÀN</v>
          </cell>
          <cell r="D253" t="str">
            <v>0016100006582006</v>
          </cell>
          <cell r="E253" t="str">
            <v>1603205178923</v>
          </cell>
          <cell r="F253">
            <v>4.32</v>
          </cell>
          <cell r="G253">
            <v>0</v>
          </cell>
          <cell r="H253">
            <v>4.32</v>
          </cell>
          <cell r="I253">
            <v>0</v>
          </cell>
          <cell r="J253" t="str">
            <v>Giảng viên khoa Điện - Điện tử</v>
          </cell>
        </row>
        <row r="254">
          <cell r="B254" t="str">
            <v>Tăng Cẩm Huê</v>
          </cell>
          <cell r="C254" t="str">
            <v>HUÊ</v>
          </cell>
          <cell r="D254" t="str">
            <v>0016100006583002</v>
          </cell>
          <cell r="E254" t="str">
            <v>1603205178975</v>
          </cell>
          <cell r="F254">
            <v>4.32</v>
          </cell>
          <cell r="G254">
            <v>0</v>
          </cell>
          <cell r="H254">
            <v>4.32</v>
          </cell>
          <cell r="I254">
            <v>0</v>
          </cell>
          <cell r="J254" t="str">
            <v>Giảng viên khoa
Điện - Điện tử</v>
          </cell>
        </row>
        <row r="255">
          <cell r="B255" t="str">
            <v>Trần Hiếu Trinh</v>
          </cell>
          <cell r="C255" t="str">
            <v>TRINH</v>
          </cell>
          <cell r="D255" t="str">
            <v>0016100006642009</v>
          </cell>
          <cell r="E255" t="str">
            <v>1603205178981</v>
          </cell>
          <cell r="F255">
            <v>4.6500000000000004</v>
          </cell>
          <cell r="G255">
            <v>0</v>
          </cell>
          <cell r="H255">
            <v>4.6500000000000004</v>
          </cell>
          <cell r="I255">
            <v>0</v>
          </cell>
          <cell r="J255" t="str">
            <v>Giảng viên khoa Điện - Điện tử</v>
          </cell>
        </row>
        <row r="256">
          <cell r="B256" t="str">
            <v>Nguyễn Thị Tố Nga</v>
          </cell>
          <cell r="C256" t="str">
            <v>NGA</v>
          </cell>
          <cell r="D256" t="str">
            <v>0016100006609001</v>
          </cell>
          <cell r="E256" t="str">
            <v>1603205178969</v>
          </cell>
          <cell r="F256">
            <v>4.6500000000000004</v>
          </cell>
          <cell r="G256">
            <v>0</v>
          </cell>
          <cell r="H256">
            <v>4.6500000000000004</v>
          </cell>
          <cell r="I256">
            <v>0</v>
          </cell>
          <cell r="J256" t="str">
            <v>Giảng viên khoa Điện - Điện tử</v>
          </cell>
        </row>
        <row r="257">
          <cell r="B257" t="str">
            <v>Đặng Đức Minh</v>
          </cell>
          <cell r="C257" t="str">
            <v>MINH</v>
          </cell>
          <cell r="D257" t="str">
            <v>0016100006503009</v>
          </cell>
          <cell r="E257" t="str">
            <v>1603205179020</v>
          </cell>
          <cell r="F257">
            <v>4.6500000000000004</v>
          </cell>
          <cell r="G257">
            <v>0</v>
          </cell>
          <cell r="H257">
            <v>4.6500000000000004</v>
          </cell>
          <cell r="I257">
            <v>0</v>
          </cell>
          <cell r="J257" t="str">
            <v>Giảng viên khoa Điện - Điện tử</v>
          </cell>
        </row>
        <row r="258">
          <cell r="B258" t="str">
            <v>Nguyễn Thị Ngọc Hiền</v>
          </cell>
          <cell r="C258" t="str">
            <v>HIỀN</v>
          </cell>
          <cell r="D258" t="str">
            <v>0016100006641002</v>
          </cell>
          <cell r="E258" t="str">
            <v>1603205178900</v>
          </cell>
          <cell r="F258">
            <v>4.6500000000000004</v>
          </cell>
          <cell r="G258">
            <v>0</v>
          </cell>
          <cell r="H258">
            <v>4.6500000000000004</v>
          </cell>
          <cell r="I258">
            <v>0</v>
          </cell>
          <cell r="J258" t="str">
            <v>Giảng viên khoa Điện - Điện tử</v>
          </cell>
        </row>
        <row r="259">
          <cell r="B259" t="str">
            <v>Ngô Phong Cường</v>
          </cell>
          <cell r="C259" t="str">
            <v>CƯỜNG</v>
          </cell>
          <cell r="D259" t="str">
            <v>0016100006555009</v>
          </cell>
          <cell r="E259" t="str">
            <v>1603205178952</v>
          </cell>
          <cell r="F259">
            <v>3.99</v>
          </cell>
          <cell r="G259">
            <v>0</v>
          </cell>
          <cell r="H259">
            <v>3.99</v>
          </cell>
          <cell r="I259">
            <v>0</v>
          </cell>
          <cell r="J259" t="str">
            <v>Giảng viên khoa
Điện - Điện tử</v>
          </cell>
        </row>
        <row r="260">
          <cell r="B260" t="str">
            <v>Cao Văn Tuấn</v>
          </cell>
          <cell r="C260" t="str">
            <v xml:space="preserve">TUẤN </v>
          </cell>
          <cell r="D260" t="str">
            <v>0016100007189006</v>
          </cell>
          <cell r="E260" t="str">
            <v>1603205556090</v>
          </cell>
          <cell r="F260">
            <v>3</v>
          </cell>
          <cell r="G260">
            <v>0</v>
          </cell>
          <cell r="H260">
            <v>3</v>
          </cell>
          <cell r="I260">
            <v>0</v>
          </cell>
          <cell r="J260" t="str">
            <v>Giảng viên khoa
Điện - Điện tử</v>
          </cell>
        </row>
        <row r="261">
          <cell r="B261" t="str">
            <v>Trần Nam Anh</v>
          </cell>
          <cell r="C261" t="str">
            <v>ANH</v>
          </cell>
          <cell r="D261" t="str">
            <v>0016100007188007</v>
          </cell>
          <cell r="E261" t="str">
            <v>1603205556084</v>
          </cell>
          <cell r="F261">
            <v>2.67</v>
          </cell>
          <cell r="G261">
            <v>0</v>
          </cell>
          <cell r="H261">
            <v>2.67</v>
          </cell>
          <cell r="I261">
            <v>0.25</v>
          </cell>
          <cell r="J261" t="str">
            <v>Giảng viên khoa
Điện - Điện tử</v>
          </cell>
        </row>
        <row r="262">
          <cell r="B262" t="str">
            <v>Trần Giang Nam</v>
          </cell>
          <cell r="C262">
            <v>0</v>
          </cell>
          <cell r="D262" t="str">
            <v>0016100012091006</v>
          </cell>
          <cell r="E262">
            <v>1603205590132</v>
          </cell>
          <cell r="F262">
            <v>2.67</v>
          </cell>
          <cell r="G262">
            <v>0</v>
          </cell>
          <cell r="H262">
            <v>2.67</v>
          </cell>
          <cell r="I262">
            <v>0.25</v>
          </cell>
          <cell r="J262" t="str">
            <v>Giảng viên khoa
Điện - Điện tử</v>
          </cell>
        </row>
        <row r="263">
          <cell r="B263" t="str">
            <v>Phan Thanh Hoàng</v>
          </cell>
          <cell r="C263">
            <v>0</v>
          </cell>
          <cell r="D263">
            <v>0</v>
          </cell>
          <cell r="E263">
            <v>0</v>
          </cell>
          <cell r="F263">
            <v>3.99</v>
          </cell>
          <cell r="G263">
            <v>0</v>
          </cell>
          <cell r="H263">
            <v>3.99</v>
          </cell>
          <cell r="I263">
            <v>0</v>
          </cell>
          <cell r="J263" t="str">
            <v>Giảng viên khoa Điện - Điện tử</v>
          </cell>
        </row>
        <row r="264">
          <cell r="B264" t="str">
            <v>Nguyễn Khương Thành</v>
          </cell>
          <cell r="C264">
            <v>0</v>
          </cell>
          <cell r="D264">
            <v>0</v>
          </cell>
          <cell r="E264">
            <v>0</v>
          </cell>
          <cell r="F264">
            <v>2.67</v>
          </cell>
          <cell r="G264">
            <v>0</v>
          </cell>
          <cell r="H264">
            <v>2.67</v>
          </cell>
          <cell r="I264">
            <v>0</v>
          </cell>
          <cell r="J264" t="str">
            <v>Giảng viên khoa Điện - Điện tử</v>
          </cell>
        </row>
        <row r="265">
          <cell r="B265" t="str">
            <v>Huỳnh Duy An</v>
          </cell>
          <cell r="C265">
            <v>0</v>
          </cell>
          <cell r="D265">
            <v>0</v>
          </cell>
          <cell r="E265">
            <v>0</v>
          </cell>
          <cell r="F265">
            <v>2.34</v>
          </cell>
          <cell r="G265">
            <v>0</v>
          </cell>
          <cell r="H265">
            <v>2.34</v>
          </cell>
          <cell r="I265">
            <v>0</v>
          </cell>
          <cell r="J265" t="str">
            <v>Giảng viên khoa Điện - Điện tử</v>
          </cell>
        </row>
        <row r="266">
          <cell r="B266" t="str">
            <v>Nguyễn Anh Tuấn</v>
          </cell>
          <cell r="C266" t="str">
            <v xml:space="preserve">TUẤN </v>
          </cell>
          <cell r="D266" t="str">
            <v>0016100006693002</v>
          </cell>
          <cell r="E266" t="str">
            <v>1603205178736</v>
          </cell>
          <cell r="F266">
            <v>4.32</v>
          </cell>
          <cell r="G266">
            <v>0</v>
          </cell>
          <cell r="H266">
            <v>4.32</v>
          </cell>
          <cell r="I266">
            <v>0.45</v>
          </cell>
          <cell r="J266" t="str">
            <v>Trưởng khoa Động lực</v>
          </cell>
        </row>
        <row r="267">
          <cell r="B267" t="str">
            <v>Võ Đắc Thịnh</v>
          </cell>
          <cell r="C267" t="str">
            <v>THỊNH</v>
          </cell>
          <cell r="D267" t="str">
            <v>0016100006694009</v>
          </cell>
          <cell r="E267" t="str">
            <v>1603205178692</v>
          </cell>
          <cell r="F267">
            <v>4.6500000000000004</v>
          </cell>
          <cell r="G267">
            <v>0</v>
          </cell>
          <cell r="H267">
            <v>4.6500000000000004</v>
          </cell>
          <cell r="I267">
            <v>0.35</v>
          </cell>
          <cell r="J267" t="str">
            <v>Phó Trưởng khoa
 Động lực</v>
          </cell>
        </row>
        <row r="268">
          <cell r="B268" t="str">
            <v>Nguyễn Hữu Mạnh</v>
          </cell>
          <cell r="C268" t="str">
            <v>MẠNH</v>
          </cell>
          <cell r="D268" t="str">
            <v>0016100006632003</v>
          </cell>
          <cell r="E268" t="str">
            <v>1603205178720</v>
          </cell>
          <cell r="F268">
            <v>4.32</v>
          </cell>
          <cell r="G268">
            <v>0</v>
          </cell>
          <cell r="H268">
            <v>4.32</v>
          </cell>
          <cell r="I268">
            <v>0.25</v>
          </cell>
          <cell r="J268" t="str">
            <v>Giảng viên khoa Động lực</v>
          </cell>
        </row>
        <row r="269">
          <cell r="B269" t="str">
            <v>Phan Anh Tuấn Kiệt</v>
          </cell>
          <cell r="C269" t="str">
            <v>KIỆT</v>
          </cell>
          <cell r="D269" t="str">
            <v>0016100006634006</v>
          </cell>
          <cell r="E269" t="str">
            <v>1603205178788</v>
          </cell>
          <cell r="F269">
            <v>3.99</v>
          </cell>
          <cell r="G269">
            <v>0</v>
          </cell>
          <cell r="H269">
            <v>3.99</v>
          </cell>
          <cell r="I269">
            <v>0</v>
          </cell>
          <cell r="J269" t="str">
            <v>Giảng viên - Trưởng BM khoa Động lực</v>
          </cell>
        </row>
        <row r="270">
          <cell r="B270" t="str">
            <v>Triệu Phú Nguyên</v>
          </cell>
          <cell r="C270" t="str">
            <v>NGUYÊN</v>
          </cell>
          <cell r="D270" t="str">
            <v>0016100006740008</v>
          </cell>
          <cell r="E270" t="str">
            <v>1603205235065</v>
          </cell>
          <cell r="F270">
            <v>3.99</v>
          </cell>
          <cell r="G270">
            <v>0</v>
          </cell>
          <cell r="H270">
            <v>3.99</v>
          </cell>
          <cell r="I270">
            <v>0.25</v>
          </cell>
          <cell r="J270" t="str">
            <v>Giảng viên - Trưởng BM khoa Động lực</v>
          </cell>
        </row>
        <row r="271">
          <cell r="B271" t="str">
            <v>Nguyễn Thành Đức</v>
          </cell>
          <cell r="C271" t="str">
            <v>ĐỨC</v>
          </cell>
          <cell r="D271" t="str">
            <v>0016100006743007</v>
          </cell>
          <cell r="E271" t="str">
            <v>1603205235088</v>
          </cell>
          <cell r="F271">
            <v>3.66</v>
          </cell>
          <cell r="G271">
            <v>0</v>
          </cell>
          <cell r="H271">
            <v>3.66</v>
          </cell>
          <cell r="I271">
            <v>0</v>
          </cell>
          <cell r="J271" t="str">
            <v>Giảng viên khoa Động lực</v>
          </cell>
        </row>
        <row r="272">
          <cell r="B272" t="str">
            <v>Nguyễn Minh Thái</v>
          </cell>
          <cell r="C272" t="str">
            <v>THÁI</v>
          </cell>
          <cell r="D272" t="str">
            <v>0016100006742003</v>
          </cell>
          <cell r="E272" t="str">
            <v>1603205246213</v>
          </cell>
          <cell r="F272">
            <v>3.66</v>
          </cell>
          <cell r="G272">
            <v>0</v>
          </cell>
          <cell r="H272">
            <v>3.66</v>
          </cell>
          <cell r="I272">
            <v>0</v>
          </cell>
          <cell r="J272" t="str">
            <v>Giảng viên khoa Động lực</v>
          </cell>
        </row>
        <row r="273">
          <cell r="B273" t="str">
            <v>Đặng Thái Sơn</v>
          </cell>
          <cell r="C273" t="str">
            <v>SƠN</v>
          </cell>
          <cell r="D273" t="str">
            <v>0016100006744006</v>
          </cell>
          <cell r="E273" t="str">
            <v>1603205246338</v>
          </cell>
          <cell r="F273">
            <v>3.99</v>
          </cell>
          <cell r="G273">
            <v>0</v>
          </cell>
          <cell r="H273">
            <v>3.99</v>
          </cell>
          <cell r="I273">
            <v>0</v>
          </cell>
          <cell r="J273" t="str">
            <v>Giảng viên khoa Động lực</v>
          </cell>
        </row>
        <row r="274">
          <cell r="B274" t="str">
            <v>Nguyễn Thái Bình</v>
          </cell>
          <cell r="C274" t="str">
            <v>BÌNH</v>
          </cell>
          <cell r="D274" t="str">
            <v>0016100006695005</v>
          </cell>
          <cell r="E274" t="str">
            <v>1603205250676</v>
          </cell>
          <cell r="F274">
            <v>3.66</v>
          </cell>
          <cell r="G274">
            <v>0</v>
          </cell>
          <cell r="H274">
            <v>3.66</v>
          </cell>
          <cell r="I274">
            <v>0</v>
          </cell>
          <cell r="J274" t="str">
            <v>Giảng viên khoa Động lực</v>
          </cell>
        </row>
        <row r="275">
          <cell r="B275" t="str">
            <v>Kiều Trung Tín</v>
          </cell>
          <cell r="C275" t="str">
            <v>TÍN</v>
          </cell>
          <cell r="D275" t="str">
            <v>'0016100006821008</v>
          </cell>
          <cell r="E275" t="str">
            <v>1603205276141</v>
          </cell>
          <cell r="F275">
            <v>3.66</v>
          </cell>
          <cell r="G275">
            <v>0</v>
          </cell>
          <cell r="H275">
            <v>3.66</v>
          </cell>
          <cell r="I275">
            <v>0</v>
          </cell>
          <cell r="J275" t="str">
            <v>Giảng viên khoa Động lực</v>
          </cell>
        </row>
        <row r="276">
          <cell r="B276" t="str">
            <v>Trần Quốc Duy</v>
          </cell>
          <cell r="C276" t="str">
            <v>DUY</v>
          </cell>
          <cell r="D276" t="str">
            <v>0016100006741007</v>
          </cell>
          <cell r="E276" t="str">
            <v>1603205294780</v>
          </cell>
          <cell r="F276">
            <v>3.66</v>
          </cell>
          <cell r="G276">
            <v>0</v>
          </cell>
          <cell r="H276">
            <v>3.66</v>
          </cell>
          <cell r="I276">
            <v>0</v>
          </cell>
          <cell r="J276" t="str">
            <v>Giảng viên khoa Động lực</v>
          </cell>
        </row>
        <row r="277">
          <cell r="B277" t="str">
            <v>Hồ Văn Hóa</v>
          </cell>
          <cell r="C277" t="str">
            <v>HÓA</v>
          </cell>
          <cell r="D277" t="str">
            <v>0016100006577002</v>
          </cell>
          <cell r="E277" t="str">
            <v>1603205353345</v>
          </cell>
          <cell r="F277">
            <v>3.33</v>
          </cell>
          <cell r="G277">
            <v>0</v>
          </cell>
          <cell r="H277">
            <v>3.33</v>
          </cell>
          <cell r="I277">
            <v>0</v>
          </cell>
          <cell r="J277" t="str">
            <v>Giảng viên khoa Động lực</v>
          </cell>
        </row>
        <row r="278">
          <cell r="B278" t="str">
            <v>Nguyễn Thanh Hùng</v>
          </cell>
          <cell r="C278" t="str">
            <v>HÙNG</v>
          </cell>
          <cell r="D278" t="str">
            <v>0016100006697008</v>
          </cell>
          <cell r="E278" t="str">
            <v>1603205356610</v>
          </cell>
          <cell r="F278">
            <v>3.66</v>
          </cell>
          <cell r="G278">
            <v>0</v>
          </cell>
          <cell r="H278">
            <v>3.66</v>
          </cell>
          <cell r="I278">
            <v>0</v>
          </cell>
          <cell r="J278" t="str">
            <v>Giảng viên khoa Động lực</v>
          </cell>
        </row>
        <row r="279">
          <cell r="B279" t="str">
            <v>Hà Quốc Bảo</v>
          </cell>
          <cell r="C279" t="str">
            <v>BẢO</v>
          </cell>
          <cell r="D279" t="str">
            <v>0016100006696001</v>
          </cell>
          <cell r="E279" t="str">
            <v>1603205398576</v>
          </cell>
          <cell r="F279">
            <v>3.33</v>
          </cell>
          <cell r="G279">
            <v>0</v>
          </cell>
          <cell r="H279">
            <v>3.33</v>
          </cell>
          <cell r="I279">
            <v>0.25</v>
          </cell>
          <cell r="J279" t="str">
            <v>Giảng viên khoa Động lực</v>
          </cell>
        </row>
        <row r="280">
          <cell r="B280" t="str">
            <v>Hoàng Phúc Bảo</v>
          </cell>
          <cell r="C280" t="str">
            <v>BẢO</v>
          </cell>
          <cell r="D280" t="str">
            <v>0016100006559004</v>
          </cell>
          <cell r="E280" t="str">
            <v>1603205398770</v>
          </cell>
          <cell r="F280">
            <v>3.33</v>
          </cell>
          <cell r="G280">
            <v>0</v>
          </cell>
          <cell r="H280">
            <v>3.33</v>
          </cell>
          <cell r="I280">
            <v>0</v>
          </cell>
          <cell r="J280" t="str">
            <v>Giảng viên khoa Động lực</v>
          </cell>
        </row>
        <row r="281">
          <cell r="B281" t="str">
            <v>Nguyễn Lương Tâm</v>
          </cell>
          <cell r="C281">
            <v>0</v>
          </cell>
          <cell r="D281" t="str">
            <v>0016100007699004</v>
          </cell>
          <cell r="E281" t="str">
            <v>1603215005582</v>
          </cell>
          <cell r="F281">
            <v>2.67</v>
          </cell>
          <cell r="G281">
            <v>0</v>
          </cell>
          <cell r="H281">
            <v>2.67</v>
          </cell>
          <cell r="I281">
            <v>0</v>
          </cell>
          <cell r="J281" t="str">
            <v>Giảng viên khoa Động lực</v>
          </cell>
        </row>
        <row r="282">
          <cell r="B282" t="str">
            <v>Trần Thế Sơn</v>
          </cell>
          <cell r="C282">
            <v>0</v>
          </cell>
          <cell r="D282" t="str">
            <v>0016100007776009</v>
          </cell>
          <cell r="E282" t="str">
            <v>1603215005576</v>
          </cell>
          <cell r="F282">
            <v>2.67</v>
          </cell>
          <cell r="G282">
            <v>0</v>
          </cell>
          <cell r="H282">
            <v>2.67</v>
          </cell>
          <cell r="I282">
            <v>0</v>
          </cell>
          <cell r="J282" t="str">
            <v>Giảng viên khoa Động lực</v>
          </cell>
        </row>
        <row r="283">
          <cell r="B283" t="str">
            <v>Trần Văn Đông</v>
          </cell>
          <cell r="C283">
            <v>0</v>
          </cell>
          <cell r="D283" t="str">
            <v>0016100012092002</v>
          </cell>
          <cell r="E283" t="str">
            <v>1603205590155</v>
          </cell>
          <cell r="F283">
            <v>3</v>
          </cell>
          <cell r="G283">
            <v>0</v>
          </cell>
          <cell r="H283">
            <v>3</v>
          </cell>
          <cell r="I283">
            <v>0</v>
          </cell>
          <cell r="J283" t="str">
            <v>Giảng viên khoa Động lực</v>
          </cell>
        </row>
        <row r="284">
          <cell r="B284" t="str">
            <v>Lý Văn Trung</v>
          </cell>
          <cell r="C284">
            <v>0</v>
          </cell>
          <cell r="D284" t="str">
            <v>0016100018936008</v>
          </cell>
          <cell r="E284" t="str">
            <v>1603205626197</v>
          </cell>
          <cell r="F284">
            <v>3.66</v>
          </cell>
          <cell r="G284">
            <v>0</v>
          </cell>
          <cell r="H284">
            <v>3.66</v>
          </cell>
          <cell r="I284">
            <v>0</v>
          </cell>
          <cell r="J284" t="str">
            <v>Giảng viên khoa Động lực</v>
          </cell>
        </row>
        <row r="285">
          <cell r="B285" t="str">
            <v>Nguyễn Hoàng Vinh</v>
          </cell>
          <cell r="C285">
            <v>0</v>
          </cell>
          <cell r="D285" t="str">
            <v>0016100019259007</v>
          </cell>
          <cell r="E285" t="str">
            <v>1603205634948</v>
          </cell>
          <cell r="F285">
            <v>2.34</v>
          </cell>
          <cell r="G285">
            <v>0</v>
          </cell>
          <cell r="H285">
            <v>2.34</v>
          </cell>
          <cell r="I285">
            <v>0</v>
          </cell>
          <cell r="J285" t="str">
            <v>Giảng viên khoa Động lực</v>
          </cell>
        </row>
        <row r="286">
          <cell r="B286" t="str">
            <v>Đỗ Hoàng Duy</v>
          </cell>
          <cell r="C286">
            <v>0</v>
          </cell>
          <cell r="D286" t="str">
            <v>0016100019260008</v>
          </cell>
          <cell r="E286" t="str">
            <v>1603205634960</v>
          </cell>
          <cell r="F286">
            <v>2.34</v>
          </cell>
          <cell r="G286">
            <v>0</v>
          </cell>
          <cell r="H286">
            <v>2.34</v>
          </cell>
          <cell r="I286">
            <v>0</v>
          </cell>
          <cell r="J286" t="str">
            <v>Giảng viên khoa Động lực</v>
          </cell>
        </row>
        <row r="287">
          <cell r="B287" t="str">
            <v>Bùi Trọng Tân</v>
          </cell>
          <cell r="C287">
            <v>0</v>
          </cell>
          <cell r="D287" t="str">
            <v>0021100007409006</v>
          </cell>
          <cell r="E287" t="str">
            <v>1603205668349</v>
          </cell>
          <cell r="F287">
            <v>2.34</v>
          </cell>
          <cell r="G287">
            <v>0</v>
          </cell>
          <cell r="H287">
            <v>2.34</v>
          </cell>
          <cell r="I287">
            <v>0</v>
          </cell>
          <cell r="J287" t="str">
            <v>Giảng viên khoa Động lực</v>
          </cell>
        </row>
        <row r="288">
          <cell r="B288" t="str">
            <v>Võ Quốc Duy</v>
          </cell>
          <cell r="C288">
            <v>0</v>
          </cell>
          <cell r="D288" t="str">
            <v>0023100018335001</v>
          </cell>
          <cell r="E288">
            <v>0</v>
          </cell>
          <cell r="F288">
            <v>2.34</v>
          </cell>
          <cell r="G288">
            <v>0</v>
          </cell>
          <cell r="H288">
            <v>2.34</v>
          </cell>
          <cell r="I288">
            <v>0</v>
          </cell>
          <cell r="J288" t="str">
            <v>Giảng viên khoa Động lực</v>
          </cell>
        </row>
        <row r="289">
          <cell r="B289" t="str">
            <v>Giang Văn Tiến</v>
          </cell>
          <cell r="C289">
            <v>0</v>
          </cell>
          <cell r="D289" t="str">
            <v>0016100029651005</v>
          </cell>
          <cell r="E289" t="str">
            <v>1603205670783</v>
          </cell>
          <cell r="F289">
            <v>3.33</v>
          </cell>
          <cell r="G289">
            <v>0</v>
          </cell>
          <cell r="H289">
            <v>3.33</v>
          </cell>
          <cell r="I289">
            <v>0</v>
          </cell>
          <cell r="J289" t="str">
            <v>Giảng viên khoa Động lực</v>
          </cell>
        </row>
        <row r="290">
          <cell r="B290" t="str">
            <v>Nguyễn Hữu Lương</v>
          </cell>
          <cell r="C290">
            <v>0</v>
          </cell>
          <cell r="D290">
            <v>0</v>
          </cell>
          <cell r="E290">
            <v>0</v>
          </cell>
          <cell r="F290">
            <v>3.33</v>
          </cell>
          <cell r="G290">
            <v>0</v>
          </cell>
          <cell r="H290">
            <v>3.33</v>
          </cell>
          <cell r="I290">
            <v>0</v>
          </cell>
          <cell r="J290" t="str">
            <v>Giảng viên khoa Động lực</v>
          </cell>
        </row>
        <row r="291">
          <cell r="B291" t="str">
            <v>Huỳnh Đình Văn</v>
          </cell>
          <cell r="C291">
            <v>0</v>
          </cell>
          <cell r="D291">
            <v>0</v>
          </cell>
          <cell r="E291">
            <v>0</v>
          </cell>
          <cell r="F291">
            <v>1.9890000000000001</v>
          </cell>
          <cell r="G291">
            <v>0</v>
          </cell>
          <cell r="H291">
            <v>1.9890000000000001</v>
          </cell>
          <cell r="I291">
            <v>0</v>
          </cell>
          <cell r="J291" t="str">
            <v>Giảng viên khoa Động lực</v>
          </cell>
        </row>
        <row r="292">
          <cell r="B292" t="str">
            <v>Đinh Đồng Hiệp</v>
          </cell>
          <cell r="C292" t="str">
            <v>HIỆP</v>
          </cell>
          <cell r="D292" t="str">
            <v>0016100006587008</v>
          </cell>
          <cell r="E292" t="str">
            <v>1603205398734</v>
          </cell>
          <cell r="F292">
            <v>3.66</v>
          </cell>
          <cell r="G292">
            <v>0</v>
          </cell>
          <cell r="H292">
            <v>3.66</v>
          </cell>
          <cell r="I292">
            <v>0.45</v>
          </cell>
          <cell r="J292" t="str">
            <v>Phó TK, Phụ trách khoa Nhiệt - Lạnh</v>
          </cell>
        </row>
        <row r="293">
          <cell r="B293" t="str">
            <v>Đặng Thế Huân</v>
          </cell>
          <cell r="C293" t="str">
            <v>HUÂN</v>
          </cell>
          <cell r="D293" t="str">
            <v>0016100006532009</v>
          </cell>
          <cell r="E293" t="str">
            <v>1603205182690</v>
          </cell>
          <cell r="F293">
            <v>4.6500000000000004</v>
          </cell>
          <cell r="G293">
            <v>0</v>
          </cell>
          <cell r="H293">
            <v>4.6500000000000004</v>
          </cell>
          <cell r="I293">
            <v>0.25</v>
          </cell>
          <cell r="J293" t="str">
            <v>Giảng viên khoa Nhiệt - Lạnh</v>
          </cell>
        </row>
        <row r="294">
          <cell r="B294" t="str">
            <v>Võ Anh Hào</v>
          </cell>
          <cell r="C294" t="str">
            <v>HÀO</v>
          </cell>
          <cell r="D294" t="str">
            <v>0016100006812001</v>
          </cell>
          <cell r="E294" t="str">
            <v>1603205182660</v>
          </cell>
          <cell r="F294">
            <v>4.6500000000000004</v>
          </cell>
          <cell r="G294">
            <v>0</v>
          </cell>
          <cell r="H294">
            <v>4.6500000000000004</v>
          </cell>
          <cell r="I294">
            <v>0.25</v>
          </cell>
          <cell r="J294" t="str">
            <v>Giảng viên khoa Nhiệt - Lạnh</v>
          </cell>
        </row>
        <row r="295">
          <cell r="B295" t="str">
            <v>Phan Văn Hòa</v>
          </cell>
          <cell r="C295" t="str">
            <v>HÒA</v>
          </cell>
          <cell r="D295" t="str">
            <v>0016100006534001</v>
          </cell>
          <cell r="E295" t="str">
            <v>1603205246271</v>
          </cell>
          <cell r="F295">
            <v>3.66</v>
          </cell>
          <cell r="G295">
            <v>0</v>
          </cell>
          <cell r="H295">
            <v>3.66</v>
          </cell>
          <cell r="I295">
            <v>0</v>
          </cell>
          <cell r="J295" t="str">
            <v>Giảng viên khoa Nhiệt - Lạnh</v>
          </cell>
        </row>
        <row r="296">
          <cell r="B296" t="str">
            <v>Trần Đình Khoa</v>
          </cell>
          <cell r="C296" t="str">
            <v>KHOA</v>
          </cell>
          <cell r="D296" t="str">
            <v>0016100006557001</v>
          </cell>
          <cell r="E296" t="str">
            <v>1603205307716</v>
          </cell>
          <cell r="F296">
            <v>3.66</v>
          </cell>
          <cell r="G296">
            <v>0</v>
          </cell>
          <cell r="H296">
            <v>3.66</v>
          </cell>
          <cell r="I296">
            <v>0</v>
          </cell>
          <cell r="J296" t="str">
            <v>Giảng viên khoa Nhiệt - Lạnh</v>
          </cell>
        </row>
        <row r="297">
          <cell r="B297" t="str">
            <v>Đỗ Trọng Quý</v>
          </cell>
          <cell r="C297" t="str">
            <v>QUÝ</v>
          </cell>
          <cell r="D297" t="str">
            <v>0016100006556005</v>
          </cell>
          <cell r="E297" t="str">
            <v>1603205231796</v>
          </cell>
          <cell r="F297">
            <v>4.32</v>
          </cell>
          <cell r="G297">
            <v>0</v>
          </cell>
          <cell r="H297">
            <v>4.32</v>
          </cell>
          <cell r="I297">
            <v>0</v>
          </cell>
          <cell r="J297" t="str">
            <v>Giảng viên khoa Nhiệt - Lạnh</v>
          </cell>
        </row>
        <row r="298">
          <cell r="B298" t="str">
            <v>Nguyễn Thanh Dũng</v>
          </cell>
          <cell r="C298">
            <v>0</v>
          </cell>
          <cell r="D298" t="str">
            <v>0004100006031004</v>
          </cell>
          <cell r="E298" t="str">
            <v>1603205668355</v>
          </cell>
          <cell r="F298">
            <v>3.33</v>
          </cell>
          <cell r="G298">
            <v>0</v>
          </cell>
          <cell r="H298">
            <v>3.33</v>
          </cell>
          <cell r="I298">
            <v>0</v>
          </cell>
          <cell r="J298" t="str">
            <v>Giảng viên khoa Nhiệt - Lạnh</v>
          </cell>
        </row>
        <row r="299">
          <cell r="B299" t="str">
            <v>Nguyễn Vũ Xuân Thì</v>
          </cell>
          <cell r="C299" t="str">
            <v>THÌ</v>
          </cell>
          <cell r="D299" t="str">
            <v>0016100006586001</v>
          </cell>
          <cell r="E299">
            <v>1603205246186</v>
          </cell>
          <cell r="F299">
            <v>4.9800000000000004</v>
          </cell>
          <cell r="G299">
            <v>0</v>
          </cell>
          <cell r="H299">
            <v>4.9800000000000004</v>
          </cell>
          <cell r="I299">
            <v>0</v>
          </cell>
          <cell r="J299" t="str">
            <v>Giảng viên khoa Nhiệt - Lạnh</v>
          </cell>
        </row>
        <row r="300">
          <cell r="B300" t="str">
            <v>Hoàng Văn Viết</v>
          </cell>
          <cell r="C300">
            <v>0</v>
          </cell>
          <cell r="D300" t="str">
            <v>0016100006558008</v>
          </cell>
          <cell r="E300">
            <v>1603215002692</v>
          </cell>
          <cell r="F300">
            <v>3.33</v>
          </cell>
          <cell r="G300">
            <v>0</v>
          </cell>
          <cell r="H300">
            <v>3.33</v>
          </cell>
          <cell r="I300">
            <v>0.35</v>
          </cell>
          <cell r="J300" t="str">
            <v>Phó Trưởng khoa Nhiệt - Lạnh</v>
          </cell>
        </row>
        <row r="301">
          <cell r="B301" t="str">
            <v>CỘNG BIÊN CHẾ</v>
          </cell>
          <cell r="C301">
            <v>0</v>
          </cell>
          <cell r="D301">
            <v>0</v>
          </cell>
          <cell r="E301">
            <v>0</v>
          </cell>
          <cell r="F301">
            <v>0</v>
          </cell>
          <cell r="G301">
            <v>0</v>
          </cell>
          <cell r="H301">
            <v>0</v>
          </cell>
          <cell r="I301">
            <v>0</v>
          </cell>
          <cell r="J301">
            <v>0</v>
          </cell>
        </row>
        <row r="302">
          <cell r="B302" t="str">
            <v>HỢP ĐỒNG NĐ 111</v>
          </cell>
          <cell r="C302">
            <v>0</v>
          </cell>
          <cell r="D302">
            <v>0</v>
          </cell>
          <cell r="E302">
            <v>0</v>
          </cell>
          <cell r="F302">
            <v>0</v>
          </cell>
          <cell r="G302">
            <v>0</v>
          </cell>
          <cell r="H302">
            <v>0</v>
          </cell>
          <cell r="I302">
            <v>0</v>
          </cell>
          <cell r="J302">
            <v>0</v>
          </cell>
        </row>
        <row r="303">
          <cell r="B303" t="str">
            <v>Đồng Anh Tuấn</v>
          </cell>
          <cell r="C303" t="str">
            <v>TUẤN</v>
          </cell>
          <cell r="D303" t="str">
            <v>0016100006671009</v>
          </cell>
          <cell r="E303">
            <v>1603205359393</v>
          </cell>
          <cell r="F303">
            <v>0</v>
          </cell>
          <cell r="G303">
            <v>0</v>
          </cell>
          <cell r="H303" t="str">
            <v>D.03</v>
          </cell>
          <cell r="I303">
            <v>6914491</v>
          </cell>
          <cell r="J303" t="str">
            <v xml:space="preserve">NV Bảo vệ </v>
          </cell>
        </row>
        <row r="304">
          <cell r="B304" t="str">
            <v>Lê Hồng Sơn</v>
          </cell>
          <cell r="C304" t="str">
            <v>SƠN</v>
          </cell>
          <cell r="D304" t="str">
            <v>0016100006665009</v>
          </cell>
          <cell r="E304" t="str">
            <v>1603215003903</v>
          </cell>
          <cell r="F304">
            <v>0</v>
          </cell>
          <cell r="G304">
            <v>0</v>
          </cell>
          <cell r="H304" t="str">
            <v>D.03</v>
          </cell>
          <cell r="I304">
            <v>5417685</v>
          </cell>
          <cell r="J304" t="str">
            <v>NV Bảo vệ</v>
          </cell>
        </row>
        <row r="305">
          <cell r="B305" t="str">
            <v>Nguyễn Thanh Hiền</v>
          </cell>
          <cell r="C305">
            <v>0</v>
          </cell>
          <cell r="D305">
            <v>0</v>
          </cell>
          <cell r="E305" t="str">
            <v>1603205250624</v>
          </cell>
          <cell r="F305">
            <v>0</v>
          </cell>
          <cell r="G305">
            <v>0</v>
          </cell>
          <cell r="H305" t="str">
            <v>D.03</v>
          </cell>
          <cell r="I305">
            <v>5159700</v>
          </cell>
          <cell r="J305" t="str">
            <v>NV Bảo vệ</v>
          </cell>
        </row>
        <row r="306">
          <cell r="B306" t="str">
            <v>Trần Thanh Phương</v>
          </cell>
          <cell r="C306">
            <v>0</v>
          </cell>
          <cell r="D306">
            <v>0</v>
          </cell>
          <cell r="E306">
            <v>1603215005626</v>
          </cell>
          <cell r="F306">
            <v>0</v>
          </cell>
          <cell r="G306">
            <v>0</v>
          </cell>
          <cell r="H306" t="str">
            <v>D.02</v>
          </cell>
          <cell r="I306">
            <v>5007600</v>
          </cell>
          <cell r="J306" t="str">
            <v>NV Bảo vệ</v>
          </cell>
        </row>
        <row r="307">
          <cell r="B307" t="str">
            <v>Lê Hồng Phúc</v>
          </cell>
          <cell r="C307">
            <v>0</v>
          </cell>
          <cell r="D307" t="str">
            <v>0016100006668008</v>
          </cell>
          <cell r="E307">
            <v>1603205287913</v>
          </cell>
          <cell r="F307">
            <v>0</v>
          </cell>
          <cell r="G307">
            <v>0</v>
          </cell>
          <cell r="H307" t="str">
            <v>D.03</v>
          </cell>
          <cell r="I307">
            <v>7206216</v>
          </cell>
          <cell r="J307" t="str">
            <v xml:space="preserve">NV Bảo vệ </v>
          </cell>
        </row>
        <row r="308">
          <cell r="B308" t="str">
            <v>Phạm Hữu Tấn</v>
          </cell>
          <cell r="C308">
            <v>0</v>
          </cell>
          <cell r="D308">
            <v>0</v>
          </cell>
          <cell r="E308">
            <v>1603205447217</v>
          </cell>
          <cell r="F308">
            <v>0</v>
          </cell>
          <cell r="G308">
            <v>0</v>
          </cell>
          <cell r="H308" t="str">
            <v>D.01</v>
          </cell>
          <cell r="I308">
            <v>6134525</v>
          </cell>
          <cell r="J308" t="str">
            <v>Nhân viên bảo vệ</v>
          </cell>
        </row>
        <row r="309">
          <cell r="B309" t="str">
            <v>Nguyễn Hữu Xuân Vũ</v>
          </cell>
          <cell r="C309">
            <v>0</v>
          </cell>
          <cell r="D309" t="str">
            <v>0016100006650001</v>
          </cell>
          <cell r="E309" t="str">
            <v>1603205261932</v>
          </cell>
          <cell r="F309">
            <v>0</v>
          </cell>
          <cell r="G309">
            <v>0</v>
          </cell>
          <cell r="H309" t="str">
            <v>D.03</v>
          </cell>
          <cell r="I309">
            <v>7623227</v>
          </cell>
          <cell r="J309" t="str">
            <v xml:space="preserve">NV Bảo vệ </v>
          </cell>
        </row>
        <row r="310">
          <cell r="B310" t="str">
            <v>Phạm Hữu Thành Phú</v>
          </cell>
          <cell r="C310">
            <v>0</v>
          </cell>
          <cell r="D310" t="str">
            <v>0016100006651008</v>
          </cell>
          <cell r="E310" t="str">
            <v>1603215002611</v>
          </cell>
          <cell r="F310">
            <v>0</v>
          </cell>
          <cell r="G310">
            <v>0</v>
          </cell>
          <cell r="H310" t="str">
            <v>D.03</v>
          </cell>
          <cell r="I310">
            <v>5972998</v>
          </cell>
          <cell r="J310" t="str">
            <v>NV Bảo vệ</v>
          </cell>
        </row>
        <row r="311">
          <cell r="B311" t="str">
            <v>Huỳnh Thanh Nhàn</v>
          </cell>
          <cell r="C311">
            <v>0</v>
          </cell>
          <cell r="D311" t="str">
            <v>0016100006666005</v>
          </cell>
          <cell r="E311" t="str">
            <v>1603215002640</v>
          </cell>
          <cell r="F311">
            <v>0</v>
          </cell>
          <cell r="G311">
            <v>0</v>
          </cell>
          <cell r="H311" t="str">
            <v>D.03</v>
          </cell>
          <cell r="I311">
            <v>5972998</v>
          </cell>
          <cell r="J311" t="str">
            <v>NV Bảo vệ</v>
          </cell>
        </row>
        <row r="312">
          <cell r="B312" t="str">
            <v>Phạm Quang Tùng</v>
          </cell>
          <cell r="C312">
            <v>0</v>
          </cell>
          <cell r="D312">
            <v>0</v>
          </cell>
          <cell r="E312">
            <v>0</v>
          </cell>
          <cell r="F312">
            <v>0</v>
          </cell>
          <cell r="G312">
            <v>0</v>
          </cell>
          <cell r="H312" t="str">
            <v>D.01</v>
          </cell>
          <cell r="I312">
            <v>5733201</v>
          </cell>
          <cell r="J312" t="str">
            <v>NV Bảo vệ</v>
          </cell>
        </row>
        <row r="313">
          <cell r="B313" t="str">
            <v>Trần Thanh Cường</v>
          </cell>
          <cell r="C313">
            <v>0</v>
          </cell>
          <cell r="D313">
            <v>0</v>
          </cell>
          <cell r="E313">
            <v>0</v>
          </cell>
          <cell r="F313">
            <v>0</v>
          </cell>
          <cell r="G313">
            <v>0</v>
          </cell>
          <cell r="H313" t="str">
            <v>D.03</v>
          </cell>
          <cell r="I313">
            <v>4680000</v>
          </cell>
          <cell r="J313" t="str">
            <v>NV Bảo vệ</v>
          </cell>
        </row>
        <row r="314">
          <cell r="B314" t="str">
            <v>Dương Văn Tâm</v>
          </cell>
          <cell r="C314">
            <v>0</v>
          </cell>
          <cell r="D314">
            <v>0</v>
          </cell>
          <cell r="E314">
            <v>1603205639357</v>
          </cell>
          <cell r="F314">
            <v>0</v>
          </cell>
          <cell r="G314">
            <v>0</v>
          </cell>
          <cell r="H314" t="str">
            <v>D.02</v>
          </cell>
          <cell r="I314">
            <v>5257980</v>
          </cell>
          <cell r="J314" t="str">
            <v>NV Lái xe</v>
          </cell>
        </row>
        <row r="315">
          <cell r="B315" t="str">
            <v>Huỳnh Ngọc Liên</v>
          </cell>
          <cell r="C315">
            <v>0</v>
          </cell>
          <cell r="D315">
            <v>0</v>
          </cell>
          <cell r="E315">
            <v>1603205641829</v>
          </cell>
          <cell r="F315">
            <v>0</v>
          </cell>
          <cell r="G315">
            <v>0</v>
          </cell>
          <cell r="H315" t="str">
            <v>D.03</v>
          </cell>
          <cell r="I315">
            <v>5159700</v>
          </cell>
          <cell r="J315" t="str">
            <v>NV Phuc vụ Phòng TC - HC - TH</v>
          </cell>
        </row>
        <row r="316">
          <cell r="B316" t="str">
            <v>Trần Việt Anh</v>
          </cell>
          <cell r="C316">
            <v>0</v>
          </cell>
          <cell r="D316">
            <v>0</v>
          </cell>
          <cell r="E316">
            <v>0</v>
          </cell>
          <cell r="F316">
            <v>0</v>
          </cell>
          <cell r="G316">
            <v>0</v>
          </cell>
          <cell r="H316" t="str">
            <v>D.01</v>
          </cell>
          <cell r="I316">
            <v>5358132</v>
          </cell>
          <cell r="J316" t="str">
            <v>Nhân viên phòng Thanh tra GD - Công tác SV</v>
          </cell>
        </row>
        <row r="317">
          <cell r="B317" t="str">
            <v>Trần Văn Cu Anh</v>
          </cell>
          <cell r="C317">
            <v>0</v>
          </cell>
          <cell r="D317" t="str">
            <v>0016100006649003</v>
          </cell>
          <cell r="E317" t="str">
            <v>1603205185970</v>
          </cell>
          <cell r="F317">
            <v>0</v>
          </cell>
          <cell r="G317">
            <v>0</v>
          </cell>
          <cell r="H317" t="str">
            <v>D.02</v>
          </cell>
          <cell r="I317">
            <v>8992930</v>
          </cell>
          <cell r="J317" t="str">
            <v>NV Phòng Tổ chức - Hành chính - Tổng hợp</v>
          </cell>
        </row>
        <row r="318">
          <cell r="B318" t="str">
            <v>Vũ Anh Hiếu</v>
          </cell>
          <cell r="C318">
            <v>0</v>
          </cell>
          <cell r="D318">
            <v>0</v>
          </cell>
          <cell r="E318">
            <v>0</v>
          </cell>
          <cell r="F318">
            <v>0</v>
          </cell>
          <cell r="G318">
            <v>0</v>
          </cell>
          <cell r="H318" t="str">
            <v>D.03</v>
          </cell>
          <cell r="I318">
            <v>4680000</v>
          </cell>
          <cell r="J318" t="str">
            <v>Nhân viên bảo vệ</v>
          </cell>
        </row>
        <row r="319">
          <cell r="B319" t="str">
            <v>Huỳnh Thị Xuân Mai</v>
          </cell>
          <cell r="C319">
            <v>0</v>
          </cell>
          <cell r="D319" t="str">
            <v>0016100006575007</v>
          </cell>
          <cell r="E319" t="str">
            <v>1603205178850</v>
          </cell>
          <cell r="F319">
            <v>0</v>
          </cell>
          <cell r="G319">
            <v>0</v>
          </cell>
          <cell r="H319" t="str">
            <v>D.01</v>
          </cell>
          <cell r="I319">
            <v>7515057</v>
          </cell>
          <cell r="J319" t="str">
            <v>NV Phòng Tổ chức - Hành chính - Tổng hợp</v>
          </cell>
        </row>
        <row r="320">
          <cell r="B320" t="str">
            <v>Dương Thị Thủy</v>
          </cell>
          <cell r="C320" t="str">
            <v>THỦY</v>
          </cell>
          <cell r="D320" t="str">
            <v>0016100006598007</v>
          </cell>
          <cell r="E320" t="str">
            <v>1603205360623</v>
          </cell>
          <cell r="F320">
            <v>0</v>
          </cell>
          <cell r="G320">
            <v>0</v>
          </cell>
          <cell r="H320" t="str">
            <v>D.01</v>
          </cell>
          <cell r="I320">
            <v>7023418</v>
          </cell>
          <cell r="J320" t="str">
            <v>NV P. QT 
Dịch vụ</v>
          </cell>
        </row>
        <row r="321">
          <cell r="B321" t="str">
            <v>Tạ Quốc Tấn</v>
          </cell>
          <cell r="C321" t="str">
            <v>TẤN</v>
          </cell>
          <cell r="D321" t="str">
            <v>0016100006499001</v>
          </cell>
          <cell r="E321">
            <v>1603205186060</v>
          </cell>
          <cell r="F321">
            <v>0</v>
          </cell>
          <cell r="G321">
            <v>0</v>
          </cell>
          <cell r="H321" t="str">
            <v>D.02</v>
          </cell>
          <cell r="I321">
            <v>6391108</v>
          </cell>
          <cell r="J321" t="str">
            <v>NV Phòng Quản trị - Dịch vụ</v>
          </cell>
        </row>
        <row r="322">
          <cell r="B322" t="str">
            <v>Nguyễn Xuân Lợi</v>
          </cell>
          <cell r="C322" t="str">
            <v>LỢI</v>
          </cell>
          <cell r="D322" t="str">
            <v>0016100006600004</v>
          </cell>
          <cell r="E322">
            <v>1603205327532</v>
          </cell>
          <cell r="F322">
            <v>0</v>
          </cell>
          <cell r="G322">
            <v>0</v>
          </cell>
          <cell r="H322" t="str">
            <v>D.01</v>
          </cell>
          <cell r="I322">
            <v>8041111</v>
          </cell>
          <cell r="J322" t="str">
            <v>NV bảo trì</v>
          </cell>
        </row>
        <row r="323">
          <cell r="B323" t="str">
            <v>Huỳnh Bá Triết</v>
          </cell>
          <cell r="C323" t="str">
            <v>TRIẾT</v>
          </cell>
          <cell r="D323" t="str">
            <v>0016100006494007</v>
          </cell>
          <cell r="E323" t="str">
            <v>1603215002788</v>
          </cell>
          <cell r="F323">
            <v>0</v>
          </cell>
          <cell r="G323">
            <v>0</v>
          </cell>
          <cell r="H323" t="str">
            <v>D.02</v>
          </cell>
          <cell r="I323">
            <v>5520879</v>
          </cell>
          <cell r="J323" t="str">
            <v>NV P. QT 
Dịch vụ</v>
          </cell>
        </row>
        <row r="324">
          <cell r="B324" t="str">
            <v>Giáp Đức Nhận</v>
          </cell>
          <cell r="C324" t="str">
            <v>NHẬN</v>
          </cell>
          <cell r="D324" t="str">
            <v>0016100006675004</v>
          </cell>
          <cell r="E324" t="str">
            <v>1603205186077</v>
          </cell>
          <cell r="F324">
            <v>0</v>
          </cell>
          <cell r="G324">
            <v>0</v>
          </cell>
          <cell r="H324" t="str">
            <v>D.02</v>
          </cell>
          <cell r="I324">
            <v>6086769</v>
          </cell>
          <cell r="J324" t="str">
            <v>NV P. QT 
Dịch vụ</v>
          </cell>
        </row>
        <row r="325">
          <cell r="B325" t="str">
            <v>Trần Thị Thu</v>
          </cell>
          <cell r="C325">
            <v>0</v>
          </cell>
          <cell r="D325" t="str">
            <v>0016100006677007</v>
          </cell>
          <cell r="E325">
            <v>1603205185856</v>
          </cell>
          <cell r="F325">
            <v>0</v>
          </cell>
          <cell r="G325">
            <v>0</v>
          </cell>
          <cell r="H325" t="str">
            <v>D.03</v>
          </cell>
          <cell r="I325">
            <v>8004388</v>
          </cell>
          <cell r="J325" t="str">
            <v>NV Phục vụ</v>
          </cell>
        </row>
        <row r="326">
          <cell r="B326" t="str">
            <v>Đỗ Thị Bích Thủy</v>
          </cell>
          <cell r="C326">
            <v>0</v>
          </cell>
          <cell r="D326" t="str">
            <v>0016100006680008</v>
          </cell>
          <cell r="E326" t="str">
            <v>1603205465934</v>
          </cell>
          <cell r="F326">
            <v>0</v>
          </cell>
          <cell r="G326">
            <v>0</v>
          </cell>
          <cell r="H326" t="str">
            <v>D.03</v>
          </cell>
          <cell r="I326">
            <v>4914000</v>
          </cell>
          <cell r="J326" t="str">
            <v>NV Phục vụ</v>
          </cell>
        </row>
        <row r="327">
          <cell r="B327" t="str">
            <v>Trần Kim Tươi</v>
          </cell>
          <cell r="C327">
            <v>0</v>
          </cell>
          <cell r="D327">
            <v>0</v>
          </cell>
          <cell r="E327" t="str">
            <v>1603205639340</v>
          </cell>
          <cell r="F327">
            <v>0</v>
          </cell>
          <cell r="G327">
            <v>0</v>
          </cell>
          <cell r="H327" t="str">
            <v>D.03</v>
          </cell>
          <cell r="I327">
            <v>4914000</v>
          </cell>
          <cell r="J327" t="str">
            <v>NV Phục vụ</v>
          </cell>
        </row>
        <row r="328">
          <cell r="B328" t="str">
            <v>Trương Thị Định</v>
          </cell>
          <cell r="C328">
            <v>0</v>
          </cell>
          <cell r="D328">
            <v>0</v>
          </cell>
          <cell r="E328" t="str">
            <v>1603205648834</v>
          </cell>
          <cell r="F328">
            <v>0</v>
          </cell>
          <cell r="G328">
            <v>0</v>
          </cell>
          <cell r="H328" t="str">
            <v>D.03</v>
          </cell>
          <cell r="I328">
            <v>4914000</v>
          </cell>
          <cell r="J328" t="str">
            <v>NV Phục vụ</v>
          </cell>
        </row>
        <row r="329">
          <cell r="B329" t="str">
            <v>Trương Thị Bắc</v>
          </cell>
          <cell r="C329">
            <v>0</v>
          </cell>
          <cell r="D329">
            <v>0</v>
          </cell>
          <cell r="E329" t="str">
            <v>1603205648828</v>
          </cell>
          <cell r="F329">
            <v>0</v>
          </cell>
          <cell r="G329">
            <v>0</v>
          </cell>
          <cell r="H329" t="str">
            <v>D.03</v>
          </cell>
          <cell r="I329">
            <v>4914000</v>
          </cell>
          <cell r="J329" t="str">
            <v>NV Phục vụ</v>
          </cell>
        </row>
        <row r="330">
          <cell r="B330" t="str">
            <v>Võ Tấn Đức</v>
          </cell>
          <cell r="C330">
            <v>0</v>
          </cell>
          <cell r="D330">
            <v>0</v>
          </cell>
          <cell r="E330">
            <v>0</v>
          </cell>
          <cell r="F330">
            <v>0</v>
          </cell>
          <cell r="G330">
            <v>0</v>
          </cell>
          <cell r="H330" t="str">
            <v>D.03</v>
          </cell>
          <cell r="I330">
            <v>4914000</v>
          </cell>
          <cell r="J330" t="str">
            <v>Nhân viên phòng Quản trị - Dịch vụ</v>
          </cell>
        </row>
        <row r="331">
          <cell r="B331" t="str">
            <v>Ngô Ngọc Của</v>
          </cell>
          <cell r="C331">
            <v>0</v>
          </cell>
          <cell r="D331">
            <v>0</v>
          </cell>
          <cell r="E331">
            <v>0</v>
          </cell>
          <cell r="F331">
            <v>0</v>
          </cell>
          <cell r="G331">
            <v>0</v>
          </cell>
          <cell r="H331" t="str">
            <v>D.03</v>
          </cell>
          <cell r="I331">
            <v>4914000</v>
          </cell>
          <cell r="J331" t="str">
            <v>Nhân viên phòng Quản trị - Dịch vụ</v>
          </cell>
        </row>
        <row r="332">
          <cell r="B332" t="str">
            <v>Nguyễn Văn Hiển</v>
          </cell>
          <cell r="C332">
            <v>0</v>
          </cell>
          <cell r="D332">
            <v>0</v>
          </cell>
          <cell r="E332">
            <v>0</v>
          </cell>
          <cell r="F332">
            <v>0</v>
          </cell>
          <cell r="G332">
            <v>0</v>
          </cell>
          <cell r="H332" t="str">
            <v>D.03</v>
          </cell>
          <cell r="I332">
            <v>4680000</v>
          </cell>
          <cell r="J332" t="str">
            <v>Nhân viên phòng Quản trị - Dịch vụ</v>
          </cell>
        </row>
        <row r="333">
          <cell r="B333" t="str">
            <v>Lê Thị Huyền</v>
          </cell>
          <cell r="C333" t="str">
            <v>HUYỀN</v>
          </cell>
          <cell r="D333" t="str">
            <v>0016100006566008</v>
          </cell>
          <cell r="E333">
            <v>1603205194204</v>
          </cell>
          <cell r="F333">
            <v>0</v>
          </cell>
          <cell r="G333">
            <v>0</v>
          </cell>
          <cell r="H333" t="str">
            <v>D.02</v>
          </cell>
          <cell r="I333">
            <v>6710663</v>
          </cell>
          <cell r="J333" t="str">
            <v>Nhân viên Y tế</v>
          </cell>
        </row>
        <row r="334">
          <cell r="B334" t="str">
            <v>Phạm Thị Hoàng Diễm</v>
          </cell>
          <cell r="C334">
            <v>0</v>
          </cell>
          <cell r="D334">
            <v>0</v>
          </cell>
          <cell r="E334">
            <v>0</v>
          </cell>
          <cell r="F334">
            <v>0</v>
          </cell>
          <cell r="G334">
            <v>0</v>
          </cell>
          <cell r="H334" t="str">
            <v>D.03</v>
          </cell>
          <cell r="I334">
            <v>4680000</v>
          </cell>
          <cell r="J334" t="str">
            <v>Nhân viên Ký túc xá</v>
          </cell>
        </row>
        <row r="335">
          <cell r="B335" t="str">
            <v>Đỗ Công Thành</v>
          </cell>
          <cell r="C335">
            <v>0</v>
          </cell>
          <cell r="D335">
            <v>0</v>
          </cell>
          <cell r="E335" t="str">
            <v>1603215001211</v>
          </cell>
          <cell r="F335">
            <v>0</v>
          </cell>
          <cell r="G335">
            <v>0</v>
          </cell>
          <cell r="H335" t="str">
            <v>D.01</v>
          </cell>
          <cell r="I335">
            <v>12518663</v>
          </cell>
          <cell r="J335" t="str">
            <v>Nhân viên</v>
          </cell>
        </row>
        <row r="336">
          <cell r="B336" t="str">
            <v>Trần Thị Thảo Vân</v>
          </cell>
          <cell r="C336" t="str">
            <v xml:space="preserve">VÂN </v>
          </cell>
          <cell r="D336" t="str">
            <v>0016100006506008</v>
          </cell>
          <cell r="E336">
            <v>1603205341982</v>
          </cell>
          <cell r="F336">
            <v>0</v>
          </cell>
          <cell r="G336">
            <v>0</v>
          </cell>
          <cell r="H336" t="str">
            <v>D.01</v>
          </cell>
          <cell r="I336">
            <v>7515057</v>
          </cell>
          <cell r="J336" t="str">
            <v>NV Kế toán</v>
          </cell>
        </row>
        <row r="337">
          <cell r="B337" t="str">
            <v>Nguyễn Thụy Nghiêm</v>
          </cell>
          <cell r="C337">
            <v>0</v>
          </cell>
          <cell r="D337">
            <v>0</v>
          </cell>
          <cell r="E337" t="str">
            <v>1603205643427</v>
          </cell>
          <cell r="F337">
            <v>0</v>
          </cell>
          <cell r="G337">
            <v>0</v>
          </cell>
          <cell r="H337" t="str">
            <v>D.01</v>
          </cell>
          <cell r="I337">
            <v>5733201</v>
          </cell>
          <cell r="J337" t="str">
            <v>NV Kế toán</v>
          </cell>
        </row>
        <row r="338">
          <cell r="B338" t="str">
            <v>Huỳnh Như Ý</v>
          </cell>
          <cell r="C338">
            <v>0</v>
          </cell>
          <cell r="D338">
            <v>0</v>
          </cell>
          <cell r="E338">
            <v>0</v>
          </cell>
          <cell r="F338">
            <v>0</v>
          </cell>
          <cell r="G338">
            <v>0</v>
          </cell>
          <cell r="H338" t="str">
            <v>D.01</v>
          </cell>
          <cell r="I338">
            <v>5358132</v>
          </cell>
          <cell r="J338" t="str">
            <v>NV Kế toán</v>
          </cell>
        </row>
        <row r="339">
          <cell r="B339" t="str">
            <v>Nguyễn Chiến Thắng</v>
          </cell>
          <cell r="C339">
            <v>0</v>
          </cell>
          <cell r="D339">
            <v>0</v>
          </cell>
          <cell r="E339">
            <v>0</v>
          </cell>
          <cell r="F339">
            <v>0</v>
          </cell>
          <cell r="G339">
            <v>0</v>
          </cell>
          <cell r="H339" t="str">
            <v>D.01</v>
          </cell>
          <cell r="I339">
            <v>5358132</v>
          </cell>
          <cell r="J339" t="str">
            <v>NV Kế toán</v>
          </cell>
        </row>
        <row r="340">
          <cell r="B340" t="str">
            <v>Huỳnh Văn Hiếu</v>
          </cell>
          <cell r="C340" t="str">
            <v>HIẾU</v>
          </cell>
          <cell r="D340" t="str">
            <v>0016100006710004</v>
          </cell>
          <cell r="E340">
            <v>1603205399011</v>
          </cell>
          <cell r="F340">
            <v>0</v>
          </cell>
          <cell r="G340">
            <v>0</v>
          </cell>
          <cell r="H340" t="str">
            <v>D.01</v>
          </cell>
          <cell r="I340">
            <v>8041111</v>
          </cell>
          <cell r="J340" t="str">
            <v>Nhân viên</v>
          </cell>
        </row>
        <row r="341">
          <cell r="B341" t="str">
            <v>Trịnh Tuấn Vũ</v>
          </cell>
          <cell r="C341" t="str">
            <v xml:space="preserve">VŨ </v>
          </cell>
          <cell r="D341" t="str">
            <v>0016100006712007</v>
          </cell>
          <cell r="E341" t="str">
            <v>1603205246980</v>
          </cell>
          <cell r="F341">
            <v>0</v>
          </cell>
          <cell r="G341">
            <v>0</v>
          </cell>
          <cell r="H341" t="str">
            <v>D.02</v>
          </cell>
          <cell r="I341">
            <v>6086769</v>
          </cell>
          <cell r="J341" t="str">
            <v>NV Phòng Quản trị - Dịch vụ</v>
          </cell>
        </row>
        <row r="342">
          <cell r="B342" t="str">
            <v>Nguyễn Trung Dũng</v>
          </cell>
          <cell r="C342" t="str">
            <v>DŨNG</v>
          </cell>
          <cell r="D342" t="str">
            <v>0016100006707003</v>
          </cell>
          <cell r="E342">
            <v>1603205192034</v>
          </cell>
          <cell r="F342">
            <v>0</v>
          </cell>
          <cell r="G342">
            <v>0</v>
          </cell>
          <cell r="H342" t="str">
            <v>D.02</v>
          </cell>
          <cell r="I342">
            <v>6086769</v>
          </cell>
          <cell r="J342" t="str">
            <v>NV Phòng Quản trị - Dịch vụ</v>
          </cell>
        </row>
        <row r="343">
          <cell r="B343" t="str">
            <v>Bùi Đức Phước</v>
          </cell>
          <cell r="C343">
            <v>0</v>
          </cell>
          <cell r="D343">
            <v>0</v>
          </cell>
          <cell r="E343">
            <v>0</v>
          </cell>
          <cell r="F343">
            <v>0</v>
          </cell>
          <cell r="G343">
            <v>0</v>
          </cell>
          <cell r="H343" t="str">
            <v>D.01</v>
          </cell>
          <cell r="I343">
            <v>5733201</v>
          </cell>
          <cell r="J343" t="str">
            <v>NV Phòng Thanh tra GD - Sinh viên</v>
          </cell>
        </row>
        <row r="344">
          <cell r="B344" t="str">
            <v>Lưu Hoàng Bảo Châu</v>
          </cell>
          <cell r="C344">
            <v>0</v>
          </cell>
          <cell r="D344">
            <v>0</v>
          </cell>
          <cell r="E344">
            <v>0</v>
          </cell>
          <cell r="F344">
            <v>0</v>
          </cell>
          <cell r="G344">
            <v>0</v>
          </cell>
          <cell r="H344" t="str">
            <v>D.02</v>
          </cell>
          <cell r="I344">
            <v>5007600</v>
          </cell>
          <cell r="J344" t="str">
            <v>NV Phòng Thanh tra GD - Sinh viên</v>
          </cell>
        </row>
        <row r="345">
          <cell r="B345" t="str">
            <v>Võ Thị Tuyết</v>
          </cell>
          <cell r="C345" t="str">
            <v xml:space="preserve">TUYẾT </v>
          </cell>
          <cell r="D345" t="str">
            <v>0016100006713003</v>
          </cell>
          <cell r="E345">
            <v>1603205355935</v>
          </cell>
          <cell r="F345">
            <v>0</v>
          </cell>
          <cell r="G345">
            <v>0</v>
          </cell>
          <cell r="H345" t="str">
            <v>D.02</v>
          </cell>
          <cell r="I345">
            <v>5520879</v>
          </cell>
          <cell r="J345" t="str">
            <v>NV Phòng Quản trị - Dịch vụ</v>
          </cell>
        </row>
        <row r="346">
          <cell r="B346" t="str">
            <v>Trần Anh Mỹ</v>
          </cell>
          <cell r="C346">
            <v>0</v>
          </cell>
          <cell r="D346">
            <v>0</v>
          </cell>
          <cell r="E346">
            <v>1603205639363</v>
          </cell>
          <cell r="F346">
            <v>0</v>
          </cell>
          <cell r="G346">
            <v>0</v>
          </cell>
          <cell r="H346" t="str">
            <v>D.01</v>
          </cell>
          <cell r="I346">
            <v>5733201</v>
          </cell>
          <cell r="J346" t="str">
            <v>Phòng Thanh tra Giáo dục - Sinh viên</v>
          </cell>
        </row>
        <row r="347">
          <cell r="B347" t="str">
            <v>Lê Tiến Dũng</v>
          </cell>
          <cell r="C347" t="str">
            <v xml:space="preserve">DŨNG </v>
          </cell>
          <cell r="D347" t="str">
            <v>0016100006545003</v>
          </cell>
          <cell r="E347">
            <v>1603205324898</v>
          </cell>
          <cell r="F347">
            <v>0</v>
          </cell>
          <cell r="G347">
            <v>0</v>
          </cell>
          <cell r="H347" t="str">
            <v>D.01</v>
          </cell>
          <cell r="I347">
            <v>7515057</v>
          </cell>
          <cell r="J347" t="str">
            <v>Nhân viên phòng KHCN &amp; HTQT</v>
          </cell>
        </row>
        <row r="348">
          <cell r="B348" t="str">
            <v>Lê Trần Thanh Nga</v>
          </cell>
          <cell r="C348">
            <v>0</v>
          </cell>
          <cell r="D348">
            <v>0</v>
          </cell>
          <cell r="E348" t="str">
            <v>1603205645973</v>
          </cell>
          <cell r="F348">
            <v>0</v>
          </cell>
          <cell r="G348">
            <v>0</v>
          </cell>
          <cell r="H348" t="str">
            <v>D.01</v>
          </cell>
          <cell r="I348">
            <v>5733201</v>
          </cell>
          <cell r="J348" t="str">
            <v>Nhân viên phòng KHCN &amp; HTQT</v>
          </cell>
        </row>
        <row r="349">
          <cell r="B349" t="str">
            <v>Phạm Huy Hoàng</v>
          </cell>
          <cell r="C349" t="str">
            <v>HOÀNG</v>
          </cell>
          <cell r="D349" t="str">
            <v>0016100006656007</v>
          </cell>
          <cell r="E349" t="str">
            <v>1603205426830</v>
          </cell>
          <cell r="F349">
            <v>0</v>
          </cell>
          <cell r="G349">
            <v>0</v>
          </cell>
          <cell r="H349" t="str">
            <v>D.01</v>
          </cell>
          <cell r="I349">
            <v>5733201</v>
          </cell>
          <cell r="J349" t="str">
            <v>NV Phòng Thanh tra - Giáo dục</v>
          </cell>
        </row>
        <row r="350">
          <cell r="B350" t="str">
            <v>Nguyễn Thị Thảo</v>
          </cell>
          <cell r="C350" t="str">
            <v>THẢO</v>
          </cell>
          <cell r="D350" t="str">
            <v>0016100006659009</v>
          </cell>
          <cell r="E350">
            <v>1603205327079</v>
          </cell>
          <cell r="F350">
            <v>0</v>
          </cell>
          <cell r="G350">
            <v>0</v>
          </cell>
          <cell r="H350" t="str">
            <v>D.02</v>
          </cell>
          <cell r="I350">
            <v>6391108</v>
          </cell>
          <cell r="J350" t="str">
            <v>NV Phòng Quản trị - Dịch vụ</v>
          </cell>
        </row>
        <row r="351">
          <cell r="B351" t="str">
            <v>Nguyễn Thị Nhung</v>
          </cell>
          <cell r="C351" t="str">
            <v>NHUNG</v>
          </cell>
          <cell r="D351" t="str">
            <v>0016100006782005</v>
          </cell>
          <cell r="E351" t="str">
            <v>1603205414638</v>
          </cell>
          <cell r="F351">
            <v>0</v>
          </cell>
          <cell r="G351">
            <v>0</v>
          </cell>
          <cell r="H351" t="str">
            <v>D.01</v>
          </cell>
          <cell r="I351">
            <v>6563942</v>
          </cell>
          <cell r="J351" t="str">
            <v>NV Phòng Tuyển sinh - Đào tạo</v>
          </cell>
        </row>
        <row r="352">
          <cell r="B352" t="str">
            <v>Nguyễn Việt Tiến</v>
          </cell>
          <cell r="C352" t="str">
            <v>TIẾN</v>
          </cell>
          <cell r="D352" t="str">
            <v>0016100006523007</v>
          </cell>
          <cell r="E352" t="str">
            <v>1603215002794</v>
          </cell>
          <cell r="F352">
            <v>0</v>
          </cell>
          <cell r="G352">
            <v>0</v>
          </cell>
          <cell r="H352" t="str">
            <v>D.01</v>
          </cell>
          <cell r="I352">
            <v>5733201</v>
          </cell>
          <cell r="J352" t="str">
            <v>NV phòng TS - Đào tạo</v>
          </cell>
        </row>
        <row r="353">
          <cell r="B353" t="str">
            <v>Nguyễn Thị Tất</v>
          </cell>
          <cell r="C353">
            <v>0</v>
          </cell>
          <cell r="D353" t="str">
            <v>0016100006522003</v>
          </cell>
          <cell r="E353" t="str">
            <v>1603205261860</v>
          </cell>
          <cell r="F353">
            <v>0</v>
          </cell>
          <cell r="G353">
            <v>0</v>
          </cell>
          <cell r="H353" t="str">
            <v>D.01</v>
          </cell>
          <cell r="I353">
            <v>7515057</v>
          </cell>
          <cell r="J353" t="str">
            <v>NV phòng TS - Đào tạo</v>
          </cell>
        </row>
        <row r="354">
          <cell r="B354" t="str">
            <v>Sỹ Thị Chung</v>
          </cell>
          <cell r="C354" t="str">
            <v>CHUNG</v>
          </cell>
          <cell r="D354" t="str">
            <v>0016100006525002</v>
          </cell>
          <cell r="E354" t="str">
            <v>1603205250630</v>
          </cell>
          <cell r="F354">
            <v>0</v>
          </cell>
          <cell r="G354">
            <v>0</v>
          </cell>
          <cell r="H354" t="str">
            <v>D.01</v>
          </cell>
          <cell r="I354">
            <v>8041111</v>
          </cell>
          <cell r="J354" t="str">
            <v>NV phòng TS - Đào tạo</v>
          </cell>
        </row>
        <row r="355">
          <cell r="B355" t="str">
            <v>Trần Nhật Thịnh</v>
          </cell>
          <cell r="C355">
            <v>0</v>
          </cell>
          <cell r="D355">
            <v>0</v>
          </cell>
          <cell r="E355">
            <v>0</v>
          </cell>
          <cell r="F355">
            <v>0</v>
          </cell>
          <cell r="G355">
            <v>0</v>
          </cell>
          <cell r="H355" t="str">
            <v>D.01</v>
          </cell>
          <cell r="I355">
            <v>5358132</v>
          </cell>
          <cell r="J355" t="str">
            <v>NV phòng TS - Đào tạo</v>
          </cell>
        </row>
        <row r="356">
          <cell r="B356" t="str">
            <v>Phạm Huỳnh Kim Ngân</v>
          </cell>
          <cell r="C356" t="str">
            <v>NGÂN</v>
          </cell>
          <cell r="D356" t="str">
            <v>0016100006520008</v>
          </cell>
          <cell r="E356" t="str">
            <v>1603215003088</v>
          </cell>
          <cell r="F356">
            <v>0</v>
          </cell>
          <cell r="G356">
            <v>0</v>
          </cell>
          <cell r="H356" t="str">
            <v>D.03</v>
          </cell>
          <cell r="I356">
            <v>5417685</v>
          </cell>
          <cell r="J356" t="str">
            <v>NV TT Điều hành và QLDL</v>
          </cell>
        </row>
        <row r="357">
          <cell r="B357" t="str">
            <v>Nguyễn Đan Trường</v>
          </cell>
          <cell r="C357">
            <v>0</v>
          </cell>
          <cell r="D357">
            <v>0</v>
          </cell>
          <cell r="E357">
            <v>0</v>
          </cell>
          <cell r="F357">
            <v>0</v>
          </cell>
          <cell r="G357">
            <v>0</v>
          </cell>
          <cell r="H357" t="str">
            <v>D.02</v>
          </cell>
          <cell r="I357">
            <v>5007600</v>
          </cell>
          <cell r="J357" t="str">
            <v>NV TT Điều hành và QLDL</v>
          </cell>
        </row>
        <row r="358">
          <cell r="B358" t="str">
            <v>Lương Công Phi</v>
          </cell>
          <cell r="C358">
            <v>0</v>
          </cell>
          <cell r="D358">
            <v>0</v>
          </cell>
          <cell r="E358">
            <v>0</v>
          </cell>
          <cell r="F358">
            <v>0</v>
          </cell>
          <cell r="G358">
            <v>0</v>
          </cell>
          <cell r="H358" t="str">
            <v>D.02</v>
          </cell>
          <cell r="I358">
            <v>5007600</v>
          </cell>
          <cell r="J358" t="str">
            <v>NV TT Điều hành và QLDL</v>
          </cell>
        </row>
        <row r="359">
          <cell r="B359" t="str">
            <v>Nguyễn Yến Nhi</v>
          </cell>
          <cell r="C359" t="str">
            <v>NHI</v>
          </cell>
          <cell r="D359" t="str">
            <v>0016100006703008</v>
          </cell>
          <cell r="E359">
            <v>1603205351493</v>
          </cell>
          <cell r="F359">
            <v>0</v>
          </cell>
          <cell r="G359">
            <v>0</v>
          </cell>
          <cell r="H359" t="str">
            <v>D.01</v>
          </cell>
          <cell r="I359">
            <v>7515057</v>
          </cell>
          <cell r="J359" t="str">
            <v>NV phòng Khảo thí và ĐBCL</v>
          </cell>
        </row>
        <row r="360">
          <cell r="B360" t="str">
            <v>Nguyễn Khắc Huân</v>
          </cell>
          <cell r="C360">
            <v>0</v>
          </cell>
          <cell r="D360">
            <v>0</v>
          </cell>
          <cell r="E360" t="str">
            <v>1603205639370</v>
          </cell>
          <cell r="F360">
            <v>0</v>
          </cell>
          <cell r="G360">
            <v>0</v>
          </cell>
          <cell r="H360" t="str">
            <v>D.01</v>
          </cell>
          <cell r="I360">
            <v>10540257</v>
          </cell>
          <cell r="J360" t="str">
            <v>Khoa Động lực</v>
          </cell>
        </row>
        <row r="361">
          <cell r="B361" t="str">
            <v>Lương Thị Thắm</v>
          </cell>
          <cell r="C361">
            <v>0</v>
          </cell>
          <cell r="D361" t="str">
            <v>0016100006551003</v>
          </cell>
          <cell r="E361" t="str">
            <v>1603205179071</v>
          </cell>
          <cell r="F361">
            <v>0</v>
          </cell>
          <cell r="G361">
            <v>0</v>
          </cell>
          <cell r="H361" t="str">
            <v>D.02</v>
          </cell>
          <cell r="I361">
            <v>6086769</v>
          </cell>
          <cell r="J361" t="str">
            <v>NV TT Đào tạo Lý Tự Trọng</v>
          </cell>
        </row>
        <row r="362">
          <cell r="B362" t="str">
            <v>Nguyễn Hoàng Hải</v>
          </cell>
          <cell r="C362">
            <v>0</v>
          </cell>
          <cell r="D362">
            <v>0</v>
          </cell>
          <cell r="E362">
            <v>0</v>
          </cell>
          <cell r="F362">
            <v>0</v>
          </cell>
          <cell r="G362">
            <v>0</v>
          </cell>
          <cell r="H362" t="str">
            <v>D.03</v>
          </cell>
          <cell r="I362">
            <v>4680000</v>
          </cell>
          <cell r="J362" t="str">
            <v>NV TT Đào tạo Lý Tự Trọng</v>
          </cell>
        </row>
        <row r="363">
          <cell r="B363" t="str">
            <v>Hà Thị Hậu</v>
          </cell>
          <cell r="C363" t="str">
            <v>HẬU</v>
          </cell>
          <cell r="D363" t="str">
            <v>0016100006502002</v>
          </cell>
          <cell r="E363" t="str">
            <v>1603205414644</v>
          </cell>
          <cell r="F363">
            <v>0</v>
          </cell>
          <cell r="G363">
            <v>0</v>
          </cell>
          <cell r="H363" t="str">
            <v>D.01</v>
          </cell>
          <cell r="I363">
            <v>6563942</v>
          </cell>
          <cell r="J363" t="str">
            <v xml:space="preserve">NV Thư viện  </v>
          </cell>
        </row>
        <row r="364">
          <cell r="B364" t="str">
            <v>Lư Diễm Phúc</v>
          </cell>
          <cell r="C364">
            <v>0</v>
          </cell>
          <cell r="D364">
            <v>0</v>
          </cell>
          <cell r="E364">
            <v>0</v>
          </cell>
          <cell r="F364">
            <v>0</v>
          </cell>
          <cell r="G364">
            <v>0</v>
          </cell>
          <cell r="H364" t="str">
            <v>D.02</v>
          </cell>
          <cell r="I364">
            <v>5257980</v>
          </cell>
          <cell r="J364" t="str">
            <v xml:space="preserve">NV Thư viện  </v>
          </cell>
        </row>
        <row r="365">
          <cell r="B365" t="str">
            <v>Nguyễn Thị Trang</v>
          </cell>
          <cell r="C365" t="str">
            <v>TRANG</v>
          </cell>
          <cell r="D365" t="str">
            <v>0016100006560002</v>
          </cell>
          <cell r="E365" t="str">
            <v>1603205421475</v>
          </cell>
          <cell r="F365">
            <v>0</v>
          </cell>
          <cell r="G365">
            <v>0</v>
          </cell>
          <cell r="H365" t="str">
            <v>D.01</v>
          </cell>
          <cell r="I365">
            <v>6563942</v>
          </cell>
          <cell r="J365" t="str">
            <v xml:space="preserve">NV Thư viện  </v>
          </cell>
        </row>
      </sheetData>
      <sheetData sheetId="1"/>
      <sheetData sheetId="2"/>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Nguyễn Chiến Thắng</v>
          </cell>
          <cell r="C25" t="str">
            <v>01003016</v>
          </cell>
          <cell r="D25" t="str">
            <v>A2</v>
          </cell>
          <cell r="E25" t="str">
            <v>A2</v>
          </cell>
        </row>
        <row r="26">
          <cell r="B26" t="str">
            <v>Huỳnh Như Ý</v>
          </cell>
          <cell r="C26" t="str">
            <v>01003015</v>
          </cell>
          <cell r="D26" t="str">
            <v>A3</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A3</v>
          </cell>
          <cell r="E31" t="str">
            <v>A2</v>
          </cell>
        </row>
        <row r="32">
          <cell r="B32" t="str">
            <v>Võ Thị Xuân Thơ</v>
          </cell>
          <cell r="C32" t="str">
            <v>01004003</v>
          </cell>
          <cell r="D32" t="str">
            <v>A3</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A4</v>
          </cell>
          <cell r="E34" t="str">
            <v>A3</v>
          </cell>
        </row>
        <row r="35">
          <cell r="B35" t="str">
            <v>Giáp Thị Vượng</v>
          </cell>
          <cell r="C35" t="str">
            <v>01004009</v>
          </cell>
          <cell r="D35" t="str">
            <v>A3</v>
          </cell>
          <cell r="E35" t="str">
            <v>A3</v>
          </cell>
        </row>
        <row r="36">
          <cell r="B36" t="str">
            <v>Thái Thị My Sa</v>
          </cell>
          <cell r="C36" t="str">
            <v>01002020</v>
          </cell>
          <cell r="D36" t="str">
            <v>A4</v>
          </cell>
          <cell r="E36" t="str">
            <v>A3</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A1</v>
          </cell>
        </row>
        <row r="39">
          <cell r="B39" t="str">
            <v>Nguyễn Thị Ngọc Anh</v>
          </cell>
          <cell r="C39" t="str">
            <v>01022058</v>
          </cell>
          <cell r="D39" t="str">
            <v>A3</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A2</v>
          </cell>
        </row>
        <row r="43">
          <cell r="B43" t="str">
            <v>Nguyễn Thị Tất</v>
          </cell>
          <cell r="C43" t="str">
            <v>01022059</v>
          </cell>
          <cell r="D43" t="str">
            <v>A1</v>
          </cell>
          <cell r="E43" t="str">
            <v>A1</v>
          </cell>
        </row>
        <row r="44">
          <cell r="B44" t="str">
            <v>Nguyễn Thị Nhung</v>
          </cell>
          <cell r="C44" t="str">
            <v>01018006</v>
          </cell>
          <cell r="D44" t="str">
            <v>A2</v>
          </cell>
          <cell r="E44" t="str">
            <v>A1</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A1</v>
          </cell>
          <cell r="E53" t="str">
            <v>A1</v>
          </cell>
        </row>
        <row r="54">
          <cell r="B54" t="str">
            <v>Nguyễn Văn Chì</v>
          </cell>
          <cell r="C54" t="str">
            <v>01023001</v>
          </cell>
          <cell r="D54" t="str">
            <v>A4</v>
          </cell>
          <cell r="E54" t="str">
            <v>A4</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A4</v>
          </cell>
          <cell r="E58" t="str">
            <v>A4</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A3</v>
          </cell>
          <cell r="E62" t="str">
            <v>A3</v>
          </cell>
        </row>
        <row r="63">
          <cell r="B63" t="str">
            <v>Nguyễn Hữu Xuân Vũ</v>
          </cell>
          <cell r="C63" t="str">
            <v>01002010</v>
          </cell>
          <cell r="D63" t="str">
            <v>A3</v>
          </cell>
          <cell r="E63" t="str">
            <v>A2</v>
          </cell>
        </row>
        <row r="64">
          <cell r="B64" t="str">
            <v>Lê Hồng Phúc</v>
          </cell>
          <cell r="C64" t="str">
            <v>01002012</v>
          </cell>
          <cell r="D64" t="str">
            <v>A3</v>
          </cell>
          <cell r="E64" t="str">
            <v>A3</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A2</v>
          </cell>
          <cell r="E77" t="str">
            <v>A2</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A2</v>
          </cell>
          <cell r="E85" t="str">
            <v>A2</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B2</v>
          </cell>
          <cell r="E91" t="str">
            <v>B1</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A3</v>
          </cell>
          <cell r="E94" t="str">
            <v>A1</v>
          </cell>
        </row>
        <row r="95">
          <cell r="B95" t="str">
            <v>Nguyễn Thị Kim Dung</v>
          </cell>
          <cell r="C95" t="str">
            <v>01003002</v>
          </cell>
          <cell r="D95" t="str">
            <v>A4</v>
          </cell>
          <cell r="E95" t="str">
            <v>A3</v>
          </cell>
        </row>
        <row r="96">
          <cell r="B96" t="str">
            <v>Nguyễn Thanh Sơn</v>
          </cell>
          <cell r="C96" t="str">
            <v>01006003</v>
          </cell>
          <cell r="D96" t="str">
            <v>A4</v>
          </cell>
          <cell r="E96" t="str">
            <v>A4</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A4</v>
          </cell>
          <cell r="E99" t="str">
            <v>A3</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A3</v>
          </cell>
          <cell r="E105" t="str">
            <v>A3</v>
          </cell>
        </row>
        <row r="106">
          <cell r="B106" t="str">
            <v>Hợp đồng trường</v>
          </cell>
          <cell r="C106">
            <v>0</v>
          </cell>
          <cell r="D106">
            <v>0</v>
          </cell>
          <cell r="E106">
            <v>2</v>
          </cell>
        </row>
        <row r="107">
          <cell r="B107" t="str">
            <v>Lê Tiến Dũng</v>
          </cell>
          <cell r="C107" t="str">
            <v>01005003</v>
          </cell>
          <cell r="D107" t="str">
            <v>B2</v>
          </cell>
          <cell r="E107" t="str">
            <v>A4</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A1</v>
          </cell>
          <cell r="E113" t="str">
            <v>A1</v>
          </cell>
        </row>
        <row r="114">
          <cell r="B114" t="str">
            <v>Nguyễn Trọng Phú</v>
          </cell>
          <cell r="C114" t="str">
            <v>01008004</v>
          </cell>
          <cell r="D114" t="str">
            <v>B1</v>
          </cell>
          <cell r="E114" t="str">
            <v>A4</v>
          </cell>
        </row>
        <row r="115">
          <cell r="B115" t="str">
            <v>Phan Đức Long</v>
          </cell>
          <cell r="C115" t="str">
            <v>01009007</v>
          </cell>
          <cell r="D115" t="str">
            <v>A3</v>
          </cell>
          <cell r="E115" t="str">
            <v>A3</v>
          </cell>
        </row>
        <row r="116">
          <cell r="B116" t="str">
            <v>Giáp Văn Thịnh</v>
          </cell>
          <cell r="C116" t="str">
            <v>01008008</v>
          </cell>
          <cell r="D116" t="str">
            <v>A1</v>
          </cell>
          <cell r="E116" t="str">
            <v>A1</v>
          </cell>
        </row>
        <row r="117">
          <cell r="B117" t="str">
            <v>Vũ Ngọc Quang</v>
          </cell>
          <cell r="C117" t="str">
            <v>01008006</v>
          </cell>
          <cell r="D117" t="str">
            <v>A3</v>
          </cell>
          <cell r="E117" t="str">
            <v>A3</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A4</v>
          </cell>
          <cell r="E120" t="str">
            <v>A4</v>
          </cell>
        </row>
        <row r="121">
          <cell r="B121" t="str">
            <v>Hợp đồng trường</v>
          </cell>
          <cell r="C121">
            <v>0</v>
          </cell>
          <cell r="D121">
            <v>0</v>
          </cell>
          <cell r="E121">
            <v>16</v>
          </cell>
        </row>
        <row r="122">
          <cell r="B122" t="str">
            <v>Trần Thị Thu</v>
          </cell>
          <cell r="C122" t="str">
            <v>01008021</v>
          </cell>
          <cell r="D122" t="str">
            <v>A2</v>
          </cell>
          <cell r="E122" t="str">
            <v>A2</v>
          </cell>
        </row>
        <row r="123">
          <cell r="B123" t="str">
            <v>Dương Thị Thủy</v>
          </cell>
          <cell r="C123" t="str">
            <v>01008009</v>
          </cell>
          <cell r="D123" t="str">
            <v>A3</v>
          </cell>
          <cell r="E123" t="str">
            <v>A3</v>
          </cell>
        </row>
        <row r="124">
          <cell r="B124" t="str">
            <v>Đỗ Thị Bích Thủy</v>
          </cell>
          <cell r="C124" t="str">
            <v>01008031</v>
          </cell>
          <cell r="D124" t="str">
            <v>A2</v>
          </cell>
          <cell r="E124" t="str">
            <v>A2</v>
          </cell>
        </row>
        <row r="125">
          <cell r="B125" t="str">
            <v>Trần Kim Tươi</v>
          </cell>
          <cell r="C125" t="str">
            <v>01008039</v>
          </cell>
          <cell r="D125" t="str">
            <v>A2</v>
          </cell>
          <cell r="E125" t="str">
            <v>A2</v>
          </cell>
        </row>
        <row r="126">
          <cell r="B126" t="str">
            <v>Trương Thị Bắc</v>
          </cell>
          <cell r="C126" t="str">
            <v>01008040</v>
          </cell>
          <cell r="D126" t="str">
            <v>A2</v>
          </cell>
          <cell r="E126" t="str">
            <v>A2</v>
          </cell>
        </row>
        <row r="127">
          <cell r="B127" t="str">
            <v>Trương Thị Định</v>
          </cell>
          <cell r="C127" t="str">
            <v>01008041</v>
          </cell>
          <cell r="D127" t="str">
            <v>A3</v>
          </cell>
          <cell r="E127" t="str">
            <v>A3</v>
          </cell>
        </row>
        <row r="128">
          <cell r="B128" t="str">
            <v>Giáp Đức Nhận</v>
          </cell>
          <cell r="C128" t="str">
            <v>01012027</v>
          </cell>
          <cell r="D128" t="str">
            <v>A1</v>
          </cell>
          <cell r="E128" t="str">
            <v>A1</v>
          </cell>
        </row>
        <row r="129">
          <cell r="B129" t="str">
            <v>Tạ Quốc Tấn</v>
          </cell>
          <cell r="C129" t="str">
            <v>01008012</v>
          </cell>
          <cell r="D129" t="str">
            <v>A2</v>
          </cell>
          <cell r="E129" t="str">
            <v>A2</v>
          </cell>
        </row>
        <row r="130">
          <cell r="B130" t="str">
            <v>Huỳnh Bá Triết</v>
          </cell>
          <cell r="C130" t="str">
            <v>01008033</v>
          </cell>
          <cell r="D130" t="str">
            <v>A1</v>
          </cell>
          <cell r="E130" t="str">
            <v>A1</v>
          </cell>
        </row>
        <row r="131">
          <cell r="B131" t="str">
            <v>Võ Thị Tuyết</v>
          </cell>
          <cell r="C131" t="str">
            <v>01013033</v>
          </cell>
          <cell r="D131" t="str">
            <v>A4</v>
          </cell>
          <cell r="E131" t="str">
            <v>A4</v>
          </cell>
        </row>
        <row r="132">
          <cell r="B132" t="str">
            <v>Trịnh Tuấn Vũ</v>
          </cell>
          <cell r="C132" t="str">
            <v>01009015</v>
          </cell>
          <cell r="D132" t="str">
            <v>A4</v>
          </cell>
          <cell r="E132" t="str">
            <v>A4</v>
          </cell>
        </row>
        <row r="133">
          <cell r="B133" t="str">
            <v>Võ Tấn Đức</v>
          </cell>
          <cell r="C133" t="str">
            <v>01008042</v>
          </cell>
          <cell r="D133" t="str">
            <v>A3</v>
          </cell>
          <cell r="E133" t="str">
            <v>A2</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A3</v>
          </cell>
          <cell r="E136" t="str">
            <v>A3</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A4</v>
          </cell>
          <cell r="E140" t="str">
            <v>A4</v>
          </cell>
        </row>
        <row r="141">
          <cell r="B141" t="str">
            <v>Phạm Thị Thu Nga</v>
          </cell>
          <cell r="C141" t="str">
            <v>01010007</v>
          </cell>
          <cell r="D141" t="str">
            <v>A4</v>
          </cell>
          <cell r="E141" t="str">
            <v>A4</v>
          </cell>
        </row>
        <row r="142">
          <cell r="B142" t="str">
            <v>Nguyễn Văn Hậu</v>
          </cell>
          <cell r="C142" t="str">
            <v>01010033</v>
          </cell>
          <cell r="D142" t="str">
            <v>A4</v>
          </cell>
          <cell r="E142" t="str">
            <v>A4</v>
          </cell>
        </row>
        <row r="143">
          <cell r="B143" t="str">
            <v>Dương Đức Kiên</v>
          </cell>
          <cell r="C143" t="str">
            <v>01010037</v>
          </cell>
          <cell r="D143" t="str">
            <v>A4</v>
          </cell>
          <cell r="E143" t="str">
            <v>A4</v>
          </cell>
        </row>
        <row r="144">
          <cell r="B144" t="str">
            <v>Hà Như Mai</v>
          </cell>
          <cell r="C144" t="str">
            <v>01010031</v>
          </cell>
          <cell r="D144" t="str">
            <v>A4</v>
          </cell>
          <cell r="E144" t="str">
            <v>A4</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A4</v>
          </cell>
          <cell r="E148" t="str">
            <v>A4</v>
          </cell>
        </row>
        <row r="149">
          <cell r="B149" t="str">
            <v>Trần Thị Ánh Tuyết</v>
          </cell>
          <cell r="C149" t="str">
            <v>01010029</v>
          </cell>
          <cell r="D149" t="str">
            <v>A4</v>
          </cell>
          <cell r="E149" t="str">
            <v>A4</v>
          </cell>
        </row>
        <row r="150">
          <cell r="B150" t="str">
            <v>Đặng Thị Kiến Trúc</v>
          </cell>
          <cell r="C150" t="str">
            <v>01010024</v>
          </cell>
          <cell r="D150" t="str">
            <v>A4</v>
          </cell>
          <cell r="E150" t="str">
            <v>A4</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A4</v>
          </cell>
          <cell r="E156" t="str">
            <v>A4</v>
          </cell>
        </row>
        <row r="157">
          <cell r="B157" t="str">
            <v>Giang Phi Hùng</v>
          </cell>
          <cell r="C157" t="str">
            <v>01010030</v>
          </cell>
          <cell r="D157" t="str">
            <v>A4</v>
          </cell>
          <cell r="E157" t="str">
            <v>A4</v>
          </cell>
        </row>
        <row r="158">
          <cell r="B158" t="str">
            <v>Ngô Thanh Điền</v>
          </cell>
          <cell r="C158" t="str">
            <v>01022005</v>
          </cell>
          <cell r="D158" t="str">
            <v>A4</v>
          </cell>
          <cell r="E158" t="str">
            <v>A4</v>
          </cell>
        </row>
        <row r="159">
          <cell r="B159" t="str">
            <v>Nguyễn Phú Tân</v>
          </cell>
          <cell r="C159" t="str">
            <v>01010022</v>
          </cell>
          <cell r="D159" t="str">
            <v>A4</v>
          </cell>
          <cell r="E159" t="str">
            <v>A4</v>
          </cell>
        </row>
        <row r="160">
          <cell r="B160" t="str">
            <v>Nguyễn Mạnh Phương</v>
          </cell>
          <cell r="C160" t="str">
            <v>01010032</v>
          </cell>
          <cell r="D160" t="str">
            <v>A4</v>
          </cell>
          <cell r="E160" t="str">
            <v>A4</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A4</v>
          </cell>
          <cell r="E163" t="str">
            <v>A4</v>
          </cell>
        </row>
        <row r="164">
          <cell r="B164" t="str">
            <v>Phạm Thị Thu Hiền</v>
          </cell>
          <cell r="C164" t="str">
            <v>01010040</v>
          </cell>
          <cell r="D164" t="str">
            <v>A4</v>
          </cell>
          <cell r="E164" t="str">
            <v>A4</v>
          </cell>
        </row>
        <row r="165">
          <cell r="B165" t="str">
            <v>Lê Nguyễn Mỹ Trâm</v>
          </cell>
          <cell r="C165" t="str">
            <v>01010009</v>
          </cell>
          <cell r="D165" t="str">
            <v>A4</v>
          </cell>
          <cell r="E165" t="str">
            <v>A4</v>
          </cell>
        </row>
        <row r="166">
          <cell r="B166" t="str">
            <v>Nguyễn Thị Bảo Trân</v>
          </cell>
          <cell r="C166" t="str">
            <v>01010020</v>
          </cell>
          <cell r="D166" t="str">
            <v>A4</v>
          </cell>
          <cell r="E166" t="str">
            <v>A4</v>
          </cell>
        </row>
        <row r="167">
          <cell r="B167" t="str">
            <v>Vương Thanh Thủy</v>
          </cell>
          <cell r="C167" t="str">
            <v>01010018</v>
          </cell>
          <cell r="D167" t="str">
            <v>A4</v>
          </cell>
          <cell r="E167" t="str">
            <v>A4</v>
          </cell>
        </row>
        <row r="168">
          <cell r="B168" t="str">
            <v>Nguyễn Thị Thu Tâm</v>
          </cell>
          <cell r="C168" t="str">
            <v>01010019</v>
          </cell>
          <cell r="D168" t="str">
            <v>A4</v>
          </cell>
          <cell r="E168" t="str">
            <v>A4</v>
          </cell>
        </row>
        <row r="169">
          <cell r="B169" t="str">
            <v>Võ Thị Hồng Lan</v>
          </cell>
          <cell r="C169" t="str">
            <v>01010015</v>
          </cell>
          <cell r="D169" t="str">
            <v>A4</v>
          </cell>
          <cell r="E169" t="str">
            <v>A4</v>
          </cell>
        </row>
        <row r="170">
          <cell r="B170" t="str">
            <v>Nguyễn Thị Thanh Tú</v>
          </cell>
          <cell r="C170" t="str">
            <v>01010027</v>
          </cell>
          <cell r="D170" t="str">
            <v>A4</v>
          </cell>
          <cell r="E170" t="str">
            <v>A4</v>
          </cell>
        </row>
        <row r="171">
          <cell r="B171" t="str">
            <v>Trần Thanh Trúc</v>
          </cell>
          <cell r="C171" t="str">
            <v>01002025</v>
          </cell>
          <cell r="D171" t="str">
            <v>A4</v>
          </cell>
          <cell r="E171" t="str">
            <v>A4</v>
          </cell>
        </row>
        <row r="172">
          <cell r="B172" t="str">
            <v>Nguyễn Thiện Bình</v>
          </cell>
          <cell r="C172" t="str">
            <v>01010162</v>
          </cell>
          <cell r="D172" t="str">
            <v>A4</v>
          </cell>
          <cell r="E172" t="str">
            <v>A4</v>
          </cell>
        </row>
        <row r="173">
          <cell r="B173" t="str">
            <v>Lâm Thị Phương Thảo</v>
          </cell>
          <cell r="C173" t="str">
            <v>01010141</v>
          </cell>
          <cell r="D173" t="str">
            <v>A4</v>
          </cell>
          <cell r="E173" t="str">
            <v>A4</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A4</v>
          </cell>
          <cell r="E179" t="str">
            <v>A4</v>
          </cell>
        </row>
        <row r="180">
          <cell r="B180" t="str">
            <v>Nguyễn Ngọc Quỳnh</v>
          </cell>
          <cell r="C180" t="str">
            <v>01011012</v>
          </cell>
          <cell r="D180" t="str">
            <v>A4</v>
          </cell>
          <cell r="E180" t="str">
            <v>A4</v>
          </cell>
        </row>
        <row r="181">
          <cell r="B181" t="str">
            <v>Nguyễn Thị Dinh</v>
          </cell>
          <cell r="C181" t="str">
            <v>01011005</v>
          </cell>
          <cell r="D181" t="str">
            <v>A4</v>
          </cell>
          <cell r="E181" t="str">
            <v>A4</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A4</v>
          </cell>
          <cell r="E184" t="str">
            <v>A4</v>
          </cell>
        </row>
        <row r="185">
          <cell r="B185" t="str">
            <v>Nguyễn Anh Kiệt</v>
          </cell>
          <cell r="C185" t="str">
            <v>01011001</v>
          </cell>
          <cell r="D185" t="str">
            <v>A4</v>
          </cell>
          <cell r="E185" t="str">
            <v>A4</v>
          </cell>
        </row>
        <row r="186">
          <cell r="B186" t="str">
            <v>Trần Văn Lượng</v>
          </cell>
          <cell r="C186" t="str">
            <v>01011014</v>
          </cell>
          <cell r="D186" t="str">
            <v>A4</v>
          </cell>
          <cell r="E186" t="str">
            <v>A4</v>
          </cell>
        </row>
        <row r="187">
          <cell r="B187" t="str">
            <v>Đỗ Thị Ngát</v>
          </cell>
          <cell r="C187" t="str">
            <v>01011016</v>
          </cell>
          <cell r="D187" t="str">
            <v>A4</v>
          </cell>
          <cell r="E187" t="str">
            <v>A4</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A4</v>
          </cell>
          <cell r="E191" t="str">
            <v>A4</v>
          </cell>
        </row>
        <row r="192">
          <cell r="B192" t="str">
            <v>Hoàng Thị Trang</v>
          </cell>
          <cell r="C192" t="str">
            <v>01011018</v>
          </cell>
          <cell r="D192" t="str">
            <v>A4</v>
          </cell>
          <cell r="E192" t="str">
            <v>A4</v>
          </cell>
        </row>
        <row r="193">
          <cell r="B193" t="str">
            <v>Phạm Thị Vinh</v>
          </cell>
          <cell r="C193" t="str">
            <v>01011006</v>
          </cell>
          <cell r="D193" t="str">
            <v>A4</v>
          </cell>
          <cell r="E193" t="str">
            <v>A4</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A2</v>
          </cell>
          <cell r="E196" t="str">
            <v>A2</v>
          </cell>
        </row>
        <row r="197">
          <cell r="B197" t="str">
            <v>Trần Đình Khải</v>
          </cell>
          <cell r="C197" t="str">
            <v>01012008</v>
          </cell>
          <cell r="D197" t="str">
            <v>A3</v>
          </cell>
          <cell r="E197" t="str">
            <v>A3</v>
          </cell>
        </row>
        <row r="198">
          <cell r="B198" t="str">
            <v>Vũ Quang Khải</v>
          </cell>
          <cell r="C198" t="str">
            <v>01012007</v>
          </cell>
          <cell r="D198" t="str">
            <v>A3</v>
          </cell>
          <cell r="E198" t="str">
            <v>A3</v>
          </cell>
        </row>
        <row r="199">
          <cell r="B199" t="str">
            <v>Vũ Đức Pháp</v>
          </cell>
          <cell r="C199" t="str">
            <v>01012013</v>
          </cell>
          <cell r="D199" t="str">
            <v>A3</v>
          </cell>
          <cell r="E199" t="str">
            <v>A3</v>
          </cell>
        </row>
        <row r="200">
          <cell r="B200" t="str">
            <v>Bùi Anh Tuấn</v>
          </cell>
          <cell r="C200" t="str">
            <v>01012023</v>
          </cell>
          <cell r="D200" t="str">
            <v>A3</v>
          </cell>
          <cell r="E200" t="str">
            <v>A3</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A4</v>
          </cell>
          <cell r="E203" t="str">
            <v>A4</v>
          </cell>
        </row>
        <row r="204">
          <cell r="B204" t="str">
            <v>Phan Văn Thành</v>
          </cell>
          <cell r="C204" t="str">
            <v>01012004</v>
          </cell>
          <cell r="D204" t="str">
            <v>A4</v>
          </cell>
          <cell r="E204" t="str">
            <v>A4</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A4</v>
          </cell>
          <cell r="E207" t="str">
            <v>A4</v>
          </cell>
        </row>
        <row r="208">
          <cell r="B208" t="str">
            <v>Nguyễn Tiến Dũng</v>
          </cell>
          <cell r="C208" t="str">
            <v>01012019</v>
          </cell>
          <cell r="D208" t="str">
            <v>A4</v>
          </cell>
          <cell r="E208" t="str">
            <v>A4</v>
          </cell>
        </row>
        <row r="209">
          <cell r="B209" t="str">
            <v>Nguyễn Thành Long</v>
          </cell>
          <cell r="C209" t="str">
            <v>01012018</v>
          </cell>
          <cell r="D209" t="str">
            <v>A4</v>
          </cell>
          <cell r="E209" t="str">
            <v>A4</v>
          </cell>
        </row>
        <row r="210">
          <cell r="B210" t="str">
            <v>Nguyễn Ngọc Quỳnh.</v>
          </cell>
          <cell r="C210" t="str">
            <v>01012017</v>
          </cell>
          <cell r="D210" t="str">
            <v>A4</v>
          </cell>
          <cell r="E210" t="str">
            <v>A4</v>
          </cell>
        </row>
        <row r="211">
          <cell r="B211" t="str">
            <v>Nguyễn Duy Hải</v>
          </cell>
          <cell r="C211" t="str">
            <v>01012022</v>
          </cell>
          <cell r="D211" t="str">
            <v>A4</v>
          </cell>
          <cell r="E211" t="str">
            <v>A4</v>
          </cell>
        </row>
        <row r="212">
          <cell r="B212" t="str">
            <v>Trần Minh Thông</v>
          </cell>
          <cell r="C212" t="str">
            <v>01012020</v>
          </cell>
          <cell r="D212" t="str">
            <v>A4</v>
          </cell>
          <cell r="E212" t="str">
            <v>A4</v>
          </cell>
        </row>
        <row r="213">
          <cell r="B213" t="str">
            <v>Trần Thị Hương</v>
          </cell>
          <cell r="C213" t="str">
            <v>01012021</v>
          </cell>
          <cell r="D213" t="str">
            <v>A4</v>
          </cell>
          <cell r="E213" t="str">
            <v>A4</v>
          </cell>
        </row>
        <row r="214">
          <cell r="B214" t="str">
            <v>Nguyễn Thanh Vĩnh Phúc</v>
          </cell>
          <cell r="C214" t="str">
            <v>01012011</v>
          </cell>
          <cell r="D214" t="str">
            <v>A4</v>
          </cell>
          <cell r="E214" t="str">
            <v>A4</v>
          </cell>
        </row>
        <row r="215">
          <cell r="B215" t="str">
            <v>Võ Minh Quang</v>
          </cell>
          <cell r="C215" t="str">
            <v>01017002</v>
          </cell>
          <cell r="D215" t="str">
            <v>A4</v>
          </cell>
          <cell r="E215" t="str">
            <v>A4</v>
          </cell>
        </row>
        <row r="216">
          <cell r="B216" t="str">
            <v>Dương Thị Hồng</v>
          </cell>
          <cell r="C216" t="str">
            <v>01012028</v>
          </cell>
          <cell r="D216" t="str">
            <v>A4</v>
          </cell>
          <cell r="E216" t="str">
            <v>A4</v>
          </cell>
        </row>
        <row r="217">
          <cell r="B217" t="str">
            <v>Nguyễn Thanh Giang</v>
          </cell>
          <cell r="C217" t="str">
            <v>01012032</v>
          </cell>
          <cell r="D217" t="str">
            <v>A4</v>
          </cell>
          <cell r="E217" t="str">
            <v>A4</v>
          </cell>
        </row>
        <row r="218">
          <cell r="B218" t="str">
            <v>Nguyễn Hồng Phúc</v>
          </cell>
          <cell r="C218" t="str">
            <v>01025017</v>
          </cell>
          <cell r="D218" t="str">
            <v>A4</v>
          </cell>
          <cell r="E218" t="str">
            <v>A4</v>
          </cell>
        </row>
        <row r="219">
          <cell r="B219" t="str">
            <v>Nguyễn Văn Sơn</v>
          </cell>
          <cell r="C219" t="str">
            <v>01006004</v>
          </cell>
          <cell r="D219" t="str">
            <v>A4</v>
          </cell>
          <cell r="E219" t="str">
            <v>A4</v>
          </cell>
        </row>
        <row r="220">
          <cell r="B220" t="str">
            <v>Nguyễn Khắc Huy</v>
          </cell>
          <cell r="C220" t="str">
            <v>01013068</v>
          </cell>
          <cell r="D220" t="str">
            <v>A4</v>
          </cell>
          <cell r="E220" t="str">
            <v>A4</v>
          </cell>
        </row>
        <row r="221">
          <cell r="B221" t="str">
            <v>Võ Hoài Sơn</v>
          </cell>
          <cell r="C221" t="str">
            <v>01012048</v>
          </cell>
          <cell r="D221" t="str">
            <v>A4</v>
          </cell>
          <cell r="E221" t="str">
            <v>A4</v>
          </cell>
        </row>
        <row r="222">
          <cell r="B222" t="str">
            <v>Nguyễn Thị Xuân Chinh</v>
          </cell>
          <cell r="C222" t="str">
            <v>01012049</v>
          </cell>
          <cell r="D222" t="str">
            <v>A4</v>
          </cell>
          <cell r="E222" t="str">
            <v>A4</v>
          </cell>
        </row>
        <row r="223">
          <cell r="B223" t="str">
            <v>Nguyễn Ngọc Hiệp</v>
          </cell>
          <cell r="C223" t="str">
            <v>01009006</v>
          </cell>
          <cell r="D223" t="str">
            <v>A4</v>
          </cell>
          <cell r="E223" t="str">
            <v>A4</v>
          </cell>
        </row>
        <row r="224">
          <cell r="B224" t="str">
            <v>Nguyễn Duy Tân</v>
          </cell>
          <cell r="C224" t="str">
            <v>01012050</v>
          </cell>
          <cell r="D224" t="str">
            <v>A4</v>
          </cell>
          <cell r="E224" t="str">
            <v>A4</v>
          </cell>
        </row>
        <row r="225">
          <cell r="B225" t="str">
            <v>KHOA CÔNG NGHỆ THÔNG TIN</v>
          </cell>
          <cell r="C225">
            <v>0</v>
          </cell>
          <cell r="D225">
            <v>0</v>
          </cell>
          <cell r="E225">
            <v>20</v>
          </cell>
        </row>
        <row r="226">
          <cell r="B226" t="str">
            <v>Viên chức</v>
          </cell>
          <cell r="C226">
            <v>0</v>
          </cell>
          <cell r="D226">
            <v>0</v>
          </cell>
          <cell r="E226">
            <v>20</v>
          </cell>
        </row>
        <row r="227">
          <cell r="B227" t="str">
            <v>Trần Việt Khánh</v>
          </cell>
          <cell r="C227" t="str">
            <v>01015019</v>
          </cell>
          <cell r="D227" t="str">
            <v>A4</v>
          </cell>
          <cell r="E227" t="str">
            <v>A1</v>
          </cell>
        </row>
        <row r="228">
          <cell r="B228" t="str">
            <v>Nguyễn Văn Đôn</v>
          </cell>
          <cell r="C228" t="str">
            <v>01015023</v>
          </cell>
          <cell r="D228" t="str">
            <v>A4</v>
          </cell>
          <cell r="E228" t="str">
            <v>A3</v>
          </cell>
        </row>
        <row r="229">
          <cell r="B229" t="str">
            <v>Nguyễn Sanh Cường</v>
          </cell>
          <cell r="C229" t="str">
            <v>01015005</v>
          </cell>
          <cell r="D229" t="str">
            <v>A4</v>
          </cell>
          <cell r="E229" t="str">
            <v>A4</v>
          </cell>
        </row>
        <row r="230">
          <cell r="B230" t="str">
            <v>Đặng Ngọc Đoàn</v>
          </cell>
          <cell r="C230" t="str">
            <v>01015018</v>
          </cell>
          <cell r="D230" t="str">
            <v>A4</v>
          </cell>
          <cell r="E230" t="str">
            <v>A4</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A4</v>
          </cell>
          <cell r="E234" t="str">
            <v>A4</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Lê Hồng Thái</v>
          </cell>
          <cell r="C237" t="str">
            <v>01015017</v>
          </cell>
          <cell r="D237" t="str">
            <v>A4</v>
          </cell>
          <cell r="E237" t="str">
            <v>A4</v>
          </cell>
        </row>
        <row r="238">
          <cell r="B238" t="str">
            <v>Nguyễn Thị Khánh Thư</v>
          </cell>
          <cell r="C238" t="str">
            <v>01015016</v>
          </cell>
          <cell r="D238" t="str">
            <v>A4</v>
          </cell>
          <cell r="E238" t="str">
            <v>A4</v>
          </cell>
        </row>
        <row r="239">
          <cell r="B239" t="str">
            <v>Mai Chiếm Tuấn</v>
          </cell>
          <cell r="C239" t="str">
            <v>01015031</v>
          </cell>
          <cell r="D239" t="str">
            <v>A4</v>
          </cell>
          <cell r="E239" t="str">
            <v>A4</v>
          </cell>
        </row>
        <row r="240">
          <cell r="B240" t="str">
            <v>Nguyễn Ngọc Tuyên</v>
          </cell>
          <cell r="C240" t="str">
            <v>01015025</v>
          </cell>
          <cell r="D240" t="str">
            <v>A4</v>
          </cell>
          <cell r="E240" t="str">
            <v>A4</v>
          </cell>
        </row>
        <row r="241">
          <cell r="B241" t="str">
            <v>Đỗ Tuấn Việt</v>
          </cell>
          <cell r="C241" t="str">
            <v>01017001</v>
          </cell>
          <cell r="D241" t="str">
            <v>A4</v>
          </cell>
          <cell r="E241" t="str">
            <v>A3</v>
          </cell>
        </row>
        <row r="242">
          <cell r="B242" t="str">
            <v>Dương Ngọc Vọng</v>
          </cell>
          <cell r="C242" t="str">
            <v>01015012</v>
          </cell>
          <cell r="D242" t="str">
            <v>A4</v>
          </cell>
          <cell r="E242" t="str">
            <v>A3</v>
          </cell>
        </row>
        <row r="243">
          <cell r="B243" t="str">
            <v>Trần Vĩnh Xuyên</v>
          </cell>
          <cell r="C243" t="str">
            <v>01015008</v>
          </cell>
          <cell r="D243" t="str">
            <v>A4</v>
          </cell>
          <cell r="E243" t="str">
            <v>A4</v>
          </cell>
        </row>
        <row r="244">
          <cell r="B244" t="str">
            <v>Đỗ Thị Hải Yến</v>
          </cell>
          <cell r="C244" t="str">
            <v>01015021</v>
          </cell>
          <cell r="D244" t="str">
            <v>A4</v>
          </cell>
          <cell r="E244" t="str">
            <v>A4</v>
          </cell>
        </row>
        <row r="245">
          <cell r="B245" t="str">
            <v>Đào Lê Phương Anh</v>
          </cell>
          <cell r="C245" t="str">
            <v>01015108</v>
          </cell>
          <cell r="D245" t="str">
            <v>A4</v>
          </cell>
          <cell r="E245" t="str">
            <v>A4</v>
          </cell>
        </row>
        <row r="246">
          <cell r="B246" t="str">
            <v>Nguyễn Duy Lộc</v>
          </cell>
          <cell r="C246" t="str">
            <v>01015142</v>
          </cell>
          <cell r="D246" t="str">
            <v>A4</v>
          </cell>
          <cell r="E246" t="str">
            <v>A4</v>
          </cell>
        </row>
        <row r="247">
          <cell r="B247" t="str">
            <v>KHOA ĐỘNG LỰC</v>
          </cell>
          <cell r="C247">
            <v>0</v>
          </cell>
          <cell r="D247">
            <v>0</v>
          </cell>
          <cell r="E247">
            <v>27</v>
          </cell>
        </row>
        <row r="248">
          <cell r="B248" t="str">
            <v>Viên chức</v>
          </cell>
          <cell r="C248">
            <v>0</v>
          </cell>
          <cell r="D248">
            <v>0</v>
          </cell>
          <cell r="E248">
            <v>26</v>
          </cell>
        </row>
        <row r="249">
          <cell r="B249" t="str">
            <v>Nguyễn Anh Tuấn</v>
          </cell>
          <cell r="C249" t="str">
            <v>01013003</v>
          </cell>
          <cell r="D249" t="str">
            <v>A3</v>
          </cell>
          <cell r="E249" t="str">
            <v>A3</v>
          </cell>
        </row>
        <row r="250">
          <cell r="B250" t="str">
            <v>Võ Đắc Thịnh</v>
          </cell>
          <cell r="C250" t="str">
            <v>01013002</v>
          </cell>
          <cell r="D250" t="str">
            <v>A3</v>
          </cell>
          <cell r="E250" t="str">
            <v>A3</v>
          </cell>
        </row>
        <row r="251">
          <cell r="B251" t="str">
            <v>Nguyễn Hữu Mạnh</v>
          </cell>
          <cell r="C251" t="str">
            <v>01013004</v>
          </cell>
          <cell r="D251" t="str">
            <v>A4</v>
          </cell>
          <cell r="E251" t="str">
            <v>A4</v>
          </cell>
        </row>
        <row r="252">
          <cell r="B252" t="str">
            <v>Hà Quốc Bảo</v>
          </cell>
          <cell r="C252" t="str">
            <v>01013021</v>
          </cell>
          <cell r="D252" t="str">
            <v>A4</v>
          </cell>
          <cell r="E252" t="str">
            <v>A4</v>
          </cell>
        </row>
        <row r="253">
          <cell r="B253" t="str">
            <v>Triệu Phú Nguyên</v>
          </cell>
          <cell r="C253" t="str">
            <v>01013006</v>
          </cell>
          <cell r="D253" t="str">
            <v>A3</v>
          </cell>
          <cell r="E253" t="str">
            <v>A3</v>
          </cell>
        </row>
        <row r="254">
          <cell r="B254" t="str">
            <v>Nguyễn Thành Đức</v>
          </cell>
          <cell r="C254" t="str">
            <v>01013018</v>
          </cell>
          <cell r="D254" t="str">
            <v>A4</v>
          </cell>
          <cell r="E254" t="str">
            <v>A4</v>
          </cell>
        </row>
        <row r="255">
          <cell r="B255" t="str">
            <v>Nguyễn Minh Thái</v>
          </cell>
          <cell r="C255" t="str">
            <v>01013019</v>
          </cell>
          <cell r="D255" t="str">
            <v>A4</v>
          </cell>
          <cell r="E255" t="str">
            <v>A4</v>
          </cell>
        </row>
        <row r="256">
          <cell r="B256" t="str">
            <v>Đặng Thái Sơn</v>
          </cell>
          <cell r="C256" t="str">
            <v>01013016</v>
          </cell>
          <cell r="D256" t="str">
            <v>A4</v>
          </cell>
          <cell r="E256" t="str">
            <v>A4</v>
          </cell>
        </row>
        <row r="257">
          <cell r="B257" t="str">
            <v>Nguyễn Thái Bình</v>
          </cell>
          <cell r="C257" t="str">
            <v>01013017</v>
          </cell>
          <cell r="D257" t="str">
            <v>A4</v>
          </cell>
          <cell r="E257" t="str">
            <v>A4</v>
          </cell>
        </row>
        <row r="258">
          <cell r="B258" t="str">
            <v>Kiều Trung Tín</v>
          </cell>
          <cell r="C258" t="str">
            <v>01013027</v>
          </cell>
          <cell r="D258" t="str">
            <v>A4</v>
          </cell>
          <cell r="E258" t="str">
            <v>A4</v>
          </cell>
        </row>
        <row r="259">
          <cell r="B259" t="str">
            <v>Trần Quốc Duy</v>
          </cell>
          <cell r="C259" t="str">
            <v>01013026</v>
          </cell>
          <cell r="D259" t="str">
            <v>A4</v>
          </cell>
          <cell r="E259" t="str">
            <v>A4</v>
          </cell>
        </row>
        <row r="260">
          <cell r="B260" t="str">
            <v>Hồ Văn Hóa</v>
          </cell>
          <cell r="C260" t="str">
            <v>01013029</v>
          </cell>
          <cell r="D260" t="str">
            <v>A4</v>
          </cell>
          <cell r="E260" t="str">
            <v>A4</v>
          </cell>
        </row>
        <row r="261">
          <cell r="B261" t="str">
            <v>Nguyễn Thanh Hùng</v>
          </cell>
          <cell r="C261" t="str">
            <v>01013028</v>
          </cell>
          <cell r="D261" t="str">
            <v>A4</v>
          </cell>
          <cell r="E261" t="str">
            <v>A4</v>
          </cell>
        </row>
        <row r="262">
          <cell r="B262" t="str">
            <v>Phan Anh Tuấn Kiệt</v>
          </cell>
          <cell r="C262" t="str">
            <v>01013005</v>
          </cell>
          <cell r="D262" t="str">
            <v>A4</v>
          </cell>
          <cell r="E262" t="str">
            <v>A4</v>
          </cell>
        </row>
        <row r="263">
          <cell r="B263" t="str">
            <v>Hoàng Phúc Bảo</v>
          </cell>
          <cell r="C263" t="str">
            <v>01013022</v>
          </cell>
          <cell r="D263" t="str">
            <v>A4</v>
          </cell>
          <cell r="E263" t="str">
            <v>A4</v>
          </cell>
        </row>
        <row r="264">
          <cell r="B264" t="str">
            <v>Nguyễn Lương Tâm</v>
          </cell>
          <cell r="C264" t="str">
            <v>01013047</v>
          </cell>
          <cell r="D264" t="str">
            <v>A4</v>
          </cell>
          <cell r="E264" t="str">
            <v>A4</v>
          </cell>
        </row>
        <row r="265">
          <cell r="B265" t="str">
            <v>Trần Thế Sơn</v>
          </cell>
          <cell r="C265" t="str">
            <v>01013070</v>
          </cell>
          <cell r="D265" t="str">
            <v>A4</v>
          </cell>
          <cell r="E265" t="str">
            <v>A4</v>
          </cell>
        </row>
        <row r="266">
          <cell r="B266" t="str">
            <v>Trần Văn Đông</v>
          </cell>
          <cell r="C266" t="str">
            <v>01014047</v>
          </cell>
          <cell r="D266" t="str">
            <v>A4</v>
          </cell>
          <cell r="E266" t="str">
            <v>A4</v>
          </cell>
        </row>
        <row r="267">
          <cell r="B267" t="str">
            <v>Lý Văn Trung</v>
          </cell>
          <cell r="C267" t="str">
            <v>01013079</v>
          </cell>
          <cell r="D267" t="str">
            <v>A4</v>
          </cell>
          <cell r="E267" t="str">
            <v>A4</v>
          </cell>
        </row>
        <row r="268">
          <cell r="B268" t="str">
            <v>Nguyễn Hoàng Vinh</v>
          </cell>
          <cell r="C268" t="str">
            <v>01013087</v>
          </cell>
          <cell r="D268" t="str">
            <v>A4</v>
          </cell>
          <cell r="E268" t="str">
            <v>A4</v>
          </cell>
        </row>
        <row r="269">
          <cell r="B269" t="str">
            <v>Đỗ Hoàng Duy</v>
          </cell>
          <cell r="C269" t="str">
            <v>01013061</v>
          </cell>
          <cell r="D269" t="str">
            <v>A4</v>
          </cell>
          <cell r="E269" t="str">
            <v>A4</v>
          </cell>
        </row>
        <row r="270">
          <cell r="B270" t="str">
            <v>Bùi Trọng Tân</v>
          </cell>
          <cell r="C270" t="str">
            <v>01013094</v>
          </cell>
          <cell r="D270" t="str">
            <v>A4</v>
          </cell>
          <cell r="E270" t="str">
            <v>A4</v>
          </cell>
        </row>
        <row r="271">
          <cell r="B271" t="str">
            <v>Võ Quốc Duy</v>
          </cell>
          <cell r="C271" t="str">
            <v>01013120</v>
          </cell>
          <cell r="D271" t="str">
            <v>A4</v>
          </cell>
          <cell r="E271" t="str">
            <v>A4</v>
          </cell>
        </row>
        <row r="272">
          <cell r="B272" t="str">
            <v>Giang Văn Tiến</v>
          </cell>
          <cell r="C272" t="str">
            <v>01013117</v>
          </cell>
          <cell r="D272" t="str">
            <v>A4</v>
          </cell>
          <cell r="E272" t="str">
            <v>A4</v>
          </cell>
        </row>
        <row r="273">
          <cell r="B273" t="str">
            <v>Nguyễn Hữu Lương</v>
          </cell>
          <cell r="C273" t="str">
            <v>01013116</v>
          </cell>
          <cell r="D273" t="str">
            <v>A4</v>
          </cell>
          <cell r="E273" t="str">
            <v>A4</v>
          </cell>
        </row>
        <row r="274">
          <cell r="B274" t="str">
            <v>Huỳnh Đình Văn</v>
          </cell>
          <cell r="C274" t="str">
            <v>01013128</v>
          </cell>
          <cell r="D274" t="str">
            <v>A4</v>
          </cell>
          <cell r="E274" t="str">
            <v>A4</v>
          </cell>
        </row>
        <row r="275">
          <cell r="B275" t="str">
            <v>Hợp đồng trường</v>
          </cell>
          <cell r="C275">
            <v>0</v>
          </cell>
          <cell r="D275">
            <v>0</v>
          </cell>
          <cell r="E275">
            <v>1</v>
          </cell>
        </row>
        <row r="276">
          <cell r="B276" t="str">
            <v>Nguyễn Khắc Huân</v>
          </cell>
          <cell r="C276" t="str">
            <v>01013096</v>
          </cell>
          <cell r="D276" t="str">
            <v>A3</v>
          </cell>
          <cell r="E276" t="str">
            <v>A3</v>
          </cell>
        </row>
        <row r="277">
          <cell r="B277" t="str">
            <v>KHOA ĐIỆN - ĐIỆN TỬ</v>
          </cell>
          <cell r="C277">
            <v>0</v>
          </cell>
          <cell r="D277">
            <v>0</v>
          </cell>
          <cell r="E277">
            <v>30</v>
          </cell>
        </row>
        <row r="278">
          <cell r="B278" t="str">
            <v>Viên chức</v>
          </cell>
          <cell r="C278">
            <v>0</v>
          </cell>
          <cell r="D278">
            <v>0</v>
          </cell>
          <cell r="E278">
            <v>30</v>
          </cell>
        </row>
        <row r="279">
          <cell r="B279" t="str">
            <v>Tạ Minh Cường</v>
          </cell>
          <cell r="C279" t="str">
            <v>01014002</v>
          </cell>
          <cell r="D279" t="str">
            <v>A2</v>
          </cell>
          <cell r="E279" t="str">
            <v>A2</v>
          </cell>
        </row>
        <row r="280">
          <cell r="B280" t="str">
            <v>Huỳnh Ngọc Mai</v>
          </cell>
          <cell r="C280" t="str">
            <v>01014004</v>
          </cell>
          <cell r="D280" t="str">
            <v>A3</v>
          </cell>
          <cell r="E280" t="str">
            <v>A3</v>
          </cell>
        </row>
        <row r="281">
          <cell r="B281" t="str">
            <v>Phạm Minh Nghĩa</v>
          </cell>
          <cell r="C281" t="str">
            <v>01023003</v>
          </cell>
          <cell r="D281" t="str">
            <v>A3</v>
          </cell>
          <cell r="E281" t="str">
            <v>A3</v>
          </cell>
        </row>
        <row r="282">
          <cell r="B282" t="str">
            <v>Trần Nguyên Bảo Trân</v>
          </cell>
          <cell r="C282" t="str">
            <v>01014038</v>
          </cell>
          <cell r="D282" t="str">
            <v>A3</v>
          </cell>
          <cell r="E282" t="str">
            <v>A3</v>
          </cell>
        </row>
        <row r="283">
          <cell r="B283" t="str">
            <v>Huỳnh Duy An</v>
          </cell>
          <cell r="C283" t="str">
            <v>01014051</v>
          </cell>
          <cell r="D283" t="str">
            <v>A4</v>
          </cell>
          <cell r="E283" t="str">
            <v>A4</v>
          </cell>
        </row>
        <row r="284">
          <cell r="B284" t="str">
            <v>Ngô Hoàng Anh</v>
          </cell>
          <cell r="C284" t="str">
            <v>01014005</v>
          </cell>
          <cell r="D284" t="str">
            <v>A4</v>
          </cell>
          <cell r="E284" t="str">
            <v>A4</v>
          </cell>
        </row>
        <row r="285">
          <cell r="B285" t="str">
            <v>Trần Nam Anh</v>
          </cell>
          <cell r="C285" t="str">
            <v>01014046</v>
          </cell>
          <cell r="D285" t="str">
            <v>A3</v>
          </cell>
          <cell r="E285" t="str">
            <v>A3</v>
          </cell>
        </row>
        <row r="286">
          <cell r="B286" t="str">
            <v>Vũ Hạnh Chiêu</v>
          </cell>
          <cell r="C286" t="str">
            <v>01014026</v>
          </cell>
          <cell r="D286" t="str">
            <v>A4</v>
          </cell>
          <cell r="E286" t="str">
            <v>A4</v>
          </cell>
        </row>
        <row r="287">
          <cell r="B287" t="str">
            <v>Ngô Phong Cường</v>
          </cell>
          <cell r="C287" t="str">
            <v>01014029</v>
          </cell>
          <cell r="D287" t="str">
            <v>A4</v>
          </cell>
          <cell r="E287" t="str">
            <v>A4</v>
          </cell>
        </row>
        <row r="288">
          <cell r="B288" t="str">
            <v>Nguyễn Minh Đức Cường</v>
          </cell>
          <cell r="C288" t="str">
            <v>01014033</v>
          </cell>
          <cell r="D288" t="str">
            <v>A3</v>
          </cell>
          <cell r="E288" t="str">
            <v>A3</v>
          </cell>
        </row>
        <row r="289">
          <cell r="B289" t="str">
            <v>Nguyễn Hồng Đức</v>
          </cell>
          <cell r="C289" t="str">
            <v>01014013</v>
          </cell>
          <cell r="D289" t="str">
            <v>A4</v>
          </cell>
          <cell r="E289" t="str">
            <v>A4</v>
          </cell>
        </row>
        <row r="290">
          <cell r="B290" t="str">
            <v>Nguyễn Minh Đức</v>
          </cell>
          <cell r="C290" t="str">
            <v>01014017</v>
          </cell>
          <cell r="D290" t="str">
            <v>A4</v>
          </cell>
          <cell r="E290" t="str">
            <v>A4</v>
          </cell>
        </row>
        <row r="291">
          <cell r="B291" t="str">
            <v>Nguyễn Thị Ngọc Hiền</v>
          </cell>
          <cell r="C291" t="str">
            <v>01014034</v>
          </cell>
          <cell r="D291" t="str">
            <v>A4</v>
          </cell>
          <cell r="E291" t="str">
            <v>A4</v>
          </cell>
        </row>
        <row r="292">
          <cell r="B292" t="str">
            <v>Trần Trung Hiếu</v>
          </cell>
          <cell r="C292" t="str">
            <v>01014020</v>
          </cell>
          <cell r="D292" t="str">
            <v>A3</v>
          </cell>
          <cell r="E292" t="str">
            <v>A3</v>
          </cell>
        </row>
        <row r="293">
          <cell r="B293" t="str">
            <v>Mạnh Lê Hoàn</v>
          </cell>
          <cell r="C293" t="str">
            <v>01014018</v>
          </cell>
          <cell r="D293" t="str">
            <v>A4</v>
          </cell>
          <cell r="E293" t="str">
            <v>A4</v>
          </cell>
        </row>
        <row r="294">
          <cell r="B294" t="str">
            <v>Phan Thanh Hoàng</v>
          </cell>
          <cell r="C294" t="str">
            <v>01014042</v>
          </cell>
          <cell r="D294" t="str">
            <v>A3</v>
          </cell>
          <cell r="E294" t="str">
            <v>A3</v>
          </cell>
        </row>
        <row r="295">
          <cell r="B295" t="str">
            <v>Lê Thế Huân</v>
          </cell>
          <cell r="C295" t="str">
            <v>01014019</v>
          </cell>
          <cell r="D295" t="str">
            <v>A3</v>
          </cell>
          <cell r="E295" t="str">
            <v>A3</v>
          </cell>
        </row>
        <row r="296">
          <cell r="B296" t="str">
            <v>Tăng Cẩm Huê</v>
          </cell>
          <cell r="C296" t="str">
            <v>01014010</v>
          </cell>
          <cell r="D296" t="str">
            <v>A4</v>
          </cell>
          <cell r="E296" t="str">
            <v>A4</v>
          </cell>
        </row>
        <row r="297">
          <cell r="B297" t="str">
            <v>Nguyễn Thùy Linh</v>
          </cell>
          <cell r="C297" t="str">
            <v>01014030</v>
          </cell>
          <cell r="D297" t="str">
            <v>A4</v>
          </cell>
          <cell r="E297" t="str">
            <v>A4</v>
          </cell>
        </row>
        <row r="298">
          <cell r="B298" t="str">
            <v>Đặng Đức Minh</v>
          </cell>
          <cell r="C298" t="str">
            <v>01014024</v>
          </cell>
          <cell r="D298" t="str">
            <v>A4</v>
          </cell>
          <cell r="E298" t="str">
            <v>A4</v>
          </cell>
        </row>
        <row r="299">
          <cell r="B299" t="str">
            <v>Trần Giang Nam</v>
          </cell>
          <cell r="C299" t="str">
            <v>01014048</v>
          </cell>
          <cell r="D299" t="str">
            <v>A3</v>
          </cell>
          <cell r="E299" t="str">
            <v>A3</v>
          </cell>
        </row>
        <row r="300">
          <cell r="B300" t="str">
            <v>Nguyễn Thị Tố Nga</v>
          </cell>
          <cell r="C300" t="str">
            <v>01014022</v>
          </cell>
          <cell r="D300" t="str">
            <v>A4</v>
          </cell>
          <cell r="E300" t="str">
            <v>A4</v>
          </cell>
        </row>
        <row r="301">
          <cell r="B301" t="str">
            <v>Nguyễn Trần Thanh Nhàn</v>
          </cell>
          <cell r="C301" t="str">
            <v>01014025</v>
          </cell>
          <cell r="D301" t="str">
            <v>A4</v>
          </cell>
          <cell r="E301" t="str">
            <v>A4</v>
          </cell>
        </row>
        <row r="302">
          <cell r="B302" t="str">
            <v>Đỗ Huỳnh Thanh Phong</v>
          </cell>
          <cell r="C302" t="str">
            <v>01014032</v>
          </cell>
          <cell r="D302" t="str">
            <v>A4</v>
          </cell>
          <cell r="E302" t="str">
            <v>A4</v>
          </cell>
        </row>
        <row r="303">
          <cell r="B303" t="str">
            <v>Nguyễn Anh Tăng</v>
          </cell>
          <cell r="C303" t="str">
            <v>01014006</v>
          </cell>
          <cell r="D303" t="str">
            <v>A3</v>
          </cell>
          <cell r="E303" t="str">
            <v>A3</v>
          </cell>
        </row>
        <row r="304">
          <cell r="B304" t="str">
            <v>Nguyễn Khương Thành</v>
          </cell>
          <cell r="C304" t="str">
            <v>01014052</v>
          </cell>
          <cell r="D304" t="str">
            <v>A4</v>
          </cell>
          <cell r="E304" t="str">
            <v>A4</v>
          </cell>
        </row>
        <row r="305">
          <cell r="B305" t="str">
            <v>Trần Công Tiến</v>
          </cell>
          <cell r="C305" t="str">
            <v>01014009</v>
          </cell>
          <cell r="D305" t="str">
            <v>A4</v>
          </cell>
          <cell r="E305" t="str">
            <v>A4</v>
          </cell>
        </row>
        <row r="306">
          <cell r="B306" t="str">
            <v>Cao Văn Tuấn</v>
          </cell>
          <cell r="C306" t="str">
            <v>01014045</v>
          </cell>
          <cell r="D306" t="str">
            <v>A3</v>
          </cell>
          <cell r="E306" t="str">
            <v>A3</v>
          </cell>
        </row>
        <row r="307">
          <cell r="B307" t="str">
            <v>Trần Hiếu Trinh</v>
          </cell>
          <cell r="C307" t="str">
            <v>01014021</v>
          </cell>
          <cell r="D307" t="str">
            <v>A4</v>
          </cell>
          <cell r="E307" t="str">
            <v>A4</v>
          </cell>
        </row>
        <row r="308">
          <cell r="B308" t="str">
            <v>Nguyễn Văn Yên</v>
          </cell>
          <cell r="C308" t="str">
            <v>01014016</v>
          </cell>
          <cell r="D308" t="str">
            <v>A4</v>
          </cell>
          <cell r="E308" t="str">
            <v>A4</v>
          </cell>
        </row>
        <row r="309">
          <cell r="B309" t="str">
            <v>KHOA MAY - THỜI TRANG</v>
          </cell>
          <cell r="C309">
            <v>0</v>
          </cell>
          <cell r="D309">
            <v>0</v>
          </cell>
          <cell r="E309">
            <v>8</v>
          </cell>
        </row>
        <row r="310">
          <cell r="B310" t="str">
            <v>Viên chức</v>
          </cell>
          <cell r="C310">
            <v>0</v>
          </cell>
          <cell r="D310">
            <v>0</v>
          </cell>
          <cell r="E310">
            <v>8</v>
          </cell>
        </row>
        <row r="311">
          <cell r="B311" t="str">
            <v>Nguyễn Ngọc Thọ</v>
          </cell>
          <cell r="C311" t="str">
            <v>01016008</v>
          </cell>
          <cell r="D311" t="str">
            <v>A4</v>
          </cell>
          <cell r="E311" t="str">
            <v>A4</v>
          </cell>
        </row>
        <row r="312">
          <cell r="B312" t="str">
            <v>Chế Vân Cầm</v>
          </cell>
          <cell r="C312" t="str">
            <v>01016004</v>
          </cell>
          <cell r="D312" t="str">
            <v>A4</v>
          </cell>
          <cell r="E312" t="str">
            <v>A4</v>
          </cell>
        </row>
        <row r="313">
          <cell r="B313" t="str">
            <v>Nguyễn Bạch Cẩm Dung</v>
          </cell>
          <cell r="C313" t="str">
            <v>01016002</v>
          </cell>
          <cell r="D313" t="str">
            <v>A4</v>
          </cell>
          <cell r="E313" t="str">
            <v>A4</v>
          </cell>
        </row>
        <row r="314">
          <cell r="B314" t="str">
            <v>Nguyễn Thị Hiền</v>
          </cell>
          <cell r="C314" t="str">
            <v>01016006</v>
          </cell>
          <cell r="D314" t="str">
            <v>A4</v>
          </cell>
          <cell r="E314" t="str">
            <v>A4</v>
          </cell>
        </row>
        <row r="315">
          <cell r="B315" t="str">
            <v>Bùi Thị Ngọc Sương</v>
          </cell>
          <cell r="C315" t="str">
            <v>01016005</v>
          </cell>
          <cell r="D315" t="str">
            <v>A4</v>
          </cell>
          <cell r="E315" t="str">
            <v>A4</v>
          </cell>
        </row>
        <row r="316">
          <cell r="B316" t="str">
            <v>Lê Thị Phương Thảo</v>
          </cell>
          <cell r="C316" t="str">
            <v>01016012</v>
          </cell>
          <cell r="D316" t="str">
            <v>A4</v>
          </cell>
          <cell r="E316" t="str">
            <v>A4</v>
          </cell>
        </row>
        <row r="317">
          <cell r="B317" t="str">
            <v>Trần Hồng Thảo</v>
          </cell>
          <cell r="C317" t="str">
            <v>01016010</v>
          </cell>
          <cell r="D317" t="str">
            <v>A4</v>
          </cell>
          <cell r="E317" t="str">
            <v>A4</v>
          </cell>
        </row>
        <row r="318">
          <cell r="B318" t="str">
            <v>Lâm Thị Phương Thùy</v>
          </cell>
          <cell r="C318" t="str">
            <v>01016007</v>
          </cell>
          <cell r="D318" t="str">
            <v>A4</v>
          </cell>
          <cell r="E318" t="str">
            <v>A4</v>
          </cell>
        </row>
        <row r="319">
          <cell r="B319" t="str">
            <v>KHOA NHIỆT - LẠNH</v>
          </cell>
          <cell r="C319">
            <v>0</v>
          </cell>
          <cell r="D319">
            <v>0</v>
          </cell>
          <cell r="E319">
            <v>9</v>
          </cell>
        </row>
        <row r="320">
          <cell r="B320" t="str">
            <v>Viên chức</v>
          </cell>
          <cell r="C320">
            <v>0</v>
          </cell>
          <cell r="D320">
            <v>0</v>
          </cell>
          <cell r="E320">
            <v>9</v>
          </cell>
        </row>
        <row r="321">
          <cell r="B321" t="str">
            <v>Đinh Đồng Hiệp</v>
          </cell>
          <cell r="C321" t="str">
            <v>01013020</v>
          </cell>
          <cell r="D321" t="str">
            <v>A3</v>
          </cell>
          <cell r="E321" t="str">
            <v>A3</v>
          </cell>
        </row>
        <row r="322">
          <cell r="B322" t="str">
            <v>Hoàng Văn Viết</v>
          </cell>
          <cell r="C322" t="str">
            <v>01029001</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A3</v>
          </cell>
          <cell r="E326" t="str">
            <v>A3</v>
          </cell>
        </row>
        <row r="327">
          <cell r="B327" t="str">
            <v>Trần Đình Khoa</v>
          </cell>
          <cell r="C327" t="str">
            <v>01013023</v>
          </cell>
          <cell r="D327" t="str">
            <v>A3</v>
          </cell>
          <cell r="E327" t="str">
            <v>A3</v>
          </cell>
        </row>
        <row r="328">
          <cell r="B328" t="str">
            <v>Phan Văn Hòa</v>
          </cell>
          <cell r="C328" t="str">
            <v>01013015</v>
          </cell>
          <cell r="D328" t="str">
            <v>A4</v>
          </cell>
          <cell r="E328" t="str">
            <v>A4</v>
          </cell>
        </row>
        <row r="329">
          <cell r="B329" t="str">
            <v>Nguyễn Thanh Dũng</v>
          </cell>
          <cell r="C329" t="str">
            <v>01029016</v>
          </cell>
          <cell r="D329" t="str">
            <v>A4</v>
          </cell>
          <cell r="E329" t="str">
            <v>A4</v>
          </cell>
        </row>
        <row r="330">
          <cell r="B330" t="str">
            <v>KHOA KINH TẾ</v>
          </cell>
          <cell r="C330">
            <v>0</v>
          </cell>
          <cell r="D330">
            <v>0</v>
          </cell>
          <cell r="E330">
            <v>12</v>
          </cell>
        </row>
        <row r="331">
          <cell r="B331" t="str">
            <v>Viên chức</v>
          </cell>
          <cell r="C331">
            <v>0</v>
          </cell>
          <cell r="D331">
            <v>0</v>
          </cell>
          <cell r="E331">
            <v>12</v>
          </cell>
        </row>
        <row r="332">
          <cell r="B332" t="str">
            <v>Trịnh Hoàng Hiệp</v>
          </cell>
          <cell r="C332" t="str">
            <v>01025007</v>
          </cell>
          <cell r="D332" t="str">
            <v>A2</v>
          </cell>
          <cell r="E332" t="str">
            <v>A2</v>
          </cell>
        </row>
        <row r="333">
          <cell r="B333" t="str">
            <v>Phạm Quỳnh Như</v>
          </cell>
          <cell r="C333" t="str">
            <v>01025004</v>
          </cell>
          <cell r="D333" t="str">
            <v>A2</v>
          </cell>
          <cell r="E333" t="str">
            <v>A2</v>
          </cell>
        </row>
        <row r="334">
          <cell r="B334" t="str">
            <v>Lưu Thị Thúy</v>
          </cell>
          <cell r="C334" t="str">
            <v>01025002</v>
          </cell>
          <cell r="D334" t="str">
            <v>A3</v>
          </cell>
          <cell r="E334" t="str">
            <v>A4</v>
          </cell>
        </row>
        <row r="335">
          <cell r="B335" t="str">
            <v>Trần Thị Ngọc Dung</v>
          </cell>
          <cell r="C335" t="str">
            <v>01025016</v>
          </cell>
          <cell r="D335" t="str">
            <v>A3</v>
          </cell>
          <cell r="E335" t="str">
            <v>A4</v>
          </cell>
        </row>
        <row r="336">
          <cell r="B336" t="str">
            <v>Cao Xuân Giang</v>
          </cell>
          <cell r="C336" t="str">
            <v>01025018</v>
          </cell>
          <cell r="D336" t="str">
            <v>A3</v>
          </cell>
          <cell r="E336" t="str">
            <v>A4</v>
          </cell>
        </row>
        <row r="337">
          <cell r="B337" t="str">
            <v>Nguyễn Thị Thanh Hòa</v>
          </cell>
          <cell r="C337" t="str">
            <v>01009027</v>
          </cell>
          <cell r="D337" t="str">
            <v>A3</v>
          </cell>
          <cell r="E337" t="str">
            <v>A3</v>
          </cell>
        </row>
        <row r="338">
          <cell r="B338" t="str">
            <v>Huỳnh Kim Liên</v>
          </cell>
          <cell r="C338" t="str">
            <v>01025052</v>
          </cell>
          <cell r="D338" t="str">
            <v>A2</v>
          </cell>
          <cell r="E338" t="str">
            <v>A3</v>
          </cell>
        </row>
        <row r="339">
          <cell r="B339" t="str">
            <v>Lê Hồng Ngọc My</v>
          </cell>
          <cell r="C339" t="str">
            <v>01015053</v>
          </cell>
          <cell r="D339" t="str">
            <v>A3</v>
          </cell>
          <cell r="E339" t="str">
            <v>A3</v>
          </cell>
        </row>
        <row r="340">
          <cell r="B340" t="str">
            <v>Lê Thị Thu Thảo</v>
          </cell>
          <cell r="C340" t="str">
            <v>01025008</v>
          </cell>
          <cell r="D340" t="str">
            <v>A3</v>
          </cell>
          <cell r="E340" t="str">
            <v>A4</v>
          </cell>
        </row>
        <row r="341">
          <cell r="B341" t="str">
            <v>Nguyễn Thị Minh Thùy</v>
          </cell>
          <cell r="C341" t="str">
            <v>01003013</v>
          </cell>
          <cell r="D341" t="str">
            <v>A2</v>
          </cell>
          <cell r="E341" t="str">
            <v>A3</v>
          </cell>
        </row>
        <row r="342">
          <cell r="B342" t="str">
            <v>Nguyễn Mỹ Tiên</v>
          </cell>
          <cell r="C342" t="str">
            <v>01025015</v>
          </cell>
          <cell r="D342" t="str">
            <v>A4</v>
          </cell>
          <cell r="E342" t="str">
            <v>A4</v>
          </cell>
        </row>
        <row r="343">
          <cell r="B343" t="str">
            <v>Nguyễn Huỳnh Lưu Phương</v>
          </cell>
          <cell r="C343" t="str">
            <v>01025101</v>
          </cell>
          <cell r="D343" t="str">
            <v>A3</v>
          </cell>
          <cell r="E343" t="str">
            <v>A3</v>
          </cell>
        </row>
        <row r="344">
          <cell r="B344" t="str">
            <v>KHOA DU LỊCH - KHÁCH SẠN</v>
          </cell>
          <cell r="C344">
            <v>0</v>
          </cell>
          <cell r="D344">
            <v>0</v>
          </cell>
          <cell r="E344">
            <v>7</v>
          </cell>
        </row>
        <row r="345">
          <cell r="B345" t="str">
            <v>Viên chức</v>
          </cell>
          <cell r="C345">
            <v>0</v>
          </cell>
          <cell r="D345">
            <v>0</v>
          </cell>
          <cell r="E345">
            <v>7</v>
          </cell>
        </row>
        <row r="346">
          <cell r="B346" t="str">
            <v>Hồ Gia Bảo</v>
          </cell>
          <cell r="C346" t="str">
            <v>01025029</v>
          </cell>
          <cell r="D346" t="str">
            <v>A3</v>
          </cell>
          <cell r="E346" t="str">
            <v>A2</v>
          </cell>
        </row>
        <row r="347">
          <cell r="B347" t="str">
            <v>Lữ Xuân Trang</v>
          </cell>
          <cell r="C347" t="str">
            <v>01025009</v>
          </cell>
          <cell r="D347" t="str">
            <v>A3</v>
          </cell>
          <cell r="E347" t="str">
            <v>A3</v>
          </cell>
        </row>
        <row r="348">
          <cell r="B348" t="str">
            <v>Phạm Thị Thanh Thúy</v>
          </cell>
          <cell r="C348" t="str">
            <v>01016003</v>
          </cell>
          <cell r="D348" t="str">
            <v>A4</v>
          </cell>
          <cell r="E348" t="str">
            <v>A4</v>
          </cell>
        </row>
        <row r="349">
          <cell r="B349" t="str">
            <v>Đinh Thị Trâm</v>
          </cell>
          <cell r="C349" t="str">
            <v>01025033</v>
          </cell>
          <cell r="D349" t="str">
            <v>A3</v>
          </cell>
          <cell r="E349" t="str">
            <v>A3</v>
          </cell>
        </row>
        <row r="350">
          <cell r="B350" t="str">
            <v>Lê Thị Thúy Oanh</v>
          </cell>
          <cell r="C350" t="str">
            <v>01025020</v>
          </cell>
          <cell r="D350" t="str">
            <v>A3</v>
          </cell>
          <cell r="E350" t="str">
            <v>A3</v>
          </cell>
        </row>
        <row r="351">
          <cell r="B351" t="str">
            <v>Võ Thị Kim Thư</v>
          </cell>
          <cell r="C351" t="str">
            <v>01025012</v>
          </cell>
          <cell r="D351" t="str">
            <v>A4</v>
          </cell>
          <cell r="E351" t="str">
            <v>A4</v>
          </cell>
        </row>
        <row r="352">
          <cell r="B352" t="str">
            <v>Nguyễn Hoàng Thanh Ngân</v>
          </cell>
          <cell r="C352" t="str">
            <v>01025027</v>
          </cell>
          <cell r="D352" t="str">
            <v>A DN</v>
          </cell>
          <cell r="E352" t="str">
            <v>A DN</v>
          </cell>
        </row>
        <row r="353">
          <cell r="B353" t="str">
            <v>KHOA XÂY DỰNG</v>
          </cell>
          <cell r="C353">
            <v>0</v>
          </cell>
          <cell r="D353">
            <v>0</v>
          </cell>
          <cell r="E353">
            <v>3</v>
          </cell>
        </row>
        <row r="354">
          <cell r="B354" t="str">
            <v>Viên chức</v>
          </cell>
          <cell r="C354">
            <v>0</v>
          </cell>
          <cell r="D354">
            <v>0</v>
          </cell>
          <cell r="E354">
            <v>3</v>
          </cell>
        </row>
        <row r="355">
          <cell r="B355" t="str">
            <v>Phạm Quang Vũ</v>
          </cell>
          <cell r="C355" t="str">
            <v>01004014</v>
          </cell>
          <cell r="D355" t="str">
            <v>A3</v>
          </cell>
          <cell r="E355" t="str">
            <v>A3</v>
          </cell>
        </row>
        <row r="356">
          <cell r="B356" t="str">
            <v>Trình Minh Phong</v>
          </cell>
          <cell r="C356" t="str">
            <v>01028013</v>
          </cell>
          <cell r="D356" t="str">
            <v>A4</v>
          </cell>
          <cell r="E356" t="str">
            <v>A4</v>
          </cell>
        </row>
        <row r="357">
          <cell r="B357" t="str">
            <v>Trần Ngọc Tuấn</v>
          </cell>
          <cell r="C357" t="str">
            <v>01028017</v>
          </cell>
          <cell r="D357" t="str">
            <v>A4</v>
          </cell>
          <cell r="E357" t="str">
            <v>A3</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A2</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A4</v>
          </cell>
          <cell r="E363" t="str">
            <v>A4</v>
          </cell>
        </row>
        <row r="364">
          <cell r="B364" t="str">
            <v>Hợp đồng trường</v>
          </cell>
          <cell r="C364">
            <v>0</v>
          </cell>
          <cell r="D364">
            <v>0</v>
          </cell>
          <cell r="E364">
            <v>3</v>
          </cell>
        </row>
        <row r="365">
          <cell r="B365" t="str">
            <v>Nguyễn Thị Trang</v>
          </cell>
          <cell r="C365" t="str">
            <v>01018008</v>
          </cell>
          <cell r="D365" t="str">
            <v>B1</v>
          </cell>
          <cell r="E365" t="str">
            <v>A4</v>
          </cell>
        </row>
        <row r="366">
          <cell r="B366" t="str">
            <v>Hà Thị Hậu</v>
          </cell>
          <cell r="C366" t="str">
            <v>01018007</v>
          </cell>
          <cell r="D366" t="str">
            <v>B1</v>
          </cell>
          <cell r="E366" t="str">
            <v>A4</v>
          </cell>
        </row>
        <row r="367">
          <cell r="B367" t="str">
            <v>Lư Diễm Phúc</v>
          </cell>
          <cell r="C367" t="str">
            <v>01018009</v>
          </cell>
          <cell r="D367" t="str">
            <v>B2</v>
          </cell>
          <cell r="E367" t="str">
            <v>A4</v>
          </cell>
        </row>
        <row r="368">
          <cell r="B368" t="str">
            <v>TRUNG TÂM ĐÀO TẠO VÀ QUẢN LÝ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A3</v>
          </cell>
        </row>
        <row r="374">
          <cell r="B374" t="str">
            <v>Võ Tấn Kiệt</v>
          </cell>
          <cell r="C374" t="str">
            <v>01008034</v>
          </cell>
          <cell r="D374" t="str">
            <v>A2</v>
          </cell>
          <cell r="E374" t="str">
            <v>A3</v>
          </cell>
        </row>
        <row r="375">
          <cell r="B375" t="str">
            <v>Nguyễn Tiến Việt Dũng</v>
          </cell>
          <cell r="C375" t="str">
            <v>01015026</v>
          </cell>
          <cell r="D375" t="str">
            <v>A2</v>
          </cell>
          <cell r="E375" t="str">
            <v>A4</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A2</v>
          </cell>
        </row>
        <row r="379">
          <cell r="B379" t="str">
            <v>Nguyễn Xuân Lợi</v>
          </cell>
          <cell r="C379" t="str">
            <v>01017008</v>
          </cell>
          <cell r="D379" t="str">
            <v>B1</v>
          </cell>
          <cell r="E379" t="str">
            <v>A4</v>
          </cell>
        </row>
        <row r="380">
          <cell r="B380" t="str">
            <v>Nguyễn Hoàng Hải</v>
          </cell>
          <cell r="C380" t="str">
            <v>01019003</v>
          </cell>
          <cell r="D380" t="str">
            <v>B1</v>
          </cell>
          <cell r="E380" t="str">
            <v>A4</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A3</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QUAN HỆ DOANH NGHIỆP</v>
          </cell>
          <cell r="C387">
            <v>0</v>
          </cell>
          <cell r="D387">
            <v>0</v>
          </cell>
          <cell r="E387">
            <v>2</v>
          </cell>
        </row>
        <row r="388">
          <cell r="B388" t="str">
            <v>Viên chức</v>
          </cell>
          <cell r="C388">
            <v>0</v>
          </cell>
          <cell r="D388">
            <v>0</v>
          </cell>
          <cell r="E388">
            <v>2</v>
          </cell>
        </row>
        <row r="389">
          <cell r="B389" t="str">
            <v>Nguyễn Văn Chiến</v>
          </cell>
          <cell r="C389" t="str">
            <v>01007008</v>
          </cell>
          <cell r="D389" t="str">
            <v>A3</v>
          </cell>
          <cell r="E389" t="str">
            <v>A1</v>
          </cell>
        </row>
        <row r="390">
          <cell r="B390" t="str">
            <v>Nguyễn Thùy Dương</v>
          </cell>
          <cell r="C390" t="str">
            <v>01014012</v>
          </cell>
          <cell r="D390" t="str">
            <v>A4</v>
          </cell>
          <cell r="E390" t="str">
            <v>A4</v>
          </cell>
        </row>
        <row r="391">
          <cell r="B391" t="str">
            <v>TRUNG TÂM ĐIỀU HÀNH VÀ QLDL</v>
          </cell>
          <cell r="C391">
            <v>0</v>
          </cell>
          <cell r="D391">
            <v>0</v>
          </cell>
          <cell r="E391">
            <v>7</v>
          </cell>
        </row>
        <row r="392">
          <cell r="B392" t="str">
            <v>Viên chức</v>
          </cell>
          <cell r="C392">
            <v>0</v>
          </cell>
          <cell r="D392">
            <v>0</v>
          </cell>
          <cell r="E392">
            <v>4</v>
          </cell>
        </row>
        <row r="393">
          <cell r="B393" t="str">
            <v>Nguyễn Hữu Thiện</v>
          </cell>
          <cell r="C393" t="str">
            <v>01017003</v>
          </cell>
          <cell r="D393" t="str">
            <v>A1</v>
          </cell>
          <cell r="E393" t="str">
            <v>A1</v>
          </cell>
        </row>
        <row r="394">
          <cell r="B394" t="str">
            <v>Trương Thị Hồng</v>
          </cell>
          <cell r="C394" t="str">
            <v>01023002</v>
          </cell>
          <cell r="D394" t="str">
            <v>A1</v>
          </cell>
          <cell r="E394" t="str">
            <v>A1</v>
          </cell>
        </row>
        <row r="395">
          <cell r="B395" t="str">
            <v>Vương Hội Khánh</v>
          </cell>
          <cell r="C395" t="str">
            <v>01017010</v>
          </cell>
          <cell r="D395" t="str">
            <v>A2</v>
          </cell>
          <cell r="E395" t="str">
            <v>A2</v>
          </cell>
        </row>
        <row r="396">
          <cell r="B396" t="str">
            <v>Trương Hữu Lộc</v>
          </cell>
          <cell r="C396" t="str">
            <v>01018004</v>
          </cell>
          <cell r="D396" t="str">
            <v>A1</v>
          </cell>
          <cell r="E396" t="str">
            <v>A1</v>
          </cell>
        </row>
        <row r="397">
          <cell r="B397" t="str">
            <v>Hợp đồng trường</v>
          </cell>
          <cell r="C397">
            <v>0</v>
          </cell>
          <cell r="D397">
            <v>0</v>
          </cell>
          <cell r="E397">
            <v>3</v>
          </cell>
        </row>
        <row r="398">
          <cell r="B398" t="str">
            <v>Phạm Huỳnh Kim Ngân</v>
          </cell>
          <cell r="C398" t="str">
            <v>01025013</v>
          </cell>
          <cell r="D398" t="str">
            <v>A4</v>
          </cell>
          <cell r="E398" t="str">
            <v>A4</v>
          </cell>
        </row>
        <row r="399">
          <cell r="B399" t="str">
            <v>Nguyễn Đan Trường</v>
          </cell>
          <cell r="C399" t="str">
            <v>01031001</v>
          </cell>
          <cell r="D399" t="str">
            <v>A2</v>
          </cell>
          <cell r="E399" t="str">
            <v>A1</v>
          </cell>
        </row>
        <row r="400">
          <cell r="B400" t="str">
            <v>Lương Công Phi</v>
          </cell>
          <cell r="C400" t="str">
            <v>01031002</v>
          </cell>
          <cell r="D400" t="str">
            <v>B2</v>
          </cell>
          <cell r="E400" t="str">
            <v>A4</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23</v>
          </cell>
          <cell r="M10">
            <v>0</v>
          </cell>
        </row>
        <row r="11">
          <cell r="H11" t="str">
            <v>Đinh Văn Đệ</v>
          </cell>
          <cell r="J11">
            <v>21</v>
          </cell>
          <cell r="M11">
            <v>0</v>
          </cell>
        </row>
        <row r="12">
          <cell r="H12" t="str">
            <v>Đinh Hồng Minh</v>
          </cell>
          <cell r="J12">
            <v>22</v>
          </cell>
          <cell r="M12">
            <v>0</v>
          </cell>
        </row>
        <row r="13">
          <cell r="H13" t="str">
            <v>Châu Văn Bảo</v>
          </cell>
          <cell r="J13">
            <v>20</v>
          </cell>
          <cell r="M13">
            <v>0</v>
          </cell>
        </row>
        <row r="14">
          <cell r="H14" t="str">
            <v>Lâm Viết Dũng</v>
          </cell>
          <cell r="J14">
            <v>23</v>
          </cell>
          <cell r="M14">
            <v>0</v>
          </cell>
        </row>
        <row r="15">
          <cell r="H15" t="str">
            <v>Lưu Hoàng Hải Yến</v>
          </cell>
          <cell r="J15">
            <v>18</v>
          </cell>
          <cell r="M15">
            <v>0</v>
          </cell>
        </row>
        <row r="16">
          <cell r="H16" t="str">
            <v>Huỳnh Thị Minh Ly</v>
          </cell>
          <cell r="J16">
            <v>22</v>
          </cell>
          <cell r="M16">
            <v>0</v>
          </cell>
        </row>
        <row r="17">
          <cell r="H17" t="str">
            <v>Nguyễn Văn Chì</v>
          </cell>
          <cell r="J17">
            <v>14</v>
          </cell>
          <cell r="M17">
            <v>0</v>
          </cell>
        </row>
        <row r="18">
          <cell r="H18" t="str">
            <v>Nguyễn Thị Vân</v>
          </cell>
          <cell r="J18">
            <v>18</v>
          </cell>
          <cell r="M18">
            <v>0</v>
          </cell>
        </row>
        <row r="19">
          <cell r="H19" t="str">
            <v>Phan Thị Ngọc Phượng</v>
          </cell>
          <cell r="J19">
            <v>17</v>
          </cell>
          <cell r="M19">
            <v>0</v>
          </cell>
        </row>
        <row r="20">
          <cell r="H20" t="str">
            <v>Trần Thị Ánh Phượng</v>
          </cell>
          <cell r="J20">
            <v>16.5</v>
          </cell>
          <cell r="M20">
            <v>0</v>
          </cell>
        </row>
        <row r="21">
          <cell r="H21" t="str">
            <v>Thân Thị Nhung</v>
          </cell>
          <cell r="J21">
            <v>13</v>
          </cell>
          <cell r="M21" t="str">
            <v>Trừ 3 ngày nghỉ phép 5+6+7/2</v>
          </cell>
        </row>
        <row r="22">
          <cell r="H22" t="str">
            <v>Trần Thị Phương Oanh</v>
          </cell>
          <cell r="J22">
            <v>16</v>
          </cell>
          <cell r="M22">
            <v>0</v>
          </cell>
        </row>
        <row r="23">
          <cell r="H23" t="str">
            <v>Vũ Như Quỳnh</v>
          </cell>
          <cell r="J23">
            <v>16.5</v>
          </cell>
          <cell r="M23">
            <v>0</v>
          </cell>
        </row>
        <row r="24">
          <cell r="H24" t="str">
            <v>Nguyễn Thị Bích Liễu</v>
          </cell>
          <cell r="J24">
            <v>17</v>
          </cell>
          <cell r="M24">
            <v>0</v>
          </cell>
        </row>
        <row r="25">
          <cell r="H25" t="str">
            <v>Lê Quang Liêm</v>
          </cell>
          <cell r="J25">
            <v>19</v>
          </cell>
          <cell r="M25">
            <v>0</v>
          </cell>
        </row>
        <row r="26">
          <cell r="H26" t="str">
            <v>Nguyễn Văn Thành</v>
          </cell>
          <cell r="J26">
            <v>19</v>
          </cell>
          <cell r="M26">
            <v>0</v>
          </cell>
        </row>
        <row r="27">
          <cell r="H27" t="str">
            <v>Phan Đức Long</v>
          </cell>
          <cell r="J27">
            <v>19</v>
          </cell>
          <cell r="M27">
            <v>0</v>
          </cell>
        </row>
        <row r="28">
          <cell r="H28" t="str">
            <v>Ninh Đỗ Hiệp</v>
          </cell>
          <cell r="J28">
            <v>16</v>
          </cell>
          <cell r="M28">
            <v>0</v>
          </cell>
        </row>
        <row r="29">
          <cell r="H29" t="str">
            <v>Nguyễn Trọng Phú</v>
          </cell>
          <cell r="J29">
            <v>14</v>
          </cell>
          <cell r="M29" t="str">
            <v>Trừ 4 ngày nghỉ phép 5+6+7+15/2</v>
          </cell>
        </row>
        <row r="30">
          <cell r="H30" t="str">
            <v>Lê Hồng Anh Tuấn</v>
          </cell>
          <cell r="J30">
            <v>16</v>
          </cell>
          <cell r="M30">
            <v>0</v>
          </cell>
        </row>
        <row r="31">
          <cell r="H31" t="str">
            <v>Giáp Văn Thịnh</v>
          </cell>
          <cell r="J31">
            <v>16</v>
          </cell>
          <cell r="M31">
            <v>0</v>
          </cell>
        </row>
        <row r="32">
          <cell r="H32" t="str">
            <v>Vũ Ngọc Quang</v>
          </cell>
          <cell r="J32">
            <v>15</v>
          </cell>
          <cell r="M32" t="str">
            <v>Trừ 1 ngày nghỉ phép 7/2</v>
          </cell>
        </row>
        <row r="33">
          <cell r="H33" t="str">
            <v>Bùi Thị Dương</v>
          </cell>
          <cell r="J33">
            <v>19</v>
          </cell>
          <cell r="M33">
            <v>0</v>
          </cell>
        </row>
        <row r="34">
          <cell r="H34" t="str">
            <v>Phan Hữu Tước</v>
          </cell>
          <cell r="J34">
            <v>19</v>
          </cell>
          <cell r="M34">
            <v>0</v>
          </cell>
        </row>
        <row r="35">
          <cell r="H35" t="str">
            <v>Trang Thị Xuân Uyên</v>
          </cell>
          <cell r="J35">
            <v>19</v>
          </cell>
          <cell r="M35">
            <v>0</v>
          </cell>
        </row>
        <row r="36">
          <cell r="H36" t="str">
            <v>Bùi Thị Lan Anh</v>
          </cell>
          <cell r="J36">
            <v>19</v>
          </cell>
          <cell r="M36">
            <v>0</v>
          </cell>
        </row>
        <row r="37">
          <cell r="H37" t="str">
            <v>Nguyễn Kính</v>
          </cell>
          <cell r="J37">
            <v>19</v>
          </cell>
          <cell r="M37">
            <v>0</v>
          </cell>
        </row>
        <row r="38">
          <cell r="H38" t="str">
            <v>Võ Thị Lệ Trân</v>
          </cell>
          <cell r="J38">
            <v>19</v>
          </cell>
          <cell r="M38">
            <v>0</v>
          </cell>
        </row>
        <row r="39">
          <cell r="H39" t="str">
            <v>Trần Thị Minh Thoa</v>
          </cell>
          <cell r="J39">
            <v>18</v>
          </cell>
          <cell r="M39">
            <v>0</v>
          </cell>
        </row>
        <row r="40">
          <cell r="H40" t="str">
            <v>Hồng Mộng Tuyết Dung</v>
          </cell>
          <cell r="J40">
            <v>18</v>
          </cell>
          <cell r="M40">
            <v>0</v>
          </cell>
        </row>
        <row r="41">
          <cell r="H41" t="str">
            <v>Nguyễn Thị Hồng Thắm</v>
          </cell>
          <cell r="J41">
            <v>17</v>
          </cell>
          <cell r="M41" t="str">
            <v>Trừ 1 ngày nghỉ phép 15/2</v>
          </cell>
        </row>
        <row r="42">
          <cell r="H42" t="str">
            <v>Lê Xuân Thiện</v>
          </cell>
          <cell r="J42">
            <v>19</v>
          </cell>
          <cell r="M42">
            <v>0</v>
          </cell>
        </row>
        <row r="43">
          <cell r="H43" t="str">
            <v>Nguyễn Tất Thắng</v>
          </cell>
          <cell r="J43">
            <v>15</v>
          </cell>
          <cell r="M43" t="str">
            <v>Trừ 1 ngày nghỉ phép 26/2</v>
          </cell>
        </row>
        <row r="44">
          <cell r="H44" t="str">
            <v>Trần Thị Thu Hà</v>
          </cell>
          <cell r="J44">
            <v>17</v>
          </cell>
          <cell r="M44" t="str">
            <v>Trừ 2 ngày nghỉ phép 6+7/2</v>
          </cell>
        </row>
        <row r="45">
          <cell r="H45" t="str">
            <v>Phạm Thị Lê Chi</v>
          </cell>
          <cell r="J45">
            <v>15</v>
          </cell>
          <cell r="M45" t="str">
            <v>Trừ 1 ngày nghỉ phép 15/2</v>
          </cell>
        </row>
        <row r="46">
          <cell r="H46" t="str">
            <v>Nguyễn Thị Kim Anh</v>
          </cell>
          <cell r="J46">
            <v>16</v>
          </cell>
          <cell r="M46">
            <v>0</v>
          </cell>
        </row>
        <row r="47">
          <cell r="H47" t="str">
            <v>Mai Thu Hương</v>
          </cell>
          <cell r="J47">
            <v>16</v>
          </cell>
          <cell r="M47">
            <v>0</v>
          </cell>
        </row>
        <row r="48">
          <cell r="H48" t="str">
            <v>Nguyễn Thành Nam</v>
          </cell>
          <cell r="J48">
            <v>18</v>
          </cell>
          <cell r="M48">
            <v>0</v>
          </cell>
        </row>
        <row r="49">
          <cell r="H49" t="str">
            <v>Quách Minh Thử</v>
          </cell>
          <cell r="J49">
            <v>16</v>
          </cell>
          <cell r="M49">
            <v>0</v>
          </cell>
        </row>
        <row r="50">
          <cell r="H50" t="str">
            <v>Võ Thị Xuân Thơ</v>
          </cell>
          <cell r="J50">
            <v>17</v>
          </cell>
          <cell r="M50">
            <v>0</v>
          </cell>
        </row>
        <row r="51">
          <cell r="H51" t="str">
            <v>Mai Nguyễn Hoàng Yến</v>
          </cell>
          <cell r="J51">
            <v>17.5</v>
          </cell>
          <cell r="M51">
            <v>0</v>
          </cell>
        </row>
        <row r="52">
          <cell r="H52" t="str">
            <v>Nguyễn Thị Hải Hà</v>
          </cell>
          <cell r="J52">
            <v>17.5</v>
          </cell>
          <cell r="M52">
            <v>0</v>
          </cell>
        </row>
        <row r="53">
          <cell r="H53" t="str">
            <v>Nguyễn Thị Thanh Thảo</v>
          </cell>
          <cell r="J53">
            <v>16.5</v>
          </cell>
          <cell r="M53">
            <v>0</v>
          </cell>
        </row>
        <row r="54">
          <cell r="H54" t="str">
            <v>Thái Thị My Sa</v>
          </cell>
          <cell r="J54">
            <v>13.5</v>
          </cell>
          <cell r="M54">
            <v>0</v>
          </cell>
        </row>
        <row r="55">
          <cell r="H55" t="str">
            <v>Giáp Thị Vượng</v>
          </cell>
          <cell r="J55">
            <v>14</v>
          </cell>
          <cell r="M55">
            <v>0</v>
          </cell>
        </row>
        <row r="56">
          <cell r="H56" t="str">
            <v>Huỳnh Thị Cẩm Hoa</v>
          </cell>
          <cell r="J56">
            <v>13.5</v>
          </cell>
          <cell r="M56">
            <v>0</v>
          </cell>
        </row>
        <row r="57">
          <cell r="H57" t="str">
            <v>Nguyễn Thị Thùy</v>
          </cell>
          <cell r="J57">
            <v>16.5</v>
          </cell>
          <cell r="M57" t="str">
            <v>Trừ 2 ngày nghỉ phép 15+16/2</v>
          </cell>
        </row>
        <row r="58">
          <cell r="H58" t="str">
            <v>Nguyễn Thị Ngọc Anh</v>
          </cell>
          <cell r="J58">
            <v>15</v>
          </cell>
          <cell r="M58" t="str">
            <v>Trừ 1 ngày nghỉ phép 19/2</v>
          </cell>
        </row>
        <row r="59">
          <cell r="H59" t="str">
            <v>Nguyễn Chí Nhân</v>
          </cell>
          <cell r="J59">
            <v>19</v>
          </cell>
          <cell r="M59">
            <v>0</v>
          </cell>
        </row>
        <row r="60">
          <cell r="H60" t="str">
            <v>Nguyễn Thị Kim Dung</v>
          </cell>
          <cell r="J60">
            <v>14</v>
          </cell>
          <cell r="M60" t="str">
            <v>Trừ 3 ngày nghỉ phép 5+6+7/2</v>
          </cell>
        </row>
        <row r="61">
          <cell r="H61" t="str">
            <v>Nguyễn Thanh Sơn</v>
          </cell>
          <cell r="J61">
            <v>15</v>
          </cell>
          <cell r="M61" t="str">
            <v>Trừ 1 ngày nghỉ phép 15/2</v>
          </cell>
        </row>
        <row r="62">
          <cell r="H62" t="str">
            <v>Lương Minh Dũng</v>
          </cell>
          <cell r="J62">
            <v>12</v>
          </cell>
          <cell r="M62" t="str">
            <v>Trừ 1 ngày nghỉ phép 2/2 và 3 ngày nghỉ chế độ tang 5+6+7/2</v>
          </cell>
        </row>
        <row r="63">
          <cell r="H63" t="str">
            <v>Nguyễn Thị Tuyết</v>
          </cell>
          <cell r="J63">
            <v>16</v>
          </cell>
          <cell r="M63">
            <v>0</v>
          </cell>
        </row>
        <row r="64">
          <cell r="H64" t="str">
            <v>Vũ Thị Thu Thủy</v>
          </cell>
          <cell r="J64">
            <v>16</v>
          </cell>
          <cell r="M64">
            <v>0</v>
          </cell>
        </row>
        <row r="65">
          <cell r="H65" t="str">
            <v>Nguyễn Trọng Nghĩa</v>
          </cell>
          <cell r="J65">
            <v>16</v>
          </cell>
          <cell r="M65">
            <v>0</v>
          </cell>
        </row>
        <row r="66">
          <cell r="H66" t="str">
            <v>Lê Thị Hải Đăng</v>
          </cell>
          <cell r="J66">
            <v>16</v>
          </cell>
          <cell r="M66">
            <v>0</v>
          </cell>
        </row>
        <row r="67">
          <cell r="H67" t="str">
            <v>Nguyễn Văn Chiến</v>
          </cell>
          <cell r="J67">
            <v>18</v>
          </cell>
          <cell r="M67">
            <v>0</v>
          </cell>
        </row>
        <row r="68">
          <cell r="H68" t="str">
            <v>Nguyễn Thùy Dương</v>
          </cell>
          <cell r="J68">
            <v>14</v>
          </cell>
          <cell r="M68" t="str">
            <v>Trừ 2 ngày nghỉ phép 15+16/2</v>
          </cell>
        </row>
        <row r="69">
          <cell r="H69" t="str">
            <v>Nguyễn Hữu Thiện</v>
          </cell>
          <cell r="J69">
            <v>19</v>
          </cell>
          <cell r="M69">
            <v>0</v>
          </cell>
        </row>
        <row r="70">
          <cell r="H70" t="str">
            <v>Vương Hội Khánh</v>
          </cell>
          <cell r="J70">
            <v>18</v>
          </cell>
          <cell r="M70">
            <v>0</v>
          </cell>
        </row>
        <row r="71">
          <cell r="H71" t="str">
            <v>Trương Hữu Lộc</v>
          </cell>
          <cell r="J71">
            <v>19</v>
          </cell>
          <cell r="M71">
            <v>0</v>
          </cell>
        </row>
        <row r="72">
          <cell r="H72" t="str">
            <v>Trương Thị Hồng</v>
          </cell>
          <cell r="J72">
            <v>19</v>
          </cell>
          <cell r="M72">
            <v>0</v>
          </cell>
        </row>
        <row r="73">
          <cell r="H73" t="str">
            <v>Lương Xuân Thịnh</v>
          </cell>
          <cell r="J73">
            <v>19</v>
          </cell>
          <cell r="M73">
            <v>0</v>
          </cell>
        </row>
        <row r="74">
          <cell r="H74" t="str">
            <v>Nguyễn Cao Thắng</v>
          </cell>
          <cell r="J74">
            <v>19</v>
          </cell>
          <cell r="M74">
            <v>0</v>
          </cell>
        </row>
        <row r="75">
          <cell r="H75" t="str">
            <v>Đỗ Thị Tâm</v>
          </cell>
          <cell r="J75">
            <v>16</v>
          </cell>
          <cell r="M75" t="str">
            <v>Trừ 3 ngày nghỉ phép 15+16+17/2</v>
          </cell>
        </row>
        <row r="76">
          <cell r="H76" t="str">
            <v>Nguyễn Tiến Việt Dũng</v>
          </cell>
          <cell r="J76">
            <v>16</v>
          </cell>
          <cell r="M76">
            <v>0</v>
          </cell>
        </row>
        <row r="77">
          <cell r="H77" t="str">
            <v>Bùi Đặng Hoàng Tuấn</v>
          </cell>
          <cell r="J77">
            <v>16</v>
          </cell>
          <cell r="M77">
            <v>0</v>
          </cell>
        </row>
        <row r="78">
          <cell r="H78" t="str">
            <v>Võ Tấn Kiệt</v>
          </cell>
          <cell r="J78">
            <v>16</v>
          </cell>
          <cell r="M78">
            <v>0</v>
          </cell>
        </row>
        <row r="79">
          <cell r="H79" t="str">
            <v>Hồ Ngọc Chi</v>
          </cell>
          <cell r="J79">
            <v>16</v>
          </cell>
          <cell r="M79">
            <v>0</v>
          </cell>
        </row>
        <row r="80">
          <cell r="H80" t="str">
            <v>Nguyễn Tứ Cảnh</v>
          </cell>
          <cell r="J80">
            <v>16</v>
          </cell>
          <cell r="M80">
            <v>0</v>
          </cell>
        </row>
        <row r="81">
          <cell r="H81" t="str">
            <v>Đặng Thu Hà</v>
          </cell>
          <cell r="J81">
            <v>17</v>
          </cell>
          <cell r="M81">
            <v>0</v>
          </cell>
        </row>
        <row r="82">
          <cell r="H82" t="str">
            <v>Trần Thị Diễm Thúy</v>
          </cell>
          <cell r="J82">
            <v>13</v>
          </cell>
          <cell r="M82" t="str">
            <v>Trừ 3 ngày nghỉ phép 7+15+16/2</v>
          </cell>
        </row>
        <row r="83">
          <cell r="H83" t="str">
            <v>Phạm Quang Vũ</v>
          </cell>
          <cell r="J83">
            <v>9</v>
          </cell>
          <cell r="M83">
            <v>0</v>
          </cell>
        </row>
        <row r="84">
          <cell r="H84" t="str">
            <v>Trình Minh Phong</v>
          </cell>
          <cell r="J84">
            <v>9</v>
          </cell>
          <cell r="M84">
            <v>0</v>
          </cell>
        </row>
        <row r="85">
          <cell r="H85" t="str">
            <v>Trần Ngọc Tuấn</v>
          </cell>
          <cell r="J85">
            <v>9</v>
          </cell>
          <cell r="M85">
            <v>0</v>
          </cell>
        </row>
        <row r="86">
          <cell r="H86" t="str">
            <v>Trịnh Hoàng Hiệp</v>
          </cell>
          <cell r="J86">
            <v>9</v>
          </cell>
          <cell r="M86">
            <v>0</v>
          </cell>
        </row>
        <row r="87">
          <cell r="H87" t="str">
            <v>Phạm Quỳnh Như</v>
          </cell>
          <cell r="J87">
            <v>9</v>
          </cell>
          <cell r="M87">
            <v>0</v>
          </cell>
        </row>
        <row r="88">
          <cell r="H88" t="str">
            <v>Lê Thị Thu Thảo</v>
          </cell>
          <cell r="J88">
            <v>9</v>
          </cell>
          <cell r="M88">
            <v>0</v>
          </cell>
        </row>
        <row r="89">
          <cell r="H89" t="str">
            <v>Lưu Thị Thúy</v>
          </cell>
          <cell r="J89">
            <v>9</v>
          </cell>
          <cell r="M89">
            <v>0</v>
          </cell>
        </row>
        <row r="90">
          <cell r="H90" t="str">
            <v>Nguyễn Thị Minh Thùy</v>
          </cell>
          <cell r="J90">
            <v>18</v>
          </cell>
          <cell r="M90">
            <v>0</v>
          </cell>
        </row>
        <row r="91">
          <cell r="H91" t="str">
            <v>Nguyễn Mỹ Tiên</v>
          </cell>
          <cell r="J91">
            <v>9</v>
          </cell>
          <cell r="M91">
            <v>0</v>
          </cell>
        </row>
        <row r="92">
          <cell r="H92" t="str">
            <v>Trần Thị Ngọc Dung</v>
          </cell>
          <cell r="J92">
            <v>9</v>
          </cell>
          <cell r="M92">
            <v>0</v>
          </cell>
        </row>
        <row r="93">
          <cell r="H93" t="str">
            <v>Cao Xuân Giang</v>
          </cell>
          <cell r="J93">
            <v>9</v>
          </cell>
          <cell r="M93">
            <v>0</v>
          </cell>
        </row>
        <row r="94">
          <cell r="H94" t="str">
            <v>Lê Thị Thúy Oanh</v>
          </cell>
          <cell r="J94">
            <v>9</v>
          </cell>
          <cell r="M94">
            <v>0</v>
          </cell>
        </row>
        <row r="95">
          <cell r="H95" t="str">
            <v>Nguyễn Thị Thanh Hòa</v>
          </cell>
          <cell r="J95">
            <v>9</v>
          </cell>
          <cell r="M95">
            <v>0</v>
          </cell>
        </row>
        <row r="96">
          <cell r="H96" t="str">
            <v>Huỳnh Kim Liên</v>
          </cell>
          <cell r="J96">
            <v>9</v>
          </cell>
          <cell r="M96">
            <v>0</v>
          </cell>
        </row>
        <row r="97">
          <cell r="H97" t="str">
            <v>Nguyễn Huỳnh Lưu Phương</v>
          </cell>
          <cell r="J97">
            <v>9</v>
          </cell>
          <cell r="M97">
            <v>0</v>
          </cell>
        </row>
        <row r="98">
          <cell r="H98" t="str">
            <v>Hồ Gia Bảo</v>
          </cell>
          <cell r="J98">
            <v>9</v>
          </cell>
          <cell r="M98">
            <v>0</v>
          </cell>
        </row>
        <row r="99">
          <cell r="H99" t="str">
            <v>Lữ Xuân Trang</v>
          </cell>
          <cell r="J99">
            <v>9</v>
          </cell>
          <cell r="M99">
            <v>0</v>
          </cell>
        </row>
        <row r="100">
          <cell r="H100" t="str">
            <v>Phạm Thị Thanh Thúy</v>
          </cell>
          <cell r="J100">
            <v>9</v>
          </cell>
          <cell r="M100">
            <v>0</v>
          </cell>
        </row>
        <row r="101">
          <cell r="H101" t="str">
            <v>Đinh Thị Trâm</v>
          </cell>
          <cell r="J101">
            <v>9</v>
          </cell>
          <cell r="M101">
            <v>0</v>
          </cell>
        </row>
        <row r="102">
          <cell r="H102" t="str">
            <v>Võ Thị Kim Thư</v>
          </cell>
          <cell r="J102">
            <v>9</v>
          </cell>
          <cell r="M102">
            <v>0</v>
          </cell>
        </row>
        <row r="103">
          <cell r="H103" t="str">
            <v>Lê Hồng Ngọc My</v>
          </cell>
          <cell r="J103">
            <v>9</v>
          </cell>
          <cell r="M103">
            <v>0</v>
          </cell>
        </row>
        <row r="104">
          <cell r="H104" t="str">
            <v>Nguyễn Hoàng Thanh Ngân</v>
          </cell>
          <cell r="J104">
            <v>0</v>
          </cell>
          <cell r="M104" t="str">
            <v>Đi du học nước ngoài từ 28/2/2023</v>
          </cell>
        </row>
        <row r="105">
          <cell r="H105" t="str">
            <v>Nguyễn Ngọc Thọ</v>
          </cell>
          <cell r="J105">
            <v>9</v>
          </cell>
          <cell r="M105">
            <v>0</v>
          </cell>
        </row>
        <row r="106">
          <cell r="H106" t="str">
            <v>Nguyễn Bạch Cẩm Dung</v>
          </cell>
          <cell r="J106">
            <v>9</v>
          </cell>
          <cell r="M106">
            <v>0</v>
          </cell>
        </row>
        <row r="107">
          <cell r="H107" t="str">
            <v>Lâm Thị Phương Thùy</v>
          </cell>
          <cell r="J107">
            <v>9</v>
          </cell>
          <cell r="M107">
            <v>0</v>
          </cell>
        </row>
        <row r="108">
          <cell r="H108" t="str">
            <v>Nguyễn Thị Hiền</v>
          </cell>
          <cell r="J108">
            <v>9</v>
          </cell>
          <cell r="M108">
            <v>0</v>
          </cell>
        </row>
        <row r="109">
          <cell r="H109" t="str">
            <v>Chế Vân Cầm</v>
          </cell>
          <cell r="J109">
            <v>9</v>
          </cell>
          <cell r="M109">
            <v>0</v>
          </cell>
        </row>
        <row r="110">
          <cell r="H110" t="str">
            <v>Trần Hồng Thảo</v>
          </cell>
          <cell r="J110">
            <v>9</v>
          </cell>
          <cell r="M110">
            <v>0</v>
          </cell>
        </row>
        <row r="111">
          <cell r="H111" t="str">
            <v>Lê Thị Phương Thảo</v>
          </cell>
          <cell r="J111">
            <v>9</v>
          </cell>
          <cell r="M111">
            <v>0</v>
          </cell>
        </row>
        <row r="112">
          <cell r="H112" t="str">
            <v>Bùi Thị Ngọc Sương</v>
          </cell>
          <cell r="J112">
            <v>9</v>
          </cell>
          <cell r="M112">
            <v>0</v>
          </cell>
        </row>
        <row r="113">
          <cell r="H113" t="str">
            <v>Nguyễn Thị Nhuận</v>
          </cell>
          <cell r="J113">
            <v>9</v>
          </cell>
          <cell r="M113">
            <v>0</v>
          </cell>
        </row>
        <row r="114">
          <cell r="H114" t="str">
            <v>Nguyễn Thị Huyền Nga</v>
          </cell>
          <cell r="J114">
            <v>9</v>
          </cell>
          <cell r="M114">
            <v>0</v>
          </cell>
        </row>
        <row r="115">
          <cell r="H115" t="str">
            <v>Nguyễn Phương Hà</v>
          </cell>
          <cell r="J115">
            <v>9</v>
          </cell>
          <cell r="M115">
            <v>0</v>
          </cell>
        </row>
        <row r="116">
          <cell r="H116" t="str">
            <v>Trịnh Khắc Vũ</v>
          </cell>
          <cell r="J116">
            <v>9</v>
          </cell>
          <cell r="M116">
            <v>0</v>
          </cell>
        </row>
        <row r="117">
          <cell r="H117" t="str">
            <v>Lê Minh Phong</v>
          </cell>
          <cell r="J117">
            <v>9</v>
          </cell>
          <cell r="M117">
            <v>0</v>
          </cell>
        </row>
        <row r="118">
          <cell r="H118" t="str">
            <v>Nguyễn Văn Đông</v>
          </cell>
          <cell r="J118">
            <v>9</v>
          </cell>
          <cell r="M118">
            <v>0</v>
          </cell>
        </row>
        <row r="119">
          <cell r="H119" t="str">
            <v>Đặng Thị Kiến Trúc</v>
          </cell>
          <cell r="J119">
            <v>9</v>
          </cell>
          <cell r="M119">
            <v>0</v>
          </cell>
        </row>
        <row r="120">
          <cell r="H120" t="str">
            <v>Nguyễn Thanh Tú</v>
          </cell>
          <cell r="J120">
            <v>9</v>
          </cell>
          <cell r="M120">
            <v>0</v>
          </cell>
        </row>
        <row r="121">
          <cell r="H121" t="str">
            <v>Trần Thị Ánh Tuyết</v>
          </cell>
          <cell r="J121">
            <v>9</v>
          </cell>
          <cell r="M121">
            <v>0</v>
          </cell>
        </row>
        <row r="122">
          <cell r="H122" t="str">
            <v>Lê Văn Bình</v>
          </cell>
          <cell r="J122">
            <v>9</v>
          </cell>
          <cell r="M122">
            <v>0</v>
          </cell>
        </row>
        <row r="123">
          <cell r="H123" t="str">
            <v>Phạm Thị Thu Nga</v>
          </cell>
          <cell r="J123">
            <v>9</v>
          </cell>
          <cell r="M123">
            <v>0</v>
          </cell>
        </row>
        <row r="124">
          <cell r="H124" t="str">
            <v>Nguyễn Thị Cẩm Thạch</v>
          </cell>
          <cell r="J124">
            <v>9</v>
          </cell>
          <cell r="M124">
            <v>0</v>
          </cell>
        </row>
        <row r="125">
          <cell r="H125" t="str">
            <v>Hà Như Mai</v>
          </cell>
          <cell r="J125">
            <v>9</v>
          </cell>
          <cell r="M125">
            <v>0</v>
          </cell>
        </row>
        <row r="126">
          <cell r="H126" t="str">
            <v>Nguyễn Thị Thủy</v>
          </cell>
          <cell r="J126">
            <v>9</v>
          </cell>
          <cell r="M126">
            <v>0</v>
          </cell>
        </row>
        <row r="127">
          <cell r="H127" t="str">
            <v>Dương Đức Kiên</v>
          </cell>
          <cell r="J127">
            <v>9</v>
          </cell>
          <cell r="M127">
            <v>0</v>
          </cell>
        </row>
        <row r="128">
          <cell r="H128" t="str">
            <v>Nguyễn Văn Hậu</v>
          </cell>
          <cell r="J128">
            <v>9</v>
          </cell>
          <cell r="M128">
            <v>0</v>
          </cell>
        </row>
        <row r="129">
          <cell r="H129" t="str">
            <v>Lê Thái Hùng</v>
          </cell>
          <cell r="J129">
            <v>9</v>
          </cell>
          <cell r="M129">
            <v>0</v>
          </cell>
        </row>
        <row r="130">
          <cell r="H130" t="str">
            <v>Nguyễn Phú Tân</v>
          </cell>
          <cell r="J130">
            <v>9</v>
          </cell>
          <cell r="M130">
            <v>0</v>
          </cell>
        </row>
        <row r="131">
          <cell r="H131" t="str">
            <v>Nguyễn Mạnh Phương</v>
          </cell>
          <cell r="J131">
            <v>9</v>
          </cell>
          <cell r="M131">
            <v>0</v>
          </cell>
        </row>
        <row r="132">
          <cell r="H132" t="str">
            <v>Giang Phi Hùng</v>
          </cell>
          <cell r="J132">
            <v>9</v>
          </cell>
          <cell r="M132">
            <v>0</v>
          </cell>
        </row>
        <row r="133">
          <cell r="H133" t="str">
            <v>Ngô Thanh Điền</v>
          </cell>
          <cell r="J133">
            <v>9</v>
          </cell>
          <cell r="M133">
            <v>0</v>
          </cell>
        </row>
        <row r="134">
          <cell r="H134" t="str">
            <v>Nguyễn Thị Thu Hà</v>
          </cell>
          <cell r="J134">
            <v>9</v>
          </cell>
          <cell r="M134">
            <v>0</v>
          </cell>
        </row>
        <row r="135">
          <cell r="H135" t="str">
            <v>Vương Thanh Thủy</v>
          </cell>
          <cell r="J135">
            <v>9</v>
          </cell>
          <cell r="M135">
            <v>0</v>
          </cell>
        </row>
        <row r="136">
          <cell r="H136" t="str">
            <v>Nguyễn Thị Bảo Trân</v>
          </cell>
          <cell r="J136">
            <v>9</v>
          </cell>
          <cell r="M136">
            <v>0</v>
          </cell>
        </row>
        <row r="137">
          <cell r="H137" t="str">
            <v>Nguyễn Thị Thu Tâm</v>
          </cell>
          <cell r="J137">
            <v>9</v>
          </cell>
          <cell r="M137">
            <v>0</v>
          </cell>
        </row>
        <row r="138">
          <cell r="H138" t="str">
            <v>Nguyễn Thị Thanh Tú</v>
          </cell>
          <cell r="J138">
            <v>9</v>
          </cell>
          <cell r="M138">
            <v>0</v>
          </cell>
        </row>
        <row r="139">
          <cell r="H139" t="str">
            <v>Võ Thị Hồng Lan</v>
          </cell>
          <cell r="J139">
            <v>9</v>
          </cell>
          <cell r="M139">
            <v>0</v>
          </cell>
        </row>
        <row r="140">
          <cell r="H140" t="str">
            <v>Lê Nguyễn Mỹ Trâm</v>
          </cell>
          <cell r="J140">
            <v>9</v>
          </cell>
          <cell r="M140">
            <v>0</v>
          </cell>
        </row>
        <row r="141">
          <cell r="H141" t="str">
            <v>Phạm Thị Thu Hiền</v>
          </cell>
          <cell r="J141">
            <v>9</v>
          </cell>
          <cell r="M141">
            <v>0</v>
          </cell>
        </row>
        <row r="142">
          <cell r="H142" t="str">
            <v>Nguyễn Thiện Bình</v>
          </cell>
          <cell r="J142">
            <v>9</v>
          </cell>
          <cell r="M142">
            <v>0</v>
          </cell>
        </row>
        <row r="143">
          <cell r="H143" t="str">
            <v>Trần Thanh Trúc</v>
          </cell>
          <cell r="J143">
            <v>9</v>
          </cell>
          <cell r="M143">
            <v>0</v>
          </cell>
        </row>
        <row r="144">
          <cell r="H144" t="str">
            <v>Lâm Thị Phương Thảo</v>
          </cell>
          <cell r="J144">
            <v>9</v>
          </cell>
          <cell r="M144">
            <v>0</v>
          </cell>
        </row>
        <row r="145">
          <cell r="H145" t="str">
            <v>Trần Hà Trang</v>
          </cell>
          <cell r="J145">
            <v>0</v>
          </cell>
          <cell r="M145" t="str">
            <v>Nghỉ không hưởng lương</v>
          </cell>
        </row>
        <row r="146">
          <cell r="H146" t="str">
            <v>Lê Thu Hà</v>
          </cell>
          <cell r="J146">
            <v>9</v>
          </cell>
          <cell r="M146">
            <v>0</v>
          </cell>
        </row>
        <row r="147">
          <cell r="H147" t="str">
            <v>Ôn Thị Ngọc Thảo</v>
          </cell>
          <cell r="J147">
            <v>9</v>
          </cell>
          <cell r="M147">
            <v>0</v>
          </cell>
        </row>
        <row r="148">
          <cell r="H148" t="str">
            <v>Lê Thị Hồng Vân</v>
          </cell>
          <cell r="J148">
            <v>9</v>
          </cell>
          <cell r="M148">
            <v>0</v>
          </cell>
        </row>
        <row r="149">
          <cell r="H149" t="str">
            <v>Nguyễn Ngọc Quỳnh</v>
          </cell>
          <cell r="J149">
            <v>9</v>
          </cell>
          <cell r="M149">
            <v>0</v>
          </cell>
        </row>
        <row r="150">
          <cell r="H150" t="str">
            <v>Phan Thị Thùy Trang</v>
          </cell>
          <cell r="J150">
            <v>9</v>
          </cell>
          <cell r="M150">
            <v>0</v>
          </cell>
        </row>
        <row r="151">
          <cell r="H151" t="str">
            <v>Lê Thị Mai Hường</v>
          </cell>
          <cell r="J151">
            <v>9</v>
          </cell>
          <cell r="M151">
            <v>0</v>
          </cell>
        </row>
        <row r="152">
          <cell r="H152" t="str">
            <v>Nguyễn Thị Dinh</v>
          </cell>
          <cell r="J152">
            <v>9</v>
          </cell>
          <cell r="M152">
            <v>0</v>
          </cell>
        </row>
        <row r="153">
          <cell r="H153" t="str">
            <v>Đỗ Thị Ngát</v>
          </cell>
          <cell r="J153">
            <v>9</v>
          </cell>
          <cell r="M153">
            <v>0</v>
          </cell>
        </row>
        <row r="154">
          <cell r="H154" t="str">
            <v>Nguyễn Anh Kiệt</v>
          </cell>
          <cell r="J154">
            <v>9</v>
          </cell>
          <cell r="M154">
            <v>0</v>
          </cell>
        </row>
        <row r="155">
          <cell r="H155" t="str">
            <v>Trần Thị Hồng Thu</v>
          </cell>
          <cell r="J155">
            <v>9</v>
          </cell>
          <cell r="M155">
            <v>0</v>
          </cell>
        </row>
        <row r="156">
          <cell r="H156" t="str">
            <v>Đinh Thị Huyên</v>
          </cell>
          <cell r="J156">
            <v>9</v>
          </cell>
          <cell r="M156">
            <v>0</v>
          </cell>
        </row>
        <row r="157">
          <cell r="H157" t="str">
            <v>Cao Thị Hồng Thắm</v>
          </cell>
          <cell r="J157">
            <v>0</v>
          </cell>
          <cell r="M157" t="str">
            <v>Nghỉ hộ sản hưởng chế độ BHXH từ 12/12/2023</v>
          </cell>
        </row>
        <row r="158">
          <cell r="H158" t="str">
            <v>Đỗ Thị Thơm</v>
          </cell>
          <cell r="J158">
            <v>9</v>
          </cell>
          <cell r="M158">
            <v>0</v>
          </cell>
        </row>
        <row r="159">
          <cell r="H159" t="str">
            <v>Phạm Thị Vinh</v>
          </cell>
          <cell r="J159">
            <v>9</v>
          </cell>
          <cell r="M159">
            <v>0</v>
          </cell>
        </row>
        <row r="160">
          <cell r="H160" t="str">
            <v>Hoàng Thị Trang</v>
          </cell>
          <cell r="J160">
            <v>9</v>
          </cell>
          <cell r="M160">
            <v>0</v>
          </cell>
        </row>
        <row r="161">
          <cell r="H161" t="str">
            <v>Bùi Thành Dũng</v>
          </cell>
          <cell r="J161">
            <v>9</v>
          </cell>
          <cell r="M161">
            <v>0</v>
          </cell>
        </row>
        <row r="162">
          <cell r="H162" t="str">
            <v>Trần Văn Lượng</v>
          </cell>
          <cell r="J162">
            <v>9</v>
          </cell>
          <cell r="M162">
            <v>0</v>
          </cell>
        </row>
        <row r="163">
          <cell r="H163" t="str">
            <v>Trần Việt Khánh</v>
          </cell>
          <cell r="J163">
            <v>9</v>
          </cell>
          <cell r="M163">
            <v>0</v>
          </cell>
        </row>
        <row r="164">
          <cell r="H164" t="str">
            <v>Vũ Thị Thái Linh</v>
          </cell>
          <cell r="J164">
            <v>9</v>
          </cell>
          <cell r="M164">
            <v>0</v>
          </cell>
        </row>
        <row r="165">
          <cell r="H165" t="str">
            <v>Nguyễn Sanh Cường</v>
          </cell>
          <cell r="J165">
            <v>9</v>
          </cell>
          <cell r="M165">
            <v>0</v>
          </cell>
        </row>
        <row r="166">
          <cell r="H166" t="str">
            <v>Lê Quý Hưng Quốc</v>
          </cell>
          <cell r="J166">
            <v>9</v>
          </cell>
          <cell r="M166">
            <v>0</v>
          </cell>
        </row>
        <row r="167">
          <cell r="H167" t="str">
            <v>Bùi Văn Dũng</v>
          </cell>
          <cell r="J167">
            <v>9</v>
          </cell>
          <cell r="M167">
            <v>0</v>
          </cell>
        </row>
        <row r="168">
          <cell r="H168" t="str">
            <v>Nguyễn Văn Minh</v>
          </cell>
          <cell r="J168">
            <v>9</v>
          </cell>
          <cell r="M168">
            <v>0</v>
          </cell>
        </row>
        <row r="169">
          <cell r="H169" t="str">
            <v>Nguyễn Thị Khánh Thư</v>
          </cell>
          <cell r="J169">
            <v>9</v>
          </cell>
          <cell r="M169">
            <v>0</v>
          </cell>
        </row>
        <row r="170">
          <cell r="H170" t="str">
            <v>Đỗ Thị Hải Yến</v>
          </cell>
          <cell r="J170">
            <v>9</v>
          </cell>
          <cell r="M170">
            <v>0</v>
          </cell>
        </row>
        <row r="171">
          <cell r="H171" t="str">
            <v>Lê Hồng Thái</v>
          </cell>
          <cell r="J171">
            <v>9</v>
          </cell>
          <cell r="M171">
            <v>0</v>
          </cell>
        </row>
        <row r="172">
          <cell r="H172" t="str">
            <v>Đặng Ngọc Đoàn</v>
          </cell>
          <cell r="J172">
            <v>9</v>
          </cell>
          <cell r="M172">
            <v>0</v>
          </cell>
        </row>
        <row r="173">
          <cell r="H173" t="str">
            <v>Nguyễn Văn Đôn</v>
          </cell>
          <cell r="J173">
            <v>9</v>
          </cell>
          <cell r="M173">
            <v>0</v>
          </cell>
        </row>
        <row r="174">
          <cell r="H174" t="str">
            <v>Huỳnh Quốc Dũng</v>
          </cell>
          <cell r="J174">
            <v>9</v>
          </cell>
          <cell r="M174">
            <v>0</v>
          </cell>
        </row>
        <row r="175">
          <cell r="H175" t="str">
            <v>Dương Ngọc Vọng</v>
          </cell>
          <cell r="J175">
            <v>9</v>
          </cell>
          <cell r="M175">
            <v>0</v>
          </cell>
        </row>
        <row r="176">
          <cell r="H176" t="str">
            <v>Nguyễn Ngọc Tuyên</v>
          </cell>
          <cell r="J176">
            <v>9</v>
          </cell>
          <cell r="M176">
            <v>0</v>
          </cell>
        </row>
        <row r="177">
          <cell r="H177" t="str">
            <v>Nguyễn Cao Phong</v>
          </cell>
          <cell r="J177">
            <v>9</v>
          </cell>
          <cell r="M177">
            <v>0</v>
          </cell>
        </row>
        <row r="178">
          <cell r="H178" t="str">
            <v>Mai Chiếm Tuấn</v>
          </cell>
          <cell r="J178">
            <v>9</v>
          </cell>
          <cell r="M178">
            <v>0</v>
          </cell>
        </row>
        <row r="179">
          <cell r="H179" t="str">
            <v>Đỗ Tuấn Việt</v>
          </cell>
          <cell r="J179">
            <v>9</v>
          </cell>
          <cell r="M179">
            <v>0</v>
          </cell>
        </row>
        <row r="180">
          <cell r="H180" t="str">
            <v>Trần Vĩnh Xuyên</v>
          </cell>
          <cell r="J180">
            <v>9</v>
          </cell>
          <cell r="M180">
            <v>0</v>
          </cell>
        </row>
        <row r="181">
          <cell r="H181" t="str">
            <v>Đào Lê Phương Anh</v>
          </cell>
          <cell r="J181">
            <v>9</v>
          </cell>
          <cell r="M181">
            <v>0</v>
          </cell>
        </row>
        <row r="182">
          <cell r="H182" t="str">
            <v>Nguyễn Duy Lộc</v>
          </cell>
          <cell r="J182">
            <v>9</v>
          </cell>
          <cell r="M182">
            <v>0</v>
          </cell>
        </row>
        <row r="183">
          <cell r="H183" t="str">
            <v>Chung Trần Thế Vinh</v>
          </cell>
          <cell r="J183">
            <v>16</v>
          </cell>
          <cell r="M183">
            <v>0</v>
          </cell>
        </row>
        <row r="184">
          <cell r="H184" t="str">
            <v>Đỗ Thị Phương Khanh</v>
          </cell>
          <cell r="J184">
            <v>9</v>
          </cell>
          <cell r="M184">
            <v>0</v>
          </cell>
        </row>
        <row r="185">
          <cell r="H185" t="str">
            <v>Trương Thị Phương Hồng</v>
          </cell>
          <cell r="J185">
            <v>9</v>
          </cell>
          <cell r="M185">
            <v>0</v>
          </cell>
        </row>
        <row r="186">
          <cell r="H186" t="str">
            <v>Dương Minh Chung</v>
          </cell>
          <cell r="J186">
            <v>9</v>
          </cell>
          <cell r="M186">
            <v>0</v>
          </cell>
        </row>
        <row r="187">
          <cell r="H187" t="str">
            <v>Phan Văn Thành</v>
          </cell>
          <cell r="J187">
            <v>9</v>
          </cell>
          <cell r="M187">
            <v>0</v>
          </cell>
        </row>
        <row r="188">
          <cell r="H188" t="str">
            <v>Vũ Đức Pháp</v>
          </cell>
          <cell r="J188">
            <v>9</v>
          </cell>
          <cell r="M188">
            <v>0</v>
          </cell>
        </row>
        <row r="189">
          <cell r="H189" t="str">
            <v>Vũ Quang Khải</v>
          </cell>
          <cell r="J189">
            <v>9</v>
          </cell>
          <cell r="M189">
            <v>0</v>
          </cell>
        </row>
        <row r="190">
          <cell r="H190" t="str">
            <v>Nguyễn Thanh Vũ</v>
          </cell>
          <cell r="J190">
            <v>9</v>
          </cell>
          <cell r="M190">
            <v>0</v>
          </cell>
        </row>
        <row r="191">
          <cell r="H191" t="str">
            <v>Phan Thị Xuân Trang</v>
          </cell>
          <cell r="J191">
            <v>9</v>
          </cell>
          <cell r="M191">
            <v>0</v>
          </cell>
        </row>
        <row r="192">
          <cell r="H192" t="str">
            <v>Trần Đình Khải</v>
          </cell>
          <cell r="J192">
            <v>9</v>
          </cell>
          <cell r="M192">
            <v>0</v>
          </cell>
        </row>
        <row r="193">
          <cell r="H193" t="str">
            <v>Lư Thị Yến Vũ</v>
          </cell>
          <cell r="J193">
            <v>9</v>
          </cell>
          <cell r="M193">
            <v>0</v>
          </cell>
        </row>
        <row r="194">
          <cell r="H194" t="str">
            <v>Nguyễn Tiến Dũng</v>
          </cell>
          <cell r="J194">
            <v>9</v>
          </cell>
          <cell r="M194">
            <v>0</v>
          </cell>
        </row>
        <row r="195">
          <cell r="H195" t="str">
            <v>Nguyễn Thành Long</v>
          </cell>
          <cell r="J195">
            <v>9</v>
          </cell>
          <cell r="M195">
            <v>0</v>
          </cell>
        </row>
        <row r="196">
          <cell r="H196" t="str">
            <v>Nguyễn Ngọc Quỳnh.</v>
          </cell>
          <cell r="J196">
            <v>9</v>
          </cell>
          <cell r="M196">
            <v>0</v>
          </cell>
        </row>
        <row r="197">
          <cell r="H197" t="str">
            <v>Nguyễn Duy Hải</v>
          </cell>
          <cell r="J197">
            <v>9</v>
          </cell>
          <cell r="M197">
            <v>0</v>
          </cell>
        </row>
        <row r="198">
          <cell r="H198" t="str">
            <v>Bùi Anh Tuấn</v>
          </cell>
          <cell r="J198">
            <v>9</v>
          </cell>
          <cell r="M198">
            <v>0</v>
          </cell>
        </row>
        <row r="199">
          <cell r="H199" t="str">
            <v>Trần Thị Hương</v>
          </cell>
          <cell r="J199">
            <v>9</v>
          </cell>
          <cell r="M199">
            <v>0</v>
          </cell>
        </row>
        <row r="200">
          <cell r="H200" t="str">
            <v>Trần Minh Thông</v>
          </cell>
          <cell r="J200">
            <v>9</v>
          </cell>
          <cell r="M200">
            <v>0</v>
          </cell>
        </row>
        <row r="201">
          <cell r="H201" t="str">
            <v>Nguyễn Thanh Vĩnh Phúc</v>
          </cell>
          <cell r="J201">
            <v>9</v>
          </cell>
          <cell r="M201">
            <v>0</v>
          </cell>
        </row>
        <row r="202">
          <cell r="H202" t="str">
            <v>Võ Minh Quang</v>
          </cell>
          <cell r="J202">
            <v>9</v>
          </cell>
          <cell r="M202">
            <v>0</v>
          </cell>
        </row>
        <row r="203">
          <cell r="H203" t="str">
            <v>Dương Thị Hồng</v>
          </cell>
          <cell r="J203">
            <v>9</v>
          </cell>
          <cell r="M203">
            <v>0</v>
          </cell>
        </row>
        <row r="204">
          <cell r="H204" t="str">
            <v>Nguyễn Thanh Giang</v>
          </cell>
          <cell r="J204">
            <v>9</v>
          </cell>
          <cell r="M204">
            <v>0</v>
          </cell>
        </row>
        <row r="205">
          <cell r="H205" t="str">
            <v>Nguyễn Hồng Phúc</v>
          </cell>
          <cell r="J205">
            <v>9</v>
          </cell>
          <cell r="M205">
            <v>0</v>
          </cell>
        </row>
        <row r="206">
          <cell r="H206" t="str">
            <v>Nguyễn Văn Sơn</v>
          </cell>
          <cell r="J206">
            <v>9</v>
          </cell>
          <cell r="M206">
            <v>0</v>
          </cell>
        </row>
        <row r="207">
          <cell r="H207" t="str">
            <v>Nguyễn Khắc Huy</v>
          </cell>
          <cell r="J207">
            <v>9</v>
          </cell>
          <cell r="M207">
            <v>0</v>
          </cell>
        </row>
        <row r="208">
          <cell r="H208" t="str">
            <v>Võ Hoài Sơn</v>
          </cell>
          <cell r="J208">
            <v>9</v>
          </cell>
          <cell r="M208">
            <v>0</v>
          </cell>
        </row>
        <row r="209">
          <cell r="H209" t="str">
            <v>Nguyễn Thị Xuân Chinh</v>
          </cell>
          <cell r="J209">
            <v>9</v>
          </cell>
          <cell r="M209">
            <v>0</v>
          </cell>
        </row>
        <row r="210">
          <cell r="H210" t="str">
            <v>Nguyễn Duy Tân</v>
          </cell>
          <cell r="J210">
            <v>9</v>
          </cell>
          <cell r="M210">
            <v>0</v>
          </cell>
        </row>
        <row r="211">
          <cell r="H211" t="str">
            <v>Nguyễn Ngọc Hiệp</v>
          </cell>
          <cell r="J211">
            <v>9</v>
          </cell>
          <cell r="M211">
            <v>0</v>
          </cell>
        </row>
        <row r="212">
          <cell r="H212" t="str">
            <v>Tạ Minh Cường</v>
          </cell>
          <cell r="J212">
            <v>14</v>
          </cell>
          <cell r="M212">
            <v>0</v>
          </cell>
        </row>
        <row r="213">
          <cell r="H213" t="str">
            <v>Phạm Minh Nghĩa</v>
          </cell>
          <cell r="J213">
            <v>9</v>
          </cell>
          <cell r="M213">
            <v>0</v>
          </cell>
        </row>
        <row r="214">
          <cell r="H214" t="str">
            <v>Nguyễn Văn Yên</v>
          </cell>
          <cell r="J214">
            <v>9</v>
          </cell>
          <cell r="M214">
            <v>0</v>
          </cell>
        </row>
        <row r="215">
          <cell r="H215" t="str">
            <v>Nguyễn Minh Đức</v>
          </cell>
          <cell r="J215">
            <v>9</v>
          </cell>
          <cell r="M215">
            <v>0</v>
          </cell>
        </row>
        <row r="216">
          <cell r="H216" t="str">
            <v>Nguyễn Anh Tăng</v>
          </cell>
          <cell r="J216">
            <v>9</v>
          </cell>
          <cell r="M216">
            <v>0</v>
          </cell>
        </row>
        <row r="217">
          <cell r="H217" t="str">
            <v>Lê Thế Huân</v>
          </cell>
          <cell r="J217">
            <v>9</v>
          </cell>
          <cell r="M217">
            <v>0</v>
          </cell>
        </row>
        <row r="218">
          <cell r="H218" t="str">
            <v>Trần Trung Hiếu</v>
          </cell>
          <cell r="J218">
            <v>9</v>
          </cell>
          <cell r="M218">
            <v>0</v>
          </cell>
        </row>
        <row r="219">
          <cell r="H219" t="str">
            <v>Trần Nguyên Bảo Trân</v>
          </cell>
          <cell r="J219">
            <v>9</v>
          </cell>
          <cell r="M219">
            <v>0</v>
          </cell>
        </row>
        <row r="220">
          <cell r="H220" t="str">
            <v>Mạnh Lê Hoàn</v>
          </cell>
          <cell r="J220">
            <v>9</v>
          </cell>
          <cell r="M220">
            <v>0</v>
          </cell>
        </row>
        <row r="221">
          <cell r="H221" t="str">
            <v>Ngô Hoàng Anh</v>
          </cell>
          <cell r="J221">
            <v>9</v>
          </cell>
          <cell r="M221">
            <v>0</v>
          </cell>
        </row>
        <row r="222">
          <cell r="H222" t="str">
            <v>Nguyễn Thùy Linh</v>
          </cell>
          <cell r="J222">
            <v>9</v>
          </cell>
          <cell r="M222">
            <v>0</v>
          </cell>
        </row>
        <row r="223">
          <cell r="H223" t="str">
            <v>Vũ Hạnh Chiêu</v>
          </cell>
          <cell r="J223">
            <v>9</v>
          </cell>
          <cell r="M223">
            <v>0</v>
          </cell>
        </row>
        <row r="224">
          <cell r="H224" t="str">
            <v>Đỗ Huỳnh Thanh Phong</v>
          </cell>
          <cell r="J224">
            <v>9</v>
          </cell>
          <cell r="M224">
            <v>0</v>
          </cell>
        </row>
        <row r="225">
          <cell r="H225" t="str">
            <v>Nguyễn Minh Đức Cường</v>
          </cell>
          <cell r="J225">
            <v>9</v>
          </cell>
          <cell r="M225">
            <v>0</v>
          </cell>
        </row>
        <row r="226">
          <cell r="H226" t="str">
            <v>Huỳnh Ngọc Mai</v>
          </cell>
          <cell r="J226">
            <v>9</v>
          </cell>
          <cell r="M226">
            <v>0</v>
          </cell>
        </row>
        <row r="227">
          <cell r="H227" t="str">
            <v>Nguyễn Hồng Đức</v>
          </cell>
          <cell r="J227">
            <v>9</v>
          </cell>
          <cell r="M227">
            <v>0</v>
          </cell>
        </row>
        <row r="228">
          <cell r="H228" t="str">
            <v>Trần Công Tiến</v>
          </cell>
          <cell r="J228">
            <v>9</v>
          </cell>
          <cell r="M228">
            <v>0</v>
          </cell>
        </row>
        <row r="229">
          <cell r="H229" t="str">
            <v>Nguyễn Trần Thanh Nhàn</v>
          </cell>
          <cell r="J229">
            <v>9</v>
          </cell>
          <cell r="M229">
            <v>0</v>
          </cell>
        </row>
        <row r="230">
          <cell r="H230" t="str">
            <v>Tăng Cẩm Huê</v>
          </cell>
          <cell r="J230">
            <v>9</v>
          </cell>
          <cell r="M230">
            <v>0</v>
          </cell>
        </row>
        <row r="231">
          <cell r="H231" t="str">
            <v>Trần Hiếu Trinh</v>
          </cell>
          <cell r="J231">
            <v>9</v>
          </cell>
          <cell r="M231">
            <v>0</v>
          </cell>
        </row>
        <row r="232">
          <cell r="H232" t="str">
            <v>Nguyễn Thị Tố Nga</v>
          </cell>
          <cell r="J232">
            <v>9</v>
          </cell>
          <cell r="M232">
            <v>0</v>
          </cell>
        </row>
        <row r="233">
          <cell r="H233" t="str">
            <v>Đặng Đức Minh</v>
          </cell>
          <cell r="J233">
            <v>9</v>
          </cell>
          <cell r="M233">
            <v>0</v>
          </cell>
        </row>
        <row r="234">
          <cell r="H234" t="str">
            <v>Nguyễn Thị Ngọc Hiền</v>
          </cell>
          <cell r="J234">
            <v>9</v>
          </cell>
          <cell r="M234">
            <v>0</v>
          </cell>
        </row>
        <row r="235">
          <cell r="H235" t="str">
            <v>Ngô Phong Cường</v>
          </cell>
          <cell r="J235">
            <v>9</v>
          </cell>
          <cell r="M235">
            <v>0</v>
          </cell>
        </row>
        <row r="236">
          <cell r="H236" t="str">
            <v>Cao Văn Tuấn</v>
          </cell>
          <cell r="J236">
            <v>9</v>
          </cell>
          <cell r="M236">
            <v>0</v>
          </cell>
        </row>
        <row r="237">
          <cell r="H237" t="str">
            <v>Trần Nam Anh</v>
          </cell>
          <cell r="J237">
            <v>9</v>
          </cell>
          <cell r="M237">
            <v>0</v>
          </cell>
        </row>
        <row r="238">
          <cell r="H238" t="str">
            <v>Trần Giang Nam</v>
          </cell>
          <cell r="J238">
            <v>9</v>
          </cell>
          <cell r="M238">
            <v>0</v>
          </cell>
        </row>
        <row r="239">
          <cell r="H239" t="str">
            <v>Phan Thanh Hoàng</v>
          </cell>
          <cell r="J239">
            <v>9</v>
          </cell>
          <cell r="M239">
            <v>0</v>
          </cell>
        </row>
        <row r="240">
          <cell r="H240" t="str">
            <v>Huỳnh Duy An</v>
          </cell>
          <cell r="J240">
            <v>9</v>
          </cell>
          <cell r="M240">
            <v>0</v>
          </cell>
        </row>
        <row r="241">
          <cell r="H241" t="str">
            <v>Nguyễn Khương Thành</v>
          </cell>
          <cell r="J241">
            <v>9</v>
          </cell>
          <cell r="M241">
            <v>0</v>
          </cell>
        </row>
        <row r="242">
          <cell r="H242" t="str">
            <v>Nguyễn Anh Tuấn</v>
          </cell>
          <cell r="J242">
            <v>5</v>
          </cell>
          <cell r="M242" t="str">
            <v>Trừ 4 ngày nghỉ 26+27+28+29/2</v>
          </cell>
        </row>
        <row r="243">
          <cell r="H243" t="str">
            <v>Võ Đắc Thịnh</v>
          </cell>
          <cell r="J243">
            <v>9</v>
          </cell>
          <cell r="M243">
            <v>0</v>
          </cell>
        </row>
        <row r="244">
          <cell r="H244" t="str">
            <v>Nguyễn Hữu Mạnh</v>
          </cell>
          <cell r="J244">
            <v>9</v>
          </cell>
          <cell r="M244">
            <v>0</v>
          </cell>
        </row>
        <row r="245">
          <cell r="H245" t="str">
            <v>Phan Anh Tuấn Kiệt</v>
          </cell>
          <cell r="J245">
            <v>9</v>
          </cell>
          <cell r="M245">
            <v>0</v>
          </cell>
        </row>
        <row r="246">
          <cell r="H246" t="str">
            <v>Triệu Phú Nguyên</v>
          </cell>
          <cell r="J246">
            <v>9</v>
          </cell>
          <cell r="M246">
            <v>0</v>
          </cell>
        </row>
        <row r="247">
          <cell r="H247" t="str">
            <v>Nguyễn Thành Đức</v>
          </cell>
          <cell r="J247">
            <v>9</v>
          </cell>
          <cell r="M247">
            <v>0</v>
          </cell>
        </row>
        <row r="248">
          <cell r="H248" t="str">
            <v>Nguyễn Minh Thái</v>
          </cell>
          <cell r="J248">
            <v>9</v>
          </cell>
          <cell r="M248">
            <v>0</v>
          </cell>
        </row>
        <row r="249">
          <cell r="H249" t="str">
            <v>Đặng Thái Sơn</v>
          </cell>
          <cell r="J249">
            <v>9</v>
          </cell>
          <cell r="M249">
            <v>0</v>
          </cell>
        </row>
        <row r="250">
          <cell r="H250" t="str">
            <v>Nguyễn Thái Bình</v>
          </cell>
          <cell r="J250">
            <v>9</v>
          </cell>
          <cell r="M250">
            <v>0</v>
          </cell>
        </row>
        <row r="251">
          <cell r="H251" t="str">
            <v>Kiều Trung Tín</v>
          </cell>
          <cell r="J251">
            <v>9</v>
          </cell>
          <cell r="M251">
            <v>0</v>
          </cell>
        </row>
        <row r="252">
          <cell r="H252" t="str">
            <v>Trần Quốc Duy</v>
          </cell>
          <cell r="J252">
            <v>9</v>
          </cell>
          <cell r="M252">
            <v>0</v>
          </cell>
        </row>
        <row r="253">
          <cell r="H253" t="str">
            <v>Hồ Văn Hóa</v>
          </cell>
          <cell r="J253">
            <v>9</v>
          </cell>
          <cell r="M253">
            <v>0</v>
          </cell>
        </row>
        <row r="254">
          <cell r="H254" t="str">
            <v>Nguyễn Thanh Hùng</v>
          </cell>
          <cell r="J254">
            <v>9</v>
          </cell>
          <cell r="M254">
            <v>0</v>
          </cell>
        </row>
        <row r="255">
          <cell r="H255" t="str">
            <v>Hà Quốc Bảo</v>
          </cell>
          <cell r="J255">
            <v>9</v>
          </cell>
          <cell r="M255">
            <v>0</v>
          </cell>
        </row>
        <row r="256">
          <cell r="H256" t="str">
            <v>Hoàng Phúc Bảo</v>
          </cell>
          <cell r="J256">
            <v>9</v>
          </cell>
          <cell r="M256">
            <v>0</v>
          </cell>
        </row>
        <row r="257">
          <cell r="H257" t="str">
            <v>Nguyễn Lương Tâm</v>
          </cell>
          <cell r="J257">
            <v>9</v>
          </cell>
          <cell r="M257">
            <v>0</v>
          </cell>
        </row>
        <row r="258">
          <cell r="H258" t="str">
            <v>Trần Thế Sơn</v>
          </cell>
          <cell r="J258">
            <v>9</v>
          </cell>
          <cell r="M258">
            <v>0</v>
          </cell>
        </row>
        <row r="259">
          <cell r="H259" t="str">
            <v>Trần Văn Đông</v>
          </cell>
          <cell r="J259">
            <v>9</v>
          </cell>
          <cell r="M259">
            <v>0</v>
          </cell>
        </row>
        <row r="260">
          <cell r="H260" t="str">
            <v>Lý Văn Trung</v>
          </cell>
          <cell r="J260">
            <v>9</v>
          </cell>
          <cell r="M260">
            <v>0</v>
          </cell>
        </row>
        <row r="261">
          <cell r="H261" t="str">
            <v>Đỗ Hoàng Duy</v>
          </cell>
          <cell r="J261">
            <v>9</v>
          </cell>
          <cell r="M261">
            <v>0</v>
          </cell>
        </row>
        <row r="262">
          <cell r="H262" t="str">
            <v>Nguyễn Hoàng Vinh</v>
          </cell>
          <cell r="J262">
            <v>9</v>
          </cell>
          <cell r="M262">
            <v>0</v>
          </cell>
        </row>
        <row r="263">
          <cell r="H263" t="str">
            <v>Bùi Trọng Tân</v>
          </cell>
          <cell r="J263">
            <v>9</v>
          </cell>
          <cell r="M263">
            <v>0</v>
          </cell>
        </row>
        <row r="264">
          <cell r="H264" t="str">
            <v>Võ Quốc Duy</v>
          </cell>
          <cell r="J264">
            <v>9</v>
          </cell>
          <cell r="M264">
            <v>0</v>
          </cell>
        </row>
        <row r="265">
          <cell r="H265" t="str">
            <v>Giang Văn Tiến</v>
          </cell>
          <cell r="J265">
            <v>9</v>
          </cell>
          <cell r="M265">
            <v>0</v>
          </cell>
        </row>
        <row r="266">
          <cell r="H266" t="str">
            <v>Nguyễn Hữu Lương</v>
          </cell>
          <cell r="J266">
            <v>9</v>
          </cell>
          <cell r="M266">
            <v>0</v>
          </cell>
        </row>
        <row r="267">
          <cell r="H267" t="str">
            <v>Huỳnh Đình Văn</v>
          </cell>
          <cell r="J267">
            <v>9</v>
          </cell>
          <cell r="M267">
            <v>0</v>
          </cell>
        </row>
        <row r="268">
          <cell r="H268" t="str">
            <v>Đinh Đồng Hiệp</v>
          </cell>
          <cell r="J268">
            <v>9</v>
          </cell>
          <cell r="M268">
            <v>0</v>
          </cell>
        </row>
        <row r="269">
          <cell r="H269" t="str">
            <v>Đặng Thế Huân</v>
          </cell>
          <cell r="J269">
            <v>9</v>
          </cell>
          <cell r="M269">
            <v>0</v>
          </cell>
        </row>
        <row r="270">
          <cell r="H270" t="str">
            <v>Võ Anh Hào</v>
          </cell>
          <cell r="J270">
            <v>9</v>
          </cell>
          <cell r="M270">
            <v>0</v>
          </cell>
        </row>
        <row r="271">
          <cell r="H271" t="str">
            <v>Phan Văn Hòa</v>
          </cell>
          <cell r="J271">
            <v>9</v>
          </cell>
          <cell r="M271">
            <v>0</v>
          </cell>
        </row>
        <row r="272">
          <cell r="H272" t="str">
            <v>Trần Đình Khoa</v>
          </cell>
          <cell r="J272">
            <v>9</v>
          </cell>
          <cell r="M272">
            <v>0</v>
          </cell>
        </row>
        <row r="273">
          <cell r="H273" t="str">
            <v>Đỗ Trọng Quý</v>
          </cell>
          <cell r="J273">
            <v>9</v>
          </cell>
          <cell r="M273">
            <v>0</v>
          </cell>
        </row>
        <row r="274">
          <cell r="H274" t="str">
            <v>Nguyễn Vũ Xuân Thì</v>
          </cell>
          <cell r="J274">
            <v>9</v>
          </cell>
          <cell r="M274">
            <v>0</v>
          </cell>
        </row>
        <row r="275">
          <cell r="H275" t="str">
            <v>Hoàng Văn Viết</v>
          </cell>
          <cell r="J275">
            <v>9</v>
          </cell>
          <cell r="M275">
            <v>0</v>
          </cell>
        </row>
        <row r="276">
          <cell r="H276" t="str">
            <v>Nguyễn Thanh Dũng</v>
          </cell>
          <cell r="J276">
            <v>9</v>
          </cell>
          <cell r="M276">
            <v>0</v>
          </cell>
        </row>
        <row r="277">
          <cell r="H277">
            <v>0</v>
          </cell>
          <cell r="J277">
            <v>2982</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L"/>
      <sheetName val="CN"/>
      <sheetName val="NH"/>
      <sheetName val="CN mới"/>
      <sheetName val="THPT mới"/>
      <sheetName val="NH mới"/>
      <sheetName val="111"/>
      <sheetName val="Sheet1"/>
    </sheetNames>
    <sheetDataSet>
      <sheetData sheetId="0">
        <row r="12">
          <cell r="B12" t="str">
            <v>Phạm Quang Vũ</v>
          </cell>
          <cell r="X12">
            <v>1412345.4545454551</v>
          </cell>
        </row>
        <row r="13">
          <cell r="B13" t="str">
            <v>Trình Minh Phong</v>
          </cell>
          <cell r="X13">
            <v>655363.6363636367</v>
          </cell>
        </row>
        <row r="14">
          <cell r="B14" t="str">
            <v>Trần Ngọc Tuấn</v>
          </cell>
          <cell r="X14">
            <v>689236.3636363633</v>
          </cell>
        </row>
        <row r="15">
          <cell r="B15" t="str">
            <v>Trịnh Hoàng Hiệp</v>
          </cell>
          <cell r="X15">
            <v>1307781.8181818184</v>
          </cell>
        </row>
        <row r="16">
          <cell r="B16" t="str">
            <v>Trần Thị Ngọc Dung</v>
          </cell>
          <cell r="X16">
            <v>736363.6363636367</v>
          </cell>
        </row>
        <row r="17">
          <cell r="B17" t="str">
            <v>Cao Xuân Giang</v>
          </cell>
          <cell r="X17">
            <v>736363.6363636367</v>
          </cell>
        </row>
        <row r="18">
          <cell r="B18" t="str">
            <v>Phạm Quỳnh Như</v>
          </cell>
          <cell r="X18">
            <v>1377981.8181818184</v>
          </cell>
        </row>
        <row r="19">
          <cell r="B19" t="str">
            <v>Lê Thị Thúy Oanh</v>
          </cell>
          <cell r="X19">
            <v>689236.3636363633</v>
          </cell>
        </row>
        <row r="20">
          <cell r="B20" t="str">
            <v>Lê Thị Thu Thảo</v>
          </cell>
          <cell r="X20">
            <v>817363.63636363577</v>
          </cell>
        </row>
        <row r="21">
          <cell r="B21" t="str">
            <v>Nguyễn Mỹ Tiên</v>
          </cell>
          <cell r="X21">
            <v>736363.6363636367</v>
          </cell>
        </row>
        <row r="22">
          <cell r="B22" t="str">
            <v>Lưu Thị Thúy</v>
          </cell>
          <cell r="X22">
            <v>1078036.3636363642</v>
          </cell>
        </row>
        <row r="23">
          <cell r="B23" t="str">
            <v>Võ Thị Kim Thư</v>
          </cell>
          <cell r="X23">
            <v>883636.36363636423</v>
          </cell>
        </row>
        <row r="24">
          <cell r="B24" t="str">
            <v>Lữ Xuân Trang</v>
          </cell>
          <cell r="X24">
            <v>1535563.6363636367</v>
          </cell>
        </row>
        <row r="25">
          <cell r="B25" t="str">
            <v>Hồ Gia Bảo</v>
          </cell>
          <cell r="X25">
            <v>1095709.0909090908</v>
          </cell>
        </row>
        <row r="26">
          <cell r="B26" t="str">
            <v>Nguyễn Thị Thanh Hòa</v>
          </cell>
          <cell r="X26">
            <v>689236.3636363633</v>
          </cell>
        </row>
        <row r="27">
          <cell r="B27" t="str">
            <v>Đinh Thị Trâm</v>
          </cell>
          <cell r="X27">
            <v>1144309.0909090908</v>
          </cell>
        </row>
        <row r="28">
          <cell r="B28" t="str">
            <v>Huỳnh Kim Liên</v>
          </cell>
          <cell r="X28">
            <v>1078036.3636363642</v>
          </cell>
        </row>
        <row r="29">
          <cell r="B29" t="str">
            <v>Lê Hồng Ngọc My</v>
          </cell>
          <cell r="X29">
            <v>883636.36363636423</v>
          </cell>
        </row>
        <row r="30">
          <cell r="B30" t="str">
            <v>Nguyễn Huỳnh Lưu Phương</v>
          </cell>
          <cell r="X30">
            <v>898363.63636363577</v>
          </cell>
        </row>
        <row r="31">
          <cell r="B31" t="str">
            <v>Lâm Thị Phương Thùy</v>
          </cell>
          <cell r="X31">
            <v>898363.63636363577</v>
          </cell>
        </row>
        <row r="32">
          <cell r="B32" t="str">
            <v>Nguyễn Bạch Cẩm Dung</v>
          </cell>
          <cell r="X32">
            <v>898363.63636363577</v>
          </cell>
        </row>
        <row r="33">
          <cell r="B33" t="str">
            <v>Nguyễn Ngọc Thọ</v>
          </cell>
          <cell r="X33">
            <v>1113381.8181818184</v>
          </cell>
        </row>
        <row r="34">
          <cell r="B34" t="str">
            <v>Nguyễn Thị Hiền</v>
          </cell>
          <cell r="X34">
            <v>817363.63636363577</v>
          </cell>
        </row>
        <row r="35">
          <cell r="B35" t="str">
            <v>Bùi Thị Ngọc Sương</v>
          </cell>
          <cell r="X35">
            <v>980836.36363636423</v>
          </cell>
        </row>
        <row r="36">
          <cell r="B36" t="str">
            <v>Chế Vân Cầm</v>
          </cell>
          <cell r="X36">
            <v>980836.36363636423</v>
          </cell>
        </row>
        <row r="37">
          <cell r="B37" t="str">
            <v>Phạm Thị Thanh Thúy</v>
          </cell>
          <cell r="X37">
            <v>1882783.6363636367</v>
          </cell>
        </row>
        <row r="38">
          <cell r="B38" t="str">
            <v>Trần Hồng Thảo</v>
          </cell>
          <cell r="X38">
            <v>883636.36363636423</v>
          </cell>
        </row>
        <row r="39">
          <cell r="B39" t="str">
            <v>Lê Thị Phương Thảo</v>
          </cell>
          <cell r="X39">
            <v>736363.6363636367</v>
          </cell>
        </row>
        <row r="40">
          <cell r="B40" t="str">
            <v>Nguyễn Thị Nhuận</v>
          </cell>
          <cell r="X40">
            <v>1066254.5454545449</v>
          </cell>
        </row>
        <row r="41">
          <cell r="B41" t="str">
            <v>Nguyễn Thị Huyền Nga</v>
          </cell>
          <cell r="X41">
            <v>1357069.0909090899</v>
          </cell>
        </row>
        <row r="42">
          <cell r="B42" t="str">
            <v>Nguyễn Phương Hà</v>
          </cell>
          <cell r="X42">
            <v>1060363.6363636367</v>
          </cell>
        </row>
        <row r="43">
          <cell r="B43" t="str">
            <v>Trịnh Khắc Vũ</v>
          </cell>
          <cell r="X43">
            <v>979363.63636363577</v>
          </cell>
        </row>
        <row r="44">
          <cell r="B44" t="str">
            <v>Lê Minh Phong</v>
          </cell>
          <cell r="X44">
            <v>898363.63636363577</v>
          </cell>
        </row>
        <row r="45">
          <cell r="B45" t="str">
            <v>Nguyễn Văn Đông</v>
          </cell>
          <cell r="X45">
            <v>1141363.6363636367</v>
          </cell>
        </row>
        <row r="46">
          <cell r="B46" t="str">
            <v>Đặng Thị Kiến Trúc</v>
          </cell>
          <cell r="X46">
            <v>1272436.3636363642</v>
          </cell>
        </row>
        <row r="47">
          <cell r="B47" t="str">
            <v>Nguyễn Thanh Tú</v>
          </cell>
          <cell r="X47">
            <v>1584183.2727272715</v>
          </cell>
        </row>
        <row r="48">
          <cell r="B48" t="str">
            <v>Trần Thị Ánh Tuyết</v>
          </cell>
          <cell r="X48">
            <v>979363.63636363577</v>
          </cell>
        </row>
        <row r="49">
          <cell r="B49" t="str">
            <v>Lê Văn Bình</v>
          </cell>
          <cell r="X49">
            <v>898363.63636363577</v>
          </cell>
        </row>
        <row r="50">
          <cell r="B50" t="str">
            <v>Phạm Thị Thu Nga</v>
          </cell>
          <cell r="X50">
            <v>1046618.1818181816</v>
          </cell>
        </row>
        <row r="51">
          <cell r="B51" t="str">
            <v>Nguyễn Thị Cẩm Thạch</v>
          </cell>
          <cell r="X51">
            <v>1283481.8181818184</v>
          </cell>
        </row>
        <row r="52">
          <cell r="B52" t="str">
            <v>Hà Như Mai</v>
          </cell>
          <cell r="X52">
            <v>1175236.3636363642</v>
          </cell>
        </row>
        <row r="53">
          <cell r="B53" t="str">
            <v>Nguyễn Thị Thủy</v>
          </cell>
          <cell r="X53">
            <v>898363.63636363577</v>
          </cell>
        </row>
        <row r="54">
          <cell r="B54" t="str">
            <v>Dương Đức Kiên</v>
          </cell>
          <cell r="X54">
            <v>653890.90909090918</v>
          </cell>
        </row>
        <row r="55">
          <cell r="B55" t="str">
            <v>Nguyễn Văn Hậu</v>
          </cell>
          <cell r="X55">
            <v>980836.36363636423</v>
          </cell>
        </row>
        <row r="56">
          <cell r="B56" t="str">
            <v>Lê Thái Hùng</v>
          </cell>
          <cell r="X56">
            <v>832581.81818181742</v>
          </cell>
        </row>
        <row r="57">
          <cell r="B57" t="str">
            <v>Nguyễn Phú Tân</v>
          </cell>
          <cell r="X57">
            <v>783490.90909090918</v>
          </cell>
        </row>
        <row r="58">
          <cell r="B58" t="str">
            <v>Nguyễn Mạnh Phương</v>
          </cell>
          <cell r="X58">
            <v>783490.90909090918</v>
          </cell>
        </row>
        <row r="59">
          <cell r="B59" t="str">
            <v>Giang Phi Hùng</v>
          </cell>
          <cell r="X59">
            <v>783490.90909090918</v>
          </cell>
        </row>
        <row r="60">
          <cell r="B60" t="str">
            <v>Ngô Thanh Điền</v>
          </cell>
          <cell r="X60">
            <v>848290.90909091011</v>
          </cell>
        </row>
        <row r="61">
          <cell r="B61" t="str">
            <v>Vương Thanh Thủy</v>
          </cell>
          <cell r="X61">
            <v>1369636.3636363633</v>
          </cell>
        </row>
        <row r="62">
          <cell r="B62" t="str">
            <v>Nguyễn Thị Bảo Trân</v>
          </cell>
          <cell r="X62">
            <v>1141363.6363636367</v>
          </cell>
        </row>
        <row r="63">
          <cell r="B63" t="str">
            <v>Nguyễn Thị Thu Tâm</v>
          </cell>
          <cell r="X63">
            <v>1369636.3636363633</v>
          </cell>
        </row>
        <row r="64">
          <cell r="B64" t="str">
            <v>Nguyễn Thị Thanh Tú</v>
          </cell>
          <cell r="X64">
            <v>1175236.3636363642</v>
          </cell>
        </row>
        <row r="65">
          <cell r="B65" t="str">
            <v>Võ Thị Hồng Lan</v>
          </cell>
          <cell r="X65">
            <v>1466836.3636363633</v>
          </cell>
        </row>
        <row r="66">
          <cell r="B66" t="str">
            <v>Lê Nguyễn Mỹ Trâm</v>
          </cell>
          <cell r="X66">
            <v>1175236.3636363642</v>
          </cell>
        </row>
        <row r="67">
          <cell r="B67" t="str">
            <v>Nguyễn Thị Thu Hà</v>
          </cell>
          <cell r="X67">
            <v>1113381.8181818184</v>
          </cell>
        </row>
        <row r="68">
          <cell r="B68" t="str">
            <v>Phạm Thị Thu Hiền</v>
          </cell>
          <cell r="X68">
            <v>883636.36363636423</v>
          </cell>
        </row>
        <row r="69">
          <cell r="B69" t="str">
            <v>Nguyễn Thiện Bình</v>
          </cell>
          <cell r="X69">
            <v>574363.6363636367</v>
          </cell>
        </row>
        <row r="70">
          <cell r="B70" t="str">
            <v>Trần Thanh Trúc</v>
          </cell>
          <cell r="X70">
            <v>883636.36363636423</v>
          </cell>
        </row>
        <row r="71">
          <cell r="B71" t="str">
            <v>Lâm Thị Phương Thảo</v>
          </cell>
          <cell r="X71">
            <v>689236.3636363633</v>
          </cell>
        </row>
        <row r="72">
          <cell r="B72" t="str">
            <v>Lê Thu Hà</v>
          </cell>
          <cell r="X72">
            <v>488209.09090909082</v>
          </cell>
        </row>
        <row r="73">
          <cell r="B73" t="str">
            <v>Ôn Thị Ngọc Thảo</v>
          </cell>
          <cell r="X73">
            <v>488209.09090909082</v>
          </cell>
        </row>
        <row r="74">
          <cell r="B74" t="str">
            <v>Nguyễn Ngọc Quỳnh</v>
          </cell>
          <cell r="X74">
            <v>1278327.2727272734</v>
          </cell>
        </row>
        <row r="75">
          <cell r="B75" t="str">
            <v>Lê Thị Hồng Vân</v>
          </cell>
          <cell r="X75">
            <v>1307781.8181818184</v>
          </cell>
        </row>
        <row r="76">
          <cell r="B76" t="str">
            <v>Phan Thị Thùy Trang</v>
          </cell>
          <cell r="X76">
            <v>1248872.7272727266</v>
          </cell>
        </row>
        <row r="77">
          <cell r="B77" t="str">
            <v>Lê Thị Mai Hường</v>
          </cell>
          <cell r="X77">
            <v>1175236.3636363642</v>
          </cell>
        </row>
        <row r="78">
          <cell r="B78" t="str">
            <v>Nguyễn Thị Dinh</v>
          </cell>
          <cell r="X78">
            <v>1369636.3636363633</v>
          </cell>
        </row>
        <row r="79">
          <cell r="B79" t="str">
            <v>Đỗ Thị Ngát</v>
          </cell>
          <cell r="X79">
            <v>1078036.3636363642</v>
          </cell>
        </row>
        <row r="80">
          <cell r="B80" t="str">
            <v>Nguyễn Anh Kiệt</v>
          </cell>
          <cell r="X80">
            <v>1060363.6363636367</v>
          </cell>
        </row>
        <row r="81">
          <cell r="B81" t="str">
            <v>Trần Thị Hồng Thu</v>
          </cell>
          <cell r="X81">
            <v>1272436.3636363642</v>
          </cell>
        </row>
        <row r="82">
          <cell r="B82" t="str">
            <v>Đinh Thị Huyên</v>
          </cell>
          <cell r="X82">
            <v>1078036.3636363642</v>
          </cell>
        </row>
        <row r="83">
          <cell r="B83" t="str">
            <v>Đỗ Thị Thơm</v>
          </cell>
          <cell r="X83">
            <v>1078036.3636363642</v>
          </cell>
        </row>
        <row r="84">
          <cell r="B84" t="str">
            <v>Phạm Thị Vinh</v>
          </cell>
          <cell r="X84">
            <v>1272436.3636363642</v>
          </cell>
        </row>
        <row r="85">
          <cell r="B85" t="str">
            <v>Hoàng Thị Trang</v>
          </cell>
          <cell r="X85">
            <v>980836.36363636423</v>
          </cell>
        </row>
        <row r="86">
          <cell r="B86" t="str">
            <v>Bùi Thành Dũng</v>
          </cell>
          <cell r="X86">
            <v>898363.63636363577</v>
          </cell>
        </row>
        <row r="87">
          <cell r="B87" t="str">
            <v>Trần Văn Lượng</v>
          </cell>
          <cell r="X87">
            <v>980836.36363636423</v>
          </cell>
        </row>
        <row r="88">
          <cell r="B88" t="str">
            <v>Nguyễn Nguyên Hoàng Ngọc Quyên</v>
          </cell>
          <cell r="X88">
            <v>979363.63636363577</v>
          </cell>
        </row>
        <row r="89">
          <cell r="B89" t="str">
            <v>Vũ Thị Thái Linh</v>
          </cell>
          <cell r="X89">
            <v>1060363.6363636367</v>
          </cell>
        </row>
        <row r="90">
          <cell r="B90" t="str">
            <v>Nguyễn Sanh Cường</v>
          </cell>
          <cell r="X90">
            <v>1175236.3636363642</v>
          </cell>
        </row>
        <row r="91">
          <cell r="B91" t="str">
            <v>Lê Quý Hưng Quốc</v>
          </cell>
          <cell r="X91">
            <v>979363.63636363577</v>
          </cell>
        </row>
        <row r="92">
          <cell r="B92" t="str">
            <v>Bùi Văn Dũng</v>
          </cell>
          <cell r="X92">
            <v>898363.63636363577</v>
          </cell>
        </row>
        <row r="93">
          <cell r="B93" t="str">
            <v>Nguyễn Văn Minh</v>
          </cell>
          <cell r="X93">
            <v>1175236.3636363642</v>
          </cell>
        </row>
        <row r="94">
          <cell r="B94" t="str">
            <v>Nguyễn Thị Khánh Thư</v>
          </cell>
          <cell r="X94">
            <v>979363.63636363577</v>
          </cell>
        </row>
        <row r="95">
          <cell r="B95" t="str">
            <v>Trần Việt Khánh</v>
          </cell>
          <cell r="X95">
            <v>1017163.6363636367</v>
          </cell>
        </row>
        <row r="96">
          <cell r="B96" t="str">
            <v>Đỗ Thị Hải Yến</v>
          </cell>
          <cell r="X96">
            <v>898363.63636363577</v>
          </cell>
        </row>
        <row r="97">
          <cell r="B97" t="str">
            <v>Lê Hồng Thái</v>
          </cell>
          <cell r="X97">
            <v>898363.63636363577</v>
          </cell>
        </row>
        <row r="98">
          <cell r="B98" t="str">
            <v>Đặng Ngọc Đoàn</v>
          </cell>
          <cell r="X98">
            <v>1078036.3636363642</v>
          </cell>
        </row>
        <row r="99">
          <cell r="B99" t="str">
            <v>Nguyễn Văn Đôn</v>
          </cell>
          <cell r="X99">
            <v>1278327.2727272734</v>
          </cell>
        </row>
        <row r="100">
          <cell r="B100" t="str">
            <v>Huỳnh Quốc Dũng</v>
          </cell>
          <cell r="X100">
            <v>817363.63636363577</v>
          </cell>
        </row>
        <row r="101">
          <cell r="B101" t="str">
            <v>Dương Ngọc Vọng</v>
          </cell>
          <cell r="X101">
            <v>1457018.1818181816</v>
          </cell>
        </row>
        <row r="102">
          <cell r="B102" t="str">
            <v>Nguyễn Ngọc Tuyên</v>
          </cell>
          <cell r="X102">
            <v>980836.36363636423</v>
          </cell>
        </row>
        <row r="103">
          <cell r="B103" t="str">
            <v>Nguyễn Cao Phong</v>
          </cell>
          <cell r="X103">
            <v>979363.63636363577</v>
          </cell>
        </row>
        <row r="104">
          <cell r="B104" t="str">
            <v>Trần Vĩnh Xuyên</v>
          </cell>
          <cell r="X104">
            <v>898363.63636363577</v>
          </cell>
        </row>
        <row r="105">
          <cell r="B105" t="str">
            <v>Mai Chiếm Tuấn</v>
          </cell>
          <cell r="X105">
            <v>1248872.7272727266</v>
          </cell>
        </row>
        <row r="106">
          <cell r="B106" t="str">
            <v>Đỗ Tuấn Việt</v>
          </cell>
          <cell r="X106">
            <v>1175236.3636363642</v>
          </cell>
        </row>
        <row r="107">
          <cell r="B107" t="str">
            <v>Đào Lê Phương Anh</v>
          </cell>
          <cell r="X107">
            <v>556936.3636363633</v>
          </cell>
        </row>
        <row r="108">
          <cell r="B108" t="str">
            <v>Nguyễn Duy Lộc</v>
          </cell>
          <cell r="X108">
            <v>488209.09090909082</v>
          </cell>
        </row>
        <row r="109">
          <cell r="B109" t="str">
            <v>Đỗ Thị Phương Khanh</v>
          </cell>
          <cell r="X109">
            <v>1307929.0909090918</v>
          </cell>
        </row>
        <row r="110">
          <cell r="B110" t="str">
            <v>Trương Thị Phương Hồng</v>
          </cell>
          <cell r="X110">
            <v>1831100.7272727285</v>
          </cell>
        </row>
        <row r="111">
          <cell r="B111" t="str">
            <v>Dương Minh Chung</v>
          </cell>
          <cell r="X111">
            <v>1060363.6363636367</v>
          </cell>
        </row>
        <row r="112">
          <cell r="B112" t="str">
            <v>Phan Văn Thành</v>
          </cell>
          <cell r="X112">
            <v>1968005.4545454532</v>
          </cell>
        </row>
        <row r="113">
          <cell r="B113" t="str">
            <v>Vũ Đức Pháp</v>
          </cell>
          <cell r="X113">
            <v>1924363.6363636367</v>
          </cell>
        </row>
        <row r="114">
          <cell r="B114" t="str">
            <v>Vũ Quang Khải</v>
          </cell>
          <cell r="X114">
            <v>1899896.7272727285</v>
          </cell>
        </row>
        <row r="115">
          <cell r="B115" t="str">
            <v>Nguyễn Thanh Vũ</v>
          </cell>
          <cell r="X115">
            <v>1175236.3636363642</v>
          </cell>
        </row>
        <row r="116">
          <cell r="B116" t="str">
            <v>Phan Thị Xuân Trang</v>
          </cell>
          <cell r="X116">
            <v>1283481.8181818184</v>
          </cell>
        </row>
        <row r="117">
          <cell r="B117" t="str">
            <v>Trần Đình Khải</v>
          </cell>
          <cell r="X117">
            <v>1377981.8181818184</v>
          </cell>
        </row>
        <row r="118">
          <cell r="B118" t="str">
            <v>Lư Thị Yến Vũ</v>
          </cell>
          <cell r="X118">
            <v>898363.63636363577</v>
          </cell>
        </row>
        <row r="119">
          <cell r="B119" t="str">
            <v>Nguyễn Tiến Dũng</v>
          </cell>
          <cell r="X119">
            <v>1078036.3636363642</v>
          </cell>
        </row>
        <row r="120">
          <cell r="B120" t="str">
            <v>Nguyễn Thành Long</v>
          </cell>
          <cell r="X120">
            <v>1257709.0909090908</v>
          </cell>
        </row>
        <row r="121">
          <cell r="B121" t="str">
            <v>Nguyễn Ngọc Quỳnh.</v>
          </cell>
          <cell r="X121">
            <v>898363.63636363577</v>
          </cell>
        </row>
        <row r="122">
          <cell r="B122" t="str">
            <v>Nguyễn Duy Hải</v>
          </cell>
          <cell r="X122">
            <v>1078036.3636363642</v>
          </cell>
        </row>
        <row r="123">
          <cell r="B123" t="str">
            <v>Bùi Anh Tuấn</v>
          </cell>
          <cell r="X123">
            <v>1405963.6363636367</v>
          </cell>
        </row>
        <row r="124">
          <cell r="B124" t="str">
            <v>Trần Thị Hương</v>
          </cell>
          <cell r="X124">
            <v>898363.63636363577</v>
          </cell>
        </row>
        <row r="125">
          <cell r="B125" t="str">
            <v>Trần Minh Thông</v>
          </cell>
          <cell r="X125">
            <v>980836.36363636423</v>
          </cell>
        </row>
        <row r="126">
          <cell r="B126" t="str">
            <v>Nguyễn Thanh Vĩnh Phúc</v>
          </cell>
          <cell r="X126">
            <v>1569514.9090909082</v>
          </cell>
        </row>
        <row r="127">
          <cell r="B127" t="str">
            <v>Võ Minh Quang</v>
          </cell>
          <cell r="X127">
            <v>1613520</v>
          </cell>
        </row>
        <row r="128">
          <cell r="B128" t="str">
            <v>Dương Thị Hồng</v>
          </cell>
          <cell r="X128">
            <v>817363.63636363577</v>
          </cell>
        </row>
        <row r="129">
          <cell r="B129" t="str">
            <v>Nguyễn Thanh Giang</v>
          </cell>
          <cell r="X129">
            <v>883636.36363636423</v>
          </cell>
        </row>
        <row r="130">
          <cell r="B130" t="str">
            <v>Nguyễn Hồng Phúc</v>
          </cell>
          <cell r="X130">
            <v>1178181.8181818184</v>
          </cell>
        </row>
        <row r="131">
          <cell r="B131" t="str">
            <v>Nguyễn Văn Sơn</v>
          </cell>
          <cell r="X131">
            <v>1356823.6363636367</v>
          </cell>
        </row>
        <row r="132">
          <cell r="B132" t="str">
            <v>Nguyễn Khắc Huy</v>
          </cell>
          <cell r="X132">
            <v>917509.09090909082</v>
          </cell>
        </row>
        <row r="133">
          <cell r="B133" t="str">
            <v>Võ Hoài Sơn</v>
          </cell>
          <cell r="X133">
            <v>1030909.0909090908</v>
          </cell>
        </row>
        <row r="134">
          <cell r="B134" t="str">
            <v>Nguyễn Thị Xuân Chinh</v>
          </cell>
          <cell r="X134">
            <v>1060363.6363636367</v>
          </cell>
        </row>
        <row r="135">
          <cell r="B135" t="str">
            <v>Nguyễn Duy Tân</v>
          </cell>
          <cell r="X135">
            <v>655363.6363636367</v>
          </cell>
        </row>
        <row r="136">
          <cell r="B136" t="str">
            <v>Nguyễn Ngọc Hiệp</v>
          </cell>
          <cell r="X136">
            <v>1934260.3636363633</v>
          </cell>
        </row>
        <row r="137">
          <cell r="B137" t="str">
            <v>Tạ Minh Cường</v>
          </cell>
          <cell r="X137">
            <v>2002909.0909090918</v>
          </cell>
        </row>
        <row r="138">
          <cell r="B138" t="str">
            <v>Phạm Minh Nghĩa</v>
          </cell>
          <cell r="X138">
            <v>2406161.4545454532</v>
          </cell>
        </row>
        <row r="139">
          <cell r="B139" t="str">
            <v>Nguyễn Văn Yên</v>
          </cell>
          <cell r="X139">
            <v>1813987.6363636367</v>
          </cell>
        </row>
        <row r="140">
          <cell r="B140" t="str">
            <v>Nguyễn Minh Đức</v>
          </cell>
          <cell r="X140">
            <v>1554846.5454545449</v>
          </cell>
        </row>
        <row r="141">
          <cell r="B141" t="str">
            <v>Nguyễn Anh Tăng</v>
          </cell>
          <cell r="X141">
            <v>1369636.3636363633</v>
          </cell>
        </row>
        <row r="142">
          <cell r="B142" t="str">
            <v>Lê Thế Huân</v>
          </cell>
          <cell r="X142">
            <v>1272436.3636363642</v>
          </cell>
        </row>
        <row r="143">
          <cell r="B143" t="str">
            <v>Trần Trung Hiếu</v>
          </cell>
          <cell r="X143">
            <v>1272436.3636363642</v>
          </cell>
        </row>
        <row r="144">
          <cell r="B144" t="str">
            <v>Trần Nguyên Bảo Trân</v>
          </cell>
          <cell r="X144">
            <v>1054472.7272727266</v>
          </cell>
        </row>
        <row r="145">
          <cell r="B145" t="str">
            <v>Mạnh Lê Hoàn</v>
          </cell>
          <cell r="X145">
            <v>1272436.3636363642</v>
          </cell>
        </row>
        <row r="146">
          <cell r="B146" t="str">
            <v>Ngô Hoàng Anh</v>
          </cell>
          <cell r="X146">
            <v>1141363.6363636367</v>
          </cell>
        </row>
        <row r="147">
          <cell r="B147" t="str">
            <v>Nguyễn Thùy Linh</v>
          </cell>
          <cell r="X147">
            <v>1078036.3636363642</v>
          </cell>
        </row>
        <row r="148">
          <cell r="B148" t="str">
            <v>Vũ Hạnh Chiêu</v>
          </cell>
          <cell r="X148">
            <v>1175236.3636363642</v>
          </cell>
        </row>
        <row r="149">
          <cell r="B149" t="str">
            <v>Đỗ Huỳnh Thanh Phong</v>
          </cell>
          <cell r="X149">
            <v>1257709.0909090908</v>
          </cell>
        </row>
        <row r="150">
          <cell r="B150" t="str">
            <v>Nguyễn Minh Đức Cường</v>
          </cell>
          <cell r="X150">
            <v>1437381.8181818184</v>
          </cell>
        </row>
        <row r="151">
          <cell r="B151" t="str">
            <v>Nguyễn Hồng Đức</v>
          </cell>
          <cell r="X151">
            <v>1356823.6363636367</v>
          </cell>
        </row>
        <row r="152">
          <cell r="B152" t="str">
            <v>Trần Công Tiến</v>
          </cell>
          <cell r="X152">
            <v>1584183.2727272715</v>
          </cell>
        </row>
        <row r="153">
          <cell r="B153" t="str">
            <v>Nguyễn Trần Thanh Nhàn</v>
          </cell>
          <cell r="X153">
            <v>1060363.6363636367</v>
          </cell>
        </row>
        <row r="154">
          <cell r="B154" t="str">
            <v>Tăng Cẩm Huê</v>
          </cell>
          <cell r="X154">
            <v>1272436.3636363642</v>
          </cell>
        </row>
        <row r="155">
          <cell r="B155" t="str">
            <v>Trần Hiếu Trinh</v>
          </cell>
          <cell r="X155">
            <v>1369636.3636363633</v>
          </cell>
        </row>
        <row r="156">
          <cell r="B156" t="str">
            <v>Nguyễn Thị Tố Nga</v>
          </cell>
          <cell r="X156">
            <v>1369636.3636363633</v>
          </cell>
        </row>
        <row r="157">
          <cell r="B157" t="str">
            <v>Đặng Đức Minh</v>
          </cell>
          <cell r="X157">
            <v>1369636.3636363633</v>
          </cell>
        </row>
        <row r="158">
          <cell r="B158" t="str">
            <v>Nguyễn Thị Ngọc Hiền</v>
          </cell>
          <cell r="X158">
            <v>1141363.6363636367</v>
          </cell>
        </row>
        <row r="159">
          <cell r="B159" t="str">
            <v>Ngô Phong Cường</v>
          </cell>
          <cell r="X159">
            <v>979363.63636363577</v>
          </cell>
        </row>
        <row r="160">
          <cell r="B160" t="str">
            <v>Cao Văn Tuấn</v>
          </cell>
          <cell r="X160">
            <v>1030909.0909090908</v>
          </cell>
        </row>
        <row r="161">
          <cell r="B161" t="str">
            <v>Trần Nam Anh</v>
          </cell>
          <cell r="X161">
            <v>1146763.6363636358</v>
          </cell>
        </row>
        <row r="162">
          <cell r="B162" t="str">
            <v>Trần Giang Nam</v>
          </cell>
          <cell r="X162">
            <v>1146763.6363636358</v>
          </cell>
        </row>
        <row r="163">
          <cell r="B163" t="str">
            <v>Phan Thanh Hoàng</v>
          </cell>
          <cell r="X163">
            <v>1175236.3636363642</v>
          </cell>
        </row>
        <row r="164">
          <cell r="B164" t="str">
            <v>Nguyễn Khương Thành</v>
          </cell>
          <cell r="X164">
            <v>786436.36363636423</v>
          </cell>
        </row>
        <row r="165">
          <cell r="B165" t="str">
            <v>Huỳnh Duy An</v>
          </cell>
          <cell r="X165">
            <v>689236.3636363633</v>
          </cell>
        </row>
        <row r="166">
          <cell r="B166" t="str">
            <v>Nguyễn Anh Tuấn</v>
          </cell>
          <cell r="X166">
            <v>1873309.0909090899</v>
          </cell>
        </row>
        <row r="167">
          <cell r="B167" t="str">
            <v>Võ Đắc Thịnh</v>
          </cell>
          <cell r="X167">
            <v>1472727.2727272734</v>
          </cell>
        </row>
        <row r="168">
          <cell r="B168" t="str">
            <v>Nguyễn Hữu Mạnh</v>
          </cell>
          <cell r="X168">
            <v>1121727.2727272734</v>
          </cell>
        </row>
        <row r="169">
          <cell r="B169" t="str">
            <v>Phan Anh Tuấn Kiệt</v>
          </cell>
          <cell r="X169">
            <v>979363.63636363577</v>
          </cell>
        </row>
        <row r="170">
          <cell r="B170" t="str">
            <v>Triệu Phú Nguyên</v>
          </cell>
          <cell r="X170">
            <v>1248872.7272727266</v>
          </cell>
        </row>
        <row r="171">
          <cell r="B171" t="str">
            <v>Nguyễn Thành Đức</v>
          </cell>
          <cell r="X171">
            <v>898363.63636363577</v>
          </cell>
        </row>
        <row r="172">
          <cell r="B172" t="str">
            <v>Nguyễn Minh Thái</v>
          </cell>
          <cell r="X172">
            <v>898363.63636363577</v>
          </cell>
        </row>
        <row r="173">
          <cell r="B173" t="str">
            <v>Đặng Thái Sơn</v>
          </cell>
          <cell r="X173">
            <v>979363.63636363577</v>
          </cell>
        </row>
        <row r="174">
          <cell r="B174" t="str">
            <v>Nguyễn Thái Bình</v>
          </cell>
          <cell r="X174">
            <v>898363.63636363577</v>
          </cell>
        </row>
        <row r="175">
          <cell r="B175" t="str">
            <v>Kiều Trung Tín</v>
          </cell>
          <cell r="X175">
            <v>1078036.3636363642</v>
          </cell>
        </row>
        <row r="176">
          <cell r="B176" t="str">
            <v>Trần Quốc Duy</v>
          </cell>
          <cell r="X176">
            <v>1078036.3636363642</v>
          </cell>
        </row>
        <row r="177">
          <cell r="B177" t="str">
            <v>Hồ Văn Hóa</v>
          </cell>
          <cell r="X177">
            <v>980836.36363636423</v>
          </cell>
        </row>
        <row r="178">
          <cell r="B178" t="str">
            <v>Nguyễn Thanh Hùng</v>
          </cell>
          <cell r="X178">
            <v>898363.63636363577</v>
          </cell>
        </row>
        <row r="179">
          <cell r="B179" t="str">
            <v>Hà Quốc Bảo</v>
          </cell>
          <cell r="X179">
            <v>1054472.7272727266</v>
          </cell>
        </row>
        <row r="180">
          <cell r="B180" t="str">
            <v>Hoàng Phúc Bảo</v>
          </cell>
          <cell r="X180">
            <v>980836.36363636423</v>
          </cell>
        </row>
        <row r="181">
          <cell r="B181" t="str">
            <v>Nguyễn Lương Tâm</v>
          </cell>
          <cell r="X181">
            <v>655363.6363636367</v>
          </cell>
        </row>
        <row r="182">
          <cell r="B182" t="str">
            <v>Trần Thế Sơn</v>
          </cell>
          <cell r="X182">
            <v>786436.36363636423</v>
          </cell>
        </row>
        <row r="183">
          <cell r="B183" t="str">
            <v>Trần Văn Đông</v>
          </cell>
          <cell r="X183">
            <v>883636.36363636423</v>
          </cell>
        </row>
        <row r="184">
          <cell r="B184" t="str">
            <v>Lý Văn Trung</v>
          </cell>
          <cell r="X184">
            <v>1078036.3636363642</v>
          </cell>
        </row>
        <row r="185">
          <cell r="B185" t="str">
            <v>Nguyễn Hoàng Vinh</v>
          </cell>
          <cell r="X185">
            <v>689236.3636363633</v>
          </cell>
        </row>
        <row r="186">
          <cell r="B186" t="str">
            <v>Đỗ Hoàng Duy</v>
          </cell>
          <cell r="X186">
            <v>689236.3636363633</v>
          </cell>
        </row>
        <row r="187">
          <cell r="B187" t="str">
            <v>Bùi Trọng Tân</v>
          </cell>
          <cell r="X187">
            <v>689236.3636363633</v>
          </cell>
        </row>
        <row r="188">
          <cell r="B188" t="str">
            <v>Võ Quốc Duy</v>
          </cell>
          <cell r="X188">
            <v>574363.6363636367</v>
          </cell>
        </row>
        <row r="189">
          <cell r="B189" t="str">
            <v>Giang Văn Tiến</v>
          </cell>
          <cell r="X189">
            <v>817363.63636363577</v>
          </cell>
        </row>
        <row r="190">
          <cell r="B190" t="str">
            <v>Nguyễn Hữu Lương</v>
          </cell>
          <cell r="X190">
            <v>817363.63636363577</v>
          </cell>
        </row>
        <row r="191">
          <cell r="B191" t="str">
            <v>Huỳnh Đình Văn</v>
          </cell>
          <cell r="X191">
            <v>585850.90909090918</v>
          </cell>
        </row>
        <row r="192">
          <cell r="B192" t="str">
            <v>Đinh Đồng Hiệp</v>
          </cell>
          <cell r="X192">
            <v>1210581.8181818184</v>
          </cell>
        </row>
        <row r="193">
          <cell r="B193" t="str">
            <v>Đặng Thế Huân</v>
          </cell>
          <cell r="X193">
            <v>1443272.7272727266</v>
          </cell>
        </row>
        <row r="194">
          <cell r="B194" t="str">
            <v>Võ Anh Hào</v>
          </cell>
          <cell r="X194">
            <v>1443272.7272727266</v>
          </cell>
        </row>
        <row r="195">
          <cell r="B195" t="str">
            <v>Phan Văn Hòa</v>
          </cell>
          <cell r="X195">
            <v>449181.81818181789</v>
          </cell>
        </row>
        <row r="196">
          <cell r="B196" t="str">
            <v>Trần Đình Khoa</v>
          </cell>
          <cell r="X196">
            <v>898363.63636363577</v>
          </cell>
        </row>
        <row r="197">
          <cell r="B197" t="str">
            <v>Đỗ Trọng Quý</v>
          </cell>
          <cell r="X197">
            <v>1060363.6363636367</v>
          </cell>
        </row>
        <row r="198">
          <cell r="B198" t="str">
            <v>Nguyễn Thanh Dũng</v>
          </cell>
          <cell r="X198">
            <v>817363.63636363577</v>
          </cell>
        </row>
        <row r="199">
          <cell r="B199" t="str">
            <v>Nguyễn Vũ Xuân Thì</v>
          </cell>
          <cell r="X199">
            <v>1222363.6363636358</v>
          </cell>
        </row>
        <row r="200">
          <cell r="B200" t="str">
            <v>Hoàng Văn Viết</v>
          </cell>
          <cell r="X200">
            <v>1083927.2727272734</v>
          </cell>
        </row>
      </sheetData>
      <sheetData sheetId="1"/>
      <sheetData sheetId="2"/>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A2</v>
          </cell>
          <cell r="E18" t="str">
            <v>A2</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A3</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A4</v>
          </cell>
          <cell r="E30" t="str">
            <v>A3</v>
          </cell>
        </row>
        <row r="31">
          <cell r="B31" t="str">
            <v>Nguyễn Thị Thùy</v>
          </cell>
          <cell r="C31" t="str">
            <v>01022013</v>
          </cell>
          <cell r="D31" t="str">
            <v>A1</v>
          </cell>
          <cell r="E31" t="str">
            <v>A1</v>
          </cell>
        </row>
        <row r="32">
          <cell r="B32" t="str">
            <v>Võ Thị Xuân Thơ</v>
          </cell>
          <cell r="C32" t="str">
            <v>01004003</v>
          </cell>
          <cell r="D32" t="str">
            <v>A3</v>
          </cell>
          <cell r="E32" t="str">
            <v>A3</v>
          </cell>
        </row>
        <row r="33">
          <cell r="B33" t="str">
            <v>Nguyễn Thị Thanh Thảo</v>
          </cell>
          <cell r="C33" t="str">
            <v>01004008</v>
          </cell>
          <cell r="D33" t="str">
            <v>A3</v>
          </cell>
          <cell r="E33" t="str">
            <v>A2</v>
          </cell>
        </row>
        <row r="34">
          <cell r="B34" t="str">
            <v>Huỳnh Thị Cẩm Hoa</v>
          </cell>
          <cell r="C34" t="str">
            <v>01005009</v>
          </cell>
          <cell r="D34" t="str">
            <v>A2</v>
          </cell>
          <cell r="E34" t="str">
            <v>A2</v>
          </cell>
        </row>
        <row r="35">
          <cell r="B35" t="str">
            <v>Giáp Thị Vượng</v>
          </cell>
          <cell r="C35" t="str">
            <v>01004009</v>
          </cell>
          <cell r="D35" t="str">
            <v>A2</v>
          </cell>
          <cell r="E35" t="str">
            <v>A2</v>
          </cell>
        </row>
        <row r="36">
          <cell r="B36" t="str">
            <v>Thái Thị My Sa</v>
          </cell>
          <cell r="C36" t="str">
            <v>01002020</v>
          </cell>
          <cell r="D36" t="str">
            <v>A3</v>
          </cell>
          <cell r="E36" t="str">
            <v>A3</v>
          </cell>
        </row>
        <row r="37">
          <cell r="B37" t="str">
            <v>Mai Nguyễn Hoàng Yến</v>
          </cell>
          <cell r="C37" t="str">
            <v>01010038</v>
          </cell>
          <cell r="D37" t="str">
            <v>A2</v>
          </cell>
          <cell r="E37" t="str">
            <v>A2</v>
          </cell>
        </row>
        <row r="38">
          <cell r="B38" t="str">
            <v>Nguyễn Thị Hải Hà</v>
          </cell>
          <cell r="C38" t="str">
            <v>01012026</v>
          </cell>
          <cell r="D38" t="str">
            <v>A1</v>
          </cell>
          <cell r="E38" t="str">
            <v>A1</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A1</v>
          </cell>
          <cell r="E58" t="str">
            <v>A1</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A3</v>
          </cell>
          <cell r="E61" t="str">
            <v>A3</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A3</v>
          </cell>
          <cell r="E77" t="str">
            <v>A2</v>
          </cell>
        </row>
        <row r="78">
          <cell r="B78" t="str">
            <v>Nguyễn Thị Kim Anh</v>
          </cell>
          <cell r="C78" t="str">
            <v>01009018</v>
          </cell>
          <cell r="D78" t="str">
            <v>A4</v>
          </cell>
          <cell r="E78" t="str">
            <v>A4</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A4</v>
          </cell>
          <cell r="E84" t="str">
            <v>A4</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A4</v>
          </cell>
          <cell r="E90" t="str">
            <v>A4</v>
          </cell>
        </row>
        <row r="91">
          <cell r="B91" t="str">
            <v>Trần Việt Anh</v>
          </cell>
          <cell r="C91" t="str">
            <v>01002038</v>
          </cell>
          <cell r="D91" t="str">
            <v>A4</v>
          </cell>
          <cell r="E91" t="str">
            <v>A4</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A2</v>
          </cell>
          <cell r="E94" t="str">
            <v>A1</v>
          </cell>
        </row>
        <row r="95">
          <cell r="B95" t="str">
            <v>Nguyễn Thị Kim Dung</v>
          </cell>
          <cell r="C95" t="str">
            <v>01003002</v>
          </cell>
          <cell r="D95" t="str">
            <v>A2</v>
          </cell>
          <cell r="E95" t="str">
            <v>A2</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A1</v>
          </cell>
          <cell r="E98" t="str">
            <v>A1</v>
          </cell>
        </row>
        <row r="99">
          <cell r="B99" t="str">
            <v>Lương Minh Dũng</v>
          </cell>
          <cell r="C99" t="str">
            <v>01015027</v>
          </cell>
          <cell r="D99" t="str">
            <v>A2</v>
          </cell>
          <cell r="E99" t="str">
            <v>A1</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A2</v>
          </cell>
          <cell r="E105" t="str">
            <v>A2</v>
          </cell>
        </row>
        <row r="106">
          <cell r="B106" t="str">
            <v>Hợp đồng trường</v>
          </cell>
          <cell r="C106">
            <v>0</v>
          </cell>
          <cell r="D106">
            <v>0</v>
          </cell>
          <cell r="E106">
            <v>2</v>
          </cell>
        </row>
        <row r="107">
          <cell r="B107" t="str">
            <v>Lê Tiến Dũng</v>
          </cell>
          <cell r="C107" t="str">
            <v>01005003</v>
          </cell>
          <cell r="D107" t="str">
            <v>A1</v>
          </cell>
          <cell r="E107" t="str">
            <v>A1</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A2</v>
          </cell>
          <cell r="E113" t="str">
            <v>A2</v>
          </cell>
        </row>
        <row r="114">
          <cell r="B114" t="str">
            <v>Nguyễn Trọng Phú</v>
          </cell>
          <cell r="C114" t="str">
            <v>01008004</v>
          </cell>
          <cell r="D114" t="str">
            <v>A1</v>
          </cell>
          <cell r="E114" t="str">
            <v>A1</v>
          </cell>
        </row>
        <row r="115">
          <cell r="B115" t="str">
            <v>Phan Đức Long</v>
          </cell>
          <cell r="C115" t="str">
            <v>01009007</v>
          </cell>
          <cell r="D115" t="str">
            <v>A3</v>
          </cell>
          <cell r="E115" t="str">
            <v>A3</v>
          </cell>
        </row>
        <row r="116">
          <cell r="B116" t="str">
            <v>Giáp Văn Thịnh</v>
          </cell>
          <cell r="C116" t="str">
            <v>01008008</v>
          </cell>
          <cell r="D116" t="str">
            <v>A2</v>
          </cell>
          <cell r="E116" t="str">
            <v>A2</v>
          </cell>
        </row>
        <row r="117">
          <cell r="B117" t="str">
            <v>Vũ Ngọc Quang</v>
          </cell>
          <cell r="C117" t="str">
            <v>01008006</v>
          </cell>
          <cell r="D117" t="str">
            <v>A2</v>
          </cell>
          <cell r="E117" t="str">
            <v>A2</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B1</v>
          </cell>
          <cell r="E120" t="str">
            <v>B2</v>
          </cell>
        </row>
        <row r="121">
          <cell r="B121" t="str">
            <v>Hợp đồng trường</v>
          </cell>
          <cell r="C121">
            <v>0</v>
          </cell>
          <cell r="D121">
            <v>0</v>
          </cell>
          <cell r="E121">
            <v>16</v>
          </cell>
        </row>
        <row r="122">
          <cell r="B122" t="str">
            <v>Trần Thị Thu</v>
          </cell>
          <cell r="C122" t="str">
            <v>01008021</v>
          </cell>
          <cell r="D122" t="str">
            <v>A4</v>
          </cell>
          <cell r="E122" t="str">
            <v>A4</v>
          </cell>
        </row>
        <row r="123">
          <cell r="B123" t="str">
            <v>Dương Thị Thủy</v>
          </cell>
          <cell r="C123" t="str">
            <v>01008009</v>
          </cell>
          <cell r="D123" t="str">
            <v>A3</v>
          </cell>
          <cell r="E123" t="str">
            <v>A2</v>
          </cell>
        </row>
        <row r="124">
          <cell r="B124" t="str">
            <v>Đỗ Thị Bích Thủy</v>
          </cell>
          <cell r="C124" t="str">
            <v>01008031</v>
          </cell>
          <cell r="D124" t="str">
            <v>A4</v>
          </cell>
          <cell r="E124" t="str">
            <v>A4</v>
          </cell>
        </row>
        <row r="125">
          <cell r="B125" t="str">
            <v>Trần Kim Tươi</v>
          </cell>
          <cell r="C125" t="str">
            <v>01008039</v>
          </cell>
          <cell r="D125" t="str">
            <v>A4</v>
          </cell>
          <cell r="E125" t="str">
            <v>A4</v>
          </cell>
        </row>
        <row r="126">
          <cell r="B126" t="str">
            <v>Trương Thị Bắc</v>
          </cell>
          <cell r="C126" t="str">
            <v>01008040</v>
          </cell>
          <cell r="D126" t="str">
            <v>A4</v>
          </cell>
          <cell r="E126" t="str">
            <v>A4</v>
          </cell>
        </row>
        <row r="127">
          <cell r="B127" t="str">
            <v>Trương Thị Định</v>
          </cell>
          <cell r="C127" t="str">
            <v>01008041</v>
          </cell>
          <cell r="D127" t="str">
            <v>A4</v>
          </cell>
          <cell r="E127" t="str">
            <v>A4</v>
          </cell>
        </row>
        <row r="128">
          <cell r="B128" t="str">
            <v>Giáp Đức Nhận</v>
          </cell>
          <cell r="C128" t="str">
            <v>01012027</v>
          </cell>
          <cell r="D128" t="str">
            <v>A4</v>
          </cell>
          <cell r="E128" t="str">
            <v>A3</v>
          </cell>
        </row>
        <row r="129">
          <cell r="B129" t="str">
            <v>Tạ Quốc Tấn</v>
          </cell>
          <cell r="C129" t="str">
            <v>01008012</v>
          </cell>
          <cell r="D129" t="str">
            <v>A2</v>
          </cell>
          <cell r="E129" t="str">
            <v>A2</v>
          </cell>
        </row>
        <row r="130">
          <cell r="B130" t="str">
            <v>Huỳnh Bá Triết</v>
          </cell>
          <cell r="C130" t="str">
            <v>01008033</v>
          </cell>
          <cell r="D130" t="str">
            <v>A3</v>
          </cell>
          <cell r="E130" t="str">
            <v>A3</v>
          </cell>
        </row>
        <row r="131">
          <cell r="B131" t="str">
            <v>Võ Thị Tuyết</v>
          </cell>
          <cell r="C131" t="str">
            <v>01013033</v>
          </cell>
          <cell r="D131" t="str">
            <v>B1</v>
          </cell>
          <cell r="E131" t="str">
            <v>B1</v>
          </cell>
        </row>
        <row r="132">
          <cell r="B132" t="str">
            <v>Trịnh Tuấn Vũ</v>
          </cell>
          <cell r="C132" t="str">
            <v>01009015</v>
          </cell>
          <cell r="D132" t="str">
            <v>A4</v>
          </cell>
          <cell r="E132" t="str">
            <v>A4</v>
          </cell>
        </row>
        <row r="133">
          <cell r="B133" t="str">
            <v>Võ Tấn Đức</v>
          </cell>
          <cell r="C133" t="str">
            <v>01008042</v>
          </cell>
          <cell r="D133" t="str">
            <v>A3</v>
          </cell>
          <cell r="E133" t="str">
            <v>A3</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A2</v>
          </cell>
          <cell r="E136" t="str">
            <v>A2</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A3</v>
          </cell>
          <cell r="E140" t="str">
            <v>A3</v>
          </cell>
        </row>
        <row r="141">
          <cell r="B141" t="str">
            <v>Phạm Thị Thu Nga</v>
          </cell>
          <cell r="C141" t="str">
            <v>01010007</v>
          </cell>
          <cell r="D141" t="str">
            <v>A3</v>
          </cell>
          <cell r="E141" t="str">
            <v>A3</v>
          </cell>
        </row>
        <row r="142">
          <cell r="B142" t="str">
            <v>Nguyễn Văn Hậu</v>
          </cell>
          <cell r="C142" t="str">
            <v>01010033</v>
          </cell>
          <cell r="D142" t="str">
            <v>A3</v>
          </cell>
          <cell r="E142" t="str">
            <v>A3</v>
          </cell>
        </row>
        <row r="143">
          <cell r="B143" t="str">
            <v>Dương Đức Kiên</v>
          </cell>
          <cell r="C143" t="str">
            <v>01010037</v>
          </cell>
          <cell r="D143" t="str">
            <v>A3</v>
          </cell>
          <cell r="E143" t="str">
            <v>A3</v>
          </cell>
        </row>
        <row r="144">
          <cell r="B144" t="str">
            <v>Hà Như Mai</v>
          </cell>
          <cell r="C144" t="str">
            <v>01010031</v>
          </cell>
          <cell r="D144" t="str">
            <v>A3</v>
          </cell>
          <cell r="E144" t="str">
            <v>A3</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A3</v>
          </cell>
          <cell r="E148" t="str">
            <v>A3</v>
          </cell>
        </row>
        <row r="149">
          <cell r="B149" t="str">
            <v>Trần Thị Ánh Tuyết</v>
          </cell>
          <cell r="C149" t="str">
            <v>01010029</v>
          </cell>
          <cell r="D149" t="str">
            <v>A4</v>
          </cell>
          <cell r="E149" t="str">
            <v>A4</v>
          </cell>
        </row>
        <row r="150">
          <cell r="B150" t="str">
            <v>Đặng Thị Kiến Trúc</v>
          </cell>
          <cell r="C150" t="str">
            <v>01010024</v>
          </cell>
          <cell r="D150" t="str">
            <v>A3</v>
          </cell>
          <cell r="E150" t="str">
            <v>A3</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A3</v>
          </cell>
          <cell r="E156" t="str">
            <v>A3</v>
          </cell>
        </row>
        <row r="157">
          <cell r="B157" t="str">
            <v>Giang Phi Hùng</v>
          </cell>
          <cell r="C157" t="str">
            <v>01010030</v>
          </cell>
          <cell r="D157" t="str">
            <v>A3</v>
          </cell>
          <cell r="E157" t="str">
            <v>A3</v>
          </cell>
        </row>
        <row r="158">
          <cell r="B158" t="str">
            <v>Ngô Thanh Điền</v>
          </cell>
          <cell r="C158" t="str">
            <v>01022005</v>
          </cell>
          <cell r="D158" t="str">
            <v>A3</v>
          </cell>
          <cell r="E158" t="str">
            <v>A3</v>
          </cell>
        </row>
        <row r="159">
          <cell r="B159" t="str">
            <v>Nguyễn Phú Tân</v>
          </cell>
          <cell r="C159" t="str">
            <v>01010022</v>
          </cell>
          <cell r="D159" t="str">
            <v>A3</v>
          </cell>
          <cell r="E159" t="str">
            <v>A3</v>
          </cell>
        </row>
        <row r="160">
          <cell r="B160" t="str">
            <v>Nguyễn Mạnh Phương</v>
          </cell>
          <cell r="C160" t="str">
            <v>01010032</v>
          </cell>
          <cell r="D160" t="str">
            <v>A3</v>
          </cell>
          <cell r="E160" t="str">
            <v>A3</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A3</v>
          </cell>
          <cell r="E163" t="str">
            <v>A3</v>
          </cell>
        </row>
        <row r="164">
          <cell r="B164" t="str">
            <v>Phạm Thị Thu Hiền</v>
          </cell>
          <cell r="C164" t="str">
            <v>01010040</v>
          </cell>
          <cell r="D164" t="str">
            <v>A3</v>
          </cell>
          <cell r="E164" t="str">
            <v>A3</v>
          </cell>
        </row>
        <row r="165">
          <cell r="B165" t="str">
            <v>Lê Nguyễn Mỹ Trâm</v>
          </cell>
          <cell r="C165" t="str">
            <v>01010009</v>
          </cell>
          <cell r="D165" t="str">
            <v>A3</v>
          </cell>
          <cell r="E165" t="str">
            <v>A3</v>
          </cell>
        </row>
        <row r="166">
          <cell r="B166" t="str">
            <v>Nguyễn Thị Bảo Trân</v>
          </cell>
          <cell r="C166" t="str">
            <v>01010020</v>
          </cell>
          <cell r="D166" t="str">
            <v>A4</v>
          </cell>
          <cell r="E166" t="str">
            <v>A4</v>
          </cell>
        </row>
        <row r="167">
          <cell r="B167" t="str">
            <v>Vương Thanh Thủy</v>
          </cell>
          <cell r="C167" t="str">
            <v>01010018</v>
          </cell>
          <cell r="D167" t="str">
            <v>A3</v>
          </cell>
          <cell r="E167" t="str">
            <v>A3</v>
          </cell>
        </row>
        <row r="168">
          <cell r="B168" t="str">
            <v>Nguyễn Thị Thu Tâm</v>
          </cell>
          <cell r="C168" t="str">
            <v>01010019</v>
          </cell>
          <cell r="D168" t="str">
            <v>A3</v>
          </cell>
          <cell r="E168" t="str">
            <v>A3</v>
          </cell>
        </row>
        <row r="169">
          <cell r="B169" t="str">
            <v>Võ Thị Hồng Lan</v>
          </cell>
          <cell r="C169" t="str">
            <v>01010015</v>
          </cell>
          <cell r="D169" t="str">
            <v>A3</v>
          </cell>
          <cell r="E169" t="str">
            <v>A3</v>
          </cell>
        </row>
        <row r="170">
          <cell r="B170" t="str">
            <v>Nguyễn Thị Thanh Tú</v>
          </cell>
          <cell r="C170" t="str">
            <v>01010027</v>
          </cell>
          <cell r="D170" t="str">
            <v>A3</v>
          </cell>
          <cell r="E170" t="str">
            <v>A3</v>
          </cell>
        </row>
        <row r="171">
          <cell r="B171" t="str">
            <v>Trần Thanh Trúc</v>
          </cell>
          <cell r="C171" t="str">
            <v>01002025</v>
          </cell>
          <cell r="D171" t="str">
            <v>A3</v>
          </cell>
          <cell r="E171" t="str">
            <v>A3</v>
          </cell>
        </row>
        <row r="172">
          <cell r="B172" t="str">
            <v>Nguyễn Thiện Bình</v>
          </cell>
          <cell r="C172" t="str">
            <v>01010162</v>
          </cell>
          <cell r="D172" t="str">
            <v>A4</v>
          </cell>
          <cell r="E172" t="str">
            <v>A4</v>
          </cell>
        </row>
        <row r="173">
          <cell r="B173" t="str">
            <v>Lâm Thị Phương Thảo</v>
          </cell>
          <cell r="C173" t="str">
            <v>01010141</v>
          </cell>
          <cell r="D173" t="str">
            <v>A3</v>
          </cell>
          <cell r="E173" t="str">
            <v>A3</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A3</v>
          </cell>
          <cell r="E179" t="str">
            <v>A3</v>
          </cell>
        </row>
        <row r="180">
          <cell r="B180" t="str">
            <v>Nguyễn Ngọc Quỳnh</v>
          </cell>
          <cell r="C180" t="str">
            <v>01011012</v>
          </cell>
          <cell r="D180" t="str">
            <v>A3</v>
          </cell>
          <cell r="E180" t="str">
            <v>A3</v>
          </cell>
        </row>
        <row r="181">
          <cell r="B181" t="str">
            <v>Nguyễn Thị Dinh</v>
          </cell>
          <cell r="C181" t="str">
            <v>01011005</v>
          </cell>
          <cell r="D181" t="str">
            <v>A3</v>
          </cell>
          <cell r="E181" t="str">
            <v>A3</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A3</v>
          </cell>
          <cell r="E184" t="str">
            <v>A3</v>
          </cell>
        </row>
        <row r="185">
          <cell r="B185" t="str">
            <v>Nguyễn Anh Kiệt</v>
          </cell>
          <cell r="C185" t="str">
            <v>01011001</v>
          </cell>
          <cell r="D185" t="str">
            <v>A4</v>
          </cell>
          <cell r="E185" t="str">
            <v>A4</v>
          </cell>
        </row>
        <row r="186">
          <cell r="B186" t="str">
            <v>Trần Văn Lượng</v>
          </cell>
          <cell r="C186" t="str">
            <v>01011014</v>
          </cell>
          <cell r="D186" t="str">
            <v>A3</v>
          </cell>
          <cell r="E186" t="str">
            <v>A3</v>
          </cell>
        </row>
        <row r="187">
          <cell r="B187" t="str">
            <v>Đỗ Thị Ngát</v>
          </cell>
          <cell r="C187" t="str">
            <v>01011016</v>
          </cell>
          <cell r="D187" t="str">
            <v>A3</v>
          </cell>
          <cell r="E187" t="str">
            <v>A3</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A3</v>
          </cell>
          <cell r="E191" t="str">
            <v>A3</v>
          </cell>
        </row>
        <row r="192">
          <cell r="B192" t="str">
            <v>Hoàng Thị Trang</v>
          </cell>
          <cell r="C192" t="str">
            <v>01011018</v>
          </cell>
          <cell r="D192" t="str">
            <v>A3</v>
          </cell>
          <cell r="E192" t="str">
            <v>A3</v>
          </cell>
        </row>
        <row r="193">
          <cell r="B193" t="str">
            <v>Phạm Thị Vinh</v>
          </cell>
          <cell r="C193" t="str">
            <v>01011006</v>
          </cell>
          <cell r="D193" t="str">
            <v>A3</v>
          </cell>
          <cell r="E193" t="str">
            <v>A3</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A1</v>
          </cell>
          <cell r="E196" t="str">
            <v>A1</v>
          </cell>
        </row>
        <row r="197">
          <cell r="B197" t="str">
            <v>Trần Đình Khải</v>
          </cell>
          <cell r="C197" t="str">
            <v>01012008</v>
          </cell>
          <cell r="D197" t="str">
            <v>A2</v>
          </cell>
          <cell r="E197" t="str">
            <v>A2</v>
          </cell>
        </row>
        <row r="198">
          <cell r="B198" t="str">
            <v>Vũ Quang Khải</v>
          </cell>
          <cell r="C198" t="str">
            <v>01012007</v>
          </cell>
          <cell r="D198" t="str">
            <v>A2</v>
          </cell>
          <cell r="E198" t="str">
            <v>A2</v>
          </cell>
        </row>
        <row r="199">
          <cell r="B199" t="str">
            <v>Vũ Đức Pháp</v>
          </cell>
          <cell r="C199" t="str">
            <v>01012013</v>
          </cell>
          <cell r="D199" t="str">
            <v>A1</v>
          </cell>
          <cell r="E199" t="str">
            <v>A1</v>
          </cell>
        </row>
        <row r="200">
          <cell r="B200" t="str">
            <v>Bùi Anh Tuấn</v>
          </cell>
          <cell r="C200" t="str">
            <v>01012023</v>
          </cell>
          <cell r="D200" t="str">
            <v>A1</v>
          </cell>
          <cell r="E200" t="str">
            <v>A1</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A2</v>
          </cell>
          <cell r="E203" t="str">
            <v>A2</v>
          </cell>
        </row>
        <row r="204">
          <cell r="B204" t="str">
            <v>Phan Văn Thành</v>
          </cell>
          <cell r="C204" t="str">
            <v>01012004</v>
          </cell>
          <cell r="D204" t="str">
            <v>A2</v>
          </cell>
          <cell r="E204" t="str">
            <v>A2</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A3</v>
          </cell>
          <cell r="E207" t="str">
            <v>A3</v>
          </cell>
        </row>
        <row r="208">
          <cell r="B208" t="str">
            <v>Nguyễn Tiến Dũng</v>
          </cell>
          <cell r="C208" t="str">
            <v>01012019</v>
          </cell>
          <cell r="D208" t="str">
            <v>A3</v>
          </cell>
          <cell r="E208" t="str">
            <v>A3</v>
          </cell>
        </row>
        <row r="209">
          <cell r="B209" t="str">
            <v>Nguyễn Thành Long</v>
          </cell>
          <cell r="C209" t="str">
            <v>01012018</v>
          </cell>
          <cell r="D209" t="str">
            <v>A2</v>
          </cell>
          <cell r="E209" t="str">
            <v>A2</v>
          </cell>
        </row>
        <row r="210">
          <cell r="B210" t="str">
            <v>Nguyễn Ngọc Quỳnh.</v>
          </cell>
          <cell r="C210" t="str">
            <v>01012017</v>
          </cell>
          <cell r="D210" t="str">
            <v>A4</v>
          </cell>
          <cell r="E210" t="str">
            <v>A4</v>
          </cell>
        </row>
        <row r="211">
          <cell r="B211" t="str">
            <v>Nguyễn Duy Hải</v>
          </cell>
          <cell r="C211" t="str">
            <v>01012022</v>
          </cell>
          <cell r="D211" t="str">
            <v>A3</v>
          </cell>
          <cell r="E211" t="str">
            <v>A3</v>
          </cell>
        </row>
        <row r="212">
          <cell r="B212" t="str">
            <v>Trần Minh Thông</v>
          </cell>
          <cell r="C212" t="str">
            <v>01012020</v>
          </cell>
          <cell r="D212" t="str">
            <v>A3</v>
          </cell>
          <cell r="E212" t="str">
            <v>A3</v>
          </cell>
        </row>
        <row r="213">
          <cell r="B213" t="str">
            <v>Trần Thị Hương</v>
          </cell>
          <cell r="C213" t="str">
            <v>01012021</v>
          </cell>
          <cell r="D213" t="str">
            <v>A4</v>
          </cell>
          <cell r="E213" t="str">
            <v>A4</v>
          </cell>
        </row>
        <row r="214">
          <cell r="B214" t="str">
            <v>Nguyễn Thanh Vĩnh Phúc</v>
          </cell>
          <cell r="C214" t="str">
            <v>01012011</v>
          </cell>
          <cell r="D214" t="str">
            <v>A3</v>
          </cell>
          <cell r="E214" t="str">
            <v>A3</v>
          </cell>
        </row>
        <row r="215">
          <cell r="B215" t="str">
            <v>Võ Minh Quang</v>
          </cell>
          <cell r="C215" t="str">
            <v>01017002</v>
          </cell>
          <cell r="D215" t="str">
            <v>A3</v>
          </cell>
          <cell r="E215" t="str">
            <v>A3</v>
          </cell>
        </row>
        <row r="216">
          <cell r="B216" t="str">
            <v>Dương Thị Hồng</v>
          </cell>
          <cell r="C216" t="str">
            <v>01012028</v>
          </cell>
          <cell r="D216" t="str">
            <v>A4</v>
          </cell>
          <cell r="E216" t="str">
            <v>A4</v>
          </cell>
        </row>
        <row r="217">
          <cell r="B217" t="str">
            <v>Nguyễn Thanh Giang</v>
          </cell>
          <cell r="C217" t="str">
            <v>01012032</v>
          </cell>
          <cell r="D217" t="str">
            <v>A3</v>
          </cell>
          <cell r="E217" t="str">
            <v>A3</v>
          </cell>
        </row>
        <row r="218">
          <cell r="B218" t="str">
            <v>Nguyễn Hồng Phúc</v>
          </cell>
          <cell r="C218" t="str">
            <v>01025017</v>
          </cell>
          <cell r="D218" t="str">
            <v>A1</v>
          </cell>
          <cell r="E218" t="str">
            <v>A1</v>
          </cell>
        </row>
        <row r="219">
          <cell r="B219" t="str">
            <v>Nguyễn Văn Sơn</v>
          </cell>
          <cell r="C219" t="str">
            <v>01006004</v>
          </cell>
          <cell r="D219" t="str">
            <v>A4</v>
          </cell>
          <cell r="E219" t="str">
            <v>A4</v>
          </cell>
        </row>
        <row r="220">
          <cell r="B220" t="str">
            <v>Nguyễn Khắc Huy</v>
          </cell>
          <cell r="C220" t="str">
            <v>01013068</v>
          </cell>
          <cell r="D220" t="str">
            <v>A2</v>
          </cell>
          <cell r="E220" t="str">
            <v>A2</v>
          </cell>
        </row>
        <row r="221">
          <cell r="B221" t="str">
            <v>Võ Hoài Sơn</v>
          </cell>
          <cell r="C221" t="str">
            <v>01012048</v>
          </cell>
          <cell r="D221" t="str">
            <v>A2</v>
          </cell>
          <cell r="E221" t="str">
            <v>A2</v>
          </cell>
        </row>
        <row r="222">
          <cell r="B222" t="str">
            <v>Nguyễn Thị Xuân Chinh</v>
          </cell>
          <cell r="C222" t="str">
            <v>01012049</v>
          </cell>
          <cell r="D222" t="str">
            <v>A4</v>
          </cell>
          <cell r="E222" t="str">
            <v>A4</v>
          </cell>
        </row>
        <row r="223">
          <cell r="B223" t="str">
            <v>Nguyễn Ngọc Hiệp</v>
          </cell>
          <cell r="C223" t="str">
            <v>01009006</v>
          </cell>
          <cell r="D223" t="str">
            <v>A2</v>
          </cell>
          <cell r="E223" t="str">
            <v>A2</v>
          </cell>
        </row>
        <row r="224">
          <cell r="B224" t="str">
            <v>Nguyễn Duy Tân</v>
          </cell>
          <cell r="C224" t="str">
            <v>01012050</v>
          </cell>
          <cell r="D224" t="str">
            <v>A4</v>
          </cell>
          <cell r="E224" t="str">
            <v>A4</v>
          </cell>
        </row>
        <row r="225">
          <cell r="B225" t="str">
            <v>KHOA CÔNG NGHỆ THÔNG TIN</v>
          </cell>
          <cell r="C225">
            <v>0</v>
          </cell>
          <cell r="D225">
            <v>0</v>
          </cell>
          <cell r="E225">
            <v>21</v>
          </cell>
        </row>
        <row r="226">
          <cell r="B226" t="str">
            <v>Viên chức</v>
          </cell>
          <cell r="C226">
            <v>0</v>
          </cell>
          <cell r="D226">
            <v>0</v>
          </cell>
          <cell r="E226">
            <v>21</v>
          </cell>
        </row>
        <row r="227">
          <cell r="B227" t="str">
            <v>Trần Việt Khánh</v>
          </cell>
          <cell r="C227" t="str">
            <v>01015019</v>
          </cell>
          <cell r="D227" t="str">
            <v>A3</v>
          </cell>
          <cell r="E227" t="str">
            <v>A2</v>
          </cell>
        </row>
        <row r="228">
          <cell r="B228" t="str">
            <v>Nguyễn Văn Đôn</v>
          </cell>
          <cell r="C228" t="str">
            <v>01015023</v>
          </cell>
          <cell r="D228" t="str">
            <v>A3</v>
          </cell>
          <cell r="E228" t="str">
            <v>A3</v>
          </cell>
        </row>
        <row r="229">
          <cell r="B229" t="str">
            <v>Nguyễn Sanh Cường</v>
          </cell>
          <cell r="C229" t="str">
            <v>01015005</v>
          </cell>
          <cell r="D229" t="str">
            <v>A3</v>
          </cell>
          <cell r="E229" t="str">
            <v>A3</v>
          </cell>
        </row>
        <row r="230">
          <cell r="B230" t="str">
            <v>Đặng Ngọc Đoàn</v>
          </cell>
          <cell r="C230" t="str">
            <v>01015018</v>
          </cell>
          <cell r="D230" t="str">
            <v>A3</v>
          </cell>
          <cell r="E230" t="str">
            <v>A3</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A3</v>
          </cell>
          <cell r="E234" t="str">
            <v>A3</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Nguyễn Nguyên Hoàng Ngọc Quyên</v>
          </cell>
          <cell r="C237" t="str">
            <v>01015010</v>
          </cell>
          <cell r="D237" t="str">
            <v>A4</v>
          </cell>
          <cell r="E237" t="str">
            <v>A4</v>
          </cell>
        </row>
        <row r="238">
          <cell r="B238" t="str">
            <v>Lê Hồng Thái</v>
          </cell>
          <cell r="C238" t="str">
            <v>01015017</v>
          </cell>
          <cell r="D238" t="str">
            <v>A4</v>
          </cell>
          <cell r="E238" t="str">
            <v>A4</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A3</v>
          </cell>
          <cell r="E241" t="str">
            <v>A3</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A2</v>
          </cell>
        </row>
        <row r="244">
          <cell r="B244" t="str">
            <v>Trần Vĩnh Xuyên</v>
          </cell>
          <cell r="C244" t="str">
            <v>01015008</v>
          </cell>
          <cell r="D244" t="str">
            <v>A4</v>
          </cell>
          <cell r="E244" t="str">
            <v>A4</v>
          </cell>
        </row>
        <row r="245">
          <cell r="B245" t="str">
            <v>Đỗ Thị Hải Yến</v>
          </cell>
          <cell r="C245" t="str">
            <v>01015021</v>
          </cell>
          <cell r="D245" t="str">
            <v>A4</v>
          </cell>
          <cell r="E245" t="str">
            <v>A4</v>
          </cell>
        </row>
        <row r="246">
          <cell r="B246" t="str">
            <v>Đào Lê Phương Anh</v>
          </cell>
          <cell r="C246" t="str">
            <v>01015108</v>
          </cell>
          <cell r="D246" t="str">
            <v>A4</v>
          </cell>
          <cell r="E246" t="str">
            <v>A4</v>
          </cell>
        </row>
        <row r="247">
          <cell r="B247" t="str">
            <v>Nguyễn Duy Lộc</v>
          </cell>
          <cell r="C247" t="str">
            <v>01015142</v>
          </cell>
          <cell r="D247" t="str">
            <v>A4</v>
          </cell>
          <cell r="E247" t="str">
            <v>A4</v>
          </cell>
        </row>
        <row r="248">
          <cell r="B248" t="str">
            <v>KHOA ĐỘNG LỰC</v>
          </cell>
          <cell r="C248">
            <v>0</v>
          </cell>
          <cell r="D248">
            <v>0</v>
          </cell>
          <cell r="E248">
            <v>27</v>
          </cell>
        </row>
        <row r="249">
          <cell r="B249" t="str">
            <v>Viên chức</v>
          </cell>
          <cell r="C249">
            <v>0</v>
          </cell>
          <cell r="D249">
            <v>0</v>
          </cell>
          <cell r="E249">
            <v>26</v>
          </cell>
        </row>
        <row r="250">
          <cell r="B250" t="str">
            <v>Nguyễn Anh Tuấn</v>
          </cell>
          <cell r="C250" t="str">
            <v>01013003</v>
          </cell>
          <cell r="D250" t="str">
            <v>A1</v>
          </cell>
          <cell r="E250" t="str">
            <v>A1</v>
          </cell>
        </row>
        <row r="251">
          <cell r="B251" t="str">
            <v>Võ Đắc Thịnh</v>
          </cell>
          <cell r="C251" t="str">
            <v>01013002</v>
          </cell>
          <cell r="D251" t="str">
            <v>A3</v>
          </cell>
          <cell r="E251" t="str">
            <v>A3</v>
          </cell>
        </row>
        <row r="252">
          <cell r="B252" t="str">
            <v>Nguyễn Hữu Mạnh</v>
          </cell>
          <cell r="C252" t="str">
            <v>01013004</v>
          </cell>
          <cell r="D252" t="str">
            <v>A4</v>
          </cell>
          <cell r="E252" t="str">
            <v>A4</v>
          </cell>
        </row>
        <row r="253">
          <cell r="B253" t="str">
            <v>Hà Quốc Bảo</v>
          </cell>
          <cell r="C253" t="str">
            <v>01013021</v>
          </cell>
          <cell r="D253" t="str">
            <v>A3</v>
          </cell>
          <cell r="E253" t="str">
            <v>A3</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A3</v>
          </cell>
          <cell r="E259" t="str">
            <v>A3</v>
          </cell>
        </row>
        <row r="260">
          <cell r="B260" t="str">
            <v>Trần Quốc Duy</v>
          </cell>
          <cell r="C260" t="str">
            <v>01013026</v>
          </cell>
          <cell r="D260" t="str">
            <v>A3</v>
          </cell>
          <cell r="E260" t="str">
            <v>A3</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A3</v>
          </cell>
          <cell r="E266" t="str">
            <v>A3</v>
          </cell>
        </row>
        <row r="267">
          <cell r="B267" t="str">
            <v>Trần Văn Đông</v>
          </cell>
          <cell r="C267" t="str">
            <v>01014047</v>
          </cell>
          <cell r="D267" t="str">
            <v>A3</v>
          </cell>
          <cell r="E267" t="str">
            <v>A3</v>
          </cell>
        </row>
        <row r="268">
          <cell r="B268" t="str">
            <v>Lý Văn Trung</v>
          </cell>
          <cell r="C268" t="str">
            <v>01013079</v>
          </cell>
          <cell r="D268" t="str">
            <v>A3</v>
          </cell>
          <cell r="E268" t="str">
            <v>A3</v>
          </cell>
        </row>
        <row r="269">
          <cell r="B269" t="str">
            <v>Nguyễn Hoàng Vinh</v>
          </cell>
          <cell r="C269" t="str">
            <v>01013087</v>
          </cell>
          <cell r="D269" t="str">
            <v>A3</v>
          </cell>
          <cell r="E269" t="str">
            <v>A3</v>
          </cell>
        </row>
        <row r="270">
          <cell r="B270" t="str">
            <v>Đỗ Hoàng Duy</v>
          </cell>
          <cell r="C270" t="str">
            <v>01013061</v>
          </cell>
          <cell r="D270" t="str">
            <v>A3</v>
          </cell>
          <cell r="E270" t="str">
            <v>A3</v>
          </cell>
        </row>
        <row r="271">
          <cell r="B271" t="str">
            <v>Bùi Trọng Tân</v>
          </cell>
          <cell r="C271" t="str">
            <v>01013094</v>
          </cell>
          <cell r="D271" t="str">
            <v>A3</v>
          </cell>
          <cell r="E271" t="str">
            <v>A3</v>
          </cell>
        </row>
        <row r="272">
          <cell r="B272" t="str">
            <v>Võ Quốc Duy</v>
          </cell>
          <cell r="C272" t="str">
            <v>01013120</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A3</v>
          </cell>
          <cell r="E275" t="str">
            <v>A3</v>
          </cell>
        </row>
        <row r="276">
          <cell r="B276" t="str">
            <v>Hợp đồng trường</v>
          </cell>
          <cell r="C276">
            <v>0</v>
          </cell>
          <cell r="D276">
            <v>0</v>
          </cell>
          <cell r="E276">
            <v>1</v>
          </cell>
        </row>
        <row r="277">
          <cell r="B277" t="str">
            <v>Nguyễn Khắc Huân</v>
          </cell>
          <cell r="C277" t="str">
            <v>01013096</v>
          </cell>
          <cell r="D277" t="str">
            <v>A1</v>
          </cell>
          <cell r="E277" t="str">
            <v>A1</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A2</v>
          </cell>
          <cell r="E281" t="str">
            <v>A2</v>
          </cell>
        </row>
        <row r="282">
          <cell r="B282" t="str">
            <v>Phạm Minh Nghĩa</v>
          </cell>
          <cell r="C282" t="str">
            <v>01023003</v>
          </cell>
          <cell r="D282" t="str">
            <v>A1</v>
          </cell>
          <cell r="E282" t="str">
            <v>A1</v>
          </cell>
        </row>
        <row r="283">
          <cell r="B283" t="str">
            <v>Trần Nguyên Bảo Trân</v>
          </cell>
          <cell r="C283" t="str">
            <v>01014038</v>
          </cell>
          <cell r="D283" t="str">
            <v>A3</v>
          </cell>
          <cell r="E283" t="str">
            <v>A3</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A4</v>
          </cell>
          <cell r="E290" t="str">
            <v>A4</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A3</v>
          </cell>
          <cell r="E299" t="str">
            <v>A3</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A2</v>
          </cell>
          <cell r="E303" t="str">
            <v>A2</v>
          </cell>
        </row>
        <row r="304">
          <cell r="B304" t="str">
            <v>Nguyễn Anh Tăng</v>
          </cell>
          <cell r="C304" t="str">
            <v>01014006</v>
          </cell>
          <cell r="D304" t="str">
            <v>A3</v>
          </cell>
          <cell r="E304" t="str">
            <v>A3</v>
          </cell>
        </row>
        <row r="305">
          <cell r="B305" t="str">
            <v>Nguyễn Khương Thành</v>
          </cell>
          <cell r="C305" t="str">
            <v>01014052</v>
          </cell>
          <cell r="D305" t="str">
            <v>A3</v>
          </cell>
          <cell r="E305" t="str">
            <v>A3</v>
          </cell>
        </row>
        <row r="306">
          <cell r="B306" t="str">
            <v>Trần Công Tiến</v>
          </cell>
          <cell r="C306" t="str">
            <v>01014009</v>
          </cell>
          <cell r="D306" t="str">
            <v>A3</v>
          </cell>
          <cell r="E306" t="str">
            <v>A3</v>
          </cell>
        </row>
        <row r="307">
          <cell r="B307" t="str">
            <v>Cao Văn Tuấn</v>
          </cell>
          <cell r="C307" t="str">
            <v>01014045</v>
          </cell>
          <cell r="D307" t="str">
            <v>A2</v>
          </cell>
          <cell r="E307" t="str">
            <v>A2</v>
          </cell>
        </row>
        <row r="308">
          <cell r="B308" t="str">
            <v>Trần Hiếu Trinh</v>
          </cell>
          <cell r="C308" t="str">
            <v>01014021</v>
          </cell>
          <cell r="D308" t="str">
            <v>A3</v>
          </cell>
          <cell r="E308" t="str">
            <v>A3</v>
          </cell>
        </row>
        <row r="309">
          <cell r="B309" t="str">
            <v>Nguyễn Văn Yên</v>
          </cell>
          <cell r="C309" t="str">
            <v>01014016</v>
          </cell>
          <cell r="D309" t="str">
            <v>A2</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A3</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A4</v>
          </cell>
          <cell r="E315" t="str">
            <v>A4</v>
          </cell>
        </row>
        <row r="316">
          <cell r="B316" t="str">
            <v>Bùi Thị Ngọc Sương</v>
          </cell>
          <cell r="C316" t="str">
            <v>01016005</v>
          </cell>
          <cell r="D316" t="str">
            <v>A3</v>
          </cell>
          <cell r="E316" t="str">
            <v>A3</v>
          </cell>
        </row>
        <row r="317">
          <cell r="B317" t="str">
            <v>Lê Thị Phương Thảo</v>
          </cell>
          <cell r="C317" t="str">
            <v>01016012</v>
          </cell>
          <cell r="D317" t="str">
            <v>A4</v>
          </cell>
          <cell r="E317" t="str">
            <v>A4</v>
          </cell>
        </row>
        <row r="318">
          <cell r="B318" t="str">
            <v>Trần Hồng Thảo</v>
          </cell>
          <cell r="C318" t="str">
            <v>01016010</v>
          </cell>
          <cell r="D318" t="str">
            <v>A3</v>
          </cell>
          <cell r="E318" t="str">
            <v>A3</v>
          </cell>
        </row>
        <row r="319">
          <cell r="B319" t="str">
            <v>Lâm Thị Phương Thùy</v>
          </cell>
          <cell r="C319" t="str">
            <v>01016007</v>
          </cell>
          <cell r="D319" t="str">
            <v>A4</v>
          </cell>
          <cell r="E319" t="str">
            <v>A4</v>
          </cell>
        </row>
        <row r="320">
          <cell r="B320" t="str">
            <v>KHOA NHIỆT - LẠNH</v>
          </cell>
          <cell r="C320">
            <v>0</v>
          </cell>
          <cell r="D320">
            <v>0</v>
          </cell>
          <cell r="E320">
            <v>9</v>
          </cell>
        </row>
        <row r="321">
          <cell r="B321" t="str">
            <v>Viên chức</v>
          </cell>
          <cell r="C321">
            <v>0</v>
          </cell>
          <cell r="D321">
            <v>0</v>
          </cell>
          <cell r="E321">
            <v>9</v>
          </cell>
        </row>
        <row r="322">
          <cell r="B322" t="str">
            <v>Đinh Đồng Hiệp</v>
          </cell>
          <cell r="C322" t="str">
            <v>01013020</v>
          </cell>
          <cell r="D322" t="str">
            <v>A3</v>
          </cell>
          <cell r="E322" t="str">
            <v>A3</v>
          </cell>
        </row>
        <row r="323">
          <cell r="B323" t="str">
            <v>Hoàng Văn Viết</v>
          </cell>
          <cell r="C323" t="str">
            <v>01029001</v>
          </cell>
          <cell r="D323" t="str">
            <v>A3</v>
          </cell>
          <cell r="E323" t="str">
            <v>A3</v>
          </cell>
        </row>
        <row r="324">
          <cell r="B324" t="str">
            <v>Võ Anh Hào</v>
          </cell>
          <cell r="C324" t="str">
            <v>01013010</v>
          </cell>
          <cell r="D324" t="str">
            <v>A3</v>
          </cell>
          <cell r="E324" t="str">
            <v>A3</v>
          </cell>
        </row>
        <row r="325">
          <cell r="B325" t="str">
            <v>Đặng Thế Huân</v>
          </cell>
          <cell r="C325" t="str">
            <v>01013009</v>
          </cell>
          <cell r="D325" t="str">
            <v>A3</v>
          </cell>
          <cell r="E325" t="str">
            <v>A3</v>
          </cell>
        </row>
        <row r="326">
          <cell r="B326" t="str">
            <v>Nguyễn Vũ Xuân Thì</v>
          </cell>
          <cell r="C326" t="str">
            <v>01013008</v>
          </cell>
          <cell r="D326" t="str">
            <v>A4</v>
          </cell>
          <cell r="E326" t="str">
            <v>A4</v>
          </cell>
        </row>
        <row r="327">
          <cell r="B327" t="str">
            <v>Đỗ Trọng Quý</v>
          </cell>
          <cell r="C327" t="str">
            <v>01013011</v>
          </cell>
          <cell r="D327" t="str">
            <v>A4</v>
          </cell>
          <cell r="E327" t="str">
            <v>A4</v>
          </cell>
        </row>
        <row r="328">
          <cell r="B328" t="str">
            <v>Trần Đình Khoa</v>
          </cell>
          <cell r="C328" t="str">
            <v>01013023</v>
          </cell>
          <cell r="D328" t="str">
            <v>A4</v>
          </cell>
          <cell r="E328" t="str">
            <v>A4</v>
          </cell>
        </row>
        <row r="329">
          <cell r="B329" t="str">
            <v>Phan Văn Hòa</v>
          </cell>
          <cell r="C329" t="str">
            <v>01013015</v>
          </cell>
          <cell r="D329" t="str">
            <v>C1</v>
          </cell>
          <cell r="E329" t="str">
            <v>B2</v>
          </cell>
        </row>
        <row r="330">
          <cell r="B330" t="str">
            <v>Nguyễn Thanh Dũng</v>
          </cell>
          <cell r="C330" t="str">
            <v>01029016</v>
          </cell>
          <cell r="D330" t="str">
            <v>A4</v>
          </cell>
          <cell r="E330" t="str">
            <v>A4</v>
          </cell>
        </row>
        <row r="331">
          <cell r="B331" t="str">
            <v>KHOA KINH TẾ</v>
          </cell>
          <cell r="C331">
            <v>0</v>
          </cell>
          <cell r="D331">
            <v>0</v>
          </cell>
          <cell r="E331">
            <v>12</v>
          </cell>
        </row>
        <row r="332">
          <cell r="B332" t="str">
            <v>Viên chức</v>
          </cell>
          <cell r="C332">
            <v>0</v>
          </cell>
          <cell r="D332">
            <v>0</v>
          </cell>
          <cell r="E332">
            <v>12</v>
          </cell>
        </row>
        <row r="333">
          <cell r="B333" t="str">
            <v>Trịnh Hoàng Hiệp</v>
          </cell>
          <cell r="C333" t="str">
            <v>01025007</v>
          </cell>
          <cell r="D333" t="str">
            <v>A3</v>
          </cell>
          <cell r="E333" t="str">
            <v>A3</v>
          </cell>
        </row>
        <row r="334">
          <cell r="B334" t="str">
            <v>Phạm Quỳnh Như</v>
          </cell>
          <cell r="C334" t="str">
            <v>01025004</v>
          </cell>
          <cell r="D334" t="str">
            <v>A3</v>
          </cell>
          <cell r="E334" t="str">
            <v>A2</v>
          </cell>
        </row>
        <row r="335">
          <cell r="B335" t="str">
            <v>Lưu Thị Thúy</v>
          </cell>
          <cell r="C335" t="str">
            <v>01025002</v>
          </cell>
          <cell r="D335" t="str">
            <v>A3</v>
          </cell>
          <cell r="E335" t="str">
            <v>A3</v>
          </cell>
        </row>
        <row r="336">
          <cell r="B336" t="str">
            <v>Trần Thị Ngọc Dung</v>
          </cell>
          <cell r="C336" t="str">
            <v>01025016</v>
          </cell>
          <cell r="D336" t="str">
            <v>A4</v>
          </cell>
          <cell r="E336" t="str">
            <v>A4</v>
          </cell>
        </row>
        <row r="337">
          <cell r="B337" t="str">
            <v>Cao Xuân Giang</v>
          </cell>
          <cell r="C337" t="str">
            <v>01025018</v>
          </cell>
          <cell r="D337" t="str">
            <v>A4</v>
          </cell>
          <cell r="E337" t="str">
            <v>A4</v>
          </cell>
        </row>
        <row r="338">
          <cell r="B338" t="str">
            <v>Nguyễn Thị Thanh Hòa</v>
          </cell>
          <cell r="C338" t="str">
            <v>01009027</v>
          </cell>
          <cell r="D338" t="str">
            <v>A3</v>
          </cell>
          <cell r="E338" t="str">
            <v>A3</v>
          </cell>
        </row>
        <row r="339">
          <cell r="B339" t="str">
            <v>Huỳnh Kim Liên</v>
          </cell>
          <cell r="C339" t="str">
            <v>01025052</v>
          </cell>
          <cell r="D339" t="str">
            <v>A4</v>
          </cell>
          <cell r="E339" t="str">
            <v>A3</v>
          </cell>
        </row>
        <row r="340">
          <cell r="B340" t="str">
            <v>Lê Hồng Ngọc My</v>
          </cell>
          <cell r="C340" t="str">
            <v>01015053</v>
          </cell>
          <cell r="D340" t="str">
            <v>A3</v>
          </cell>
          <cell r="E340" t="str">
            <v>A3</v>
          </cell>
        </row>
        <row r="341">
          <cell r="B341" t="str">
            <v>Lê Thị Thu Thảo</v>
          </cell>
          <cell r="C341" t="str">
            <v>01025008</v>
          </cell>
          <cell r="D341" t="str">
            <v>A4</v>
          </cell>
          <cell r="E341" t="str">
            <v>A4</v>
          </cell>
        </row>
        <row r="342">
          <cell r="B342" t="str">
            <v>Nguyễn Thị Minh Thùy</v>
          </cell>
          <cell r="C342" t="str">
            <v>01003013</v>
          </cell>
          <cell r="D342" t="str">
            <v>A1</v>
          </cell>
          <cell r="E342" t="str">
            <v>A1</v>
          </cell>
        </row>
        <row r="343">
          <cell r="B343" t="str">
            <v>Nguyễn Mỹ Tiên</v>
          </cell>
          <cell r="C343" t="str">
            <v>01025015</v>
          </cell>
          <cell r="D343" t="str">
            <v>A4</v>
          </cell>
          <cell r="E343" t="str">
            <v>A4</v>
          </cell>
        </row>
        <row r="344">
          <cell r="B344" t="str">
            <v>Nguyễn Huỳnh Lưu Phương</v>
          </cell>
          <cell r="C344" t="str">
            <v>01025101</v>
          </cell>
          <cell r="D344" t="str">
            <v>A4</v>
          </cell>
          <cell r="E344" t="str">
            <v>A4</v>
          </cell>
        </row>
        <row r="345">
          <cell r="B345" t="str">
            <v>KHOA DU LỊCH - KHÁCH SẠN</v>
          </cell>
          <cell r="C345">
            <v>0</v>
          </cell>
          <cell r="D345">
            <v>0</v>
          </cell>
          <cell r="E345">
            <v>7</v>
          </cell>
        </row>
        <row r="346">
          <cell r="B346" t="str">
            <v>Viên chức</v>
          </cell>
          <cell r="C346">
            <v>0</v>
          </cell>
          <cell r="D346">
            <v>0</v>
          </cell>
          <cell r="E346">
            <v>7</v>
          </cell>
        </row>
        <row r="347">
          <cell r="B347" t="str">
            <v>Hồ Gia Bảo</v>
          </cell>
          <cell r="C347" t="str">
            <v>01025029</v>
          </cell>
          <cell r="D347" t="str">
            <v>A1</v>
          </cell>
          <cell r="E347" t="str">
            <v>A1</v>
          </cell>
        </row>
        <row r="348">
          <cell r="B348" t="str">
            <v>Lữ Xuân Trang</v>
          </cell>
          <cell r="C348" t="str">
            <v>01025009</v>
          </cell>
          <cell r="D348" t="str">
            <v>A1</v>
          </cell>
          <cell r="E348" t="str">
            <v>A1</v>
          </cell>
        </row>
        <row r="349">
          <cell r="B349" t="str">
            <v>Phạm Thị Thanh Thúy</v>
          </cell>
          <cell r="C349" t="str">
            <v>01016003</v>
          </cell>
          <cell r="D349" t="str">
            <v>A3</v>
          </cell>
          <cell r="E349" t="str">
            <v>A2</v>
          </cell>
        </row>
        <row r="350">
          <cell r="B350" t="str">
            <v>Đinh Thị Trâm</v>
          </cell>
          <cell r="C350" t="str">
            <v>01025033</v>
          </cell>
          <cell r="D350" t="str">
            <v>A2</v>
          </cell>
          <cell r="E350" t="str">
            <v>A2</v>
          </cell>
        </row>
        <row r="351">
          <cell r="B351" t="str">
            <v>Lê Thị Thúy Oanh</v>
          </cell>
          <cell r="C351" t="str">
            <v>01025020</v>
          </cell>
          <cell r="D351" t="str">
            <v>A3</v>
          </cell>
          <cell r="E351" t="str">
            <v>A3</v>
          </cell>
        </row>
        <row r="352">
          <cell r="B352" t="str">
            <v>Võ Thị Kim Thư</v>
          </cell>
          <cell r="C352" t="str">
            <v>01025012</v>
          </cell>
          <cell r="D352" t="str">
            <v>A3</v>
          </cell>
          <cell r="E352" t="str">
            <v>A3</v>
          </cell>
        </row>
        <row r="353">
          <cell r="B353" t="str">
            <v>Nguyễn Hoàng Thanh Ngân</v>
          </cell>
          <cell r="C353" t="str">
            <v>01025027</v>
          </cell>
          <cell r="D353" t="str">
            <v>A DN</v>
          </cell>
          <cell r="E353" t="str">
            <v>A DN</v>
          </cell>
        </row>
        <row r="354">
          <cell r="B354" t="str">
            <v>KHOA XÂY DỰNG</v>
          </cell>
          <cell r="C354">
            <v>0</v>
          </cell>
          <cell r="D354">
            <v>0</v>
          </cell>
          <cell r="E354">
            <v>3</v>
          </cell>
        </row>
        <row r="355">
          <cell r="B355" t="str">
            <v>Viên chức</v>
          </cell>
          <cell r="C355">
            <v>0</v>
          </cell>
          <cell r="D355">
            <v>0</v>
          </cell>
          <cell r="E355">
            <v>3</v>
          </cell>
        </row>
        <row r="356">
          <cell r="B356" t="str">
            <v>Phạm Quang Vũ</v>
          </cell>
          <cell r="C356" t="str">
            <v>01004014</v>
          </cell>
          <cell r="D356" t="str">
            <v>A2</v>
          </cell>
          <cell r="E356" t="str">
            <v>A2</v>
          </cell>
        </row>
        <row r="357">
          <cell r="B357" t="str">
            <v>Trình Minh Phong</v>
          </cell>
          <cell r="C357" t="str">
            <v>01028013</v>
          </cell>
          <cell r="D357" t="str">
            <v>A4</v>
          </cell>
          <cell r="E357" t="str">
            <v>A4</v>
          </cell>
        </row>
        <row r="358">
          <cell r="B358" t="str">
            <v>Trần Ngọc Tuấn</v>
          </cell>
          <cell r="C358" t="str">
            <v>01028017</v>
          </cell>
          <cell r="D358" t="str">
            <v>A4</v>
          </cell>
          <cell r="E358" t="str">
            <v>A3</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A3</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A2</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A4</v>
          </cell>
          <cell r="E381" t="str">
            <v>A4</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A1</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A2</v>
          </cell>
          <cell r="E387" t="str">
            <v>A2</v>
          </cell>
        </row>
        <row r="388">
          <cell r="B388" t="str">
            <v>TRUNG TÂM QUAN HỆ DOANH NGHIỆP</v>
          </cell>
          <cell r="C388">
            <v>0</v>
          </cell>
          <cell r="D388">
            <v>0</v>
          </cell>
          <cell r="E388">
            <v>2</v>
          </cell>
        </row>
        <row r="389">
          <cell r="B389" t="str">
            <v>Viên chức</v>
          </cell>
          <cell r="C389">
            <v>0</v>
          </cell>
          <cell r="D389">
            <v>0</v>
          </cell>
          <cell r="E389">
            <v>2</v>
          </cell>
        </row>
        <row r="390">
          <cell r="B390" t="str">
            <v>Nguyễn Văn Chiến</v>
          </cell>
          <cell r="C390" t="str">
            <v>01007008</v>
          </cell>
          <cell r="D390" t="str">
            <v>A2</v>
          </cell>
          <cell r="E390" t="str">
            <v>A2</v>
          </cell>
        </row>
        <row r="391">
          <cell r="B391" t="str">
            <v>Nguyễn Thùy Dương</v>
          </cell>
          <cell r="C391" t="str">
            <v>01014012</v>
          </cell>
          <cell r="D391" t="str">
            <v>A4</v>
          </cell>
          <cell r="E391" t="str">
            <v>A4</v>
          </cell>
        </row>
        <row r="392">
          <cell r="B392" t="str">
            <v>TRUNG TÂM ĐIỀU HÀNH VÀ QLDL</v>
          </cell>
          <cell r="C392">
            <v>0</v>
          </cell>
          <cell r="D392">
            <v>0</v>
          </cell>
          <cell r="E392">
            <v>7</v>
          </cell>
        </row>
        <row r="393">
          <cell r="B393" t="str">
            <v>Viên chức</v>
          </cell>
          <cell r="C393">
            <v>0</v>
          </cell>
          <cell r="D393">
            <v>0</v>
          </cell>
          <cell r="E393">
            <v>4</v>
          </cell>
        </row>
        <row r="394">
          <cell r="B394" t="str">
            <v>Nguyễn Hữu Thiện</v>
          </cell>
          <cell r="C394" t="str">
            <v>01017003</v>
          </cell>
          <cell r="D394" t="str">
            <v>A1</v>
          </cell>
          <cell r="E394" t="str">
            <v>A1</v>
          </cell>
        </row>
        <row r="395">
          <cell r="B395" t="str">
            <v>Trương Thị Hồng</v>
          </cell>
          <cell r="C395" t="str">
            <v>01023002</v>
          </cell>
          <cell r="D395" t="str">
            <v>A1</v>
          </cell>
          <cell r="E395" t="str">
            <v>A1</v>
          </cell>
        </row>
        <row r="396">
          <cell r="B396" t="str">
            <v>Vương Hội Khánh</v>
          </cell>
          <cell r="C396" t="str">
            <v>01017010</v>
          </cell>
          <cell r="D396" t="str">
            <v>A1</v>
          </cell>
          <cell r="E396" t="str">
            <v>A1</v>
          </cell>
        </row>
        <row r="397">
          <cell r="B397" t="str">
            <v>Trương Hữu Lộc</v>
          </cell>
          <cell r="C397" t="str">
            <v>01018004</v>
          </cell>
          <cell r="D397" t="str">
            <v>A2</v>
          </cell>
          <cell r="E397" t="str">
            <v>A1</v>
          </cell>
        </row>
        <row r="398">
          <cell r="B398" t="str">
            <v>Hợp đồng trường</v>
          </cell>
          <cell r="C398">
            <v>0</v>
          </cell>
          <cell r="D398">
            <v>0</v>
          </cell>
          <cell r="E398">
            <v>3</v>
          </cell>
        </row>
        <row r="399">
          <cell r="B399" t="str">
            <v>Phạm Huỳnh Kim Ngân</v>
          </cell>
          <cell r="C399" t="str">
            <v>01025013</v>
          </cell>
          <cell r="D399" t="str">
            <v>A4</v>
          </cell>
          <cell r="E399" t="str">
            <v>A4</v>
          </cell>
        </row>
        <row r="400">
          <cell r="B400" t="str">
            <v>Nguyễn Đan Trường</v>
          </cell>
          <cell r="C400" t="str">
            <v>01031001</v>
          </cell>
          <cell r="D400" t="str">
            <v>A2</v>
          </cell>
          <cell r="E400" t="str">
            <v>A1</v>
          </cell>
        </row>
        <row r="401">
          <cell r="B401" t="str">
            <v>Lương Công Phi</v>
          </cell>
          <cell r="C401" t="str">
            <v>01031002</v>
          </cell>
          <cell r="D401" t="str">
            <v>A3</v>
          </cell>
          <cell r="E401" t="str">
            <v>A4</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row>
        <row r="11">
          <cell r="H11" t="str">
            <v>Đinh Văn Đệ</v>
          </cell>
          <cell r="J11">
            <v>27</v>
          </cell>
        </row>
        <row r="12">
          <cell r="H12" t="str">
            <v>Đinh Hồng Minh</v>
          </cell>
          <cell r="J12">
            <v>27</v>
          </cell>
        </row>
        <row r="13">
          <cell r="H13" t="str">
            <v>Châu Văn Bảo</v>
          </cell>
          <cell r="J13">
            <v>28</v>
          </cell>
        </row>
        <row r="14">
          <cell r="H14" t="str">
            <v>Lâm Viết Dũng</v>
          </cell>
          <cell r="J14">
            <v>29</v>
          </cell>
        </row>
        <row r="15">
          <cell r="H15" t="str">
            <v>Lưu Hoàng Hải Yến</v>
          </cell>
          <cell r="J15">
            <v>23</v>
          </cell>
        </row>
        <row r="16">
          <cell r="H16" t="str">
            <v>Huỳnh Thị Minh Ly</v>
          </cell>
          <cell r="J16">
            <v>26</v>
          </cell>
        </row>
        <row r="17">
          <cell r="H17" t="str">
            <v>Nguyễn Văn Chì</v>
          </cell>
          <cell r="J17">
            <v>22.5</v>
          </cell>
        </row>
        <row r="18">
          <cell r="H18" t="str">
            <v>Nguyễn Thị Vân</v>
          </cell>
          <cell r="J18">
            <v>24</v>
          </cell>
        </row>
        <row r="19">
          <cell r="H19" t="str">
            <v>Phan Thị Ngọc Phượng</v>
          </cell>
          <cell r="J19">
            <v>24</v>
          </cell>
        </row>
        <row r="20">
          <cell r="H20" t="str">
            <v>Trần Thị Ánh Phượng</v>
          </cell>
          <cell r="J20">
            <v>22.5</v>
          </cell>
        </row>
        <row r="21">
          <cell r="H21" t="str">
            <v>Thân Thị Nhung</v>
          </cell>
          <cell r="J21">
            <v>22.5</v>
          </cell>
        </row>
        <row r="22">
          <cell r="H22" t="str">
            <v>Trần Thị Phương Oanh</v>
          </cell>
          <cell r="J22">
            <v>22</v>
          </cell>
        </row>
        <row r="23">
          <cell r="H23" t="str">
            <v>Vũ Như Quỳnh</v>
          </cell>
          <cell r="J23">
            <v>24</v>
          </cell>
        </row>
        <row r="24">
          <cell r="H24" t="str">
            <v>Nguyễn Thị Bích Liễu</v>
          </cell>
          <cell r="J24">
            <v>23</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22</v>
          </cell>
        </row>
        <row r="29">
          <cell r="H29" t="str">
            <v>Nguyễn Trọng Phú</v>
          </cell>
          <cell r="J29">
            <v>24</v>
          </cell>
        </row>
        <row r="30">
          <cell r="H30" t="str">
            <v>Lê Hồng Anh Tuấn</v>
          </cell>
          <cell r="J30">
            <v>23</v>
          </cell>
        </row>
        <row r="31">
          <cell r="H31" t="str">
            <v>Giáp Văn Thịnh</v>
          </cell>
          <cell r="J31">
            <v>23</v>
          </cell>
        </row>
        <row r="32">
          <cell r="H32" t="str">
            <v>Vũ Ngọc Quang</v>
          </cell>
          <cell r="J32">
            <v>23</v>
          </cell>
        </row>
        <row r="33">
          <cell r="H33" t="str">
            <v>Bùi Thị Dương</v>
          </cell>
          <cell r="J33">
            <v>21</v>
          </cell>
        </row>
        <row r="34">
          <cell r="H34" t="str">
            <v>Phan Hữu Tước</v>
          </cell>
          <cell r="J34">
            <v>26</v>
          </cell>
        </row>
        <row r="35">
          <cell r="H35" t="str">
            <v>Trang Thị Xuân Uyên</v>
          </cell>
          <cell r="J35">
            <v>25</v>
          </cell>
        </row>
        <row r="36">
          <cell r="H36" t="str">
            <v>Bùi Thị Lan Anh</v>
          </cell>
          <cell r="J36">
            <v>26</v>
          </cell>
        </row>
        <row r="37">
          <cell r="H37" t="str">
            <v>Nguyễn Kính</v>
          </cell>
          <cell r="J37">
            <v>26</v>
          </cell>
        </row>
        <row r="38">
          <cell r="H38" t="str">
            <v>Võ Thị Lệ Trân</v>
          </cell>
          <cell r="J38">
            <v>26</v>
          </cell>
        </row>
        <row r="39">
          <cell r="H39" t="str">
            <v>Trần Thị Minh Thoa</v>
          </cell>
          <cell r="J39">
            <v>26</v>
          </cell>
        </row>
        <row r="40">
          <cell r="H40" t="str">
            <v>Hồng Mộng Tuyết Dung</v>
          </cell>
          <cell r="J40">
            <v>25</v>
          </cell>
        </row>
        <row r="41">
          <cell r="H41" t="str">
            <v>Nguyễn Thị Hồng Thắm</v>
          </cell>
          <cell r="J41">
            <v>26</v>
          </cell>
        </row>
        <row r="42">
          <cell r="H42" t="str">
            <v>Lê Xuân Thiện</v>
          </cell>
          <cell r="J42">
            <v>25</v>
          </cell>
        </row>
        <row r="43">
          <cell r="H43" t="str">
            <v>Nguyễn Tất Thắng</v>
          </cell>
          <cell r="J43">
            <v>21</v>
          </cell>
        </row>
        <row r="44">
          <cell r="H44" t="str">
            <v>Trần Thị Thu Hà</v>
          </cell>
          <cell r="J44">
            <v>26</v>
          </cell>
        </row>
        <row r="45">
          <cell r="H45" t="str">
            <v>Phạm Thị Lê Chi</v>
          </cell>
          <cell r="J45">
            <v>22</v>
          </cell>
        </row>
        <row r="46">
          <cell r="H46" t="str">
            <v>Nguyễn Thị Kim Anh</v>
          </cell>
          <cell r="J46">
            <v>22</v>
          </cell>
        </row>
        <row r="47">
          <cell r="H47" t="str">
            <v>Mai Thu Hương</v>
          </cell>
          <cell r="J47">
            <v>22</v>
          </cell>
        </row>
        <row r="48">
          <cell r="H48" t="str">
            <v>Nguyễn Thành Nam</v>
          </cell>
          <cell r="J48">
            <v>25</v>
          </cell>
        </row>
        <row r="49">
          <cell r="H49" t="str">
            <v>Quách Minh Thử</v>
          </cell>
          <cell r="J49">
            <v>20</v>
          </cell>
        </row>
        <row r="50">
          <cell r="H50" t="str">
            <v>Võ Thị Xuân Thơ</v>
          </cell>
          <cell r="J50">
            <v>24.5</v>
          </cell>
        </row>
        <row r="51">
          <cell r="H51" t="str">
            <v>Mai Nguyễn Hoàng Yến</v>
          </cell>
          <cell r="J51">
            <v>24.5</v>
          </cell>
        </row>
        <row r="52">
          <cell r="H52" t="str">
            <v>Nguyễn Thị Hải Hà</v>
          </cell>
          <cell r="J52">
            <v>27</v>
          </cell>
        </row>
        <row r="53">
          <cell r="H53" t="str">
            <v>Nguyễn Thị Thanh Thảo</v>
          </cell>
          <cell r="J53">
            <v>22.5</v>
          </cell>
        </row>
        <row r="54">
          <cell r="H54" t="str">
            <v>Thái Thị My Sa</v>
          </cell>
          <cell r="J54">
            <v>23.5</v>
          </cell>
        </row>
        <row r="55">
          <cell r="H55" t="str">
            <v>Giáp Thị Vượng</v>
          </cell>
          <cell r="J55">
            <v>24.5</v>
          </cell>
        </row>
        <row r="56">
          <cell r="H56" t="str">
            <v>Huỳnh Thị Cẩm Hoa</v>
          </cell>
          <cell r="J56">
            <v>23</v>
          </cell>
        </row>
        <row r="57">
          <cell r="H57" t="str">
            <v>Nguyễn Thị Thùy</v>
          </cell>
          <cell r="J57">
            <v>24.5</v>
          </cell>
        </row>
        <row r="58">
          <cell r="H58" t="str">
            <v>Nguyễn Thị Ngọc Anh</v>
          </cell>
          <cell r="J58">
            <v>23</v>
          </cell>
        </row>
        <row r="59">
          <cell r="H59" t="str">
            <v>Nguyễn Chí Nhân</v>
          </cell>
          <cell r="J59">
            <v>26</v>
          </cell>
        </row>
        <row r="60">
          <cell r="H60" t="str">
            <v>Nguyễn Thị Kim Dung</v>
          </cell>
          <cell r="J60">
            <v>22</v>
          </cell>
        </row>
        <row r="61">
          <cell r="H61" t="str">
            <v>Nguyễn Thanh Sơn</v>
          </cell>
          <cell r="J61">
            <v>22</v>
          </cell>
        </row>
        <row r="62">
          <cell r="H62" t="str">
            <v>Lương Minh Dũng</v>
          </cell>
          <cell r="J62">
            <v>22</v>
          </cell>
        </row>
        <row r="63">
          <cell r="H63" t="str">
            <v>Nguyễn Thị Tuyết</v>
          </cell>
          <cell r="J63">
            <v>22</v>
          </cell>
        </row>
        <row r="64">
          <cell r="H64" t="str">
            <v>Vũ Thị Thu Thủy</v>
          </cell>
          <cell r="J64">
            <v>22</v>
          </cell>
        </row>
        <row r="65">
          <cell r="H65" t="str">
            <v>Nguyễn Trọng Nghĩa</v>
          </cell>
          <cell r="J65">
            <v>22</v>
          </cell>
        </row>
        <row r="66">
          <cell r="H66" t="str">
            <v>Lê Thị Hải Đăng</v>
          </cell>
          <cell r="J66">
            <v>23</v>
          </cell>
        </row>
        <row r="67">
          <cell r="H67" t="str">
            <v>Nguyễn Văn Chiến</v>
          </cell>
          <cell r="J67">
            <v>25</v>
          </cell>
        </row>
        <row r="68">
          <cell r="H68" t="str">
            <v>Nguyễn Thùy Dương</v>
          </cell>
          <cell r="J68">
            <v>21</v>
          </cell>
        </row>
        <row r="69">
          <cell r="H69" t="str">
            <v>Nguyễn Hữu Thiện</v>
          </cell>
          <cell r="J69">
            <v>26</v>
          </cell>
        </row>
        <row r="70">
          <cell r="H70" t="str">
            <v>Vương Hội Khánh</v>
          </cell>
          <cell r="J70">
            <v>25</v>
          </cell>
        </row>
        <row r="71">
          <cell r="H71" t="str">
            <v>Trương Hữu Lộc</v>
          </cell>
          <cell r="J71">
            <v>24</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27</v>
          </cell>
        </row>
        <row r="76">
          <cell r="H76" t="str">
            <v>Nguyễn Tiến Việt Dũng</v>
          </cell>
          <cell r="J76">
            <v>25</v>
          </cell>
        </row>
        <row r="77">
          <cell r="H77" t="str">
            <v>Bùi Đặng Hoàng Tuấn</v>
          </cell>
          <cell r="J77">
            <v>26</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v>
          </cell>
        </row>
        <row r="82">
          <cell r="H82" t="str">
            <v>Trần Thị Diễm Thúy</v>
          </cell>
          <cell r="J82">
            <v>22</v>
          </cell>
        </row>
        <row r="83">
          <cell r="H83" t="str">
            <v>Phạm Quang Vũ</v>
          </cell>
          <cell r="J83">
            <v>19</v>
          </cell>
        </row>
        <row r="84">
          <cell r="H84" t="str">
            <v>Trình Minh Phong</v>
          </cell>
          <cell r="J84">
            <v>19</v>
          </cell>
        </row>
        <row r="85">
          <cell r="H85" t="str">
            <v>Trần Ngọc Tuấn</v>
          </cell>
          <cell r="J85">
            <v>19</v>
          </cell>
        </row>
        <row r="86">
          <cell r="H86" t="str">
            <v>Trịnh Hoàng Hiệp</v>
          </cell>
          <cell r="J86">
            <v>19</v>
          </cell>
        </row>
        <row r="87">
          <cell r="H87" t="str">
            <v>Phạm Quỳnh Như</v>
          </cell>
          <cell r="J87">
            <v>19</v>
          </cell>
        </row>
        <row r="88">
          <cell r="H88" t="str">
            <v>Lê Thị Thu Thảo</v>
          </cell>
          <cell r="J88">
            <v>19</v>
          </cell>
        </row>
        <row r="89">
          <cell r="H89" t="str">
            <v>Lưu Thị Thúy</v>
          </cell>
          <cell r="J89">
            <v>19</v>
          </cell>
        </row>
        <row r="90">
          <cell r="H90" t="str">
            <v>Nguyễn Thị Minh Thùy</v>
          </cell>
          <cell r="J90">
            <v>25</v>
          </cell>
        </row>
        <row r="91">
          <cell r="H91" t="str">
            <v>Nguyễn Mỹ Tiên</v>
          </cell>
          <cell r="J91">
            <v>19</v>
          </cell>
        </row>
        <row r="92">
          <cell r="H92" t="str">
            <v>Trần Thị Ngọc Dung</v>
          </cell>
          <cell r="J92">
            <v>19</v>
          </cell>
        </row>
        <row r="93">
          <cell r="H93" t="str">
            <v>Cao Xuân Giang</v>
          </cell>
          <cell r="J93">
            <v>19</v>
          </cell>
        </row>
        <row r="94">
          <cell r="H94" t="str">
            <v>Lê Thị Thúy Oanh</v>
          </cell>
          <cell r="J94">
            <v>19</v>
          </cell>
        </row>
        <row r="95">
          <cell r="H95" t="str">
            <v>Nguyễn Thị Thanh Hòa</v>
          </cell>
          <cell r="J95">
            <v>19</v>
          </cell>
        </row>
        <row r="96">
          <cell r="H96" t="str">
            <v>Huỳnh Kim Liên</v>
          </cell>
          <cell r="J96">
            <v>19</v>
          </cell>
        </row>
        <row r="97">
          <cell r="H97" t="str">
            <v>Nguyễn Huỳnh Lưu Phương</v>
          </cell>
          <cell r="J97">
            <v>19</v>
          </cell>
        </row>
        <row r="98">
          <cell r="H98" t="str">
            <v>Hồ Gia Bảo</v>
          </cell>
          <cell r="J98">
            <v>19</v>
          </cell>
        </row>
        <row r="99">
          <cell r="H99" t="str">
            <v>Lữ Xuân Trang</v>
          </cell>
          <cell r="J99">
            <v>19</v>
          </cell>
        </row>
        <row r="100">
          <cell r="H100" t="str">
            <v>Phạm Thị Thanh Thúy</v>
          </cell>
          <cell r="J100">
            <v>19</v>
          </cell>
        </row>
        <row r="101">
          <cell r="H101" t="str">
            <v>Đinh Thị Trâm</v>
          </cell>
          <cell r="J101">
            <v>19</v>
          </cell>
        </row>
        <row r="102">
          <cell r="H102" t="str">
            <v>Võ Thị Kim Thư</v>
          </cell>
          <cell r="J102">
            <v>19</v>
          </cell>
        </row>
        <row r="103">
          <cell r="H103" t="str">
            <v>Lê Hồng Ngọc My</v>
          </cell>
          <cell r="J103">
            <v>19</v>
          </cell>
        </row>
        <row r="104">
          <cell r="H104" t="str">
            <v>Nguyễn Hoàng Thanh Ngân</v>
          </cell>
          <cell r="J104">
            <v>0</v>
          </cell>
        </row>
        <row r="105">
          <cell r="H105" t="str">
            <v>Nguyễn Ngọc Thọ</v>
          </cell>
          <cell r="J105">
            <v>19</v>
          </cell>
        </row>
        <row r="106">
          <cell r="H106" t="str">
            <v>Nguyễn Bạch Cẩm Dung</v>
          </cell>
          <cell r="J106">
            <v>19</v>
          </cell>
        </row>
        <row r="107">
          <cell r="H107" t="str">
            <v>Lâm Thị Phương Thùy</v>
          </cell>
          <cell r="J107">
            <v>19</v>
          </cell>
        </row>
        <row r="108">
          <cell r="H108" t="str">
            <v>Nguyễn Thị Hiền</v>
          </cell>
          <cell r="J108">
            <v>19</v>
          </cell>
        </row>
        <row r="109">
          <cell r="H109" t="str">
            <v>Chế Vân Cầm</v>
          </cell>
          <cell r="J109">
            <v>19</v>
          </cell>
        </row>
        <row r="110">
          <cell r="H110" t="str">
            <v>Trần Hồng Thảo</v>
          </cell>
          <cell r="J110">
            <v>19</v>
          </cell>
        </row>
        <row r="111">
          <cell r="H111" t="str">
            <v>Lê Thị Phương Thảo</v>
          </cell>
          <cell r="J111">
            <v>19</v>
          </cell>
        </row>
        <row r="112">
          <cell r="H112" t="str">
            <v>Bùi Thị Ngọc Sương</v>
          </cell>
          <cell r="J112">
            <v>19</v>
          </cell>
        </row>
        <row r="113">
          <cell r="H113" t="str">
            <v>Nguyễn Thị Nhuận</v>
          </cell>
          <cell r="J113">
            <v>20</v>
          </cell>
        </row>
        <row r="114">
          <cell r="H114" t="str">
            <v>Nguyễn Thị Huyền Nga</v>
          </cell>
          <cell r="J114">
            <v>19</v>
          </cell>
        </row>
        <row r="115">
          <cell r="H115" t="str">
            <v>Nguyễn Phương Hà</v>
          </cell>
          <cell r="J115">
            <v>19</v>
          </cell>
        </row>
        <row r="116">
          <cell r="H116" t="str">
            <v>Trịnh Khắc Vũ</v>
          </cell>
          <cell r="J116">
            <v>19</v>
          </cell>
        </row>
        <row r="117">
          <cell r="H117" t="str">
            <v>Lê Minh Phong</v>
          </cell>
          <cell r="J117">
            <v>19</v>
          </cell>
        </row>
        <row r="118">
          <cell r="H118" t="str">
            <v>Nguyễn Văn Đông</v>
          </cell>
          <cell r="J118">
            <v>19</v>
          </cell>
        </row>
        <row r="119">
          <cell r="H119" t="str">
            <v>Đặng Thị Kiến Trúc</v>
          </cell>
          <cell r="J119">
            <v>19</v>
          </cell>
        </row>
        <row r="120">
          <cell r="H120" t="str">
            <v>Nguyễn Thanh Tú</v>
          </cell>
          <cell r="J120">
            <v>19</v>
          </cell>
        </row>
        <row r="121">
          <cell r="H121" t="str">
            <v>Trần Thị Ánh Tuyết</v>
          </cell>
          <cell r="J121">
            <v>19</v>
          </cell>
        </row>
        <row r="122">
          <cell r="H122" t="str">
            <v>Lê Văn Bình</v>
          </cell>
          <cell r="J122">
            <v>19</v>
          </cell>
        </row>
        <row r="123">
          <cell r="H123" t="str">
            <v>Phạm Thị Thu Nga</v>
          </cell>
          <cell r="J123">
            <v>20</v>
          </cell>
        </row>
        <row r="124">
          <cell r="H124" t="str">
            <v>Nguyễn Thị Cẩm Thạch</v>
          </cell>
          <cell r="J124">
            <v>19</v>
          </cell>
        </row>
        <row r="125">
          <cell r="H125" t="str">
            <v>Hà Như Mai</v>
          </cell>
          <cell r="J125">
            <v>19</v>
          </cell>
        </row>
        <row r="126">
          <cell r="H126" t="str">
            <v>Nguyễn Thị Thủy</v>
          </cell>
          <cell r="J126">
            <v>19</v>
          </cell>
        </row>
        <row r="127">
          <cell r="H127" t="str">
            <v>Dương Đức Kiên</v>
          </cell>
          <cell r="J127">
            <v>20</v>
          </cell>
        </row>
        <row r="128">
          <cell r="H128" t="str">
            <v>Nguyễn Văn Hậu</v>
          </cell>
          <cell r="J128">
            <v>19</v>
          </cell>
        </row>
        <row r="129">
          <cell r="H129" t="str">
            <v>Lê Thái Hùng</v>
          </cell>
          <cell r="J129">
            <v>20</v>
          </cell>
        </row>
        <row r="130">
          <cell r="H130" t="str">
            <v>Nguyễn Phú Tân</v>
          </cell>
          <cell r="J130">
            <v>20</v>
          </cell>
        </row>
        <row r="131">
          <cell r="H131" t="str">
            <v>Nguyễn Mạnh Phương</v>
          </cell>
          <cell r="J131">
            <v>20</v>
          </cell>
        </row>
        <row r="132">
          <cell r="H132" t="str">
            <v>Giang Phi Hùng</v>
          </cell>
          <cell r="J132">
            <v>20</v>
          </cell>
        </row>
        <row r="133">
          <cell r="H133" t="str">
            <v>Ngô Thanh Điền</v>
          </cell>
          <cell r="J133">
            <v>20</v>
          </cell>
        </row>
        <row r="134">
          <cell r="H134" t="str">
            <v>Nguyễn Thị Thu Hà</v>
          </cell>
          <cell r="J134">
            <v>19</v>
          </cell>
        </row>
        <row r="135">
          <cell r="H135" t="str">
            <v>Vương Thanh Thủy</v>
          </cell>
          <cell r="J135">
            <v>19</v>
          </cell>
        </row>
        <row r="136">
          <cell r="H136" t="str">
            <v>Nguyễn Thị Bảo Trân</v>
          </cell>
          <cell r="J136">
            <v>19</v>
          </cell>
        </row>
        <row r="137">
          <cell r="H137" t="str">
            <v>Nguyễn Thị Thu Tâm</v>
          </cell>
          <cell r="J137">
            <v>19</v>
          </cell>
        </row>
        <row r="138">
          <cell r="H138" t="str">
            <v>Nguyễn Thị Thanh Tú</v>
          </cell>
          <cell r="J138">
            <v>19</v>
          </cell>
        </row>
        <row r="139">
          <cell r="H139" t="str">
            <v>Võ Thị Hồng Lan</v>
          </cell>
          <cell r="J139">
            <v>19</v>
          </cell>
        </row>
        <row r="140">
          <cell r="H140" t="str">
            <v>Lê Nguyễn Mỹ Trâm</v>
          </cell>
          <cell r="J140">
            <v>19</v>
          </cell>
        </row>
        <row r="141">
          <cell r="H141" t="str">
            <v>Phạm Thị Thu Hiền</v>
          </cell>
          <cell r="J141">
            <v>19</v>
          </cell>
        </row>
        <row r="142">
          <cell r="H142" t="str">
            <v>Nguyễn Thiện Bình</v>
          </cell>
          <cell r="J142">
            <v>19</v>
          </cell>
        </row>
        <row r="143">
          <cell r="H143" t="str">
            <v>Trần Thanh Trúc</v>
          </cell>
          <cell r="J143">
            <v>19</v>
          </cell>
        </row>
        <row r="144">
          <cell r="H144" t="str">
            <v>Lâm Thị Phương Thảo</v>
          </cell>
          <cell r="J144">
            <v>19</v>
          </cell>
        </row>
        <row r="145">
          <cell r="H145" t="str">
            <v>Trần Hà Trang</v>
          </cell>
          <cell r="J145">
            <v>0</v>
          </cell>
        </row>
        <row r="146">
          <cell r="H146" t="str">
            <v>Lê Thu Hà</v>
          </cell>
          <cell r="J146">
            <v>19</v>
          </cell>
        </row>
        <row r="147">
          <cell r="H147" t="str">
            <v>Ôn Thị Ngọc Thảo</v>
          </cell>
          <cell r="J147">
            <v>19</v>
          </cell>
        </row>
        <row r="148">
          <cell r="H148" t="str">
            <v>Lê Thị Hồng Vân</v>
          </cell>
          <cell r="J148">
            <v>19</v>
          </cell>
        </row>
        <row r="149">
          <cell r="H149" t="str">
            <v>Nguyễn Ngọc Quỳnh</v>
          </cell>
          <cell r="J149">
            <v>19</v>
          </cell>
        </row>
        <row r="150">
          <cell r="H150" t="str">
            <v>Phan Thị Thùy Trang</v>
          </cell>
          <cell r="J150">
            <v>19</v>
          </cell>
        </row>
        <row r="151">
          <cell r="H151" t="str">
            <v>Lê Thị Mai Hường</v>
          </cell>
          <cell r="J151">
            <v>19</v>
          </cell>
        </row>
        <row r="152">
          <cell r="H152" t="str">
            <v>Nguyễn Thị Dinh</v>
          </cell>
          <cell r="J152">
            <v>19</v>
          </cell>
        </row>
        <row r="153">
          <cell r="H153" t="str">
            <v>Đỗ Thị Ngát</v>
          </cell>
          <cell r="J153">
            <v>19</v>
          </cell>
        </row>
        <row r="154">
          <cell r="H154" t="str">
            <v>Nguyễn Anh Kiệt</v>
          </cell>
          <cell r="J154">
            <v>19</v>
          </cell>
        </row>
        <row r="155">
          <cell r="H155" t="str">
            <v>Trần Thị Hồng Thu</v>
          </cell>
          <cell r="J155">
            <v>19</v>
          </cell>
        </row>
        <row r="156">
          <cell r="H156" t="str">
            <v>Đinh Thị Huyên</v>
          </cell>
          <cell r="J156">
            <v>19</v>
          </cell>
        </row>
        <row r="157">
          <cell r="H157" t="str">
            <v>Cao Thị Hồng Thắm</v>
          </cell>
          <cell r="J157">
            <v>0</v>
          </cell>
        </row>
        <row r="158">
          <cell r="H158" t="str">
            <v>Đỗ Thị Thơm</v>
          </cell>
          <cell r="J158">
            <v>19</v>
          </cell>
        </row>
        <row r="159">
          <cell r="H159" t="str">
            <v>Phạm Thị Vinh</v>
          </cell>
          <cell r="J159">
            <v>19</v>
          </cell>
        </row>
        <row r="160">
          <cell r="H160" t="str">
            <v>Hoàng Thị Trang</v>
          </cell>
          <cell r="J160">
            <v>19</v>
          </cell>
        </row>
        <row r="161">
          <cell r="H161" t="str">
            <v>Bùi Thành Dũng</v>
          </cell>
          <cell r="J161">
            <v>19</v>
          </cell>
        </row>
        <row r="162">
          <cell r="H162" t="str">
            <v>Trần Văn Lượng</v>
          </cell>
          <cell r="J162">
            <v>19</v>
          </cell>
        </row>
        <row r="163">
          <cell r="H163" t="str">
            <v>Trần Việt Khánh</v>
          </cell>
          <cell r="J163">
            <v>20</v>
          </cell>
        </row>
        <row r="164">
          <cell r="H164" t="str">
            <v>Nguyễn Nguyên Hoàng Ngọc Quyên</v>
          </cell>
          <cell r="J164">
            <v>19</v>
          </cell>
        </row>
        <row r="165">
          <cell r="H165" t="str">
            <v>Vũ Thị Thái Linh</v>
          </cell>
          <cell r="J165">
            <v>19</v>
          </cell>
        </row>
        <row r="166">
          <cell r="H166" t="str">
            <v>Nguyễn Sanh Cường</v>
          </cell>
          <cell r="J166">
            <v>19</v>
          </cell>
        </row>
        <row r="167">
          <cell r="H167" t="str">
            <v>Lê Quý Hưng Quốc</v>
          </cell>
          <cell r="J167">
            <v>19</v>
          </cell>
        </row>
        <row r="168">
          <cell r="H168" t="str">
            <v>Bùi Văn Dũng</v>
          </cell>
          <cell r="J168">
            <v>19</v>
          </cell>
        </row>
        <row r="169">
          <cell r="H169" t="str">
            <v>Nguyễn Văn Minh</v>
          </cell>
          <cell r="J169">
            <v>19</v>
          </cell>
        </row>
        <row r="170">
          <cell r="H170" t="str">
            <v>Nguyễn Thị Khánh Thư</v>
          </cell>
          <cell r="J170">
            <v>19</v>
          </cell>
        </row>
        <row r="171">
          <cell r="H171" t="str">
            <v>Đỗ Thị Hải Yến</v>
          </cell>
          <cell r="J171">
            <v>19</v>
          </cell>
        </row>
        <row r="172">
          <cell r="H172" t="str">
            <v>Lê Hồng Thái</v>
          </cell>
          <cell r="J172">
            <v>19</v>
          </cell>
        </row>
        <row r="173">
          <cell r="H173" t="str">
            <v>Đặng Ngọc Đoàn</v>
          </cell>
          <cell r="J173">
            <v>19</v>
          </cell>
        </row>
        <row r="174">
          <cell r="H174" t="str">
            <v>Nguyễn Văn Đôn</v>
          </cell>
          <cell r="J174">
            <v>19</v>
          </cell>
        </row>
        <row r="175">
          <cell r="H175" t="str">
            <v>Huỳnh Quốc Dũng</v>
          </cell>
          <cell r="J175">
            <v>19</v>
          </cell>
        </row>
        <row r="176">
          <cell r="H176" t="str">
            <v>Dương Ngọc Vọng</v>
          </cell>
          <cell r="J176">
            <v>19</v>
          </cell>
        </row>
        <row r="177">
          <cell r="H177" t="str">
            <v>Nguyễn Ngọc Tuyên</v>
          </cell>
          <cell r="J177">
            <v>19</v>
          </cell>
        </row>
        <row r="178">
          <cell r="H178" t="str">
            <v>Nguyễn Cao Phong</v>
          </cell>
          <cell r="J178">
            <v>19</v>
          </cell>
        </row>
        <row r="179">
          <cell r="H179" t="str">
            <v>Mai Chiếm Tuấn</v>
          </cell>
          <cell r="J179">
            <v>19</v>
          </cell>
        </row>
        <row r="180">
          <cell r="H180" t="str">
            <v>Đỗ Tuấn Việt</v>
          </cell>
          <cell r="J180">
            <v>19</v>
          </cell>
        </row>
        <row r="181">
          <cell r="H181" t="str">
            <v>Trần Vĩnh Xuyên</v>
          </cell>
          <cell r="J181">
            <v>19</v>
          </cell>
        </row>
        <row r="182">
          <cell r="H182" t="str">
            <v>Đào Lê Phương Anh</v>
          </cell>
          <cell r="J182">
            <v>19</v>
          </cell>
        </row>
        <row r="183">
          <cell r="H183" t="str">
            <v>Nguyễn Duy Lộc</v>
          </cell>
          <cell r="J183">
            <v>19</v>
          </cell>
        </row>
        <row r="184">
          <cell r="H184" t="str">
            <v>Chung Trần Thế Vinh</v>
          </cell>
          <cell r="J184">
            <v>23</v>
          </cell>
        </row>
        <row r="185">
          <cell r="H185" t="str">
            <v>Đỗ Thị Phương Khanh</v>
          </cell>
          <cell r="J185">
            <v>19</v>
          </cell>
        </row>
        <row r="186">
          <cell r="H186" t="str">
            <v>Trương Thị Phương Hồng</v>
          </cell>
          <cell r="J186">
            <v>19</v>
          </cell>
        </row>
        <row r="187">
          <cell r="H187" t="str">
            <v>Dương Minh Chung</v>
          </cell>
          <cell r="J187">
            <v>19</v>
          </cell>
        </row>
        <row r="188">
          <cell r="H188" t="str">
            <v>Phan Văn Thành</v>
          </cell>
          <cell r="J188">
            <v>19</v>
          </cell>
        </row>
        <row r="189">
          <cell r="H189" t="str">
            <v>Vũ Đức Pháp</v>
          </cell>
          <cell r="J189">
            <v>19</v>
          </cell>
        </row>
        <row r="190">
          <cell r="H190" t="str">
            <v>Vũ Quang Khải</v>
          </cell>
          <cell r="J190">
            <v>19</v>
          </cell>
        </row>
        <row r="191">
          <cell r="H191" t="str">
            <v>Nguyễn Thanh Vũ</v>
          </cell>
          <cell r="J191">
            <v>19</v>
          </cell>
        </row>
        <row r="192">
          <cell r="H192" t="str">
            <v>Phan Thị Xuân Trang</v>
          </cell>
          <cell r="J192">
            <v>19</v>
          </cell>
        </row>
        <row r="193">
          <cell r="H193" t="str">
            <v>Trần Đình Khải</v>
          </cell>
          <cell r="J193">
            <v>19</v>
          </cell>
        </row>
        <row r="194">
          <cell r="H194" t="str">
            <v>Lư Thị Yến Vũ</v>
          </cell>
          <cell r="J194">
            <v>19</v>
          </cell>
        </row>
        <row r="195">
          <cell r="H195" t="str">
            <v>Nguyễn Tiến Dũng</v>
          </cell>
          <cell r="J195">
            <v>19</v>
          </cell>
        </row>
        <row r="196">
          <cell r="H196" t="str">
            <v>Nguyễn Thành Long</v>
          </cell>
          <cell r="J196">
            <v>19</v>
          </cell>
        </row>
        <row r="197">
          <cell r="H197" t="str">
            <v>Nguyễn Ngọc Quỳnh.</v>
          </cell>
          <cell r="J197">
            <v>19</v>
          </cell>
        </row>
        <row r="198">
          <cell r="H198" t="str">
            <v>Nguyễn Duy Hải</v>
          </cell>
          <cell r="J198">
            <v>19</v>
          </cell>
        </row>
        <row r="199">
          <cell r="H199" t="str">
            <v>Bùi Anh Tuấn</v>
          </cell>
          <cell r="J199">
            <v>19</v>
          </cell>
        </row>
        <row r="200">
          <cell r="H200" t="str">
            <v>Trần Thị Hương</v>
          </cell>
          <cell r="J200">
            <v>19</v>
          </cell>
        </row>
        <row r="201">
          <cell r="H201" t="str">
            <v>Trần Minh Thông</v>
          </cell>
          <cell r="J201">
            <v>19</v>
          </cell>
        </row>
        <row r="202">
          <cell r="H202" t="str">
            <v>Nguyễn Thanh Vĩnh Phúc</v>
          </cell>
          <cell r="J202">
            <v>19</v>
          </cell>
        </row>
        <row r="203">
          <cell r="H203" t="str">
            <v>Võ Minh Quang</v>
          </cell>
          <cell r="J203">
            <v>19</v>
          </cell>
        </row>
        <row r="204">
          <cell r="H204" t="str">
            <v>Dương Thị Hồng</v>
          </cell>
          <cell r="J204">
            <v>19</v>
          </cell>
        </row>
        <row r="205">
          <cell r="H205" t="str">
            <v>Nguyễn Thanh Giang</v>
          </cell>
          <cell r="J205">
            <v>19</v>
          </cell>
        </row>
        <row r="206">
          <cell r="H206" t="str">
            <v>Nguyễn Hồng Phúc</v>
          </cell>
          <cell r="J206">
            <v>19</v>
          </cell>
        </row>
        <row r="207">
          <cell r="H207" t="str">
            <v>Nguyễn Văn Sơn</v>
          </cell>
          <cell r="J207">
            <v>19</v>
          </cell>
        </row>
        <row r="208">
          <cell r="H208" t="str">
            <v>Nguyễn Khắc Huy</v>
          </cell>
          <cell r="J208">
            <v>19</v>
          </cell>
        </row>
        <row r="209">
          <cell r="H209" t="str">
            <v>Võ Hoài Sơn</v>
          </cell>
          <cell r="J209">
            <v>19</v>
          </cell>
        </row>
        <row r="210">
          <cell r="H210" t="str">
            <v>Nguyễn Thị Xuân Chinh</v>
          </cell>
          <cell r="J210">
            <v>19</v>
          </cell>
        </row>
        <row r="211">
          <cell r="H211" t="str">
            <v>Nguyễn Duy Tân</v>
          </cell>
          <cell r="J211">
            <v>19</v>
          </cell>
        </row>
        <row r="212">
          <cell r="H212" t="str">
            <v>Nguyễn Ngọc Hiệp</v>
          </cell>
          <cell r="J212">
            <v>19</v>
          </cell>
        </row>
        <row r="213">
          <cell r="H213" t="str">
            <v>Tạ Minh Cường</v>
          </cell>
          <cell r="J213">
            <v>19</v>
          </cell>
        </row>
        <row r="214">
          <cell r="H214" t="str">
            <v>Phạm Minh Nghĩa</v>
          </cell>
          <cell r="J214">
            <v>19</v>
          </cell>
        </row>
        <row r="215">
          <cell r="H215" t="str">
            <v>Nguyễn Văn Yên</v>
          </cell>
          <cell r="J215">
            <v>19</v>
          </cell>
        </row>
        <row r="216">
          <cell r="H216" t="str">
            <v>Nguyễn Minh Đức</v>
          </cell>
          <cell r="J216">
            <v>19</v>
          </cell>
        </row>
        <row r="217">
          <cell r="H217" t="str">
            <v>Nguyễn Anh Tăng</v>
          </cell>
          <cell r="J217">
            <v>19</v>
          </cell>
        </row>
        <row r="218">
          <cell r="H218" t="str">
            <v>Lê Thế Huân</v>
          </cell>
          <cell r="J218">
            <v>19</v>
          </cell>
        </row>
        <row r="219">
          <cell r="H219" t="str">
            <v>Trần Trung Hiếu</v>
          </cell>
          <cell r="J219">
            <v>19</v>
          </cell>
        </row>
        <row r="220">
          <cell r="H220" t="str">
            <v>Trần Nguyên Bảo Trân</v>
          </cell>
          <cell r="J220">
            <v>19</v>
          </cell>
        </row>
        <row r="221">
          <cell r="H221" t="str">
            <v>Mạnh Lê Hoàn</v>
          </cell>
          <cell r="J221">
            <v>19</v>
          </cell>
        </row>
        <row r="222">
          <cell r="H222" t="str">
            <v>Ngô Hoàng Anh</v>
          </cell>
          <cell r="J222">
            <v>19</v>
          </cell>
        </row>
        <row r="223">
          <cell r="H223" t="str">
            <v>Nguyễn Thùy Linh</v>
          </cell>
          <cell r="J223">
            <v>19</v>
          </cell>
        </row>
        <row r="224">
          <cell r="H224" t="str">
            <v>Vũ Hạnh Chiêu</v>
          </cell>
          <cell r="J224">
            <v>19</v>
          </cell>
        </row>
        <row r="225">
          <cell r="H225" t="str">
            <v>Đỗ Huỳnh Thanh Phong</v>
          </cell>
          <cell r="J225">
            <v>19</v>
          </cell>
        </row>
        <row r="226">
          <cell r="H226" t="str">
            <v>Nguyễn Minh Đức Cường</v>
          </cell>
          <cell r="J226">
            <v>19</v>
          </cell>
        </row>
        <row r="227">
          <cell r="H227" t="str">
            <v>Huỳnh Ngọc Mai</v>
          </cell>
          <cell r="J227">
            <v>22</v>
          </cell>
        </row>
        <row r="228">
          <cell r="H228" t="str">
            <v>Nguyễn Hồng Đức</v>
          </cell>
          <cell r="J228">
            <v>19</v>
          </cell>
        </row>
        <row r="229">
          <cell r="H229" t="str">
            <v>Trần Công Tiến</v>
          </cell>
          <cell r="J229">
            <v>19</v>
          </cell>
        </row>
        <row r="230">
          <cell r="H230" t="str">
            <v>Nguyễn Trần Thanh Nhàn</v>
          </cell>
          <cell r="J230">
            <v>19</v>
          </cell>
        </row>
        <row r="231">
          <cell r="H231" t="str">
            <v>Tăng Cẩm Huê</v>
          </cell>
          <cell r="J231">
            <v>19</v>
          </cell>
        </row>
        <row r="232">
          <cell r="H232" t="str">
            <v>Trần Hiếu Trinh</v>
          </cell>
          <cell r="J232">
            <v>19</v>
          </cell>
        </row>
        <row r="233">
          <cell r="H233" t="str">
            <v>Nguyễn Thị Tố Nga</v>
          </cell>
          <cell r="J233">
            <v>19</v>
          </cell>
        </row>
        <row r="234">
          <cell r="H234" t="str">
            <v>Đặng Đức Minh</v>
          </cell>
          <cell r="J234">
            <v>19</v>
          </cell>
        </row>
        <row r="235">
          <cell r="H235" t="str">
            <v>Nguyễn Thị Ngọc Hiền</v>
          </cell>
          <cell r="J235">
            <v>19</v>
          </cell>
        </row>
        <row r="236">
          <cell r="H236" t="str">
            <v>Ngô Phong Cường</v>
          </cell>
          <cell r="J236">
            <v>19</v>
          </cell>
        </row>
        <row r="237">
          <cell r="H237" t="str">
            <v>Cao Văn Tuấn</v>
          </cell>
          <cell r="J237">
            <v>19</v>
          </cell>
        </row>
        <row r="238">
          <cell r="H238" t="str">
            <v>Trần Nam Anh</v>
          </cell>
          <cell r="J238">
            <v>19</v>
          </cell>
        </row>
        <row r="239">
          <cell r="H239" t="str">
            <v>Trần Giang Nam</v>
          </cell>
          <cell r="J239">
            <v>19</v>
          </cell>
        </row>
        <row r="240">
          <cell r="H240" t="str">
            <v>Phan Thanh Hoàng</v>
          </cell>
          <cell r="J240">
            <v>19</v>
          </cell>
        </row>
        <row r="241">
          <cell r="H241" t="str">
            <v>Huỳnh Duy An</v>
          </cell>
          <cell r="J241">
            <v>19</v>
          </cell>
        </row>
        <row r="242">
          <cell r="H242" t="str">
            <v>Nguyễn Khương Thành</v>
          </cell>
          <cell r="J242">
            <v>19</v>
          </cell>
        </row>
        <row r="243">
          <cell r="H243" t="str">
            <v>Nguyễn Anh Tuấn</v>
          </cell>
          <cell r="J243">
            <v>19</v>
          </cell>
        </row>
        <row r="244">
          <cell r="H244" t="str">
            <v>Võ Đắc Thịnh</v>
          </cell>
          <cell r="J244">
            <v>19</v>
          </cell>
        </row>
        <row r="245">
          <cell r="H245" t="str">
            <v>Nguyễn Hữu Mạnh</v>
          </cell>
          <cell r="J245">
            <v>19</v>
          </cell>
        </row>
        <row r="246">
          <cell r="H246" t="str">
            <v>Phan Anh Tuấn Kiệt</v>
          </cell>
          <cell r="J246">
            <v>19</v>
          </cell>
        </row>
        <row r="247">
          <cell r="H247" t="str">
            <v>Triệu Phú Nguyên</v>
          </cell>
          <cell r="J247">
            <v>19</v>
          </cell>
        </row>
        <row r="248">
          <cell r="H248" t="str">
            <v>Nguyễn Thành Đức</v>
          </cell>
          <cell r="J248">
            <v>19</v>
          </cell>
        </row>
        <row r="249">
          <cell r="H249" t="str">
            <v>Nguyễn Minh Thái</v>
          </cell>
          <cell r="J249">
            <v>19</v>
          </cell>
        </row>
        <row r="250">
          <cell r="H250" t="str">
            <v>Đặng Thái Sơn</v>
          </cell>
          <cell r="J250">
            <v>19</v>
          </cell>
        </row>
        <row r="251">
          <cell r="H251" t="str">
            <v>Nguyễn Thái Bình</v>
          </cell>
          <cell r="J251">
            <v>19</v>
          </cell>
        </row>
        <row r="252">
          <cell r="H252" t="str">
            <v>Kiều Trung Tín</v>
          </cell>
          <cell r="J252">
            <v>19</v>
          </cell>
        </row>
        <row r="253">
          <cell r="H253" t="str">
            <v>Trần Quốc Duy</v>
          </cell>
          <cell r="J253">
            <v>19</v>
          </cell>
        </row>
        <row r="254">
          <cell r="H254" t="str">
            <v>Hồ Văn Hóa</v>
          </cell>
          <cell r="J254">
            <v>19</v>
          </cell>
        </row>
        <row r="255">
          <cell r="H255" t="str">
            <v>Nguyễn Thanh Hùng</v>
          </cell>
          <cell r="J255">
            <v>19</v>
          </cell>
        </row>
        <row r="256">
          <cell r="H256" t="str">
            <v>Hà Quốc Bảo</v>
          </cell>
          <cell r="J256">
            <v>19</v>
          </cell>
        </row>
        <row r="257">
          <cell r="H257" t="str">
            <v>Hoàng Phúc Bảo</v>
          </cell>
          <cell r="J257">
            <v>19</v>
          </cell>
        </row>
        <row r="258">
          <cell r="H258" t="str">
            <v>Nguyễn Lương Tâm</v>
          </cell>
          <cell r="J258">
            <v>19</v>
          </cell>
        </row>
        <row r="259">
          <cell r="H259" t="str">
            <v>Trần Thế Sơn</v>
          </cell>
          <cell r="J259">
            <v>19</v>
          </cell>
        </row>
        <row r="260">
          <cell r="H260" t="str">
            <v>Trần Văn Đông</v>
          </cell>
          <cell r="J260">
            <v>19</v>
          </cell>
        </row>
        <row r="261">
          <cell r="H261" t="str">
            <v>Lý Văn Trung</v>
          </cell>
          <cell r="J261">
            <v>19</v>
          </cell>
        </row>
        <row r="262">
          <cell r="H262" t="str">
            <v>Đỗ Hoàng Duy</v>
          </cell>
          <cell r="J262">
            <v>19</v>
          </cell>
        </row>
        <row r="263">
          <cell r="H263" t="str">
            <v>Nguyễn Hoàng Vinh</v>
          </cell>
          <cell r="J263">
            <v>19</v>
          </cell>
        </row>
        <row r="264">
          <cell r="H264" t="str">
            <v>Bùi Trọng Tân</v>
          </cell>
          <cell r="J264">
            <v>19</v>
          </cell>
        </row>
        <row r="265">
          <cell r="H265" t="str">
            <v>Võ Quốc Duy</v>
          </cell>
          <cell r="J265">
            <v>19</v>
          </cell>
        </row>
        <row r="266">
          <cell r="H266" t="str">
            <v>Giang Văn Tiến</v>
          </cell>
          <cell r="J266">
            <v>19</v>
          </cell>
        </row>
        <row r="267">
          <cell r="H267" t="str">
            <v>Nguyễn Hữu Lương</v>
          </cell>
          <cell r="J267">
            <v>19</v>
          </cell>
        </row>
        <row r="268">
          <cell r="H268" t="str">
            <v>Huỳnh Đình Văn</v>
          </cell>
          <cell r="J268">
            <v>19</v>
          </cell>
        </row>
        <row r="269">
          <cell r="H269" t="str">
            <v>Đinh Đồng Hiệp</v>
          </cell>
          <cell r="J269">
            <v>19</v>
          </cell>
        </row>
        <row r="270">
          <cell r="H270" t="str">
            <v>Đặng Thế Huân</v>
          </cell>
          <cell r="J270">
            <v>19</v>
          </cell>
        </row>
        <row r="271">
          <cell r="H271" t="str">
            <v>Võ Anh Hào</v>
          </cell>
          <cell r="J271">
            <v>19</v>
          </cell>
        </row>
        <row r="272">
          <cell r="H272" t="str">
            <v>Phan Văn Hòa</v>
          </cell>
          <cell r="J272">
            <v>19</v>
          </cell>
        </row>
        <row r="273">
          <cell r="H273" t="str">
            <v>Trần Đình Khoa</v>
          </cell>
          <cell r="J273">
            <v>19</v>
          </cell>
        </row>
        <row r="274">
          <cell r="H274" t="str">
            <v>Đỗ Trọng Quý</v>
          </cell>
          <cell r="J274">
            <v>19</v>
          </cell>
        </row>
        <row r="275">
          <cell r="H275" t="str">
            <v>Nguyễn Vũ Xuân Thì</v>
          </cell>
          <cell r="J275">
            <v>19</v>
          </cell>
        </row>
        <row r="276">
          <cell r="H276" t="str">
            <v>Hoàng Văn Viết</v>
          </cell>
          <cell r="J276">
            <v>19</v>
          </cell>
        </row>
        <row r="277">
          <cell r="H277" t="str">
            <v>Nguyễn Thanh Dũng</v>
          </cell>
          <cell r="J277">
            <v>19</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M10">
            <v>0</v>
          </cell>
        </row>
        <row r="11">
          <cell r="H11" t="str">
            <v>Đinh Văn Đệ</v>
          </cell>
          <cell r="M11">
            <v>0</v>
          </cell>
        </row>
        <row r="12">
          <cell r="H12" t="str">
            <v>Đinh Hồng Minh</v>
          </cell>
          <cell r="M12" t="str">
            <v>Trừ 1 ngày nghỉ phép 29/12</v>
          </cell>
        </row>
        <row r="13">
          <cell r="H13" t="str">
            <v>Châu Văn Bảo</v>
          </cell>
          <cell r="M13">
            <v>0</v>
          </cell>
        </row>
        <row r="14">
          <cell r="H14" t="str">
            <v>Lâm Viết Dũng</v>
          </cell>
          <cell r="M14">
            <v>0</v>
          </cell>
        </row>
        <row r="15">
          <cell r="H15" t="str">
            <v>Lưu Hoàng Hải Yến</v>
          </cell>
          <cell r="M15" t="str">
            <v>Trừ 1 ngày nghỉ phép 1/12</v>
          </cell>
        </row>
        <row r="16">
          <cell r="H16" t="str">
            <v>Huỳnh Thị Minh Ly</v>
          </cell>
          <cell r="M16">
            <v>0</v>
          </cell>
        </row>
        <row r="17">
          <cell r="H17" t="str">
            <v>Nguyễn Văn Chì</v>
          </cell>
          <cell r="M17">
            <v>0</v>
          </cell>
        </row>
        <row r="18">
          <cell r="H18" t="str">
            <v>Nguyễn Thị Vân</v>
          </cell>
          <cell r="M18">
            <v>0</v>
          </cell>
        </row>
        <row r="19">
          <cell r="H19" t="str">
            <v>Phan Thị Ngọc Phượng</v>
          </cell>
          <cell r="M19">
            <v>0</v>
          </cell>
        </row>
        <row r="20">
          <cell r="H20" t="str">
            <v>Trần Thị Ánh Phượng</v>
          </cell>
          <cell r="M20">
            <v>0</v>
          </cell>
        </row>
        <row r="21">
          <cell r="H21" t="str">
            <v>Thân Thị Nhung</v>
          </cell>
          <cell r="M21">
            <v>0</v>
          </cell>
        </row>
        <row r="22">
          <cell r="H22" t="str">
            <v>Trần Thị Phương Oanh</v>
          </cell>
          <cell r="M22">
            <v>0</v>
          </cell>
        </row>
        <row r="23">
          <cell r="H23" t="str">
            <v>Vũ Như Quỳnh</v>
          </cell>
          <cell r="M23">
            <v>0</v>
          </cell>
        </row>
        <row r="24">
          <cell r="H24" t="str">
            <v>Nguyễn Thị Bích Liễu</v>
          </cell>
          <cell r="M24" t="str">
            <v>Trừ 1 ngày nghỉ phép 25/12</v>
          </cell>
        </row>
        <row r="25">
          <cell r="H25" t="str">
            <v>Lê Thị Hải Đăng</v>
          </cell>
          <cell r="M25">
            <v>0</v>
          </cell>
        </row>
        <row r="26">
          <cell r="H26" t="str">
            <v>Lê Quang Liêm</v>
          </cell>
          <cell r="M26">
            <v>0</v>
          </cell>
        </row>
        <row r="27">
          <cell r="H27" t="str">
            <v>Nguyễn Văn Thành</v>
          </cell>
          <cell r="M27">
            <v>0</v>
          </cell>
        </row>
        <row r="28">
          <cell r="H28" t="str">
            <v>Phan Đức Long</v>
          </cell>
          <cell r="M28">
            <v>0</v>
          </cell>
        </row>
        <row r="29">
          <cell r="H29" t="str">
            <v>Ninh Đỗ Hiệp</v>
          </cell>
          <cell r="M29">
            <v>0</v>
          </cell>
        </row>
        <row r="30">
          <cell r="H30" t="str">
            <v>Nguyễn Trọng Phú</v>
          </cell>
          <cell r="M30">
            <v>0</v>
          </cell>
        </row>
        <row r="31">
          <cell r="H31" t="str">
            <v>Lê Hồng Anh Tuấn</v>
          </cell>
          <cell r="M31">
            <v>0</v>
          </cell>
        </row>
        <row r="32">
          <cell r="H32" t="str">
            <v>Giáp Văn Thịnh</v>
          </cell>
          <cell r="M32">
            <v>0</v>
          </cell>
        </row>
        <row r="33">
          <cell r="H33" t="str">
            <v>Vũ Ngọc Quang</v>
          </cell>
          <cell r="M33">
            <v>0</v>
          </cell>
        </row>
        <row r="34">
          <cell r="H34" t="str">
            <v>Bùi Thị Dương</v>
          </cell>
          <cell r="M34">
            <v>0</v>
          </cell>
        </row>
        <row r="35">
          <cell r="H35" t="str">
            <v>Phan Hữu Tước</v>
          </cell>
          <cell r="M35" t="str">
            <v>Cộng 4 ngày đi học</v>
          </cell>
        </row>
        <row r="36">
          <cell r="H36" t="str">
            <v>Trang Thị Xuân Uyên</v>
          </cell>
          <cell r="M36">
            <v>0</v>
          </cell>
        </row>
        <row r="37">
          <cell r="H37" t="str">
            <v>Bùi Thị Lan Anh</v>
          </cell>
          <cell r="M37">
            <v>0</v>
          </cell>
        </row>
        <row r="38">
          <cell r="H38" t="str">
            <v>Nguyễn Kính</v>
          </cell>
          <cell r="M38">
            <v>0</v>
          </cell>
        </row>
        <row r="39">
          <cell r="H39" t="str">
            <v>Võ Thị Lệ Trân</v>
          </cell>
          <cell r="M39">
            <v>0</v>
          </cell>
        </row>
        <row r="40">
          <cell r="H40" t="str">
            <v>Trần Thị Minh Thoa</v>
          </cell>
          <cell r="M40">
            <v>0</v>
          </cell>
        </row>
        <row r="41">
          <cell r="H41" t="str">
            <v>Hồng Mộng Tuyết Dung</v>
          </cell>
          <cell r="M41">
            <v>0</v>
          </cell>
        </row>
        <row r="42">
          <cell r="H42" t="str">
            <v>Nguyễn Thị Hồng Thắm</v>
          </cell>
          <cell r="M42">
            <v>0</v>
          </cell>
        </row>
        <row r="43">
          <cell r="H43" t="str">
            <v>Lê Xuân Thiện</v>
          </cell>
          <cell r="M43" t="str">
            <v>Trừ 1 ngày nghỉ phép 25/12</v>
          </cell>
        </row>
        <row r="44">
          <cell r="H44" t="str">
            <v>Nguyễn Ngọc Hiệp</v>
          </cell>
          <cell r="M44">
            <v>0</v>
          </cell>
        </row>
        <row r="45">
          <cell r="H45" t="str">
            <v>Nguyễn Tất Thắng</v>
          </cell>
          <cell r="M45">
            <v>0</v>
          </cell>
        </row>
        <row r="46">
          <cell r="H46" t="str">
            <v>Trần Thị Thu Hà</v>
          </cell>
          <cell r="M46">
            <v>0</v>
          </cell>
        </row>
        <row r="47">
          <cell r="H47" t="str">
            <v>Phạm Thị Lê Chi</v>
          </cell>
          <cell r="M47">
            <v>0</v>
          </cell>
        </row>
        <row r="48">
          <cell r="H48" t="str">
            <v>Nguyễn Thị Kim Anh</v>
          </cell>
          <cell r="M48" t="str">
            <v>Trừ 1 ngày nghỉ phép 5/12</v>
          </cell>
        </row>
        <row r="49">
          <cell r="H49" t="str">
            <v>Mai Thu Hương</v>
          </cell>
          <cell r="M49">
            <v>0</v>
          </cell>
        </row>
        <row r="50">
          <cell r="H50" t="str">
            <v>Nguyễn Thành Nam</v>
          </cell>
          <cell r="M50">
            <v>0</v>
          </cell>
        </row>
        <row r="51">
          <cell r="H51" t="str">
            <v>Quách Minh Thử</v>
          </cell>
          <cell r="M51">
            <v>0</v>
          </cell>
        </row>
        <row r="52">
          <cell r="H52" t="str">
            <v>Võ Thị Xuân Thơ</v>
          </cell>
          <cell r="M52">
            <v>0</v>
          </cell>
        </row>
        <row r="53">
          <cell r="H53" t="str">
            <v>Mai Nguyễn Hoàng Yến</v>
          </cell>
          <cell r="M53">
            <v>0</v>
          </cell>
        </row>
        <row r="54">
          <cell r="H54" t="str">
            <v>Nguyễn Thị Hải Hà</v>
          </cell>
          <cell r="M54">
            <v>0</v>
          </cell>
        </row>
        <row r="55">
          <cell r="H55" t="str">
            <v>Nguyễn Thị Thanh Thảo</v>
          </cell>
          <cell r="M55" t="str">
            <v>Trừ 2 ngày nghỉ phép 1+8/12</v>
          </cell>
        </row>
        <row r="56">
          <cell r="H56" t="str">
            <v>Thái Thị My Sa</v>
          </cell>
          <cell r="M56">
            <v>0</v>
          </cell>
        </row>
        <row r="57">
          <cell r="H57" t="str">
            <v>Giáp Thị Vượng</v>
          </cell>
          <cell r="M57">
            <v>0</v>
          </cell>
        </row>
        <row r="58">
          <cell r="H58" t="str">
            <v>Huỳnh Thị Cẩm Hoa</v>
          </cell>
          <cell r="M58" t="str">
            <v>Trừ 1 ngày nghỉ phép 12/12</v>
          </cell>
        </row>
        <row r="59">
          <cell r="H59" t="str">
            <v>Nguyễn Thị Thùy</v>
          </cell>
          <cell r="M59">
            <v>0</v>
          </cell>
        </row>
        <row r="60">
          <cell r="H60" t="str">
            <v>Nguyễn Thị Ngọc Anh</v>
          </cell>
          <cell r="M60" t="str">
            <v>Trừ 1 ngày nghỉ phép 13/11</v>
          </cell>
        </row>
        <row r="61">
          <cell r="H61" t="str">
            <v>Nguyễn Chí Nhân</v>
          </cell>
          <cell r="M61">
            <v>0</v>
          </cell>
        </row>
        <row r="62">
          <cell r="H62" t="str">
            <v>Nguyễn Thị Kim Dung</v>
          </cell>
          <cell r="M62">
            <v>0</v>
          </cell>
        </row>
        <row r="63">
          <cell r="H63" t="str">
            <v>Nguyễn Thanh Sơn</v>
          </cell>
          <cell r="M63">
            <v>0</v>
          </cell>
        </row>
        <row r="64">
          <cell r="H64" t="str">
            <v>Lương Minh Dũng</v>
          </cell>
          <cell r="M64">
            <v>0</v>
          </cell>
        </row>
        <row r="65">
          <cell r="H65" t="str">
            <v>Nguyễn Thị Tuyết</v>
          </cell>
          <cell r="M65">
            <v>0</v>
          </cell>
        </row>
        <row r="66">
          <cell r="H66" t="str">
            <v>Vũ Thị Thu Thủy</v>
          </cell>
          <cell r="M66">
            <v>0</v>
          </cell>
        </row>
        <row r="67">
          <cell r="H67" t="str">
            <v>Nguyễn Trọng Nghĩa</v>
          </cell>
          <cell r="M67">
            <v>0</v>
          </cell>
        </row>
        <row r="68">
          <cell r="H68" t="str">
            <v>Nguyễn Văn Chiến</v>
          </cell>
          <cell r="M68">
            <v>0</v>
          </cell>
        </row>
        <row r="69">
          <cell r="H69" t="str">
            <v>Nguyễn Thùy Dương</v>
          </cell>
          <cell r="M69">
            <v>0</v>
          </cell>
        </row>
        <row r="70">
          <cell r="H70" t="str">
            <v>Nguyễn Hữu Thiện</v>
          </cell>
          <cell r="M70">
            <v>0</v>
          </cell>
        </row>
        <row r="71">
          <cell r="H71" t="str">
            <v>Vương Hội Khánh</v>
          </cell>
          <cell r="M71">
            <v>0</v>
          </cell>
        </row>
        <row r="72">
          <cell r="H72" t="str">
            <v>Trương Hữu Lộc</v>
          </cell>
          <cell r="M72">
            <v>0</v>
          </cell>
        </row>
        <row r="73">
          <cell r="H73" t="str">
            <v>Trương Thị Hồng</v>
          </cell>
          <cell r="M73">
            <v>0</v>
          </cell>
        </row>
        <row r="74">
          <cell r="H74" t="str">
            <v>Lương Xuân Thịnh</v>
          </cell>
          <cell r="M74">
            <v>0</v>
          </cell>
        </row>
        <row r="75">
          <cell r="H75" t="str">
            <v>Nguyễn Cao Thắng</v>
          </cell>
          <cell r="M75">
            <v>0</v>
          </cell>
        </row>
        <row r="76">
          <cell r="H76" t="str">
            <v>Đỗ Thị Tâm</v>
          </cell>
          <cell r="M76">
            <v>0</v>
          </cell>
        </row>
        <row r="77">
          <cell r="H77" t="str">
            <v>Nguyễn Tiến Việt Dũng</v>
          </cell>
          <cell r="M77">
            <v>0</v>
          </cell>
        </row>
        <row r="78">
          <cell r="H78" t="str">
            <v>Bùi Đặng Hoàng Tuấn</v>
          </cell>
          <cell r="M78">
            <v>0</v>
          </cell>
        </row>
        <row r="79">
          <cell r="H79" t="str">
            <v>Võ Tấn Kiệt</v>
          </cell>
          <cell r="M79">
            <v>0</v>
          </cell>
        </row>
        <row r="80">
          <cell r="H80" t="str">
            <v>Hồ Ngọc Chi</v>
          </cell>
          <cell r="M80" t="str">
            <v>Trừ 1,5 ngày nghỉ phép</v>
          </cell>
        </row>
        <row r="81">
          <cell r="H81" t="str">
            <v>Nguyễn Tứ Cảnh</v>
          </cell>
          <cell r="M81">
            <v>0</v>
          </cell>
        </row>
        <row r="82">
          <cell r="H82" t="str">
            <v>Đặng Thu Hà</v>
          </cell>
          <cell r="M82">
            <v>0</v>
          </cell>
        </row>
        <row r="83">
          <cell r="H83" t="str">
            <v>Trần Thị Diễm Thúy</v>
          </cell>
          <cell r="M83">
            <v>0</v>
          </cell>
        </row>
        <row r="84">
          <cell r="H84" t="str">
            <v>Phạm Quang Vũ</v>
          </cell>
          <cell r="M84">
            <v>0</v>
          </cell>
        </row>
        <row r="85">
          <cell r="H85" t="str">
            <v>Trình Minh Phong</v>
          </cell>
          <cell r="M85">
            <v>0</v>
          </cell>
        </row>
        <row r="86">
          <cell r="H86" t="str">
            <v>Trần Ngọc Tuấn</v>
          </cell>
          <cell r="M86">
            <v>0</v>
          </cell>
        </row>
        <row r="87">
          <cell r="H87" t="str">
            <v>Trịnh Hoàng Hiệp</v>
          </cell>
          <cell r="M87">
            <v>0</v>
          </cell>
        </row>
        <row r="88">
          <cell r="H88" t="str">
            <v>Phạm Quỳnh Như</v>
          </cell>
          <cell r="M88">
            <v>0</v>
          </cell>
        </row>
        <row r="89">
          <cell r="H89" t="str">
            <v>Lê Thị Thu Thảo</v>
          </cell>
          <cell r="M89">
            <v>0</v>
          </cell>
        </row>
        <row r="90">
          <cell r="H90" t="str">
            <v>Lưu Thị Thúy</v>
          </cell>
          <cell r="M90">
            <v>0</v>
          </cell>
        </row>
        <row r="91">
          <cell r="H91" t="str">
            <v>Nguyễn Thị Minh Thùy</v>
          </cell>
          <cell r="M91" t="str">
            <v>Hỗ trợ công việc phòng KHTC</v>
          </cell>
        </row>
        <row r="92">
          <cell r="H92" t="str">
            <v>Nguyễn Mỹ Tiên</v>
          </cell>
          <cell r="M92">
            <v>0</v>
          </cell>
        </row>
        <row r="93">
          <cell r="H93" t="str">
            <v>Trần Thị Ngọc Dung</v>
          </cell>
          <cell r="M93">
            <v>0</v>
          </cell>
        </row>
        <row r="94">
          <cell r="H94" t="str">
            <v>Cao Xuân Giang</v>
          </cell>
          <cell r="M94">
            <v>0</v>
          </cell>
        </row>
        <row r="95">
          <cell r="H95" t="str">
            <v>Lê Thị Thúy Oanh</v>
          </cell>
          <cell r="M95">
            <v>0</v>
          </cell>
        </row>
        <row r="96">
          <cell r="H96" t="str">
            <v>Nguyễn Thị Thanh Hòa</v>
          </cell>
          <cell r="M96">
            <v>0</v>
          </cell>
        </row>
        <row r="97">
          <cell r="H97" t="str">
            <v>Huỳnh Kim Liên</v>
          </cell>
          <cell r="M97">
            <v>0</v>
          </cell>
        </row>
        <row r="98">
          <cell r="H98" t="str">
            <v>Nguyễn Huỳnh Lưu Phương</v>
          </cell>
          <cell r="M98">
            <v>0</v>
          </cell>
        </row>
        <row r="99">
          <cell r="H99" t="str">
            <v>Hồ Gia Bảo</v>
          </cell>
          <cell r="M99">
            <v>0</v>
          </cell>
        </row>
        <row r="100">
          <cell r="H100" t="str">
            <v>Lữ Xuân Trang</v>
          </cell>
          <cell r="M100">
            <v>0</v>
          </cell>
        </row>
        <row r="101">
          <cell r="H101" t="str">
            <v>Phạm Thị Thanh Thúy</v>
          </cell>
          <cell r="M101">
            <v>0</v>
          </cell>
        </row>
        <row r="102">
          <cell r="H102" t="str">
            <v>Đinh Thị Trâm</v>
          </cell>
          <cell r="M102">
            <v>0</v>
          </cell>
        </row>
        <row r="103">
          <cell r="H103" t="str">
            <v>Võ Thị Kim Thư</v>
          </cell>
          <cell r="M103">
            <v>0</v>
          </cell>
        </row>
        <row r="104">
          <cell r="H104" t="str">
            <v>Lê Hồng Ngọc My</v>
          </cell>
          <cell r="M104">
            <v>0</v>
          </cell>
        </row>
        <row r="105">
          <cell r="H105" t="str">
            <v>Nguyễn Hoàng Thanh Ngân</v>
          </cell>
          <cell r="M105" t="str">
            <v>Đi du học nước ngoài từ 28/2/2023</v>
          </cell>
        </row>
        <row r="106">
          <cell r="H106" t="str">
            <v>Nguyễn Ngọc Thọ</v>
          </cell>
          <cell r="M106">
            <v>0</v>
          </cell>
        </row>
        <row r="107">
          <cell r="H107" t="str">
            <v>Nguyễn Bạch Cẩm Dung</v>
          </cell>
          <cell r="M107">
            <v>0</v>
          </cell>
        </row>
        <row r="108">
          <cell r="H108" t="str">
            <v>Lâm Thị Phương Thùy</v>
          </cell>
          <cell r="M108">
            <v>0</v>
          </cell>
        </row>
        <row r="109">
          <cell r="H109" t="str">
            <v>Nguyễn Thị Hiền</v>
          </cell>
          <cell r="M109">
            <v>0</v>
          </cell>
        </row>
        <row r="110">
          <cell r="H110" t="str">
            <v>Chế Vân Cầm</v>
          </cell>
          <cell r="M110">
            <v>0</v>
          </cell>
        </row>
        <row r="111">
          <cell r="H111" t="str">
            <v>Trần Hồng Thảo</v>
          </cell>
          <cell r="M111">
            <v>0</v>
          </cell>
        </row>
        <row r="112">
          <cell r="H112" t="str">
            <v>Lê Thị Phương Thảo</v>
          </cell>
          <cell r="M112">
            <v>0</v>
          </cell>
        </row>
        <row r="113">
          <cell r="H113" t="str">
            <v>Bùi Thị Ngọc Sương</v>
          </cell>
          <cell r="M113">
            <v>0</v>
          </cell>
        </row>
        <row r="114">
          <cell r="H114" t="str">
            <v>Nguyễn Thị Nhuận</v>
          </cell>
          <cell r="M114">
            <v>0</v>
          </cell>
        </row>
        <row r="115">
          <cell r="H115" t="str">
            <v>Nguyễn Thị Huyền Nga</v>
          </cell>
          <cell r="M115">
            <v>0</v>
          </cell>
        </row>
        <row r="116">
          <cell r="H116" t="str">
            <v>Nguyễn Phương Hà</v>
          </cell>
          <cell r="M116">
            <v>0</v>
          </cell>
        </row>
        <row r="117">
          <cell r="H117" t="str">
            <v>Trịnh Khắc Vũ</v>
          </cell>
          <cell r="M117">
            <v>0</v>
          </cell>
        </row>
        <row r="118">
          <cell r="H118" t="str">
            <v>Lê Minh Phong</v>
          </cell>
          <cell r="M118">
            <v>0</v>
          </cell>
        </row>
        <row r="119">
          <cell r="H119" t="str">
            <v>Nguyễn Văn Đông</v>
          </cell>
          <cell r="M119">
            <v>0</v>
          </cell>
        </row>
        <row r="120">
          <cell r="H120" t="str">
            <v>Đặng Thị Kiến Trúc</v>
          </cell>
          <cell r="M120">
            <v>0</v>
          </cell>
        </row>
        <row r="121">
          <cell r="H121" t="str">
            <v>Nguyễn Thanh Tú</v>
          </cell>
          <cell r="M121">
            <v>0</v>
          </cell>
        </row>
        <row r="122">
          <cell r="H122" t="str">
            <v>Trần Thị Ánh Tuyết</v>
          </cell>
          <cell r="M122">
            <v>0</v>
          </cell>
        </row>
        <row r="123">
          <cell r="H123" t="str">
            <v>Lê Văn Bình</v>
          </cell>
          <cell r="M123">
            <v>0</v>
          </cell>
        </row>
        <row r="124">
          <cell r="H124" t="str">
            <v>Phạm Thị Thu Nga</v>
          </cell>
          <cell r="M124">
            <v>0</v>
          </cell>
        </row>
        <row r="125">
          <cell r="H125" t="str">
            <v>Nguyễn Thị Cẩm Thạch</v>
          </cell>
          <cell r="M125">
            <v>0</v>
          </cell>
        </row>
        <row r="126">
          <cell r="H126" t="str">
            <v>Hà Như Mai</v>
          </cell>
          <cell r="M126">
            <v>0</v>
          </cell>
        </row>
        <row r="127">
          <cell r="H127" t="str">
            <v>Nguyễn Thị Thủy</v>
          </cell>
          <cell r="M127">
            <v>0</v>
          </cell>
        </row>
        <row r="128">
          <cell r="H128" t="str">
            <v>Dương Đức Kiên</v>
          </cell>
          <cell r="M128">
            <v>0</v>
          </cell>
        </row>
        <row r="129">
          <cell r="H129" t="str">
            <v>Nguyễn Văn Hậu</v>
          </cell>
          <cell r="M129">
            <v>0</v>
          </cell>
        </row>
        <row r="130">
          <cell r="H130" t="str">
            <v>Lê Thái Hùng</v>
          </cell>
          <cell r="M130">
            <v>0</v>
          </cell>
        </row>
        <row r="131">
          <cell r="H131" t="str">
            <v>Nguyễn Phú Tân</v>
          </cell>
          <cell r="M131">
            <v>0</v>
          </cell>
        </row>
        <row r="132">
          <cell r="H132" t="str">
            <v>Nguyễn Mạnh Phương</v>
          </cell>
          <cell r="M132">
            <v>0</v>
          </cell>
        </row>
        <row r="133">
          <cell r="H133" t="str">
            <v>Giang Phi Hùng</v>
          </cell>
          <cell r="M133">
            <v>0</v>
          </cell>
        </row>
        <row r="134">
          <cell r="H134" t="str">
            <v>Ngô Thanh Điền</v>
          </cell>
          <cell r="M134" t="str">
            <v xml:space="preserve">Cộng 1 ngày hỗ trợ khai mạc giải bóng đá SV </v>
          </cell>
        </row>
        <row r="135">
          <cell r="H135" t="str">
            <v>Nguyễn Thị Thu Hà</v>
          </cell>
          <cell r="M135">
            <v>0</v>
          </cell>
        </row>
        <row r="136">
          <cell r="H136" t="str">
            <v>Vương Thanh Thủy</v>
          </cell>
          <cell r="M136">
            <v>0</v>
          </cell>
        </row>
        <row r="137">
          <cell r="H137" t="str">
            <v>Nguyễn Thị Bảo Trân</v>
          </cell>
          <cell r="M137">
            <v>0</v>
          </cell>
        </row>
        <row r="138">
          <cell r="H138" t="str">
            <v>Nguyễn Thị Thu Tâm</v>
          </cell>
          <cell r="M138">
            <v>0</v>
          </cell>
        </row>
        <row r="139">
          <cell r="H139" t="str">
            <v>Nguyễn Thị Thanh Tú</v>
          </cell>
          <cell r="M139">
            <v>0</v>
          </cell>
        </row>
        <row r="140">
          <cell r="H140" t="str">
            <v>Võ Thị Hồng Lan</v>
          </cell>
          <cell r="M140">
            <v>0</v>
          </cell>
        </row>
        <row r="141">
          <cell r="H141" t="str">
            <v>Lê Nguyễn Mỹ Trâm</v>
          </cell>
          <cell r="M141">
            <v>0</v>
          </cell>
        </row>
        <row r="142">
          <cell r="H142" t="str">
            <v>Phạm Thị Thu Hiền</v>
          </cell>
          <cell r="M142">
            <v>0</v>
          </cell>
        </row>
        <row r="143">
          <cell r="H143" t="str">
            <v>Nguyễn Thiện Bình</v>
          </cell>
          <cell r="M143">
            <v>0</v>
          </cell>
        </row>
        <row r="144">
          <cell r="H144" t="str">
            <v>Trần Thanh Trúc</v>
          </cell>
          <cell r="M144">
            <v>0</v>
          </cell>
        </row>
        <row r="145">
          <cell r="H145" t="str">
            <v>Lâm Thị Phương Thảo</v>
          </cell>
          <cell r="M145">
            <v>0</v>
          </cell>
        </row>
        <row r="146">
          <cell r="H146" t="str">
            <v>Trần Hà Trang</v>
          </cell>
          <cell r="M146" t="str">
            <v>Nghỉ không hưởng lương</v>
          </cell>
        </row>
        <row r="147">
          <cell r="H147" t="str">
            <v>Lê Thu Hà</v>
          </cell>
          <cell r="M147">
            <v>0</v>
          </cell>
        </row>
        <row r="148">
          <cell r="H148" t="str">
            <v>Lê Thị Hồng Vân</v>
          </cell>
          <cell r="M148">
            <v>0</v>
          </cell>
        </row>
        <row r="149">
          <cell r="H149" t="str">
            <v>Nguyễn Ngọc Quỳnh</v>
          </cell>
          <cell r="M149">
            <v>0</v>
          </cell>
        </row>
        <row r="150">
          <cell r="H150" t="str">
            <v>Phan Thị Thùy Trang</v>
          </cell>
          <cell r="M150">
            <v>0</v>
          </cell>
        </row>
        <row r="151">
          <cell r="H151" t="str">
            <v>Lê Thị Mai Hường</v>
          </cell>
          <cell r="M151">
            <v>0</v>
          </cell>
        </row>
        <row r="152">
          <cell r="H152" t="str">
            <v>Nguyễn Thị Dinh</v>
          </cell>
          <cell r="M152">
            <v>0</v>
          </cell>
        </row>
        <row r="153">
          <cell r="H153" t="str">
            <v>Đỗ Thị Ngát</v>
          </cell>
          <cell r="M153">
            <v>0</v>
          </cell>
        </row>
        <row r="154">
          <cell r="H154" t="str">
            <v>Nguyễn Anh Kiệt</v>
          </cell>
          <cell r="M154">
            <v>0</v>
          </cell>
        </row>
        <row r="155">
          <cell r="H155" t="str">
            <v>Trần Thị Hồng Thu</v>
          </cell>
          <cell r="M155">
            <v>0</v>
          </cell>
        </row>
        <row r="156">
          <cell r="H156" t="str">
            <v>Đinh Thị Huyên</v>
          </cell>
          <cell r="M156">
            <v>0</v>
          </cell>
        </row>
        <row r="157">
          <cell r="H157" t="str">
            <v>Cao Thị Hồng Thắm</v>
          </cell>
          <cell r="M157" t="str">
            <v>Nghỉ hộ sản hưởng chế độ BHXH từ 12/12/2023</v>
          </cell>
        </row>
        <row r="158">
          <cell r="H158" t="str">
            <v>Đỗ Thị Thơm</v>
          </cell>
          <cell r="M158">
            <v>0</v>
          </cell>
        </row>
        <row r="159">
          <cell r="H159" t="str">
            <v>Phạm Thị Vinh</v>
          </cell>
          <cell r="M159">
            <v>0</v>
          </cell>
        </row>
        <row r="160">
          <cell r="H160" t="str">
            <v>Hoàng Thị Trang</v>
          </cell>
          <cell r="M160">
            <v>0</v>
          </cell>
        </row>
        <row r="161">
          <cell r="H161" t="str">
            <v>Bùi Thành Dũng</v>
          </cell>
          <cell r="M161">
            <v>0</v>
          </cell>
        </row>
        <row r="162">
          <cell r="H162" t="str">
            <v>Trần Văn Lượng</v>
          </cell>
          <cell r="M162">
            <v>0</v>
          </cell>
        </row>
        <row r="163">
          <cell r="H163" t="str">
            <v>Trần Việt Khánh</v>
          </cell>
          <cell r="M163">
            <v>0</v>
          </cell>
        </row>
        <row r="164">
          <cell r="H164" t="str">
            <v>Nguyễn Nguyên Hoàng Ngọc Quyên</v>
          </cell>
          <cell r="M164">
            <v>0</v>
          </cell>
        </row>
        <row r="165">
          <cell r="H165" t="str">
            <v>Vũ Thị Thái Linh</v>
          </cell>
          <cell r="M165">
            <v>0</v>
          </cell>
        </row>
        <row r="166">
          <cell r="H166" t="str">
            <v>Nguyễn Sanh Cường</v>
          </cell>
          <cell r="M166">
            <v>0</v>
          </cell>
        </row>
        <row r="167">
          <cell r="H167" t="str">
            <v>Lê Quý Hưng Quốc</v>
          </cell>
          <cell r="M167">
            <v>0</v>
          </cell>
        </row>
        <row r="168">
          <cell r="H168" t="str">
            <v>Bùi Văn Dũng</v>
          </cell>
          <cell r="M168">
            <v>0</v>
          </cell>
        </row>
        <row r="169">
          <cell r="H169" t="str">
            <v>Nguyễn Văn Minh</v>
          </cell>
          <cell r="M169">
            <v>0</v>
          </cell>
        </row>
        <row r="170">
          <cell r="H170" t="str">
            <v>Nguyễn Thị Khánh Thư</v>
          </cell>
          <cell r="M170">
            <v>0</v>
          </cell>
        </row>
        <row r="171">
          <cell r="H171" t="str">
            <v>Đỗ Thị Hải Yến</v>
          </cell>
          <cell r="M171">
            <v>0</v>
          </cell>
        </row>
        <row r="172">
          <cell r="H172" t="str">
            <v>Lê Hồng Thái</v>
          </cell>
          <cell r="M172">
            <v>0</v>
          </cell>
        </row>
        <row r="173">
          <cell r="H173" t="str">
            <v>Đặng Ngọc Đoàn</v>
          </cell>
          <cell r="M173">
            <v>0</v>
          </cell>
        </row>
        <row r="174">
          <cell r="H174" t="str">
            <v>Nguyễn Văn Đôn</v>
          </cell>
          <cell r="M174">
            <v>0</v>
          </cell>
        </row>
        <row r="175">
          <cell r="H175" t="str">
            <v>Huỳnh Quốc Dũng</v>
          </cell>
          <cell r="M175">
            <v>0</v>
          </cell>
        </row>
        <row r="176">
          <cell r="H176" t="str">
            <v>Dương Ngọc Vọng</v>
          </cell>
          <cell r="M176">
            <v>0</v>
          </cell>
        </row>
        <row r="177">
          <cell r="H177" t="str">
            <v>Nguyễn Ngọc Tuyên</v>
          </cell>
          <cell r="M177">
            <v>0</v>
          </cell>
        </row>
        <row r="178">
          <cell r="H178" t="str">
            <v>Nguyễn Cao Phong</v>
          </cell>
          <cell r="M178">
            <v>0</v>
          </cell>
        </row>
        <row r="179">
          <cell r="H179" t="str">
            <v>Mai Chiếm Tuấn</v>
          </cell>
          <cell r="M179">
            <v>0</v>
          </cell>
        </row>
        <row r="180">
          <cell r="H180" t="str">
            <v>Đỗ Tuấn Việt</v>
          </cell>
          <cell r="M180">
            <v>0</v>
          </cell>
        </row>
        <row r="181">
          <cell r="H181" t="str">
            <v>Trần Vĩnh Xuyên</v>
          </cell>
          <cell r="M181">
            <v>0</v>
          </cell>
        </row>
        <row r="182">
          <cell r="H182" t="str">
            <v>Đào Lê Phương Anh</v>
          </cell>
          <cell r="M182">
            <v>0</v>
          </cell>
        </row>
        <row r="183">
          <cell r="H183" t="str">
            <v>Nguyễn Duy Lộc</v>
          </cell>
          <cell r="M183">
            <v>0</v>
          </cell>
        </row>
        <row r="184">
          <cell r="H184" t="str">
            <v>Chung Trần Thế Vinh</v>
          </cell>
          <cell r="M184">
            <v>0</v>
          </cell>
        </row>
        <row r="185">
          <cell r="H185" t="str">
            <v>Đỗ Thị Phương Khanh</v>
          </cell>
          <cell r="M185">
            <v>0</v>
          </cell>
        </row>
        <row r="186">
          <cell r="H186" t="str">
            <v>Trương Thị Phương Hồng</v>
          </cell>
          <cell r="M186">
            <v>0</v>
          </cell>
        </row>
        <row r="187">
          <cell r="H187" t="str">
            <v>Dương Minh Chung</v>
          </cell>
          <cell r="M187">
            <v>0</v>
          </cell>
        </row>
        <row r="188">
          <cell r="H188" t="str">
            <v>Phan Văn Thành</v>
          </cell>
          <cell r="M188">
            <v>0</v>
          </cell>
        </row>
        <row r="189">
          <cell r="H189" t="str">
            <v>Vũ Đức Pháp</v>
          </cell>
          <cell r="M189">
            <v>0</v>
          </cell>
        </row>
        <row r="190">
          <cell r="H190" t="str">
            <v>Vũ Quang Khải</v>
          </cell>
          <cell r="M190">
            <v>0</v>
          </cell>
        </row>
        <row r="191">
          <cell r="H191" t="str">
            <v>Nguyễn Thanh Vũ</v>
          </cell>
          <cell r="M191">
            <v>0</v>
          </cell>
        </row>
        <row r="192">
          <cell r="H192" t="str">
            <v>Phan Thị Xuân Trang</v>
          </cell>
          <cell r="M192">
            <v>0</v>
          </cell>
        </row>
        <row r="193">
          <cell r="H193" t="str">
            <v>Trần Đình Khải</v>
          </cell>
          <cell r="M193">
            <v>0</v>
          </cell>
        </row>
        <row r="194">
          <cell r="H194" t="str">
            <v>Lư Thị Yến Vũ</v>
          </cell>
          <cell r="M194">
            <v>0</v>
          </cell>
        </row>
        <row r="195">
          <cell r="H195" t="str">
            <v>Nguyễn Tiến Dũng</v>
          </cell>
          <cell r="M195">
            <v>0</v>
          </cell>
        </row>
        <row r="196">
          <cell r="H196" t="str">
            <v>Nguyễn Thành Long</v>
          </cell>
          <cell r="M196">
            <v>0</v>
          </cell>
        </row>
        <row r="197">
          <cell r="H197" t="str">
            <v>Nguyễn Ngọc Quỳnh</v>
          </cell>
          <cell r="M197">
            <v>0</v>
          </cell>
        </row>
        <row r="198">
          <cell r="H198" t="str">
            <v>Nguyễn Duy Hải</v>
          </cell>
          <cell r="M198">
            <v>0</v>
          </cell>
        </row>
        <row r="199">
          <cell r="H199" t="str">
            <v>Bùi Anh Tuấn</v>
          </cell>
          <cell r="M199">
            <v>0</v>
          </cell>
        </row>
        <row r="200">
          <cell r="H200" t="str">
            <v>Trần Thị Hương</v>
          </cell>
          <cell r="M200">
            <v>0</v>
          </cell>
        </row>
        <row r="201">
          <cell r="H201" t="str">
            <v>Trần Minh Thông</v>
          </cell>
          <cell r="M201">
            <v>0</v>
          </cell>
        </row>
        <row r="202">
          <cell r="H202" t="str">
            <v>Nguyễn Thanh Vĩnh Phúc</v>
          </cell>
          <cell r="M202">
            <v>0</v>
          </cell>
        </row>
        <row r="203">
          <cell r="H203" t="str">
            <v>Võ Minh Quang</v>
          </cell>
          <cell r="M203">
            <v>0</v>
          </cell>
        </row>
        <row r="204">
          <cell r="H204" t="str">
            <v>Dương Thị Hồng</v>
          </cell>
          <cell r="M204">
            <v>0</v>
          </cell>
        </row>
        <row r="205">
          <cell r="H205" t="str">
            <v>Nguyễn Thanh Giang</v>
          </cell>
          <cell r="M205">
            <v>0</v>
          </cell>
        </row>
        <row r="206">
          <cell r="H206" t="str">
            <v>Nguyễn Hồng Phúc</v>
          </cell>
          <cell r="M206">
            <v>0</v>
          </cell>
        </row>
        <row r="207">
          <cell r="H207" t="str">
            <v>Nguyễn Văn Sơn</v>
          </cell>
          <cell r="M207">
            <v>0</v>
          </cell>
        </row>
        <row r="208">
          <cell r="H208" t="str">
            <v>Nguyễn Khắc Huy</v>
          </cell>
          <cell r="M208">
            <v>0</v>
          </cell>
        </row>
        <row r="209">
          <cell r="H209" t="str">
            <v>Võ Hoài Sơn</v>
          </cell>
          <cell r="M209">
            <v>0</v>
          </cell>
        </row>
        <row r="210">
          <cell r="H210" t="str">
            <v>Nguyễn Thị Xuân Chinh</v>
          </cell>
          <cell r="M210">
            <v>0</v>
          </cell>
        </row>
        <row r="211">
          <cell r="H211" t="str">
            <v>Nguyễn Duy Tân</v>
          </cell>
          <cell r="M211">
            <v>0</v>
          </cell>
        </row>
        <row r="212">
          <cell r="H212" t="str">
            <v>Tạ Minh Cường</v>
          </cell>
          <cell r="M212">
            <v>0</v>
          </cell>
        </row>
        <row r="213">
          <cell r="H213" t="str">
            <v>Phạm Minh Nghĩa</v>
          </cell>
          <cell r="M213">
            <v>0</v>
          </cell>
        </row>
        <row r="214">
          <cell r="H214" t="str">
            <v>Nguyễn Văn Yên</v>
          </cell>
          <cell r="M214">
            <v>0</v>
          </cell>
        </row>
        <row r="215">
          <cell r="H215" t="str">
            <v>Nguyễn Minh Đức</v>
          </cell>
          <cell r="M215">
            <v>0</v>
          </cell>
        </row>
        <row r="216">
          <cell r="H216" t="str">
            <v>Nguyễn Anh Tăng</v>
          </cell>
          <cell r="M216">
            <v>0</v>
          </cell>
        </row>
        <row r="217">
          <cell r="H217" t="str">
            <v>Lê Thế Huân</v>
          </cell>
          <cell r="M217">
            <v>0</v>
          </cell>
        </row>
        <row r="218">
          <cell r="H218" t="str">
            <v>Trần Trung Hiếu</v>
          </cell>
          <cell r="M218">
            <v>0</v>
          </cell>
        </row>
        <row r="219">
          <cell r="H219" t="str">
            <v>Trần Nguyên Bảo Trân</v>
          </cell>
          <cell r="M219">
            <v>0</v>
          </cell>
        </row>
        <row r="220">
          <cell r="H220" t="str">
            <v>Mạnh Lê Hoàn</v>
          </cell>
          <cell r="M220">
            <v>0</v>
          </cell>
        </row>
        <row r="221">
          <cell r="H221" t="str">
            <v>Ngô Hoàng Anh</v>
          </cell>
          <cell r="M221">
            <v>0</v>
          </cell>
        </row>
        <row r="222">
          <cell r="H222" t="str">
            <v>Nguyễn Thùy Linh</v>
          </cell>
          <cell r="M222">
            <v>0</v>
          </cell>
        </row>
        <row r="223">
          <cell r="H223" t="str">
            <v>Vũ Hạnh Chiêu</v>
          </cell>
          <cell r="M223">
            <v>0</v>
          </cell>
        </row>
        <row r="224">
          <cell r="H224" t="str">
            <v>Đỗ Huỳnh Thanh Phong</v>
          </cell>
          <cell r="M224">
            <v>0</v>
          </cell>
        </row>
        <row r="225">
          <cell r="H225" t="str">
            <v>Nguyễn Minh Đức Cường</v>
          </cell>
          <cell r="M225">
            <v>0</v>
          </cell>
        </row>
        <row r="226">
          <cell r="H226" t="str">
            <v>Huỳnh Ngọc Mai</v>
          </cell>
          <cell r="M226">
            <v>0</v>
          </cell>
        </row>
        <row r="227">
          <cell r="H227" t="str">
            <v>Nguyễn Hồng Đức</v>
          </cell>
          <cell r="M227">
            <v>0</v>
          </cell>
        </row>
        <row r="228">
          <cell r="H228" t="str">
            <v>Trần Công Tiến</v>
          </cell>
          <cell r="M228">
            <v>0</v>
          </cell>
        </row>
        <row r="229">
          <cell r="H229" t="str">
            <v>Nguyễn Trần Thanh Nhàn</v>
          </cell>
          <cell r="M229">
            <v>0</v>
          </cell>
        </row>
        <row r="230">
          <cell r="H230" t="str">
            <v>Tăng Cẩm Huê</v>
          </cell>
          <cell r="M230">
            <v>0</v>
          </cell>
        </row>
        <row r="231">
          <cell r="H231" t="str">
            <v>Trần Hiếu Trinh</v>
          </cell>
          <cell r="M231">
            <v>0</v>
          </cell>
        </row>
        <row r="232">
          <cell r="H232" t="str">
            <v>Nguyễn Thị Tố Nga</v>
          </cell>
          <cell r="M232">
            <v>0</v>
          </cell>
        </row>
        <row r="233">
          <cell r="H233" t="str">
            <v>Đặng Đức Minh</v>
          </cell>
          <cell r="M233">
            <v>0</v>
          </cell>
        </row>
        <row r="234">
          <cell r="H234" t="str">
            <v>Nguyễn Thị Ngọc Hiền</v>
          </cell>
          <cell r="M234">
            <v>0</v>
          </cell>
        </row>
        <row r="235">
          <cell r="H235" t="str">
            <v>Ngô Phong Cường</v>
          </cell>
          <cell r="M235">
            <v>0</v>
          </cell>
        </row>
        <row r="236">
          <cell r="H236" t="str">
            <v>Cao Văn Tuấn</v>
          </cell>
          <cell r="M236">
            <v>0</v>
          </cell>
        </row>
        <row r="237">
          <cell r="H237" t="str">
            <v>Trần Nam Anh</v>
          </cell>
          <cell r="M237">
            <v>0</v>
          </cell>
        </row>
        <row r="238">
          <cell r="H238" t="str">
            <v>Trần Giang Nam</v>
          </cell>
          <cell r="M238">
            <v>0</v>
          </cell>
        </row>
        <row r="239">
          <cell r="H239" t="str">
            <v>Phan Thanh Hoàng</v>
          </cell>
          <cell r="M239">
            <v>0</v>
          </cell>
        </row>
        <row r="240">
          <cell r="H240" t="str">
            <v>Huỳnh Duy An</v>
          </cell>
          <cell r="M240">
            <v>0</v>
          </cell>
        </row>
        <row r="241">
          <cell r="H241" t="str">
            <v>Nguyễn Khương Thành</v>
          </cell>
          <cell r="M241">
            <v>0</v>
          </cell>
        </row>
        <row r="242">
          <cell r="H242" t="str">
            <v>Nguyễn Anh Tuấn</v>
          </cell>
          <cell r="M242">
            <v>0</v>
          </cell>
        </row>
        <row r="243">
          <cell r="H243" t="str">
            <v>Võ Đắc Thịnh</v>
          </cell>
          <cell r="M243">
            <v>0</v>
          </cell>
        </row>
        <row r="244">
          <cell r="H244" t="str">
            <v>Nguyễn Hữu Mạnh</v>
          </cell>
          <cell r="M244">
            <v>0</v>
          </cell>
        </row>
        <row r="245">
          <cell r="H245" t="str">
            <v>Phan Anh Tuấn Kiệt</v>
          </cell>
          <cell r="M245">
            <v>0</v>
          </cell>
        </row>
        <row r="246">
          <cell r="H246" t="str">
            <v>Triệu Phú Nguyên</v>
          </cell>
          <cell r="M246">
            <v>0</v>
          </cell>
        </row>
        <row r="247">
          <cell r="H247" t="str">
            <v>Nguyễn Thành Đức</v>
          </cell>
          <cell r="M247">
            <v>0</v>
          </cell>
        </row>
        <row r="248">
          <cell r="H248" t="str">
            <v>Nguyễn Minh Thái</v>
          </cell>
          <cell r="M248">
            <v>0</v>
          </cell>
        </row>
        <row r="249">
          <cell r="H249" t="str">
            <v>Đặng Thái Sơn</v>
          </cell>
          <cell r="M249">
            <v>0</v>
          </cell>
        </row>
        <row r="250">
          <cell r="H250" t="str">
            <v>Nguyễn Thái Bình</v>
          </cell>
          <cell r="M250">
            <v>0</v>
          </cell>
        </row>
        <row r="251">
          <cell r="H251" t="str">
            <v>Kiều Trung Tín</v>
          </cell>
          <cell r="M251">
            <v>0</v>
          </cell>
        </row>
        <row r="252">
          <cell r="H252" t="str">
            <v>Trần Quốc Duy</v>
          </cell>
          <cell r="M252">
            <v>0</v>
          </cell>
        </row>
        <row r="253">
          <cell r="H253" t="str">
            <v>Hồ Văn Hóa</v>
          </cell>
          <cell r="M253">
            <v>0</v>
          </cell>
        </row>
        <row r="254">
          <cell r="H254" t="str">
            <v>Nguyễn Thanh Hùng</v>
          </cell>
          <cell r="M254">
            <v>0</v>
          </cell>
        </row>
        <row r="255">
          <cell r="H255" t="str">
            <v>Hà Quốc Bảo</v>
          </cell>
          <cell r="M255">
            <v>0</v>
          </cell>
        </row>
        <row r="256">
          <cell r="H256" t="str">
            <v>Hoàng Phúc Bảo</v>
          </cell>
          <cell r="M256">
            <v>0</v>
          </cell>
        </row>
        <row r="257">
          <cell r="H257" t="str">
            <v>Nguyễn Lương Tâm</v>
          </cell>
          <cell r="M257">
            <v>0</v>
          </cell>
        </row>
        <row r="258">
          <cell r="H258" t="str">
            <v>Trần Thế Sơn</v>
          </cell>
          <cell r="M258">
            <v>0</v>
          </cell>
        </row>
        <row r="259">
          <cell r="H259" t="str">
            <v>Trần Văn Đông</v>
          </cell>
          <cell r="M259">
            <v>0</v>
          </cell>
        </row>
        <row r="260">
          <cell r="H260" t="str">
            <v>Lý Văn Trung</v>
          </cell>
          <cell r="M260">
            <v>0</v>
          </cell>
        </row>
        <row r="261">
          <cell r="H261" t="str">
            <v>Đỗ Hoàng Duy</v>
          </cell>
          <cell r="M261">
            <v>0</v>
          </cell>
        </row>
        <row r="262">
          <cell r="H262" t="str">
            <v>Nguyễn Hoàng Vinh</v>
          </cell>
          <cell r="M262">
            <v>0</v>
          </cell>
        </row>
        <row r="263">
          <cell r="H263" t="str">
            <v>Bùi Trọng Tân</v>
          </cell>
          <cell r="M263">
            <v>0</v>
          </cell>
        </row>
        <row r="264">
          <cell r="H264" t="str">
            <v>Võ Quốc Duy</v>
          </cell>
          <cell r="M264">
            <v>0</v>
          </cell>
        </row>
        <row r="265">
          <cell r="H265" t="str">
            <v>Giang Văn Tiến</v>
          </cell>
          <cell r="M265">
            <v>0</v>
          </cell>
        </row>
        <row r="266">
          <cell r="H266" t="str">
            <v>Nguyễn Hữu Lương</v>
          </cell>
          <cell r="M266">
            <v>0</v>
          </cell>
        </row>
        <row r="267">
          <cell r="H267" t="str">
            <v>Huỳnh Đình Văn</v>
          </cell>
          <cell r="M267">
            <v>0</v>
          </cell>
        </row>
        <row r="268">
          <cell r="H268" t="str">
            <v>Đinh Đồng Hiệp</v>
          </cell>
          <cell r="M268">
            <v>0</v>
          </cell>
        </row>
        <row r="269">
          <cell r="H269" t="str">
            <v>Đặng Thế Huân</v>
          </cell>
          <cell r="M269">
            <v>0</v>
          </cell>
        </row>
        <row r="270">
          <cell r="H270" t="str">
            <v>Võ Anh Hào</v>
          </cell>
          <cell r="M270">
            <v>0</v>
          </cell>
        </row>
        <row r="271">
          <cell r="H271" t="str">
            <v>Phan Văn Hòa</v>
          </cell>
          <cell r="M271">
            <v>0</v>
          </cell>
        </row>
        <row r="272">
          <cell r="H272" t="str">
            <v>Trần Đình Khoa</v>
          </cell>
          <cell r="M272">
            <v>0</v>
          </cell>
        </row>
        <row r="273">
          <cell r="H273" t="str">
            <v>Đỗ Trọng Quý</v>
          </cell>
          <cell r="M273">
            <v>0</v>
          </cell>
        </row>
        <row r="274">
          <cell r="H274" t="str">
            <v>Nguyễn Vũ Xuân Thì</v>
          </cell>
          <cell r="M274">
            <v>0</v>
          </cell>
        </row>
        <row r="275">
          <cell r="H275" t="str">
            <v>Hoàng Văn Viết</v>
          </cell>
          <cell r="M275">
            <v>0</v>
          </cell>
        </row>
        <row r="276">
          <cell r="H276" t="str">
            <v>Nguyễn Thanh Dũng</v>
          </cell>
          <cell r="M276">
            <v>0</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A2</v>
          </cell>
          <cell r="E20" t="str">
            <v>A2</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A1</v>
          </cell>
          <cell r="E50" t="str">
            <v>A1</v>
          </cell>
        </row>
        <row r="51">
          <cell r="B51" t="str">
            <v>Vũ Như Quỳnh</v>
          </cell>
          <cell r="C51" t="str">
            <v>01002017</v>
          </cell>
          <cell r="D51" t="str">
            <v>A3</v>
          </cell>
          <cell r="E51" t="str">
            <v>A2</v>
          </cell>
        </row>
        <row r="52">
          <cell r="B52" t="str">
            <v>Phan Thị Ngọc Phượng</v>
          </cell>
          <cell r="C52" t="str">
            <v>01002018</v>
          </cell>
          <cell r="D52" t="str">
            <v>A2</v>
          </cell>
          <cell r="E52" t="str">
            <v>A1</v>
          </cell>
        </row>
        <row r="53">
          <cell r="B53" t="str">
            <v>Nguyễn Thị Bích Liễu</v>
          </cell>
          <cell r="C53" t="str">
            <v>01002005</v>
          </cell>
          <cell r="D53" t="str">
            <v>A3</v>
          </cell>
          <cell r="E53" t="str">
            <v>A3</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A1</v>
          </cell>
        </row>
        <row r="78">
          <cell r="B78" t="str">
            <v>Lê Xuân Thiện</v>
          </cell>
          <cell r="C78" t="str">
            <v>01002002</v>
          </cell>
          <cell r="D78" t="str">
            <v>A1</v>
          </cell>
          <cell r="E78" t="str">
            <v>A2</v>
          </cell>
        </row>
        <row r="79">
          <cell r="B79" t="str">
            <v>Nguyễn Thị Kim Anh</v>
          </cell>
          <cell r="C79" t="str">
            <v>01009018</v>
          </cell>
          <cell r="D79" t="str">
            <v>A1</v>
          </cell>
          <cell r="E79" t="str">
            <v>A1</v>
          </cell>
        </row>
        <row r="80">
          <cell r="B80" t="str">
            <v>Phạm Thị Lê Chi</v>
          </cell>
          <cell r="C80" t="str">
            <v>01009010</v>
          </cell>
          <cell r="D80" t="str">
            <v>A2</v>
          </cell>
          <cell r="E80" t="str">
            <v>A3</v>
          </cell>
        </row>
        <row r="81">
          <cell r="B81" t="str">
            <v>Trần Thị Thu Hà</v>
          </cell>
          <cell r="C81" t="str">
            <v>01002004</v>
          </cell>
          <cell r="D81" t="str">
            <v>A2</v>
          </cell>
          <cell r="E81" t="str">
            <v>A2</v>
          </cell>
        </row>
        <row r="82">
          <cell r="B82" t="str">
            <v>Nguyễn Tất Thắng</v>
          </cell>
          <cell r="C82" t="str">
            <v>01009008</v>
          </cell>
          <cell r="D82" t="str">
            <v>A2</v>
          </cell>
          <cell r="E82" t="str">
            <v>A2</v>
          </cell>
        </row>
        <row r="83">
          <cell r="B83" t="str">
            <v>Mai Thu Hương</v>
          </cell>
          <cell r="C83" t="str">
            <v>01007004</v>
          </cell>
          <cell r="D83" t="str">
            <v>A2</v>
          </cell>
          <cell r="E83" t="str">
            <v>A3</v>
          </cell>
        </row>
        <row r="84">
          <cell r="B84" t="str">
            <v>Nguyễn Thùy Dương</v>
          </cell>
          <cell r="C84" t="str">
            <v>01014012</v>
          </cell>
          <cell r="D84" t="str">
            <v>A3</v>
          </cell>
          <cell r="E84" t="str">
            <v>A3</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A1</v>
          </cell>
          <cell r="E87" t="str">
            <v>A1</v>
          </cell>
        </row>
        <row r="88">
          <cell r="B88" t="str">
            <v>Phạm Huy Hoàng</v>
          </cell>
          <cell r="C88" t="str">
            <v>01009011</v>
          </cell>
          <cell r="D88" t="str">
            <v>A2</v>
          </cell>
          <cell r="E88" t="str">
            <v>A3</v>
          </cell>
        </row>
        <row r="89">
          <cell r="B89" t="str">
            <v>Trần Anh Mỹ</v>
          </cell>
          <cell r="C89" t="str">
            <v>01009028</v>
          </cell>
          <cell r="D89" t="str">
            <v>A3</v>
          </cell>
          <cell r="E89" t="str">
            <v>A3</v>
          </cell>
        </row>
        <row r="90">
          <cell r="B90" t="str">
            <v>Bùi Đức Phước</v>
          </cell>
          <cell r="C90" t="str">
            <v>01009026</v>
          </cell>
          <cell r="D90" t="str">
            <v>A3</v>
          </cell>
          <cell r="E90" t="str">
            <v>A3</v>
          </cell>
        </row>
        <row r="91">
          <cell r="B91" t="str">
            <v>Nguyễn Thị Thảo</v>
          </cell>
          <cell r="C91" t="str">
            <v>01007003</v>
          </cell>
          <cell r="D91" t="str">
            <v>A3</v>
          </cell>
          <cell r="E91" t="str">
            <v>A3</v>
          </cell>
        </row>
        <row r="92">
          <cell r="B92" t="str">
            <v>Lưu Hoàng Bảo Châu</v>
          </cell>
          <cell r="C92" t="str">
            <v>01009029</v>
          </cell>
          <cell r="D92" t="str">
            <v>A2</v>
          </cell>
          <cell r="E92" t="str">
            <v>A3</v>
          </cell>
        </row>
        <row r="93">
          <cell r="B93" t="str">
            <v>Trần Việt Anh</v>
          </cell>
          <cell r="C93" t="str">
            <v>01002038</v>
          </cell>
          <cell r="D93" t="str">
            <v>A3</v>
          </cell>
          <cell r="E93" t="str">
            <v>A3</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A3</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A1</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A3</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A3</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A2</v>
          </cell>
          <cell r="E122" t="str">
            <v>A2</v>
          </cell>
        </row>
        <row r="123">
          <cell r="B123" t="str">
            <v>Hợp đồng trường</v>
          </cell>
          <cell r="C123">
            <v>0</v>
          </cell>
          <cell r="D123">
            <v>0</v>
          </cell>
          <cell r="E123">
            <v>16</v>
          </cell>
        </row>
        <row r="124">
          <cell r="B124" t="str">
            <v>Trần Thị Thu</v>
          </cell>
          <cell r="C124" t="str">
            <v>01008021</v>
          </cell>
          <cell r="D124" t="str">
            <v>A1</v>
          </cell>
          <cell r="E124" t="str">
            <v>A1</v>
          </cell>
        </row>
        <row r="125">
          <cell r="B125" t="str">
            <v>Dương Thị Thủy</v>
          </cell>
          <cell r="C125" t="str">
            <v>01008009</v>
          </cell>
          <cell r="D125" t="str">
            <v>A1</v>
          </cell>
          <cell r="E125" t="str">
            <v>A1</v>
          </cell>
        </row>
        <row r="126">
          <cell r="B126" t="str">
            <v>Đỗ Thị Bích Thủy</v>
          </cell>
          <cell r="C126" t="str">
            <v>01008031</v>
          </cell>
          <cell r="D126" t="str">
            <v>A2</v>
          </cell>
          <cell r="E126" t="str">
            <v>A2</v>
          </cell>
        </row>
        <row r="127">
          <cell r="B127" t="str">
            <v>Trần Kim Tươi</v>
          </cell>
          <cell r="C127" t="str">
            <v>01008039</v>
          </cell>
          <cell r="D127" t="str">
            <v>A3</v>
          </cell>
          <cell r="E127" t="str">
            <v>A3</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A3</v>
          </cell>
          <cell r="E133" t="str">
            <v>A3</v>
          </cell>
        </row>
        <row r="134">
          <cell r="B134" t="str">
            <v>Trịnh Tuấn Vũ</v>
          </cell>
          <cell r="C134" t="str">
            <v>01009015</v>
          </cell>
          <cell r="D134" t="str">
            <v>A3</v>
          </cell>
          <cell r="E134" t="str">
            <v>A3</v>
          </cell>
        </row>
        <row r="135">
          <cell r="B135" t="str">
            <v>Võ Tấn Đức</v>
          </cell>
          <cell r="C135" t="str">
            <v>01008042</v>
          </cell>
          <cell r="D135" t="str">
            <v>A3</v>
          </cell>
          <cell r="E135" t="str">
            <v>A3</v>
          </cell>
        </row>
        <row r="136">
          <cell r="B136" t="str">
            <v>Ngô Ngọc Của</v>
          </cell>
          <cell r="C136" t="str">
            <v>01008044</v>
          </cell>
          <cell r="D136" t="str">
            <v>A3</v>
          </cell>
          <cell r="E136" t="str">
            <v>A3</v>
          </cell>
        </row>
        <row r="137">
          <cell r="B137" t="str">
            <v>Phạm Thị Hoàng Diễm</v>
          </cell>
          <cell r="C137" t="str">
            <v>01008045</v>
          </cell>
          <cell r="D137" t="str">
            <v>A3</v>
          </cell>
          <cell r="E137" t="str">
            <v>A3</v>
          </cell>
        </row>
        <row r="138">
          <cell r="B138" t="str">
            <v>Nguyễn Văn Hiển</v>
          </cell>
          <cell r="C138" t="str">
            <v>01008048</v>
          </cell>
          <cell r="D138" t="str">
            <v>A1</v>
          </cell>
          <cell r="E138" t="str">
            <v>A1</v>
          </cell>
        </row>
        <row r="139">
          <cell r="B139" t="str">
            <v>Trần Thanh Phương</v>
          </cell>
          <cell r="C139" t="str">
            <v>01002034</v>
          </cell>
          <cell r="D139" t="str">
            <v>A3</v>
          </cell>
          <cell r="E139" t="str">
            <v>A3</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C2</v>
          </cell>
          <cell r="E144" t="str">
            <v>B1</v>
          </cell>
        </row>
        <row r="145">
          <cell r="B145" t="str">
            <v>Dương Đức Kiên</v>
          </cell>
          <cell r="C145" t="str">
            <v>01010037</v>
          </cell>
          <cell r="D145" t="str">
            <v>A4</v>
          </cell>
          <cell r="E145" t="str">
            <v>A3</v>
          </cell>
        </row>
        <row r="146">
          <cell r="B146" t="str">
            <v>Hà Như Mai</v>
          </cell>
          <cell r="C146" t="str">
            <v>01010031</v>
          </cell>
          <cell r="D146" t="str">
            <v>A4</v>
          </cell>
          <cell r="E146" t="str">
            <v>A4</v>
          </cell>
        </row>
        <row r="147">
          <cell r="B147" t="str">
            <v>Nguyễn Thị Cẩm Thạch</v>
          </cell>
          <cell r="C147" t="str">
            <v>01010016</v>
          </cell>
          <cell r="D147" t="str">
            <v>A4</v>
          </cell>
          <cell r="E147" t="str">
            <v>A3</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A2</v>
          </cell>
          <cell r="E151" t="str">
            <v>A2</v>
          </cell>
        </row>
        <row r="152">
          <cell r="B152" t="str">
            <v>Đặng Thị Kiến Trúc</v>
          </cell>
          <cell r="C152" t="str">
            <v>01010024</v>
          </cell>
          <cell r="D152" t="str">
            <v>A4</v>
          </cell>
          <cell r="E152" t="str">
            <v>A4</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B2</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A3</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A2</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A2</v>
          </cell>
          <cell r="E166" t="str">
            <v>A2</v>
          </cell>
        </row>
        <row r="167">
          <cell r="B167" t="str">
            <v>Lê Nguyễn Mỹ Trâm</v>
          </cell>
          <cell r="C167" t="str">
            <v>01010009</v>
          </cell>
          <cell r="D167" t="str">
            <v>A3</v>
          </cell>
          <cell r="E167" t="str">
            <v>A3</v>
          </cell>
        </row>
        <row r="168">
          <cell r="B168" t="str">
            <v>Nguyễn Thị Bảo Trân</v>
          </cell>
          <cell r="C168" t="str">
            <v>01010020</v>
          </cell>
          <cell r="D168" t="str">
            <v>A4</v>
          </cell>
          <cell r="E168" t="str">
            <v>A4</v>
          </cell>
        </row>
        <row r="169">
          <cell r="B169" t="str">
            <v>Vương Thanh Thủy</v>
          </cell>
          <cell r="C169" t="str">
            <v>01010018</v>
          </cell>
          <cell r="D169" t="str">
            <v>A3</v>
          </cell>
          <cell r="E169" t="str">
            <v>A3</v>
          </cell>
        </row>
        <row r="170">
          <cell r="B170" t="str">
            <v>Nguyễn Thị Thu Tâm</v>
          </cell>
          <cell r="C170" t="str">
            <v>01010019</v>
          </cell>
          <cell r="D170" t="str">
            <v>A3</v>
          </cell>
          <cell r="E170" t="str">
            <v>A4</v>
          </cell>
        </row>
        <row r="171">
          <cell r="B171" t="str">
            <v>Võ Thị Hồng Lan</v>
          </cell>
          <cell r="C171" t="str">
            <v>01010015</v>
          </cell>
          <cell r="D171" t="str">
            <v>A3</v>
          </cell>
          <cell r="E171" t="str">
            <v>A3</v>
          </cell>
        </row>
        <row r="172">
          <cell r="B172" t="str">
            <v>Nguyễn Thị Thanh Tú</v>
          </cell>
          <cell r="C172" t="str">
            <v>01010027</v>
          </cell>
          <cell r="D172" t="str">
            <v>A3</v>
          </cell>
          <cell r="E172" t="str">
            <v>A3</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A3</v>
          </cell>
        </row>
        <row r="176">
          <cell r="B176" t="str">
            <v>Trần Hà Trang</v>
          </cell>
          <cell r="C176" t="str">
            <v>01010254</v>
          </cell>
          <cell r="D176" t="str">
            <v>A3</v>
          </cell>
          <cell r="E176" t="str">
            <v>A3</v>
          </cell>
        </row>
        <row r="177">
          <cell r="B177" t="str">
            <v>Lê Thu Hà</v>
          </cell>
          <cell r="C177" t="str">
            <v>01010260</v>
          </cell>
          <cell r="D177" t="str">
            <v>A DN</v>
          </cell>
          <cell r="E177" t="str">
            <v>A DN</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A2</v>
          </cell>
          <cell r="E181" t="str">
            <v>A3</v>
          </cell>
        </row>
        <row r="182">
          <cell r="B182" t="str">
            <v>Nguyễn Ngọc Quỳnh</v>
          </cell>
          <cell r="C182" t="str">
            <v>01011012</v>
          </cell>
          <cell r="D182" t="str">
            <v>A4</v>
          </cell>
          <cell r="E182" t="str">
            <v>A4</v>
          </cell>
        </row>
        <row r="183">
          <cell r="B183" t="str">
            <v>Nguyễn Thị Dinh</v>
          </cell>
          <cell r="C183" t="str">
            <v>01011005</v>
          </cell>
          <cell r="D183" t="str">
            <v>A4</v>
          </cell>
          <cell r="E183" t="str">
            <v>A4</v>
          </cell>
        </row>
        <row r="184">
          <cell r="B184" t="str">
            <v>Bùi Thành Dũng</v>
          </cell>
          <cell r="C184" t="str">
            <v>01011011</v>
          </cell>
          <cell r="D184" t="str">
            <v>A2</v>
          </cell>
          <cell r="E184" t="str">
            <v>A2</v>
          </cell>
        </row>
        <row r="185">
          <cell r="B185" t="str">
            <v>Lê Thị Mai Hường</v>
          </cell>
          <cell r="C185" t="str">
            <v>01011013</v>
          </cell>
          <cell r="D185" t="str">
            <v>A3</v>
          </cell>
          <cell r="E185" t="str">
            <v>A3</v>
          </cell>
        </row>
        <row r="186">
          <cell r="B186" t="str">
            <v>Đinh Thị Huyên</v>
          </cell>
          <cell r="C186" t="str">
            <v>01011009</v>
          </cell>
          <cell r="D186" t="str">
            <v>A4</v>
          </cell>
          <cell r="E186" t="str">
            <v>A4</v>
          </cell>
        </row>
        <row r="187">
          <cell r="B187" t="str">
            <v>Nguyễn Anh Kiệt</v>
          </cell>
          <cell r="C187" t="str">
            <v>01011001</v>
          </cell>
          <cell r="D187" t="str">
            <v>A4</v>
          </cell>
          <cell r="E187" t="str">
            <v>A4</v>
          </cell>
        </row>
        <row r="188">
          <cell r="B188" t="str">
            <v>Trần Văn Lượng</v>
          </cell>
          <cell r="C188" t="str">
            <v>01011014</v>
          </cell>
          <cell r="D188" t="str">
            <v>A4</v>
          </cell>
          <cell r="E188" t="str">
            <v>A4</v>
          </cell>
        </row>
        <row r="189">
          <cell r="B189" t="str">
            <v>Đỗ Thị Ngát</v>
          </cell>
          <cell r="C189" t="str">
            <v>01011016</v>
          </cell>
          <cell r="D189" t="str">
            <v>A4</v>
          </cell>
          <cell r="E189" t="str">
            <v>A4</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A3</v>
          </cell>
          <cell r="E195" t="str">
            <v>A3</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A1</v>
          </cell>
          <cell r="E200" t="str">
            <v>A1</v>
          </cell>
        </row>
        <row r="201">
          <cell r="B201" t="str">
            <v>Vũ Đức Pháp</v>
          </cell>
          <cell r="C201" t="str">
            <v>01012013</v>
          </cell>
          <cell r="D201" t="str">
            <v>A1</v>
          </cell>
          <cell r="E201" t="str">
            <v>A1</v>
          </cell>
        </row>
        <row r="202">
          <cell r="B202" t="str">
            <v>Bùi Anh Tuấn</v>
          </cell>
          <cell r="C202" t="str">
            <v>01012023</v>
          </cell>
          <cell r="D202" t="str">
            <v>A2</v>
          </cell>
          <cell r="E202" t="str">
            <v>A2</v>
          </cell>
        </row>
        <row r="203">
          <cell r="B203" t="str">
            <v>Dương Minh Chung</v>
          </cell>
          <cell r="C203" t="str">
            <v>01012014</v>
          </cell>
          <cell r="D203" t="str">
            <v>A2</v>
          </cell>
          <cell r="E203" t="str">
            <v>A2</v>
          </cell>
        </row>
        <row r="204">
          <cell r="B204" t="str">
            <v>Đỗ Thị Phương Khanh</v>
          </cell>
          <cell r="C204" t="str">
            <v>01012005</v>
          </cell>
          <cell r="D204" t="str">
            <v>A3</v>
          </cell>
          <cell r="E204" t="str">
            <v>A3</v>
          </cell>
        </row>
        <row r="205">
          <cell r="B205" t="str">
            <v>Trương Thị Phương Hồng</v>
          </cell>
          <cell r="C205" t="str">
            <v>01012006</v>
          </cell>
          <cell r="D205" t="str">
            <v>A1</v>
          </cell>
          <cell r="E205" t="str">
            <v>A1</v>
          </cell>
        </row>
        <row r="206">
          <cell r="B206" t="str">
            <v>Phan Văn Thành</v>
          </cell>
          <cell r="C206" t="str">
            <v>01012004</v>
          </cell>
          <cell r="D206" t="str">
            <v>A4</v>
          </cell>
          <cell r="E206" t="str">
            <v>A4</v>
          </cell>
        </row>
        <row r="207">
          <cell r="B207" t="str">
            <v>Phan Thị Xuân Trang</v>
          </cell>
          <cell r="C207" t="str">
            <v>01012012</v>
          </cell>
          <cell r="D207" t="str">
            <v>A2</v>
          </cell>
          <cell r="E207" t="str">
            <v>A2</v>
          </cell>
        </row>
        <row r="208">
          <cell r="B208" t="str">
            <v>Lư Thị Yến Vũ</v>
          </cell>
          <cell r="C208" t="str">
            <v>01012016</v>
          </cell>
          <cell r="D208" t="str">
            <v>A1</v>
          </cell>
          <cell r="E208" t="str">
            <v>A1</v>
          </cell>
        </row>
        <row r="209">
          <cell r="B209" t="str">
            <v>Nguyễn Thanh Vũ</v>
          </cell>
          <cell r="C209" t="str">
            <v>01012015</v>
          </cell>
          <cell r="D209" t="str">
            <v>A4</v>
          </cell>
          <cell r="E209" t="str">
            <v>A4</v>
          </cell>
        </row>
        <row r="210">
          <cell r="B210" t="str">
            <v>Nguyễn Tiến Dũng</v>
          </cell>
          <cell r="C210" t="str">
            <v>01012019</v>
          </cell>
          <cell r="D210" t="str">
            <v>A2</v>
          </cell>
          <cell r="E210" t="str">
            <v>A2</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A3</v>
          </cell>
          <cell r="E215" t="str">
            <v>A3</v>
          </cell>
        </row>
        <row r="216">
          <cell r="B216" t="str">
            <v>Nguyễn Thanh Vĩnh Phúc</v>
          </cell>
          <cell r="C216" t="str">
            <v>01012011</v>
          </cell>
          <cell r="D216" t="str">
            <v>A4</v>
          </cell>
          <cell r="E216" t="str">
            <v>A4</v>
          </cell>
        </row>
        <row r="217">
          <cell r="B217" t="str">
            <v>Võ Minh Quang</v>
          </cell>
          <cell r="C217" t="str">
            <v>01017002</v>
          </cell>
          <cell r="D217" t="str">
            <v>A4</v>
          </cell>
          <cell r="E217" t="str">
            <v>A4</v>
          </cell>
        </row>
        <row r="218">
          <cell r="B218" t="str">
            <v>Dương Thị Hồng</v>
          </cell>
          <cell r="C218" t="str">
            <v>01012028</v>
          </cell>
          <cell r="D218" t="str">
            <v>A2</v>
          </cell>
          <cell r="E218" t="str">
            <v>A2</v>
          </cell>
        </row>
        <row r="219">
          <cell r="B219" t="str">
            <v>Nguyễn Thanh Giang</v>
          </cell>
          <cell r="C219" t="str">
            <v>01012032</v>
          </cell>
          <cell r="D219" t="str">
            <v>A3</v>
          </cell>
          <cell r="E219" t="str">
            <v>A3</v>
          </cell>
        </row>
        <row r="220">
          <cell r="B220" t="str">
            <v>Nguyễn Hồng Phúc</v>
          </cell>
          <cell r="C220" t="str">
            <v>01025017</v>
          </cell>
          <cell r="D220" t="str">
            <v>A2</v>
          </cell>
          <cell r="E220" t="str">
            <v>A2</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A1</v>
          </cell>
          <cell r="E223" t="str">
            <v>A1</v>
          </cell>
        </row>
        <row r="224">
          <cell r="B224" t="str">
            <v>Nguyễn Thị Xuân Chinh</v>
          </cell>
          <cell r="C224" t="str">
            <v>01012049</v>
          </cell>
          <cell r="D224" t="str">
            <v>A3</v>
          </cell>
          <cell r="E224" t="str">
            <v>A3</v>
          </cell>
        </row>
        <row r="225">
          <cell r="B225" t="str">
            <v>Nguyễn Ngọc Hiệp</v>
          </cell>
          <cell r="C225" t="str">
            <v>01009006</v>
          </cell>
          <cell r="D225" t="str">
            <v>A2</v>
          </cell>
          <cell r="E225" t="str">
            <v>A2</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A3</v>
          </cell>
          <cell r="E229" t="str">
            <v>A3</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C1</v>
          </cell>
          <cell r="E233" t="str">
            <v>B2</v>
          </cell>
        </row>
        <row r="234">
          <cell r="B234" t="str">
            <v>Huỳnh Quốc Dũng</v>
          </cell>
          <cell r="C234" t="str">
            <v>01015041</v>
          </cell>
          <cell r="D234" t="str">
            <v>A3</v>
          </cell>
          <cell r="E234" t="str">
            <v>A3</v>
          </cell>
        </row>
        <row r="235">
          <cell r="B235" t="str">
            <v>Vũ Thị Thái Linh</v>
          </cell>
          <cell r="C235" t="str">
            <v>01015013</v>
          </cell>
          <cell r="D235" t="str">
            <v>A3</v>
          </cell>
          <cell r="E235" t="str">
            <v>A3</v>
          </cell>
        </row>
        <row r="236">
          <cell r="B236" t="str">
            <v>Nguyễn Văn Minh</v>
          </cell>
          <cell r="C236" t="str">
            <v>01015006</v>
          </cell>
          <cell r="D236" t="str">
            <v>A3</v>
          </cell>
          <cell r="E236" t="str">
            <v>A3</v>
          </cell>
        </row>
        <row r="237">
          <cell r="B237" t="str">
            <v>Nguyễn Cao Phong</v>
          </cell>
          <cell r="C237" t="str">
            <v>01018001</v>
          </cell>
          <cell r="D237" t="str">
            <v>A3</v>
          </cell>
          <cell r="E237" t="str">
            <v>A3</v>
          </cell>
        </row>
        <row r="238">
          <cell r="B238" t="str">
            <v>Lê Quý Hưng Quốc</v>
          </cell>
          <cell r="C238" t="str">
            <v>01015004</v>
          </cell>
          <cell r="D238" t="str">
            <v>A3</v>
          </cell>
          <cell r="E238" t="str">
            <v>A3</v>
          </cell>
        </row>
        <row r="239">
          <cell r="B239" t="str">
            <v>Lê Hồng Thái</v>
          </cell>
          <cell r="C239" t="str">
            <v>01015017</v>
          </cell>
          <cell r="D239" t="str">
            <v>A3</v>
          </cell>
          <cell r="E239" t="str">
            <v>A3</v>
          </cell>
        </row>
        <row r="240">
          <cell r="B240" t="str">
            <v>Nguyễn Thị Khánh Thư</v>
          </cell>
          <cell r="C240" t="str">
            <v>01015016</v>
          </cell>
          <cell r="D240" t="str">
            <v>A3</v>
          </cell>
          <cell r="E240" t="str">
            <v>A3</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A3</v>
          </cell>
        </row>
        <row r="245">
          <cell r="B245" t="str">
            <v>Trần Vĩnh Xuyên</v>
          </cell>
          <cell r="C245" t="str">
            <v>01015008</v>
          </cell>
          <cell r="D245" t="str">
            <v>A3</v>
          </cell>
          <cell r="E245" t="str">
            <v>A3</v>
          </cell>
        </row>
        <row r="246">
          <cell r="B246" t="str">
            <v>Đỗ Thị Hải Yến</v>
          </cell>
          <cell r="C246" t="str">
            <v>01015021</v>
          </cell>
          <cell r="D246" t="str">
            <v>B1</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A1</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A2</v>
          </cell>
        </row>
        <row r="252">
          <cell r="B252" t="str">
            <v>Võ Đắc Thịnh</v>
          </cell>
          <cell r="C252" t="str">
            <v>01013002</v>
          </cell>
          <cell r="D252" t="str">
            <v>A2</v>
          </cell>
          <cell r="E252" t="str">
            <v>A3</v>
          </cell>
        </row>
        <row r="253">
          <cell r="B253" t="str">
            <v>Nguyễn Hữu Mạnh</v>
          </cell>
          <cell r="C253" t="str">
            <v>01013004</v>
          </cell>
          <cell r="D253" t="str">
            <v>A3</v>
          </cell>
          <cell r="E253" t="str">
            <v>A4</v>
          </cell>
        </row>
        <row r="254">
          <cell r="B254" t="str">
            <v>Hà Quốc Bảo</v>
          </cell>
          <cell r="C254" t="str">
            <v>01013021</v>
          </cell>
          <cell r="D254" t="str">
            <v>A3</v>
          </cell>
          <cell r="E254" t="str">
            <v>A4</v>
          </cell>
        </row>
        <row r="255">
          <cell r="B255" t="str">
            <v>Triệu Phú Nguyên</v>
          </cell>
          <cell r="C255" t="str">
            <v>01013006</v>
          </cell>
          <cell r="D255" t="str">
            <v>A3</v>
          </cell>
          <cell r="E255" t="str">
            <v>A3</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A3</v>
          </cell>
          <cell r="E260" t="str">
            <v>A3</v>
          </cell>
        </row>
        <row r="261">
          <cell r="B261" t="str">
            <v>Trần Quốc Duy</v>
          </cell>
          <cell r="C261" t="str">
            <v>01013026</v>
          </cell>
          <cell r="D261" t="str">
            <v>A3</v>
          </cell>
          <cell r="E261" t="str">
            <v>A3</v>
          </cell>
        </row>
        <row r="262">
          <cell r="B262" t="str">
            <v>Hồ Văn Hóa</v>
          </cell>
          <cell r="C262" t="str">
            <v>01013029</v>
          </cell>
          <cell r="D262" t="str">
            <v>A3</v>
          </cell>
          <cell r="E262" t="str">
            <v>A3</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A3</v>
          </cell>
        </row>
        <row r="270">
          <cell r="B270" t="str">
            <v>Nguyễn Hoàng Vinh</v>
          </cell>
          <cell r="C270" t="str">
            <v>01013087</v>
          </cell>
          <cell r="D270" t="str">
            <v>A3</v>
          </cell>
          <cell r="E270" t="str">
            <v>A3</v>
          </cell>
        </row>
        <row r="271">
          <cell r="B271" t="str">
            <v>Đỗ Hoàng Duy</v>
          </cell>
          <cell r="C271" t="str">
            <v>01013061</v>
          </cell>
          <cell r="D271" t="str">
            <v>A4</v>
          </cell>
          <cell r="E271" t="str">
            <v>A4</v>
          </cell>
        </row>
        <row r="272">
          <cell r="B272" t="str">
            <v>Bùi Trọng Tân</v>
          </cell>
          <cell r="C272" t="str">
            <v>01013094</v>
          </cell>
          <cell r="D272" t="str">
            <v>A3</v>
          </cell>
          <cell r="E272" t="str">
            <v>A3</v>
          </cell>
        </row>
        <row r="273">
          <cell r="B273" t="str">
            <v>Võ Quốc Duy</v>
          </cell>
          <cell r="C273" t="str">
            <v>01013120</v>
          </cell>
          <cell r="D273" t="str">
            <v>A4</v>
          </cell>
          <cell r="E273" t="str">
            <v>A4</v>
          </cell>
        </row>
        <row r="274">
          <cell r="B274" t="str">
            <v>Giang Văn Tiến</v>
          </cell>
          <cell r="C274" t="str">
            <v>01013117</v>
          </cell>
          <cell r="D274" t="str">
            <v>A3</v>
          </cell>
          <cell r="E274" t="str">
            <v>A3</v>
          </cell>
        </row>
        <row r="275">
          <cell r="B275" t="str">
            <v>Nguyễn Hữu Lương</v>
          </cell>
          <cell r="C275" t="str">
            <v>01013116</v>
          </cell>
          <cell r="D275" t="str">
            <v>A3</v>
          </cell>
          <cell r="E275" t="str">
            <v>A3</v>
          </cell>
        </row>
        <row r="276">
          <cell r="B276" t="str">
            <v>Huỳnh Đình Văn</v>
          </cell>
          <cell r="C276" t="str">
            <v>01013128</v>
          </cell>
          <cell r="D276" t="str">
            <v>A3</v>
          </cell>
          <cell r="E276" t="str">
            <v>A3</v>
          </cell>
        </row>
        <row r="277">
          <cell r="B277" t="str">
            <v>Hợp đồng trường</v>
          </cell>
          <cell r="C277">
            <v>0</v>
          </cell>
          <cell r="D277">
            <v>0</v>
          </cell>
          <cell r="E277">
            <v>1</v>
          </cell>
        </row>
        <row r="278">
          <cell r="B278" t="str">
            <v>Nguyễn Khắc Huân</v>
          </cell>
          <cell r="C278" t="str">
            <v>01013096</v>
          </cell>
          <cell r="D278" t="str">
            <v>A1</v>
          </cell>
          <cell r="E278" t="str">
            <v>A2</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A2</v>
          </cell>
        </row>
        <row r="283">
          <cell r="B283" t="str">
            <v>Phạm Minh Nghĩa</v>
          </cell>
          <cell r="C283" t="str">
            <v>01023003</v>
          </cell>
          <cell r="D283" t="str">
            <v>A1</v>
          </cell>
          <cell r="E283" t="str">
            <v>A2</v>
          </cell>
        </row>
        <row r="284">
          <cell r="B284" t="str">
            <v>Trần Nguyên Bảo Trân</v>
          </cell>
          <cell r="C284" t="str">
            <v>01014038</v>
          </cell>
          <cell r="D284" t="str">
            <v>A3</v>
          </cell>
          <cell r="E284" t="str">
            <v>A2</v>
          </cell>
        </row>
        <row r="285">
          <cell r="B285" t="str">
            <v>Huỳnh Duy An</v>
          </cell>
          <cell r="C285" t="str">
            <v>01014051</v>
          </cell>
          <cell r="D285" t="str">
            <v>A3</v>
          </cell>
          <cell r="E285" t="str">
            <v>A3</v>
          </cell>
        </row>
        <row r="286">
          <cell r="B286" t="str">
            <v>Ngô Hoàng Anh</v>
          </cell>
          <cell r="C286" t="str">
            <v>01014005</v>
          </cell>
          <cell r="D286" t="str">
            <v>A3</v>
          </cell>
          <cell r="E286" t="str">
            <v>A3</v>
          </cell>
        </row>
        <row r="287">
          <cell r="B287" t="str">
            <v>Trần Nam Anh</v>
          </cell>
          <cell r="C287" t="str">
            <v>01014046</v>
          </cell>
          <cell r="D287" t="str">
            <v>A1</v>
          </cell>
          <cell r="E287" t="str">
            <v>A2</v>
          </cell>
        </row>
        <row r="288">
          <cell r="B288" t="str">
            <v>Vũ Hạnh Chiêu</v>
          </cell>
          <cell r="C288" t="str">
            <v>01014026</v>
          </cell>
          <cell r="D288" t="str">
            <v>A3</v>
          </cell>
          <cell r="E288" t="str">
            <v>A3</v>
          </cell>
        </row>
        <row r="289">
          <cell r="B289" t="str">
            <v>Ngô Phong Cường</v>
          </cell>
          <cell r="C289" t="str">
            <v>01014029</v>
          </cell>
          <cell r="D289" t="str">
            <v>A3</v>
          </cell>
          <cell r="E289" t="str">
            <v>A3</v>
          </cell>
        </row>
        <row r="290">
          <cell r="B290" t="str">
            <v>Nguyễn Minh Đức Cường</v>
          </cell>
          <cell r="C290" t="str">
            <v>01014033</v>
          </cell>
          <cell r="D290" t="str">
            <v>A1</v>
          </cell>
          <cell r="E290" t="str">
            <v>A2</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A3</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A2</v>
          </cell>
        </row>
        <row r="314">
          <cell r="B314" t="str">
            <v>Chế Vân Cầm</v>
          </cell>
          <cell r="C314" t="str">
            <v>01016004</v>
          </cell>
          <cell r="D314" t="str">
            <v>A4</v>
          </cell>
          <cell r="E314" t="str">
            <v>A4</v>
          </cell>
        </row>
        <row r="315">
          <cell r="B315" t="str">
            <v>Nguyễn Bạch Cẩm Dung</v>
          </cell>
          <cell r="C315" t="str">
            <v>01016002</v>
          </cell>
          <cell r="D315" t="str">
            <v>A3</v>
          </cell>
          <cell r="E315" t="str">
            <v>A3</v>
          </cell>
        </row>
        <row r="316">
          <cell r="B316" t="str">
            <v>Nguyễn Thị Hiền</v>
          </cell>
          <cell r="C316" t="str">
            <v>01016006</v>
          </cell>
          <cell r="D316" t="str">
            <v>A3</v>
          </cell>
          <cell r="E316" t="str">
            <v>A3</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A4</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A1</v>
          </cell>
        </row>
        <row r="340">
          <cell r="B340" t="str">
            <v>Trần Thị Ngọc Dung</v>
          </cell>
          <cell r="C340" t="str">
            <v>01025016</v>
          </cell>
          <cell r="D340" t="str">
            <v>A3</v>
          </cell>
          <cell r="E340" t="str">
            <v>A3</v>
          </cell>
        </row>
        <row r="341">
          <cell r="B341" t="str">
            <v>Cao Xuân Giang</v>
          </cell>
          <cell r="C341" t="str">
            <v>01025018</v>
          </cell>
          <cell r="D341" t="str">
            <v>A3</v>
          </cell>
          <cell r="E341" t="str">
            <v>A3</v>
          </cell>
        </row>
        <row r="342">
          <cell r="B342" t="str">
            <v>Nguyễn Thị Thanh Hòa</v>
          </cell>
          <cell r="C342" t="str">
            <v>01009027</v>
          </cell>
          <cell r="D342" t="str">
            <v>A1</v>
          </cell>
          <cell r="E342" t="str">
            <v>A2</v>
          </cell>
        </row>
        <row r="343">
          <cell r="B343" t="str">
            <v>Huỳnh Kim Liên</v>
          </cell>
          <cell r="C343" t="str">
            <v>01025052</v>
          </cell>
          <cell r="D343" t="str">
            <v>A1</v>
          </cell>
          <cell r="E343" t="str">
            <v>A1</v>
          </cell>
        </row>
        <row r="344">
          <cell r="B344" t="str">
            <v>Lê Hồng Ngọc My</v>
          </cell>
          <cell r="C344" t="str">
            <v>01015053</v>
          </cell>
          <cell r="D344" t="str">
            <v>A3</v>
          </cell>
          <cell r="E344" t="str">
            <v>A2</v>
          </cell>
        </row>
        <row r="345">
          <cell r="B345" t="str">
            <v>Lê Thị Thu Thảo</v>
          </cell>
          <cell r="C345" t="str">
            <v>01025008</v>
          </cell>
          <cell r="D345" t="str">
            <v>A3</v>
          </cell>
          <cell r="E345" t="str">
            <v>A3</v>
          </cell>
        </row>
        <row r="346">
          <cell r="B346" t="str">
            <v>Nguyễn Thị Minh Thùy</v>
          </cell>
          <cell r="C346" t="str">
            <v>01003013</v>
          </cell>
          <cell r="D346" t="str">
            <v>A2</v>
          </cell>
          <cell r="E346" t="str">
            <v>A2</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A2</v>
          </cell>
          <cell r="E354" t="str">
            <v>A2</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B1</v>
          </cell>
          <cell r="E361" t="str">
            <v>B1</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v>0</v>
          </cell>
          <cell r="D393">
            <v>0</v>
          </cell>
          <cell r="E393">
            <v>3</v>
          </cell>
        </row>
        <row r="394">
          <cell r="B394" t="str">
            <v>Phạm Huỳnh Kim Ngân</v>
          </cell>
          <cell r="C394" t="str">
            <v>01025013</v>
          </cell>
          <cell r="D394" t="str">
            <v>A3</v>
          </cell>
          <cell r="E394" t="str">
            <v>A3</v>
          </cell>
        </row>
        <row r="395">
          <cell r="B395" t="str">
            <v>Nguyễn Đan Trường</v>
          </cell>
          <cell r="C395" t="str">
            <v>01031001</v>
          </cell>
          <cell r="D395" t="str">
            <v>A2</v>
          </cell>
          <cell r="E395" t="str">
            <v>A1</v>
          </cell>
        </row>
        <row r="396">
          <cell r="B396" t="str">
            <v>Lương Công Phi</v>
          </cell>
          <cell r="C396" t="str">
            <v>01031002</v>
          </cell>
          <cell r="D396" t="str">
            <v>A3</v>
          </cell>
          <cell r="E396" t="str">
            <v>A3</v>
          </cell>
        </row>
        <row r="397">
          <cell r="B397">
            <v>0</v>
          </cell>
          <cell r="C397">
            <v>0</v>
          </cell>
          <cell r="D397">
            <v>0</v>
          </cell>
          <cell r="E397">
            <v>0</v>
          </cell>
        </row>
        <row r="398">
          <cell r="B398" t="str">
            <v>Kết luận của TT HĐTĐ: 
- Trưởng đơn vị nhắc nhở GV điểm danh sinh viên trên phần mềm đúng quy định và mang thẻ GV khi tham gia giảng dạy. Các trường hợp vi phạm trong tháng 4/2024, TTHĐ thống nhất nhắc nhở, không trừ vào điểm đánh giá quý 2/2024. Từ tháng 5/2024, nếu còn vi phạm sẽ xử lý theo quy định thi đua.</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cell r="M10">
            <v>0</v>
          </cell>
        </row>
        <row r="11">
          <cell r="H11" t="str">
            <v>Đinh Văn Đệ</v>
          </cell>
          <cell r="J11">
            <v>24</v>
          </cell>
          <cell r="M11">
            <v>0</v>
          </cell>
        </row>
        <row r="12">
          <cell r="H12" t="str">
            <v>Đinh Hồng Minh</v>
          </cell>
          <cell r="J12">
            <v>23</v>
          </cell>
          <cell r="M12">
            <v>0</v>
          </cell>
        </row>
        <row r="13">
          <cell r="H13" t="str">
            <v>Châu Văn Bảo</v>
          </cell>
          <cell r="J13">
            <v>26</v>
          </cell>
          <cell r="M13">
            <v>0</v>
          </cell>
        </row>
        <row r="14">
          <cell r="H14" t="str">
            <v>Lâm Viết Dũng</v>
          </cell>
          <cell r="J14">
            <v>24</v>
          </cell>
          <cell r="M14">
            <v>0</v>
          </cell>
        </row>
        <row r="15">
          <cell r="H15" t="str">
            <v>Lưu Hoàng Hải Yến</v>
          </cell>
          <cell r="J15">
            <v>20</v>
          </cell>
          <cell r="M15">
            <v>0</v>
          </cell>
        </row>
        <row r="16">
          <cell r="H16" t="str">
            <v>Huỳnh Thị Minh Ly</v>
          </cell>
          <cell r="J16">
            <v>22.5</v>
          </cell>
          <cell r="M16">
            <v>0</v>
          </cell>
        </row>
        <row r="17">
          <cell r="H17" t="str">
            <v>Nguyễn Văn Chì</v>
          </cell>
          <cell r="J17">
            <v>19.5</v>
          </cell>
          <cell r="M17">
            <v>0</v>
          </cell>
        </row>
        <row r="18">
          <cell r="H18" t="str">
            <v>Nguyễn Thị Vân</v>
          </cell>
          <cell r="J18">
            <v>20.5</v>
          </cell>
          <cell r="M18">
            <v>0</v>
          </cell>
        </row>
        <row r="19">
          <cell r="H19" t="str">
            <v>Phan Thị Ngọc Phượng</v>
          </cell>
          <cell r="J19">
            <v>23</v>
          </cell>
          <cell r="M19">
            <v>0</v>
          </cell>
        </row>
        <row r="20">
          <cell r="H20" t="str">
            <v>Trần Thị Ánh Phượng</v>
          </cell>
          <cell r="J20">
            <v>21</v>
          </cell>
          <cell r="M20">
            <v>0</v>
          </cell>
        </row>
        <row r="21">
          <cell r="H21" t="str">
            <v>Thân Thị Nhung</v>
          </cell>
          <cell r="J21">
            <v>19</v>
          </cell>
          <cell r="M21">
            <v>0</v>
          </cell>
        </row>
        <row r="22">
          <cell r="H22" t="str">
            <v>Trần Thị Phương Oanh</v>
          </cell>
          <cell r="J22">
            <v>19</v>
          </cell>
          <cell r="M22">
            <v>0</v>
          </cell>
        </row>
        <row r="23">
          <cell r="H23" t="str">
            <v>Vũ Như Quỳnh</v>
          </cell>
          <cell r="J23">
            <v>22</v>
          </cell>
          <cell r="M23">
            <v>0</v>
          </cell>
        </row>
        <row r="24">
          <cell r="H24" t="str">
            <v>Nguyễn Thị Bích Liễu</v>
          </cell>
          <cell r="J24">
            <v>17.5</v>
          </cell>
          <cell r="M24" t="str">
            <v>Trừ 2 ngày nghỉ phép 11+12/4</v>
          </cell>
        </row>
        <row r="25">
          <cell r="H25" t="str">
            <v>Lê Quang Liêm</v>
          </cell>
          <cell r="J25">
            <v>22</v>
          </cell>
          <cell r="M25">
            <v>0</v>
          </cell>
        </row>
        <row r="26">
          <cell r="H26" t="str">
            <v>Nguyễn Văn Thành</v>
          </cell>
          <cell r="J26">
            <v>22</v>
          </cell>
          <cell r="M26">
            <v>0</v>
          </cell>
        </row>
        <row r="27">
          <cell r="H27" t="str">
            <v>Phan Đức Long</v>
          </cell>
          <cell r="J27">
            <v>22</v>
          </cell>
          <cell r="M27">
            <v>0</v>
          </cell>
        </row>
        <row r="28">
          <cell r="H28" t="str">
            <v>Ninh Đỗ Hiệp</v>
          </cell>
          <cell r="J28">
            <v>20</v>
          </cell>
          <cell r="M28">
            <v>0</v>
          </cell>
        </row>
        <row r="29">
          <cell r="H29" t="str">
            <v>Nguyễn Trọng Phú</v>
          </cell>
          <cell r="J29">
            <v>21</v>
          </cell>
          <cell r="M29">
            <v>0</v>
          </cell>
        </row>
        <row r="30">
          <cell r="H30" t="str">
            <v>Lê Hồng Anh Tuấn</v>
          </cell>
          <cell r="J30">
            <v>19</v>
          </cell>
          <cell r="M30">
            <v>0</v>
          </cell>
        </row>
        <row r="31">
          <cell r="H31" t="str">
            <v>Giáp Văn Thịnh</v>
          </cell>
          <cell r="J31">
            <v>19</v>
          </cell>
          <cell r="M31">
            <v>0</v>
          </cell>
        </row>
        <row r="32">
          <cell r="H32" t="str">
            <v>Vũ Ngọc Quang</v>
          </cell>
          <cell r="J32">
            <v>19</v>
          </cell>
          <cell r="M32">
            <v>0</v>
          </cell>
        </row>
        <row r="33">
          <cell r="H33" t="str">
            <v>Bùi Thị Dương</v>
          </cell>
          <cell r="J33">
            <v>22</v>
          </cell>
          <cell r="M33">
            <v>0</v>
          </cell>
        </row>
        <row r="34">
          <cell r="H34" t="str">
            <v>Phan Hữu Tước</v>
          </cell>
          <cell r="J34">
            <v>22</v>
          </cell>
          <cell r="M34">
            <v>0</v>
          </cell>
        </row>
        <row r="35">
          <cell r="H35" t="str">
            <v>Trang Thị Xuân Uyên</v>
          </cell>
          <cell r="J35">
            <v>22</v>
          </cell>
          <cell r="M35">
            <v>0</v>
          </cell>
        </row>
        <row r="36">
          <cell r="H36" t="str">
            <v>Bùi Thị Lan Anh</v>
          </cell>
          <cell r="J36">
            <v>22</v>
          </cell>
          <cell r="M36">
            <v>0</v>
          </cell>
        </row>
        <row r="37">
          <cell r="H37" t="str">
            <v>Nguyễn Kính</v>
          </cell>
          <cell r="J37">
            <v>25</v>
          </cell>
          <cell r="M37">
            <v>0</v>
          </cell>
        </row>
        <row r="38">
          <cell r="H38" t="str">
            <v>Võ Thị Lệ Trân</v>
          </cell>
          <cell r="J38">
            <v>21</v>
          </cell>
          <cell r="M38" t="str">
            <v>Trừ 1 ngày nghỉ phép 26/4</v>
          </cell>
        </row>
        <row r="39">
          <cell r="H39" t="str">
            <v>Trần Thị Minh Thoa</v>
          </cell>
          <cell r="J39">
            <v>22</v>
          </cell>
          <cell r="M39">
            <v>0</v>
          </cell>
        </row>
        <row r="40">
          <cell r="H40" t="str">
            <v>Hồng Mộng Tuyết Dung</v>
          </cell>
          <cell r="J40">
            <v>22</v>
          </cell>
          <cell r="M40">
            <v>0</v>
          </cell>
        </row>
        <row r="41">
          <cell r="H41" t="str">
            <v>Nguyễn Thị Hồng Thắm</v>
          </cell>
          <cell r="J41">
            <v>22</v>
          </cell>
          <cell r="M41">
            <v>0</v>
          </cell>
        </row>
        <row r="42">
          <cell r="H42" t="str">
            <v>Nguyễn Văn Chiến</v>
          </cell>
          <cell r="J42">
            <v>24</v>
          </cell>
          <cell r="M42">
            <v>0</v>
          </cell>
        </row>
        <row r="43">
          <cell r="H43" t="str">
            <v>Lê Xuân Thiện</v>
          </cell>
          <cell r="J43">
            <v>20</v>
          </cell>
          <cell r="M43">
            <v>0</v>
          </cell>
        </row>
        <row r="44">
          <cell r="H44" t="str">
            <v>Nguyễn Tất Thắng</v>
          </cell>
          <cell r="J44">
            <v>20</v>
          </cell>
          <cell r="M44">
            <v>0</v>
          </cell>
        </row>
        <row r="45">
          <cell r="H45" t="str">
            <v>Trần Thị Thu Hà</v>
          </cell>
          <cell r="J45">
            <v>20</v>
          </cell>
          <cell r="M45">
            <v>0</v>
          </cell>
        </row>
        <row r="46">
          <cell r="H46" t="str">
            <v>Phạm Thị Lê Chi</v>
          </cell>
          <cell r="J46">
            <v>21</v>
          </cell>
          <cell r="M46">
            <v>0</v>
          </cell>
        </row>
        <row r="47">
          <cell r="H47" t="str">
            <v>Nguyễn Thùy Dương</v>
          </cell>
          <cell r="J47">
            <v>19</v>
          </cell>
          <cell r="M47" t="str">
            <v>Trừ 1 ngày nghỉ phép 15/4</v>
          </cell>
        </row>
        <row r="48">
          <cell r="H48" t="str">
            <v>Nguyễn Thị Kim Anh</v>
          </cell>
          <cell r="J48">
            <v>22</v>
          </cell>
          <cell r="M48">
            <v>0</v>
          </cell>
        </row>
        <row r="49">
          <cell r="H49" t="str">
            <v>Mai Thu Hương</v>
          </cell>
          <cell r="J49">
            <v>20</v>
          </cell>
          <cell r="M49">
            <v>0</v>
          </cell>
        </row>
        <row r="50">
          <cell r="H50" t="str">
            <v>Nguyễn Thành Nam</v>
          </cell>
          <cell r="J50">
            <v>22</v>
          </cell>
          <cell r="M50">
            <v>0</v>
          </cell>
        </row>
        <row r="51">
          <cell r="H51" t="str">
            <v>Quách Minh Thử</v>
          </cell>
          <cell r="J51">
            <v>21.5</v>
          </cell>
          <cell r="M51">
            <v>0</v>
          </cell>
        </row>
        <row r="52">
          <cell r="H52" t="str">
            <v>Võ Thị Xuân Thơ</v>
          </cell>
          <cell r="J52">
            <v>21</v>
          </cell>
          <cell r="M52">
            <v>0</v>
          </cell>
        </row>
        <row r="53">
          <cell r="H53" t="str">
            <v>Mai Nguyễn Hoàng Yến</v>
          </cell>
          <cell r="J53">
            <v>21.5</v>
          </cell>
          <cell r="M53">
            <v>0</v>
          </cell>
        </row>
        <row r="54">
          <cell r="H54" t="str">
            <v>Nguyễn Thị Hải Hà</v>
          </cell>
          <cell r="J54">
            <v>20</v>
          </cell>
          <cell r="M54">
            <v>0</v>
          </cell>
        </row>
        <row r="55">
          <cell r="H55" t="str">
            <v>Nguyễn Thị Thanh Thảo</v>
          </cell>
          <cell r="J55">
            <v>21</v>
          </cell>
          <cell r="M55">
            <v>0</v>
          </cell>
        </row>
        <row r="56">
          <cell r="H56" t="str">
            <v>Thái Thị My Sa</v>
          </cell>
          <cell r="J56">
            <v>21</v>
          </cell>
          <cell r="M56">
            <v>0</v>
          </cell>
        </row>
        <row r="57">
          <cell r="H57" t="str">
            <v>Giáp Thị Vượng</v>
          </cell>
          <cell r="J57">
            <v>21.5</v>
          </cell>
          <cell r="M57">
            <v>0</v>
          </cell>
        </row>
        <row r="58">
          <cell r="H58" t="str">
            <v>Huỳnh Thị Cẩm Hoa</v>
          </cell>
          <cell r="J58">
            <v>21.5</v>
          </cell>
          <cell r="M58">
            <v>0</v>
          </cell>
        </row>
        <row r="59">
          <cell r="H59" t="str">
            <v>Nguyễn Thị Thùy</v>
          </cell>
          <cell r="J59">
            <v>21</v>
          </cell>
          <cell r="M59">
            <v>0</v>
          </cell>
        </row>
        <row r="60">
          <cell r="H60" t="str">
            <v>Nguyễn Thị Ngọc Anh</v>
          </cell>
          <cell r="J60">
            <v>20</v>
          </cell>
          <cell r="M60">
            <v>0</v>
          </cell>
        </row>
        <row r="61">
          <cell r="H61" t="str">
            <v>Nguyễn Chí Nhân</v>
          </cell>
          <cell r="J61">
            <v>21</v>
          </cell>
          <cell r="M61">
            <v>0</v>
          </cell>
        </row>
        <row r="62">
          <cell r="H62" t="str">
            <v>Nguyễn Thị Kim Dung</v>
          </cell>
          <cell r="J62">
            <v>19</v>
          </cell>
          <cell r="M62">
            <v>0</v>
          </cell>
        </row>
        <row r="63">
          <cell r="H63" t="str">
            <v>Nguyễn Thanh Sơn</v>
          </cell>
          <cell r="J63">
            <v>19</v>
          </cell>
          <cell r="M63">
            <v>0</v>
          </cell>
        </row>
        <row r="64">
          <cell r="H64" t="str">
            <v>Lương Minh Dũng</v>
          </cell>
          <cell r="J64">
            <v>19</v>
          </cell>
          <cell r="M64">
            <v>0</v>
          </cell>
        </row>
        <row r="65">
          <cell r="H65" t="str">
            <v>Nguyễn Thị Tuyết</v>
          </cell>
          <cell r="J65">
            <v>19</v>
          </cell>
          <cell r="M65">
            <v>0</v>
          </cell>
        </row>
        <row r="66">
          <cell r="H66" t="str">
            <v>Vũ Thị Thu Thủy</v>
          </cell>
          <cell r="J66">
            <v>19</v>
          </cell>
          <cell r="M66">
            <v>0</v>
          </cell>
        </row>
        <row r="67">
          <cell r="H67" t="str">
            <v>Nguyễn Trọng Nghĩa</v>
          </cell>
          <cell r="J67">
            <v>19</v>
          </cell>
          <cell r="M67">
            <v>0</v>
          </cell>
        </row>
        <row r="68">
          <cell r="H68" t="str">
            <v>Lê Thị Hải Đăng</v>
          </cell>
          <cell r="J68">
            <v>19</v>
          </cell>
          <cell r="M68">
            <v>0</v>
          </cell>
        </row>
        <row r="69">
          <cell r="H69" t="str">
            <v>Nguyễn Hữu Thiện</v>
          </cell>
          <cell r="J69">
            <v>23</v>
          </cell>
          <cell r="M69">
            <v>0</v>
          </cell>
        </row>
        <row r="70">
          <cell r="H70" t="str">
            <v>Vương Hội Khánh</v>
          </cell>
          <cell r="J70">
            <v>22</v>
          </cell>
          <cell r="M70">
            <v>0</v>
          </cell>
        </row>
        <row r="71">
          <cell r="H71" t="str">
            <v>Trương Hữu Lộc</v>
          </cell>
          <cell r="J71">
            <v>22</v>
          </cell>
          <cell r="M71">
            <v>0</v>
          </cell>
        </row>
        <row r="72">
          <cell r="H72" t="str">
            <v>Trương Thị Hồng</v>
          </cell>
          <cell r="J72">
            <v>22</v>
          </cell>
          <cell r="M72">
            <v>0</v>
          </cell>
        </row>
        <row r="73">
          <cell r="H73" t="str">
            <v>Lương Xuân Thịnh</v>
          </cell>
          <cell r="J73">
            <v>25</v>
          </cell>
          <cell r="M73">
            <v>0</v>
          </cell>
        </row>
        <row r="74">
          <cell r="H74" t="str">
            <v>Nguyễn Cao Thắng</v>
          </cell>
          <cell r="J74">
            <v>25</v>
          </cell>
          <cell r="M74">
            <v>0</v>
          </cell>
        </row>
        <row r="75">
          <cell r="H75" t="str">
            <v>Đỗ Thị Tâm</v>
          </cell>
          <cell r="J75">
            <v>22</v>
          </cell>
          <cell r="M75">
            <v>0</v>
          </cell>
        </row>
        <row r="76">
          <cell r="H76" t="str">
            <v>Nguyễn Tiến Việt Dũng</v>
          </cell>
          <cell r="J76">
            <v>20</v>
          </cell>
          <cell r="M76">
            <v>0</v>
          </cell>
        </row>
        <row r="77">
          <cell r="H77" t="str">
            <v>Bùi Đặng Hoàng Tuấn</v>
          </cell>
          <cell r="J77">
            <v>20</v>
          </cell>
          <cell r="M77">
            <v>0</v>
          </cell>
        </row>
        <row r="78">
          <cell r="H78" t="str">
            <v>Võ Tấn Kiệt</v>
          </cell>
          <cell r="J78">
            <v>20</v>
          </cell>
          <cell r="M78">
            <v>0</v>
          </cell>
        </row>
        <row r="79">
          <cell r="H79" t="str">
            <v>Hồ Ngọc Chi</v>
          </cell>
          <cell r="J79">
            <v>20</v>
          </cell>
          <cell r="M79">
            <v>0</v>
          </cell>
        </row>
        <row r="80">
          <cell r="H80" t="str">
            <v>Nguyễn Tứ Cảnh</v>
          </cell>
          <cell r="J80">
            <v>19</v>
          </cell>
          <cell r="M80">
            <v>0</v>
          </cell>
        </row>
        <row r="81">
          <cell r="H81" t="str">
            <v>Đặng Thu Hà</v>
          </cell>
          <cell r="J81">
            <v>21.5</v>
          </cell>
          <cell r="M81">
            <v>0</v>
          </cell>
        </row>
        <row r="82">
          <cell r="H82" t="str">
            <v>Trần Thị Diễm Thúy</v>
          </cell>
          <cell r="J82">
            <v>19</v>
          </cell>
          <cell r="M82">
            <v>0</v>
          </cell>
        </row>
        <row r="83">
          <cell r="H83" t="str">
            <v>Trịnh Hoàng Hiệp</v>
          </cell>
          <cell r="J83">
            <v>19</v>
          </cell>
          <cell r="M83">
            <v>0</v>
          </cell>
        </row>
        <row r="84">
          <cell r="H84" t="str">
            <v>Phạm Quỳnh Như</v>
          </cell>
          <cell r="J84">
            <v>19</v>
          </cell>
          <cell r="M84">
            <v>0</v>
          </cell>
        </row>
        <row r="85">
          <cell r="H85" t="str">
            <v>Lê Thị Thu Thảo</v>
          </cell>
          <cell r="J85">
            <v>19</v>
          </cell>
          <cell r="M85">
            <v>0</v>
          </cell>
        </row>
        <row r="86">
          <cell r="H86" t="str">
            <v>Lưu Thị Thúy</v>
          </cell>
          <cell r="J86">
            <v>19</v>
          </cell>
          <cell r="M86">
            <v>0</v>
          </cell>
        </row>
        <row r="87">
          <cell r="H87" t="str">
            <v>Nguyễn Thị Minh Thùy</v>
          </cell>
          <cell r="J87">
            <v>21</v>
          </cell>
          <cell r="M87" t="str">
            <v>Hỗ trợ công việc phòng KHTC</v>
          </cell>
        </row>
        <row r="88">
          <cell r="H88" t="str">
            <v>Nguyễn Mỹ Tiên</v>
          </cell>
          <cell r="J88">
            <v>19</v>
          </cell>
          <cell r="M88">
            <v>0</v>
          </cell>
        </row>
        <row r="89">
          <cell r="H89" t="str">
            <v>Trần Thị Ngọc Dung</v>
          </cell>
          <cell r="J89">
            <v>19</v>
          </cell>
          <cell r="M89">
            <v>0</v>
          </cell>
        </row>
        <row r="90">
          <cell r="H90" t="str">
            <v>Cao Xuân Giang</v>
          </cell>
          <cell r="J90">
            <v>19</v>
          </cell>
          <cell r="M90">
            <v>0</v>
          </cell>
        </row>
        <row r="91">
          <cell r="H91" t="str">
            <v>Lê Thị Thúy Oanh</v>
          </cell>
          <cell r="J91">
            <v>19</v>
          </cell>
          <cell r="M91">
            <v>0</v>
          </cell>
        </row>
        <row r="92">
          <cell r="H92" t="str">
            <v>Nguyễn Thị Thanh Hòa</v>
          </cell>
          <cell r="J92">
            <v>19</v>
          </cell>
          <cell r="M92">
            <v>0</v>
          </cell>
        </row>
        <row r="93">
          <cell r="H93" t="str">
            <v>Huỳnh Kim Liên</v>
          </cell>
          <cell r="J93">
            <v>19</v>
          </cell>
          <cell r="M93">
            <v>0</v>
          </cell>
        </row>
        <row r="94">
          <cell r="H94" t="str">
            <v>Nguyễn Huỳnh Lưu Phương</v>
          </cell>
          <cell r="J94">
            <v>19</v>
          </cell>
          <cell r="M94">
            <v>0</v>
          </cell>
        </row>
        <row r="95">
          <cell r="H95" t="str">
            <v>Hồ Gia Bảo</v>
          </cell>
          <cell r="J95">
            <v>19</v>
          </cell>
          <cell r="M95">
            <v>0</v>
          </cell>
        </row>
        <row r="96">
          <cell r="H96" t="str">
            <v>Lữ Xuân Trang</v>
          </cell>
          <cell r="J96">
            <v>19</v>
          </cell>
          <cell r="M96">
            <v>0</v>
          </cell>
        </row>
        <row r="97">
          <cell r="H97" t="str">
            <v>Phạm Thị Thanh Thúy</v>
          </cell>
          <cell r="J97">
            <v>19</v>
          </cell>
          <cell r="M97">
            <v>0</v>
          </cell>
        </row>
        <row r="98">
          <cell r="H98" t="str">
            <v>Đinh Thị Trâm</v>
          </cell>
          <cell r="J98">
            <v>19</v>
          </cell>
          <cell r="M98">
            <v>0</v>
          </cell>
        </row>
        <row r="99">
          <cell r="H99" t="str">
            <v>Võ Thị Kim Thư</v>
          </cell>
          <cell r="J99">
            <v>19</v>
          </cell>
          <cell r="M99">
            <v>0</v>
          </cell>
        </row>
        <row r="100">
          <cell r="H100" t="str">
            <v>Lê Hồng Ngọc My</v>
          </cell>
          <cell r="J100">
            <v>19</v>
          </cell>
          <cell r="M100">
            <v>0</v>
          </cell>
        </row>
        <row r="101">
          <cell r="H101" t="str">
            <v>Nguyễn Hoàng Thanh Ngân</v>
          </cell>
          <cell r="J101">
            <v>0</v>
          </cell>
          <cell r="M101" t="str">
            <v>Đi du học nước ngoài từ 28/2/2023</v>
          </cell>
        </row>
        <row r="102">
          <cell r="H102" t="str">
            <v>Nguyễn Ngọc Thọ</v>
          </cell>
          <cell r="J102">
            <v>19</v>
          </cell>
          <cell r="M102">
            <v>0</v>
          </cell>
        </row>
        <row r="103">
          <cell r="H103" t="str">
            <v>Nguyễn Bạch Cẩm Dung</v>
          </cell>
          <cell r="J103">
            <v>19</v>
          </cell>
          <cell r="M103">
            <v>0</v>
          </cell>
        </row>
        <row r="104">
          <cell r="H104" t="str">
            <v>Lâm Thị Phương Thùy</v>
          </cell>
          <cell r="J104">
            <v>19</v>
          </cell>
          <cell r="M104">
            <v>0</v>
          </cell>
        </row>
        <row r="105">
          <cell r="H105" t="str">
            <v>Nguyễn Thị Hiền</v>
          </cell>
          <cell r="J105">
            <v>19</v>
          </cell>
          <cell r="M105">
            <v>0</v>
          </cell>
        </row>
        <row r="106">
          <cell r="H106" t="str">
            <v>Chế Vân Cầm</v>
          </cell>
          <cell r="J106">
            <v>19</v>
          </cell>
          <cell r="M106">
            <v>0</v>
          </cell>
        </row>
        <row r="107">
          <cell r="H107" t="str">
            <v>Trần Hồng Thảo</v>
          </cell>
          <cell r="J107">
            <v>19</v>
          </cell>
          <cell r="M107">
            <v>0</v>
          </cell>
        </row>
        <row r="108">
          <cell r="H108" t="str">
            <v>Lê Thị Phương Thảo</v>
          </cell>
          <cell r="J108">
            <v>19</v>
          </cell>
          <cell r="M108">
            <v>0</v>
          </cell>
        </row>
        <row r="109">
          <cell r="H109" t="str">
            <v>Bùi Thị Ngọc Sương</v>
          </cell>
          <cell r="J109">
            <v>19</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19</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21</v>
          </cell>
          <cell r="M127">
            <v>0</v>
          </cell>
        </row>
        <row r="128">
          <cell r="H128" t="str">
            <v>Nguyễn Mạnh Phương</v>
          </cell>
          <cell r="J128">
            <v>22</v>
          </cell>
          <cell r="M128">
            <v>0</v>
          </cell>
        </row>
        <row r="129">
          <cell r="H129" t="str">
            <v>Giang Phi Hùng</v>
          </cell>
          <cell r="J129">
            <v>21</v>
          </cell>
          <cell r="M129">
            <v>0</v>
          </cell>
        </row>
        <row r="130">
          <cell r="H130" t="str">
            <v>Ngô Thanh Điền</v>
          </cell>
          <cell r="J130">
            <v>21</v>
          </cell>
          <cell r="M130">
            <v>0</v>
          </cell>
        </row>
        <row r="131">
          <cell r="H131" t="str">
            <v>Nguyễn Thị Thu Hà</v>
          </cell>
          <cell r="J131">
            <v>19</v>
          </cell>
          <cell r="M131">
            <v>0</v>
          </cell>
        </row>
        <row r="132">
          <cell r="H132" t="str">
            <v>Vương Thanh Thủy</v>
          </cell>
          <cell r="J132">
            <v>19</v>
          </cell>
          <cell r="M132">
            <v>0</v>
          </cell>
        </row>
        <row r="133">
          <cell r="H133" t="str">
            <v>Nguyễn Thị Bảo Trân</v>
          </cell>
          <cell r="J133">
            <v>19</v>
          </cell>
          <cell r="M133">
            <v>0</v>
          </cell>
        </row>
        <row r="134">
          <cell r="H134" t="str">
            <v>Nguyễn Thị Thu Tâm</v>
          </cell>
          <cell r="J134">
            <v>19</v>
          </cell>
          <cell r="M134">
            <v>0</v>
          </cell>
        </row>
        <row r="135">
          <cell r="H135" t="str">
            <v>Nguyễn Thị Thanh Tú</v>
          </cell>
          <cell r="J135">
            <v>19</v>
          </cell>
          <cell r="M135">
            <v>0</v>
          </cell>
        </row>
        <row r="136">
          <cell r="H136" t="str">
            <v>Võ Thị Hồng Lan</v>
          </cell>
          <cell r="J136">
            <v>19</v>
          </cell>
          <cell r="M136">
            <v>0</v>
          </cell>
        </row>
        <row r="137">
          <cell r="H137" t="str">
            <v>Lê Nguyễn Mỹ Trâm</v>
          </cell>
          <cell r="J137">
            <v>19</v>
          </cell>
          <cell r="M137">
            <v>0</v>
          </cell>
        </row>
        <row r="138">
          <cell r="H138" t="str">
            <v>Phạm Thị Thu Hiền</v>
          </cell>
          <cell r="J138">
            <v>19</v>
          </cell>
          <cell r="M138">
            <v>0</v>
          </cell>
        </row>
        <row r="139">
          <cell r="H139" t="str">
            <v>Nguyễn Thiện Bình</v>
          </cell>
          <cell r="J139">
            <v>19</v>
          </cell>
          <cell r="M139">
            <v>0</v>
          </cell>
        </row>
        <row r="140">
          <cell r="H140" t="str">
            <v>Trần Thanh Trúc</v>
          </cell>
          <cell r="J140">
            <v>19</v>
          </cell>
          <cell r="M140">
            <v>0</v>
          </cell>
        </row>
        <row r="141">
          <cell r="H141" t="str">
            <v>Lâm Thị Phương Thảo</v>
          </cell>
          <cell r="J141">
            <v>19</v>
          </cell>
          <cell r="M141">
            <v>0</v>
          </cell>
        </row>
        <row r="142">
          <cell r="H142" t="str">
            <v>Trần Hà Trang</v>
          </cell>
          <cell r="J142">
            <v>19</v>
          </cell>
          <cell r="M142">
            <v>0</v>
          </cell>
        </row>
        <row r="143">
          <cell r="H143" t="str">
            <v>Lê Thu Hà</v>
          </cell>
          <cell r="J143">
            <v>0</v>
          </cell>
          <cell r="M143" t="str">
            <v>Nghỉ hộ sản hưởng chế độ BHXH từ 9/3/2024</v>
          </cell>
        </row>
        <row r="144">
          <cell r="H144" t="str">
            <v>Ôn Thị Ngọc Thảo</v>
          </cell>
          <cell r="J144">
            <v>19</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19</v>
          </cell>
          <cell r="M150">
            <v>0</v>
          </cell>
        </row>
        <row r="151">
          <cell r="H151" t="str">
            <v>Nguyễn Anh Kiệt</v>
          </cell>
          <cell r="J151">
            <v>19</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0</v>
          </cell>
          <cell r="M154" t="str">
            <v>Nghỉ hộ sản hưởng chế độ BHXH từ 12/12/2023</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19</v>
          </cell>
          <cell r="M158">
            <v>0</v>
          </cell>
        </row>
        <row r="159">
          <cell r="H159" t="str">
            <v>Trần Văn Lượng</v>
          </cell>
          <cell r="J159">
            <v>19</v>
          </cell>
          <cell r="M159">
            <v>0</v>
          </cell>
        </row>
        <row r="160">
          <cell r="H160" t="str">
            <v>Trần Việt Khánh</v>
          </cell>
          <cell r="J160">
            <v>19</v>
          </cell>
          <cell r="M160">
            <v>0</v>
          </cell>
        </row>
        <row r="161">
          <cell r="H161" t="str">
            <v>Vũ Thị Thái Linh</v>
          </cell>
          <cell r="J161">
            <v>19</v>
          </cell>
          <cell r="M161">
            <v>0</v>
          </cell>
        </row>
        <row r="162">
          <cell r="H162" t="str">
            <v>Nguyễn Sanh Cường</v>
          </cell>
          <cell r="J162">
            <v>19</v>
          </cell>
          <cell r="M162">
            <v>0</v>
          </cell>
        </row>
        <row r="163">
          <cell r="H163" t="str">
            <v>Lê Quý Hưng Quốc</v>
          </cell>
          <cell r="J163">
            <v>19</v>
          </cell>
          <cell r="M163">
            <v>0</v>
          </cell>
        </row>
        <row r="164">
          <cell r="H164" t="str">
            <v>Bùi Văn Dũng</v>
          </cell>
          <cell r="J164">
            <v>19</v>
          </cell>
          <cell r="M164">
            <v>0</v>
          </cell>
        </row>
        <row r="165">
          <cell r="H165" t="str">
            <v>Nguyễn Văn Minh</v>
          </cell>
          <cell r="J165">
            <v>19</v>
          </cell>
          <cell r="M165">
            <v>0</v>
          </cell>
        </row>
        <row r="166">
          <cell r="H166" t="str">
            <v>Nguyễn Thị Khánh Thư</v>
          </cell>
          <cell r="J166">
            <v>19</v>
          </cell>
          <cell r="M166">
            <v>0</v>
          </cell>
        </row>
        <row r="167">
          <cell r="H167" t="str">
            <v>Đỗ Thị Hải Yến</v>
          </cell>
          <cell r="J167">
            <v>19</v>
          </cell>
          <cell r="M167">
            <v>0</v>
          </cell>
        </row>
        <row r="168">
          <cell r="H168" t="str">
            <v>Lê Hồng Thái</v>
          </cell>
          <cell r="J168">
            <v>19</v>
          </cell>
          <cell r="M168">
            <v>0</v>
          </cell>
        </row>
        <row r="169">
          <cell r="H169" t="str">
            <v>Đặng Ngọc Đoàn</v>
          </cell>
          <cell r="J169">
            <v>19</v>
          </cell>
          <cell r="M169">
            <v>0</v>
          </cell>
        </row>
        <row r="170">
          <cell r="H170" t="str">
            <v>Nguyễn Văn Đôn</v>
          </cell>
          <cell r="J170">
            <v>19</v>
          </cell>
          <cell r="M170">
            <v>0</v>
          </cell>
        </row>
        <row r="171">
          <cell r="H171" t="str">
            <v>Huỳnh Quốc Dũng</v>
          </cell>
          <cell r="J171">
            <v>19</v>
          </cell>
          <cell r="M171">
            <v>0</v>
          </cell>
        </row>
        <row r="172">
          <cell r="H172" t="str">
            <v>Dương Ngọc Vọng</v>
          </cell>
          <cell r="J172">
            <v>19</v>
          </cell>
          <cell r="M172">
            <v>0</v>
          </cell>
        </row>
        <row r="173">
          <cell r="H173" t="str">
            <v>Nguyễn Ngọc Tuyên</v>
          </cell>
          <cell r="J173">
            <v>19</v>
          </cell>
          <cell r="M173">
            <v>0</v>
          </cell>
        </row>
        <row r="174">
          <cell r="H174" t="str">
            <v>Nguyễn Cao Phong</v>
          </cell>
          <cell r="J174">
            <v>19</v>
          </cell>
          <cell r="M174">
            <v>0</v>
          </cell>
        </row>
        <row r="175">
          <cell r="H175" t="str">
            <v>Mai Chiếm Tuấn</v>
          </cell>
          <cell r="J175">
            <v>19</v>
          </cell>
          <cell r="M175">
            <v>0</v>
          </cell>
        </row>
        <row r="176">
          <cell r="H176" t="str">
            <v>Đỗ Tuấn Việt</v>
          </cell>
          <cell r="J176">
            <v>19</v>
          </cell>
          <cell r="M176">
            <v>0</v>
          </cell>
        </row>
        <row r="177">
          <cell r="H177" t="str">
            <v>Trần Vĩnh Xuyên</v>
          </cell>
          <cell r="J177">
            <v>19</v>
          </cell>
          <cell r="M177">
            <v>0</v>
          </cell>
        </row>
        <row r="178">
          <cell r="H178" t="str">
            <v>Đào Lê Phương Anh</v>
          </cell>
          <cell r="J178">
            <v>19</v>
          </cell>
          <cell r="M178">
            <v>0</v>
          </cell>
        </row>
        <row r="179">
          <cell r="H179" t="str">
            <v>Nguyễn Duy Lộc</v>
          </cell>
          <cell r="J179">
            <v>19</v>
          </cell>
          <cell r="M179">
            <v>0</v>
          </cell>
        </row>
        <row r="180">
          <cell r="H180" t="str">
            <v>Chung Trần Thế Vinh</v>
          </cell>
          <cell r="J180">
            <v>22</v>
          </cell>
          <cell r="M180">
            <v>0</v>
          </cell>
        </row>
        <row r="181">
          <cell r="H181" t="str">
            <v>Đỗ Thị Phương Khanh</v>
          </cell>
          <cell r="J181">
            <v>20</v>
          </cell>
          <cell r="M181">
            <v>0</v>
          </cell>
        </row>
        <row r="182">
          <cell r="H182" t="str">
            <v>Trương Thị Phương Hồng</v>
          </cell>
          <cell r="J182">
            <v>19</v>
          </cell>
          <cell r="M182">
            <v>0</v>
          </cell>
        </row>
        <row r="183">
          <cell r="H183" t="str">
            <v>Dương Minh Chung</v>
          </cell>
          <cell r="J183">
            <v>19</v>
          </cell>
          <cell r="M183">
            <v>0</v>
          </cell>
        </row>
        <row r="184">
          <cell r="H184" t="str">
            <v>Phan Văn Thành</v>
          </cell>
          <cell r="J184">
            <v>19</v>
          </cell>
          <cell r="M184">
            <v>0</v>
          </cell>
        </row>
        <row r="185">
          <cell r="H185" t="str">
            <v>Vũ Đức Pháp</v>
          </cell>
          <cell r="J185">
            <v>19</v>
          </cell>
          <cell r="M185">
            <v>0</v>
          </cell>
        </row>
        <row r="186">
          <cell r="H186" t="str">
            <v>Vũ Quang Khải</v>
          </cell>
          <cell r="J186">
            <v>19</v>
          </cell>
          <cell r="M186">
            <v>0</v>
          </cell>
        </row>
        <row r="187">
          <cell r="H187" t="str">
            <v>Nguyễn Thanh Vũ</v>
          </cell>
          <cell r="J187">
            <v>19</v>
          </cell>
          <cell r="M187">
            <v>0</v>
          </cell>
        </row>
        <row r="188">
          <cell r="H188" t="str">
            <v>Phan Thị Xuân Trang</v>
          </cell>
          <cell r="J188">
            <v>19</v>
          </cell>
          <cell r="M188">
            <v>0</v>
          </cell>
        </row>
        <row r="189">
          <cell r="H189" t="str">
            <v>Trần Đình Khải</v>
          </cell>
          <cell r="J189">
            <v>19</v>
          </cell>
          <cell r="M189">
            <v>0</v>
          </cell>
        </row>
        <row r="190">
          <cell r="H190" t="str">
            <v>Lư Thị Yến Vũ</v>
          </cell>
          <cell r="J190">
            <v>19</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19</v>
          </cell>
          <cell r="M195">
            <v>0</v>
          </cell>
        </row>
        <row r="196">
          <cell r="H196" t="str">
            <v>Trần Thị Hương</v>
          </cell>
          <cell r="J196">
            <v>20</v>
          </cell>
          <cell r="M196">
            <v>0</v>
          </cell>
        </row>
        <row r="197">
          <cell r="H197" t="str">
            <v>Trần Minh Thông</v>
          </cell>
          <cell r="J197">
            <v>19</v>
          </cell>
          <cell r="M197">
            <v>0</v>
          </cell>
        </row>
        <row r="198">
          <cell r="H198" t="str">
            <v>Nguyễn Thanh Vĩnh Phúc</v>
          </cell>
          <cell r="J198">
            <v>20</v>
          </cell>
          <cell r="M198">
            <v>0</v>
          </cell>
        </row>
        <row r="199">
          <cell r="H199" t="str">
            <v>Võ Minh Quang</v>
          </cell>
          <cell r="J199">
            <v>19</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19</v>
          </cell>
          <cell r="M202">
            <v>0</v>
          </cell>
        </row>
        <row r="203">
          <cell r="H203" t="str">
            <v>Nguyễn Văn Sơn</v>
          </cell>
          <cell r="J203">
            <v>19</v>
          </cell>
          <cell r="M203">
            <v>0</v>
          </cell>
        </row>
        <row r="204">
          <cell r="H204" t="str">
            <v>Nguyễn Khắc Huy</v>
          </cell>
          <cell r="J204">
            <v>19</v>
          </cell>
          <cell r="M204">
            <v>0</v>
          </cell>
        </row>
        <row r="205">
          <cell r="H205" t="str">
            <v>Võ Hoài Sơn</v>
          </cell>
          <cell r="J205">
            <v>20</v>
          </cell>
          <cell r="M205">
            <v>0</v>
          </cell>
        </row>
        <row r="206">
          <cell r="H206" t="str">
            <v>Nguyễn Thị Xuân Chinh</v>
          </cell>
          <cell r="J206">
            <v>19</v>
          </cell>
          <cell r="M206">
            <v>0</v>
          </cell>
        </row>
        <row r="207">
          <cell r="H207" t="str">
            <v>Nguyễn Duy Tân</v>
          </cell>
          <cell r="J207">
            <v>20</v>
          </cell>
          <cell r="M207">
            <v>0</v>
          </cell>
        </row>
        <row r="208">
          <cell r="H208" t="str">
            <v>Nguyễn Ngọc Hiệp</v>
          </cell>
          <cell r="J208">
            <v>19</v>
          </cell>
          <cell r="M208">
            <v>0</v>
          </cell>
        </row>
        <row r="209">
          <cell r="H209" t="str">
            <v>Tạ Minh Cường</v>
          </cell>
          <cell r="J209">
            <v>19</v>
          </cell>
          <cell r="M209">
            <v>0</v>
          </cell>
        </row>
        <row r="210">
          <cell r="H210" t="str">
            <v>Phạm Minh Nghĩa</v>
          </cell>
          <cell r="J210">
            <v>19</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19</v>
          </cell>
          <cell r="M213">
            <v>0</v>
          </cell>
        </row>
        <row r="214">
          <cell r="H214" t="str">
            <v>Lê Thế Huân</v>
          </cell>
          <cell r="J214">
            <v>19</v>
          </cell>
          <cell r="M214">
            <v>0</v>
          </cell>
        </row>
        <row r="215">
          <cell r="H215" t="str">
            <v>Trần Trung Hiếu</v>
          </cell>
          <cell r="J215">
            <v>19</v>
          </cell>
          <cell r="M215">
            <v>0</v>
          </cell>
        </row>
        <row r="216">
          <cell r="H216" t="str">
            <v>Trần Nguyên Bảo Trân</v>
          </cell>
          <cell r="J216">
            <v>19</v>
          </cell>
          <cell r="M216">
            <v>0</v>
          </cell>
        </row>
        <row r="217">
          <cell r="H217" t="str">
            <v>Mạnh Lê Hoàn</v>
          </cell>
          <cell r="J217">
            <v>19</v>
          </cell>
          <cell r="M217">
            <v>0</v>
          </cell>
        </row>
        <row r="218">
          <cell r="H218" t="str">
            <v>Ngô Hoàng Anh</v>
          </cell>
          <cell r="J218">
            <v>19</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19</v>
          </cell>
          <cell r="M221">
            <v>0</v>
          </cell>
        </row>
        <row r="222">
          <cell r="H222" t="str">
            <v>Nguyễn Minh Đức Cường</v>
          </cell>
          <cell r="J222">
            <v>19</v>
          </cell>
          <cell r="M222">
            <v>0</v>
          </cell>
        </row>
        <row r="223">
          <cell r="H223" t="str">
            <v>Huỳnh Ngọc Mai</v>
          </cell>
          <cell r="J223">
            <v>19</v>
          </cell>
          <cell r="M223">
            <v>0</v>
          </cell>
        </row>
        <row r="224">
          <cell r="H224" t="str">
            <v>Nguyễn Hồng Đức</v>
          </cell>
          <cell r="J224">
            <v>19</v>
          </cell>
          <cell r="M224">
            <v>0</v>
          </cell>
        </row>
        <row r="225">
          <cell r="H225" t="str">
            <v>Trần Công Tiến</v>
          </cell>
          <cell r="J225">
            <v>20</v>
          </cell>
          <cell r="M225">
            <v>0</v>
          </cell>
        </row>
        <row r="226">
          <cell r="H226" t="str">
            <v>Nguyễn Trần Thanh Nhàn</v>
          </cell>
          <cell r="J226">
            <v>19</v>
          </cell>
          <cell r="M226">
            <v>0</v>
          </cell>
        </row>
        <row r="227">
          <cell r="H227" t="str">
            <v>Tăng Cẩm Huê</v>
          </cell>
          <cell r="J227">
            <v>19</v>
          </cell>
          <cell r="M227">
            <v>0</v>
          </cell>
        </row>
        <row r="228">
          <cell r="H228" t="str">
            <v>Trần Hiếu Trinh</v>
          </cell>
          <cell r="J228">
            <v>20</v>
          </cell>
          <cell r="M228">
            <v>0</v>
          </cell>
        </row>
        <row r="229">
          <cell r="H229" t="str">
            <v>Nguyễn Thị Tố Nga</v>
          </cell>
          <cell r="J229">
            <v>19</v>
          </cell>
          <cell r="M229">
            <v>0</v>
          </cell>
        </row>
        <row r="230">
          <cell r="H230" t="str">
            <v>Đặng Đức Minh</v>
          </cell>
          <cell r="J230">
            <v>19</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19</v>
          </cell>
          <cell r="M233">
            <v>0</v>
          </cell>
        </row>
        <row r="234">
          <cell r="H234" t="str">
            <v>Trần Nam Anh</v>
          </cell>
          <cell r="J234">
            <v>19</v>
          </cell>
          <cell r="M234">
            <v>0</v>
          </cell>
        </row>
        <row r="235">
          <cell r="H235" t="str">
            <v>Trần Giang Nam</v>
          </cell>
          <cell r="J235">
            <v>20</v>
          </cell>
          <cell r="M235">
            <v>0</v>
          </cell>
        </row>
        <row r="236">
          <cell r="H236" t="str">
            <v>Phan Thanh Hoàng</v>
          </cell>
          <cell r="J236">
            <v>20</v>
          </cell>
          <cell r="M236">
            <v>0</v>
          </cell>
        </row>
        <row r="237">
          <cell r="H237" t="str">
            <v>Huỳnh Duy An</v>
          </cell>
          <cell r="J237">
            <v>19</v>
          </cell>
          <cell r="M237">
            <v>0</v>
          </cell>
        </row>
        <row r="238">
          <cell r="H238" t="str">
            <v>Nguyễn Khương Thành</v>
          </cell>
          <cell r="J238">
            <v>19</v>
          </cell>
          <cell r="M238">
            <v>0</v>
          </cell>
        </row>
        <row r="239">
          <cell r="H239" t="str">
            <v>Nguyễn Anh Tuấn</v>
          </cell>
          <cell r="J239">
            <v>19</v>
          </cell>
          <cell r="M239">
            <v>0</v>
          </cell>
        </row>
        <row r="240">
          <cell r="H240" t="str">
            <v>Võ Đắc Thịnh</v>
          </cell>
          <cell r="J240">
            <v>19</v>
          </cell>
          <cell r="M240">
            <v>0</v>
          </cell>
        </row>
        <row r="241">
          <cell r="H241" t="str">
            <v>Nguyễn Hữu Mạnh</v>
          </cell>
          <cell r="J241">
            <v>19</v>
          </cell>
          <cell r="M241">
            <v>0</v>
          </cell>
        </row>
        <row r="242">
          <cell r="H242" t="str">
            <v>Phan Anh Tuấn Kiệt</v>
          </cell>
          <cell r="J242">
            <v>19</v>
          </cell>
          <cell r="M242">
            <v>0</v>
          </cell>
        </row>
        <row r="243">
          <cell r="H243" t="str">
            <v>Triệu Phú Nguyên</v>
          </cell>
          <cell r="J243">
            <v>19</v>
          </cell>
          <cell r="M243">
            <v>0</v>
          </cell>
        </row>
        <row r="244">
          <cell r="H244" t="str">
            <v>Nguyễn Thành Đức</v>
          </cell>
          <cell r="J244">
            <v>19</v>
          </cell>
          <cell r="M244">
            <v>0</v>
          </cell>
        </row>
        <row r="245">
          <cell r="H245" t="str">
            <v>Nguyễn Minh Thái</v>
          </cell>
          <cell r="J245">
            <v>19</v>
          </cell>
          <cell r="M245">
            <v>0</v>
          </cell>
        </row>
        <row r="246">
          <cell r="H246" t="str">
            <v>Đặng Thái Sơn</v>
          </cell>
          <cell r="J246">
            <v>19</v>
          </cell>
          <cell r="M246">
            <v>0</v>
          </cell>
        </row>
        <row r="247">
          <cell r="H247" t="str">
            <v>Nguyễn Thái Bình</v>
          </cell>
          <cell r="J247">
            <v>19</v>
          </cell>
          <cell r="M247">
            <v>0</v>
          </cell>
        </row>
        <row r="248">
          <cell r="H248" t="str">
            <v>Kiều Trung Tín</v>
          </cell>
          <cell r="J248">
            <v>19</v>
          </cell>
          <cell r="M248">
            <v>0</v>
          </cell>
        </row>
        <row r="249">
          <cell r="H249" t="str">
            <v>Trần Quốc Duy</v>
          </cell>
          <cell r="J249">
            <v>19</v>
          </cell>
          <cell r="M249">
            <v>0</v>
          </cell>
        </row>
        <row r="250">
          <cell r="H250" t="str">
            <v>Hồ Văn Hóa</v>
          </cell>
          <cell r="J250">
            <v>19</v>
          </cell>
          <cell r="M250">
            <v>0</v>
          </cell>
        </row>
        <row r="251">
          <cell r="H251" t="str">
            <v>Nguyễn Thanh Hùng</v>
          </cell>
          <cell r="J251">
            <v>19</v>
          </cell>
          <cell r="M251">
            <v>0</v>
          </cell>
        </row>
        <row r="252">
          <cell r="H252" t="str">
            <v>Hà Quốc Bảo</v>
          </cell>
          <cell r="J252">
            <v>19</v>
          </cell>
          <cell r="M252">
            <v>0</v>
          </cell>
        </row>
        <row r="253">
          <cell r="H253" t="str">
            <v>Hoàng Phúc Bảo</v>
          </cell>
          <cell r="J253">
            <v>19</v>
          </cell>
          <cell r="M253">
            <v>0</v>
          </cell>
        </row>
        <row r="254">
          <cell r="H254" t="str">
            <v>Nguyễn Lương Tâm</v>
          </cell>
          <cell r="J254">
            <v>19</v>
          </cell>
          <cell r="M254">
            <v>0</v>
          </cell>
        </row>
        <row r="255">
          <cell r="H255" t="str">
            <v>Trần Thế Sơn</v>
          </cell>
          <cell r="J255">
            <v>19</v>
          </cell>
          <cell r="M255">
            <v>0</v>
          </cell>
        </row>
        <row r="256">
          <cell r="H256" t="str">
            <v>Trần Văn Đông</v>
          </cell>
          <cell r="J256">
            <v>19</v>
          </cell>
          <cell r="M256">
            <v>0</v>
          </cell>
        </row>
        <row r="257">
          <cell r="H257" t="str">
            <v>Lý Văn Trung</v>
          </cell>
          <cell r="J257">
            <v>19</v>
          </cell>
          <cell r="M257">
            <v>0</v>
          </cell>
        </row>
        <row r="258">
          <cell r="H258" t="str">
            <v>Đỗ Hoàng Duy</v>
          </cell>
          <cell r="J258">
            <v>19</v>
          </cell>
          <cell r="M258">
            <v>0</v>
          </cell>
        </row>
        <row r="259">
          <cell r="H259" t="str">
            <v>Nguyễn Hoàng Vinh</v>
          </cell>
          <cell r="J259">
            <v>19</v>
          </cell>
          <cell r="M259">
            <v>0</v>
          </cell>
        </row>
        <row r="260">
          <cell r="H260" t="str">
            <v>Bùi Trọng Tân</v>
          </cell>
          <cell r="J260">
            <v>19</v>
          </cell>
          <cell r="M260">
            <v>0</v>
          </cell>
        </row>
        <row r="261">
          <cell r="H261" t="str">
            <v>Võ Quốc Duy</v>
          </cell>
          <cell r="J261">
            <v>19</v>
          </cell>
          <cell r="M261">
            <v>0</v>
          </cell>
        </row>
        <row r="262">
          <cell r="H262" t="str">
            <v>Giang Văn Tiến</v>
          </cell>
          <cell r="J262">
            <v>19</v>
          </cell>
          <cell r="M262">
            <v>0</v>
          </cell>
        </row>
        <row r="263">
          <cell r="H263" t="str">
            <v>Nguyễn Hữu Lương</v>
          </cell>
          <cell r="J263">
            <v>19</v>
          </cell>
          <cell r="M263">
            <v>0</v>
          </cell>
        </row>
        <row r="264">
          <cell r="H264" t="str">
            <v>Huỳnh Đình Văn</v>
          </cell>
          <cell r="J264">
            <v>19</v>
          </cell>
          <cell r="M264">
            <v>0</v>
          </cell>
        </row>
        <row r="265">
          <cell r="H265" t="str">
            <v>Phạm Quang Vũ</v>
          </cell>
          <cell r="J265">
            <v>19</v>
          </cell>
          <cell r="M265">
            <v>0</v>
          </cell>
        </row>
        <row r="266">
          <cell r="H266" t="str">
            <v>Trình Minh Phong</v>
          </cell>
          <cell r="J266">
            <v>20</v>
          </cell>
          <cell r="M266">
            <v>0</v>
          </cell>
        </row>
        <row r="267">
          <cell r="H267" t="str">
            <v>Trần Ngọc Tuấn</v>
          </cell>
          <cell r="J267">
            <v>20</v>
          </cell>
          <cell r="M267">
            <v>0</v>
          </cell>
        </row>
        <row r="268">
          <cell r="H268" t="str">
            <v>Đinh Đồng Hiệp</v>
          </cell>
          <cell r="J268">
            <v>19</v>
          </cell>
          <cell r="M268">
            <v>0</v>
          </cell>
        </row>
        <row r="269">
          <cell r="H269" t="str">
            <v>Đặng Thế Huân</v>
          </cell>
          <cell r="J269">
            <v>19</v>
          </cell>
          <cell r="M269">
            <v>0</v>
          </cell>
        </row>
        <row r="270">
          <cell r="H270" t="str">
            <v>Võ Anh Hào</v>
          </cell>
          <cell r="J270">
            <v>19</v>
          </cell>
          <cell r="M270">
            <v>0</v>
          </cell>
        </row>
        <row r="271">
          <cell r="H271" t="str">
            <v>Phan Văn Hòa</v>
          </cell>
          <cell r="J271">
            <v>19</v>
          </cell>
          <cell r="M271">
            <v>0</v>
          </cell>
        </row>
        <row r="272">
          <cell r="H272" t="str">
            <v>Trần Đình Khoa</v>
          </cell>
          <cell r="J272">
            <v>19</v>
          </cell>
          <cell r="M272">
            <v>0</v>
          </cell>
        </row>
        <row r="273">
          <cell r="H273" t="str">
            <v>Đỗ Trọng Quý</v>
          </cell>
          <cell r="J273">
            <v>20</v>
          </cell>
          <cell r="M273">
            <v>0</v>
          </cell>
        </row>
        <row r="274">
          <cell r="H274" t="str">
            <v>Nguyễn Vũ Xuân Thì</v>
          </cell>
          <cell r="J274">
            <v>20</v>
          </cell>
          <cell r="M274">
            <v>0</v>
          </cell>
        </row>
        <row r="275">
          <cell r="H275" t="str">
            <v>Hoàng Văn Viết</v>
          </cell>
          <cell r="J275">
            <v>20</v>
          </cell>
          <cell r="M275">
            <v>0</v>
          </cell>
        </row>
        <row r="276">
          <cell r="H276" t="str">
            <v>Nguyễn Thanh Dũng</v>
          </cell>
          <cell r="J276">
            <v>19</v>
          </cell>
          <cell r="M276">
            <v>0</v>
          </cell>
        </row>
      </sheetData>
      <sheetData sheetId="1"/>
      <sheetData sheetId="2">
        <row r="10">
          <cell r="H10" t="str">
            <v>Đồng Anh Tuấn</v>
          </cell>
          <cell r="J10">
            <v>23</v>
          </cell>
          <cell r="M10" t="str">
            <v>Trừ 1 ngày nghỉ phép 23/4</v>
          </cell>
        </row>
        <row r="11">
          <cell r="H11" t="str">
            <v>Lê Hồng Sơn</v>
          </cell>
          <cell r="J11">
            <v>22</v>
          </cell>
          <cell r="M11" t="str">
            <v>Trừ 2 ngày nghỉ phép 11+27/4</v>
          </cell>
        </row>
        <row r="12">
          <cell r="H12" t="str">
            <v>Nguyễn Thanh Hiền</v>
          </cell>
          <cell r="J12">
            <v>23</v>
          </cell>
          <cell r="M12" t="str">
            <v>Trừ 1 ngày nghỉ phép 15/4</v>
          </cell>
        </row>
        <row r="13">
          <cell r="H13" t="str">
            <v>Lê Hồng Phúc</v>
          </cell>
          <cell r="J13">
            <v>23</v>
          </cell>
          <cell r="M13" t="str">
            <v>Trừ 1 ngày nghỉ phép 27/4</v>
          </cell>
        </row>
        <row r="14">
          <cell r="H14" t="str">
            <v>Phạm Hữu Tấn</v>
          </cell>
          <cell r="J14">
            <v>25</v>
          </cell>
          <cell r="M14">
            <v>0</v>
          </cell>
        </row>
        <row r="15">
          <cell r="H15" t="str">
            <v>Nguyễn Hữu Xuân Vũ</v>
          </cell>
          <cell r="J15">
            <v>23</v>
          </cell>
          <cell r="M15" t="str">
            <v>Trừ 1 ngày nghỉ phép 3/4</v>
          </cell>
        </row>
        <row r="16">
          <cell r="H16" t="str">
            <v>Phạm Hữu Thành Phú</v>
          </cell>
          <cell r="J16">
            <v>23</v>
          </cell>
          <cell r="M16" t="str">
            <v>Trừ 1 ngày nghỉ phép 17/4</v>
          </cell>
        </row>
        <row r="17">
          <cell r="H17" t="str">
            <v>Huỳnh Thanh Nhàn</v>
          </cell>
          <cell r="J17">
            <v>23</v>
          </cell>
          <cell r="M17" t="str">
            <v>Trừ 1 ngày nghỉ phép 29/4</v>
          </cell>
        </row>
        <row r="18">
          <cell r="H18" t="str">
            <v>Phạm Quang Tùng</v>
          </cell>
          <cell r="J18">
            <v>25</v>
          </cell>
          <cell r="M18">
            <v>0</v>
          </cell>
        </row>
        <row r="19">
          <cell r="H19" t="str">
            <v>Trần Thanh Cường</v>
          </cell>
          <cell r="J19">
            <v>24</v>
          </cell>
          <cell r="M19" t="str">
            <v>Trừ 1 ngày nghỉ bù 29/4</v>
          </cell>
        </row>
        <row r="20">
          <cell r="H20" t="str">
            <v>Dương Văn Tâm</v>
          </cell>
          <cell r="J20">
            <v>24</v>
          </cell>
          <cell r="M20">
            <v>0</v>
          </cell>
        </row>
        <row r="21">
          <cell r="H21" t="str">
            <v>Huỳnh Ngọc Liên</v>
          </cell>
          <cell r="J21">
            <v>22</v>
          </cell>
          <cell r="M21">
            <v>0</v>
          </cell>
        </row>
        <row r="22">
          <cell r="H22" t="str">
            <v>Huỳnh Thị Xuân Mai</v>
          </cell>
          <cell r="J22">
            <v>22</v>
          </cell>
          <cell r="M22">
            <v>0</v>
          </cell>
        </row>
        <row r="23">
          <cell r="H23" t="str">
            <v>Trần Văn Cu Anh</v>
          </cell>
          <cell r="J23">
            <v>24</v>
          </cell>
          <cell r="M23">
            <v>0</v>
          </cell>
        </row>
        <row r="24">
          <cell r="H24" t="str">
            <v>Vũ Anh Hiếu</v>
          </cell>
          <cell r="J24">
            <v>22</v>
          </cell>
          <cell r="M24" t="str">
            <v>Trừ 2 ngày nghỉ phép 4+16/4</v>
          </cell>
        </row>
        <row r="25">
          <cell r="H25" t="str">
            <v>Dương Thị Thủy</v>
          </cell>
          <cell r="J25">
            <v>22</v>
          </cell>
          <cell r="M25">
            <v>0</v>
          </cell>
        </row>
        <row r="26">
          <cell r="H26" t="str">
            <v>Tạ Quốc Tấn</v>
          </cell>
          <cell r="J26">
            <v>22</v>
          </cell>
          <cell r="M26">
            <v>0</v>
          </cell>
        </row>
        <row r="27">
          <cell r="H27" t="str">
            <v>Huỳnh Bá Triết</v>
          </cell>
          <cell r="J27">
            <v>22</v>
          </cell>
          <cell r="M27">
            <v>0</v>
          </cell>
        </row>
        <row r="28">
          <cell r="H28" t="str">
            <v>Giáp Đức Nhận</v>
          </cell>
          <cell r="J28">
            <v>20</v>
          </cell>
          <cell r="M28" t="str">
            <v>Trừ 2 ngày nghỉ phép 23+24/4</v>
          </cell>
        </row>
        <row r="29">
          <cell r="H29" t="str">
            <v>Trần Thị Thu</v>
          </cell>
          <cell r="J29">
            <v>22</v>
          </cell>
          <cell r="M29">
            <v>0</v>
          </cell>
        </row>
        <row r="30">
          <cell r="H30" t="str">
            <v>Đỗ Thị Bích Thủy</v>
          </cell>
          <cell r="J30">
            <v>22</v>
          </cell>
          <cell r="M30">
            <v>0</v>
          </cell>
        </row>
        <row r="31">
          <cell r="H31" t="str">
            <v>Trịnh Tuấn Vũ</v>
          </cell>
          <cell r="J31">
            <v>22</v>
          </cell>
          <cell r="M31">
            <v>0</v>
          </cell>
        </row>
        <row r="32">
          <cell r="H32" t="str">
            <v>Võ Thị Tuyết</v>
          </cell>
          <cell r="J32">
            <v>23</v>
          </cell>
          <cell r="M32">
            <v>0</v>
          </cell>
        </row>
        <row r="33">
          <cell r="H33" t="str">
            <v>Trần Kim Tươi</v>
          </cell>
          <cell r="J33">
            <v>21</v>
          </cell>
          <cell r="M33" t="str">
            <v>Trừ 1 ngày nghỉ phép 4/4</v>
          </cell>
        </row>
        <row r="34">
          <cell r="H34" t="str">
            <v>Trương Thị Định</v>
          </cell>
          <cell r="J34">
            <v>22</v>
          </cell>
          <cell r="M34">
            <v>0</v>
          </cell>
        </row>
        <row r="35">
          <cell r="H35" t="str">
            <v>Trương Thị Bắc</v>
          </cell>
          <cell r="J35">
            <v>22</v>
          </cell>
          <cell r="M35">
            <v>0</v>
          </cell>
        </row>
        <row r="36">
          <cell r="H36" t="str">
            <v>Võ Tấn Đức</v>
          </cell>
          <cell r="J36">
            <v>22</v>
          </cell>
          <cell r="M36">
            <v>0</v>
          </cell>
        </row>
        <row r="37">
          <cell r="H37" t="str">
            <v>Ngô Ngọc Của</v>
          </cell>
          <cell r="J37">
            <v>23</v>
          </cell>
          <cell r="M37">
            <v>0</v>
          </cell>
        </row>
        <row r="38">
          <cell r="H38" t="str">
            <v>Phạm Thị Hoàng Diễm</v>
          </cell>
          <cell r="J38">
            <v>24</v>
          </cell>
          <cell r="M38">
            <v>0</v>
          </cell>
        </row>
        <row r="39">
          <cell r="H39" t="str">
            <v>Nguyễn Văn Hiển</v>
          </cell>
          <cell r="J39">
            <v>22</v>
          </cell>
          <cell r="M39">
            <v>0</v>
          </cell>
        </row>
        <row r="40">
          <cell r="H40" t="str">
            <v>Trần Thanh Phương</v>
          </cell>
          <cell r="J40">
            <v>22</v>
          </cell>
          <cell r="M40">
            <v>0</v>
          </cell>
        </row>
        <row r="41">
          <cell r="H41" t="str">
            <v>Lâm Võ Hữu Duy</v>
          </cell>
          <cell r="J41">
            <v>5</v>
          </cell>
          <cell r="M41" t="str">
            <v>HĐ Thử việc từ ngày 22/4 đến ngày 30/4</v>
          </cell>
        </row>
        <row r="42">
          <cell r="H42" t="str">
            <v>Lê Thị Huyền</v>
          </cell>
          <cell r="J42">
            <v>22</v>
          </cell>
          <cell r="M42">
            <v>0</v>
          </cell>
        </row>
        <row r="43">
          <cell r="H43" t="str">
            <v>Trần Thị Thảo Vân</v>
          </cell>
          <cell r="J43">
            <v>22</v>
          </cell>
          <cell r="M43">
            <v>0</v>
          </cell>
        </row>
        <row r="44">
          <cell r="H44" t="str">
            <v>Nguyễn Thụy Nghiêm</v>
          </cell>
          <cell r="J44">
            <v>22</v>
          </cell>
          <cell r="M44">
            <v>0</v>
          </cell>
        </row>
        <row r="45">
          <cell r="H45" t="str">
            <v>Huỳnh Như Ý</v>
          </cell>
          <cell r="J45">
            <v>22</v>
          </cell>
          <cell r="M45">
            <v>0</v>
          </cell>
        </row>
        <row r="46">
          <cell r="H46" t="str">
            <v>Nguyễn Chiến Thắng</v>
          </cell>
          <cell r="J46">
            <v>23</v>
          </cell>
          <cell r="M46">
            <v>0</v>
          </cell>
        </row>
        <row r="47">
          <cell r="H47" t="str">
            <v>Huỳnh Văn Hiếu</v>
          </cell>
          <cell r="J47">
            <v>23</v>
          </cell>
          <cell r="M47">
            <v>0</v>
          </cell>
        </row>
        <row r="48">
          <cell r="H48" t="str">
            <v>Trần Anh Mỹ</v>
          </cell>
          <cell r="J48">
            <v>23</v>
          </cell>
          <cell r="M48">
            <v>0</v>
          </cell>
        </row>
        <row r="49">
          <cell r="H49" t="str">
            <v>Nguyễn Trung Dũng</v>
          </cell>
          <cell r="J49">
            <v>23</v>
          </cell>
          <cell r="M49">
            <v>0</v>
          </cell>
        </row>
        <row r="50">
          <cell r="H50" t="str">
            <v>Phạm Huy Hoàng</v>
          </cell>
          <cell r="J50">
            <v>22</v>
          </cell>
          <cell r="M50">
            <v>0</v>
          </cell>
        </row>
        <row r="51">
          <cell r="H51" t="str">
            <v>Bùi Đức Phước</v>
          </cell>
          <cell r="J51">
            <v>21</v>
          </cell>
          <cell r="M51" t="str">
            <v>Trừ 1 ngày nghỉ phép 16/4</v>
          </cell>
        </row>
        <row r="52">
          <cell r="H52" t="str">
            <v>Nguyễn Thị Thảo</v>
          </cell>
          <cell r="J52">
            <v>21</v>
          </cell>
          <cell r="M52" t="str">
            <v>Trừ 1 ngày nghỉ phép 19/4</v>
          </cell>
        </row>
        <row r="53">
          <cell r="H53" t="str">
            <v>Lưu Hoàng Bảo Châu</v>
          </cell>
          <cell r="J53">
            <v>23</v>
          </cell>
          <cell r="M53">
            <v>0</v>
          </cell>
        </row>
        <row r="54">
          <cell r="H54" t="str">
            <v>Trần Việt Anh</v>
          </cell>
          <cell r="J54">
            <v>23</v>
          </cell>
          <cell r="M54">
            <v>0</v>
          </cell>
        </row>
        <row r="55">
          <cell r="H55" t="str">
            <v>Phạm Huỳnh Kim Ngân</v>
          </cell>
          <cell r="J55">
            <v>23</v>
          </cell>
          <cell r="M55">
            <v>0</v>
          </cell>
        </row>
        <row r="56">
          <cell r="H56" t="str">
            <v>Nguyễn Đan Trường</v>
          </cell>
          <cell r="J56">
            <v>24</v>
          </cell>
          <cell r="M56">
            <v>0</v>
          </cell>
        </row>
        <row r="57">
          <cell r="H57" t="str">
            <v>Lương Công Phi</v>
          </cell>
          <cell r="J57">
            <v>22</v>
          </cell>
          <cell r="M57">
            <v>0</v>
          </cell>
        </row>
        <row r="58">
          <cell r="H58" t="str">
            <v>Nguyễn Yến Nhi</v>
          </cell>
          <cell r="J58">
            <v>22</v>
          </cell>
          <cell r="M58">
            <v>0</v>
          </cell>
        </row>
        <row r="59">
          <cell r="H59" t="str">
            <v>Nguyễn Khắc Huân</v>
          </cell>
          <cell r="J59">
            <v>22</v>
          </cell>
          <cell r="M59">
            <v>0</v>
          </cell>
        </row>
        <row r="60">
          <cell r="H60" t="str">
            <v>Nguyễn Thị Trang</v>
          </cell>
          <cell r="J60">
            <v>22</v>
          </cell>
          <cell r="M60">
            <v>0</v>
          </cell>
        </row>
        <row r="61">
          <cell r="H61" t="str">
            <v>Lư Diễm Phúc</v>
          </cell>
          <cell r="J61">
            <v>22</v>
          </cell>
          <cell r="M61">
            <v>0</v>
          </cell>
        </row>
        <row r="62">
          <cell r="H62" t="str">
            <v>Hà Thị Hậu</v>
          </cell>
          <cell r="J62">
            <v>20</v>
          </cell>
          <cell r="M62" t="str">
            <v>Trừ 2 ngày nghỉ phép 5+6/4</v>
          </cell>
        </row>
        <row r="63">
          <cell r="H63" t="str">
            <v>Lê Tiến Dũng</v>
          </cell>
          <cell r="J63">
            <v>22</v>
          </cell>
          <cell r="M63">
            <v>0</v>
          </cell>
        </row>
        <row r="64">
          <cell r="H64" t="str">
            <v>Lê Trần Thanh Nga</v>
          </cell>
          <cell r="J64">
            <v>22</v>
          </cell>
          <cell r="M64">
            <v>0</v>
          </cell>
        </row>
        <row r="65">
          <cell r="H65" t="str">
            <v>Nguyễn Việt Tiến</v>
          </cell>
          <cell r="J65">
            <v>24</v>
          </cell>
          <cell r="M65">
            <v>0</v>
          </cell>
        </row>
        <row r="66">
          <cell r="H66" t="str">
            <v>Nguyễn Thị Tất</v>
          </cell>
          <cell r="J66">
            <v>23</v>
          </cell>
          <cell r="M66">
            <v>0</v>
          </cell>
        </row>
        <row r="67">
          <cell r="H67" t="str">
            <v>Sỹ Thị Chung</v>
          </cell>
          <cell r="J67">
            <v>23</v>
          </cell>
          <cell r="M67">
            <v>0</v>
          </cell>
        </row>
        <row r="68">
          <cell r="H68" t="str">
            <v>Nguyễn Thị Nhung</v>
          </cell>
          <cell r="J68">
            <v>23</v>
          </cell>
          <cell r="M68">
            <v>0</v>
          </cell>
        </row>
        <row r="69">
          <cell r="H69" t="str">
            <v>Trần Nhật Thịnh</v>
          </cell>
          <cell r="J69">
            <v>22</v>
          </cell>
          <cell r="M69">
            <v>0</v>
          </cell>
        </row>
        <row r="70">
          <cell r="H70" t="str">
            <v>Đỗ Công Thành</v>
          </cell>
          <cell r="J70">
            <v>25</v>
          </cell>
          <cell r="M70">
            <v>0</v>
          </cell>
        </row>
        <row r="71">
          <cell r="H71" t="str">
            <v>Lương Thị Thắm</v>
          </cell>
          <cell r="J71">
            <v>22</v>
          </cell>
          <cell r="M71">
            <v>0</v>
          </cell>
        </row>
        <row r="72">
          <cell r="H72" t="str">
            <v>Nguyễn Xuân Lợi</v>
          </cell>
          <cell r="J72">
            <v>22</v>
          </cell>
          <cell r="M72">
            <v>0</v>
          </cell>
        </row>
        <row r="73">
          <cell r="H73" t="str">
            <v>Nguyễn Hoàng Hải</v>
          </cell>
          <cell r="J73">
            <v>25</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A2</v>
          </cell>
          <cell r="E19" t="str">
            <v>A2</v>
          </cell>
        </row>
        <row r="20">
          <cell r="B20" t="str">
            <v>Võ Thị Lệ Trân</v>
          </cell>
          <cell r="C20" t="str">
            <v>01023004</v>
          </cell>
          <cell r="D20" t="str">
            <v>A1</v>
          </cell>
          <cell r="E20" t="str">
            <v>A1</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A2</v>
          </cell>
        </row>
        <row r="31">
          <cell r="B31" t="str">
            <v>Nguyễn Thị Thùy</v>
          </cell>
          <cell r="C31" t="str">
            <v>01022013</v>
          </cell>
          <cell r="D31" t="str">
            <v>A1</v>
          </cell>
          <cell r="E31" t="str">
            <v>A1</v>
          </cell>
        </row>
        <row r="32">
          <cell r="B32" t="str">
            <v>Võ Thị Xuân Thơ</v>
          </cell>
          <cell r="C32" t="str">
            <v>01004003</v>
          </cell>
          <cell r="D32" t="str">
            <v>A1</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A3</v>
          </cell>
          <cell r="E38" t="str">
            <v>A3</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A3</v>
          </cell>
          <cell r="E43" t="str">
            <v>A2</v>
          </cell>
        </row>
        <row r="44">
          <cell r="B44" t="str">
            <v>Nguyễn Thị Nhung</v>
          </cell>
          <cell r="C44" t="str">
            <v>01018006</v>
          </cell>
          <cell r="D44" t="str">
            <v>A2</v>
          </cell>
          <cell r="E44" t="str">
            <v>A2</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A3</v>
          </cell>
          <cell r="E51" t="str">
            <v>A3</v>
          </cell>
        </row>
        <row r="52">
          <cell r="B52" t="str">
            <v>Phan Thị Ngọc Phượng</v>
          </cell>
          <cell r="C52" t="str">
            <v>01002018</v>
          </cell>
          <cell r="D52" t="str">
            <v>A3</v>
          </cell>
          <cell r="E52" t="str">
            <v>A2</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A3</v>
          </cell>
          <cell r="E57" t="str">
            <v>A3</v>
          </cell>
        </row>
        <row r="58">
          <cell r="B58" t="str">
            <v>Thân Thị Nhung</v>
          </cell>
          <cell r="C58" t="str">
            <v>01007005</v>
          </cell>
          <cell r="D58" t="str">
            <v>A3</v>
          </cell>
          <cell r="E58" t="str">
            <v>A2</v>
          </cell>
        </row>
        <row r="59">
          <cell r="B59" t="str">
            <v>Hợp đồng trường</v>
          </cell>
          <cell r="C59">
            <v>0</v>
          </cell>
          <cell r="D59">
            <v>0</v>
          </cell>
          <cell r="E59">
            <v>15</v>
          </cell>
        </row>
        <row r="60">
          <cell r="B60" t="str">
            <v>Huỳnh Thị Xuân Mai</v>
          </cell>
          <cell r="C60" t="str">
            <v>01007006</v>
          </cell>
          <cell r="D60" t="str">
            <v>A3</v>
          </cell>
          <cell r="E60" t="str">
            <v>A2</v>
          </cell>
        </row>
        <row r="61">
          <cell r="B61" t="str">
            <v>Phạm Hữu Tấn</v>
          </cell>
          <cell r="C61" t="str">
            <v>01002023</v>
          </cell>
          <cell r="D61" t="str">
            <v>A4</v>
          </cell>
          <cell r="E61" t="str">
            <v>A2</v>
          </cell>
        </row>
        <row r="62">
          <cell r="B62" t="str">
            <v>Trần Văn Cu Anh</v>
          </cell>
          <cell r="C62" t="str">
            <v>01002007</v>
          </cell>
          <cell r="D62" t="str">
            <v>A3</v>
          </cell>
          <cell r="E62" t="str">
            <v>A3</v>
          </cell>
        </row>
        <row r="63">
          <cell r="B63" t="str">
            <v>Nguyễn Hữu Xuân Vũ</v>
          </cell>
          <cell r="C63" t="str">
            <v>01002010</v>
          </cell>
          <cell r="D63" t="str">
            <v>A4</v>
          </cell>
          <cell r="E63" t="str">
            <v>A4</v>
          </cell>
        </row>
        <row r="64">
          <cell r="B64" t="str">
            <v>Lê Hồng Phúc</v>
          </cell>
          <cell r="C64" t="str">
            <v>01002012</v>
          </cell>
          <cell r="D64" t="str">
            <v>A3</v>
          </cell>
          <cell r="E64" t="str">
            <v>A3</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A4</v>
          </cell>
          <cell r="E69" t="str">
            <v>A4</v>
          </cell>
        </row>
        <row r="70">
          <cell r="B70" t="str">
            <v>Phạm Quang Tùng</v>
          </cell>
          <cell r="C70" t="str">
            <v>01010068</v>
          </cell>
          <cell r="D70" t="str">
            <v>A3</v>
          </cell>
          <cell r="E70" t="str">
            <v>A3</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A2</v>
          </cell>
        </row>
        <row r="78">
          <cell r="B78" t="str">
            <v>Lê Xuân Thiện</v>
          </cell>
          <cell r="C78" t="str">
            <v>01002002</v>
          </cell>
          <cell r="D78" t="str">
            <v>A3</v>
          </cell>
          <cell r="E78" t="str">
            <v>A3</v>
          </cell>
        </row>
        <row r="79">
          <cell r="B79" t="str">
            <v>Nguyễn Thị Kim Anh</v>
          </cell>
          <cell r="C79" t="str">
            <v>01009018</v>
          </cell>
          <cell r="D79" t="str">
            <v>A3</v>
          </cell>
          <cell r="E79" t="str">
            <v>A4</v>
          </cell>
        </row>
        <row r="80">
          <cell r="B80" t="str">
            <v>Phạm Thị Lê Chi</v>
          </cell>
          <cell r="C80" t="str">
            <v>01009010</v>
          </cell>
          <cell r="D80" t="str">
            <v>A3</v>
          </cell>
          <cell r="E80" t="str">
            <v>A4</v>
          </cell>
        </row>
        <row r="81">
          <cell r="B81" t="str">
            <v>Trần Thị Thu Hà</v>
          </cell>
          <cell r="C81" t="str">
            <v>01002004</v>
          </cell>
          <cell r="D81" t="str">
            <v>A2</v>
          </cell>
          <cell r="E81" t="str">
            <v>A3</v>
          </cell>
        </row>
        <row r="82">
          <cell r="B82" t="str">
            <v>Nguyễn Tất Thắng</v>
          </cell>
          <cell r="C82" t="str">
            <v>01009008</v>
          </cell>
          <cell r="D82" t="str">
            <v>A4</v>
          </cell>
          <cell r="E82" t="str">
            <v>A4</v>
          </cell>
        </row>
        <row r="83">
          <cell r="B83" t="str">
            <v>Mai Thu Hương</v>
          </cell>
          <cell r="C83" t="str">
            <v>01007004</v>
          </cell>
          <cell r="D83" t="str">
            <v>A3</v>
          </cell>
          <cell r="E83" t="str">
            <v>A4</v>
          </cell>
        </row>
        <row r="84">
          <cell r="B84" t="str">
            <v>Nguyễn Thùy Dương</v>
          </cell>
          <cell r="C84" t="str">
            <v>01014012</v>
          </cell>
          <cell r="D84" t="str">
            <v>A3</v>
          </cell>
          <cell r="E84" t="str">
            <v>A4</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A3</v>
          </cell>
          <cell r="E87" t="str">
            <v>A4</v>
          </cell>
        </row>
        <row r="88">
          <cell r="B88" t="str">
            <v>Phạm Huy Hoàng</v>
          </cell>
          <cell r="C88" t="str">
            <v>01009011</v>
          </cell>
          <cell r="D88" t="str">
            <v>A3</v>
          </cell>
          <cell r="E88" t="str">
            <v>A4</v>
          </cell>
        </row>
        <row r="89">
          <cell r="B89" t="str">
            <v>Trần Anh Mỹ</v>
          </cell>
          <cell r="C89" t="str">
            <v>01009028</v>
          </cell>
          <cell r="D89" t="str">
            <v>A3</v>
          </cell>
          <cell r="E89" t="str">
            <v>A4</v>
          </cell>
        </row>
        <row r="90">
          <cell r="B90" t="str">
            <v>Bùi Đức Phước</v>
          </cell>
          <cell r="C90" t="str">
            <v>01009026</v>
          </cell>
          <cell r="D90" t="str">
            <v>A3</v>
          </cell>
          <cell r="E90" t="str">
            <v>A2</v>
          </cell>
        </row>
        <row r="91">
          <cell r="B91" t="str">
            <v>Nguyễn Thị Thảo</v>
          </cell>
          <cell r="C91" t="str">
            <v>01007003</v>
          </cell>
          <cell r="D91" t="str">
            <v>A3</v>
          </cell>
          <cell r="E91" t="str">
            <v>A4</v>
          </cell>
        </row>
        <row r="92">
          <cell r="B92" t="str">
            <v>Lưu Hoàng Bảo Châu</v>
          </cell>
          <cell r="C92" t="str">
            <v>01009029</v>
          </cell>
          <cell r="D92" t="str">
            <v>A3</v>
          </cell>
          <cell r="E92" t="str">
            <v>A3</v>
          </cell>
        </row>
        <row r="93">
          <cell r="B93" t="str">
            <v>Trần Việt Anh</v>
          </cell>
          <cell r="C93" t="str">
            <v>01002038</v>
          </cell>
          <cell r="D93" t="str">
            <v>B1</v>
          </cell>
          <cell r="E93" t="str">
            <v>B1</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A3</v>
          </cell>
          <cell r="E100" t="str">
            <v>A3</v>
          </cell>
        </row>
        <row r="101">
          <cell r="B101" t="str">
            <v>Lương Minh Dũng</v>
          </cell>
          <cell r="C101" t="str">
            <v>01015027</v>
          </cell>
          <cell r="D101" t="str">
            <v>A3</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A2</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A1</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A2</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16</v>
          </cell>
        </row>
        <row r="124">
          <cell r="B124" t="str">
            <v>Trần Thị Thu</v>
          </cell>
          <cell r="C124" t="str">
            <v>01008021</v>
          </cell>
          <cell r="D124" t="str">
            <v>A3</v>
          </cell>
          <cell r="E124" t="str">
            <v>A3</v>
          </cell>
        </row>
        <row r="125">
          <cell r="B125" t="str">
            <v>Dương Thị Thủy</v>
          </cell>
          <cell r="C125" t="str">
            <v>01008009</v>
          </cell>
          <cell r="D125" t="str">
            <v>A2</v>
          </cell>
          <cell r="E125" t="str">
            <v>A1</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A2</v>
          </cell>
          <cell r="E132" t="str">
            <v>A3</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A3</v>
          </cell>
        </row>
        <row r="139">
          <cell r="B139" t="str">
            <v>Trần Thanh Phương</v>
          </cell>
          <cell r="C139" t="str">
            <v>01002034</v>
          </cell>
          <cell r="D139" t="str">
            <v>A3</v>
          </cell>
          <cell r="E139" t="str">
            <v>A4</v>
          </cell>
        </row>
        <row r="140">
          <cell r="B140" t="str">
            <v>Lâm Võ Hữu Duy</v>
          </cell>
          <cell r="C140" t="str">
            <v>01008050</v>
          </cell>
          <cell r="D140" t="str">
            <v>A2</v>
          </cell>
          <cell r="E140" t="str">
            <v>A2</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A3</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A4</v>
          </cell>
        </row>
        <row r="148">
          <cell r="B148" t="str">
            <v>Nguyễn Thị Cẩm Thạch</v>
          </cell>
          <cell r="C148" t="str">
            <v>01010016</v>
          </cell>
          <cell r="D148" t="str">
            <v>A4</v>
          </cell>
          <cell r="E148" t="str">
            <v>A4</v>
          </cell>
        </row>
        <row r="149">
          <cell r="B149" t="str">
            <v>Nguyễn Thị Thủy</v>
          </cell>
          <cell r="C149" t="str">
            <v>01010028</v>
          </cell>
          <cell r="D149" t="str">
            <v>A4</v>
          </cell>
          <cell r="E149" t="str">
            <v>A4</v>
          </cell>
        </row>
        <row r="150">
          <cell r="B150" t="str">
            <v>Nguyễn Văn Đông</v>
          </cell>
          <cell r="C150" t="str">
            <v>01010017</v>
          </cell>
          <cell r="D150" t="str">
            <v>A4</v>
          </cell>
          <cell r="E150" t="str">
            <v>A4</v>
          </cell>
        </row>
        <row r="151">
          <cell r="B151" t="str">
            <v>Nguyễn Thanh Tú</v>
          </cell>
          <cell r="C151" t="str">
            <v>01010012</v>
          </cell>
          <cell r="D151" t="str">
            <v>A3</v>
          </cell>
          <cell r="E151" t="str">
            <v>A3</v>
          </cell>
        </row>
        <row r="152">
          <cell r="B152" t="str">
            <v>Trần Thị Ánh Tuyết</v>
          </cell>
          <cell r="C152" t="str">
            <v>01010029</v>
          </cell>
          <cell r="D152" t="str">
            <v>A3</v>
          </cell>
          <cell r="E152" t="str">
            <v>A3</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A4</v>
          </cell>
        </row>
        <row r="156">
          <cell r="B156" t="str">
            <v>Lê Minh Phong</v>
          </cell>
          <cell r="C156" t="str">
            <v>01022048</v>
          </cell>
          <cell r="D156" t="str">
            <v>A4</v>
          </cell>
          <cell r="E156" t="str">
            <v>A4</v>
          </cell>
        </row>
        <row r="157">
          <cell r="B157" t="str">
            <v>Nguyễn Thị Huyền Nga</v>
          </cell>
          <cell r="C157" t="str">
            <v>01010006</v>
          </cell>
          <cell r="D157" t="str">
            <v>A3</v>
          </cell>
          <cell r="E157" t="str">
            <v>A3</v>
          </cell>
        </row>
        <row r="158">
          <cell r="B158" t="str">
            <v>Trịnh Khắc Vũ</v>
          </cell>
          <cell r="C158" t="str">
            <v>01010026</v>
          </cell>
          <cell r="D158" t="str">
            <v>A4</v>
          </cell>
          <cell r="E158" t="str">
            <v>A4</v>
          </cell>
        </row>
        <row r="159">
          <cell r="B159" t="str">
            <v>Lê Thái Hùng</v>
          </cell>
          <cell r="C159" t="str">
            <v>01010021</v>
          </cell>
          <cell r="D159" t="str">
            <v>A3</v>
          </cell>
          <cell r="E159" t="str">
            <v>A3</v>
          </cell>
        </row>
        <row r="160">
          <cell r="B160" t="str">
            <v>Giang Phi Hùng</v>
          </cell>
          <cell r="C160" t="str">
            <v>01010030</v>
          </cell>
          <cell r="D160" t="str">
            <v>A3</v>
          </cell>
          <cell r="E160" t="str">
            <v>A2</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A2</v>
          </cell>
          <cell r="E163" t="str">
            <v>A2</v>
          </cell>
        </row>
        <row r="164">
          <cell r="B164" t="str">
            <v>KHOA NGOẠI NGỮ</v>
          </cell>
          <cell r="C164">
            <v>0</v>
          </cell>
          <cell r="D164">
            <v>0</v>
          </cell>
          <cell r="E164">
            <v>14</v>
          </cell>
        </row>
        <row r="165">
          <cell r="B165" t="str">
            <v>Viên chức</v>
          </cell>
          <cell r="C165">
            <v>0</v>
          </cell>
          <cell r="D165">
            <v>0</v>
          </cell>
          <cell r="E165">
            <v>14</v>
          </cell>
        </row>
        <row r="166">
          <cell r="B166" t="str">
            <v>Nguyễn Thị Thu Hà</v>
          </cell>
          <cell r="C166" t="str">
            <v>01010039</v>
          </cell>
          <cell r="D166" t="str">
            <v>A2</v>
          </cell>
          <cell r="E166" t="str">
            <v>A3</v>
          </cell>
        </row>
        <row r="167">
          <cell r="B167" t="str">
            <v>Phạm Thị Thu Hiền</v>
          </cell>
          <cell r="C167" t="str">
            <v>01010040</v>
          </cell>
          <cell r="D167" t="str">
            <v>A3</v>
          </cell>
          <cell r="E167" t="str">
            <v>A2</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A3</v>
          </cell>
          <cell r="E170" t="str">
            <v>A3</v>
          </cell>
        </row>
        <row r="171">
          <cell r="B171" t="str">
            <v>Nguyễn Thị Thu Tâm</v>
          </cell>
          <cell r="C171" t="str">
            <v>01010019</v>
          </cell>
          <cell r="D171" t="str">
            <v>A3</v>
          </cell>
          <cell r="E171" t="str">
            <v>A2</v>
          </cell>
        </row>
        <row r="172">
          <cell r="B172" t="str">
            <v>Võ Thị Hồng Lan</v>
          </cell>
          <cell r="C172" t="str">
            <v>01010015</v>
          </cell>
          <cell r="D172" t="str">
            <v>A3</v>
          </cell>
          <cell r="E172" t="str">
            <v>A3</v>
          </cell>
        </row>
        <row r="173">
          <cell r="B173" t="str">
            <v>Nguyễn Thị Thanh Tú</v>
          </cell>
          <cell r="C173" t="str">
            <v>01010027</v>
          </cell>
          <cell r="D173" t="str">
            <v>A4</v>
          </cell>
          <cell r="E173" t="str">
            <v>A4</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A4</v>
          </cell>
        </row>
        <row r="177">
          <cell r="B177" t="str">
            <v>Trần Hà Trang</v>
          </cell>
          <cell r="C177" t="str">
            <v>01010254</v>
          </cell>
          <cell r="D177" t="str">
            <v>A3</v>
          </cell>
          <cell r="E177" t="str">
            <v>A3</v>
          </cell>
        </row>
        <row r="178">
          <cell r="B178" t="str">
            <v>Lê Thu Hà</v>
          </cell>
          <cell r="C178" t="str">
            <v>01010260</v>
          </cell>
          <cell r="D178" t="str">
            <v>A DN</v>
          </cell>
          <cell r="E178" t="str">
            <v>A DN</v>
          </cell>
        </row>
        <row r="179">
          <cell r="B179" t="str">
            <v>Ôn Thị Ngọc Thảo</v>
          </cell>
          <cell r="C179" t="str">
            <v>01010288</v>
          </cell>
          <cell r="D179" t="str">
            <v>A3</v>
          </cell>
          <cell r="E179" t="str">
            <v>A3</v>
          </cell>
        </row>
        <row r="180">
          <cell r="B180" t="str">
            <v>KHOA LÝ LUẬN CHÍNH TRỊ</v>
          </cell>
          <cell r="C180">
            <v>0</v>
          </cell>
          <cell r="D180">
            <v>0</v>
          </cell>
          <cell r="E180">
            <v>15</v>
          </cell>
        </row>
        <row r="181">
          <cell r="B181" t="str">
            <v>Viên chức</v>
          </cell>
          <cell r="C181">
            <v>0</v>
          </cell>
          <cell r="D181">
            <v>0</v>
          </cell>
          <cell r="E181">
            <v>15</v>
          </cell>
        </row>
        <row r="182">
          <cell r="B182" t="str">
            <v>Lê Thị Hồng Vân</v>
          </cell>
          <cell r="C182" t="str">
            <v>01011002</v>
          </cell>
          <cell r="D182" t="str">
            <v>A1</v>
          </cell>
          <cell r="E182" t="str">
            <v>A1</v>
          </cell>
        </row>
        <row r="183">
          <cell r="B183" t="str">
            <v>Nguyễn Ngọc Quỳnh</v>
          </cell>
          <cell r="C183" t="str">
            <v>01011012</v>
          </cell>
          <cell r="D183" t="str">
            <v>A2</v>
          </cell>
          <cell r="E183" t="str">
            <v>A3</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A3</v>
          </cell>
          <cell r="E190" t="str">
            <v>A3</v>
          </cell>
        </row>
        <row r="191">
          <cell r="B191" t="str">
            <v>Cao Thị Hồng Thắm</v>
          </cell>
          <cell r="C191" t="str">
            <v>01011007</v>
          </cell>
          <cell r="D191" t="str">
            <v>A DN</v>
          </cell>
          <cell r="E191" t="str">
            <v>A DN</v>
          </cell>
        </row>
        <row r="192">
          <cell r="B192" t="str">
            <v>Đỗ Thị Thơm</v>
          </cell>
          <cell r="C192" t="str">
            <v>01011008</v>
          </cell>
          <cell r="D192" t="str">
            <v>A2</v>
          </cell>
          <cell r="E192" t="str">
            <v>A1</v>
          </cell>
        </row>
        <row r="193">
          <cell r="B193" t="str">
            <v>Trần Thị Hồng Thu</v>
          </cell>
          <cell r="C193" t="str">
            <v>01011015</v>
          </cell>
          <cell r="D193" t="str">
            <v>A1</v>
          </cell>
          <cell r="E193" t="str">
            <v>A1</v>
          </cell>
        </row>
        <row r="194">
          <cell r="B194" t="str">
            <v>Phan Thị Thùy Trang</v>
          </cell>
          <cell r="C194" t="str">
            <v>01011010</v>
          </cell>
          <cell r="D194" t="str">
            <v>A1</v>
          </cell>
          <cell r="E194" t="str">
            <v>A1</v>
          </cell>
        </row>
        <row r="195">
          <cell r="B195" t="str">
            <v>Hoàng Thị Trang</v>
          </cell>
          <cell r="C195" t="str">
            <v>01011018</v>
          </cell>
          <cell r="D195" t="str">
            <v>A2</v>
          </cell>
          <cell r="E195" t="str">
            <v>A2</v>
          </cell>
        </row>
        <row r="196">
          <cell r="B196" t="str">
            <v>Phạm Thị Vinh</v>
          </cell>
          <cell r="C196" t="str">
            <v>01011006</v>
          </cell>
          <cell r="D196" t="str">
            <v>A3</v>
          </cell>
          <cell r="E196" t="str">
            <v>A3</v>
          </cell>
        </row>
        <row r="197">
          <cell r="B197" t="str">
            <v>KHOA CƠ KHÍ</v>
          </cell>
          <cell r="C197">
            <v>0</v>
          </cell>
          <cell r="D197">
            <v>0</v>
          </cell>
          <cell r="E197">
            <v>29</v>
          </cell>
        </row>
        <row r="198">
          <cell r="B198" t="str">
            <v>Viên chức</v>
          </cell>
          <cell r="C198">
            <v>0</v>
          </cell>
          <cell r="D198">
            <v>0</v>
          </cell>
          <cell r="E198">
            <v>29</v>
          </cell>
        </row>
        <row r="199">
          <cell r="B199" t="str">
            <v>Chung Trần Thế Vinh</v>
          </cell>
          <cell r="C199" t="str">
            <v>01012003</v>
          </cell>
          <cell r="D199" t="str">
            <v>A1</v>
          </cell>
          <cell r="E199" t="str">
            <v>A3</v>
          </cell>
        </row>
        <row r="200">
          <cell r="B200" t="str">
            <v>Trần Đình Khải</v>
          </cell>
          <cell r="C200" t="str">
            <v>01012008</v>
          </cell>
          <cell r="D200" t="str">
            <v>A2</v>
          </cell>
          <cell r="E200" t="str">
            <v>A3</v>
          </cell>
        </row>
        <row r="201">
          <cell r="B201" t="str">
            <v>Vũ Quang Khải</v>
          </cell>
          <cell r="C201" t="str">
            <v>01012007</v>
          </cell>
          <cell r="D201" t="str">
            <v>A2</v>
          </cell>
          <cell r="E201" t="str">
            <v>A3</v>
          </cell>
        </row>
        <row r="202">
          <cell r="B202" t="str">
            <v>Vũ Đức Pháp</v>
          </cell>
          <cell r="C202" t="str">
            <v>01012013</v>
          </cell>
          <cell r="D202" t="str">
            <v>A1</v>
          </cell>
          <cell r="E202" t="str">
            <v>A2</v>
          </cell>
        </row>
        <row r="203">
          <cell r="B203" t="str">
            <v>Bùi Anh Tuấn</v>
          </cell>
          <cell r="C203" t="str">
            <v>01012023</v>
          </cell>
          <cell r="D203" t="str">
            <v>A1</v>
          </cell>
          <cell r="E203" t="str">
            <v>A3</v>
          </cell>
        </row>
        <row r="204">
          <cell r="B204" t="str">
            <v>Dương Minh Chung</v>
          </cell>
          <cell r="C204" t="str">
            <v>01012014</v>
          </cell>
          <cell r="D204" t="str">
            <v>A3</v>
          </cell>
          <cell r="E204" t="str">
            <v>A4</v>
          </cell>
        </row>
        <row r="205">
          <cell r="B205" t="str">
            <v>Đỗ Thị Phương Khanh</v>
          </cell>
          <cell r="C205" t="str">
            <v>01012005</v>
          </cell>
          <cell r="D205" t="str">
            <v>A1</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A2</v>
          </cell>
          <cell r="E209" t="str">
            <v>A3</v>
          </cell>
        </row>
        <row r="210">
          <cell r="B210" t="str">
            <v>Nguyễn Thanh Vũ</v>
          </cell>
          <cell r="C210" t="str">
            <v>01012015</v>
          </cell>
          <cell r="D210" t="str">
            <v>A3</v>
          </cell>
          <cell r="E210" t="str">
            <v>A3</v>
          </cell>
        </row>
        <row r="211">
          <cell r="B211" t="str">
            <v>Nguyễn Tiến Dũng</v>
          </cell>
          <cell r="C211" t="str">
            <v>01012019</v>
          </cell>
          <cell r="D211" t="str">
            <v>A2</v>
          </cell>
          <cell r="E211" t="str">
            <v>A2</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A2</v>
          </cell>
          <cell r="E215" t="str">
            <v>A2</v>
          </cell>
        </row>
        <row r="216">
          <cell r="B216" t="str">
            <v>Trần Thị Hương</v>
          </cell>
          <cell r="C216" t="str">
            <v>01012021</v>
          </cell>
          <cell r="D216" t="str">
            <v>A4</v>
          </cell>
          <cell r="E216" t="str">
            <v>A4</v>
          </cell>
        </row>
        <row r="217">
          <cell r="B217" t="str">
            <v>Nguyễn Thanh Vĩnh Phúc</v>
          </cell>
          <cell r="C217" t="str">
            <v>01012011</v>
          </cell>
          <cell r="D217" t="str">
            <v>A3</v>
          </cell>
          <cell r="E217" t="str">
            <v>A3</v>
          </cell>
        </row>
        <row r="218">
          <cell r="B218" t="str">
            <v>Võ Minh Quang</v>
          </cell>
          <cell r="C218" t="str">
            <v>01017002</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A2</v>
          </cell>
          <cell r="E220" t="str">
            <v>A2</v>
          </cell>
        </row>
        <row r="221">
          <cell r="B221" t="str">
            <v>Nguyễn Hồng Phúc</v>
          </cell>
          <cell r="C221" t="str">
            <v>01025017</v>
          </cell>
          <cell r="D221" t="str">
            <v>A2</v>
          </cell>
          <cell r="E221" t="str">
            <v>A2</v>
          </cell>
        </row>
        <row r="222">
          <cell r="B222" t="str">
            <v>Nguyễn Văn Sơn</v>
          </cell>
          <cell r="C222" t="str">
            <v>01006004</v>
          </cell>
          <cell r="D222" t="str">
            <v>A4</v>
          </cell>
          <cell r="E222" t="str">
            <v>A4</v>
          </cell>
        </row>
        <row r="223">
          <cell r="B223" t="str">
            <v>Nguyễn Khắc Huy</v>
          </cell>
          <cell r="C223" t="str">
            <v>01013068</v>
          </cell>
          <cell r="D223" t="str">
            <v>A1</v>
          </cell>
          <cell r="E223" t="str">
            <v>A2</v>
          </cell>
        </row>
        <row r="224">
          <cell r="B224" t="str">
            <v>Võ Hoài Sơn</v>
          </cell>
          <cell r="C224" t="str">
            <v>01012048</v>
          </cell>
          <cell r="D224" t="str">
            <v>A2</v>
          </cell>
          <cell r="E224" t="str">
            <v>A2</v>
          </cell>
        </row>
        <row r="225">
          <cell r="B225" t="str">
            <v>Nguyễn Thị Xuân Chinh</v>
          </cell>
          <cell r="C225" t="str">
            <v>01012049</v>
          </cell>
          <cell r="D225" t="str">
            <v>A4</v>
          </cell>
          <cell r="E225" t="str">
            <v>A4</v>
          </cell>
        </row>
        <row r="226">
          <cell r="B226" t="str">
            <v>Nguyễn Ngọc Hiệp</v>
          </cell>
          <cell r="C226" t="str">
            <v>01009006</v>
          </cell>
          <cell r="D226" t="str">
            <v>A2</v>
          </cell>
          <cell r="E226" t="str">
            <v>A3</v>
          </cell>
        </row>
        <row r="227">
          <cell r="B227" t="str">
            <v>Nguyễn Duy Tân</v>
          </cell>
          <cell r="C227" t="str">
            <v>01012050</v>
          </cell>
          <cell r="D227" t="str">
            <v>A4</v>
          </cell>
          <cell r="E227" t="str">
            <v>A4</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A3</v>
          </cell>
        </row>
        <row r="231">
          <cell r="B231" t="str">
            <v>Nguyễn Văn Đôn</v>
          </cell>
          <cell r="C231" t="str">
            <v>01015023</v>
          </cell>
          <cell r="D231" t="str">
            <v>A3</v>
          </cell>
          <cell r="E231" t="str">
            <v>A4</v>
          </cell>
        </row>
        <row r="232">
          <cell r="B232" t="str">
            <v>Nguyễn Sanh Cường</v>
          </cell>
          <cell r="C232" t="str">
            <v>01015005</v>
          </cell>
          <cell r="D232" t="str">
            <v>A4</v>
          </cell>
          <cell r="E232" t="str">
            <v>A4</v>
          </cell>
        </row>
        <row r="233">
          <cell r="B233" t="str">
            <v>Đặng Ngọc Đoàn</v>
          </cell>
          <cell r="C233" t="str">
            <v>01015018</v>
          </cell>
          <cell r="D233" t="str">
            <v>A4</v>
          </cell>
          <cell r="E233" t="str">
            <v>A4</v>
          </cell>
        </row>
        <row r="234">
          <cell r="B234" t="str">
            <v>Bùi Văn Dũng</v>
          </cell>
          <cell r="C234" t="str">
            <v>01015020</v>
          </cell>
          <cell r="D234" t="str">
            <v>B2</v>
          </cell>
          <cell r="E234" t="str">
            <v>B2</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A4</v>
          </cell>
        </row>
        <row r="240">
          <cell r="B240" t="str">
            <v>Lê Hồng Thái</v>
          </cell>
          <cell r="C240" t="str">
            <v>01015017</v>
          </cell>
          <cell r="D240" t="str">
            <v>A4</v>
          </cell>
          <cell r="E240" t="str">
            <v>A4</v>
          </cell>
        </row>
        <row r="241">
          <cell r="B241" t="str">
            <v>Nguyễn Thị Khánh Thư</v>
          </cell>
          <cell r="C241" t="str">
            <v>01015016</v>
          </cell>
          <cell r="D241" t="str">
            <v>A3</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A4</v>
          </cell>
        </row>
        <row r="245">
          <cell r="B245" t="str">
            <v>Dương Ngọc Vọng</v>
          </cell>
          <cell r="C245" t="str">
            <v>01015012</v>
          </cell>
          <cell r="D245" t="str">
            <v>A4</v>
          </cell>
          <cell r="E245" t="str">
            <v>A4</v>
          </cell>
        </row>
        <row r="246">
          <cell r="B246" t="str">
            <v>Trần Vĩnh Xuyên</v>
          </cell>
          <cell r="C246" t="str">
            <v>01015008</v>
          </cell>
          <cell r="D246" t="str">
            <v>A4</v>
          </cell>
          <cell r="E246" t="str">
            <v>A4</v>
          </cell>
        </row>
        <row r="247">
          <cell r="B247" t="str">
            <v>Đỗ Thị Hải Yến</v>
          </cell>
          <cell r="C247" t="str">
            <v>01015021</v>
          </cell>
          <cell r="D247" t="str">
            <v>A3</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A2</v>
          </cell>
          <cell r="E249" t="str">
            <v>A2</v>
          </cell>
        </row>
        <row r="250">
          <cell r="B250" t="str">
            <v>KHOA ĐỘNG LỰC</v>
          </cell>
          <cell r="C250">
            <v>0</v>
          </cell>
          <cell r="D250">
            <v>0</v>
          </cell>
          <cell r="E250">
            <v>26</v>
          </cell>
        </row>
        <row r="251">
          <cell r="B251" t="str">
            <v>Viên chức</v>
          </cell>
          <cell r="C251">
            <v>0</v>
          </cell>
          <cell r="D251">
            <v>0</v>
          </cell>
          <cell r="E251">
            <v>25</v>
          </cell>
        </row>
        <row r="252">
          <cell r="B252" t="str">
            <v>Nguyễn Anh Tuấn</v>
          </cell>
          <cell r="C252" t="str">
            <v>01013003</v>
          </cell>
          <cell r="D252" t="str">
            <v>A3</v>
          </cell>
          <cell r="E252" t="str">
            <v>A4</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A3</v>
          </cell>
          <cell r="E255" t="str">
            <v>A4</v>
          </cell>
        </row>
        <row r="256">
          <cell r="B256" t="str">
            <v>Triệu Phú Nguyên</v>
          </cell>
          <cell r="C256" t="str">
            <v>01013006</v>
          </cell>
          <cell r="D256" t="str">
            <v>A4</v>
          </cell>
          <cell r="E256" t="str">
            <v>A4</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A4</v>
          </cell>
          <cell r="E266" t="str">
            <v>A4</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A3</v>
          </cell>
          <cell r="E270" t="str">
            <v>A4</v>
          </cell>
        </row>
        <row r="271">
          <cell r="B271" t="str">
            <v>Nguyễn Hoàng Vinh</v>
          </cell>
          <cell r="C271" t="str">
            <v>01013087</v>
          </cell>
          <cell r="D271" t="str">
            <v>A4</v>
          </cell>
          <cell r="E271" t="str">
            <v>A4</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A4</v>
          </cell>
          <cell r="E275" t="str">
            <v>A4</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A4</v>
          </cell>
          <cell r="E278" t="str">
            <v>A4</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A2</v>
          </cell>
          <cell r="E282" t="str">
            <v>A2</v>
          </cell>
        </row>
        <row r="283">
          <cell r="B283" t="str">
            <v>Phạm Minh Nghĩa</v>
          </cell>
          <cell r="C283" t="str">
            <v>01023003</v>
          </cell>
          <cell r="D283" t="str">
            <v>A1</v>
          </cell>
          <cell r="E283" t="str">
            <v>A1</v>
          </cell>
        </row>
        <row r="284">
          <cell r="B284" t="str">
            <v>Trần Nguyên Bảo Trân</v>
          </cell>
          <cell r="C284" t="str">
            <v>01014038</v>
          </cell>
          <cell r="D284" t="str">
            <v>A2</v>
          </cell>
          <cell r="E284" t="str">
            <v>A2</v>
          </cell>
        </row>
        <row r="285">
          <cell r="B285" t="str">
            <v>Huỳnh Duy An</v>
          </cell>
          <cell r="C285" t="str">
            <v>01014051</v>
          </cell>
          <cell r="D285" t="str">
            <v>A1</v>
          </cell>
          <cell r="E285" t="str">
            <v>A1</v>
          </cell>
        </row>
        <row r="286">
          <cell r="B286" t="str">
            <v>Ngô Hoàng Anh</v>
          </cell>
          <cell r="C286" t="str">
            <v>01014005</v>
          </cell>
          <cell r="D286" t="str">
            <v>A3</v>
          </cell>
          <cell r="E286" t="str">
            <v>A3</v>
          </cell>
        </row>
        <row r="287">
          <cell r="B287" t="str">
            <v>Trần Nam Anh</v>
          </cell>
          <cell r="C287" t="str">
            <v>01014046</v>
          </cell>
          <cell r="D287" t="str">
            <v>A3</v>
          </cell>
          <cell r="E287" t="str">
            <v>A3</v>
          </cell>
        </row>
        <row r="288">
          <cell r="B288" t="str">
            <v>Vũ Hạnh Chiêu</v>
          </cell>
          <cell r="C288" t="str">
            <v>01014026</v>
          </cell>
          <cell r="D288" t="str">
            <v>A3</v>
          </cell>
          <cell r="E288" t="str">
            <v>A3</v>
          </cell>
        </row>
        <row r="289">
          <cell r="B289" t="str">
            <v>Ngô Phong Cường</v>
          </cell>
          <cell r="C289" t="str">
            <v>01014029</v>
          </cell>
          <cell r="D289" t="str">
            <v>A2</v>
          </cell>
          <cell r="E289" t="str">
            <v>A2</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B2</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A2</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A3</v>
          </cell>
        </row>
        <row r="314">
          <cell r="B314" t="str">
            <v>Chế Vân Cầm</v>
          </cell>
          <cell r="C314" t="str">
            <v>01016004</v>
          </cell>
          <cell r="D314" t="str">
            <v>A3</v>
          </cell>
          <cell r="E314" t="str">
            <v>A3</v>
          </cell>
        </row>
        <row r="315">
          <cell r="B315" t="str">
            <v>Nguyễn Bạch Cẩm Dung</v>
          </cell>
          <cell r="C315" t="str">
            <v>01016002</v>
          </cell>
          <cell r="D315" t="str">
            <v>A4</v>
          </cell>
          <cell r="E315" t="str">
            <v>A4</v>
          </cell>
        </row>
        <row r="316">
          <cell r="B316" t="str">
            <v>Nguyễn Thị Hiền</v>
          </cell>
          <cell r="C316" t="str">
            <v>01016006</v>
          </cell>
          <cell r="D316" t="str">
            <v>A4</v>
          </cell>
          <cell r="E316" t="str">
            <v>A4</v>
          </cell>
        </row>
        <row r="317">
          <cell r="B317" t="str">
            <v>Bùi Thị Ngọc Sương</v>
          </cell>
          <cell r="C317" t="str">
            <v>01016005</v>
          </cell>
          <cell r="D317" t="str">
            <v>A4</v>
          </cell>
          <cell r="E317" t="str">
            <v>A4</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A3</v>
          </cell>
          <cell r="E320" t="str">
            <v>A3</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A4</v>
          </cell>
        </row>
        <row r="324">
          <cell r="B324" t="str">
            <v>Hoàng Văn Viết</v>
          </cell>
          <cell r="C324" t="str">
            <v>01029001</v>
          </cell>
          <cell r="D324" t="str">
            <v>A3</v>
          </cell>
          <cell r="E324" t="str">
            <v>A3</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A2</v>
          </cell>
          <cell r="E337" t="str">
            <v>A1</v>
          </cell>
        </row>
        <row r="338">
          <cell r="B338" t="str">
            <v>Phạm Quỳnh Như</v>
          </cell>
          <cell r="C338" t="str">
            <v>01025004</v>
          </cell>
          <cell r="D338" t="str">
            <v>A1</v>
          </cell>
          <cell r="E338" t="str">
            <v>A2</v>
          </cell>
        </row>
        <row r="339">
          <cell r="B339" t="str">
            <v>Lưu Thị Thúy</v>
          </cell>
          <cell r="C339" t="str">
            <v>01025002</v>
          </cell>
          <cell r="D339" t="str">
            <v>A2</v>
          </cell>
          <cell r="E339" t="str">
            <v>A3</v>
          </cell>
        </row>
        <row r="340">
          <cell r="B340" t="str">
            <v>Trần Thị Ngọc Dung</v>
          </cell>
          <cell r="C340" t="str">
            <v>01025016</v>
          </cell>
          <cell r="D340" t="str">
            <v>A3</v>
          </cell>
          <cell r="E340" t="str">
            <v>A2</v>
          </cell>
        </row>
        <row r="341">
          <cell r="B341" t="str">
            <v>Cao Xuân Giang</v>
          </cell>
          <cell r="C341" t="str">
            <v>01025018</v>
          </cell>
          <cell r="D341" t="str">
            <v>A3</v>
          </cell>
          <cell r="E341" t="str">
            <v>A3</v>
          </cell>
        </row>
        <row r="342">
          <cell r="B342" t="str">
            <v>Nguyễn Thị Thanh Hòa</v>
          </cell>
          <cell r="C342" t="str">
            <v>01009027</v>
          </cell>
          <cell r="D342" t="str">
            <v>A3</v>
          </cell>
          <cell r="E342" t="str">
            <v>A2</v>
          </cell>
        </row>
        <row r="343">
          <cell r="B343" t="str">
            <v>Huỳnh Kim Liên</v>
          </cell>
          <cell r="C343" t="str">
            <v>01025052</v>
          </cell>
          <cell r="D343" t="str">
            <v>A3</v>
          </cell>
          <cell r="E343" t="str">
            <v>A3</v>
          </cell>
        </row>
        <row r="344">
          <cell r="B344" t="str">
            <v>Lê Hồng Ngọc My</v>
          </cell>
          <cell r="C344" t="str">
            <v>01015053</v>
          </cell>
          <cell r="D344" t="str">
            <v>A3</v>
          </cell>
          <cell r="E344" t="str">
            <v>A3</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A1</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A2</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A1</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v>0</v>
          </cell>
          <cell r="D385">
            <v>0</v>
          </cell>
          <cell r="E385">
            <v>1</v>
          </cell>
        </row>
        <row r="386">
          <cell r="B386" t="str">
            <v>Lê Thị Huyền</v>
          </cell>
          <cell r="C386" t="str">
            <v>01021004</v>
          </cell>
          <cell r="D386" t="str">
            <v>A1</v>
          </cell>
          <cell r="E386" t="str">
            <v>A2</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A1</v>
          </cell>
          <cell r="E392" t="str">
            <v>A1</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row r="397">
          <cell r="B397">
            <v>0</v>
          </cell>
          <cell r="C397">
            <v>0</v>
          </cell>
          <cell r="D397">
            <v>0</v>
          </cell>
          <cell r="E397">
            <v>0</v>
          </cell>
        </row>
        <row r="398">
          <cell r="B398">
            <v>0</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28</v>
          </cell>
          <cell r="M11">
            <v>0</v>
          </cell>
        </row>
        <row r="12">
          <cell r="H12" t="str">
            <v>Đinh Hồng Minh</v>
          </cell>
          <cell r="J12">
            <v>29</v>
          </cell>
          <cell r="M12">
            <v>0</v>
          </cell>
        </row>
        <row r="13">
          <cell r="H13" t="str">
            <v>Châu Văn Bảo</v>
          </cell>
          <cell r="J13">
            <v>31</v>
          </cell>
          <cell r="M13">
            <v>0</v>
          </cell>
        </row>
        <row r="14">
          <cell r="H14" t="str">
            <v>Lâm Viết Dũng</v>
          </cell>
          <cell r="J14">
            <v>29</v>
          </cell>
          <cell r="M14">
            <v>0</v>
          </cell>
        </row>
        <row r="15">
          <cell r="H15" t="str">
            <v>Lưu Hoàng Hải Yến</v>
          </cell>
          <cell r="J15">
            <v>24.5</v>
          </cell>
          <cell r="M15">
            <v>0</v>
          </cell>
        </row>
        <row r="16">
          <cell r="H16" t="str">
            <v>Huỳnh Thị Minh Ly</v>
          </cell>
          <cell r="J16">
            <v>25.5</v>
          </cell>
          <cell r="M16">
            <v>0</v>
          </cell>
        </row>
        <row r="17">
          <cell r="H17" t="str">
            <v>Nguyễn Văn Chì</v>
          </cell>
          <cell r="J17">
            <v>23.5</v>
          </cell>
          <cell r="M17">
            <v>0</v>
          </cell>
        </row>
        <row r="18">
          <cell r="H18" t="str">
            <v>Nguyễn Thị Vân</v>
          </cell>
          <cell r="J18">
            <v>25</v>
          </cell>
          <cell r="M18">
            <v>0</v>
          </cell>
        </row>
        <row r="19">
          <cell r="H19" t="str">
            <v>Phan Thị Ngọc Phượng</v>
          </cell>
          <cell r="J19">
            <v>24</v>
          </cell>
          <cell r="M19">
            <v>0</v>
          </cell>
        </row>
        <row r="20">
          <cell r="H20" t="str">
            <v>Trần Thị Ánh Phượng</v>
          </cell>
          <cell r="J20">
            <v>24.5</v>
          </cell>
          <cell r="M20">
            <v>0</v>
          </cell>
        </row>
        <row r="21">
          <cell r="H21" t="str">
            <v>Thân Thị Nhung</v>
          </cell>
          <cell r="J21">
            <v>23</v>
          </cell>
          <cell r="M21">
            <v>0</v>
          </cell>
        </row>
        <row r="22">
          <cell r="H22" t="str">
            <v>Trần Thị Phương Oanh</v>
          </cell>
          <cell r="J22">
            <v>23</v>
          </cell>
          <cell r="M22">
            <v>0</v>
          </cell>
        </row>
        <row r="23">
          <cell r="H23" t="str">
            <v>Vũ Như Quỳnh</v>
          </cell>
          <cell r="J23">
            <v>24.5</v>
          </cell>
          <cell r="M23">
            <v>0</v>
          </cell>
        </row>
        <row r="24">
          <cell r="H24" t="str">
            <v>Nguyễn Thị Bích Liễu</v>
          </cell>
          <cell r="J24">
            <v>24</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25</v>
          </cell>
          <cell r="M29">
            <v>0</v>
          </cell>
        </row>
        <row r="30">
          <cell r="H30" t="str">
            <v>Lê Hồng Anh Tuấn</v>
          </cell>
          <cell r="J30">
            <v>23</v>
          </cell>
          <cell r="M30">
            <v>0</v>
          </cell>
        </row>
        <row r="31">
          <cell r="H31" t="str">
            <v>Giáp Văn Thịnh</v>
          </cell>
          <cell r="J31">
            <v>23</v>
          </cell>
          <cell r="M31">
            <v>0</v>
          </cell>
        </row>
        <row r="32">
          <cell r="H32" t="str">
            <v>Vũ Ngọc Quang</v>
          </cell>
          <cell r="J32">
            <v>23</v>
          </cell>
          <cell r="M32">
            <v>0</v>
          </cell>
        </row>
        <row r="33">
          <cell r="H33" t="str">
            <v>Bùi Thị Dương</v>
          </cell>
          <cell r="J33">
            <v>25</v>
          </cell>
          <cell r="M33">
            <v>0</v>
          </cell>
        </row>
        <row r="34">
          <cell r="H34" t="str">
            <v>Phan Hữu Tước</v>
          </cell>
          <cell r="J34">
            <v>26</v>
          </cell>
          <cell r="M34">
            <v>0</v>
          </cell>
        </row>
        <row r="35">
          <cell r="H35" t="str">
            <v>Trang Thị Xuân Uyên</v>
          </cell>
          <cell r="J35">
            <v>26</v>
          </cell>
          <cell r="M35">
            <v>0</v>
          </cell>
        </row>
        <row r="36">
          <cell r="H36" t="str">
            <v>Bùi Thị Lan Anh</v>
          </cell>
          <cell r="J36">
            <v>26</v>
          </cell>
          <cell r="M36">
            <v>0</v>
          </cell>
        </row>
        <row r="37">
          <cell r="H37" t="str">
            <v>Nguyễn Kính</v>
          </cell>
          <cell r="J37">
            <v>26</v>
          </cell>
          <cell r="M37" t="str">
            <v>Trừ 1 ngày nghỉ bù 24/5</v>
          </cell>
        </row>
        <row r="38">
          <cell r="H38" t="str">
            <v>Võ Thị Lệ Trân</v>
          </cell>
          <cell r="J38">
            <v>26</v>
          </cell>
          <cell r="M38">
            <v>0</v>
          </cell>
        </row>
        <row r="39">
          <cell r="H39" t="str">
            <v>Trần Thị Minh Thoa</v>
          </cell>
          <cell r="J39">
            <v>25</v>
          </cell>
          <cell r="M39">
            <v>0</v>
          </cell>
        </row>
        <row r="40">
          <cell r="H40" t="str">
            <v>Hồng Mộng Tuyết Dung</v>
          </cell>
          <cell r="J40">
            <v>26</v>
          </cell>
          <cell r="M40">
            <v>0</v>
          </cell>
        </row>
        <row r="41">
          <cell r="H41" t="str">
            <v>Nguyễn Thị Hồng Thắm</v>
          </cell>
          <cell r="J41">
            <v>26</v>
          </cell>
          <cell r="M41">
            <v>0</v>
          </cell>
        </row>
        <row r="42">
          <cell r="H42" t="str">
            <v>Nguyễn Văn Chiến</v>
          </cell>
          <cell r="J42">
            <v>26</v>
          </cell>
          <cell r="M42">
            <v>0</v>
          </cell>
        </row>
        <row r="43">
          <cell r="H43" t="str">
            <v>Lê Xuân Thiện</v>
          </cell>
          <cell r="J43">
            <v>21</v>
          </cell>
          <cell r="M43" t="str">
            <v>Trừ 2 ngày nghỉ phép 30+31/5</v>
          </cell>
        </row>
        <row r="44">
          <cell r="H44" t="str">
            <v>Nguyễn Tất Thắng</v>
          </cell>
          <cell r="J44">
            <v>24</v>
          </cell>
          <cell r="M44">
            <v>0</v>
          </cell>
        </row>
        <row r="45">
          <cell r="H45" t="str">
            <v>Trần Thị Thu Hà</v>
          </cell>
          <cell r="J45">
            <v>24</v>
          </cell>
          <cell r="M45">
            <v>0</v>
          </cell>
        </row>
        <row r="46">
          <cell r="H46" t="str">
            <v>Phạm Thị Lê Chi</v>
          </cell>
          <cell r="J46">
            <v>23</v>
          </cell>
          <cell r="M46">
            <v>0</v>
          </cell>
        </row>
        <row r="47">
          <cell r="H47" t="str">
            <v>Nguyễn Thùy Dương</v>
          </cell>
          <cell r="J47">
            <v>24</v>
          </cell>
          <cell r="M47">
            <v>0</v>
          </cell>
        </row>
        <row r="48">
          <cell r="H48" t="str">
            <v>Nguyễn Thị Kim Anh</v>
          </cell>
          <cell r="J48">
            <v>24</v>
          </cell>
          <cell r="M48">
            <v>0</v>
          </cell>
        </row>
        <row r="49">
          <cell r="H49" t="str">
            <v>Mai Thu Hương</v>
          </cell>
          <cell r="J49">
            <v>24</v>
          </cell>
          <cell r="M49">
            <v>0</v>
          </cell>
        </row>
        <row r="50">
          <cell r="H50" t="str">
            <v>Nguyễn Thành Nam</v>
          </cell>
          <cell r="J50">
            <v>25.5</v>
          </cell>
          <cell r="M50">
            <v>0</v>
          </cell>
        </row>
        <row r="51">
          <cell r="H51" t="str">
            <v>Quách Minh Thử</v>
          </cell>
          <cell r="J51">
            <v>23</v>
          </cell>
          <cell r="M51">
            <v>0</v>
          </cell>
        </row>
        <row r="52">
          <cell r="H52" t="str">
            <v>Võ Thị Xuân Thơ</v>
          </cell>
          <cell r="J52">
            <v>25</v>
          </cell>
          <cell r="M52">
            <v>0</v>
          </cell>
        </row>
        <row r="53">
          <cell r="H53" t="str">
            <v>Mai Nguyễn Hoàng Yến</v>
          </cell>
          <cell r="J53">
            <v>25.5</v>
          </cell>
          <cell r="M53">
            <v>0</v>
          </cell>
        </row>
        <row r="54">
          <cell r="H54" t="str">
            <v>Nguyễn Thị Hải Hà</v>
          </cell>
          <cell r="J54">
            <v>23.5</v>
          </cell>
          <cell r="M54">
            <v>0</v>
          </cell>
        </row>
        <row r="55">
          <cell r="H55" t="str">
            <v>Nguyễn Thị Thanh Thảo</v>
          </cell>
          <cell r="J55">
            <v>24</v>
          </cell>
          <cell r="M55">
            <v>0</v>
          </cell>
        </row>
        <row r="56">
          <cell r="H56" t="str">
            <v>Thái Thị My Sa</v>
          </cell>
          <cell r="J56">
            <v>24.5</v>
          </cell>
          <cell r="M56">
            <v>0</v>
          </cell>
        </row>
        <row r="57">
          <cell r="H57" t="str">
            <v>Giáp Thị Vượng</v>
          </cell>
          <cell r="J57">
            <v>24</v>
          </cell>
          <cell r="M57">
            <v>0</v>
          </cell>
        </row>
        <row r="58">
          <cell r="H58" t="str">
            <v>Huỳnh Thị Cẩm Hoa</v>
          </cell>
          <cell r="J58">
            <v>24</v>
          </cell>
          <cell r="M58">
            <v>0</v>
          </cell>
        </row>
        <row r="59">
          <cell r="H59" t="str">
            <v>Nguyễn Thị Thùy</v>
          </cell>
          <cell r="J59">
            <v>25</v>
          </cell>
          <cell r="M59">
            <v>0</v>
          </cell>
        </row>
        <row r="60">
          <cell r="H60" t="str">
            <v>Nguyễn Thị Ngọc Anh</v>
          </cell>
          <cell r="J60">
            <v>24.5</v>
          </cell>
          <cell r="M60">
            <v>0</v>
          </cell>
        </row>
        <row r="61">
          <cell r="H61" t="str">
            <v>Nguyễn Chí Nhân</v>
          </cell>
          <cell r="J61">
            <v>25</v>
          </cell>
          <cell r="M61">
            <v>0</v>
          </cell>
        </row>
        <row r="62">
          <cell r="H62" t="str">
            <v>Nguyễn Thị Kim Dung</v>
          </cell>
          <cell r="J62">
            <v>25</v>
          </cell>
          <cell r="M62">
            <v>0</v>
          </cell>
        </row>
        <row r="63">
          <cell r="H63" t="str">
            <v>Nguyễn Thanh Sơn</v>
          </cell>
          <cell r="J63">
            <v>22</v>
          </cell>
          <cell r="M63" t="str">
            <v>Trừ 1 ngày nghỉ phép 21/5</v>
          </cell>
        </row>
        <row r="64">
          <cell r="H64" t="str">
            <v>Lương Minh Dũng</v>
          </cell>
          <cell r="J64">
            <v>23</v>
          </cell>
          <cell r="M64">
            <v>0</v>
          </cell>
        </row>
        <row r="65">
          <cell r="H65" t="str">
            <v>Nguyễn Thị Tuyết</v>
          </cell>
          <cell r="J65">
            <v>21</v>
          </cell>
          <cell r="M65" t="str">
            <v>Trừ 2 ngày nghỉ phép 27+30/5</v>
          </cell>
        </row>
        <row r="66">
          <cell r="H66" t="str">
            <v>Vũ Thị Thu Thủy</v>
          </cell>
          <cell r="J66">
            <v>23</v>
          </cell>
          <cell r="M66">
            <v>0</v>
          </cell>
        </row>
        <row r="67">
          <cell r="H67" t="str">
            <v>Nguyễn Trọng Nghĩa</v>
          </cell>
          <cell r="J67">
            <v>22</v>
          </cell>
          <cell r="M67">
            <v>0</v>
          </cell>
        </row>
        <row r="68">
          <cell r="H68" t="str">
            <v>Lê Thị Hải Đăng</v>
          </cell>
          <cell r="J68">
            <v>22</v>
          </cell>
          <cell r="M68">
            <v>0</v>
          </cell>
        </row>
        <row r="69">
          <cell r="H69" t="str">
            <v>Nguyễn Hữu Thiện</v>
          </cell>
          <cell r="J69">
            <v>26</v>
          </cell>
          <cell r="M69">
            <v>0</v>
          </cell>
        </row>
        <row r="70">
          <cell r="H70" t="str">
            <v>Vương Hội Khánh</v>
          </cell>
          <cell r="J70">
            <v>25</v>
          </cell>
          <cell r="M70">
            <v>0</v>
          </cell>
        </row>
        <row r="71">
          <cell r="H71" t="str">
            <v>Trương Hữu Lộc</v>
          </cell>
          <cell r="J71">
            <v>26</v>
          </cell>
          <cell r="M71">
            <v>0</v>
          </cell>
        </row>
        <row r="72">
          <cell r="H72" t="str">
            <v>Trương Thị Hồng</v>
          </cell>
          <cell r="J72">
            <v>26</v>
          </cell>
          <cell r="M72">
            <v>0</v>
          </cell>
        </row>
        <row r="73">
          <cell r="H73" t="str">
            <v>Lương Xuân Thịnh</v>
          </cell>
          <cell r="J73">
            <v>30</v>
          </cell>
          <cell r="M73">
            <v>0</v>
          </cell>
        </row>
        <row r="74">
          <cell r="H74" t="str">
            <v>Nguyễn Cao Thắng</v>
          </cell>
          <cell r="J74">
            <v>30</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26</v>
          </cell>
          <cell r="M77">
            <v>0</v>
          </cell>
        </row>
        <row r="78">
          <cell r="H78" t="str">
            <v>Võ Tấn Kiệt</v>
          </cell>
          <cell r="J78">
            <v>24</v>
          </cell>
          <cell r="M78">
            <v>0</v>
          </cell>
        </row>
        <row r="79">
          <cell r="H79" t="str">
            <v>Hồ Ngọc Chi</v>
          </cell>
          <cell r="J79">
            <v>23</v>
          </cell>
          <cell r="M79">
            <v>0</v>
          </cell>
        </row>
        <row r="80">
          <cell r="H80" t="str">
            <v>Nguyễn Tứ Cảnh</v>
          </cell>
          <cell r="J80">
            <v>23</v>
          </cell>
          <cell r="M80">
            <v>0</v>
          </cell>
        </row>
        <row r="81">
          <cell r="H81" t="str">
            <v>Đặng Thu Hà</v>
          </cell>
          <cell r="J81">
            <v>23</v>
          </cell>
          <cell r="M81">
            <v>0</v>
          </cell>
        </row>
        <row r="82">
          <cell r="H82" t="str">
            <v>Trần Thị Diễm Thúy</v>
          </cell>
          <cell r="J82">
            <v>23</v>
          </cell>
          <cell r="M82">
            <v>0</v>
          </cell>
        </row>
        <row r="83">
          <cell r="H83" t="str">
            <v>Trịnh Hoàng Hiệp</v>
          </cell>
          <cell r="J83">
            <v>22</v>
          </cell>
          <cell r="M83">
            <v>0</v>
          </cell>
        </row>
        <row r="84">
          <cell r="H84" t="str">
            <v>Phạm Quỳnh Như</v>
          </cell>
          <cell r="J84">
            <v>22</v>
          </cell>
          <cell r="M84">
            <v>0</v>
          </cell>
        </row>
        <row r="85">
          <cell r="H85" t="str">
            <v>Lê Thị Thu Thảo</v>
          </cell>
          <cell r="J85">
            <v>22</v>
          </cell>
          <cell r="M85">
            <v>0</v>
          </cell>
        </row>
        <row r="86">
          <cell r="H86" t="str">
            <v>Lưu Thị Thúy</v>
          </cell>
          <cell r="J86">
            <v>22</v>
          </cell>
          <cell r="M86">
            <v>0</v>
          </cell>
        </row>
        <row r="87">
          <cell r="H87" t="str">
            <v>Nguyễn Thị Minh Thùy</v>
          </cell>
          <cell r="J87">
            <v>26</v>
          </cell>
          <cell r="M87" t="str">
            <v>Hỗ trợ công việc phòng KHTC</v>
          </cell>
        </row>
        <row r="88">
          <cell r="H88" t="str">
            <v>Nguyễn Mỹ Tiên</v>
          </cell>
          <cell r="J88">
            <v>22</v>
          </cell>
          <cell r="M88">
            <v>0</v>
          </cell>
        </row>
        <row r="89">
          <cell r="H89" t="str">
            <v>Trần Thị Ngọc Dung</v>
          </cell>
          <cell r="J89">
            <v>22</v>
          </cell>
          <cell r="M89">
            <v>0</v>
          </cell>
        </row>
        <row r="90">
          <cell r="H90" t="str">
            <v>Cao Xuân Giang</v>
          </cell>
          <cell r="J90">
            <v>22</v>
          </cell>
          <cell r="M90">
            <v>0</v>
          </cell>
        </row>
        <row r="91">
          <cell r="H91" t="str">
            <v>Lê Thị Thúy Oanh</v>
          </cell>
          <cell r="J91">
            <v>22</v>
          </cell>
          <cell r="M91">
            <v>0</v>
          </cell>
        </row>
        <row r="92">
          <cell r="H92" t="str">
            <v>Nguyễn Thị Thanh Hòa</v>
          </cell>
          <cell r="J92">
            <v>22</v>
          </cell>
          <cell r="M92">
            <v>0</v>
          </cell>
        </row>
        <row r="93">
          <cell r="H93" t="str">
            <v>Huỳnh Kim Liên</v>
          </cell>
          <cell r="J93">
            <v>22</v>
          </cell>
          <cell r="M93">
            <v>0</v>
          </cell>
        </row>
        <row r="94">
          <cell r="H94" t="str">
            <v>Nguyễn Huỳnh Lưu Phương</v>
          </cell>
          <cell r="J94">
            <v>22</v>
          </cell>
          <cell r="M94">
            <v>0</v>
          </cell>
        </row>
        <row r="95">
          <cell r="H95" t="str">
            <v>Hồ Gia Bảo</v>
          </cell>
          <cell r="J95">
            <v>22</v>
          </cell>
          <cell r="M95">
            <v>0</v>
          </cell>
        </row>
        <row r="96">
          <cell r="H96" t="str">
            <v>Lữ Xuân Trang</v>
          </cell>
          <cell r="J96">
            <v>22</v>
          </cell>
          <cell r="M96">
            <v>0</v>
          </cell>
        </row>
        <row r="97">
          <cell r="H97" t="str">
            <v>Phạm Thị Thanh Thúy</v>
          </cell>
          <cell r="J97">
            <v>22</v>
          </cell>
          <cell r="M97">
            <v>0</v>
          </cell>
        </row>
        <row r="98">
          <cell r="H98" t="str">
            <v>Đinh Thị Trâm</v>
          </cell>
          <cell r="J98">
            <v>22</v>
          </cell>
          <cell r="M98">
            <v>0</v>
          </cell>
        </row>
        <row r="99">
          <cell r="H99" t="str">
            <v>Võ Thị Kim Thư</v>
          </cell>
          <cell r="J99">
            <v>22</v>
          </cell>
          <cell r="M99">
            <v>0</v>
          </cell>
        </row>
        <row r="100">
          <cell r="H100" t="str">
            <v>Lê Hồng Ngọc My</v>
          </cell>
          <cell r="J100">
            <v>22</v>
          </cell>
          <cell r="M100">
            <v>0</v>
          </cell>
        </row>
        <row r="101">
          <cell r="H101" t="str">
            <v>Nguyễn Hoàng Thanh Ngân</v>
          </cell>
          <cell r="J101">
            <v>0</v>
          </cell>
          <cell r="M101" t="str">
            <v>Đi du học nước ngoài từ 28/2/2023</v>
          </cell>
        </row>
        <row r="102">
          <cell r="H102" t="str">
            <v>Nguyễn Ngọc Thọ</v>
          </cell>
          <cell r="J102">
            <v>22</v>
          </cell>
          <cell r="M102">
            <v>0</v>
          </cell>
        </row>
        <row r="103">
          <cell r="H103" t="str">
            <v>Nguyễn Bạch Cẩm Dung</v>
          </cell>
          <cell r="J103">
            <v>22</v>
          </cell>
          <cell r="M103">
            <v>0</v>
          </cell>
        </row>
        <row r="104">
          <cell r="H104" t="str">
            <v>Lâm Thị Phương Thùy</v>
          </cell>
          <cell r="J104">
            <v>22</v>
          </cell>
          <cell r="M104">
            <v>0</v>
          </cell>
        </row>
        <row r="105">
          <cell r="H105" t="str">
            <v>Nguyễn Thị Hiền</v>
          </cell>
          <cell r="J105">
            <v>22</v>
          </cell>
          <cell r="M105">
            <v>0</v>
          </cell>
        </row>
        <row r="106">
          <cell r="H106" t="str">
            <v>Chế Vân Cầm</v>
          </cell>
          <cell r="J106">
            <v>22</v>
          </cell>
          <cell r="M106">
            <v>0</v>
          </cell>
        </row>
        <row r="107">
          <cell r="H107" t="str">
            <v>Trần Hồng Thảo</v>
          </cell>
          <cell r="J107">
            <v>22</v>
          </cell>
          <cell r="M107">
            <v>0</v>
          </cell>
        </row>
        <row r="108">
          <cell r="H108" t="str">
            <v>Lê Thị Phương Thảo</v>
          </cell>
          <cell r="J108">
            <v>22</v>
          </cell>
          <cell r="M108">
            <v>0</v>
          </cell>
        </row>
        <row r="109">
          <cell r="H109" t="str">
            <v>Bùi Thị Ngọc Sương</v>
          </cell>
          <cell r="J109">
            <v>22</v>
          </cell>
          <cell r="M109">
            <v>0</v>
          </cell>
        </row>
        <row r="110">
          <cell r="H110" t="str">
            <v>Nguyễn Thị Nhuận</v>
          </cell>
          <cell r="J110">
            <v>22</v>
          </cell>
          <cell r="M110">
            <v>0</v>
          </cell>
        </row>
        <row r="111">
          <cell r="H111" t="str">
            <v>Nguyễn Thị Huyền Nga</v>
          </cell>
          <cell r="J111">
            <v>22</v>
          </cell>
          <cell r="M111">
            <v>0</v>
          </cell>
        </row>
        <row r="112">
          <cell r="H112" t="str">
            <v>Nguyễn Phương Hà</v>
          </cell>
          <cell r="J112">
            <v>22</v>
          </cell>
          <cell r="M112">
            <v>0</v>
          </cell>
        </row>
        <row r="113">
          <cell r="H113" t="str">
            <v>Trịnh Khắc Vũ</v>
          </cell>
          <cell r="J113">
            <v>22</v>
          </cell>
          <cell r="M113">
            <v>0</v>
          </cell>
        </row>
        <row r="114">
          <cell r="H114" t="str">
            <v>Lê Minh Phong</v>
          </cell>
          <cell r="J114">
            <v>22</v>
          </cell>
          <cell r="M114">
            <v>0</v>
          </cell>
        </row>
        <row r="115">
          <cell r="H115" t="str">
            <v>Nguyễn Văn Đông</v>
          </cell>
          <cell r="J115">
            <v>22</v>
          </cell>
          <cell r="M115">
            <v>0</v>
          </cell>
        </row>
        <row r="116">
          <cell r="H116" t="str">
            <v>Đặng Thị Kiến Trúc</v>
          </cell>
          <cell r="J116">
            <v>22</v>
          </cell>
          <cell r="M116">
            <v>0</v>
          </cell>
        </row>
        <row r="117">
          <cell r="H117" t="str">
            <v>Nguyễn Thanh Tú</v>
          </cell>
          <cell r="J117">
            <v>22</v>
          </cell>
          <cell r="M117">
            <v>0</v>
          </cell>
        </row>
        <row r="118">
          <cell r="H118" t="str">
            <v>Trần Thị Ánh Tuyết</v>
          </cell>
          <cell r="J118">
            <v>22</v>
          </cell>
          <cell r="M118">
            <v>0</v>
          </cell>
        </row>
        <row r="119">
          <cell r="H119" t="str">
            <v>Lê Văn Bình</v>
          </cell>
          <cell r="J119">
            <v>22</v>
          </cell>
          <cell r="M119">
            <v>0</v>
          </cell>
        </row>
        <row r="120">
          <cell r="H120" t="str">
            <v>Phạm Thị Thu Nga</v>
          </cell>
          <cell r="J120">
            <v>22</v>
          </cell>
          <cell r="M120">
            <v>0</v>
          </cell>
        </row>
        <row r="121">
          <cell r="H121" t="str">
            <v>Nguyễn Thị Cẩm Thạch</v>
          </cell>
          <cell r="J121">
            <v>22</v>
          </cell>
          <cell r="M121">
            <v>0</v>
          </cell>
        </row>
        <row r="122">
          <cell r="H122" t="str">
            <v>Hà Như Mai</v>
          </cell>
          <cell r="J122">
            <v>22</v>
          </cell>
          <cell r="M122">
            <v>0</v>
          </cell>
        </row>
        <row r="123">
          <cell r="H123" t="str">
            <v>Nguyễn Thị Thủy</v>
          </cell>
          <cell r="J123">
            <v>22</v>
          </cell>
          <cell r="M123">
            <v>0</v>
          </cell>
        </row>
        <row r="124">
          <cell r="H124" t="str">
            <v>Dương Đức Kiên</v>
          </cell>
          <cell r="J124">
            <v>22</v>
          </cell>
          <cell r="M124">
            <v>0</v>
          </cell>
        </row>
        <row r="125">
          <cell r="H125" t="str">
            <v>Nguyễn Văn Hậu</v>
          </cell>
          <cell r="J125">
            <v>22</v>
          </cell>
          <cell r="M125">
            <v>0</v>
          </cell>
        </row>
        <row r="126">
          <cell r="H126" t="str">
            <v>Lê Thái Hùng</v>
          </cell>
          <cell r="J126">
            <v>22</v>
          </cell>
          <cell r="M126">
            <v>0</v>
          </cell>
        </row>
        <row r="127">
          <cell r="H127" t="str">
            <v>Nguyễn Phú Tân</v>
          </cell>
          <cell r="J127">
            <v>23</v>
          </cell>
          <cell r="M127" t="str">
            <v>Cộng 1 ngày 26/5 hỗ trợ giải bóng đá</v>
          </cell>
        </row>
        <row r="128">
          <cell r="H128" t="str">
            <v>Nguyễn Mạnh Phương</v>
          </cell>
          <cell r="J128">
            <v>22</v>
          </cell>
          <cell r="M128">
            <v>0</v>
          </cell>
        </row>
        <row r="129">
          <cell r="H129" t="str">
            <v>Giang Phi Hùng</v>
          </cell>
          <cell r="J129">
            <v>23</v>
          </cell>
          <cell r="M129" t="str">
            <v>Cộng 1 ngày 26/5 hỗ trợ giải bóng đá</v>
          </cell>
        </row>
        <row r="130">
          <cell r="H130" t="str">
            <v>Ngô Thanh Điền</v>
          </cell>
          <cell r="J130">
            <v>23</v>
          </cell>
          <cell r="M130" t="str">
            <v>Cộng 1 ngày 26/5 hỗ trợ giải bóng đá</v>
          </cell>
        </row>
        <row r="131">
          <cell r="H131" t="str">
            <v>Nguyễn Thị Thu Hà</v>
          </cell>
          <cell r="J131">
            <v>22</v>
          </cell>
          <cell r="M131">
            <v>0</v>
          </cell>
        </row>
        <row r="132">
          <cell r="H132" t="str">
            <v>Vương Thanh Thủy</v>
          </cell>
          <cell r="J132">
            <v>22</v>
          </cell>
          <cell r="M132">
            <v>0</v>
          </cell>
        </row>
        <row r="133">
          <cell r="H133" t="str">
            <v>Nguyễn Thị Bảo Trân</v>
          </cell>
          <cell r="J133">
            <v>22</v>
          </cell>
          <cell r="M133">
            <v>0</v>
          </cell>
        </row>
        <row r="134">
          <cell r="H134" t="str">
            <v>Nguyễn Thị Thu Tâm</v>
          </cell>
          <cell r="J134">
            <v>22</v>
          </cell>
          <cell r="M134">
            <v>0</v>
          </cell>
        </row>
        <row r="135">
          <cell r="H135" t="str">
            <v>Nguyễn Thị Thanh Tú</v>
          </cell>
          <cell r="J135">
            <v>22</v>
          </cell>
          <cell r="M135">
            <v>0</v>
          </cell>
        </row>
        <row r="136">
          <cell r="H136" t="str">
            <v>Võ Thị Hồng Lan</v>
          </cell>
          <cell r="J136">
            <v>22</v>
          </cell>
          <cell r="M136">
            <v>0</v>
          </cell>
        </row>
        <row r="137">
          <cell r="H137" t="str">
            <v>Lê Nguyễn Mỹ Trâm</v>
          </cell>
          <cell r="J137">
            <v>22</v>
          </cell>
          <cell r="M137">
            <v>0</v>
          </cell>
        </row>
        <row r="138">
          <cell r="H138" t="str">
            <v>Phạm Thị Thu Hiền</v>
          </cell>
          <cell r="J138">
            <v>22</v>
          </cell>
          <cell r="M138">
            <v>0</v>
          </cell>
        </row>
        <row r="139">
          <cell r="H139" t="str">
            <v>Nguyễn Thiện Bình</v>
          </cell>
          <cell r="J139">
            <v>22</v>
          </cell>
          <cell r="M139">
            <v>0</v>
          </cell>
        </row>
        <row r="140">
          <cell r="H140" t="str">
            <v>Trần Thanh Trúc</v>
          </cell>
          <cell r="J140">
            <v>22</v>
          </cell>
          <cell r="M140">
            <v>0</v>
          </cell>
        </row>
        <row r="141">
          <cell r="H141" t="str">
            <v>Lâm Thị Phương Thảo</v>
          </cell>
          <cell r="J141">
            <v>22</v>
          </cell>
          <cell r="M141">
            <v>0</v>
          </cell>
        </row>
        <row r="142">
          <cell r="H142" t="str">
            <v>Trần Hà Trang</v>
          </cell>
          <cell r="J142">
            <v>22</v>
          </cell>
          <cell r="M142">
            <v>0</v>
          </cell>
        </row>
        <row r="143">
          <cell r="H143" t="str">
            <v>Lê Thu Hà</v>
          </cell>
          <cell r="J143">
            <v>0</v>
          </cell>
          <cell r="M143" t="str">
            <v>Nghỉ hộ sản hưởng chế độ BHXH từ 9/3/2024</v>
          </cell>
        </row>
        <row r="144">
          <cell r="H144" t="str">
            <v>Ôn Thị Ngọc Thảo</v>
          </cell>
          <cell r="J144">
            <v>22</v>
          </cell>
          <cell r="M144">
            <v>0</v>
          </cell>
        </row>
        <row r="145">
          <cell r="H145" t="str">
            <v>Lê Thị Hồng Vân</v>
          </cell>
          <cell r="J145">
            <v>22</v>
          </cell>
          <cell r="M145">
            <v>0</v>
          </cell>
        </row>
        <row r="146">
          <cell r="H146" t="str">
            <v>Nguyễn Ngọc Quỳnh</v>
          </cell>
          <cell r="J146">
            <v>22</v>
          </cell>
          <cell r="M146">
            <v>0</v>
          </cell>
        </row>
        <row r="147">
          <cell r="H147" t="str">
            <v>Phan Thị Thùy Trang</v>
          </cell>
          <cell r="J147">
            <v>22</v>
          </cell>
          <cell r="M147">
            <v>0</v>
          </cell>
        </row>
        <row r="148">
          <cell r="H148" t="str">
            <v>Lê Thị Mai Hường</v>
          </cell>
          <cell r="J148">
            <v>22</v>
          </cell>
          <cell r="M148">
            <v>0</v>
          </cell>
        </row>
        <row r="149">
          <cell r="H149" t="str">
            <v>Nguyễn Thị Dinh</v>
          </cell>
          <cell r="J149">
            <v>22</v>
          </cell>
          <cell r="M149">
            <v>0</v>
          </cell>
        </row>
        <row r="150">
          <cell r="H150" t="str">
            <v>Đỗ Thị Ngát</v>
          </cell>
          <cell r="J150">
            <v>22</v>
          </cell>
          <cell r="M150">
            <v>0</v>
          </cell>
        </row>
        <row r="151">
          <cell r="H151" t="str">
            <v>Nguyễn Anh Kiệt</v>
          </cell>
          <cell r="J151">
            <v>22</v>
          </cell>
          <cell r="M151">
            <v>0</v>
          </cell>
        </row>
        <row r="152">
          <cell r="H152" t="str">
            <v>Trần Thị Hồng Thu</v>
          </cell>
          <cell r="J152">
            <v>22</v>
          </cell>
          <cell r="M152">
            <v>0</v>
          </cell>
        </row>
        <row r="153">
          <cell r="H153" t="str">
            <v>Đinh Thị Huyên</v>
          </cell>
          <cell r="J153">
            <v>22</v>
          </cell>
          <cell r="M153">
            <v>0</v>
          </cell>
        </row>
        <row r="154">
          <cell r="H154" t="str">
            <v>Cao Thị Hồng Thắm</v>
          </cell>
          <cell r="J154">
            <v>0</v>
          </cell>
          <cell r="M154" t="str">
            <v>Nghỉ hộ sản hưởng chế độ BHXH từ 12/12/2023</v>
          </cell>
        </row>
        <row r="155">
          <cell r="H155" t="str">
            <v>Đỗ Thị Thơm</v>
          </cell>
          <cell r="J155">
            <v>22</v>
          </cell>
          <cell r="M155">
            <v>0</v>
          </cell>
        </row>
        <row r="156">
          <cell r="H156" t="str">
            <v>Phạm Thị Vinh</v>
          </cell>
          <cell r="J156">
            <v>22</v>
          </cell>
          <cell r="M156">
            <v>0</v>
          </cell>
        </row>
        <row r="157">
          <cell r="H157" t="str">
            <v>Hoàng Thị Trang</v>
          </cell>
          <cell r="J157">
            <v>22</v>
          </cell>
          <cell r="M157">
            <v>0</v>
          </cell>
        </row>
        <row r="158">
          <cell r="H158" t="str">
            <v>Bùi Thành Dũng</v>
          </cell>
          <cell r="J158">
            <v>22</v>
          </cell>
          <cell r="M158">
            <v>0</v>
          </cell>
        </row>
        <row r="159">
          <cell r="H159" t="str">
            <v>Trần Văn Lượng</v>
          </cell>
          <cell r="J159">
            <v>22</v>
          </cell>
          <cell r="M159">
            <v>0</v>
          </cell>
        </row>
        <row r="160">
          <cell r="H160" t="str">
            <v>Trần Việt Khánh</v>
          </cell>
          <cell r="J160">
            <v>24</v>
          </cell>
          <cell r="M160" t="str">
            <v>Cộng 2 ngày hỗ trợ thi đầu ra tin học + Anh văn</v>
          </cell>
        </row>
        <row r="161">
          <cell r="H161" t="str">
            <v>Vũ Thị Thái Linh</v>
          </cell>
          <cell r="J161">
            <v>22</v>
          </cell>
          <cell r="M161">
            <v>0</v>
          </cell>
        </row>
        <row r="162">
          <cell r="H162" t="str">
            <v>Nguyễn Sanh Cường</v>
          </cell>
          <cell r="J162">
            <v>22</v>
          </cell>
          <cell r="M162">
            <v>0</v>
          </cell>
        </row>
        <row r="163">
          <cell r="H163" t="str">
            <v>Lê Quý Hưng Quốc</v>
          </cell>
          <cell r="J163">
            <v>22</v>
          </cell>
          <cell r="M163">
            <v>0</v>
          </cell>
        </row>
        <row r="164">
          <cell r="H164" t="str">
            <v>Bùi Văn Dũng</v>
          </cell>
          <cell r="J164">
            <v>22</v>
          </cell>
          <cell r="M164">
            <v>0</v>
          </cell>
        </row>
        <row r="165">
          <cell r="H165" t="str">
            <v>Nguyễn Văn Minh</v>
          </cell>
          <cell r="J165">
            <v>22</v>
          </cell>
          <cell r="M165">
            <v>0</v>
          </cell>
        </row>
        <row r="166">
          <cell r="H166" t="str">
            <v>Nguyễn Thị Khánh Thư</v>
          </cell>
          <cell r="J166">
            <v>22</v>
          </cell>
          <cell r="M166">
            <v>0</v>
          </cell>
        </row>
        <row r="167">
          <cell r="H167" t="str">
            <v>Đỗ Thị Hải Yến</v>
          </cell>
          <cell r="J167">
            <v>22</v>
          </cell>
          <cell r="M167">
            <v>0</v>
          </cell>
        </row>
        <row r="168">
          <cell r="H168" t="str">
            <v>Lê Hồng Thái</v>
          </cell>
          <cell r="J168">
            <v>22</v>
          </cell>
          <cell r="M168">
            <v>0</v>
          </cell>
        </row>
        <row r="169">
          <cell r="H169" t="str">
            <v>Đặng Ngọc Đoàn</v>
          </cell>
          <cell r="J169">
            <v>22</v>
          </cell>
          <cell r="M169">
            <v>0</v>
          </cell>
        </row>
        <row r="170">
          <cell r="H170" t="str">
            <v>Nguyễn Văn Đôn</v>
          </cell>
          <cell r="J170">
            <v>22</v>
          </cell>
          <cell r="M170">
            <v>0</v>
          </cell>
        </row>
        <row r="171">
          <cell r="H171" t="str">
            <v>Huỳnh Quốc Dũng</v>
          </cell>
          <cell r="J171">
            <v>22</v>
          </cell>
          <cell r="M171">
            <v>0</v>
          </cell>
        </row>
        <row r="172">
          <cell r="H172" t="str">
            <v>Dương Ngọc Vọng</v>
          </cell>
          <cell r="J172">
            <v>22</v>
          </cell>
          <cell r="M172">
            <v>0</v>
          </cell>
        </row>
        <row r="173">
          <cell r="H173" t="str">
            <v>Nguyễn Ngọc Tuyên</v>
          </cell>
          <cell r="J173">
            <v>22</v>
          </cell>
          <cell r="M173">
            <v>0</v>
          </cell>
        </row>
        <row r="174">
          <cell r="H174" t="str">
            <v>Nguyễn Cao Phong</v>
          </cell>
          <cell r="J174">
            <v>22</v>
          </cell>
          <cell r="M174">
            <v>0</v>
          </cell>
        </row>
        <row r="175">
          <cell r="H175" t="str">
            <v>Mai Chiếm Tuấn</v>
          </cell>
          <cell r="J175">
            <v>22</v>
          </cell>
          <cell r="M175">
            <v>0</v>
          </cell>
        </row>
        <row r="176">
          <cell r="H176" t="str">
            <v>Đỗ Tuấn Việt</v>
          </cell>
          <cell r="J176">
            <v>22</v>
          </cell>
          <cell r="M176">
            <v>0</v>
          </cell>
        </row>
        <row r="177">
          <cell r="H177" t="str">
            <v>Trần Vĩnh Xuyên</v>
          </cell>
          <cell r="J177">
            <v>22</v>
          </cell>
          <cell r="M177">
            <v>0</v>
          </cell>
        </row>
        <row r="178">
          <cell r="H178" t="str">
            <v>Đào Lê Phương Anh</v>
          </cell>
          <cell r="J178">
            <v>22</v>
          </cell>
          <cell r="M178">
            <v>0</v>
          </cell>
        </row>
        <row r="179">
          <cell r="H179" t="str">
            <v>Nguyễn Duy Lộc</v>
          </cell>
          <cell r="J179">
            <v>22</v>
          </cell>
          <cell r="M179">
            <v>0</v>
          </cell>
        </row>
        <row r="180">
          <cell r="H180" t="str">
            <v>Chung Trần Thế Vinh</v>
          </cell>
          <cell r="J180">
            <v>26</v>
          </cell>
          <cell r="M180">
            <v>0</v>
          </cell>
        </row>
        <row r="181">
          <cell r="H181" t="str">
            <v>Đỗ Thị Phương Khanh</v>
          </cell>
          <cell r="J181">
            <v>22</v>
          </cell>
          <cell r="M181">
            <v>0</v>
          </cell>
        </row>
        <row r="182">
          <cell r="H182" t="str">
            <v>Trương Thị Phương Hồng</v>
          </cell>
          <cell r="J182">
            <v>22</v>
          </cell>
          <cell r="M182">
            <v>0</v>
          </cell>
        </row>
        <row r="183">
          <cell r="H183" t="str">
            <v>Dương Minh Chung</v>
          </cell>
          <cell r="J183">
            <v>22</v>
          </cell>
          <cell r="M183">
            <v>0</v>
          </cell>
        </row>
        <row r="184">
          <cell r="H184" t="str">
            <v>Phan Văn Thành</v>
          </cell>
          <cell r="J184">
            <v>22</v>
          </cell>
          <cell r="M184">
            <v>0</v>
          </cell>
        </row>
        <row r="185">
          <cell r="H185" t="str">
            <v>Vũ Đức Pháp</v>
          </cell>
          <cell r="J185">
            <v>22</v>
          </cell>
          <cell r="M185">
            <v>0</v>
          </cell>
        </row>
        <row r="186">
          <cell r="H186" t="str">
            <v>Vũ Quang Khải</v>
          </cell>
          <cell r="J186">
            <v>22</v>
          </cell>
          <cell r="M186">
            <v>0</v>
          </cell>
        </row>
        <row r="187">
          <cell r="H187" t="str">
            <v>Nguyễn Thanh Vũ</v>
          </cell>
          <cell r="J187">
            <v>22</v>
          </cell>
          <cell r="M187">
            <v>0</v>
          </cell>
        </row>
        <row r="188">
          <cell r="H188" t="str">
            <v>Phan Thị Xuân Trang</v>
          </cell>
          <cell r="J188">
            <v>22</v>
          </cell>
          <cell r="M188">
            <v>0</v>
          </cell>
        </row>
        <row r="189">
          <cell r="H189" t="str">
            <v>Trần Đình Khải</v>
          </cell>
          <cell r="J189">
            <v>22</v>
          </cell>
          <cell r="M189">
            <v>0</v>
          </cell>
        </row>
        <row r="190">
          <cell r="H190" t="str">
            <v>Lư Thị Yến Vũ</v>
          </cell>
          <cell r="J190">
            <v>22</v>
          </cell>
          <cell r="M190">
            <v>0</v>
          </cell>
        </row>
        <row r="191">
          <cell r="H191" t="str">
            <v>Nguyễn Tiến Dũng</v>
          </cell>
          <cell r="J191">
            <v>22</v>
          </cell>
          <cell r="M191">
            <v>0</v>
          </cell>
        </row>
        <row r="192">
          <cell r="H192" t="str">
            <v>Nguyễn Thành Long</v>
          </cell>
          <cell r="J192">
            <v>22</v>
          </cell>
          <cell r="M192">
            <v>0</v>
          </cell>
        </row>
        <row r="193">
          <cell r="H193" t="str">
            <v>Nguyễn Ngọc Quỳnh.</v>
          </cell>
          <cell r="J193">
            <v>22</v>
          </cell>
          <cell r="M193">
            <v>0</v>
          </cell>
        </row>
        <row r="194">
          <cell r="H194" t="str">
            <v>Nguyễn Duy Hải</v>
          </cell>
          <cell r="J194">
            <v>22</v>
          </cell>
          <cell r="M194">
            <v>0</v>
          </cell>
        </row>
        <row r="195">
          <cell r="H195" t="str">
            <v>Bùi Anh Tuấn</v>
          </cell>
          <cell r="J195">
            <v>22</v>
          </cell>
          <cell r="M195">
            <v>0</v>
          </cell>
        </row>
        <row r="196">
          <cell r="H196" t="str">
            <v>Trần Thị Hương</v>
          </cell>
          <cell r="J196">
            <v>22</v>
          </cell>
          <cell r="M196">
            <v>0</v>
          </cell>
        </row>
        <row r="197">
          <cell r="H197" t="str">
            <v>Trần Minh Thông</v>
          </cell>
          <cell r="J197">
            <v>22</v>
          </cell>
          <cell r="M197">
            <v>0</v>
          </cell>
        </row>
        <row r="198">
          <cell r="H198" t="str">
            <v>Nguyễn Thanh Vĩnh Phúc</v>
          </cell>
          <cell r="J198">
            <v>22</v>
          </cell>
          <cell r="M198">
            <v>0</v>
          </cell>
        </row>
        <row r="199">
          <cell r="H199" t="str">
            <v>Võ Minh Quang</v>
          </cell>
          <cell r="J199">
            <v>22</v>
          </cell>
          <cell r="M199">
            <v>0</v>
          </cell>
        </row>
        <row r="200">
          <cell r="H200" t="str">
            <v>Dương Thị Hồng</v>
          </cell>
          <cell r="J200">
            <v>22</v>
          </cell>
          <cell r="M200">
            <v>0</v>
          </cell>
        </row>
        <row r="201">
          <cell r="H201" t="str">
            <v>Nguyễn Thanh Giang</v>
          </cell>
          <cell r="J201">
            <v>22</v>
          </cell>
          <cell r="M201">
            <v>0</v>
          </cell>
        </row>
        <row r="202">
          <cell r="H202" t="str">
            <v>Nguyễn Hồng Phúc</v>
          </cell>
          <cell r="J202">
            <v>22</v>
          </cell>
          <cell r="M202">
            <v>0</v>
          </cell>
        </row>
        <row r="203">
          <cell r="H203" t="str">
            <v>Nguyễn Văn Sơn</v>
          </cell>
          <cell r="J203">
            <v>22</v>
          </cell>
          <cell r="M203">
            <v>0</v>
          </cell>
        </row>
        <row r="204">
          <cell r="H204" t="str">
            <v>Nguyễn Khắc Huy</v>
          </cell>
          <cell r="J204">
            <v>22</v>
          </cell>
          <cell r="M204">
            <v>0</v>
          </cell>
        </row>
        <row r="205">
          <cell r="H205" t="str">
            <v>Võ Hoài Sơn</v>
          </cell>
          <cell r="J205">
            <v>22</v>
          </cell>
          <cell r="M205">
            <v>0</v>
          </cell>
        </row>
        <row r="206">
          <cell r="H206" t="str">
            <v>Nguyễn Thị Xuân Chinh</v>
          </cell>
          <cell r="J206">
            <v>22</v>
          </cell>
          <cell r="M206">
            <v>0</v>
          </cell>
        </row>
        <row r="207">
          <cell r="H207" t="str">
            <v>Nguyễn Duy Tân</v>
          </cell>
          <cell r="J207">
            <v>22</v>
          </cell>
          <cell r="M207">
            <v>0</v>
          </cell>
        </row>
        <row r="208">
          <cell r="H208" t="str">
            <v>Nguyễn Ngọc Hiệp</v>
          </cell>
          <cell r="J208">
            <v>22</v>
          </cell>
          <cell r="M208">
            <v>0</v>
          </cell>
        </row>
        <row r="209">
          <cell r="H209" t="str">
            <v>Tạ Minh Cường</v>
          </cell>
          <cell r="J209">
            <v>22</v>
          </cell>
          <cell r="M209">
            <v>0</v>
          </cell>
        </row>
        <row r="210">
          <cell r="H210" t="str">
            <v>Phạm Minh Nghĩa</v>
          </cell>
          <cell r="J210">
            <v>22</v>
          </cell>
          <cell r="M210">
            <v>0</v>
          </cell>
        </row>
        <row r="211">
          <cell r="H211" t="str">
            <v>Nguyễn Văn Yên</v>
          </cell>
          <cell r="J211">
            <v>22</v>
          </cell>
          <cell r="M211">
            <v>0</v>
          </cell>
        </row>
        <row r="212">
          <cell r="H212" t="str">
            <v>Nguyễn Minh Đức</v>
          </cell>
          <cell r="J212">
            <v>22</v>
          </cell>
          <cell r="M212">
            <v>0</v>
          </cell>
        </row>
        <row r="213">
          <cell r="H213" t="str">
            <v>Nguyễn Anh Tăng</v>
          </cell>
          <cell r="J213">
            <v>22</v>
          </cell>
          <cell r="M213">
            <v>0</v>
          </cell>
        </row>
        <row r="214">
          <cell r="H214" t="str">
            <v>Lê Thế Huân</v>
          </cell>
          <cell r="J214">
            <v>22</v>
          </cell>
          <cell r="M214">
            <v>0</v>
          </cell>
        </row>
        <row r="215">
          <cell r="H215" t="str">
            <v>Trần Trung Hiếu</v>
          </cell>
          <cell r="J215">
            <v>22</v>
          </cell>
          <cell r="M215">
            <v>0</v>
          </cell>
        </row>
        <row r="216">
          <cell r="H216" t="str">
            <v>Trần Nguyên Bảo Trân</v>
          </cell>
          <cell r="J216">
            <v>22</v>
          </cell>
          <cell r="M216">
            <v>0</v>
          </cell>
        </row>
        <row r="217">
          <cell r="H217" t="str">
            <v>Mạnh Lê Hoàn</v>
          </cell>
          <cell r="J217">
            <v>22</v>
          </cell>
          <cell r="M217">
            <v>0</v>
          </cell>
        </row>
        <row r="218">
          <cell r="H218" t="str">
            <v>Ngô Hoàng Anh</v>
          </cell>
          <cell r="J218">
            <v>22</v>
          </cell>
          <cell r="M218">
            <v>0</v>
          </cell>
        </row>
        <row r="219">
          <cell r="H219" t="str">
            <v>Nguyễn Thùy Linh</v>
          </cell>
          <cell r="J219">
            <v>22</v>
          </cell>
          <cell r="M219">
            <v>0</v>
          </cell>
        </row>
        <row r="220">
          <cell r="H220" t="str">
            <v>Vũ Hạnh Chiêu</v>
          </cell>
          <cell r="J220">
            <v>22</v>
          </cell>
          <cell r="M220">
            <v>0</v>
          </cell>
        </row>
        <row r="221">
          <cell r="H221" t="str">
            <v>Đỗ Huỳnh Thanh Phong</v>
          </cell>
          <cell r="J221">
            <v>22</v>
          </cell>
          <cell r="M221">
            <v>0</v>
          </cell>
        </row>
        <row r="222">
          <cell r="H222" t="str">
            <v>Nguyễn Minh Đức Cường</v>
          </cell>
          <cell r="J222">
            <v>22</v>
          </cell>
          <cell r="M222">
            <v>0</v>
          </cell>
        </row>
        <row r="223">
          <cell r="H223" t="str">
            <v>Huỳnh Ngọc Mai</v>
          </cell>
          <cell r="J223">
            <v>22</v>
          </cell>
          <cell r="M223">
            <v>0</v>
          </cell>
        </row>
        <row r="224">
          <cell r="H224" t="str">
            <v>Nguyễn Hồng Đức</v>
          </cell>
          <cell r="J224">
            <v>22</v>
          </cell>
          <cell r="M224">
            <v>0</v>
          </cell>
        </row>
        <row r="225">
          <cell r="H225" t="str">
            <v>Trần Công Tiến</v>
          </cell>
          <cell r="J225">
            <v>22</v>
          </cell>
          <cell r="M225">
            <v>0</v>
          </cell>
        </row>
        <row r="226">
          <cell r="H226" t="str">
            <v>Nguyễn Trần Thanh Nhàn</v>
          </cell>
          <cell r="J226">
            <v>22</v>
          </cell>
          <cell r="M226">
            <v>0</v>
          </cell>
        </row>
        <row r="227">
          <cell r="H227" t="str">
            <v>Tăng Cẩm Huê</v>
          </cell>
          <cell r="J227">
            <v>22</v>
          </cell>
          <cell r="M227">
            <v>0</v>
          </cell>
        </row>
        <row r="228">
          <cell r="H228" t="str">
            <v>Trần Hiếu Trinh</v>
          </cell>
          <cell r="J228">
            <v>22</v>
          </cell>
          <cell r="M228">
            <v>0</v>
          </cell>
        </row>
        <row r="229">
          <cell r="H229" t="str">
            <v>Nguyễn Thị Tố Nga</v>
          </cell>
          <cell r="J229">
            <v>22</v>
          </cell>
          <cell r="M229">
            <v>0</v>
          </cell>
        </row>
        <row r="230">
          <cell r="H230" t="str">
            <v>Đặng Đức Minh</v>
          </cell>
          <cell r="J230">
            <v>22</v>
          </cell>
          <cell r="M230">
            <v>0</v>
          </cell>
        </row>
        <row r="231">
          <cell r="H231" t="str">
            <v>Nguyễn Thị Ngọc Hiền</v>
          </cell>
          <cell r="J231">
            <v>22</v>
          </cell>
          <cell r="M231">
            <v>0</v>
          </cell>
        </row>
        <row r="232">
          <cell r="H232" t="str">
            <v>Ngô Phong Cường</v>
          </cell>
          <cell r="J232">
            <v>22</v>
          </cell>
          <cell r="M232">
            <v>0</v>
          </cell>
        </row>
        <row r="233">
          <cell r="H233" t="str">
            <v>Cao Văn Tuấn</v>
          </cell>
          <cell r="J233">
            <v>22</v>
          </cell>
          <cell r="M233">
            <v>0</v>
          </cell>
        </row>
        <row r="234">
          <cell r="H234" t="str">
            <v>Trần Nam Anh</v>
          </cell>
          <cell r="J234">
            <v>22</v>
          </cell>
          <cell r="M234">
            <v>0</v>
          </cell>
        </row>
        <row r="235">
          <cell r="H235" t="str">
            <v>Trần Giang Nam</v>
          </cell>
          <cell r="J235">
            <v>22</v>
          </cell>
          <cell r="M235">
            <v>0</v>
          </cell>
        </row>
        <row r="236">
          <cell r="H236" t="str">
            <v>Phan Thanh Hoàng</v>
          </cell>
          <cell r="J236">
            <v>22</v>
          </cell>
          <cell r="M236">
            <v>0</v>
          </cell>
        </row>
        <row r="237">
          <cell r="H237" t="str">
            <v>Huỳnh Duy An</v>
          </cell>
          <cell r="J237">
            <v>22</v>
          </cell>
          <cell r="M237">
            <v>0</v>
          </cell>
        </row>
        <row r="238">
          <cell r="H238" t="str">
            <v>Nguyễn Khương Thành</v>
          </cell>
          <cell r="J238">
            <v>22</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22</v>
          </cell>
          <cell r="M241">
            <v>0</v>
          </cell>
        </row>
        <row r="242">
          <cell r="H242" t="str">
            <v>Phan Anh Tuấn Kiệt</v>
          </cell>
          <cell r="J242">
            <v>22</v>
          </cell>
          <cell r="M242">
            <v>0</v>
          </cell>
        </row>
        <row r="243">
          <cell r="H243" t="str">
            <v>Triệu Phú Nguyên</v>
          </cell>
          <cell r="J243">
            <v>22</v>
          </cell>
          <cell r="M243">
            <v>0</v>
          </cell>
        </row>
        <row r="244">
          <cell r="H244" t="str">
            <v>Nguyễn Thành Đức</v>
          </cell>
          <cell r="J244">
            <v>22</v>
          </cell>
          <cell r="M244">
            <v>0</v>
          </cell>
        </row>
        <row r="245">
          <cell r="H245" t="str">
            <v>Nguyễn Minh Thái</v>
          </cell>
          <cell r="J245">
            <v>22</v>
          </cell>
          <cell r="M245">
            <v>0</v>
          </cell>
        </row>
        <row r="246">
          <cell r="H246" t="str">
            <v>Đặng Thái Sơn</v>
          </cell>
          <cell r="J246">
            <v>22</v>
          </cell>
          <cell r="M246">
            <v>0</v>
          </cell>
        </row>
        <row r="247">
          <cell r="H247" t="str">
            <v>Nguyễn Thái Bình</v>
          </cell>
          <cell r="J247">
            <v>22</v>
          </cell>
          <cell r="M247">
            <v>0</v>
          </cell>
        </row>
        <row r="248">
          <cell r="H248" t="str">
            <v>Kiều Trung Tín</v>
          </cell>
          <cell r="J248">
            <v>22</v>
          </cell>
          <cell r="M248">
            <v>0</v>
          </cell>
        </row>
        <row r="249">
          <cell r="H249" t="str">
            <v>Trần Quốc Duy</v>
          </cell>
          <cell r="J249">
            <v>22</v>
          </cell>
          <cell r="M249">
            <v>0</v>
          </cell>
        </row>
        <row r="250">
          <cell r="H250" t="str">
            <v>Hồ Văn Hóa</v>
          </cell>
          <cell r="J250">
            <v>22</v>
          </cell>
          <cell r="M250">
            <v>0</v>
          </cell>
        </row>
        <row r="251">
          <cell r="H251" t="str">
            <v>Nguyễn Thanh Hùng</v>
          </cell>
          <cell r="J251">
            <v>22</v>
          </cell>
          <cell r="M251">
            <v>0</v>
          </cell>
        </row>
        <row r="252">
          <cell r="H252" t="str">
            <v>Hà Quốc Bảo</v>
          </cell>
          <cell r="J252">
            <v>22</v>
          </cell>
          <cell r="M252">
            <v>0</v>
          </cell>
        </row>
        <row r="253">
          <cell r="H253" t="str">
            <v>Hoàng Phúc Bảo</v>
          </cell>
          <cell r="J253">
            <v>22</v>
          </cell>
          <cell r="M253">
            <v>0</v>
          </cell>
        </row>
        <row r="254">
          <cell r="H254" t="str">
            <v>Nguyễn Lương Tâm</v>
          </cell>
          <cell r="J254">
            <v>22</v>
          </cell>
          <cell r="M254">
            <v>0</v>
          </cell>
        </row>
        <row r="255">
          <cell r="H255" t="str">
            <v>Trần Thế Sơn</v>
          </cell>
          <cell r="J255">
            <v>22</v>
          </cell>
          <cell r="M255">
            <v>0</v>
          </cell>
        </row>
        <row r="256">
          <cell r="H256" t="str">
            <v>Trần Văn Đông</v>
          </cell>
          <cell r="J256">
            <v>22</v>
          </cell>
          <cell r="M256">
            <v>0</v>
          </cell>
        </row>
        <row r="257">
          <cell r="H257" t="str">
            <v>Lý Văn Trung</v>
          </cell>
          <cell r="J257">
            <v>22</v>
          </cell>
          <cell r="M257">
            <v>0</v>
          </cell>
        </row>
        <row r="258">
          <cell r="H258" t="str">
            <v>Nguyễn Hoàng Vinh</v>
          </cell>
          <cell r="J258">
            <v>22</v>
          </cell>
          <cell r="M258">
            <v>0</v>
          </cell>
        </row>
        <row r="259">
          <cell r="H259" t="str">
            <v>Bùi Trọng Tân</v>
          </cell>
          <cell r="J259">
            <v>22</v>
          </cell>
          <cell r="M259">
            <v>0</v>
          </cell>
        </row>
        <row r="260">
          <cell r="H260" t="str">
            <v>Võ Quốc Duy</v>
          </cell>
          <cell r="J260">
            <v>22</v>
          </cell>
          <cell r="M260">
            <v>0</v>
          </cell>
        </row>
        <row r="261">
          <cell r="H261" t="str">
            <v>Giang Văn Tiến</v>
          </cell>
          <cell r="J261">
            <v>22</v>
          </cell>
          <cell r="M261">
            <v>0</v>
          </cell>
        </row>
        <row r="262">
          <cell r="H262" t="str">
            <v>Nguyễn Hữu Lương</v>
          </cell>
          <cell r="J262">
            <v>22</v>
          </cell>
          <cell r="M262">
            <v>0</v>
          </cell>
        </row>
        <row r="263">
          <cell r="H263" t="str">
            <v>Huỳnh Đình Văn</v>
          </cell>
          <cell r="J263">
            <v>22</v>
          </cell>
          <cell r="M263">
            <v>0</v>
          </cell>
        </row>
        <row r="264">
          <cell r="H264" t="str">
            <v>Phạm Quang Vũ</v>
          </cell>
          <cell r="J264">
            <v>22</v>
          </cell>
          <cell r="M264">
            <v>0</v>
          </cell>
        </row>
        <row r="265">
          <cell r="H265" t="str">
            <v>Trình Minh Phong</v>
          </cell>
          <cell r="J265">
            <v>22</v>
          </cell>
          <cell r="M265">
            <v>0</v>
          </cell>
        </row>
        <row r="266">
          <cell r="H266" t="str">
            <v>Trần Ngọc Tuấn</v>
          </cell>
          <cell r="J266">
            <v>22</v>
          </cell>
          <cell r="M266">
            <v>0</v>
          </cell>
        </row>
        <row r="267">
          <cell r="H267" t="str">
            <v>Đinh Đồng Hiệp</v>
          </cell>
          <cell r="J267">
            <v>22</v>
          </cell>
          <cell r="M267">
            <v>0</v>
          </cell>
        </row>
        <row r="268">
          <cell r="H268" t="str">
            <v>Đặng Thế Huân</v>
          </cell>
          <cell r="J268">
            <v>22</v>
          </cell>
          <cell r="M268">
            <v>0</v>
          </cell>
        </row>
        <row r="269">
          <cell r="H269" t="str">
            <v>Võ Anh Hào</v>
          </cell>
          <cell r="J269">
            <v>22</v>
          </cell>
          <cell r="M269">
            <v>0</v>
          </cell>
        </row>
        <row r="270">
          <cell r="H270" t="str">
            <v>Phan Văn Hòa</v>
          </cell>
          <cell r="J270">
            <v>22</v>
          </cell>
          <cell r="M270">
            <v>0</v>
          </cell>
        </row>
        <row r="271">
          <cell r="H271" t="str">
            <v>Trần Đình Khoa</v>
          </cell>
          <cell r="J271">
            <v>22</v>
          </cell>
          <cell r="M271">
            <v>0</v>
          </cell>
        </row>
        <row r="272">
          <cell r="H272" t="str">
            <v>Đỗ Trọng Quý</v>
          </cell>
          <cell r="J272">
            <v>22</v>
          </cell>
          <cell r="M272">
            <v>0</v>
          </cell>
        </row>
        <row r="273">
          <cell r="H273" t="str">
            <v>Nguyễn Vũ Xuân Thì</v>
          </cell>
          <cell r="J273">
            <v>22</v>
          </cell>
          <cell r="M273">
            <v>0</v>
          </cell>
        </row>
        <row r="274">
          <cell r="H274" t="str">
            <v>Hoàng Văn Viết</v>
          </cell>
          <cell r="J274">
            <v>22</v>
          </cell>
          <cell r="M274">
            <v>0</v>
          </cell>
        </row>
        <row r="275">
          <cell r="H275" t="str">
            <v>Nguyễn Thanh Dũng</v>
          </cell>
          <cell r="J275">
            <v>22</v>
          </cell>
          <cell r="M275">
            <v>0</v>
          </cell>
        </row>
        <row r="276">
          <cell r="H276">
            <v>0</v>
          </cell>
          <cell r="J276">
            <v>6005</v>
          </cell>
          <cell r="M276">
            <v>0</v>
          </cell>
        </row>
      </sheetData>
      <sheetData sheetId="1"/>
      <sheetData sheetId="2">
        <row r="10">
          <cell r="H10" t="str">
            <v>Đồng Anh Tuấn</v>
          </cell>
          <cell r="J10">
            <v>24</v>
          </cell>
          <cell r="M10" t="str">
            <v>Trừ 2 ngày nghỉ phép 15+28/5</v>
          </cell>
        </row>
        <row r="11">
          <cell r="H11" t="str">
            <v>Lê Hồng Sơn</v>
          </cell>
          <cell r="J11">
            <v>24</v>
          </cell>
          <cell r="M11" t="str">
            <v>Trừ 2 ngày nghỉ phép 7+22/5</v>
          </cell>
        </row>
        <row r="12">
          <cell r="H12" t="str">
            <v>Nguyễn Thanh Hiền</v>
          </cell>
          <cell r="J12">
            <v>24</v>
          </cell>
          <cell r="M12" t="str">
            <v>Trừ 2 ngày nghỉ phép 8+27/5</v>
          </cell>
        </row>
        <row r="13">
          <cell r="H13" t="str">
            <v>Lê Hồng Phúc</v>
          </cell>
          <cell r="J13">
            <v>27</v>
          </cell>
          <cell r="M13">
            <v>0</v>
          </cell>
        </row>
        <row r="14">
          <cell r="H14" t="str">
            <v>Phạm Hữu Tấn</v>
          </cell>
          <cell r="J14">
            <v>26</v>
          </cell>
          <cell r="M14">
            <v>0</v>
          </cell>
        </row>
        <row r="15">
          <cell r="H15" t="str">
            <v>Nguyễn Hữu Xuân Vũ</v>
          </cell>
          <cell r="J15">
            <v>23</v>
          </cell>
          <cell r="M15" t="str">
            <v>Trừ 3 ngày nghỉ phép 18+30+31/5</v>
          </cell>
        </row>
        <row r="16">
          <cell r="H16" t="str">
            <v>Phạm Hữu Thành Phú</v>
          </cell>
          <cell r="J16">
            <v>26</v>
          </cell>
          <cell r="M16">
            <v>0</v>
          </cell>
        </row>
        <row r="17">
          <cell r="H17" t="str">
            <v>Huỳnh Thanh Nhàn</v>
          </cell>
          <cell r="J17">
            <v>25</v>
          </cell>
          <cell r="M17" t="str">
            <v>Trừ 1 ngày nghỉ phép 31/5</v>
          </cell>
        </row>
        <row r="18">
          <cell r="H18" t="str">
            <v>Phạm Quang Tùng</v>
          </cell>
          <cell r="J18">
            <v>27</v>
          </cell>
          <cell r="M18" t="str">
            <v>Cộng 1 ngày trực tăng cường 17/5</v>
          </cell>
        </row>
        <row r="19">
          <cell r="H19" t="str">
            <v>Trần Thanh Cường</v>
          </cell>
          <cell r="J19">
            <v>25</v>
          </cell>
          <cell r="M19" t="str">
            <v>Trừ 1 ngày nghỉ phép 9/5</v>
          </cell>
        </row>
        <row r="20">
          <cell r="H20" t="str">
            <v>Dương Văn Tâm</v>
          </cell>
          <cell r="J20">
            <v>27</v>
          </cell>
          <cell r="M20">
            <v>0</v>
          </cell>
        </row>
        <row r="21">
          <cell r="H21" t="str">
            <v>Huỳnh Ngọc Liên</v>
          </cell>
          <cell r="J21">
            <v>26</v>
          </cell>
          <cell r="M21">
            <v>0</v>
          </cell>
        </row>
        <row r="22">
          <cell r="H22" t="str">
            <v>Huỳnh Thị Xuân Mai</v>
          </cell>
          <cell r="J22">
            <v>24.5</v>
          </cell>
          <cell r="M22" t="str">
            <v>Trừ 1 ngày nghỉ phép 18/5</v>
          </cell>
        </row>
        <row r="23">
          <cell r="H23" t="str">
            <v>Trần Văn Cu Anh</v>
          </cell>
          <cell r="J23">
            <v>24</v>
          </cell>
          <cell r="M23" t="str">
            <v>Trừ 2 ngày nghỉ phép 18+20/5</v>
          </cell>
        </row>
        <row r="24">
          <cell r="H24" t="str">
            <v>Vũ Anh Hiếu</v>
          </cell>
          <cell r="J24">
            <v>25</v>
          </cell>
          <cell r="M24" t="str">
            <v>Trừ 1 ngày nghỉ phép 13/5</v>
          </cell>
        </row>
        <row r="25">
          <cell r="H25" t="str">
            <v>Dương Thị Thủy</v>
          </cell>
          <cell r="J25">
            <v>26</v>
          </cell>
          <cell r="M25">
            <v>0</v>
          </cell>
        </row>
        <row r="26">
          <cell r="H26" t="str">
            <v>Tạ Quốc Tấn</v>
          </cell>
          <cell r="J26">
            <v>26</v>
          </cell>
          <cell r="M26">
            <v>0</v>
          </cell>
        </row>
        <row r="27">
          <cell r="H27" t="str">
            <v>Huỳnh Bá Triết</v>
          </cell>
          <cell r="J27">
            <v>24</v>
          </cell>
          <cell r="M27" t="str">
            <v>Trừ 1 ngày nghỉ phép 11/5; 1 ngày nghỉ chế độ cưới 31/5</v>
          </cell>
        </row>
        <row r="28">
          <cell r="H28" t="str">
            <v>Giáp Đức Nhận</v>
          </cell>
          <cell r="J28">
            <v>26</v>
          </cell>
          <cell r="M28">
            <v>0</v>
          </cell>
        </row>
        <row r="29">
          <cell r="H29" t="str">
            <v>Trần Thị Thu</v>
          </cell>
          <cell r="J29">
            <v>26</v>
          </cell>
          <cell r="M29">
            <v>0</v>
          </cell>
        </row>
        <row r="30">
          <cell r="H30" t="str">
            <v>Đỗ Thị Bích Thủy</v>
          </cell>
          <cell r="J30">
            <v>25</v>
          </cell>
          <cell r="M30" t="str">
            <v>Trừ 1 ngày nghỉ phép 20/5</v>
          </cell>
        </row>
        <row r="31">
          <cell r="H31" t="str">
            <v>Trịnh Tuấn Vũ</v>
          </cell>
          <cell r="J31">
            <v>25</v>
          </cell>
          <cell r="M31" t="str">
            <v>Trừ 1 ngày nghỉ phép 22/5</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26</v>
          </cell>
          <cell r="M37">
            <v>0</v>
          </cell>
        </row>
        <row r="38">
          <cell r="H38" t="str">
            <v>Phạm Thị Hoàng Diễm</v>
          </cell>
          <cell r="J38">
            <v>24</v>
          </cell>
          <cell r="M38" t="str">
            <v>Trừ 1 ngày nghỉ phép 10/5</v>
          </cell>
        </row>
        <row r="39">
          <cell r="H39" t="str">
            <v>Nguyễn Văn Hiển</v>
          </cell>
          <cell r="J39">
            <v>26</v>
          </cell>
          <cell r="M39">
            <v>0</v>
          </cell>
        </row>
        <row r="40">
          <cell r="H40" t="str">
            <v>Trần Thanh Phương</v>
          </cell>
          <cell r="J40">
            <v>26</v>
          </cell>
          <cell r="M40">
            <v>0</v>
          </cell>
        </row>
        <row r="41">
          <cell r="H41" t="str">
            <v>Lâm Võ Hữu Duy</v>
          </cell>
          <cell r="J41">
            <v>26</v>
          </cell>
          <cell r="M41">
            <v>0</v>
          </cell>
        </row>
        <row r="42">
          <cell r="H42" t="str">
            <v>Lê Thị Huyền</v>
          </cell>
          <cell r="J42">
            <v>26</v>
          </cell>
          <cell r="M42">
            <v>0</v>
          </cell>
        </row>
        <row r="43">
          <cell r="H43" t="str">
            <v>Trần Thị Thảo Vân</v>
          </cell>
          <cell r="J43">
            <v>26</v>
          </cell>
          <cell r="M43">
            <v>0</v>
          </cell>
        </row>
        <row r="44">
          <cell r="H44" t="str">
            <v>Nguyễn Thụy Nghiêm</v>
          </cell>
          <cell r="J44">
            <v>26</v>
          </cell>
          <cell r="M44">
            <v>0</v>
          </cell>
        </row>
        <row r="45">
          <cell r="H45" t="str">
            <v>Huỳnh Như Ý</v>
          </cell>
          <cell r="J45">
            <v>26</v>
          </cell>
          <cell r="M45">
            <v>0</v>
          </cell>
        </row>
        <row r="46">
          <cell r="H46" t="str">
            <v>Nguyễn Chiến Thắng</v>
          </cell>
          <cell r="J46">
            <v>26</v>
          </cell>
          <cell r="M46">
            <v>0</v>
          </cell>
        </row>
        <row r="47">
          <cell r="H47" t="str">
            <v>Huỳnh Văn Hiếu</v>
          </cell>
          <cell r="J47">
            <v>26</v>
          </cell>
          <cell r="M47">
            <v>0</v>
          </cell>
        </row>
        <row r="48">
          <cell r="H48" t="str">
            <v>Trần Anh Mỹ</v>
          </cell>
          <cell r="J48">
            <v>26</v>
          </cell>
          <cell r="M48">
            <v>0</v>
          </cell>
        </row>
        <row r="49">
          <cell r="H49" t="str">
            <v>Nguyễn Trung Dũng</v>
          </cell>
          <cell r="J49">
            <v>27</v>
          </cell>
          <cell r="M49">
            <v>0</v>
          </cell>
        </row>
        <row r="50">
          <cell r="H50" t="str">
            <v>Phạm Huy Hoàng</v>
          </cell>
          <cell r="J50">
            <v>26</v>
          </cell>
          <cell r="M50">
            <v>0</v>
          </cell>
        </row>
        <row r="51">
          <cell r="H51" t="str">
            <v>Bùi Đức Phước</v>
          </cell>
          <cell r="J51">
            <v>26</v>
          </cell>
          <cell r="M51">
            <v>0</v>
          </cell>
        </row>
        <row r="52">
          <cell r="H52" t="str">
            <v>Nguyễn Thị Thảo</v>
          </cell>
          <cell r="J52">
            <v>25</v>
          </cell>
          <cell r="M52" t="str">
            <v>Trừ 1 ngày nghỉ phép 2/5</v>
          </cell>
        </row>
        <row r="53">
          <cell r="H53" t="str">
            <v>Lưu Hoàng Bảo Châu</v>
          </cell>
          <cell r="J53">
            <v>26</v>
          </cell>
          <cell r="M53">
            <v>0</v>
          </cell>
        </row>
        <row r="54">
          <cell r="H54" t="str">
            <v>Trần Việt Anh</v>
          </cell>
          <cell r="J54">
            <v>24</v>
          </cell>
          <cell r="M54" t="str">
            <v>Trừ 2 ngày nghỉ phép 24+25/6</v>
          </cell>
        </row>
        <row r="55">
          <cell r="H55" t="str">
            <v>Phạm Huỳnh Kim Ngân</v>
          </cell>
          <cell r="J55">
            <v>26</v>
          </cell>
          <cell r="M55">
            <v>0</v>
          </cell>
        </row>
        <row r="56">
          <cell r="H56" t="str">
            <v>Nguyễn Đan Trường</v>
          </cell>
          <cell r="J56">
            <v>27</v>
          </cell>
          <cell r="M56" t="str">
            <v>Cộng 1 ngày CN 19/5</v>
          </cell>
        </row>
        <row r="57">
          <cell r="H57" t="str">
            <v>Lương Công Phi</v>
          </cell>
          <cell r="J57">
            <v>25</v>
          </cell>
          <cell r="M57" t="str">
            <v>Trừ 1 ngày nghỉ phép 31/5</v>
          </cell>
        </row>
        <row r="58">
          <cell r="H58" t="str">
            <v>Nguyễn Yến Nhi</v>
          </cell>
          <cell r="J58">
            <v>26</v>
          </cell>
          <cell r="M58">
            <v>0</v>
          </cell>
        </row>
        <row r="59">
          <cell r="H59" t="str">
            <v>Nguyễn Khắc Huân</v>
          </cell>
          <cell r="J59">
            <v>26</v>
          </cell>
          <cell r="M59">
            <v>0</v>
          </cell>
        </row>
        <row r="60">
          <cell r="H60" t="str">
            <v>Nguyễn Thị Trang</v>
          </cell>
          <cell r="J60">
            <v>26</v>
          </cell>
          <cell r="M60">
            <v>0</v>
          </cell>
        </row>
        <row r="61">
          <cell r="H61" t="str">
            <v>Lư Diễm Phúc</v>
          </cell>
          <cell r="J61">
            <v>25</v>
          </cell>
          <cell r="M61" t="str">
            <v>Trừ 1 ngày nghỉ phép 18/5</v>
          </cell>
        </row>
        <row r="62">
          <cell r="H62" t="str">
            <v>Hà Thị Hậu</v>
          </cell>
          <cell r="J62">
            <v>26</v>
          </cell>
          <cell r="M62">
            <v>0</v>
          </cell>
        </row>
        <row r="63">
          <cell r="H63" t="str">
            <v>Lê Tiến Dũng</v>
          </cell>
          <cell r="J63">
            <v>25</v>
          </cell>
          <cell r="M63" t="str">
            <v>Trừ 1 ngày nghỉ phép 13/5</v>
          </cell>
        </row>
        <row r="64">
          <cell r="H64" t="str">
            <v>Lê Trần Thanh Nga</v>
          </cell>
          <cell r="J64">
            <v>26</v>
          </cell>
          <cell r="M64">
            <v>0</v>
          </cell>
        </row>
        <row r="65">
          <cell r="H65" t="str">
            <v>Nguyễn Việt Tiến</v>
          </cell>
          <cell r="J65">
            <v>25</v>
          </cell>
          <cell r="M65">
            <v>0</v>
          </cell>
        </row>
        <row r="66">
          <cell r="H66" t="str">
            <v>Nguyễn Thị Tất</v>
          </cell>
          <cell r="J66">
            <v>26</v>
          </cell>
          <cell r="M66">
            <v>0</v>
          </cell>
        </row>
        <row r="67">
          <cell r="H67" t="str">
            <v>Sỹ Thị Chung</v>
          </cell>
          <cell r="J67">
            <v>27</v>
          </cell>
          <cell r="M67">
            <v>0</v>
          </cell>
        </row>
        <row r="68">
          <cell r="H68" t="str">
            <v>Nguyễn Thị Nhung</v>
          </cell>
          <cell r="J68">
            <v>27</v>
          </cell>
          <cell r="M68">
            <v>0</v>
          </cell>
        </row>
        <row r="69">
          <cell r="H69" t="str">
            <v>Trần Nhật Thịnh</v>
          </cell>
          <cell r="J69">
            <v>26</v>
          </cell>
          <cell r="M69">
            <v>0</v>
          </cell>
        </row>
        <row r="70">
          <cell r="H70" t="str">
            <v>Đỗ Công Thành</v>
          </cell>
          <cell r="J70">
            <v>30</v>
          </cell>
          <cell r="M70">
            <v>0</v>
          </cell>
        </row>
        <row r="71">
          <cell r="H71" t="str">
            <v>Lương Thị Thắm</v>
          </cell>
          <cell r="J71">
            <v>28</v>
          </cell>
          <cell r="M71">
            <v>0</v>
          </cell>
        </row>
        <row r="72">
          <cell r="H72" t="str">
            <v>Nguyễn Xuân Lợi</v>
          </cell>
          <cell r="J72">
            <v>28</v>
          </cell>
          <cell r="M72">
            <v>0</v>
          </cell>
        </row>
        <row r="73">
          <cell r="H73" t="str">
            <v>Nguyễn Hoàng Hải</v>
          </cell>
          <cell r="M73">
            <v>0</v>
          </cell>
        </row>
        <row r="74">
          <cell r="H74">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8</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A3</v>
          </cell>
          <cell r="E21" t="str">
            <v>A3</v>
          </cell>
        </row>
        <row r="22">
          <cell r="B22" t="str">
            <v>Hợp đồng trường</v>
          </cell>
          <cell r="C22">
            <v>0</v>
          </cell>
          <cell r="D22">
            <v>0</v>
          </cell>
          <cell r="E22">
            <v>3</v>
          </cell>
        </row>
        <row r="23">
          <cell r="B23" t="str">
            <v>Trần Thị Thảo Vân</v>
          </cell>
          <cell r="C23" t="str">
            <v>01003008</v>
          </cell>
          <cell r="D23" t="str">
            <v>A3</v>
          </cell>
          <cell r="E23" t="str">
            <v>A3</v>
          </cell>
        </row>
        <row r="24">
          <cell r="B24" t="str">
            <v>Huỳnh Như Ý</v>
          </cell>
          <cell r="C24" t="str">
            <v>01003015</v>
          </cell>
          <cell r="D24" t="str">
            <v>A2</v>
          </cell>
          <cell r="E24" t="str">
            <v>A2</v>
          </cell>
        </row>
        <row r="25">
          <cell r="B25" t="str">
            <v>Nguyễn Chiến Thắng</v>
          </cell>
          <cell r="C25" t="str">
            <v>01003016</v>
          </cell>
          <cell r="D25" t="str">
            <v>A2</v>
          </cell>
          <cell r="E25" t="str">
            <v>A2</v>
          </cell>
        </row>
        <row r="26">
          <cell r="B26" t="str">
            <v>PHÒNG TUYỂN SINH - ĐÀO TẠO</v>
          </cell>
          <cell r="C26">
            <v>0</v>
          </cell>
          <cell r="D26">
            <v>0</v>
          </cell>
          <cell r="E26">
            <v>18</v>
          </cell>
        </row>
        <row r="27">
          <cell r="B27" t="str">
            <v>Viên chức</v>
          </cell>
          <cell r="C27">
            <v>0</v>
          </cell>
          <cell r="D27">
            <v>0</v>
          </cell>
          <cell r="E27">
            <v>12</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A1</v>
          </cell>
          <cell r="E31" t="str">
            <v>A1</v>
          </cell>
        </row>
        <row r="32">
          <cell r="B32" t="str">
            <v>Nguyễn Thị Thanh Thảo</v>
          </cell>
          <cell r="C32" t="str">
            <v>01004008</v>
          </cell>
          <cell r="D32" t="str">
            <v>A3</v>
          </cell>
          <cell r="E32" t="str">
            <v>A3</v>
          </cell>
        </row>
        <row r="33">
          <cell r="B33" t="str">
            <v>Huỳnh Thị Cẩm Hoa</v>
          </cell>
          <cell r="C33" t="str">
            <v>01005009</v>
          </cell>
          <cell r="D33" t="str">
            <v>A3</v>
          </cell>
          <cell r="E33" t="str">
            <v>A2</v>
          </cell>
        </row>
        <row r="34">
          <cell r="B34" t="str">
            <v>Giáp Thị Vượng</v>
          </cell>
          <cell r="C34" t="str">
            <v>01004009</v>
          </cell>
          <cell r="D34" t="str">
            <v>A3</v>
          </cell>
          <cell r="E34" t="str">
            <v>A3</v>
          </cell>
        </row>
        <row r="35">
          <cell r="B35" t="str">
            <v>Thái Thị My Sa</v>
          </cell>
          <cell r="C35" t="str">
            <v>01002020</v>
          </cell>
          <cell r="D35" t="str">
            <v>A1</v>
          </cell>
          <cell r="E35" t="str">
            <v>A1</v>
          </cell>
        </row>
        <row r="36">
          <cell r="B36" t="str">
            <v>Nguyễn Thị Hải Hà</v>
          </cell>
          <cell r="C36" t="str">
            <v>01012026</v>
          </cell>
          <cell r="D36" t="str">
            <v>A2</v>
          </cell>
          <cell r="E36" t="str">
            <v>A2</v>
          </cell>
        </row>
        <row r="37">
          <cell r="B37" t="str">
            <v>Nguyễn Thị Ngọc Anh</v>
          </cell>
          <cell r="C37" t="str">
            <v>01022058</v>
          </cell>
          <cell r="D37" t="str">
            <v>A3</v>
          </cell>
          <cell r="E37" t="str">
            <v>A3</v>
          </cell>
        </row>
        <row r="38">
          <cell r="B38" t="str">
            <v>Lê Minh Phong</v>
          </cell>
          <cell r="C38" t="str">
            <v>01022048</v>
          </cell>
          <cell r="D38" t="str">
            <v>A3</v>
          </cell>
          <cell r="E38" t="str">
            <v>A2</v>
          </cell>
        </row>
        <row r="39">
          <cell r="B39" t="str">
            <v>Trịnh Khắc Vũ</v>
          </cell>
          <cell r="C39" t="str">
            <v>01010026</v>
          </cell>
          <cell r="D39" t="str">
            <v>A4</v>
          </cell>
          <cell r="E39" t="str">
            <v>A3</v>
          </cell>
        </row>
        <row r="40">
          <cell r="B40" t="str">
            <v>Hợp đồng trường</v>
          </cell>
          <cell r="C40">
            <v>0</v>
          </cell>
          <cell r="D40">
            <v>0</v>
          </cell>
          <cell r="E40">
            <v>6</v>
          </cell>
        </row>
        <row r="41">
          <cell r="B41" t="str">
            <v>Trần Nhật Thịnh</v>
          </cell>
          <cell r="C41" t="str">
            <v>01004020</v>
          </cell>
          <cell r="D41" t="str">
            <v>A3</v>
          </cell>
          <cell r="E41" t="str">
            <v>A2</v>
          </cell>
        </row>
        <row r="42">
          <cell r="B42" t="str">
            <v>Sỹ Thị Chung</v>
          </cell>
          <cell r="C42" t="str">
            <v>01011017</v>
          </cell>
          <cell r="D42" t="str">
            <v>A1</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Võ Thị Mỹ Ngọc</v>
          </cell>
          <cell r="C45" t="str">
            <v>01004021</v>
          </cell>
          <cell r="D45" t="str">
            <v>A3</v>
          </cell>
          <cell r="E45" t="str">
            <v>A3</v>
          </cell>
        </row>
        <row r="46">
          <cell r="B46" t="str">
            <v>Nguyễn Việt Tiến</v>
          </cell>
          <cell r="C46" t="str">
            <v>01004013</v>
          </cell>
          <cell r="D46" t="str">
            <v>A3</v>
          </cell>
          <cell r="E46" t="str">
            <v>A2</v>
          </cell>
        </row>
        <row r="47">
          <cell r="B47" t="str">
            <v>P. TỔ CHỨC - HÀNH CHÍNH - TỔNG HỢP</v>
          </cell>
          <cell r="C47">
            <v>0</v>
          </cell>
          <cell r="D47">
            <v>0</v>
          </cell>
          <cell r="E47">
            <v>26</v>
          </cell>
        </row>
        <row r="48">
          <cell r="B48" t="str">
            <v xml:space="preserve">Viên chức </v>
          </cell>
          <cell r="C48">
            <v>0</v>
          </cell>
          <cell r="D48">
            <v>0</v>
          </cell>
          <cell r="E48">
            <v>12</v>
          </cell>
        </row>
        <row r="49">
          <cell r="B49" t="str">
            <v>Lâm Viết Dũng</v>
          </cell>
          <cell r="C49" t="str">
            <v>01007009</v>
          </cell>
          <cell r="D49" t="str">
            <v>A4</v>
          </cell>
          <cell r="E49" t="str">
            <v>A1</v>
          </cell>
        </row>
        <row r="50">
          <cell r="B50" t="str">
            <v>Lưu Hoàng Hải Yến</v>
          </cell>
          <cell r="C50" t="str">
            <v>01002019</v>
          </cell>
          <cell r="D50" t="str">
            <v>A4</v>
          </cell>
          <cell r="E50" t="str">
            <v>A1</v>
          </cell>
        </row>
        <row r="51">
          <cell r="B51" t="str">
            <v>Huỳnh Thị Minh Ly</v>
          </cell>
          <cell r="C51" t="str">
            <v>01004007</v>
          </cell>
          <cell r="D51" t="str">
            <v>A4</v>
          </cell>
          <cell r="E51" t="str">
            <v>A1</v>
          </cell>
        </row>
        <row r="52">
          <cell r="B52" t="str">
            <v>Vũ Như Quỳnh</v>
          </cell>
          <cell r="C52" t="str">
            <v>01002017</v>
          </cell>
          <cell r="D52" t="str">
            <v>A3</v>
          </cell>
          <cell r="E52" t="str">
            <v>A3</v>
          </cell>
        </row>
        <row r="53">
          <cell r="B53" t="str">
            <v>Phan Thị Ngọc Phượng</v>
          </cell>
          <cell r="C53" t="str">
            <v>01002018</v>
          </cell>
          <cell r="D53" t="str">
            <v>A3</v>
          </cell>
          <cell r="E53" t="str">
            <v>A2</v>
          </cell>
        </row>
        <row r="54">
          <cell r="B54" t="str">
            <v>Nguyễn Thị Bích Liễu</v>
          </cell>
          <cell r="C54" t="str">
            <v>01002005</v>
          </cell>
          <cell r="D54" t="str">
            <v>A3</v>
          </cell>
          <cell r="E54" t="str">
            <v>A3</v>
          </cell>
        </row>
        <row r="55">
          <cell r="B55" t="str">
            <v>Nguyễn Văn Chì</v>
          </cell>
          <cell r="C55" t="str">
            <v>01023001</v>
          </cell>
          <cell r="D55" t="str">
            <v>A2</v>
          </cell>
          <cell r="E55" t="str">
            <v>A2</v>
          </cell>
        </row>
        <row r="56">
          <cell r="B56" t="str">
            <v>Trần Thị Ánh Phượng</v>
          </cell>
          <cell r="C56" t="str">
            <v>01017006</v>
          </cell>
          <cell r="D56" t="str">
            <v>A3</v>
          </cell>
          <cell r="E56" t="str">
            <v>A2</v>
          </cell>
        </row>
        <row r="57">
          <cell r="B57" t="str">
            <v>Nguyễn Thị Vân</v>
          </cell>
          <cell r="C57" t="str">
            <v>01002032</v>
          </cell>
          <cell r="D57" t="str">
            <v>A3</v>
          </cell>
          <cell r="E57" t="str">
            <v>A2</v>
          </cell>
        </row>
        <row r="58">
          <cell r="B58" t="str">
            <v>Trần Thị Phương Oanh</v>
          </cell>
          <cell r="C58" t="str">
            <v>01007007</v>
          </cell>
          <cell r="D58" t="str">
            <v>A3</v>
          </cell>
          <cell r="E58" t="str">
            <v>A3</v>
          </cell>
        </row>
        <row r="59">
          <cell r="B59" t="str">
            <v>Thân Thị Nhung</v>
          </cell>
          <cell r="C59" t="str">
            <v>01007005</v>
          </cell>
          <cell r="D59" t="str">
            <v>A3</v>
          </cell>
          <cell r="E59" t="str">
            <v>A2</v>
          </cell>
        </row>
        <row r="60">
          <cell r="B60" t="str">
            <v>Lê Văn Bình</v>
          </cell>
          <cell r="C60" t="str">
            <v>01004012</v>
          </cell>
          <cell r="D60" t="str">
            <v>A4</v>
          </cell>
          <cell r="E60" t="str">
            <v>A3</v>
          </cell>
        </row>
        <row r="61">
          <cell r="B61" t="str">
            <v>Hợp đồng trường</v>
          </cell>
          <cell r="C61">
            <v>0</v>
          </cell>
          <cell r="D61">
            <v>0</v>
          </cell>
          <cell r="E61">
            <v>14</v>
          </cell>
        </row>
        <row r="62">
          <cell r="B62" t="str">
            <v>Huỳnh Thị Xuân Mai</v>
          </cell>
          <cell r="C62" t="str">
            <v>01007006</v>
          </cell>
          <cell r="D62" t="str">
            <v>A3</v>
          </cell>
          <cell r="E62" t="str">
            <v>A2</v>
          </cell>
        </row>
        <row r="63">
          <cell r="B63" t="str">
            <v>Phạm Hữu Tấn</v>
          </cell>
          <cell r="C63" t="str">
            <v>01002023</v>
          </cell>
          <cell r="D63" t="str">
            <v>A4</v>
          </cell>
          <cell r="E63" t="str">
            <v>A4</v>
          </cell>
        </row>
        <row r="64">
          <cell r="B64" t="str">
            <v>Trần Văn Cu Anh</v>
          </cell>
          <cell r="C64" t="str">
            <v>01002007</v>
          </cell>
          <cell r="D64" t="str">
            <v>A3</v>
          </cell>
          <cell r="E64" t="str">
            <v>A3</v>
          </cell>
        </row>
        <row r="65">
          <cell r="B65" t="str">
            <v>Nguyễn Hữu Xuân Vũ</v>
          </cell>
          <cell r="C65" t="str">
            <v>01002010</v>
          </cell>
          <cell r="D65" t="str">
            <v>A4</v>
          </cell>
          <cell r="E65" t="str">
            <v>A3</v>
          </cell>
        </row>
        <row r="66">
          <cell r="B66" t="str">
            <v>Lê Hồng Phúc</v>
          </cell>
          <cell r="C66" t="str">
            <v>01002012</v>
          </cell>
          <cell r="D66" t="str">
            <v>A4</v>
          </cell>
          <cell r="E66" t="str">
            <v>A4</v>
          </cell>
        </row>
        <row r="67">
          <cell r="B67" t="str">
            <v>Phạm Hữu Thành Phú</v>
          </cell>
          <cell r="C67" t="str">
            <v>01002028</v>
          </cell>
          <cell r="D67" t="str">
            <v>A3</v>
          </cell>
          <cell r="E67" t="str">
            <v>A3</v>
          </cell>
        </row>
        <row r="68">
          <cell r="B68" t="str">
            <v>Huỳnh Thanh Nhàn</v>
          </cell>
          <cell r="C68" t="str">
            <v>01002027</v>
          </cell>
          <cell r="D68" t="str">
            <v>A3</v>
          </cell>
          <cell r="E68" t="str">
            <v>A3</v>
          </cell>
        </row>
        <row r="69">
          <cell r="B69" t="str">
            <v>Đồng Anh Tuấn</v>
          </cell>
          <cell r="C69" t="str">
            <v>01002013</v>
          </cell>
          <cell r="D69" t="str">
            <v>A4</v>
          </cell>
          <cell r="E69" t="str">
            <v>A4</v>
          </cell>
        </row>
        <row r="70">
          <cell r="B70" t="str">
            <v>Nguyễn Thanh Hiền</v>
          </cell>
          <cell r="C70" t="str">
            <v>01002033</v>
          </cell>
          <cell r="D70" t="str">
            <v>A3</v>
          </cell>
          <cell r="E70" t="str">
            <v>A3</v>
          </cell>
        </row>
        <row r="71">
          <cell r="B71" t="str">
            <v>Phạm Quang Tùng</v>
          </cell>
          <cell r="C71" t="str">
            <v>01010068</v>
          </cell>
          <cell r="D71" t="str">
            <v>A4</v>
          </cell>
          <cell r="E71" t="str">
            <v>A4</v>
          </cell>
        </row>
        <row r="72">
          <cell r="B72" t="str">
            <v>Trần Thanh Cường</v>
          </cell>
          <cell r="C72" t="str">
            <v>01002040</v>
          </cell>
          <cell r="D72" t="str">
            <v>A3</v>
          </cell>
          <cell r="E72" t="str">
            <v>A3</v>
          </cell>
        </row>
        <row r="73">
          <cell r="B73" t="str">
            <v>Vũ Anh Hiếu</v>
          </cell>
          <cell r="C73" t="str">
            <v>01002041</v>
          </cell>
          <cell r="D73" t="str">
            <v>A3</v>
          </cell>
          <cell r="E73" t="str">
            <v>A3</v>
          </cell>
        </row>
        <row r="74">
          <cell r="B74" t="str">
            <v>Dương Văn Tâm</v>
          </cell>
          <cell r="C74" t="str">
            <v>01002035</v>
          </cell>
          <cell r="D74" t="str">
            <v>A3</v>
          </cell>
          <cell r="E74" t="str">
            <v>A2</v>
          </cell>
        </row>
        <row r="75">
          <cell r="B75" t="str">
            <v>Huỳnh Ngọc Liên</v>
          </cell>
          <cell r="C75" t="str">
            <v>01002036</v>
          </cell>
          <cell r="D75" t="str">
            <v>A4</v>
          </cell>
          <cell r="E75" t="str">
            <v>A2</v>
          </cell>
        </row>
        <row r="76">
          <cell r="B76" t="str">
            <v>PHÒNG TTGD-QHDN</v>
          </cell>
          <cell r="C76">
            <v>0</v>
          </cell>
          <cell r="D76">
            <v>0</v>
          </cell>
          <cell r="E76">
            <v>17</v>
          </cell>
        </row>
        <row r="77">
          <cell r="B77" t="str">
            <v>Viên chức</v>
          </cell>
          <cell r="C77">
            <v>0</v>
          </cell>
          <cell r="D77">
            <v>0</v>
          </cell>
          <cell r="E77">
            <v>9</v>
          </cell>
        </row>
        <row r="78">
          <cell r="B78" t="str">
            <v>Nguyễn Văn Chiến</v>
          </cell>
          <cell r="C78" t="str">
            <v>01007008</v>
          </cell>
          <cell r="D78" t="str">
            <v>A1</v>
          </cell>
          <cell r="E78" t="str">
            <v>A1</v>
          </cell>
        </row>
        <row r="79">
          <cell r="B79" t="str">
            <v>Lê Xuân Thiện</v>
          </cell>
          <cell r="C79" t="str">
            <v>01002002</v>
          </cell>
          <cell r="D79" t="str">
            <v>A2</v>
          </cell>
          <cell r="E79" t="str">
            <v>A2</v>
          </cell>
        </row>
        <row r="80">
          <cell r="B80" t="str">
            <v>Nguyễn Thị Kim Anh</v>
          </cell>
          <cell r="C80" t="str">
            <v>01009018</v>
          </cell>
          <cell r="D80" t="str">
            <v>A3</v>
          </cell>
          <cell r="E80" t="str">
            <v>A3</v>
          </cell>
        </row>
        <row r="81">
          <cell r="B81" t="str">
            <v>Phạm Thị Lê Chi</v>
          </cell>
          <cell r="C81" t="str">
            <v>01009010</v>
          </cell>
          <cell r="D81" t="str">
            <v>A4</v>
          </cell>
          <cell r="E81" t="str">
            <v>A4</v>
          </cell>
        </row>
        <row r="82">
          <cell r="B82" t="str">
            <v>Trần Thị Thu Hà</v>
          </cell>
          <cell r="C82" t="str">
            <v>01002004</v>
          </cell>
          <cell r="D82" t="str">
            <v>A2</v>
          </cell>
          <cell r="E82" t="str">
            <v>A2</v>
          </cell>
        </row>
        <row r="83">
          <cell r="B83" t="str">
            <v>Nguyễn Tất Thắng</v>
          </cell>
          <cell r="C83" t="str">
            <v>01009008</v>
          </cell>
          <cell r="D83" t="str">
            <v>A3</v>
          </cell>
          <cell r="E83" t="str">
            <v>A3</v>
          </cell>
        </row>
        <row r="84">
          <cell r="B84" t="str">
            <v>Mai Thu Hương</v>
          </cell>
          <cell r="C84" t="str">
            <v>01007004</v>
          </cell>
          <cell r="D84" t="str">
            <v>A3</v>
          </cell>
          <cell r="E84" t="str">
            <v>A3</v>
          </cell>
        </row>
        <row r="85">
          <cell r="B85" t="str">
            <v>Nguyễn Thùy Dương</v>
          </cell>
          <cell r="C85" t="str">
            <v>01014012</v>
          </cell>
          <cell r="D85" t="str">
            <v>A4</v>
          </cell>
          <cell r="E85" t="str">
            <v>A4</v>
          </cell>
        </row>
        <row r="86">
          <cell r="B86" t="str">
            <v>Nguyễn Phương Hà</v>
          </cell>
          <cell r="C86" t="str">
            <v>01010023</v>
          </cell>
          <cell r="D86" t="str">
            <v>A4</v>
          </cell>
          <cell r="E86" t="str">
            <v>A3</v>
          </cell>
        </row>
        <row r="87">
          <cell r="B87" t="str">
            <v>Hợp đồng trường</v>
          </cell>
          <cell r="C87">
            <v>0</v>
          </cell>
          <cell r="D87">
            <v>0</v>
          </cell>
          <cell r="E87">
            <v>8</v>
          </cell>
        </row>
        <row r="88">
          <cell r="B88" t="str">
            <v>Nguyễn Trung Dũng</v>
          </cell>
          <cell r="C88" t="str">
            <v>01002008</v>
          </cell>
          <cell r="D88" t="str">
            <v>A3</v>
          </cell>
          <cell r="E88" t="str">
            <v>A2</v>
          </cell>
        </row>
        <row r="89">
          <cell r="B89" t="str">
            <v>Huỳnh Văn Hiếu</v>
          </cell>
          <cell r="C89" t="str">
            <v>01009019</v>
          </cell>
          <cell r="D89" t="str">
            <v>A2</v>
          </cell>
          <cell r="E89" t="str">
            <v>A2</v>
          </cell>
        </row>
        <row r="90">
          <cell r="B90" t="str">
            <v>Phạm Huy Hoàng</v>
          </cell>
          <cell r="C90" t="str">
            <v>01009011</v>
          </cell>
          <cell r="D90" t="str">
            <v>A3</v>
          </cell>
          <cell r="E90" t="str">
            <v>A3</v>
          </cell>
        </row>
        <row r="91">
          <cell r="B91" t="str">
            <v>Trần Anh Mỹ</v>
          </cell>
          <cell r="C91" t="str">
            <v>01009028</v>
          </cell>
          <cell r="D91" t="str">
            <v>A4</v>
          </cell>
          <cell r="E91" t="str">
            <v>A4</v>
          </cell>
        </row>
        <row r="92">
          <cell r="B92" t="str">
            <v>Bùi Đức Phước</v>
          </cell>
          <cell r="C92" t="str">
            <v>01009026</v>
          </cell>
          <cell r="D92" t="str">
            <v>A3</v>
          </cell>
          <cell r="E92" t="str">
            <v>A3</v>
          </cell>
        </row>
        <row r="93">
          <cell r="B93" t="str">
            <v>Nguyễn Thị Thảo</v>
          </cell>
          <cell r="C93" t="str">
            <v>01007003</v>
          </cell>
          <cell r="D93" t="str">
            <v>A3</v>
          </cell>
          <cell r="E93" t="str">
            <v>A3</v>
          </cell>
        </row>
        <row r="94">
          <cell r="B94" t="str">
            <v>Lưu Hoàng Bảo Châu</v>
          </cell>
          <cell r="C94" t="str">
            <v>01009029</v>
          </cell>
          <cell r="D94" t="str">
            <v>A3</v>
          </cell>
          <cell r="E94" t="str">
            <v>A3</v>
          </cell>
        </row>
        <row r="95">
          <cell r="B95" t="str">
            <v>Trần Việt Anh</v>
          </cell>
          <cell r="C95" t="str">
            <v>01002038</v>
          </cell>
          <cell r="D95" t="str">
            <v>D</v>
          </cell>
          <cell r="E95" t="str">
            <v>B2</v>
          </cell>
        </row>
        <row r="96">
          <cell r="B96" t="str">
            <v>PHÒNG KHẢO THÍ VÀ ĐBCL</v>
          </cell>
          <cell r="C96">
            <v>0</v>
          </cell>
          <cell r="D96">
            <v>0</v>
          </cell>
          <cell r="E96">
            <v>9</v>
          </cell>
        </row>
        <row r="97">
          <cell r="B97" t="str">
            <v>Viên chức</v>
          </cell>
          <cell r="C97">
            <v>0</v>
          </cell>
          <cell r="D97">
            <v>0</v>
          </cell>
          <cell r="E97">
            <v>8</v>
          </cell>
        </row>
        <row r="98">
          <cell r="B98" t="str">
            <v>Nguyễn Chí Nhân</v>
          </cell>
          <cell r="C98" t="str">
            <v>01009009</v>
          </cell>
          <cell r="D98" t="str">
            <v>A3</v>
          </cell>
          <cell r="E98" t="str">
            <v>A2</v>
          </cell>
        </row>
        <row r="99">
          <cell r="B99" t="str">
            <v>Nguyễn Thị Kim Dung</v>
          </cell>
          <cell r="C99" t="str">
            <v>01003002</v>
          </cell>
          <cell r="D99" t="str">
            <v>A2</v>
          </cell>
          <cell r="E99" t="str">
            <v>A1</v>
          </cell>
        </row>
        <row r="100">
          <cell r="B100" t="str">
            <v>Nguyễn Thanh Sơn</v>
          </cell>
          <cell r="C100" t="str">
            <v>01006003</v>
          </cell>
          <cell r="D100" t="str">
            <v>A3</v>
          </cell>
          <cell r="E100" t="str">
            <v>A3</v>
          </cell>
        </row>
        <row r="101">
          <cell r="B101" t="str">
            <v>Vũ Thị Thu Thủy</v>
          </cell>
          <cell r="C101" t="str">
            <v>01013032</v>
          </cell>
          <cell r="D101" t="str">
            <v>A3</v>
          </cell>
          <cell r="E101" t="str">
            <v>A3</v>
          </cell>
        </row>
        <row r="102">
          <cell r="B102" t="str">
            <v>Nguyễn Thị Tuyết</v>
          </cell>
          <cell r="C102" t="str">
            <v>01022061</v>
          </cell>
          <cell r="D102" t="str">
            <v>A2</v>
          </cell>
          <cell r="E102" t="str">
            <v>A2</v>
          </cell>
        </row>
        <row r="103">
          <cell r="B103" t="str">
            <v>Lương Minh Dũng</v>
          </cell>
          <cell r="C103" t="str">
            <v>01015027</v>
          </cell>
          <cell r="D103" t="str">
            <v>A2</v>
          </cell>
          <cell r="E103" t="str">
            <v>A2</v>
          </cell>
        </row>
        <row r="104">
          <cell r="B104" t="str">
            <v>Mai Nguyễn Hoàng Yến</v>
          </cell>
          <cell r="C104" t="str">
            <v>01010038</v>
          </cell>
          <cell r="D104" t="str">
            <v>A3</v>
          </cell>
          <cell r="E104" t="str">
            <v>A2</v>
          </cell>
        </row>
        <row r="105">
          <cell r="B105" t="str">
            <v>Nguyễn Thị Huyền Nga</v>
          </cell>
          <cell r="C105" t="str">
            <v>01010006</v>
          </cell>
          <cell r="D105" t="str">
            <v>A3</v>
          </cell>
          <cell r="E105" t="str">
            <v>A2</v>
          </cell>
        </row>
        <row r="106">
          <cell r="B106" t="str">
            <v>Hợp đồng trường</v>
          </cell>
          <cell r="C106">
            <v>0</v>
          </cell>
          <cell r="D106">
            <v>0</v>
          </cell>
          <cell r="E106">
            <v>1</v>
          </cell>
        </row>
        <row r="107">
          <cell r="B107" t="str">
            <v>Nguyễn Yến Nhi</v>
          </cell>
          <cell r="C107" t="str">
            <v>01006006</v>
          </cell>
          <cell r="D107" t="str">
            <v>A DN</v>
          </cell>
          <cell r="E107" t="str">
            <v>A DN</v>
          </cell>
        </row>
        <row r="108">
          <cell r="B108" t="str">
            <v>PHÒNG QLKH-HTQT</v>
          </cell>
          <cell r="C108">
            <v>0</v>
          </cell>
          <cell r="D108">
            <v>0</v>
          </cell>
          <cell r="E108">
            <v>4</v>
          </cell>
        </row>
        <row r="109">
          <cell r="B109" t="str">
            <v>Viên chức</v>
          </cell>
          <cell r="C109">
            <v>0</v>
          </cell>
          <cell r="D109">
            <v>0</v>
          </cell>
          <cell r="E109">
            <v>2</v>
          </cell>
        </row>
        <row r="110">
          <cell r="B110" t="str">
            <v>Nguyễn Trọng Nghĩa</v>
          </cell>
          <cell r="C110" t="str">
            <v>01025001</v>
          </cell>
          <cell r="D110" t="str">
            <v>A1</v>
          </cell>
          <cell r="E110" t="str">
            <v>A1</v>
          </cell>
        </row>
        <row r="111">
          <cell r="B111" t="str">
            <v>Lê Thị Hải Đăng</v>
          </cell>
          <cell r="C111" t="str">
            <v>01002039</v>
          </cell>
          <cell r="D111" t="str">
            <v>A3</v>
          </cell>
          <cell r="E111" t="str">
            <v>A2</v>
          </cell>
        </row>
        <row r="112">
          <cell r="B112" t="str">
            <v>Hợp đồng trường</v>
          </cell>
          <cell r="C112">
            <v>0</v>
          </cell>
          <cell r="D112">
            <v>0</v>
          </cell>
          <cell r="E112">
            <v>2</v>
          </cell>
        </row>
        <row r="113">
          <cell r="B113" t="str">
            <v>Lê Tiến Dũng</v>
          </cell>
          <cell r="C113" t="str">
            <v>01005003</v>
          </cell>
          <cell r="D113" t="str">
            <v>A2</v>
          </cell>
          <cell r="E113" t="str">
            <v>A1</v>
          </cell>
        </row>
        <row r="114">
          <cell r="B114" t="str">
            <v>Lê Trần Thanh Nga</v>
          </cell>
          <cell r="C114" t="str">
            <v>01005011</v>
          </cell>
          <cell r="D114" t="str">
            <v>A3</v>
          </cell>
          <cell r="E114" t="str">
            <v>A3</v>
          </cell>
        </row>
        <row r="115">
          <cell r="B115" t="str">
            <v>PHÒNG QUẢN TRỊ - DỊCH VỤ</v>
          </cell>
          <cell r="C115">
            <v>0</v>
          </cell>
          <cell r="D115">
            <v>0</v>
          </cell>
          <cell r="E115">
            <v>28</v>
          </cell>
        </row>
        <row r="116">
          <cell r="B116" t="str">
            <v>Viên chức</v>
          </cell>
          <cell r="C116">
            <v>0</v>
          </cell>
          <cell r="D116">
            <v>0</v>
          </cell>
          <cell r="E116">
            <v>10</v>
          </cell>
        </row>
        <row r="117">
          <cell r="B117" t="str">
            <v>Lê Quang Liêm</v>
          </cell>
          <cell r="C117" t="str">
            <v>01008028</v>
          </cell>
          <cell r="D117" t="str">
            <v>A1</v>
          </cell>
          <cell r="E117" t="str">
            <v>A1</v>
          </cell>
        </row>
        <row r="118">
          <cell r="B118" t="str">
            <v>Nguyễn Văn Thành</v>
          </cell>
          <cell r="C118" t="str">
            <v>01008002</v>
          </cell>
          <cell r="D118" t="str">
            <v>A1</v>
          </cell>
          <cell r="E118" t="str">
            <v>A1</v>
          </cell>
        </row>
        <row r="119">
          <cell r="B119" t="str">
            <v>Phan Hữu Tước</v>
          </cell>
          <cell r="C119" t="str">
            <v>01008049</v>
          </cell>
          <cell r="D119" t="str">
            <v>A1</v>
          </cell>
          <cell r="E119" t="str">
            <v>A1</v>
          </cell>
        </row>
        <row r="120">
          <cell r="B120" t="str">
            <v>Nguyễn Trọng Phú</v>
          </cell>
          <cell r="C120" t="str">
            <v>01008004</v>
          </cell>
          <cell r="D120" t="str">
            <v>A1</v>
          </cell>
          <cell r="E120" t="str">
            <v>A1</v>
          </cell>
        </row>
        <row r="121">
          <cell r="B121" t="str">
            <v>Phan Đức Long</v>
          </cell>
          <cell r="C121" t="str">
            <v>01009007</v>
          </cell>
          <cell r="D121" t="str">
            <v>A3</v>
          </cell>
          <cell r="E121" t="str">
            <v>A3</v>
          </cell>
        </row>
        <row r="122">
          <cell r="B122" t="str">
            <v>Giáp Văn Thịnh</v>
          </cell>
          <cell r="C122" t="str">
            <v>01008008</v>
          </cell>
          <cell r="D122" t="str">
            <v>A2</v>
          </cell>
          <cell r="E122" t="str">
            <v>A2</v>
          </cell>
        </row>
        <row r="123">
          <cell r="B123" t="str">
            <v>Vũ Ngọc Quang</v>
          </cell>
          <cell r="C123" t="str">
            <v>01008006</v>
          </cell>
          <cell r="D123" t="str">
            <v>A2</v>
          </cell>
          <cell r="E123" t="str">
            <v>A2</v>
          </cell>
        </row>
        <row r="124">
          <cell r="B124" t="str">
            <v>Ninh Đỗ Hiệp</v>
          </cell>
          <cell r="C124" t="str">
            <v>01017009</v>
          </cell>
          <cell r="D124" t="str">
            <v>A4</v>
          </cell>
          <cell r="E124" t="str">
            <v>A4</v>
          </cell>
        </row>
        <row r="125">
          <cell r="B125" t="str">
            <v>Lê Hồng Anh Tuấn</v>
          </cell>
          <cell r="C125" t="str">
            <v>01008005</v>
          </cell>
          <cell r="D125" t="str">
            <v>A2</v>
          </cell>
          <cell r="E125" t="str">
            <v>A2</v>
          </cell>
        </row>
        <row r="126">
          <cell r="B126" t="str">
            <v>Bùi Thị Dương</v>
          </cell>
          <cell r="C126" t="str">
            <v>01009014</v>
          </cell>
          <cell r="D126" t="str">
            <v>A3</v>
          </cell>
          <cell r="E126" t="str">
            <v>A3</v>
          </cell>
        </row>
        <row r="127">
          <cell r="B127" t="str">
            <v>Hợp đồng trường</v>
          </cell>
          <cell r="C127">
            <v>0</v>
          </cell>
          <cell r="D127">
            <v>0</v>
          </cell>
          <cell r="E127">
            <v>18</v>
          </cell>
        </row>
        <row r="128">
          <cell r="B128" t="str">
            <v>Trần Thị Thu</v>
          </cell>
          <cell r="C128" t="str">
            <v>01008021</v>
          </cell>
          <cell r="D128" t="str">
            <v>A3</v>
          </cell>
          <cell r="E128" t="str">
            <v>A3</v>
          </cell>
        </row>
        <row r="129">
          <cell r="B129" t="str">
            <v>Dương Thị Thủy</v>
          </cell>
          <cell r="C129" t="str">
            <v>01008009</v>
          </cell>
          <cell r="D129" t="str">
            <v>A DN</v>
          </cell>
          <cell r="E129" t="str">
            <v>A DN</v>
          </cell>
        </row>
        <row r="130">
          <cell r="B130" t="str">
            <v>Đỗ Thị Bích Thủy</v>
          </cell>
          <cell r="C130" t="str">
            <v>01008031</v>
          </cell>
          <cell r="D130" t="str">
            <v>A3</v>
          </cell>
          <cell r="E130" t="str">
            <v>A3</v>
          </cell>
        </row>
        <row r="131">
          <cell r="B131" t="str">
            <v>Trần Kim Tươi</v>
          </cell>
          <cell r="C131" t="str">
            <v>01008039</v>
          </cell>
          <cell r="D131" t="str">
            <v>A3</v>
          </cell>
          <cell r="E131" t="str">
            <v>A3</v>
          </cell>
        </row>
        <row r="132">
          <cell r="B132" t="str">
            <v>Trương Thị Bắc</v>
          </cell>
          <cell r="C132" t="str">
            <v>01008040</v>
          </cell>
          <cell r="D132" t="str">
            <v>A3</v>
          </cell>
          <cell r="E132" t="str">
            <v>A3</v>
          </cell>
        </row>
        <row r="133">
          <cell r="B133" t="str">
            <v>Trương Thị Định</v>
          </cell>
          <cell r="C133" t="str">
            <v>01008041</v>
          </cell>
          <cell r="D133" t="str">
            <v>A3</v>
          </cell>
          <cell r="E133" t="str">
            <v>A3</v>
          </cell>
        </row>
        <row r="134">
          <cell r="B134" t="str">
            <v>Giáp Đức Nhận</v>
          </cell>
          <cell r="C134" t="str">
            <v>01012027</v>
          </cell>
          <cell r="D134" t="str">
            <v>A3</v>
          </cell>
          <cell r="E134" t="str">
            <v>A3</v>
          </cell>
        </row>
        <row r="135">
          <cell r="B135" t="str">
            <v>Tạ Quốc Tấn</v>
          </cell>
          <cell r="C135" t="str">
            <v>01008012</v>
          </cell>
          <cell r="D135" t="str">
            <v>A4</v>
          </cell>
          <cell r="E135" t="str">
            <v>A4</v>
          </cell>
        </row>
        <row r="136">
          <cell r="B136" t="str">
            <v>Huỳnh Bá Triết</v>
          </cell>
          <cell r="C136" t="str">
            <v>01008033</v>
          </cell>
          <cell r="D136" t="str">
            <v>A1</v>
          </cell>
          <cell r="E136" t="str">
            <v>A1</v>
          </cell>
        </row>
        <row r="137">
          <cell r="B137" t="str">
            <v>Võ Thị Tuyết</v>
          </cell>
          <cell r="C137" t="str">
            <v>01013033</v>
          </cell>
          <cell r="D137" t="str">
            <v>A4</v>
          </cell>
          <cell r="E137" t="str">
            <v>A4</v>
          </cell>
        </row>
        <row r="138">
          <cell r="B138" t="str">
            <v>Trịnh Tuấn Vũ</v>
          </cell>
          <cell r="C138" t="str">
            <v>01009015</v>
          </cell>
          <cell r="D138" t="str">
            <v>A4</v>
          </cell>
          <cell r="E138" t="str">
            <v>A4</v>
          </cell>
        </row>
        <row r="139">
          <cell r="B139" t="str">
            <v>Võ Tấn Đức</v>
          </cell>
          <cell r="C139" t="str">
            <v>01008042</v>
          </cell>
          <cell r="D139" t="str">
            <v>A4</v>
          </cell>
          <cell r="E139" t="str">
            <v>A4</v>
          </cell>
        </row>
        <row r="140">
          <cell r="B140" t="str">
            <v>Ngô Ngọc Của</v>
          </cell>
          <cell r="C140" t="str">
            <v>01008044</v>
          </cell>
          <cell r="D140" t="str">
            <v>A4</v>
          </cell>
          <cell r="E140" t="str">
            <v>A4</v>
          </cell>
        </row>
        <row r="141">
          <cell r="B141" t="str">
            <v>Phạm Thị Hoàng Diễm</v>
          </cell>
          <cell r="C141" t="str">
            <v>01008045</v>
          </cell>
          <cell r="D141" t="str">
            <v>A4</v>
          </cell>
          <cell r="E141" t="str">
            <v>A4</v>
          </cell>
        </row>
        <row r="142">
          <cell r="B142" t="str">
            <v>Nguyễn Văn Hiển</v>
          </cell>
          <cell r="C142" t="str">
            <v>01008048</v>
          </cell>
          <cell r="D142" t="str">
            <v>A1</v>
          </cell>
          <cell r="E142" t="str">
            <v>A1</v>
          </cell>
        </row>
        <row r="143">
          <cell r="B143" t="str">
            <v>Trần Thanh Phương</v>
          </cell>
          <cell r="C143" t="str">
            <v>01002034</v>
          </cell>
          <cell r="D143" t="str">
            <v>A2</v>
          </cell>
          <cell r="E143" t="str">
            <v>A2</v>
          </cell>
        </row>
        <row r="144">
          <cell r="B144" t="str">
            <v>Lâm Võ Hữu Duy</v>
          </cell>
          <cell r="C144" t="str">
            <v>01008050</v>
          </cell>
          <cell r="D144" t="str">
            <v>A3</v>
          </cell>
          <cell r="E144" t="str">
            <v>A3</v>
          </cell>
        </row>
        <row r="145">
          <cell r="B145" t="str">
            <v>Võ Lạc Tân</v>
          </cell>
          <cell r="C145" t="str">
            <v>01008051</v>
          </cell>
          <cell r="D145" t="str">
            <v>A4</v>
          </cell>
          <cell r="E145" t="str">
            <v>A4</v>
          </cell>
        </row>
        <row r="146">
          <cell r="B146" t="str">
            <v>KHOA KHOA HỌC CƠ BẢN</v>
          </cell>
          <cell r="C146">
            <v>0</v>
          </cell>
          <cell r="D146">
            <v>0</v>
          </cell>
          <cell r="E146">
            <v>16</v>
          </cell>
        </row>
        <row r="147">
          <cell r="B147" t="str">
            <v>Viên chức</v>
          </cell>
          <cell r="C147">
            <v>0</v>
          </cell>
          <cell r="D147">
            <v>0</v>
          </cell>
          <cell r="E147">
            <v>16</v>
          </cell>
        </row>
        <row r="148">
          <cell r="B148" t="str">
            <v>Nguyễn Thị Nhuận</v>
          </cell>
          <cell r="C148" t="str">
            <v>01022003</v>
          </cell>
          <cell r="D148" t="str">
            <v>A3</v>
          </cell>
          <cell r="E148" t="str">
            <v>A2</v>
          </cell>
        </row>
        <row r="149">
          <cell r="B149" t="str">
            <v>Phạm Thị Thu Nga</v>
          </cell>
          <cell r="C149" t="str">
            <v>01010007</v>
          </cell>
          <cell r="D149" t="str">
            <v>A3</v>
          </cell>
          <cell r="E149" t="str">
            <v>A2</v>
          </cell>
        </row>
        <row r="150">
          <cell r="B150" t="str">
            <v>Nguyễn Văn Hậu</v>
          </cell>
          <cell r="C150" t="str">
            <v>01010033</v>
          </cell>
          <cell r="D150" t="str">
            <v>A4</v>
          </cell>
          <cell r="E150" t="str">
            <v>A3</v>
          </cell>
        </row>
        <row r="151">
          <cell r="B151" t="str">
            <v>Dương Đức Kiên</v>
          </cell>
          <cell r="C151" t="str">
            <v>01010037</v>
          </cell>
          <cell r="D151" t="str">
            <v>A3</v>
          </cell>
          <cell r="E151" t="str">
            <v>A2</v>
          </cell>
        </row>
        <row r="152">
          <cell r="B152" t="str">
            <v>Hà Như Mai</v>
          </cell>
          <cell r="C152" t="str">
            <v>01010031</v>
          </cell>
          <cell r="D152" t="str">
            <v>A3</v>
          </cell>
          <cell r="E152" t="str">
            <v>A2</v>
          </cell>
        </row>
        <row r="153">
          <cell r="B153" t="str">
            <v>Nguyễn Thị Cẩm Thạch</v>
          </cell>
          <cell r="C153" t="str">
            <v>01010016</v>
          </cell>
          <cell r="D153" t="str">
            <v>A4</v>
          </cell>
          <cell r="E153" t="str">
            <v>A3</v>
          </cell>
        </row>
        <row r="154">
          <cell r="B154" t="str">
            <v>Nguyễn Thị Thủy</v>
          </cell>
          <cell r="C154" t="str">
            <v>01010028</v>
          </cell>
          <cell r="D154" t="str">
            <v>A3</v>
          </cell>
          <cell r="E154" t="str">
            <v>A2</v>
          </cell>
        </row>
        <row r="155">
          <cell r="B155" t="str">
            <v>Nguyễn Văn Đông</v>
          </cell>
          <cell r="C155" t="str">
            <v>01010017</v>
          </cell>
          <cell r="D155" t="str">
            <v>A3</v>
          </cell>
          <cell r="E155" t="str">
            <v>A3</v>
          </cell>
        </row>
        <row r="156">
          <cell r="B156" t="str">
            <v>Nguyễn Thanh Tú</v>
          </cell>
          <cell r="C156" t="str">
            <v>01010012</v>
          </cell>
          <cell r="D156" t="str">
            <v>A3</v>
          </cell>
          <cell r="E156" t="str">
            <v>A3</v>
          </cell>
        </row>
        <row r="157">
          <cell r="B157" t="str">
            <v>Trần Thị Ánh Tuyết</v>
          </cell>
          <cell r="C157" t="str">
            <v>01010029</v>
          </cell>
          <cell r="D157" t="str">
            <v>A4</v>
          </cell>
          <cell r="E157" t="str">
            <v>A4</v>
          </cell>
        </row>
        <row r="158">
          <cell r="B158" t="str">
            <v>Đặng Thị Kiến Trúc</v>
          </cell>
          <cell r="C158" t="str">
            <v>01010024</v>
          </cell>
          <cell r="D158" t="str">
            <v>A3</v>
          </cell>
          <cell r="E158" t="str">
            <v>A3</v>
          </cell>
        </row>
        <row r="159">
          <cell r="B159" t="str">
            <v>Lê Thái Hùng</v>
          </cell>
          <cell r="C159" t="str">
            <v>01010021</v>
          </cell>
          <cell r="D159" t="str">
            <v>A3</v>
          </cell>
          <cell r="E159" t="str">
            <v>A3</v>
          </cell>
        </row>
        <row r="160">
          <cell r="B160" t="str">
            <v>Giang Phi Hùng</v>
          </cell>
          <cell r="C160" t="str">
            <v>01010030</v>
          </cell>
          <cell r="D160" t="str">
            <v>A1</v>
          </cell>
          <cell r="E160" t="str">
            <v>A1</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A1</v>
          </cell>
          <cell r="E163" t="str">
            <v>A1</v>
          </cell>
        </row>
        <row r="164">
          <cell r="B164" t="str">
            <v>KHOA NGOẠI NGỮ</v>
          </cell>
          <cell r="C164">
            <v>0</v>
          </cell>
          <cell r="D164">
            <v>0</v>
          </cell>
          <cell r="E164">
            <v>16</v>
          </cell>
        </row>
        <row r="165">
          <cell r="B165" t="str">
            <v>Viên chức</v>
          </cell>
          <cell r="C165">
            <v>0</v>
          </cell>
          <cell r="D165">
            <v>0</v>
          </cell>
          <cell r="E165">
            <v>16</v>
          </cell>
        </row>
        <row r="166">
          <cell r="B166" t="str">
            <v>Nguyễn Thị Thu Hà</v>
          </cell>
          <cell r="C166" t="str">
            <v>01010039</v>
          </cell>
          <cell r="D166" t="str">
            <v>A4</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A4</v>
          </cell>
          <cell r="E168" t="str">
            <v>A4</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A3</v>
          </cell>
          <cell r="E173" t="str">
            <v>A3</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A4</v>
          </cell>
          <cell r="E176" t="str">
            <v>A4</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A4</v>
          </cell>
          <cell r="E179" t="str">
            <v>A4</v>
          </cell>
        </row>
        <row r="180">
          <cell r="B180" t="str">
            <v>Nguyễn Huỳnh Khánh Vy</v>
          </cell>
          <cell r="C180" t="str">
            <v>01027013</v>
          </cell>
          <cell r="D180" t="str">
            <v>A4</v>
          </cell>
          <cell r="E180" t="str">
            <v>A4</v>
          </cell>
        </row>
        <row r="181">
          <cell r="B181" t="str">
            <v>Đoàn Thanh Long</v>
          </cell>
          <cell r="C181" t="str">
            <v>01027003</v>
          </cell>
          <cell r="D181" t="str">
            <v>A4</v>
          </cell>
          <cell r="E181" t="str">
            <v>A4</v>
          </cell>
        </row>
        <row r="182">
          <cell r="B182" t="str">
            <v>KHOA LÝ LUẬN CHÍNH TRỊ</v>
          </cell>
          <cell r="C182">
            <v>0</v>
          </cell>
          <cell r="D182">
            <v>0</v>
          </cell>
          <cell r="E182">
            <v>15</v>
          </cell>
        </row>
        <row r="183">
          <cell r="B183" t="str">
            <v>Viên chức</v>
          </cell>
          <cell r="C183">
            <v>0</v>
          </cell>
          <cell r="D183">
            <v>0</v>
          </cell>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A3</v>
          </cell>
          <cell r="E186" t="str">
            <v>A3</v>
          </cell>
        </row>
        <row r="187">
          <cell r="B187" t="str">
            <v>Bùi Thành Dũng</v>
          </cell>
          <cell r="C187" t="str">
            <v>01011011</v>
          </cell>
          <cell r="D187" t="str">
            <v>A3</v>
          </cell>
          <cell r="E187" t="str">
            <v>A3</v>
          </cell>
        </row>
        <row r="188">
          <cell r="B188" t="str">
            <v>Lê Thị Mai Hường</v>
          </cell>
          <cell r="C188" t="str">
            <v>01011013</v>
          </cell>
          <cell r="D188" t="str">
            <v>A3</v>
          </cell>
          <cell r="E188" t="str">
            <v>A3</v>
          </cell>
        </row>
        <row r="189">
          <cell r="B189" t="str">
            <v>Đinh Thị Huyên</v>
          </cell>
          <cell r="C189" t="str">
            <v>01011009</v>
          </cell>
          <cell r="D189" t="str">
            <v>A3</v>
          </cell>
          <cell r="E189" t="str">
            <v>A1</v>
          </cell>
        </row>
        <row r="190">
          <cell r="B190" t="str">
            <v>Nguyễn Anh Kiệt</v>
          </cell>
          <cell r="C190" t="str">
            <v>01011001</v>
          </cell>
          <cell r="D190" t="str">
            <v>A3</v>
          </cell>
          <cell r="E190" t="str">
            <v>A3</v>
          </cell>
        </row>
        <row r="191">
          <cell r="B191" t="str">
            <v>Trần Văn Lượng</v>
          </cell>
          <cell r="C191" t="str">
            <v>01011014</v>
          </cell>
          <cell r="D191" t="str">
            <v>A3</v>
          </cell>
          <cell r="E191" t="str">
            <v>A3</v>
          </cell>
        </row>
        <row r="192">
          <cell r="B192" t="str">
            <v>Đỗ Thị Ngát</v>
          </cell>
          <cell r="C192" t="str">
            <v>01011016</v>
          </cell>
          <cell r="D192" t="str">
            <v>A4</v>
          </cell>
          <cell r="E192" t="str">
            <v>A4</v>
          </cell>
        </row>
        <row r="193">
          <cell r="B193" t="str">
            <v>Cao Thị Hồng Thắm</v>
          </cell>
          <cell r="C193" t="str">
            <v>01011007</v>
          </cell>
          <cell r="D193" t="str">
            <v>A4</v>
          </cell>
          <cell r="E193" t="str">
            <v>A4</v>
          </cell>
        </row>
        <row r="194">
          <cell r="B194" t="str">
            <v>Đỗ Thị Thơm</v>
          </cell>
          <cell r="C194" t="str">
            <v>01011008</v>
          </cell>
          <cell r="D194" t="str">
            <v>A4</v>
          </cell>
          <cell r="E194" t="str">
            <v>A4</v>
          </cell>
        </row>
        <row r="195">
          <cell r="B195" t="str">
            <v>Trần Thị Hồng Thu</v>
          </cell>
          <cell r="C195" t="str">
            <v>01011015</v>
          </cell>
          <cell r="D195" t="str">
            <v>A3</v>
          </cell>
          <cell r="E195" t="str">
            <v>A3</v>
          </cell>
        </row>
        <row r="196">
          <cell r="B196" t="str">
            <v>Phan Thị Thùy Trang</v>
          </cell>
          <cell r="C196" t="str">
            <v>01011010</v>
          </cell>
          <cell r="D196" t="str">
            <v>A3</v>
          </cell>
          <cell r="E196" t="str">
            <v>A3</v>
          </cell>
        </row>
        <row r="197">
          <cell r="B197" t="str">
            <v>Hoàng Thị Trang</v>
          </cell>
          <cell r="C197" t="str">
            <v>01011018</v>
          </cell>
          <cell r="D197" t="str">
            <v>A3</v>
          </cell>
          <cell r="E197" t="str">
            <v>A2</v>
          </cell>
        </row>
        <row r="198">
          <cell r="B198" t="str">
            <v>Phạm Thị Vinh</v>
          </cell>
          <cell r="C198" t="str">
            <v>01011006</v>
          </cell>
          <cell r="D198" t="str">
            <v>A4</v>
          </cell>
          <cell r="E198" t="str">
            <v>A4</v>
          </cell>
        </row>
        <row r="199">
          <cell r="B199" t="str">
            <v>KHOA CƠ KHÍ</v>
          </cell>
          <cell r="C199">
            <v>0</v>
          </cell>
          <cell r="D199">
            <v>0</v>
          </cell>
          <cell r="E199">
            <v>28</v>
          </cell>
        </row>
        <row r="200">
          <cell r="B200" t="str">
            <v>Viên chức</v>
          </cell>
          <cell r="C200">
            <v>0</v>
          </cell>
          <cell r="D200">
            <v>0</v>
          </cell>
          <cell r="E200">
            <v>28</v>
          </cell>
        </row>
        <row r="201">
          <cell r="B201" t="str">
            <v>Chung Trần Thế Vinh</v>
          </cell>
          <cell r="C201" t="str">
            <v>01012003</v>
          </cell>
          <cell r="D201" t="str">
            <v>A3</v>
          </cell>
          <cell r="E201" t="str">
            <v>A2</v>
          </cell>
        </row>
        <row r="202">
          <cell r="B202" t="str">
            <v>Trần Đình Khải</v>
          </cell>
          <cell r="C202" t="str">
            <v>01012008</v>
          </cell>
          <cell r="D202" t="str">
            <v>A3</v>
          </cell>
          <cell r="E202" t="str">
            <v>A3</v>
          </cell>
        </row>
        <row r="203">
          <cell r="B203" t="str">
            <v>Vũ Quang Khải</v>
          </cell>
          <cell r="C203" t="str">
            <v>01012007</v>
          </cell>
          <cell r="D203" t="str">
            <v>A3</v>
          </cell>
          <cell r="E203" t="str">
            <v>A3</v>
          </cell>
        </row>
        <row r="204">
          <cell r="B204" t="str">
            <v>Vũ Đức Pháp</v>
          </cell>
          <cell r="C204" t="str">
            <v>01012013</v>
          </cell>
          <cell r="D204" t="str">
            <v>A3</v>
          </cell>
          <cell r="E204" t="str">
            <v>A2</v>
          </cell>
        </row>
        <row r="205">
          <cell r="B205" t="str">
            <v>Bùi Anh Tuấn</v>
          </cell>
          <cell r="C205" t="str">
            <v>01012023</v>
          </cell>
          <cell r="D205" t="str">
            <v>A3</v>
          </cell>
          <cell r="E205" t="str">
            <v>A2</v>
          </cell>
        </row>
        <row r="206">
          <cell r="B206" t="str">
            <v>Dương Minh Chung</v>
          </cell>
          <cell r="C206" t="str">
            <v>01012014</v>
          </cell>
          <cell r="D206" t="str">
            <v>A3</v>
          </cell>
          <cell r="E206" t="str">
            <v>A3</v>
          </cell>
        </row>
        <row r="207">
          <cell r="B207" t="str">
            <v>Đỗ Thị Phương Khanh</v>
          </cell>
          <cell r="C207" t="str">
            <v>01012005</v>
          </cell>
          <cell r="D207" t="str">
            <v>A4</v>
          </cell>
          <cell r="E207" t="str">
            <v>A4</v>
          </cell>
        </row>
        <row r="208">
          <cell r="B208" t="str">
            <v>Trương Thị Phương Hồng</v>
          </cell>
          <cell r="C208" t="str">
            <v>01012006</v>
          </cell>
          <cell r="D208" t="str">
            <v>A3</v>
          </cell>
          <cell r="E208" t="str">
            <v>A2</v>
          </cell>
        </row>
        <row r="209">
          <cell r="B209" t="str">
            <v>Phan Văn Thành</v>
          </cell>
          <cell r="C209" t="str">
            <v>01012004</v>
          </cell>
          <cell r="D209" t="str">
            <v>B1</v>
          </cell>
          <cell r="E209" t="str">
            <v>A4</v>
          </cell>
        </row>
        <row r="210">
          <cell r="B210" t="str">
            <v>Phan Thị Xuân Trang</v>
          </cell>
          <cell r="C210" t="str">
            <v>01012012</v>
          </cell>
          <cell r="D210" t="str">
            <v>A4</v>
          </cell>
          <cell r="E210" t="str">
            <v>A4</v>
          </cell>
        </row>
        <row r="211">
          <cell r="B211" t="str">
            <v>Lư Thị Yến Vũ</v>
          </cell>
          <cell r="C211" t="str">
            <v>01012016</v>
          </cell>
          <cell r="D211" t="str">
            <v>B2</v>
          </cell>
          <cell r="E211" t="str">
            <v>A4</v>
          </cell>
        </row>
        <row r="212">
          <cell r="B212" t="str">
            <v>Nguyễn Thanh Vũ</v>
          </cell>
          <cell r="C212" t="str">
            <v>01012015</v>
          </cell>
          <cell r="D212" t="str">
            <v>A3</v>
          </cell>
          <cell r="E212" t="str">
            <v>A3</v>
          </cell>
        </row>
        <row r="213">
          <cell r="B213" t="str">
            <v>Nguyễn Tiến Dũng</v>
          </cell>
          <cell r="C213" t="str">
            <v>01012019</v>
          </cell>
          <cell r="D213" t="str">
            <v>A1</v>
          </cell>
          <cell r="E213" t="str">
            <v>A1</v>
          </cell>
        </row>
        <row r="214">
          <cell r="B214" t="str">
            <v>Nguyễn Thành Long</v>
          </cell>
          <cell r="C214" t="str">
            <v>01012018</v>
          </cell>
          <cell r="D214" t="str">
            <v>A4</v>
          </cell>
          <cell r="E214" t="str">
            <v>A4</v>
          </cell>
        </row>
        <row r="215">
          <cell r="B215" t="str">
            <v>Nguyễn Ngọc Quỳnh.</v>
          </cell>
          <cell r="C215" t="str">
            <v>01012017</v>
          </cell>
          <cell r="D215" t="str">
            <v>A4</v>
          </cell>
          <cell r="E215" t="str">
            <v>A4</v>
          </cell>
        </row>
        <row r="216">
          <cell r="B216" t="str">
            <v>Nguyễn Duy Hải</v>
          </cell>
          <cell r="C216" t="str">
            <v>01012022</v>
          </cell>
          <cell r="D216" t="str">
            <v>A4</v>
          </cell>
          <cell r="E216" t="str">
            <v>A4</v>
          </cell>
        </row>
        <row r="217">
          <cell r="B217" t="str">
            <v>Trần Minh Thông</v>
          </cell>
          <cell r="C217" t="str">
            <v>01012020</v>
          </cell>
          <cell r="D217" t="str">
            <v>A3</v>
          </cell>
          <cell r="E217" t="str">
            <v>A3</v>
          </cell>
        </row>
        <row r="218">
          <cell r="B218" t="str">
            <v>Trần Thị Hương</v>
          </cell>
          <cell r="C218" t="str">
            <v>01012021</v>
          </cell>
          <cell r="D218" t="str">
            <v>A4</v>
          </cell>
          <cell r="E218" t="str">
            <v>A4</v>
          </cell>
        </row>
        <row r="219">
          <cell r="B219" t="str">
            <v>Nguyễn Thanh Vĩnh Phúc</v>
          </cell>
          <cell r="C219" t="str">
            <v>01012011</v>
          </cell>
          <cell r="D219" t="str">
            <v>A3</v>
          </cell>
          <cell r="E219" t="str">
            <v>A3</v>
          </cell>
        </row>
        <row r="220">
          <cell r="B220" t="str">
            <v>Dương Thị Hồng</v>
          </cell>
          <cell r="C220" t="str">
            <v>01012028</v>
          </cell>
          <cell r="D220" t="str">
            <v>A4</v>
          </cell>
          <cell r="E220" t="str">
            <v>A4</v>
          </cell>
        </row>
        <row r="221">
          <cell r="B221" t="str">
            <v>Nguyễn Thanh Giang</v>
          </cell>
          <cell r="C221" t="str">
            <v>01012032</v>
          </cell>
          <cell r="D221" t="str">
            <v>A4</v>
          </cell>
          <cell r="E221" t="str">
            <v>A4</v>
          </cell>
        </row>
        <row r="222">
          <cell r="B222" t="str">
            <v>Nguyễn Hồng Phúc</v>
          </cell>
          <cell r="C222" t="str">
            <v>01025017</v>
          </cell>
          <cell r="D222" t="str">
            <v>A3</v>
          </cell>
          <cell r="E222" t="str">
            <v>A3</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A3</v>
          </cell>
          <cell r="E225" t="str">
            <v>A3</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A3</v>
          </cell>
          <cell r="E228" t="str">
            <v>A3</v>
          </cell>
        </row>
        <row r="229">
          <cell r="B229" t="str">
            <v>KHOA CÔNG NGHỆ THÔNG TIN</v>
          </cell>
          <cell r="C229">
            <v>0</v>
          </cell>
          <cell r="D229">
            <v>0</v>
          </cell>
          <cell r="E229">
            <v>19</v>
          </cell>
        </row>
        <row r="230">
          <cell r="B230" t="str">
            <v>Viên chức</v>
          </cell>
          <cell r="C230">
            <v>0</v>
          </cell>
          <cell r="D230">
            <v>0</v>
          </cell>
          <cell r="E230">
            <v>19</v>
          </cell>
        </row>
        <row r="231">
          <cell r="B231" t="str">
            <v>Trần Việt Khánh</v>
          </cell>
          <cell r="C231" t="str">
            <v>01015019</v>
          </cell>
          <cell r="D231" t="str">
            <v>A3</v>
          </cell>
          <cell r="E231" t="str">
            <v>A2</v>
          </cell>
        </row>
        <row r="232">
          <cell r="B232" t="str">
            <v>Nguyễn Văn Đôn</v>
          </cell>
          <cell r="C232" t="str">
            <v>01015023</v>
          </cell>
          <cell r="D232" t="str">
            <v>A3</v>
          </cell>
          <cell r="E232" t="str">
            <v>A3</v>
          </cell>
        </row>
        <row r="233">
          <cell r="B233" t="str">
            <v>Nguyễn Sanh Cường</v>
          </cell>
          <cell r="C233" t="str">
            <v>01015005</v>
          </cell>
          <cell r="D233" t="str">
            <v>A4</v>
          </cell>
          <cell r="E233" t="str">
            <v>A4</v>
          </cell>
        </row>
        <row r="234">
          <cell r="B234" t="str">
            <v>Đặng Ngọc Đoàn</v>
          </cell>
          <cell r="C234" t="str">
            <v>01015018</v>
          </cell>
          <cell r="D234" t="str">
            <v>A4</v>
          </cell>
          <cell r="E234" t="str">
            <v>A4</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A4</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A4</v>
          </cell>
          <cell r="E246" t="str">
            <v>A4</v>
          </cell>
        </row>
        <row r="247">
          <cell r="B247" t="str">
            <v>Đỗ Thị Hải Yến</v>
          </cell>
          <cell r="C247" t="str">
            <v>01015021</v>
          </cell>
          <cell r="D247" t="str">
            <v>A4</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v>0</v>
          </cell>
          <cell r="D250">
            <v>0</v>
          </cell>
          <cell r="E250">
            <v>25</v>
          </cell>
        </row>
        <row r="251">
          <cell r="B251" t="str">
            <v>Viên chức</v>
          </cell>
          <cell r="C251">
            <v>0</v>
          </cell>
          <cell r="D251">
            <v>0</v>
          </cell>
          <cell r="E251">
            <v>24</v>
          </cell>
        </row>
        <row r="252">
          <cell r="B252" t="str">
            <v>Nguyễn Anh Tuấn</v>
          </cell>
          <cell r="C252" t="str">
            <v>01013003</v>
          </cell>
          <cell r="D252" t="str">
            <v>A3</v>
          </cell>
          <cell r="E252" t="str">
            <v>A2</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A3</v>
          </cell>
          <cell r="E256" t="str">
            <v>A3</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A3</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A1</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A4</v>
          </cell>
          <cell r="E270" t="str">
            <v>A4</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v>0</v>
          </cell>
          <cell r="D276">
            <v>0</v>
          </cell>
          <cell r="E276">
            <v>1</v>
          </cell>
        </row>
        <row r="277">
          <cell r="B277" t="str">
            <v>Nguyễn Khắc Huân</v>
          </cell>
          <cell r="C277" t="str">
            <v>01013096</v>
          </cell>
          <cell r="D277" t="str">
            <v>A3</v>
          </cell>
          <cell r="E277" t="str">
            <v>A3</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A1</v>
          </cell>
        </row>
        <row r="282">
          <cell r="B282" t="str">
            <v>Phạm Minh Nghĩa</v>
          </cell>
          <cell r="C282" t="str">
            <v>01023003</v>
          </cell>
          <cell r="D282" t="str">
            <v>A1</v>
          </cell>
          <cell r="E282" t="str">
            <v>A1</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A3</v>
          </cell>
          <cell r="E290" t="str">
            <v>A3</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A2</v>
          </cell>
          <cell r="E299" t="str">
            <v>A2</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A3</v>
          </cell>
          <cell r="E303" t="str">
            <v>A3</v>
          </cell>
        </row>
        <row r="304">
          <cell r="B304" t="str">
            <v>Nguyễn Anh Tăng</v>
          </cell>
          <cell r="C304" t="str">
            <v>01014006</v>
          </cell>
          <cell r="D304" t="str">
            <v>A3</v>
          </cell>
          <cell r="E304" t="str">
            <v>A3</v>
          </cell>
        </row>
        <row r="305">
          <cell r="B305" t="str">
            <v>Nguyễn Khương Thành</v>
          </cell>
          <cell r="C305" t="str">
            <v>01014052</v>
          </cell>
          <cell r="D305" t="str">
            <v>A1</v>
          </cell>
          <cell r="E305" t="str">
            <v>A1</v>
          </cell>
        </row>
        <row r="306">
          <cell r="B306" t="str">
            <v>Trần Công Tiến</v>
          </cell>
          <cell r="C306" t="str">
            <v>01014009</v>
          </cell>
          <cell r="D306" t="str">
            <v>A3</v>
          </cell>
          <cell r="E306" t="str">
            <v>A3</v>
          </cell>
        </row>
        <row r="307">
          <cell r="B307" t="str">
            <v>Cao Văn Tuấn</v>
          </cell>
          <cell r="C307" t="str">
            <v>01014045</v>
          </cell>
          <cell r="D307" t="str">
            <v>A1</v>
          </cell>
          <cell r="E307" t="str">
            <v>A1</v>
          </cell>
        </row>
        <row r="308">
          <cell r="B308" t="str">
            <v>Trần Hiếu Trinh</v>
          </cell>
          <cell r="C308" t="str">
            <v>01014021</v>
          </cell>
          <cell r="D308" t="str">
            <v>A3</v>
          </cell>
          <cell r="E308" t="str">
            <v>A3</v>
          </cell>
        </row>
        <row r="309">
          <cell r="B309" t="str">
            <v>Nguyễn Văn Yên</v>
          </cell>
          <cell r="C309" t="str">
            <v>01014016</v>
          </cell>
          <cell r="D309" t="str">
            <v>A3</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A3</v>
          </cell>
        </row>
        <row r="317">
          <cell r="B317" t="str">
            <v>Lê Thị Phương Thảo</v>
          </cell>
          <cell r="C317" t="str">
            <v>01016012</v>
          </cell>
          <cell r="D317" t="str">
            <v>A3</v>
          </cell>
          <cell r="E317" t="str">
            <v>A3</v>
          </cell>
        </row>
        <row r="318">
          <cell r="B318" t="str">
            <v>Trần Hồng Thảo</v>
          </cell>
          <cell r="C318" t="str">
            <v>01016010</v>
          </cell>
          <cell r="D318" t="str">
            <v>A4</v>
          </cell>
          <cell r="E318" t="str">
            <v>A4</v>
          </cell>
        </row>
        <row r="319">
          <cell r="B319" t="str">
            <v>Lâm Thị Phương Thùy</v>
          </cell>
          <cell r="C319" t="str">
            <v>01016007</v>
          </cell>
          <cell r="D319" t="str">
            <v>A3</v>
          </cell>
          <cell r="E319" t="str">
            <v>A3</v>
          </cell>
        </row>
        <row r="320">
          <cell r="B320" t="str">
            <v>KHOA XÂY DỰNG - NHIỆT LẠNH</v>
          </cell>
          <cell r="C320">
            <v>0</v>
          </cell>
          <cell r="D320">
            <v>0</v>
          </cell>
          <cell r="E320">
            <v>12</v>
          </cell>
        </row>
        <row r="321">
          <cell r="B321" t="str">
            <v>Viên chức</v>
          </cell>
          <cell r="C321">
            <v>0</v>
          </cell>
          <cell r="D321">
            <v>0</v>
          </cell>
          <cell r="E321">
            <v>12</v>
          </cell>
        </row>
        <row r="322">
          <cell r="B322" t="str">
            <v>Phạm Quang Vũ</v>
          </cell>
          <cell r="C322" t="str">
            <v>01004014</v>
          </cell>
          <cell r="D322" t="str">
            <v>A1</v>
          </cell>
          <cell r="E322" t="str">
            <v>A1</v>
          </cell>
        </row>
        <row r="323">
          <cell r="B323" t="str">
            <v>Hoàng Văn Viết</v>
          </cell>
          <cell r="C323" t="str">
            <v>01029001</v>
          </cell>
          <cell r="D323" t="str">
            <v>A3</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A4</v>
          </cell>
          <cell r="E327" t="str">
            <v>A4</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A4</v>
          </cell>
          <cell r="E332" t="str">
            <v>A4</v>
          </cell>
        </row>
        <row r="333">
          <cell r="B333" t="str">
            <v>Trần Ngọc Tuấn</v>
          </cell>
          <cell r="C333" t="str">
            <v>01028017</v>
          </cell>
          <cell r="D333" t="str">
            <v>A2</v>
          </cell>
          <cell r="E333" t="str">
            <v>A2</v>
          </cell>
        </row>
        <row r="334">
          <cell r="B334" t="str">
            <v>KHOA KINH TẾ</v>
          </cell>
          <cell r="C334">
            <v>0</v>
          </cell>
          <cell r="D334">
            <v>0</v>
          </cell>
          <cell r="E334">
            <v>13</v>
          </cell>
        </row>
        <row r="335">
          <cell r="B335" t="str">
            <v>Viên chức</v>
          </cell>
          <cell r="C335">
            <v>0</v>
          </cell>
          <cell r="D335">
            <v>0</v>
          </cell>
          <cell r="E335">
            <v>13</v>
          </cell>
        </row>
        <row r="336">
          <cell r="B336" t="str">
            <v>Trịnh Hoàng Hiệp</v>
          </cell>
          <cell r="C336" t="str">
            <v>01025007</v>
          </cell>
          <cell r="D336" t="str">
            <v>A3</v>
          </cell>
          <cell r="E336" t="str">
            <v>A2</v>
          </cell>
        </row>
        <row r="337">
          <cell r="B337" t="str">
            <v>Phạm Quỳnh Như</v>
          </cell>
          <cell r="C337" t="str">
            <v>01025004</v>
          </cell>
          <cell r="D337" t="str">
            <v>A3</v>
          </cell>
          <cell r="E337" t="str">
            <v>A2</v>
          </cell>
        </row>
        <row r="338">
          <cell r="B338" t="str">
            <v>Lưu Thị Thúy</v>
          </cell>
          <cell r="C338" t="str">
            <v>01025002</v>
          </cell>
          <cell r="D338" t="str">
            <v>A3</v>
          </cell>
          <cell r="E338" t="str">
            <v>A2</v>
          </cell>
        </row>
        <row r="339">
          <cell r="B339" t="str">
            <v>Trần Thị Ngọc Dung</v>
          </cell>
          <cell r="C339" t="str">
            <v>01025016</v>
          </cell>
          <cell r="D339" t="str">
            <v>A3</v>
          </cell>
          <cell r="E339" t="str">
            <v>A3</v>
          </cell>
        </row>
        <row r="340">
          <cell r="B340" t="str">
            <v>Cao Xuân Giang</v>
          </cell>
          <cell r="C340" t="str">
            <v>01025018</v>
          </cell>
          <cell r="D340" t="str">
            <v>A4</v>
          </cell>
          <cell r="E340" t="str">
            <v>A4</v>
          </cell>
        </row>
        <row r="341">
          <cell r="B341" t="str">
            <v>Nguyễn Thị Thanh Hòa</v>
          </cell>
          <cell r="C341" t="str">
            <v>01009027</v>
          </cell>
          <cell r="D341" t="str">
            <v>A3</v>
          </cell>
          <cell r="E341" t="str">
            <v>A3</v>
          </cell>
        </row>
        <row r="342">
          <cell r="B342" t="str">
            <v>Huỳnh Kim Liên</v>
          </cell>
          <cell r="C342" t="str">
            <v>01025052</v>
          </cell>
          <cell r="D342" t="str">
            <v>A3</v>
          </cell>
          <cell r="E342" t="str">
            <v>A3</v>
          </cell>
        </row>
        <row r="343">
          <cell r="B343" t="str">
            <v>Lê Hồng Ngọc My</v>
          </cell>
          <cell r="C343" t="str">
            <v>01015053</v>
          </cell>
          <cell r="D343" t="str">
            <v>A3</v>
          </cell>
          <cell r="E343" t="str">
            <v>A3</v>
          </cell>
        </row>
        <row r="344">
          <cell r="B344" t="str">
            <v>Lê Thị Thu Thảo</v>
          </cell>
          <cell r="C344" t="str">
            <v>01025008</v>
          </cell>
          <cell r="D344" t="str">
            <v>A3</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A3</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A2</v>
          </cell>
          <cell r="E348" t="str">
            <v>A2</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A3</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A4</v>
          </cell>
          <cell r="E353" t="str">
            <v>A4</v>
          </cell>
        </row>
        <row r="354">
          <cell r="B354" t="str">
            <v>Đinh Thị Trâm</v>
          </cell>
          <cell r="C354" t="str">
            <v>01025033</v>
          </cell>
          <cell r="D354" t="str">
            <v>A3</v>
          </cell>
          <cell r="E354" t="str">
            <v>A3</v>
          </cell>
        </row>
        <row r="355">
          <cell r="B355" t="str">
            <v>Lê Thị Thúy Oanh</v>
          </cell>
          <cell r="C355" t="str">
            <v>01025020</v>
          </cell>
          <cell r="D355" t="str">
            <v>A4</v>
          </cell>
          <cell r="E355" t="str">
            <v>A4</v>
          </cell>
        </row>
        <row r="356">
          <cell r="B356" t="str">
            <v>Võ Thị Kim Thư</v>
          </cell>
          <cell r="C356" t="str">
            <v>01025012</v>
          </cell>
          <cell r="D356" t="str">
            <v>A4</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A3</v>
          </cell>
          <cell r="E373" t="str">
            <v>A3</v>
          </cell>
        </row>
        <row r="374">
          <cell r="B374" t="str">
            <v>Võ Tấn Kiệt</v>
          </cell>
          <cell r="C374" t="str">
            <v>01008034</v>
          </cell>
          <cell r="D374" t="str">
            <v>A2</v>
          </cell>
          <cell r="E374" t="str">
            <v>A2</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A2</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v>0</v>
          </cell>
          <cell r="D385">
            <v>0</v>
          </cell>
          <cell r="E385">
            <v>1</v>
          </cell>
        </row>
        <row r="386">
          <cell r="B386" t="str">
            <v>Lê Thị Huyền</v>
          </cell>
          <cell r="C386" t="str">
            <v>01021004</v>
          </cell>
          <cell r="D386" t="str">
            <v>A2</v>
          </cell>
          <cell r="E386" t="str">
            <v>A2</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v>0</v>
          </cell>
          <cell r="D393">
            <v>0</v>
          </cell>
          <cell r="E393">
            <v>3</v>
          </cell>
        </row>
        <row r="394">
          <cell r="B394" t="str">
            <v>Phạm Huỳnh Kim Ngân</v>
          </cell>
          <cell r="C394" t="str">
            <v>01025013</v>
          </cell>
          <cell r="D394" t="str">
            <v>B1</v>
          </cell>
          <cell r="E394" t="str">
            <v>B1</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28</v>
          </cell>
          <cell r="M10">
            <v>0</v>
          </cell>
        </row>
        <row r="11">
          <cell r="H11" t="str">
            <v>Đinh Văn Đệ</v>
          </cell>
          <cell r="I11" t="str">
            <v>Phó Hiệu Trưởng PT</v>
          </cell>
          <cell r="J11">
            <v>28</v>
          </cell>
          <cell r="M11">
            <v>0</v>
          </cell>
        </row>
        <row r="12">
          <cell r="H12" t="str">
            <v>Đinh Hồng Minh</v>
          </cell>
          <cell r="I12" t="str">
            <v xml:space="preserve">Phó Hiệu Trưởng </v>
          </cell>
          <cell r="J12">
            <v>29</v>
          </cell>
          <cell r="M12">
            <v>0</v>
          </cell>
        </row>
        <row r="13">
          <cell r="H13" t="str">
            <v>Châu Văn Bảo</v>
          </cell>
          <cell r="I13" t="str">
            <v xml:space="preserve">Phó Hiệu Trưởng </v>
          </cell>
          <cell r="J13">
            <v>30</v>
          </cell>
          <cell r="M13">
            <v>0</v>
          </cell>
        </row>
        <row r="14">
          <cell r="H14" t="str">
            <v>Lâm Viết Dũng</v>
          </cell>
          <cell r="I14" t="str">
            <v>Phòng TC-HC-TH</v>
          </cell>
          <cell r="J14">
            <v>30</v>
          </cell>
          <cell r="M14">
            <v>0</v>
          </cell>
        </row>
        <row r="15">
          <cell r="H15" t="str">
            <v>Lưu Hoàng Hải Yến</v>
          </cell>
          <cell r="I15"/>
          <cell r="J15">
            <v>27</v>
          </cell>
          <cell r="M15">
            <v>0</v>
          </cell>
        </row>
        <row r="16">
          <cell r="H16" t="str">
            <v>Huỳnh Thị Minh Ly</v>
          </cell>
          <cell r="I16" t="str">
            <v xml:space="preserve"> </v>
          </cell>
          <cell r="J16">
            <v>27</v>
          </cell>
          <cell r="M16">
            <v>0</v>
          </cell>
        </row>
        <row r="17">
          <cell r="H17" t="str">
            <v>Nguyễn Văn Chì</v>
          </cell>
          <cell r="I17"/>
          <cell r="J17">
            <v>23.5</v>
          </cell>
          <cell r="M17">
            <v>0</v>
          </cell>
        </row>
        <row r="18">
          <cell r="H18" t="str">
            <v>Nguyễn Thị Vân</v>
          </cell>
          <cell r="I18"/>
          <cell r="J18">
            <v>26</v>
          </cell>
          <cell r="M18">
            <v>0</v>
          </cell>
        </row>
        <row r="19">
          <cell r="H19" t="str">
            <v>Phan Thị Ngọc Phượng</v>
          </cell>
          <cell r="I19"/>
          <cell r="J19">
            <v>24</v>
          </cell>
          <cell r="M19">
            <v>0</v>
          </cell>
        </row>
        <row r="20">
          <cell r="H20" t="str">
            <v>Trần Thị Ánh Phượng</v>
          </cell>
          <cell r="I20"/>
          <cell r="J20">
            <v>24.5</v>
          </cell>
          <cell r="M20">
            <v>0</v>
          </cell>
        </row>
        <row r="21">
          <cell r="H21" t="str">
            <v>Thân Thị Nhung</v>
          </cell>
          <cell r="I21"/>
          <cell r="J21">
            <v>23.5</v>
          </cell>
          <cell r="M21">
            <v>0</v>
          </cell>
        </row>
        <row r="22">
          <cell r="H22" t="str">
            <v>Trần Thị Phương Oanh</v>
          </cell>
          <cell r="I22"/>
          <cell r="J22">
            <v>23.5</v>
          </cell>
          <cell r="M22">
            <v>0</v>
          </cell>
        </row>
        <row r="23">
          <cell r="H23" t="str">
            <v>Vũ Như Quỳnh</v>
          </cell>
          <cell r="I23"/>
          <cell r="J23">
            <v>25</v>
          </cell>
          <cell r="M23">
            <v>0</v>
          </cell>
        </row>
        <row r="24">
          <cell r="H24" t="str">
            <v>Nguyễn Thị Bích Liễu</v>
          </cell>
          <cell r="I24"/>
          <cell r="J24">
            <v>23.5</v>
          </cell>
          <cell r="M24">
            <v>0</v>
          </cell>
        </row>
        <row r="25">
          <cell r="H25" t="str">
            <v>Lê Văn Bình</v>
          </cell>
          <cell r="I25"/>
          <cell r="J25">
            <v>22</v>
          </cell>
          <cell r="M25">
            <v>0</v>
          </cell>
        </row>
        <row r="26">
          <cell r="H26" t="str">
            <v>Lê Quang Liêm</v>
          </cell>
          <cell r="I26" t="str">
            <v>Phòng QT - DV</v>
          </cell>
          <cell r="J26">
            <v>27</v>
          </cell>
          <cell r="M26">
            <v>0</v>
          </cell>
        </row>
        <row r="27">
          <cell r="H27" t="str">
            <v>Nguyễn Văn Thành</v>
          </cell>
          <cell r="I27"/>
          <cell r="J27">
            <v>26</v>
          </cell>
          <cell r="M27">
            <v>0</v>
          </cell>
        </row>
        <row r="28">
          <cell r="H28" t="str">
            <v>Phan Đức Long</v>
          </cell>
          <cell r="I28"/>
          <cell r="J28">
            <v>27</v>
          </cell>
          <cell r="M28">
            <v>0</v>
          </cell>
        </row>
        <row r="29">
          <cell r="H29" t="str">
            <v>Ninh Đỗ Hiệp</v>
          </cell>
          <cell r="I29"/>
          <cell r="J29">
            <v>23</v>
          </cell>
          <cell r="M29">
            <v>0</v>
          </cell>
        </row>
        <row r="30">
          <cell r="H30" t="str">
            <v>Nguyễn Trọng Phú</v>
          </cell>
          <cell r="I30"/>
          <cell r="J30">
            <v>23</v>
          </cell>
          <cell r="M30">
            <v>0</v>
          </cell>
        </row>
        <row r="31">
          <cell r="H31" t="str">
            <v>Lê Hồng Anh Tuấn</v>
          </cell>
          <cell r="I31"/>
          <cell r="J31">
            <v>23</v>
          </cell>
          <cell r="M31">
            <v>0</v>
          </cell>
        </row>
        <row r="32">
          <cell r="H32" t="str">
            <v>Giáp Văn Thịnh</v>
          </cell>
          <cell r="I32"/>
          <cell r="J32">
            <v>23</v>
          </cell>
          <cell r="M32">
            <v>0</v>
          </cell>
        </row>
        <row r="33">
          <cell r="H33" t="str">
            <v>Vũ Ngọc Quang</v>
          </cell>
          <cell r="I33"/>
          <cell r="J33">
            <v>23</v>
          </cell>
          <cell r="M33">
            <v>0</v>
          </cell>
        </row>
        <row r="34">
          <cell r="H34" t="str">
            <v>Bùi Thị Dương</v>
          </cell>
          <cell r="I34"/>
          <cell r="J34">
            <v>27</v>
          </cell>
          <cell r="M34">
            <v>0</v>
          </cell>
        </row>
        <row r="35">
          <cell r="H35" t="str">
            <v>Phan Hữu Tước</v>
          </cell>
          <cell r="I35"/>
          <cell r="J35">
            <v>27</v>
          </cell>
          <cell r="M35">
            <v>0</v>
          </cell>
        </row>
        <row r="36">
          <cell r="H36" t="str">
            <v>Trang Thị Xuân Uyên</v>
          </cell>
          <cell r="I36" t="str">
            <v>Trung tâm Y tế</v>
          </cell>
          <cell r="J36">
            <v>27</v>
          </cell>
          <cell r="M36">
            <v>0</v>
          </cell>
        </row>
        <row r="37">
          <cell r="H37" t="str">
            <v>Bùi Thị Lan Anh</v>
          </cell>
          <cell r="I37"/>
          <cell r="J37">
            <v>27</v>
          </cell>
          <cell r="M37">
            <v>0</v>
          </cell>
        </row>
        <row r="38">
          <cell r="H38" t="str">
            <v>Nguyễn Kính</v>
          </cell>
          <cell r="I38" t="str">
            <v xml:space="preserve">Phòng KH - TC </v>
          </cell>
          <cell r="J38">
            <v>29</v>
          </cell>
          <cell r="M38">
            <v>0</v>
          </cell>
        </row>
        <row r="39">
          <cell r="H39" t="str">
            <v>Võ Thị Lệ Trân</v>
          </cell>
          <cell r="I39"/>
          <cell r="J39">
            <v>27</v>
          </cell>
          <cell r="M39">
            <v>0</v>
          </cell>
        </row>
        <row r="40">
          <cell r="H40" t="str">
            <v>Trần Thị Minh Thoa</v>
          </cell>
          <cell r="I40"/>
          <cell r="J40">
            <v>27</v>
          </cell>
          <cell r="M40">
            <v>0</v>
          </cell>
        </row>
        <row r="41">
          <cell r="H41" t="str">
            <v>Hồng Mộng Tuyết Dung</v>
          </cell>
          <cell r="I41"/>
          <cell r="J41">
            <v>27</v>
          </cell>
          <cell r="M41">
            <v>0</v>
          </cell>
        </row>
        <row r="42">
          <cell r="H42" t="str">
            <v>Nguyễn Thị Hồng Thắm</v>
          </cell>
          <cell r="I42"/>
          <cell r="J42">
            <v>27</v>
          </cell>
          <cell r="M42">
            <v>0</v>
          </cell>
        </row>
        <row r="43">
          <cell r="H43" t="str">
            <v>Nguyễn Văn Chiến</v>
          </cell>
          <cell r="I43" t="str">
            <v>Phòng Thanh tra GD - QHDN</v>
          </cell>
          <cell r="J43">
            <v>27</v>
          </cell>
          <cell r="M43">
            <v>0</v>
          </cell>
        </row>
        <row r="44">
          <cell r="H44" t="str">
            <v>Lê Xuân Thiện</v>
          </cell>
          <cell r="I44"/>
          <cell r="J44">
            <v>24</v>
          </cell>
          <cell r="M44">
            <v>0</v>
          </cell>
        </row>
        <row r="45">
          <cell r="H45" t="str">
            <v>Nguyễn Tất Thắng</v>
          </cell>
          <cell r="I45"/>
          <cell r="J45">
            <v>22</v>
          </cell>
          <cell r="M45" t="str">
            <v>Trừ 2 ngày nghỉ phép 1+2/10</v>
          </cell>
        </row>
        <row r="46">
          <cell r="H46" t="str">
            <v>Trần Thị Thu Hà</v>
          </cell>
          <cell r="I46"/>
          <cell r="J46">
            <v>25</v>
          </cell>
          <cell r="M46">
            <v>0</v>
          </cell>
        </row>
        <row r="47">
          <cell r="H47" t="str">
            <v>Phạm Thị Lê Chi</v>
          </cell>
          <cell r="I47"/>
          <cell r="J47">
            <v>24</v>
          </cell>
          <cell r="M47">
            <v>0</v>
          </cell>
        </row>
        <row r="48">
          <cell r="H48" t="str">
            <v>Nguyễn Thùy Dương</v>
          </cell>
          <cell r="I48"/>
          <cell r="J48">
            <v>25</v>
          </cell>
          <cell r="M48">
            <v>0</v>
          </cell>
        </row>
        <row r="49">
          <cell r="H49" t="str">
            <v>Nguyễn Thị Kim Anh</v>
          </cell>
          <cell r="I49"/>
          <cell r="J49">
            <v>24</v>
          </cell>
          <cell r="M49">
            <v>0</v>
          </cell>
        </row>
        <row r="50">
          <cell r="H50" t="str">
            <v>Mai Thu Hương</v>
          </cell>
          <cell r="I50"/>
          <cell r="J50">
            <v>24</v>
          </cell>
          <cell r="M50">
            <v>0</v>
          </cell>
        </row>
        <row r="51">
          <cell r="H51" t="str">
            <v>Nguyễn Phương Hà</v>
          </cell>
          <cell r="I51"/>
          <cell r="J51">
            <v>23</v>
          </cell>
          <cell r="M51">
            <v>0</v>
          </cell>
        </row>
        <row r="52">
          <cell r="H52" t="str">
            <v>Nguyễn Thành Nam</v>
          </cell>
          <cell r="I52" t="str">
            <v>Phòng TS-ĐT</v>
          </cell>
          <cell r="J52">
            <v>24.5</v>
          </cell>
          <cell r="M52">
            <v>0</v>
          </cell>
        </row>
        <row r="53">
          <cell r="H53" t="str">
            <v>Quách Minh Thử</v>
          </cell>
          <cell r="I53"/>
          <cell r="J53">
            <v>23</v>
          </cell>
          <cell r="M53">
            <v>0</v>
          </cell>
        </row>
        <row r="54">
          <cell r="H54" t="str">
            <v>Võ Thị Xuân Thơ</v>
          </cell>
          <cell r="I54"/>
          <cell r="J54">
            <v>25</v>
          </cell>
          <cell r="M54">
            <v>0</v>
          </cell>
        </row>
        <row r="55">
          <cell r="H55" t="str">
            <v>Nguyễn Thị Hải Hà</v>
          </cell>
          <cell r="I55"/>
          <cell r="J55">
            <v>25</v>
          </cell>
          <cell r="M55">
            <v>0</v>
          </cell>
        </row>
        <row r="56">
          <cell r="H56" t="str">
            <v>Nguyễn Thị Thanh Thảo</v>
          </cell>
          <cell r="I56"/>
          <cell r="J56">
            <v>24.5</v>
          </cell>
          <cell r="M56">
            <v>0</v>
          </cell>
        </row>
        <row r="57">
          <cell r="H57" t="str">
            <v>Thái Thị My Sa</v>
          </cell>
          <cell r="I57"/>
          <cell r="J57">
            <v>24.5</v>
          </cell>
          <cell r="M57">
            <v>0</v>
          </cell>
        </row>
        <row r="58">
          <cell r="H58" t="str">
            <v>Giáp Thị Vượng</v>
          </cell>
          <cell r="I58"/>
          <cell r="J58">
            <v>24.5</v>
          </cell>
          <cell r="M58">
            <v>0</v>
          </cell>
        </row>
        <row r="59">
          <cell r="H59" t="str">
            <v>Huỳnh Thị Cẩm Hoa</v>
          </cell>
          <cell r="I59"/>
          <cell r="J59">
            <v>22.5</v>
          </cell>
          <cell r="M59" t="str">
            <v>Trừ 1 ngày nghỉ phép 28/10</v>
          </cell>
        </row>
        <row r="60">
          <cell r="H60" t="str">
            <v>Nguyễn Thị Thùy</v>
          </cell>
          <cell r="I60"/>
          <cell r="J60">
            <v>26</v>
          </cell>
          <cell r="M60">
            <v>0</v>
          </cell>
        </row>
        <row r="61">
          <cell r="H61" t="str">
            <v>Nguyễn Thị Ngọc Anh</v>
          </cell>
          <cell r="I61"/>
          <cell r="J61">
            <v>22.5</v>
          </cell>
          <cell r="M61" t="str">
            <v>Trừ 2 ngày nghỉ phép 4+7/10</v>
          </cell>
        </row>
        <row r="62">
          <cell r="H62" t="str">
            <v>Trịnh Khắc Vũ</v>
          </cell>
          <cell r="I62"/>
          <cell r="J62">
            <v>22.5</v>
          </cell>
          <cell r="M62">
            <v>0</v>
          </cell>
        </row>
        <row r="63">
          <cell r="H63" t="str">
            <v>Lê Minh Phong</v>
          </cell>
          <cell r="I63"/>
          <cell r="J63">
            <v>24.5</v>
          </cell>
          <cell r="M63">
            <v>0</v>
          </cell>
        </row>
        <row r="64">
          <cell r="H64" t="str">
            <v>Nguyễn Chí Nhân</v>
          </cell>
          <cell r="I64" t="str">
            <v>Phòng Khảo thí và ĐBCL</v>
          </cell>
          <cell r="J64">
            <v>23</v>
          </cell>
          <cell r="M64">
            <v>0</v>
          </cell>
        </row>
        <row r="65">
          <cell r="H65" t="str">
            <v>Nguyễn Thị Kim Dung</v>
          </cell>
          <cell r="I65"/>
          <cell r="J65">
            <v>25</v>
          </cell>
          <cell r="M65">
            <v>0</v>
          </cell>
        </row>
        <row r="66">
          <cell r="H66" t="str">
            <v>Nguyễn Thanh Sơn</v>
          </cell>
          <cell r="I66"/>
          <cell r="J66">
            <v>23</v>
          </cell>
          <cell r="M66">
            <v>0</v>
          </cell>
        </row>
        <row r="67">
          <cell r="H67" t="str">
            <v>Lương Minh Dũng</v>
          </cell>
          <cell r="I67"/>
          <cell r="J67">
            <v>25</v>
          </cell>
          <cell r="M67">
            <v>0</v>
          </cell>
        </row>
        <row r="68">
          <cell r="H68" t="str">
            <v>Nguyễn Thị Tuyết</v>
          </cell>
          <cell r="I68"/>
          <cell r="J68">
            <v>26</v>
          </cell>
          <cell r="M68">
            <v>0</v>
          </cell>
        </row>
        <row r="69">
          <cell r="H69" t="str">
            <v>Vũ Thị Thu Thủy</v>
          </cell>
          <cell r="I69"/>
          <cell r="J69">
            <v>25</v>
          </cell>
          <cell r="M69">
            <v>0</v>
          </cell>
        </row>
        <row r="70">
          <cell r="H70" t="str">
            <v>Mai Nguyễn Hoàng Yến</v>
          </cell>
          <cell r="I70"/>
          <cell r="J70">
            <v>26</v>
          </cell>
          <cell r="M70">
            <v>0</v>
          </cell>
        </row>
        <row r="71">
          <cell r="H71" t="str">
            <v>Nguyễn Thị Huyền Nga</v>
          </cell>
          <cell r="I71"/>
          <cell r="J71">
            <v>24</v>
          </cell>
          <cell r="M71">
            <v>0</v>
          </cell>
        </row>
        <row r="72">
          <cell r="H72" t="str">
            <v>Nguyễn Trọng Nghĩa</v>
          </cell>
          <cell r="I72" t="str">
            <v>Phòng KHCN &amp; QHQT</v>
          </cell>
          <cell r="J72">
            <v>24</v>
          </cell>
          <cell r="M72">
            <v>0</v>
          </cell>
        </row>
        <row r="73">
          <cell r="H73" t="str">
            <v>Lê Thị Hải Đăng</v>
          </cell>
          <cell r="I73"/>
          <cell r="J73">
            <v>24</v>
          </cell>
          <cell r="M73">
            <v>0</v>
          </cell>
        </row>
        <row r="74">
          <cell r="H74" t="str">
            <v>Nguyễn Hữu Thiện</v>
          </cell>
          <cell r="I74" t="str">
            <v>TT. Điều hành &amp; QLDL</v>
          </cell>
          <cell r="J74">
            <v>27</v>
          </cell>
          <cell r="M74">
            <v>0</v>
          </cell>
        </row>
        <row r="75">
          <cell r="H75" t="str">
            <v>Vương Hội Khánh</v>
          </cell>
          <cell r="I75"/>
          <cell r="J75">
            <v>24</v>
          </cell>
          <cell r="M75">
            <v>0</v>
          </cell>
        </row>
        <row r="76">
          <cell r="H76" t="str">
            <v>Trương Hữu Lộc</v>
          </cell>
          <cell r="I76"/>
          <cell r="J76">
            <v>23</v>
          </cell>
          <cell r="M76">
            <v>0</v>
          </cell>
        </row>
        <row r="77">
          <cell r="H77" t="str">
            <v>Trương Thị Hồng</v>
          </cell>
          <cell r="I77"/>
          <cell r="J77">
            <v>27</v>
          </cell>
          <cell r="M77">
            <v>0</v>
          </cell>
        </row>
        <row r="78">
          <cell r="H78" t="str">
            <v>Lương Xuân Thịnh</v>
          </cell>
          <cell r="I78" t="str">
            <v>TT Đào tạo và QLTB</v>
          </cell>
          <cell r="J78">
            <v>31</v>
          </cell>
          <cell r="M78">
            <v>0</v>
          </cell>
        </row>
        <row r="79">
          <cell r="H79" t="str">
            <v>Nguyễn Cao Thắng</v>
          </cell>
          <cell r="I79"/>
          <cell r="J79">
            <v>29</v>
          </cell>
          <cell r="M79">
            <v>0</v>
          </cell>
        </row>
        <row r="80">
          <cell r="H80" t="str">
            <v>Đỗ Thị Tâm</v>
          </cell>
          <cell r="I80"/>
          <cell r="J80">
            <v>28</v>
          </cell>
          <cell r="M80">
            <v>0</v>
          </cell>
        </row>
        <row r="81">
          <cell r="H81" t="str">
            <v>Nguyễn Tiến Việt Dũng</v>
          </cell>
          <cell r="I81"/>
          <cell r="J81">
            <v>24</v>
          </cell>
          <cell r="M81">
            <v>0</v>
          </cell>
        </row>
        <row r="82">
          <cell r="H82" t="str">
            <v>Bùi Đặng Hoàng Tuấn</v>
          </cell>
          <cell r="I82"/>
          <cell r="J82">
            <v>24</v>
          </cell>
          <cell r="M82">
            <v>0</v>
          </cell>
        </row>
        <row r="83">
          <cell r="H83" t="str">
            <v>Võ Tấn Kiệt</v>
          </cell>
          <cell r="I83"/>
          <cell r="J83">
            <v>24</v>
          </cell>
          <cell r="M83">
            <v>0</v>
          </cell>
        </row>
        <row r="84">
          <cell r="H84" t="str">
            <v>Hồ Ngọc Chi</v>
          </cell>
          <cell r="I84" t="str">
            <v>TT. Thư viện</v>
          </cell>
          <cell r="J84">
            <v>23</v>
          </cell>
          <cell r="M84">
            <v>0</v>
          </cell>
        </row>
        <row r="85">
          <cell r="H85" t="str">
            <v>Nguyễn Tứ Cảnh</v>
          </cell>
          <cell r="I85"/>
          <cell r="J85">
            <v>23</v>
          </cell>
          <cell r="M85">
            <v>0</v>
          </cell>
        </row>
        <row r="86">
          <cell r="H86" t="str">
            <v>Đặng Thu Hà</v>
          </cell>
          <cell r="I86"/>
          <cell r="J86">
            <v>22.5</v>
          </cell>
          <cell r="M86" t="str">
            <v>Trừ 1/2 ngày nghỉ phép 9/10</v>
          </cell>
        </row>
        <row r="87">
          <cell r="H87" t="str">
            <v>Trần Thị Diễm Thúy</v>
          </cell>
          <cell r="I87"/>
          <cell r="J87">
            <v>23</v>
          </cell>
          <cell r="M87">
            <v>0</v>
          </cell>
        </row>
        <row r="88">
          <cell r="H88" t="str">
            <v>Trịnh Hoàng Hiệp</v>
          </cell>
          <cell r="I88" t="str">
            <v>Khoa Kinh tế</v>
          </cell>
          <cell r="J88">
            <v>23</v>
          </cell>
          <cell r="M88">
            <v>0</v>
          </cell>
        </row>
        <row r="89">
          <cell r="H89" t="str">
            <v>Phạm Quỳnh Như</v>
          </cell>
          <cell r="I89"/>
          <cell r="J89">
            <v>23</v>
          </cell>
          <cell r="M89">
            <v>0</v>
          </cell>
        </row>
        <row r="90">
          <cell r="H90" t="str">
            <v>Lê Thị Thu Thảo</v>
          </cell>
          <cell r="I90"/>
          <cell r="J90">
            <v>23</v>
          </cell>
          <cell r="M90">
            <v>0</v>
          </cell>
        </row>
        <row r="91">
          <cell r="H91" t="str">
            <v>Lưu Thị Thúy</v>
          </cell>
          <cell r="I91"/>
          <cell r="J91">
            <v>23</v>
          </cell>
          <cell r="M91">
            <v>0</v>
          </cell>
        </row>
        <row r="92">
          <cell r="H92" t="str">
            <v>Nguyễn Thị Minh Thùy</v>
          </cell>
          <cell r="I92"/>
          <cell r="J92">
            <v>23</v>
          </cell>
          <cell r="M92">
            <v>0</v>
          </cell>
        </row>
        <row r="93">
          <cell r="H93" t="str">
            <v>Nguyễn Mỹ Tiên</v>
          </cell>
          <cell r="I93"/>
          <cell r="J93">
            <v>23</v>
          </cell>
          <cell r="M93">
            <v>0</v>
          </cell>
        </row>
        <row r="94">
          <cell r="H94" t="str">
            <v>Trần Thị Ngọc Dung</v>
          </cell>
          <cell r="I94"/>
          <cell r="J94">
            <v>23</v>
          </cell>
          <cell r="M94">
            <v>0</v>
          </cell>
        </row>
        <row r="95">
          <cell r="H95" t="str">
            <v>Cao Xuân Giang</v>
          </cell>
          <cell r="I95"/>
          <cell r="J95">
            <v>23</v>
          </cell>
          <cell r="M95">
            <v>0</v>
          </cell>
        </row>
        <row r="96">
          <cell r="H96" t="str">
            <v>Lê Hồng Ngọc My</v>
          </cell>
          <cell r="I96"/>
          <cell r="J96">
            <v>23</v>
          </cell>
          <cell r="M96">
            <v>0</v>
          </cell>
        </row>
        <row r="97">
          <cell r="H97" t="str">
            <v>Nguyễn Thị Thanh Hòa</v>
          </cell>
          <cell r="I97"/>
          <cell r="J97">
            <v>23</v>
          </cell>
          <cell r="M97">
            <v>0</v>
          </cell>
        </row>
        <row r="98">
          <cell r="H98" t="str">
            <v>Huỳnh Kim Liên</v>
          </cell>
          <cell r="I98"/>
          <cell r="J98">
            <v>23</v>
          </cell>
          <cell r="M98">
            <v>0</v>
          </cell>
        </row>
        <row r="99">
          <cell r="H99" t="str">
            <v>Nguyễn Huỳnh Lưu Phương</v>
          </cell>
          <cell r="I99"/>
          <cell r="J99">
            <v>0</v>
          </cell>
          <cell r="M99" t="str">
            <v>Nghỉ không hưởng lương từ 01/9/2024 đến hết ngày 31/10/24</v>
          </cell>
        </row>
        <row r="100">
          <cell r="H100" t="str">
            <v>Nguyễn Thụy Nghiêm</v>
          </cell>
          <cell r="I100"/>
          <cell r="J100">
            <v>27</v>
          </cell>
          <cell r="M100" t="str">
            <v>Hỗ trợ công việc phòng KHTC</v>
          </cell>
        </row>
        <row r="101">
          <cell r="H101" t="str">
            <v>Hồ Gia Bảo</v>
          </cell>
          <cell r="I101" t="str">
            <v>Khoa Du lịch -
 Khách sạn</v>
          </cell>
          <cell r="J101">
            <v>23</v>
          </cell>
          <cell r="M101">
            <v>0</v>
          </cell>
        </row>
        <row r="102">
          <cell r="H102" t="str">
            <v>Lữ Xuân Trang</v>
          </cell>
          <cell r="I102"/>
          <cell r="J102">
            <v>23</v>
          </cell>
          <cell r="M102">
            <v>0</v>
          </cell>
        </row>
        <row r="103">
          <cell r="H103" t="str">
            <v>Phạm Thị Thanh Thúy</v>
          </cell>
          <cell r="I103"/>
          <cell r="J103">
            <v>23</v>
          </cell>
          <cell r="M103">
            <v>0</v>
          </cell>
        </row>
        <row r="104">
          <cell r="H104" t="str">
            <v>Đinh Thị Trâm</v>
          </cell>
          <cell r="I104"/>
          <cell r="J104">
            <v>23</v>
          </cell>
          <cell r="M104">
            <v>0</v>
          </cell>
        </row>
        <row r="105">
          <cell r="H105" t="str">
            <v>Lê Thị Thúy Oanh</v>
          </cell>
          <cell r="I105"/>
          <cell r="J105">
            <v>23</v>
          </cell>
          <cell r="M105">
            <v>0</v>
          </cell>
        </row>
        <row r="106">
          <cell r="H106" t="str">
            <v>Võ Thị Kim Thư</v>
          </cell>
          <cell r="I106"/>
          <cell r="J106">
            <v>23</v>
          </cell>
          <cell r="M106">
            <v>0</v>
          </cell>
        </row>
        <row r="107">
          <cell r="H107" t="str">
            <v>Nguyễn Hoàng Thanh Ngân</v>
          </cell>
          <cell r="I107"/>
          <cell r="J107"/>
          <cell r="M107" t="str">
            <v>Đi du học nước ngoài từ 28/2/2023</v>
          </cell>
        </row>
        <row r="108">
          <cell r="H108" t="str">
            <v>Nguyễn Ngọc Thọ</v>
          </cell>
          <cell r="I108" t="str">
            <v>Khoa May -  TT</v>
          </cell>
          <cell r="J108">
            <v>23</v>
          </cell>
          <cell r="M108">
            <v>0</v>
          </cell>
        </row>
        <row r="109">
          <cell r="H109" t="str">
            <v>Nguyễn Bạch Cẩm Dung</v>
          </cell>
          <cell r="I109"/>
          <cell r="J109">
            <v>23</v>
          </cell>
          <cell r="M109">
            <v>0</v>
          </cell>
        </row>
        <row r="110">
          <cell r="H110" t="str">
            <v>Lâm Thị Phương Thùy</v>
          </cell>
          <cell r="I110"/>
          <cell r="J110">
            <v>23</v>
          </cell>
          <cell r="M110">
            <v>0</v>
          </cell>
        </row>
        <row r="111">
          <cell r="H111" t="str">
            <v>Nguyễn Thị Hiền</v>
          </cell>
          <cell r="I111"/>
          <cell r="J111">
            <v>23</v>
          </cell>
          <cell r="M111">
            <v>0</v>
          </cell>
        </row>
        <row r="112">
          <cell r="H112" t="str">
            <v>Chế Vân Cầm</v>
          </cell>
          <cell r="I112"/>
          <cell r="J112">
            <v>19</v>
          </cell>
          <cell r="M112" t="str">
            <v>Nghỉ hộ sản hưởng chế độ BHXH từ 28/10/2023</v>
          </cell>
        </row>
        <row r="113">
          <cell r="H113" t="str">
            <v>Trần Hồng Thảo</v>
          </cell>
          <cell r="I113"/>
          <cell r="J113">
            <v>23</v>
          </cell>
          <cell r="M113">
            <v>0</v>
          </cell>
        </row>
        <row r="114">
          <cell r="H114" t="str">
            <v>Lê Thị Phương Thảo</v>
          </cell>
          <cell r="I114"/>
          <cell r="J114">
            <v>23</v>
          </cell>
          <cell r="M114">
            <v>0</v>
          </cell>
        </row>
        <row r="115">
          <cell r="H115" t="str">
            <v>Bùi Thị Ngọc Sương</v>
          </cell>
          <cell r="I115"/>
          <cell r="J115">
            <v>23</v>
          </cell>
          <cell r="M115">
            <v>0</v>
          </cell>
        </row>
        <row r="116">
          <cell r="H116" t="str">
            <v>Nguyễn Thị Nhuận</v>
          </cell>
          <cell r="I116" t="str">
            <v>Khoa KH Cơ bản</v>
          </cell>
          <cell r="J116">
            <v>23</v>
          </cell>
          <cell r="M116">
            <v>0</v>
          </cell>
        </row>
        <row r="117">
          <cell r="H117" t="str">
            <v>Nguyễn Văn Đông</v>
          </cell>
          <cell r="I117" t="str">
            <v>Tổ Lý</v>
          </cell>
          <cell r="J117">
            <v>23</v>
          </cell>
          <cell r="M117">
            <v>0</v>
          </cell>
        </row>
        <row r="118">
          <cell r="H118" t="str">
            <v>Đặng Thị Kiến Trúc</v>
          </cell>
          <cell r="I118"/>
          <cell r="J118">
            <v>23</v>
          </cell>
          <cell r="M118">
            <v>0</v>
          </cell>
        </row>
        <row r="119">
          <cell r="H119" t="str">
            <v>Nguyễn Thanh Tú</v>
          </cell>
          <cell r="I119"/>
          <cell r="J119">
            <v>23</v>
          </cell>
          <cell r="M119">
            <v>0</v>
          </cell>
        </row>
        <row r="120">
          <cell r="H120" t="str">
            <v>Trần Thị Ánh Tuyết</v>
          </cell>
          <cell r="I120"/>
          <cell r="J120">
            <v>23</v>
          </cell>
          <cell r="M120">
            <v>0</v>
          </cell>
        </row>
        <row r="121">
          <cell r="H121" t="str">
            <v>Phạm Thị Thu Nga</v>
          </cell>
          <cell r="I121" t="str">
            <v>Tổ Toán</v>
          </cell>
          <cell r="J121">
            <v>23</v>
          </cell>
          <cell r="M121">
            <v>0</v>
          </cell>
        </row>
        <row r="122">
          <cell r="H122" t="str">
            <v>Nguyễn Thị Cẩm Thạch</v>
          </cell>
          <cell r="I122"/>
          <cell r="J122">
            <v>23</v>
          </cell>
          <cell r="M122">
            <v>0</v>
          </cell>
        </row>
        <row r="123">
          <cell r="H123" t="str">
            <v>Hà Như Mai</v>
          </cell>
          <cell r="I123"/>
          <cell r="J123">
            <v>23</v>
          </cell>
          <cell r="M123">
            <v>0</v>
          </cell>
        </row>
        <row r="124">
          <cell r="H124" t="str">
            <v>Nguyễn Thị Thủy</v>
          </cell>
          <cell r="I124"/>
          <cell r="J124">
            <v>23</v>
          </cell>
          <cell r="M124">
            <v>0</v>
          </cell>
        </row>
        <row r="125">
          <cell r="H125" t="str">
            <v>Dương Đức Kiên</v>
          </cell>
          <cell r="I125"/>
          <cell r="J125">
            <v>23</v>
          </cell>
          <cell r="M125">
            <v>0</v>
          </cell>
        </row>
        <row r="126">
          <cell r="H126" t="str">
            <v>Nguyễn Văn Hậu</v>
          </cell>
          <cell r="I126"/>
          <cell r="J126">
            <v>23</v>
          </cell>
          <cell r="M126">
            <v>0</v>
          </cell>
        </row>
        <row r="127">
          <cell r="H127" t="str">
            <v>Lê Thái Hùng</v>
          </cell>
          <cell r="I127" t="str">
            <v xml:space="preserve">Tổ  Thể chất </v>
          </cell>
          <cell r="J127">
            <v>23</v>
          </cell>
          <cell r="M127">
            <v>0</v>
          </cell>
        </row>
        <row r="128">
          <cell r="H128" t="str">
            <v>Nguyễn Phú Tân</v>
          </cell>
          <cell r="I128"/>
          <cell r="J128">
            <v>23</v>
          </cell>
          <cell r="M128">
            <v>0</v>
          </cell>
        </row>
        <row r="129">
          <cell r="H129" t="str">
            <v>Nguyễn Mạnh Phương</v>
          </cell>
          <cell r="I129"/>
          <cell r="J129">
            <v>23</v>
          </cell>
          <cell r="M129">
            <v>0</v>
          </cell>
        </row>
        <row r="130">
          <cell r="H130" t="str">
            <v>Giang Phi Hùng</v>
          </cell>
          <cell r="I130"/>
          <cell r="J130">
            <v>23</v>
          </cell>
          <cell r="M130">
            <v>0</v>
          </cell>
        </row>
        <row r="131">
          <cell r="H131" t="str">
            <v>Ngô Thanh Điền</v>
          </cell>
          <cell r="I131"/>
          <cell r="J131">
            <v>23</v>
          </cell>
          <cell r="M131">
            <v>0</v>
          </cell>
        </row>
        <row r="132">
          <cell r="H132" t="str">
            <v>Nguyễn Thị Thu Hà</v>
          </cell>
          <cell r="I132" t="str">
            <v>Khoa Ngoại ngữ</v>
          </cell>
          <cell r="J132">
            <v>23</v>
          </cell>
          <cell r="M132">
            <v>0</v>
          </cell>
        </row>
        <row r="133">
          <cell r="H133" t="str">
            <v>Vương Thanh Thủy</v>
          </cell>
          <cell r="I133"/>
          <cell r="J133">
            <v>23</v>
          </cell>
          <cell r="M133">
            <v>0</v>
          </cell>
        </row>
        <row r="134">
          <cell r="H134" t="str">
            <v>Nguyễn Thị Bảo Trân</v>
          </cell>
          <cell r="I134"/>
          <cell r="J134">
            <v>23</v>
          </cell>
          <cell r="M134">
            <v>0</v>
          </cell>
        </row>
        <row r="135">
          <cell r="H135" t="str">
            <v>Nguyễn Thị Thu Tâm</v>
          </cell>
          <cell r="I135"/>
          <cell r="J135">
            <v>23</v>
          </cell>
          <cell r="M135">
            <v>0</v>
          </cell>
        </row>
        <row r="136">
          <cell r="H136" t="str">
            <v>Nguyễn Thị Thanh Tú</v>
          </cell>
          <cell r="I136"/>
          <cell r="J136">
            <v>23</v>
          </cell>
          <cell r="M136">
            <v>0</v>
          </cell>
        </row>
        <row r="137">
          <cell r="H137" t="str">
            <v>Võ Thị Hồng Lan</v>
          </cell>
          <cell r="I137"/>
          <cell r="J137">
            <v>23</v>
          </cell>
          <cell r="M137">
            <v>0</v>
          </cell>
        </row>
        <row r="138">
          <cell r="H138" t="str">
            <v>Lê Nguyễn Mỹ Trâm</v>
          </cell>
          <cell r="I138"/>
          <cell r="J138">
            <v>23</v>
          </cell>
          <cell r="M138">
            <v>0</v>
          </cell>
        </row>
        <row r="139">
          <cell r="H139" t="str">
            <v>Phạm Thị Thu Hiền</v>
          </cell>
          <cell r="I139"/>
          <cell r="J139">
            <v>23</v>
          </cell>
          <cell r="M139">
            <v>0</v>
          </cell>
        </row>
        <row r="140">
          <cell r="H140" t="str">
            <v>Nguyễn Thiện Bình</v>
          </cell>
          <cell r="I140"/>
          <cell r="J140">
            <v>23</v>
          </cell>
          <cell r="M140">
            <v>0</v>
          </cell>
        </row>
        <row r="141">
          <cell r="H141" t="str">
            <v>Trần Thanh Trúc</v>
          </cell>
          <cell r="I141"/>
          <cell r="J141">
            <v>23</v>
          </cell>
          <cell r="M141">
            <v>0</v>
          </cell>
        </row>
        <row r="142">
          <cell r="H142" t="str">
            <v>Lâm Thị Phương Thảo</v>
          </cell>
          <cell r="I142"/>
          <cell r="J142">
            <v>13</v>
          </cell>
          <cell r="M142" t="str">
            <v>NGhỉ bệnh hưởng chế độ BHXH từ ngày 2 đến 16/10/2024</v>
          </cell>
        </row>
        <row r="143">
          <cell r="H143" t="str">
            <v>Trần Hà Trang</v>
          </cell>
          <cell r="I143"/>
          <cell r="J143">
            <v>23</v>
          </cell>
          <cell r="M143">
            <v>0</v>
          </cell>
        </row>
        <row r="144">
          <cell r="H144" t="str">
            <v>Lê Thu Hà</v>
          </cell>
          <cell r="I144"/>
          <cell r="J144">
            <v>23</v>
          </cell>
          <cell r="M144">
            <v>0</v>
          </cell>
        </row>
        <row r="145">
          <cell r="H145" t="str">
            <v>Ôn Thị Ngọc Thảo</v>
          </cell>
          <cell r="I145"/>
          <cell r="J145">
            <v>23</v>
          </cell>
          <cell r="M145">
            <v>0</v>
          </cell>
        </row>
        <row r="146">
          <cell r="H146" t="str">
            <v>Nguyễn Huỳnh Khánh Vy</v>
          </cell>
          <cell r="I146"/>
          <cell r="J146">
            <v>23</v>
          </cell>
          <cell r="M146">
            <v>0</v>
          </cell>
        </row>
        <row r="147">
          <cell r="H147" t="str">
            <v>Đoàn Thanh Long</v>
          </cell>
          <cell r="I147"/>
          <cell r="J147">
            <v>23</v>
          </cell>
          <cell r="M147">
            <v>0</v>
          </cell>
        </row>
        <row r="148">
          <cell r="H148" t="str">
            <v>Lê Thị Hồng Vân</v>
          </cell>
          <cell r="I148" t="str">
            <v xml:space="preserve">Khoa Lý luận chính trị </v>
          </cell>
          <cell r="J148">
            <v>23</v>
          </cell>
          <cell r="M148">
            <v>0</v>
          </cell>
        </row>
        <row r="149">
          <cell r="H149" t="str">
            <v>Nguyễn Ngọc Quỳnh</v>
          </cell>
          <cell r="I149"/>
          <cell r="J149">
            <v>23</v>
          </cell>
          <cell r="M149">
            <v>0</v>
          </cell>
        </row>
        <row r="150">
          <cell r="H150" t="str">
            <v>Phan Thị Thùy Trang</v>
          </cell>
          <cell r="I150"/>
          <cell r="J150">
            <v>23</v>
          </cell>
          <cell r="M150">
            <v>0</v>
          </cell>
        </row>
        <row r="151">
          <cell r="H151" t="str">
            <v>Lê Thị Mai Hường</v>
          </cell>
          <cell r="I151"/>
          <cell r="J151">
            <v>23</v>
          </cell>
          <cell r="M151">
            <v>0</v>
          </cell>
        </row>
        <row r="152">
          <cell r="H152" t="str">
            <v>Nguyễn Thị Dinh</v>
          </cell>
          <cell r="I152"/>
          <cell r="J152">
            <v>23</v>
          </cell>
          <cell r="M152">
            <v>0</v>
          </cell>
        </row>
        <row r="153">
          <cell r="H153" t="str">
            <v>Đỗ Thị Ngát</v>
          </cell>
          <cell r="I153"/>
          <cell r="J153">
            <v>23</v>
          </cell>
          <cell r="M153">
            <v>0</v>
          </cell>
        </row>
        <row r="154">
          <cell r="H154" t="str">
            <v>Nguyễn Anh Kiệt</v>
          </cell>
          <cell r="I154"/>
          <cell r="J154">
            <v>23</v>
          </cell>
          <cell r="M154">
            <v>0</v>
          </cell>
        </row>
        <row r="155">
          <cell r="H155" t="str">
            <v>Trần Thị Hồng Thu</v>
          </cell>
          <cell r="I155"/>
          <cell r="J155">
            <v>23</v>
          </cell>
          <cell r="M155">
            <v>0</v>
          </cell>
        </row>
        <row r="156">
          <cell r="H156" t="str">
            <v>Đinh Thị Huyên</v>
          </cell>
          <cell r="I156"/>
          <cell r="J156">
            <v>23</v>
          </cell>
          <cell r="M156">
            <v>0</v>
          </cell>
        </row>
        <row r="157">
          <cell r="H157" t="str">
            <v>Cao Thị Hồng Thắm</v>
          </cell>
          <cell r="I157"/>
          <cell r="J157">
            <v>23</v>
          </cell>
          <cell r="M157">
            <v>0</v>
          </cell>
        </row>
        <row r="158">
          <cell r="H158" t="str">
            <v>Đỗ Thị Thơm</v>
          </cell>
          <cell r="I158"/>
          <cell r="J158">
            <v>23</v>
          </cell>
          <cell r="M158">
            <v>0</v>
          </cell>
        </row>
        <row r="159">
          <cell r="H159" t="str">
            <v>Phạm Thị Vinh</v>
          </cell>
          <cell r="I159"/>
          <cell r="J159">
            <v>23</v>
          </cell>
          <cell r="M159">
            <v>0</v>
          </cell>
        </row>
        <row r="160">
          <cell r="H160" t="str">
            <v>Hoàng Thị Trang</v>
          </cell>
          <cell r="I160"/>
          <cell r="J160">
            <v>23</v>
          </cell>
          <cell r="M160">
            <v>0</v>
          </cell>
        </row>
        <row r="161">
          <cell r="H161" t="str">
            <v>Bùi Thành Dũng</v>
          </cell>
          <cell r="I161" t="str">
            <v>Tổ Pháp luật</v>
          </cell>
          <cell r="J161">
            <v>23</v>
          </cell>
          <cell r="M161">
            <v>0</v>
          </cell>
        </row>
        <row r="162">
          <cell r="H162" t="str">
            <v>Trần Văn Lượng</v>
          </cell>
          <cell r="I162"/>
          <cell r="J162">
            <v>23</v>
          </cell>
          <cell r="M162">
            <v>0</v>
          </cell>
        </row>
        <row r="163">
          <cell r="H163" t="str">
            <v>Trần Việt Khánh</v>
          </cell>
          <cell r="I163" t="str">
            <v>Khoa CNTT</v>
          </cell>
          <cell r="J163">
            <v>24</v>
          </cell>
          <cell r="M163">
            <v>0</v>
          </cell>
        </row>
        <row r="164">
          <cell r="H164" t="str">
            <v>Vũ Thị Thái Linh</v>
          </cell>
          <cell r="I164"/>
          <cell r="J164">
            <v>23</v>
          </cell>
          <cell r="M164">
            <v>0</v>
          </cell>
        </row>
        <row r="165">
          <cell r="H165" t="str">
            <v>Nguyễn Sanh Cường</v>
          </cell>
          <cell r="I165"/>
          <cell r="J165">
            <v>23</v>
          </cell>
          <cell r="M165">
            <v>0</v>
          </cell>
        </row>
        <row r="166">
          <cell r="H166" t="str">
            <v>Lê Quý Hưng Quốc</v>
          </cell>
          <cell r="I166"/>
          <cell r="J166">
            <v>23</v>
          </cell>
          <cell r="M166">
            <v>0</v>
          </cell>
        </row>
        <row r="167">
          <cell r="H167" t="str">
            <v>Nguyễn Văn Minh</v>
          </cell>
          <cell r="I167"/>
          <cell r="J167">
            <v>23</v>
          </cell>
          <cell r="M167">
            <v>0</v>
          </cell>
        </row>
        <row r="168">
          <cell r="H168" t="str">
            <v>Nguyễn Thị Khánh Thư</v>
          </cell>
          <cell r="I168"/>
          <cell r="J168">
            <v>23</v>
          </cell>
          <cell r="M168">
            <v>0</v>
          </cell>
        </row>
        <row r="169">
          <cell r="H169" t="str">
            <v>Đỗ Thị Hải Yến</v>
          </cell>
          <cell r="I169"/>
          <cell r="J169">
            <v>23</v>
          </cell>
          <cell r="M169">
            <v>0</v>
          </cell>
        </row>
        <row r="170">
          <cell r="H170" t="str">
            <v>Lê Hồng Thái</v>
          </cell>
          <cell r="I170"/>
          <cell r="J170">
            <v>23</v>
          </cell>
          <cell r="M170">
            <v>0</v>
          </cell>
        </row>
        <row r="171">
          <cell r="H171" t="str">
            <v>Đặng Ngọc Đoàn</v>
          </cell>
          <cell r="I171"/>
          <cell r="J171">
            <v>23</v>
          </cell>
          <cell r="M171">
            <v>0</v>
          </cell>
        </row>
        <row r="172">
          <cell r="H172" t="str">
            <v>Nguyễn Văn Đôn</v>
          </cell>
          <cell r="I172"/>
          <cell r="J172">
            <v>23</v>
          </cell>
          <cell r="M172">
            <v>0</v>
          </cell>
        </row>
        <row r="173">
          <cell r="H173" t="str">
            <v>Huỳnh Quốc Dũng</v>
          </cell>
          <cell r="I173"/>
          <cell r="J173">
            <v>23</v>
          </cell>
          <cell r="M173">
            <v>0</v>
          </cell>
        </row>
        <row r="174">
          <cell r="H174" t="str">
            <v>Dương Ngọc Vọng</v>
          </cell>
          <cell r="I174"/>
          <cell r="J174">
            <v>23</v>
          </cell>
          <cell r="M174">
            <v>0</v>
          </cell>
        </row>
        <row r="175">
          <cell r="H175" t="str">
            <v>Nguyễn Ngọc Tuyên</v>
          </cell>
          <cell r="I175"/>
          <cell r="J175">
            <v>23</v>
          </cell>
          <cell r="M175">
            <v>0</v>
          </cell>
        </row>
        <row r="176">
          <cell r="H176" t="str">
            <v>Nguyễn Cao Phong</v>
          </cell>
          <cell r="I176"/>
          <cell r="J176">
            <v>23</v>
          </cell>
          <cell r="M176">
            <v>0</v>
          </cell>
        </row>
        <row r="177">
          <cell r="H177" t="str">
            <v>Mai Chiếm Tuấn</v>
          </cell>
          <cell r="I177"/>
          <cell r="J177">
            <v>23</v>
          </cell>
          <cell r="M177">
            <v>0</v>
          </cell>
        </row>
        <row r="178">
          <cell r="H178" t="str">
            <v>Đỗ Tuấn Việt</v>
          </cell>
          <cell r="I178"/>
          <cell r="J178">
            <v>23</v>
          </cell>
          <cell r="M178">
            <v>0</v>
          </cell>
        </row>
        <row r="179">
          <cell r="H179" t="str">
            <v>Trần Vĩnh Xuyên</v>
          </cell>
          <cell r="I179"/>
          <cell r="J179">
            <v>23</v>
          </cell>
          <cell r="M179">
            <v>0</v>
          </cell>
        </row>
        <row r="180">
          <cell r="H180" t="str">
            <v>Đào Lê Phương Anh</v>
          </cell>
          <cell r="I180"/>
          <cell r="J180">
            <v>23</v>
          </cell>
          <cell r="M180">
            <v>0</v>
          </cell>
        </row>
        <row r="181">
          <cell r="H181" t="str">
            <v>Nguyễn Duy Lộc</v>
          </cell>
          <cell r="I181"/>
          <cell r="J181">
            <v>23</v>
          </cell>
          <cell r="M181">
            <v>0</v>
          </cell>
        </row>
        <row r="182">
          <cell r="H182" t="str">
            <v>Chung Trần Thế Vinh</v>
          </cell>
          <cell r="I182" t="str">
            <v>Khoa Cơ khí</v>
          </cell>
          <cell r="J182">
            <v>27</v>
          </cell>
          <cell r="M182">
            <v>0</v>
          </cell>
        </row>
        <row r="183">
          <cell r="H183" t="str">
            <v>Đỗ Thị Phương Khanh</v>
          </cell>
          <cell r="I183"/>
          <cell r="J183">
            <v>23</v>
          </cell>
          <cell r="M183">
            <v>0</v>
          </cell>
        </row>
        <row r="184">
          <cell r="H184" t="str">
            <v>Trương Thị Phương Hồng</v>
          </cell>
          <cell r="I184"/>
          <cell r="J184">
            <v>23</v>
          </cell>
          <cell r="M184">
            <v>0</v>
          </cell>
        </row>
        <row r="185">
          <cell r="H185" t="str">
            <v>Dương Minh Chung</v>
          </cell>
          <cell r="I185"/>
          <cell r="J185">
            <v>23</v>
          </cell>
          <cell r="M185">
            <v>0</v>
          </cell>
        </row>
        <row r="186">
          <cell r="H186" t="str">
            <v>Phan Văn Thành</v>
          </cell>
          <cell r="I186"/>
          <cell r="J186">
            <v>23</v>
          </cell>
          <cell r="M186">
            <v>0</v>
          </cell>
        </row>
        <row r="187">
          <cell r="H187" t="str">
            <v>Vũ Đức Pháp</v>
          </cell>
          <cell r="I187"/>
          <cell r="J187">
            <v>23</v>
          </cell>
          <cell r="M187">
            <v>0</v>
          </cell>
        </row>
        <row r="188">
          <cell r="H188" t="str">
            <v>Vũ Quang Khải</v>
          </cell>
          <cell r="I188"/>
          <cell r="J188">
            <v>23</v>
          </cell>
          <cell r="M188">
            <v>0</v>
          </cell>
        </row>
        <row r="189">
          <cell r="H189" t="str">
            <v>Nguyễn Thanh Vũ</v>
          </cell>
          <cell r="I189"/>
          <cell r="J189">
            <v>23</v>
          </cell>
          <cell r="M189">
            <v>0</v>
          </cell>
        </row>
        <row r="190">
          <cell r="H190" t="str">
            <v>Phan Thị Xuân Trang</v>
          </cell>
          <cell r="I190"/>
          <cell r="J190">
            <v>23</v>
          </cell>
          <cell r="M190">
            <v>0</v>
          </cell>
        </row>
        <row r="191">
          <cell r="H191" t="str">
            <v>Trần Đình Khải</v>
          </cell>
          <cell r="I191"/>
          <cell r="J191">
            <v>23</v>
          </cell>
          <cell r="M191">
            <v>0</v>
          </cell>
        </row>
        <row r="192">
          <cell r="H192" t="str">
            <v>Lư Thị Yến Vũ</v>
          </cell>
          <cell r="I192"/>
          <cell r="J192">
            <v>23</v>
          </cell>
          <cell r="M192">
            <v>0</v>
          </cell>
        </row>
        <row r="193">
          <cell r="H193" t="str">
            <v>Nguyễn Tiến Dũng</v>
          </cell>
          <cell r="I193"/>
          <cell r="J193">
            <v>23</v>
          </cell>
          <cell r="M193">
            <v>0</v>
          </cell>
        </row>
        <row r="194">
          <cell r="H194" t="str">
            <v>Nguyễn Thành Long</v>
          </cell>
          <cell r="I194"/>
          <cell r="J194">
            <v>23</v>
          </cell>
          <cell r="M194">
            <v>0</v>
          </cell>
        </row>
        <row r="195">
          <cell r="H195" t="str">
            <v>Nguyễn Ngọc Quỳnh.</v>
          </cell>
          <cell r="I195"/>
          <cell r="J195">
            <v>23</v>
          </cell>
          <cell r="M195">
            <v>0</v>
          </cell>
        </row>
        <row r="196">
          <cell r="H196" t="str">
            <v>Nguyễn Duy Hải</v>
          </cell>
          <cell r="I196"/>
          <cell r="J196">
            <v>23</v>
          </cell>
          <cell r="M196">
            <v>0</v>
          </cell>
        </row>
        <row r="197">
          <cell r="H197" t="str">
            <v>Bùi Anh Tuấn</v>
          </cell>
          <cell r="I197"/>
          <cell r="J197">
            <v>23</v>
          </cell>
          <cell r="M197">
            <v>0</v>
          </cell>
        </row>
        <row r="198">
          <cell r="H198" t="str">
            <v>Trần Thị Hương</v>
          </cell>
          <cell r="I198"/>
          <cell r="J198">
            <v>23</v>
          </cell>
          <cell r="M198">
            <v>0</v>
          </cell>
        </row>
        <row r="199">
          <cell r="H199" t="str">
            <v>Trần Minh Thông</v>
          </cell>
          <cell r="I199"/>
          <cell r="J199">
            <v>23</v>
          </cell>
          <cell r="M199">
            <v>0</v>
          </cell>
        </row>
        <row r="200">
          <cell r="H200" t="str">
            <v>Nguyễn Thanh Vĩnh Phúc</v>
          </cell>
          <cell r="I200"/>
          <cell r="J200">
            <v>23</v>
          </cell>
          <cell r="M200">
            <v>0</v>
          </cell>
        </row>
        <row r="201">
          <cell r="H201" t="str">
            <v>Dương Thị Hồng</v>
          </cell>
          <cell r="I201"/>
          <cell r="J201">
            <v>23</v>
          </cell>
          <cell r="M201">
            <v>0</v>
          </cell>
        </row>
        <row r="202">
          <cell r="H202" t="str">
            <v>Nguyễn Thanh Giang</v>
          </cell>
          <cell r="I202"/>
          <cell r="J202">
            <v>23</v>
          </cell>
          <cell r="M202">
            <v>0</v>
          </cell>
        </row>
        <row r="203">
          <cell r="H203" t="str">
            <v>Nguyễn Hồng Phúc</v>
          </cell>
          <cell r="I203"/>
          <cell r="J203">
            <v>23</v>
          </cell>
          <cell r="M203">
            <v>0</v>
          </cell>
        </row>
        <row r="204">
          <cell r="H204" t="str">
            <v>Nguyễn Văn Sơn</v>
          </cell>
          <cell r="I204"/>
          <cell r="J204">
            <v>23</v>
          </cell>
          <cell r="M204">
            <v>0</v>
          </cell>
        </row>
        <row r="205">
          <cell r="H205" t="str">
            <v>Nguyễn Khắc Huy</v>
          </cell>
          <cell r="I205"/>
          <cell r="J205">
            <v>23</v>
          </cell>
          <cell r="M205">
            <v>0</v>
          </cell>
        </row>
        <row r="206">
          <cell r="H206" t="str">
            <v>Võ Hoài Sơn</v>
          </cell>
          <cell r="I206"/>
          <cell r="J206">
            <v>23</v>
          </cell>
          <cell r="M206">
            <v>0</v>
          </cell>
        </row>
        <row r="207">
          <cell r="H207" t="str">
            <v>Nguyễn Thị Xuân Chinh</v>
          </cell>
          <cell r="I207"/>
          <cell r="J207">
            <v>23</v>
          </cell>
          <cell r="M207">
            <v>0</v>
          </cell>
        </row>
        <row r="208">
          <cell r="H208" t="str">
            <v>Nguyễn Duy Tân</v>
          </cell>
          <cell r="I208"/>
          <cell r="J208">
            <v>23</v>
          </cell>
          <cell r="M208">
            <v>0</v>
          </cell>
        </row>
        <row r="209">
          <cell r="H209" t="str">
            <v>Nguyễn Ngọc Hiệp</v>
          </cell>
          <cell r="I209"/>
          <cell r="J209">
            <v>23</v>
          </cell>
          <cell r="M209">
            <v>0</v>
          </cell>
        </row>
        <row r="210">
          <cell r="H210" t="str">
            <v>Tạ Minh Cường</v>
          </cell>
          <cell r="I210" t="str">
            <v>Khoa Điện-
Điện tử</v>
          </cell>
          <cell r="J210">
            <v>23</v>
          </cell>
          <cell r="M210">
            <v>0</v>
          </cell>
        </row>
        <row r="211">
          <cell r="H211" t="str">
            <v>Phạm Minh Nghĩa</v>
          </cell>
          <cell r="I211"/>
          <cell r="J211">
            <v>23</v>
          </cell>
          <cell r="M211">
            <v>0</v>
          </cell>
        </row>
        <row r="212">
          <cell r="H212" t="str">
            <v>Nguyễn Văn Yên</v>
          </cell>
          <cell r="I212"/>
          <cell r="J212">
            <v>23</v>
          </cell>
          <cell r="M212">
            <v>0</v>
          </cell>
        </row>
        <row r="213">
          <cell r="H213" t="str">
            <v>Nguyễn Minh Đức</v>
          </cell>
          <cell r="I213"/>
          <cell r="J213">
            <v>23</v>
          </cell>
          <cell r="M213">
            <v>0</v>
          </cell>
        </row>
        <row r="214">
          <cell r="H214" t="str">
            <v>Nguyễn Anh Tăng</v>
          </cell>
          <cell r="I214"/>
          <cell r="J214">
            <v>23</v>
          </cell>
          <cell r="M214">
            <v>0</v>
          </cell>
        </row>
        <row r="215">
          <cell r="H215" t="str">
            <v>Lê Thế Huân</v>
          </cell>
          <cell r="I215"/>
          <cell r="J215">
            <v>23</v>
          </cell>
          <cell r="M215">
            <v>0</v>
          </cell>
        </row>
        <row r="216">
          <cell r="H216" t="str">
            <v>Trần Trung Hiếu</v>
          </cell>
          <cell r="I216"/>
          <cell r="J216">
            <v>23</v>
          </cell>
          <cell r="M216">
            <v>0</v>
          </cell>
        </row>
        <row r="217">
          <cell r="H217" t="str">
            <v>Trần Nguyên Bảo Trân</v>
          </cell>
          <cell r="I217"/>
          <cell r="J217">
            <v>23</v>
          </cell>
          <cell r="M217">
            <v>0</v>
          </cell>
        </row>
        <row r="218">
          <cell r="H218" t="str">
            <v>Mạnh Lê Hoàn</v>
          </cell>
          <cell r="I218"/>
          <cell r="J218">
            <v>23</v>
          </cell>
          <cell r="M218">
            <v>0</v>
          </cell>
        </row>
        <row r="219">
          <cell r="H219" t="str">
            <v>Ngô Hoàng Anh</v>
          </cell>
          <cell r="I219"/>
          <cell r="J219">
            <v>23</v>
          </cell>
          <cell r="M219">
            <v>0</v>
          </cell>
        </row>
        <row r="220">
          <cell r="H220" t="str">
            <v>Nguyễn Thùy Linh</v>
          </cell>
          <cell r="I220"/>
          <cell r="J220">
            <v>23</v>
          </cell>
          <cell r="M220">
            <v>0</v>
          </cell>
        </row>
        <row r="221">
          <cell r="H221" t="str">
            <v>Vũ Hạnh Chiêu</v>
          </cell>
          <cell r="I221"/>
          <cell r="J221">
            <v>23</v>
          </cell>
          <cell r="M221">
            <v>0</v>
          </cell>
        </row>
        <row r="222">
          <cell r="H222" t="str">
            <v>Đỗ Huỳnh Thanh Phong</v>
          </cell>
          <cell r="I222"/>
          <cell r="J222">
            <v>23</v>
          </cell>
          <cell r="M222">
            <v>0</v>
          </cell>
        </row>
        <row r="223">
          <cell r="H223" t="str">
            <v>Nguyễn Minh Đức Cường</v>
          </cell>
          <cell r="I223"/>
          <cell r="J223">
            <v>23</v>
          </cell>
          <cell r="M223">
            <v>0</v>
          </cell>
        </row>
        <row r="224">
          <cell r="H224" t="str">
            <v>Huỳnh Ngọc Mai</v>
          </cell>
          <cell r="I224"/>
          <cell r="J224">
            <v>23</v>
          </cell>
          <cell r="M224">
            <v>0</v>
          </cell>
        </row>
        <row r="225">
          <cell r="H225" t="str">
            <v>Nguyễn Hồng Đức</v>
          </cell>
          <cell r="I225"/>
          <cell r="J225">
            <v>23</v>
          </cell>
          <cell r="M225">
            <v>0</v>
          </cell>
        </row>
        <row r="226">
          <cell r="H226" t="str">
            <v>Trần Công Tiến</v>
          </cell>
          <cell r="I226"/>
          <cell r="J226">
            <v>23</v>
          </cell>
          <cell r="M226">
            <v>0</v>
          </cell>
        </row>
        <row r="227">
          <cell r="H227" t="str">
            <v>Nguyễn Trần Thanh Nhàn</v>
          </cell>
          <cell r="I227"/>
          <cell r="J227">
            <v>23</v>
          </cell>
          <cell r="M227">
            <v>0</v>
          </cell>
        </row>
        <row r="228">
          <cell r="H228" t="str">
            <v>Tăng Cẩm Huê</v>
          </cell>
          <cell r="I228"/>
          <cell r="J228">
            <v>23</v>
          </cell>
          <cell r="M228">
            <v>0</v>
          </cell>
        </row>
        <row r="229">
          <cell r="H229" t="str">
            <v>Trần Hiếu Trinh</v>
          </cell>
          <cell r="I229"/>
          <cell r="J229">
            <v>23</v>
          </cell>
          <cell r="M229">
            <v>0</v>
          </cell>
        </row>
        <row r="230">
          <cell r="H230" t="str">
            <v>Nguyễn Thị Tố Nga</v>
          </cell>
          <cell r="I230"/>
          <cell r="J230">
            <v>23</v>
          </cell>
          <cell r="M230">
            <v>0</v>
          </cell>
        </row>
        <row r="231">
          <cell r="H231" t="str">
            <v>Đặng Đức Minh</v>
          </cell>
          <cell r="I231"/>
          <cell r="J231">
            <v>23</v>
          </cell>
          <cell r="M231">
            <v>0</v>
          </cell>
        </row>
        <row r="232">
          <cell r="H232" t="str">
            <v>Nguyễn Thị Ngọc Hiền</v>
          </cell>
          <cell r="I232"/>
          <cell r="J232">
            <v>23</v>
          </cell>
          <cell r="M232">
            <v>0</v>
          </cell>
        </row>
        <row r="233">
          <cell r="H233" t="str">
            <v>Ngô Phong Cường</v>
          </cell>
          <cell r="I233"/>
          <cell r="J233">
            <v>23</v>
          </cell>
          <cell r="M233">
            <v>0</v>
          </cell>
        </row>
        <row r="234">
          <cell r="H234" t="str">
            <v>Cao Văn Tuấn</v>
          </cell>
          <cell r="I234"/>
          <cell r="J234">
            <v>23</v>
          </cell>
          <cell r="M234">
            <v>0</v>
          </cell>
        </row>
        <row r="235">
          <cell r="H235" t="str">
            <v>Trần Nam Anh</v>
          </cell>
          <cell r="I235"/>
          <cell r="J235">
            <v>23</v>
          </cell>
          <cell r="M235">
            <v>0</v>
          </cell>
        </row>
        <row r="236">
          <cell r="H236" t="str">
            <v>Trần Giang Nam</v>
          </cell>
          <cell r="I236"/>
          <cell r="J236">
            <v>23</v>
          </cell>
          <cell r="M236">
            <v>0</v>
          </cell>
        </row>
        <row r="237">
          <cell r="H237" t="str">
            <v>Phan Thanh Hoàng</v>
          </cell>
          <cell r="I237"/>
          <cell r="J237">
            <v>23</v>
          </cell>
          <cell r="M237">
            <v>0</v>
          </cell>
        </row>
        <row r="238">
          <cell r="H238" t="str">
            <v>Huỳnh Duy An</v>
          </cell>
          <cell r="I238"/>
          <cell r="J238">
            <v>23</v>
          </cell>
          <cell r="M238">
            <v>0</v>
          </cell>
        </row>
        <row r="239">
          <cell r="H239" t="str">
            <v>Nguyễn Khương Thành</v>
          </cell>
          <cell r="I239"/>
          <cell r="J239">
            <v>23</v>
          </cell>
          <cell r="M239">
            <v>0</v>
          </cell>
        </row>
        <row r="240">
          <cell r="H240" t="str">
            <v>Nguyễn Anh Tuấn</v>
          </cell>
          <cell r="I240" t="str">
            <v>Khoa Động Lực</v>
          </cell>
          <cell r="J240">
            <v>23</v>
          </cell>
          <cell r="M240">
            <v>0</v>
          </cell>
        </row>
        <row r="241">
          <cell r="H241" t="str">
            <v>Võ Đắc Thịnh</v>
          </cell>
          <cell r="I241"/>
          <cell r="J241">
            <v>23</v>
          </cell>
          <cell r="M241">
            <v>0</v>
          </cell>
        </row>
        <row r="242">
          <cell r="H242" t="str">
            <v>Nguyễn Hữu Mạnh</v>
          </cell>
          <cell r="I242"/>
          <cell r="J242">
            <v>23</v>
          </cell>
          <cell r="M242">
            <v>0</v>
          </cell>
        </row>
        <row r="243">
          <cell r="H243" t="str">
            <v>Phan Anh Tuấn Kiệt</v>
          </cell>
          <cell r="I243"/>
          <cell r="J243">
            <v>23</v>
          </cell>
          <cell r="M243">
            <v>0</v>
          </cell>
        </row>
        <row r="244">
          <cell r="H244" t="str">
            <v>Triệu Phú Nguyên</v>
          </cell>
          <cell r="I244"/>
          <cell r="J244">
            <v>23</v>
          </cell>
          <cell r="M244">
            <v>0</v>
          </cell>
        </row>
        <row r="245">
          <cell r="H245" t="str">
            <v>Nguyễn Thành Đức</v>
          </cell>
          <cell r="I245"/>
          <cell r="J245">
            <v>23</v>
          </cell>
          <cell r="M245">
            <v>0</v>
          </cell>
        </row>
        <row r="246">
          <cell r="H246" t="str">
            <v>Nguyễn Minh Thái</v>
          </cell>
          <cell r="I246"/>
          <cell r="J246">
            <v>23</v>
          </cell>
          <cell r="M246">
            <v>0</v>
          </cell>
        </row>
        <row r="247">
          <cell r="H247" t="str">
            <v>Đặng Thái Sơn</v>
          </cell>
          <cell r="I247"/>
          <cell r="J247">
            <v>23</v>
          </cell>
          <cell r="M247">
            <v>0</v>
          </cell>
        </row>
        <row r="248">
          <cell r="H248" t="str">
            <v>Nguyễn Thái Bình</v>
          </cell>
          <cell r="I248"/>
          <cell r="J248">
            <v>23</v>
          </cell>
          <cell r="M248">
            <v>0</v>
          </cell>
        </row>
        <row r="249">
          <cell r="H249" t="str">
            <v>Kiều Trung Tín</v>
          </cell>
          <cell r="I249"/>
          <cell r="J249">
            <v>23</v>
          </cell>
          <cell r="M249">
            <v>0</v>
          </cell>
        </row>
        <row r="250">
          <cell r="H250" t="str">
            <v>Trần Quốc Duy</v>
          </cell>
          <cell r="I250"/>
          <cell r="J250">
            <v>23</v>
          </cell>
          <cell r="M250">
            <v>0</v>
          </cell>
        </row>
        <row r="251">
          <cell r="H251" t="str">
            <v>Hồ Văn Hóa</v>
          </cell>
          <cell r="I251"/>
          <cell r="J251">
            <v>23</v>
          </cell>
          <cell r="M251">
            <v>0</v>
          </cell>
        </row>
        <row r="252">
          <cell r="H252" t="str">
            <v>Nguyễn Thanh Hùng</v>
          </cell>
          <cell r="I252"/>
          <cell r="J252">
            <v>23</v>
          </cell>
          <cell r="M252">
            <v>0</v>
          </cell>
        </row>
        <row r="253">
          <cell r="H253" t="str">
            <v>Hà Quốc Bảo</v>
          </cell>
          <cell r="I253"/>
          <cell r="J253">
            <v>23</v>
          </cell>
          <cell r="M253">
            <v>0</v>
          </cell>
        </row>
        <row r="254">
          <cell r="H254" t="str">
            <v>Hoàng Phúc Bảo</v>
          </cell>
          <cell r="I254"/>
          <cell r="J254">
            <v>23</v>
          </cell>
          <cell r="M254">
            <v>0</v>
          </cell>
        </row>
        <row r="255">
          <cell r="H255" t="str">
            <v>Nguyễn Lương Tâm</v>
          </cell>
          <cell r="I255"/>
          <cell r="J255">
            <v>23</v>
          </cell>
          <cell r="M255">
            <v>0</v>
          </cell>
        </row>
        <row r="256">
          <cell r="H256" t="str">
            <v>Trần Thế Sơn</v>
          </cell>
          <cell r="I256"/>
          <cell r="J256">
            <v>23</v>
          </cell>
          <cell r="M256">
            <v>0</v>
          </cell>
        </row>
        <row r="257">
          <cell r="H257" t="str">
            <v>Trần Văn Đông</v>
          </cell>
          <cell r="I257"/>
          <cell r="J257">
            <v>23</v>
          </cell>
          <cell r="M257">
            <v>0</v>
          </cell>
        </row>
        <row r="258">
          <cell r="H258" t="str">
            <v>Lý Văn Trung</v>
          </cell>
          <cell r="I258"/>
          <cell r="J258">
            <v>23</v>
          </cell>
          <cell r="M258">
            <v>0</v>
          </cell>
        </row>
        <row r="259">
          <cell r="H259" t="str">
            <v>Nguyễn Hoàng Vinh</v>
          </cell>
          <cell r="I259"/>
          <cell r="J259">
            <v>23</v>
          </cell>
          <cell r="M259">
            <v>0</v>
          </cell>
        </row>
        <row r="260">
          <cell r="H260" t="str">
            <v>Bùi Trọng Tân</v>
          </cell>
          <cell r="I260"/>
          <cell r="J260">
            <v>23</v>
          </cell>
          <cell r="M260">
            <v>0</v>
          </cell>
        </row>
        <row r="261">
          <cell r="H261" t="str">
            <v>Giang Văn Tiến</v>
          </cell>
          <cell r="I261"/>
          <cell r="J261">
            <v>23</v>
          </cell>
          <cell r="M261">
            <v>0</v>
          </cell>
        </row>
        <row r="262">
          <cell r="H262" t="str">
            <v>Nguyễn Hữu Lương</v>
          </cell>
          <cell r="I262"/>
          <cell r="J262">
            <v>23</v>
          </cell>
          <cell r="M262">
            <v>0</v>
          </cell>
        </row>
        <row r="263">
          <cell r="H263" t="str">
            <v>Huỳnh Đình Văn</v>
          </cell>
          <cell r="I263"/>
          <cell r="J263">
            <v>23</v>
          </cell>
          <cell r="M263">
            <v>0</v>
          </cell>
        </row>
        <row r="264">
          <cell r="H264" t="str">
            <v>Phạm Quang Vũ</v>
          </cell>
          <cell r="I264" t="str">
            <v>Khoa Xây dựng - Nhiệt lạnh</v>
          </cell>
          <cell r="J264">
            <v>23</v>
          </cell>
          <cell r="M264">
            <v>0</v>
          </cell>
        </row>
        <row r="265">
          <cell r="H265" t="str">
            <v>Trình Minh Phong</v>
          </cell>
          <cell r="I265"/>
          <cell r="J265">
            <v>23</v>
          </cell>
          <cell r="M265">
            <v>0</v>
          </cell>
        </row>
        <row r="266">
          <cell r="H266" t="str">
            <v>Trần Ngọc Tuấn</v>
          </cell>
          <cell r="I266"/>
          <cell r="J266">
            <v>23</v>
          </cell>
          <cell r="M266">
            <v>0</v>
          </cell>
        </row>
        <row r="267">
          <cell r="H267" t="str">
            <v>Đinh Đồng Hiệp</v>
          </cell>
          <cell r="I267"/>
          <cell r="J267">
            <v>23</v>
          </cell>
          <cell r="M267">
            <v>0</v>
          </cell>
        </row>
        <row r="268">
          <cell r="H268" t="str">
            <v>Đặng Thế Huân</v>
          </cell>
          <cell r="I268"/>
          <cell r="J268">
            <v>23</v>
          </cell>
          <cell r="M268">
            <v>0</v>
          </cell>
        </row>
        <row r="269">
          <cell r="H269" t="str">
            <v>Võ Anh Hào</v>
          </cell>
          <cell r="I269"/>
          <cell r="J269">
            <v>23</v>
          </cell>
          <cell r="M269">
            <v>0</v>
          </cell>
        </row>
        <row r="270">
          <cell r="H270" t="str">
            <v>Phan Văn Hòa</v>
          </cell>
          <cell r="I270"/>
          <cell r="J270">
            <v>23</v>
          </cell>
          <cell r="M270">
            <v>0</v>
          </cell>
        </row>
        <row r="271">
          <cell r="H271" t="str">
            <v>Trần Đình Khoa</v>
          </cell>
          <cell r="I271"/>
          <cell r="J271">
            <v>23</v>
          </cell>
          <cell r="M271">
            <v>0</v>
          </cell>
        </row>
        <row r="272">
          <cell r="H272" t="str">
            <v>Đỗ Trọng Quý</v>
          </cell>
          <cell r="I272"/>
          <cell r="J272">
            <v>23</v>
          </cell>
          <cell r="M272">
            <v>0</v>
          </cell>
        </row>
        <row r="273">
          <cell r="H273" t="str">
            <v>Nguyễn Vũ Xuân Thì</v>
          </cell>
          <cell r="I273"/>
          <cell r="J273">
            <v>23</v>
          </cell>
          <cell r="M273">
            <v>0</v>
          </cell>
        </row>
        <row r="274">
          <cell r="H274" t="str">
            <v>Hoàng Văn Viết</v>
          </cell>
          <cell r="I274"/>
          <cell r="J274">
            <v>23</v>
          </cell>
          <cell r="M274">
            <v>0</v>
          </cell>
        </row>
        <row r="275">
          <cell r="H275" t="str">
            <v>Nguyễn Thanh Dũng</v>
          </cell>
          <cell r="I275"/>
          <cell r="J275">
            <v>23</v>
          </cell>
          <cell r="M275">
            <v>0</v>
          </cell>
        </row>
        <row r="276">
          <cell r="H276">
            <v>0</v>
          </cell>
          <cell r="M276">
            <v>0</v>
          </cell>
        </row>
      </sheetData>
      <sheetData sheetId="1"/>
      <sheetData sheetId="2">
        <row r="10">
          <cell r="H10" t="str">
            <v>Đồng Anh Tuấn</v>
          </cell>
          <cell r="I10" t="str">
            <v>P. TC-HC-TH</v>
          </cell>
          <cell r="J10">
            <v>27</v>
          </cell>
          <cell r="K10">
            <v>1350000</v>
          </cell>
          <cell r="L10">
            <v>1</v>
          </cell>
          <cell r="M10">
            <v>0</v>
          </cell>
        </row>
        <row r="11">
          <cell r="H11" t="str">
            <v>Nguyễn Thanh Hiền</v>
          </cell>
          <cell r="I11">
            <v>0</v>
          </cell>
          <cell r="J11">
            <v>26</v>
          </cell>
          <cell r="K11">
            <v>1300000</v>
          </cell>
          <cell r="L11">
            <v>2</v>
          </cell>
          <cell r="M11" t="str">
            <v>Trừ 1 ngày nghỉ phép 16/10</v>
          </cell>
        </row>
        <row r="12">
          <cell r="H12" t="str">
            <v>Lê Hồng Phúc</v>
          </cell>
          <cell r="I12">
            <v>0</v>
          </cell>
          <cell r="J12">
            <v>27</v>
          </cell>
          <cell r="K12">
            <v>1350000</v>
          </cell>
          <cell r="L12">
            <v>3</v>
          </cell>
          <cell r="M12">
            <v>0</v>
          </cell>
        </row>
        <row r="13">
          <cell r="H13" t="str">
            <v>Phạm Hữu Tấn</v>
          </cell>
          <cell r="I13">
            <v>0</v>
          </cell>
          <cell r="J13">
            <v>27</v>
          </cell>
          <cell r="K13">
            <v>1350000</v>
          </cell>
          <cell r="L13">
            <v>4</v>
          </cell>
          <cell r="M13">
            <v>0</v>
          </cell>
        </row>
        <row r="14">
          <cell r="H14" t="str">
            <v>Nguyễn Hữu Xuân Vũ</v>
          </cell>
          <cell r="I14">
            <v>0</v>
          </cell>
          <cell r="J14">
            <v>26</v>
          </cell>
          <cell r="K14">
            <v>1300000</v>
          </cell>
          <cell r="L14">
            <v>5</v>
          </cell>
          <cell r="M14" t="str">
            <v>Trừ 1 ngày nghỉ phép 5/10</v>
          </cell>
        </row>
        <row r="15">
          <cell r="H15" t="str">
            <v>Phạm Hữu Thành Phú</v>
          </cell>
          <cell r="I15">
            <v>0</v>
          </cell>
          <cell r="J15">
            <v>27</v>
          </cell>
          <cell r="K15">
            <v>1350000</v>
          </cell>
          <cell r="L15">
            <v>6</v>
          </cell>
          <cell r="M15">
            <v>0</v>
          </cell>
        </row>
        <row r="16">
          <cell r="H16" t="str">
            <v>Huỳnh Thanh Nhàn</v>
          </cell>
          <cell r="I16">
            <v>0</v>
          </cell>
          <cell r="J16">
            <v>27</v>
          </cell>
          <cell r="K16">
            <v>1350000</v>
          </cell>
          <cell r="L16">
            <v>7</v>
          </cell>
          <cell r="M16">
            <v>0</v>
          </cell>
        </row>
        <row r="17">
          <cell r="H17" t="str">
            <v>Phạm Quang Tùng</v>
          </cell>
          <cell r="I17">
            <v>0</v>
          </cell>
          <cell r="J17">
            <v>27</v>
          </cell>
          <cell r="K17">
            <v>1350000</v>
          </cell>
          <cell r="L17">
            <v>8</v>
          </cell>
          <cell r="M17">
            <v>0</v>
          </cell>
        </row>
        <row r="18">
          <cell r="H18" t="str">
            <v>Trần Thanh Cường</v>
          </cell>
          <cell r="I18">
            <v>0</v>
          </cell>
          <cell r="J18">
            <v>27</v>
          </cell>
          <cell r="K18">
            <v>1350000</v>
          </cell>
          <cell r="L18">
            <v>9</v>
          </cell>
          <cell r="M18">
            <v>0</v>
          </cell>
        </row>
        <row r="19">
          <cell r="H19" t="str">
            <v>Dương Văn Tâm</v>
          </cell>
          <cell r="I19">
            <v>0</v>
          </cell>
          <cell r="J19">
            <v>27</v>
          </cell>
          <cell r="K19">
            <v>1350000</v>
          </cell>
          <cell r="L19">
            <v>10</v>
          </cell>
          <cell r="M19">
            <v>0</v>
          </cell>
        </row>
        <row r="20">
          <cell r="H20" t="str">
            <v>Huỳnh Ngọc Liên</v>
          </cell>
          <cell r="I20">
            <v>0</v>
          </cell>
          <cell r="J20">
            <v>27</v>
          </cell>
          <cell r="K20">
            <v>1350000</v>
          </cell>
          <cell r="L20">
            <v>11</v>
          </cell>
          <cell r="M20">
            <v>0</v>
          </cell>
        </row>
        <row r="21">
          <cell r="H21" t="str">
            <v>Huỳnh Thị Xuân Mai</v>
          </cell>
          <cell r="I21">
            <v>0</v>
          </cell>
          <cell r="J21">
            <v>26.5</v>
          </cell>
          <cell r="K21">
            <v>1325000</v>
          </cell>
          <cell r="L21">
            <v>12</v>
          </cell>
          <cell r="M21">
            <v>0</v>
          </cell>
        </row>
        <row r="22">
          <cell r="H22" t="str">
            <v>Trần Văn Cu Anh</v>
          </cell>
          <cell r="I22">
            <v>0</v>
          </cell>
          <cell r="J22">
            <v>27</v>
          </cell>
          <cell r="K22">
            <v>1350000</v>
          </cell>
          <cell r="L22">
            <v>13</v>
          </cell>
          <cell r="M22">
            <v>0</v>
          </cell>
        </row>
        <row r="23">
          <cell r="H23" t="str">
            <v>Vũ Anh Hiếu</v>
          </cell>
          <cell r="I23">
            <v>0</v>
          </cell>
          <cell r="J23">
            <v>26</v>
          </cell>
          <cell r="K23">
            <v>1300000</v>
          </cell>
          <cell r="L23">
            <v>14</v>
          </cell>
          <cell r="M23" t="str">
            <v>Trừ 1 ngày nghỉ phép 4/10</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v>0</v>
          </cell>
          <cell r="J25">
            <v>27</v>
          </cell>
          <cell r="K25">
            <v>1350000</v>
          </cell>
          <cell r="L25">
            <v>16</v>
          </cell>
          <cell r="M25">
            <v>0</v>
          </cell>
        </row>
        <row r="26">
          <cell r="H26" t="str">
            <v>Huỳnh Bá Triết</v>
          </cell>
          <cell r="I26">
            <v>0</v>
          </cell>
          <cell r="J26">
            <v>27</v>
          </cell>
          <cell r="K26">
            <v>1350000</v>
          </cell>
          <cell r="L26">
            <v>17</v>
          </cell>
          <cell r="M26">
            <v>0</v>
          </cell>
        </row>
        <row r="27">
          <cell r="H27" t="str">
            <v>Giáp Đức Nhận</v>
          </cell>
          <cell r="I27">
            <v>0</v>
          </cell>
          <cell r="J27">
            <v>27</v>
          </cell>
          <cell r="K27">
            <v>1350000</v>
          </cell>
          <cell r="L27">
            <v>18</v>
          </cell>
          <cell r="M27">
            <v>0</v>
          </cell>
        </row>
        <row r="28">
          <cell r="H28" t="str">
            <v>Trần Thị Thu</v>
          </cell>
          <cell r="I28">
            <v>0</v>
          </cell>
          <cell r="J28">
            <v>27</v>
          </cell>
          <cell r="K28">
            <v>1350000</v>
          </cell>
          <cell r="L28">
            <v>19</v>
          </cell>
          <cell r="M28">
            <v>0</v>
          </cell>
        </row>
        <row r="29">
          <cell r="H29" t="str">
            <v>Đỗ Thị Bích Thủy</v>
          </cell>
          <cell r="I29">
            <v>0</v>
          </cell>
          <cell r="J29">
            <v>27</v>
          </cell>
          <cell r="K29">
            <v>1350000</v>
          </cell>
          <cell r="L29">
            <v>20</v>
          </cell>
          <cell r="M29">
            <v>0</v>
          </cell>
        </row>
        <row r="30">
          <cell r="H30" t="str">
            <v>Trịnh Tuấn Vũ</v>
          </cell>
          <cell r="I30">
            <v>0</v>
          </cell>
          <cell r="J30">
            <v>26</v>
          </cell>
          <cell r="K30">
            <v>1300000</v>
          </cell>
          <cell r="L30">
            <v>21</v>
          </cell>
          <cell r="M30">
            <v>0</v>
          </cell>
        </row>
        <row r="31">
          <cell r="H31" t="str">
            <v>Võ Thị Tuyết</v>
          </cell>
          <cell r="I31">
            <v>0</v>
          </cell>
          <cell r="J31">
            <v>25</v>
          </cell>
          <cell r="K31">
            <v>1250000</v>
          </cell>
          <cell r="L31">
            <v>22</v>
          </cell>
          <cell r="M31" t="str">
            <v>Trừ 2 ngày nghỉ phép 26+28/10</v>
          </cell>
        </row>
        <row r="32">
          <cell r="H32" t="str">
            <v>Trần Kim Tươi</v>
          </cell>
          <cell r="I32">
            <v>0</v>
          </cell>
          <cell r="J32">
            <v>27</v>
          </cell>
          <cell r="K32">
            <v>1350000</v>
          </cell>
          <cell r="L32">
            <v>23</v>
          </cell>
          <cell r="M32">
            <v>0</v>
          </cell>
        </row>
        <row r="33">
          <cell r="H33" t="str">
            <v>Trương Thị Định</v>
          </cell>
          <cell r="I33">
            <v>0</v>
          </cell>
          <cell r="J33">
            <v>27</v>
          </cell>
          <cell r="K33">
            <v>1350000</v>
          </cell>
          <cell r="L33">
            <v>24</v>
          </cell>
          <cell r="M33">
            <v>0</v>
          </cell>
        </row>
        <row r="34">
          <cell r="H34" t="str">
            <v>Trương Thị Bắc</v>
          </cell>
          <cell r="I34">
            <v>0</v>
          </cell>
          <cell r="J34">
            <v>27</v>
          </cell>
          <cell r="K34">
            <v>1350000</v>
          </cell>
          <cell r="L34">
            <v>25</v>
          </cell>
          <cell r="M34">
            <v>0</v>
          </cell>
        </row>
        <row r="35">
          <cell r="H35" t="str">
            <v>Võ Tấn Đức</v>
          </cell>
          <cell r="I35">
            <v>0</v>
          </cell>
          <cell r="J35">
            <v>27</v>
          </cell>
          <cell r="K35">
            <v>1350000</v>
          </cell>
          <cell r="L35">
            <v>26</v>
          </cell>
          <cell r="M35">
            <v>0</v>
          </cell>
        </row>
        <row r="36">
          <cell r="H36" t="str">
            <v>Ngô Ngọc Của</v>
          </cell>
          <cell r="I36">
            <v>0</v>
          </cell>
          <cell r="J36">
            <v>26</v>
          </cell>
          <cell r="K36">
            <v>1300000</v>
          </cell>
          <cell r="L36">
            <v>27</v>
          </cell>
          <cell r="M36">
            <v>0</v>
          </cell>
        </row>
        <row r="37">
          <cell r="H37" t="str">
            <v>Phạm Thị Hoàng Diễm</v>
          </cell>
          <cell r="I37">
            <v>0</v>
          </cell>
          <cell r="J37">
            <v>27</v>
          </cell>
          <cell r="K37">
            <v>1350000</v>
          </cell>
          <cell r="L37">
            <v>28</v>
          </cell>
          <cell r="M37">
            <v>0</v>
          </cell>
        </row>
        <row r="38">
          <cell r="H38" t="str">
            <v>Nguyễn Văn Hiển</v>
          </cell>
          <cell r="I38">
            <v>0</v>
          </cell>
          <cell r="J38">
            <v>27</v>
          </cell>
          <cell r="K38">
            <v>1350000</v>
          </cell>
          <cell r="L38">
            <v>29</v>
          </cell>
          <cell r="M38">
            <v>0</v>
          </cell>
        </row>
        <row r="39">
          <cell r="H39" t="str">
            <v>Trần Thanh Phương</v>
          </cell>
          <cell r="I39">
            <v>0</v>
          </cell>
          <cell r="J39">
            <v>27</v>
          </cell>
          <cell r="K39">
            <v>1350000</v>
          </cell>
          <cell r="L39">
            <v>30</v>
          </cell>
          <cell r="M39">
            <v>0</v>
          </cell>
        </row>
        <row r="40">
          <cell r="H40" t="str">
            <v>Lâm Võ Hữu Duy</v>
          </cell>
          <cell r="I40">
            <v>0</v>
          </cell>
          <cell r="J40">
            <v>27</v>
          </cell>
          <cell r="K40">
            <v>1350000</v>
          </cell>
          <cell r="L40">
            <v>31</v>
          </cell>
          <cell r="M40">
            <v>0</v>
          </cell>
        </row>
        <row r="41">
          <cell r="H41" t="str">
            <v>Võ Lạc Tân</v>
          </cell>
          <cell r="I41">
            <v>0</v>
          </cell>
          <cell r="J41">
            <v>26</v>
          </cell>
          <cell r="K41">
            <v>1300000</v>
          </cell>
          <cell r="L41">
            <v>0</v>
          </cell>
          <cell r="M41">
            <v>0</v>
          </cell>
        </row>
        <row r="42">
          <cell r="H42" t="str">
            <v>Lê Thị Huyền</v>
          </cell>
          <cell r="I42" t="str">
            <v>Trạm Y tế</v>
          </cell>
          <cell r="J42">
            <v>27</v>
          </cell>
          <cell r="K42">
            <v>1350000</v>
          </cell>
          <cell r="L42">
            <v>33</v>
          </cell>
          <cell r="M42">
            <v>0</v>
          </cell>
        </row>
        <row r="43">
          <cell r="H43" t="str">
            <v>Trần Thị Thảo Vân</v>
          </cell>
          <cell r="I43" t="str">
            <v xml:space="preserve">Phòng KH - TC </v>
          </cell>
          <cell r="J43">
            <v>27</v>
          </cell>
          <cell r="K43">
            <v>1350000</v>
          </cell>
          <cell r="L43">
            <v>34</v>
          </cell>
          <cell r="M43">
            <v>0</v>
          </cell>
        </row>
        <row r="44">
          <cell r="H44" t="str">
            <v>Huỳnh Như Ý</v>
          </cell>
          <cell r="I44">
            <v>0</v>
          </cell>
          <cell r="J44">
            <v>27</v>
          </cell>
          <cell r="K44">
            <v>1350000</v>
          </cell>
          <cell r="L44">
            <v>35</v>
          </cell>
          <cell r="M44">
            <v>0</v>
          </cell>
        </row>
        <row r="45">
          <cell r="H45" t="str">
            <v>Nguyễn Chiến Thắng</v>
          </cell>
          <cell r="I45">
            <v>0</v>
          </cell>
          <cell r="J45">
            <v>27</v>
          </cell>
          <cell r="K45">
            <v>1350000</v>
          </cell>
          <cell r="L45">
            <v>36</v>
          </cell>
          <cell r="M45">
            <v>0</v>
          </cell>
        </row>
        <row r="46">
          <cell r="H46" t="str">
            <v>Huỳnh Văn Hiếu</v>
          </cell>
          <cell r="I46" t="str">
            <v>Phòng TTGD - QHDN</v>
          </cell>
          <cell r="J46">
            <v>28</v>
          </cell>
          <cell r="K46">
            <v>1400000</v>
          </cell>
          <cell r="L46">
            <v>37</v>
          </cell>
          <cell r="M46">
            <v>0</v>
          </cell>
        </row>
        <row r="47">
          <cell r="H47" t="str">
            <v>Trần Anh Mỹ</v>
          </cell>
          <cell r="I47">
            <v>0</v>
          </cell>
          <cell r="J47">
            <v>27</v>
          </cell>
          <cell r="K47">
            <v>1350000</v>
          </cell>
          <cell r="L47">
            <v>38</v>
          </cell>
          <cell r="M47">
            <v>0</v>
          </cell>
        </row>
        <row r="48">
          <cell r="H48" t="str">
            <v>Nguyễn Trung Dũng</v>
          </cell>
          <cell r="I48">
            <v>0</v>
          </cell>
          <cell r="J48">
            <v>26</v>
          </cell>
          <cell r="K48">
            <v>1300000</v>
          </cell>
          <cell r="L48">
            <v>39</v>
          </cell>
          <cell r="M48" t="str">
            <v>Trừ 1 ngày nghỉ phép 19/10</v>
          </cell>
        </row>
        <row r="49">
          <cell r="H49" t="str">
            <v>Phạm Huy Hoàng</v>
          </cell>
          <cell r="I49">
            <v>0</v>
          </cell>
          <cell r="J49">
            <v>27</v>
          </cell>
          <cell r="K49">
            <v>1350000</v>
          </cell>
          <cell r="L49">
            <v>40</v>
          </cell>
          <cell r="M49">
            <v>0</v>
          </cell>
        </row>
        <row r="50">
          <cell r="H50" t="str">
            <v>Bùi Đức Phước</v>
          </cell>
          <cell r="I50">
            <v>0</v>
          </cell>
          <cell r="J50">
            <v>28</v>
          </cell>
          <cell r="K50">
            <v>1400000</v>
          </cell>
          <cell r="L50">
            <v>41</v>
          </cell>
          <cell r="M50">
            <v>0</v>
          </cell>
        </row>
        <row r="51">
          <cell r="H51" t="str">
            <v>Nguyễn Thị Thảo</v>
          </cell>
          <cell r="I51">
            <v>0</v>
          </cell>
          <cell r="J51">
            <v>25</v>
          </cell>
          <cell r="K51">
            <v>1250000</v>
          </cell>
          <cell r="L51">
            <v>42</v>
          </cell>
          <cell r="M51" t="str">
            <v>Trừ 2 ngày nghỉ phép 14+15/10</v>
          </cell>
        </row>
        <row r="52">
          <cell r="H52" t="str">
            <v>Lưu Hoàng Bảo Châu</v>
          </cell>
          <cell r="I52">
            <v>0</v>
          </cell>
          <cell r="J52">
            <v>25</v>
          </cell>
          <cell r="K52">
            <v>1250000</v>
          </cell>
          <cell r="L52">
            <v>43</v>
          </cell>
          <cell r="M52" t="str">
            <v>Trừ 2 ngày nghỉ phép 7+19/10</v>
          </cell>
        </row>
        <row r="53">
          <cell r="H53" t="str">
            <v>Trần Việt Anh</v>
          </cell>
          <cell r="I53">
            <v>0</v>
          </cell>
          <cell r="J53">
            <v>27</v>
          </cell>
          <cell r="K53">
            <v>1350000</v>
          </cell>
          <cell r="L53">
            <v>44</v>
          </cell>
          <cell r="M53">
            <v>0</v>
          </cell>
        </row>
        <row r="54">
          <cell r="H54" t="str">
            <v>Phạm Huỳnh Kim Ngân</v>
          </cell>
          <cell r="I54" t="str">
            <v>TT Điều hành và QL dữ liệu</v>
          </cell>
          <cell r="J54">
            <v>23</v>
          </cell>
          <cell r="K54">
            <v>1150000</v>
          </cell>
          <cell r="L54">
            <v>45</v>
          </cell>
          <cell r="M54" t="str">
            <v>Trừ 4 ngày nghỉ phép 4+8+14+22/10</v>
          </cell>
        </row>
        <row r="55">
          <cell r="H55" t="str">
            <v>Nguyễn Đan Trường</v>
          </cell>
          <cell r="I55">
            <v>0</v>
          </cell>
          <cell r="J55">
            <v>27</v>
          </cell>
          <cell r="K55">
            <v>1350000</v>
          </cell>
          <cell r="L55">
            <v>46</v>
          </cell>
          <cell r="M55">
            <v>0</v>
          </cell>
        </row>
        <row r="56">
          <cell r="H56" t="str">
            <v>Lương Công Phi</v>
          </cell>
          <cell r="I56">
            <v>0</v>
          </cell>
          <cell r="J56">
            <v>26</v>
          </cell>
          <cell r="K56">
            <v>1300000</v>
          </cell>
          <cell r="L56">
            <v>47</v>
          </cell>
          <cell r="M56" t="str">
            <v>Trừ 1 ngày nghỉ phép 14/10</v>
          </cell>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27</v>
          </cell>
          <cell r="K58">
            <v>1350000</v>
          </cell>
          <cell r="L58">
            <v>49</v>
          </cell>
          <cell r="M58">
            <v>0</v>
          </cell>
        </row>
        <row r="59">
          <cell r="H59" t="str">
            <v>Nguyễn Thị Trang</v>
          </cell>
          <cell r="I59" t="str">
            <v>TT. Thư viện</v>
          </cell>
          <cell r="J59">
            <v>27</v>
          </cell>
          <cell r="K59">
            <v>1350000</v>
          </cell>
          <cell r="L59">
            <v>50</v>
          </cell>
          <cell r="M59">
            <v>0</v>
          </cell>
        </row>
        <row r="60">
          <cell r="H60" t="str">
            <v>Lư Diễm Phúc</v>
          </cell>
          <cell r="I60">
            <v>0</v>
          </cell>
          <cell r="J60">
            <v>27</v>
          </cell>
          <cell r="K60">
            <v>1350000</v>
          </cell>
          <cell r="L60">
            <v>51</v>
          </cell>
          <cell r="M60">
            <v>0</v>
          </cell>
        </row>
        <row r="61">
          <cell r="H61" t="str">
            <v>Hà Thị Hậu</v>
          </cell>
          <cell r="I61">
            <v>0</v>
          </cell>
          <cell r="J61">
            <v>27</v>
          </cell>
          <cell r="K61">
            <v>1350000</v>
          </cell>
          <cell r="L61">
            <v>52</v>
          </cell>
          <cell r="M61">
            <v>0</v>
          </cell>
        </row>
        <row r="62">
          <cell r="H62" t="str">
            <v>Lê Tiến Dũng</v>
          </cell>
          <cell r="I62" t="str">
            <v>P. KHCN và QHQT</v>
          </cell>
          <cell r="J62">
            <v>27</v>
          </cell>
          <cell r="K62">
            <v>1350000</v>
          </cell>
          <cell r="L62">
            <v>53</v>
          </cell>
          <cell r="M62">
            <v>0</v>
          </cell>
        </row>
        <row r="63">
          <cell r="H63" t="str">
            <v>Lê Trần Thanh Nga</v>
          </cell>
          <cell r="I63">
            <v>0</v>
          </cell>
          <cell r="J63">
            <v>27</v>
          </cell>
          <cell r="K63">
            <v>1350000</v>
          </cell>
          <cell r="L63">
            <v>54</v>
          </cell>
          <cell r="M63">
            <v>0</v>
          </cell>
        </row>
        <row r="64">
          <cell r="H64" t="str">
            <v>Nguyễn Việt Tiến</v>
          </cell>
          <cell r="I64" t="str">
            <v xml:space="preserve">P. Tuyển sinh - Đào tạo </v>
          </cell>
          <cell r="J64">
            <v>27</v>
          </cell>
          <cell r="K64">
            <v>1350000</v>
          </cell>
          <cell r="L64">
            <v>55</v>
          </cell>
          <cell r="M64">
            <v>0</v>
          </cell>
        </row>
        <row r="65">
          <cell r="H65" t="str">
            <v>Nguyễn Thị Tất</v>
          </cell>
          <cell r="I65">
            <v>0</v>
          </cell>
          <cell r="J65">
            <v>27</v>
          </cell>
          <cell r="K65">
            <v>1350000</v>
          </cell>
          <cell r="L65">
            <v>56</v>
          </cell>
          <cell r="M65">
            <v>0</v>
          </cell>
        </row>
        <row r="66">
          <cell r="H66" t="str">
            <v>Sỹ Thị Chung</v>
          </cell>
          <cell r="I66">
            <v>0</v>
          </cell>
          <cell r="J66">
            <v>27</v>
          </cell>
          <cell r="K66">
            <v>1350000</v>
          </cell>
          <cell r="L66">
            <v>57</v>
          </cell>
          <cell r="M66">
            <v>0</v>
          </cell>
        </row>
        <row r="67">
          <cell r="H67" t="str">
            <v>Nguyễn Thị Nhung</v>
          </cell>
          <cell r="I67">
            <v>0</v>
          </cell>
          <cell r="J67">
            <v>27</v>
          </cell>
          <cell r="K67">
            <v>1350000</v>
          </cell>
          <cell r="L67">
            <v>58</v>
          </cell>
          <cell r="M67">
            <v>0</v>
          </cell>
        </row>
        <row r="68">
          <cell r="H68" t="str">
            <v>Trần Nhật Thịnh</v>
          </cell>
          <cell r="I68">
            <v>0</v>
          </cell>
          <cell r="J68">
            <v>27</v>
          </cell>
          <cell r="K68">
            <v>1350000</v>
          </cell>
          <cell r="L68">
            <v>59</v>
          </cell>
          <cell r="M68">
            <v>0</v>
          </cell>
        </row>
        <row r="69">
          <cell r="H69" t="str">
            <v>Võ Thị Mỹ Ngọc</v>
          </cell>
          <cell r="I69">
            <v>0</v>
          </cell>
          <cell r="J69">
            <v>26.5</v>
          </cell>
          <cell r="K69">
            <v>1325000</v>
          </cell>
          <cell r="L69">
            <v>60</v>
          </cell>
          <cell r="M69">
            <v>0</v>
          </cell>
        </row>
        <row r="70">
          <cell r="H70" t="str">
            <v>Đỗ Công Thành</v>
          </cell>
          <cell r="I70" t="str">
            <v>TT Đào tạo và QLTB</v>
          </cell>
          <cell r="J70">
            <v>31</v>
          </cell>
          <cell r="K70">
            <v>1550000</v>
          </cell>
          <cell r="L70">
            <v>61</v>
          </cell>
          <cell r="M70">
            <v>0</v>
          </cell>
        </row>
        <row r="71">
          <cell r="H71" t="str">
            <v>Lương Thị Thắm</v>
          </cell>
          <cell r="I71">
            <v>0</v>
          </cell>
          <cell r="J71">
            <v>28</v>
          </cell>
          <cell r="K71">
            <v>1400000</v>
          </cell>
          <cell r="L71">
            <v>62</v>
          </cell>
          <cell r="M71">
            <v>0</v>
          </cell>
        </row>
        <row r="72">
          <cell r="H72" t="str">
            <v>Nguyễn Xuân Lợi</v>
          </cell>
          <cell r="I72">
            <v>0</v>
          </cell>
          <cell r="J72">
            <v>28</v>
          </cell>
          <cell r="K72">
            <v>1400000</v>
          </cell>
          <cell r="L72">
            <v>63</v>
          </cell>
          <cell r="M72">
            <v>0</v>
          </cell>
        </row>
        <row r="73">
          <cell r="H73" t="str">
            <v>Nguyễn Hoàng Hải</v>
          </cell>
          <cell r="I73">
            <v>0</v>
          </cell>
          <cell r="J73">
            <v>27</v>
          </cell>
          <cell r="K73">
            <v>1350000</v>
          </cell>
          <cell r="L73">
            <v>64</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26</v>
          </cell>
          <cell r="M11">
            <v>0</v>
          </cell>
        </row>
        <row r="12">
          <cell r="H12" t="str">
            <v>Đinh Hồng Minh</v>
          </cell>
          <cell r="J12">
            <v>26</v>
          </cell>
          <cell r="M12">
            <v>0</v>
          </cell>
        </row>
        <row r="13">
          <cell r="H13" t="str">
            <v>Châu Văn Bảo</v>
          </cell>
          <cell r="J13">
            <v>27</v>
          </cell>
          <cell r="M13">
            <v>0</v>
          </cell>
        </row>
        <row r="14">
          <cell r="H14" t="str">
            <v>Lâm Viết Dũng</v>
          </cell>
          <cell r="J14">
            <v>28</v>
          </cell>
          <cell r="M14">
            <v>0</v>
          </cell>
        </row>
        <row r="15">
          <cell r="H15" t="str">
            <v>Lưu Hoàng Hải Yến</v>
          </cell>
          <cell r="J15">
            <v>23.5</v>
          </cell>
          <cell r="M15">
            <v>0</v>
          </cell>
        </row>
        <row r="16">
          <cell r="H16" t="str">
            <v>Huỳnh Thị Minh Ly</v>
          </cell>
          <cell r="J16">
            <v>24.5</v>
          </cell>
          <cell r="M16">
            <v>0</v>
          </cell>
        </row>
        <row r="17">
          <cell r="H17" t="str">
            <v>Nguyễn Văn Chì</v>
          </cell>
          <cell r="J17">
            <v>20</v>
          </cell>
          <cell r="M17">
            <v>0</v>
          </cell>
        </row>
        <row r="18">
          <cell r="H18" t="str">
            <v>Nguyễn Thị Vân</v>
          </cell>
          <cell r="J18">
            <v>22.5</v>
          </cell>
          <cell r="M18">
            <v>0</v>
          </cell>
        </row>
        <row r="19">
          <cell r="H19" t="str">
            <v>Phan Thị Ngọc Phượng</v>
          </cell>
          <cell r="J19">
            <v>22</v>
          </cell>
          <cell r="M19">
            <v>0</v>
          </cell>
        </row>
        <row r="20">
          <cell r="H20" t="str">
            <v>Trần Thị Ánh Phượng</v>
          </cell>
          <cell r="J20">
            <v>21</v>
          </cell>
          <cell r="M20">
            <v>0</v>
          </cell>
        </row>
        <row r="21">
          <cell r="H21" t="str">
            <v>Thân Thị Nhung</v>
          </cell>
          <cell r="J21">
            <v>20.5</v>
          </cell>
          <cell r="M21">
            <v>0</v>
          </cell>
        </row>
        <row r="22">
          <cell r="H22" t="str">
            <v>Trần Thị Phương Oanh</v>
          </cell>
          <cell r="J22">
            <v>20</v>
          </cell>
          <cell r="M22" t="str">
            <v>Trừ 3 ngày nghỉ phép 3+10+17/6</v>
          </cell>
        </row>
        <row r="23">
          <cell r="H23" t="str">
            <v>Vũ Như Quỳnh</v>
          </cell>
          <cell r="J23">
            <v>22</v>
          </cell>
          <cell r="M23">
            <v>0</v>
          </cell>
        </row>
        <row r="24">
          <cell r="H24" t="str">
            <v>Nguyễn Thị Bích Liễu</v>
          </cell>
          <cell r="J24">
            <v>21.5</v>
          </cell>
          <cell r="M24">
            <v>0</v>
          </cell>
        </row>
        <row r="25">
          <cell r="H25" t="str">
            <v>Lê Quang Liêm</v>
          </cell>
          <cell r="J25">
            <v>22</v>
          </cell>
          <cell r="M25">
            <v>0</v>
          </cell>
        </row>
        <row r="26">
          <cell r="H26" t="str">
            <v>Nguyễn Văn Thành</v>
          </cell>
          <cell r="J26">
            <v>25</v>
          </cell>
          <cell r="M26">
            <v>0</v>
          </cell>
        </row>
        <row r="27">
          <cell r="H27" t="str">
            <v>Phan Đức Long</v>
          </cell>
          <cell r="J27">
            <v>24</v>
          </cell>
          <cell r="M27">
            <v>0</v>
          </cell>
        </row>
        <row r="28">
          <cell r="H28" t="str">
            <v>Ninh Đỗ Hiệp</v>
          </cell>
          <cell r="J28">
            <v>22</v>
          </cell>
          <cell r="M28">
            <v>0</v>
          </cell>
        </row>
        <row r="29">
          <cell r="H29" t="str">
            <v>Nguyễn Trọng Phú</v>
          </cell>
          <cell r="J29">
            <v>22</v>
          </cell>
          <cell r="M29">
            <v>0</v>
          </cell>
        </row>
        <row r="30">
          <cell r="H30" t="str">
            <v>Lê Hồng Anh Tuấn</v>
          </cell>
          <cell r="J30">
            <v>20</v>
          </cell>
          <cell r="M30">
            <v>0</v>
          </cell>
        </row>
        <row r="31">
          <cell r="H31" t="str">
            <v>Giáp Văn Thịnh</v>
          </cell>
          <cell r="J31">
            <v>18</v>
          </cell>
          <cell r="M31" t="str">
            <v>Trừ 2 ngày nghỉ phép 17+18/6</v>
          </cell>
        </row>
        <row r="32">
          <cell r="H32" t="str">
            <v>Vũ Ngọc Quang</v>
          </cell>
          <cell r="J32">
            <v>19</v>
          </cell>
          <cell r="M32">
            <v>0</v>
          </cell>
        </row>
        <row r="33">
          <cell r="H33" t="str">
            <v>Bùi Thị Dương</v>
          </cell>
          <cell r="J33">
            <v>25</v>
          </cell>
          <cell r="M33">
            <v>0</v>
          </cell>
        </row>
        <row r="34">
          <cell r="H34" t="str">
            <v>Phan Hữu Tước</v>
          </cell>
          <cell r="J34">
            <v>25</v>
          </cell>
          <cell r="M34" t="str">
            <v xml:space="preserve">Cộng 12 ngày đi học </v>
          </cell>
        </row>
        <row r="35">
          <cell r="H35" t="str">
            <v>Trang Thị Xuân Uyên</v>
          </cell>
          <cell r="J35">
            <v>21</v>
          </cell>
          <cell r="M35" t="str">
            <v>Trừ 4 ngày nghỉ phép 5+6+7+8/6</v>
          </cell>
        </row>
        <row r="36">
          <cell r="H36" t="str">
            <v>Bùi Thị Lan Anh</v>
          </cell>
          <cell r="J36">
            <v>25</v>
          </cell>
          <cell r="M36">
            <v>0</v>
          </cell>
        </row>
        <row r="37">
          <cell r="H37" t="str">
            <v>Nguyễn Kính</v>
          </cell>
          <cell r="J37">
            <v>25</v>
          </cell>
          <cell r="M37">
            <v>0</v>
          </cell>
        </row>
        <row r="38">
          <cell r="H38" t="str">
            <v>Võ Thị Lệ Trân</v>
          </cell>
          <cell r="J38">
            <v>24</v>
          </cell>
          <cell r="M38">
            <v>0</v>
          </cell>
        </row>
        <row r="39">
          <cell r="H39" t="str">
            <v>Trần Thị Minh Thoa</v>
          </cell>
          <cell r="J39">
            <v>24</v>
          </cell>
          <cell r="M39" t="str">
            <v>Trừ 1 ngày nghỉ phép 24/6</v>
          </cell>
        </row>
        <row r="40">
          <cell r="H40" t="str">
            <v>Hồng Mộng Tuyết Dung</v>
          </cell>
          <cell r="J40">
            <v>25</v>
          </cell>
          <cell r="M40">
            <v>0</v>
          </cell>
        </row>
        <row r="41">
          <cell r="H41" t="str">
            <v>Nguyễn Thị Hồng Thắm</v>
          </cell>
          <cell r="J41">
            <v>23</v>
          </cell>
          <cell r="M41" t="str">
            <v>Trừ 1 ngày nghỉ phép 10/6</v>
          </cell>
        </row>
        <row r="42">
          <cell r="H42" t="str">
            <v>Nguyễn Văn Chiến</v>
          </cell>
          <cell r="J42">
            <v>24</v>
          </cell>
          <cell r="M42">
            <v>0</v>
          </cell>
        </row>
        <row r="43">
          <cell r="H43" t="str">
            <v>Lê Xuân Thiện</v>
          </cell>
          <cell r="J43">
            <v>20</v>
          </cell>
          <cell r="M43">
            <v>0</v>
          </cell>
        </row>
        <row r="44">
          <cell r="H44" t="str">
            <v>Nguyễn Tất Thắng</v>
          </cell>
          <cell r="J44">
            <v>21</v>
          </cell>
          <cell r="M44">
            <v>0</v>
          </cell>
        </row>
        <row r="45">
          <cell r="H45" t="str">
            <v>Trần Thị Thu Hà</v>
          </cell>
          <cell r="J45">
            <v>21</v>
          </cell>
          <cell r="M45">
            <v>0</v>
          </cell>
        </row>
        <row r="46">
          <cell r="H46" t="str">
            <v>Phạm Thị Lê Chi</v>
          </cell>
          <cell r="J46">
            <v>19</v>
          </cell>
          <cell r="M46" t="str">
            <v>Trừ 2 ngày nghỉ phép 27+28/6</v>
          </cell>
        </row>
        <row r="47">
          <cell r="H47" t="str">
            <v>Nguyễn Thùy Dương</v>
          </cell>
          <cell r="J47">
            <v>20</v>
          </cell>
          <cell r="M47" t="str">
            <v>Trừ 1 ngày nghỉ phép 10/6</v>
          </cell>
        </row>
        <row r="48">
          <cell r="H48" t="str">
            <v>Nguyễn Thị Kim Anh</v>
          </cell>
          <cell r="J48">
            <v>21</v>
          </cell>
          <cell r="M48">
            <v>0</v>
          </cell>
        </row>
        <row r="49">
          <cell r="H49" t="str">
            <v>Mai Thu Hương</v>
          </cell>
          <cell r="J49">
            <v>20</v>
          </cell>
          <cell r="M49">
            <v>0</v>
          </cell>
        </row>
        <row r="50">
          <cell r="H50" t="str">
            <v>Nguyễn Thành Nam</v>
          </cell>
          <cell r="J50">
            <v>22.5</v>
          </cell>
          <cell r="M50">
            <v>0</v>
          </cell>
        </row>
        <row r="51">
          <cell r="H51" t="str">
            <v>Quách Minh Thử</v>
          </cell>
          <cell r="J51">
            <v>20.5</v>
          </cell>
          <cell r="M51">
            <v>0</v>
          </cell>
        </row>
        <row r="52">
          <cell r="H52" t="str">
            <v>Võ Thị Xuân Thơ</v>
          </cell>
          <cell r="J52">
            <v>21.5</v>
          </cell>
          <cell r="M52">
            <v>0</v>
          </cell>
        </row>
        <row r="53">
          <cell r="H53" t="str">
            <v>Mai Nguyễn Hoàng Yến</v>
          </cell>
          <cell r="J53">
            <v>22.5</v>
          </cell>
          <cell r="M53">
            <v>0</v>
          </cell>
        </row>
        <row r="54">
          <cell r="H54" t="str">
            <v>Nguyễn Thị Hải Hà</v>
          </cell>
          <cell r="J54">
            <v>21</v>
          </cell>
          <cell r="M54">
            <v>0</v>
          </cell>
        </row>
        <row r="55">
          <cell r="H55" t="str">
            <v>Nguyễn Thị Thanh Thảo</v>
          </cell>
          <cell r="J55">
            <v>20.5</v>
          </cell>
          <cell r="M55">
            <v>0</v>
          </cell>
        </row>
        <row r="56">
          <cell r="H56" t="str">
            <v>Thái Thị My Sa</v>
          </cell>
          <cell r="J56">
            <v>19.5</v>
          </cell>
          <cell r="M56">
            <v>0</v>
          </cell>
        </row>
        <row r="57">
          <cell r="H57" t="str">
            <v>Giáp Thị Vượng</v>
          </cell>
          <cell r="J57">
            <v>20.5</v>
          </cell>
          <cell r="M57">
            <v>0</v>
          </cell>
        </row>
        <row r="58">
          <cell r="H58" t="str">
            <v>Huỳnh Thị Cẩm Hoa</v>
          </cell>
          <cell r="J58">
            <v>18</v>
          </cell>
          <cell r="M58" t="str">
            <v>Trừ 3 ngày nghỉ phép 19+20+21/6</v>
          </cell>
        </row>
        <row r="59">
          <cell r="H59" t="str">
            <v>Nguyễn Thị Thùy</v>
          </cell>
          <cell r="J59">
            <v>23.5</v>
          </cell>
          <cell r="M59">
            <v>0</v>
          </cell>
        </row>
        <row r="60">
          <cell r="H60" t="str">
            <v>Nguyễn Thị Ngọc Anh</v>
          </cell>
          <cell r="J60">
            <v>22</v>
          </cell>
          <cell r="M60">
            <v>0</v>
          </cell>
        </row>
        <row r="61">
          <cell r="H61" t="str">
            <v>Nguyễn Chí Nhân</v>
          </cell>
          <cell r="J61">
            <v>24</v>
          </cell>
          <cell r="M61">
            <v>0</v>
          </cell>
        </row>
        <row r="62">
          <cell r="H62" t="str">
            <v>Nguyễn Thị Kim Dung</v>
          </cell>
          <cell r="J62">
            <v>20</v>
          </cell>
          <cell r="M62">
            <v>0</v>
          </cell>
        </row>
        <row r="63">
          <cell r="H63" t="str">
            <v>Nguyễn Thanh Sơn</v>
          </cell>
          <cell r="J63">
            <v>20</v>
          </cell>
          <cell r="M63">
            <v>0</v>
          </cell>
        </row>
        <row r="64">
          <cell r="H64" t="str">
            <v>Lương Minh Dũng</v>
          </cell>
          <cell r="J64">
            <v>22</v>
          </cell>
          <cell r="M64">
            <v>0</v>
          </cell>
        </row>
        <row r="65">
          <cell r="H65" t="str">
            <v>Nguyễn Thị Tuyết</v>
          </cell>
          <cell r="J65">
            <v>22</v>
          </cell>
          <cell r="M65">
            <v>0</v>
          </cell>
        </row>
        <row r="66">
          <cell r="H66" t="str">
            <v>Vũ Thị Thu Thủy</v>
          </cell>
          <cell r="J66">
            <v>21</v>
          </cell>
          <cell r="M66">
            <v>0</v>
          </cell>
        </row>
        <row r="67">
          <cell r="H67" t="str">
            <v>Nguyễn Trọng Nghĩa</v>
          </cell>
          <cell r="J67">
            <v>20</v>
          </cell>
          <cell r="M67">
            <v>0</v>
          </cell>
        </row>
        <row r="68">
          <cell r="H68" t="str">
            <v>Lê Thị Hải Đăng</v>
          </cell>
          <cell r="J68">
            <v>20</v>
          </cell>
          <cell r="M68">
            <v>0</v>
          </cell>
        </row>
        <row r="69">
          <cell r="H69" t="str">
            <v>Nguyễn Hữu Thiện</v>
          </cell>
          <cell r="J69">
            <v>24</v>
          </cell>
          <cell r="M69" t="str">
            <v>Trừ 1 ngày nghỉ phép 3/6</v>
          </cell>
        </row>
        <row r="70">
          <cell r="H70" t="str">
            <v>Vương Hội Khánh</v>
          </cell>
          <cell r="J70">
            <v>21</v>
          </cell>
          <cell r="M70">
            <v>0</v>
          </cell>
        </row>
        <row r="71">
          <cell r="H71" t="str">
            <v>Trương Hữu Lộc</v>
          </cell>
          <cell r="J71">
            <v>21</v>
          </cell>
          <cell r="M71">
            <v>0</v>
          </cell>
        </row>
        <row r="72">
          <cell r="H72" t="str">
            <v>Trương Thị Hồng</v>
          </cell>
          <cell r="J72">
            <v>25</v>
          </cell>
          <cell r="M72">
            <v>0</v>
          </cell>
        </row>
        <row r="73">
          <cell r="H73" t="str">
            <v>Lương Xuân Thịnh</v>
          </cell>
          <cell r="J73">
            <v>30</v>
          </cell>
          <cell r="M73">
            <v>0</v>
          </cell>
        </row>
        <row r="74">
          <cell r="H74" t="str">
            <v>Nguyễn Cao Thắng</v>
          </cell>
          <cell r="J74">
            <v>30</v>
          </cell>
          <cell r="M74">
            <v>0</v>
          </cell>
        </row>
        <row r="75">
          <cell r="H75" t="str">
            <v>Đỗ Thị Tâm</v>
          </cell>
          <cell r="J75">
            <v>25</v>
          </cell>
          <cell r="M75">
            <v>0</v>
          </cell>
        </row>
        <row r="76">
          <cell r="H76" t="str">
            <v>Nguyễn Tiến Việt Dũng</v>
          </cell>
          <cell r="J76">
            <v>21</v>
          </cell>
          <cell r="M76">
            <v>0</v>
          </cell>
        </row>
        <row r="77">
          <cell r="H77" t="str">
            <v>Bùi Đặng Hoàng Tuấn</v>
          </cell>
          <cell r="J77">
            <v>21</v>
          </cell>
          <cell r="M77">
            <v>0</v>
          </cell>
        </row>
        <row r="78">
          <cell r="H78" t="str">
            <v>Võ Tấn Kiệt</v>
          </cell>
          <cell r="J78">
            <v>24</v>
          </cell>
          <cell r="M78">
            <v>0</v>
          </cell>
        </row>
        <row r="79">
          <cell r="H79" t="str">
            <v>Hồ Ngọc Chi</v>
          </cell>
          <cell r="J79">
            <v>19</v>
          </cell>
          <cell r="M79" t="str">
            <v>Trừ 1 ngày nghỉ phép 3/6</v>
          </cell>
        </row>
        <row r="80">
          <cell r="H80" t="str">
            <v>Nguyễn Tứ Cảnh</v>
          </cell>
          <cell r="J80">
            <v>20</v>
          </cell>
          <cell r="M80">
            <v>0</v>
          </cell>
        </row>
        <row r="81">
          <cell r="H81" t="str">
            <v>Đặng Thu Hà</v>
          </cell>
          <cell r="J81">
            <v>21</v>
          </cell>
          <cell r="M81">
            <v>0</v>
          </cell>
        </row>
        <row r="82">
          <cell r="H82" t="str">
            <v>Trần Thị Diễm Thúy</v>
          </cell>
          <cell r="J82">
            <v>19</v>
          </cell>
          <cell r="M82" t="str">
            <v>Trừ 1 ngày nghỉ phép 10/6</v>
          </cell>
        </row>
        <row r="83">
          <cell r="H83" t="str">
            <v>Trịnh Hoàng Hiệp</v>
          </cell>
          <cell r="J83">
            <v>20</v>
          </cell>
          <cell r="M83">
            <v>0</v>
          </cell>
        </row>
        <row r="84">
          <cell r="H84" t="str">
            <v>Phạm Quỳnh Như</v>
          </cell>
          <cell r="J84">
            <v>20</v>
          </cell>
          <cell r="M84">
            <v>0</v>
          </cell>
        </row>
        <row r="85">
          <cell r="H85" t="str">
            <v>Lê Thị Thu Thảo</v>
          </cell>
          <cell r="J85">
            <v>20</v>
          </cell>
          <cell r="M85">
            <v>0</v>
          </cell>
        </row>
        <row r="86">
          <cell r="H86" t="str">
            <v>Lưu Thị Thúy</v>
          </cell>
          <cell r="J86">
            <v>20</v>
          </cell>
          <cell r="M86">
            <v>0</v>
          </cell>
        </row>
        <row r="87">
          <cell r="H87" t="str">
            <v>Nguyễn Thị Minh Thùy</v>
          </cell>
          <cell r="J87">
            <v>24</v>
          </cell>
          <cell r="M87" t="str">
            <v>Hỗ trợ công việc phòng KHTC</v>
          </cell>
        </row>
        <row r="88">
          <cell r="H88" t="str">
            <v>Nguyễn Mỹ Tiên</v>
          </cell>
          <cell r="J88">
            <v>20</v>
          </cell>
          <cell r="M88">
            <v>0</v>
          </cell>
        </row>
        <row r="89">
          <cell r="H89" t="str">
            <v>Trần Thị Ngọc Dung</v>
          </cell>
          <cell r="J89">
            <v>20</v>
          </cell>
          <cell r="M89">
            <v>0</v>
          </cell>
        </row>
        <row r="90">
          <cell r="H90" t="str">
            <v>Cao Xuân Giang</v>
          </cell>
          <cell r="J90">
            <v>20</v>
          </cell>
          <cell r="M90">
            <v>0</v>
          </cell>
        </row>
        <row r="91">
          <cell r="H91" t="str">
            <v>Lê Hồng Ngọc My</v>
          </cell>
          <cell r="J91">
            <v>20</v>
          </cell>
          <cell r="M91">
            <v>0</v>
          </cell>
        </row>
        <row r="92">
          <cell r="H92" t="str">
            <v>Nguyễn Thị Thanh Hòa</v>
          </cell>
          <cell r="J92">
            <v>20</v>
          </cell>
          <cell r="M92">
            <v>0</v>
          </cell>
        </row>
        <row r="93">
          <cell r="H93" t="str">
            <v>Huỳnh Kim Liên</v>
          </cell>
          <cell r="J93">
            <v>20</v>
          </cell>
          <cell r="M93">
            <v>0</v>
          </cell>
        </row>
        <row r="94">
          <cell r="H94" t="str">
            <v>Nguyễn Huỳnh Lưu Phương</v>
          </cell>
          <cell r="J94">
            <v>20</v>
          </cell>
          <cell r="M94">
            <v>0</v>
          </cell>
        </row>
        <row r="95">
          <cell r="H95" t="str">
            <v>Hồ Gia Bảo</v>
          </cell>
          <cell r="J95">
            <v>20</v>
          </cell>
          <cell r="M95">
            <v>0</v>
          </cell>
        </row>
        <row r="96">
          <cell r="H96" t="str">
            <v>Lữ Xuân Trang</v>
          </cell>
          <cell r="J96">
            <v>20</v>
          </cell>
          <cell r="M96">
            <v>0</v>
          </cell>
        </row>
        <row r="97">
          <cell r="H97" t="str">
            <v>Phạm Thị Thanh Thúy</v>
          </cell>
          <cell r="J97">
            <v>20</v>
          </cell>
          <cell r="M97">
            <v>0</v>
          </cell>
        </row>
        <row r="98">
          <cell r="H98" t="str">
            <v>Đinh Thị Trâm</v>
          </cell>
          <cell r="J98">
            <v>20</v>
          </cell>
          <cell r="M98">
            <v>0</v>
          </cell>
        </row>
        <row r="99">
          <cell r="H99" t="str">
            <v>Lê Thị Thúy Oanh</v>
          </cell>
          <cell r="J99">
            <v>20</v>
          </cell>
          <cell r="M99">
            <v>0</v>
          </cell>
        </row>
        <row r="100">
          <cell r="H100" t="str">
            <v>Võ Thị Kim Thư</v>
          </cell>
          <cell r="J100">
            <v>20</v>
          </cell>
          <cell r="M100">
            <v>0</v>
          </cell>
        </row>
        <row r="101">
          <cell r="H101" t="str">
            <v>Nguyễn Hoàng Thanh Ngân</v>
          </cell>
          <cell r="J101">
            <v>0</v>
          </cell>
          <cell r="M101" t="str">
            <v>Đi du học nước ngoài từ 28/2/2023</v>
          </cell>
        </row>
        <row r="102">
          <cell r="H102" t="str">
            <v>Nguyễn Ngọc Thọ</v>
          </cell>
          <cell r="J102">
            <v>20</v>
          </cell>
          <cell r="M102">
            <v>0</v>
          </cell>
        </row>
        <row r="103">
          <cell r="H103" t="str">
            <v>Nguyễn Bạch Cẩm Dung</v>
          </cell>
          <cell r="J103">
            <v>20</v>
          </cell>
          <cell r="M103">
            <v>0</v>
          </cell>
        </row>
        <row r="104">
          <cell r="H104" t="str">
            <v>Lâm Thị Phương Thùy</v>
          </cell>
          <cell r="J104">
            <v>20</v>
          </cell>
          <cell r="M104">
            <v>0</v>
          </cell>
        </row>
        <row r="105">
          <cell r="H105" t="str">
            <v>Nguyễn Thị Hiền</v>
          </cell>
          <cell r="J105">
            <v>20</v>
          </cell>
          <cell r="M105">
            <v>0</v>
          </cell>
        </row>
        <row r="106">
          <cell r="H106" t="str">
            <v>Chế Vân Cầm</v>
          </cell>
          <cell r="J106">
            <v>20</v>
          </cell>
          <cell r="M106">
            <v>0</v>
          </cell>
        </row>
        <row r="107">
          <cell r="H107" t="str">
            <v>Trần Hồng Thảo</v>
          </cell>
          <cell r="J107">
            <v>20</v>
          </cell>
          <cell r="M107">
            <v>0</v>
          </cell>
        </row>
        <row r="108">
          <cell r="H108" t="str">
            <v>Lê Thị Phương Thảo</v>
          </cell>
          <cell r="J108">
            <v>20</v>
          </cell>
          <cell r="M108">
            <v>0</v>
          </cell>
        </row>
        <row r="109">
          <cell r="H109" t="str">
            <v>Bùi Thị Ngọc Sương</v>
          </cell>
          <cell r="J109">
            <v>20</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20</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20</v>
          </cell>
          <cell r="M127">
            <v>0</v>
          </cell>
        </row>
        <row r="128">
          <cell r="H128" t="str">
            <v>Nguyễn Mạnh Phương</v>
          </cell>
          <cell r="J128">
            <v>20</v>
          </cell>
          <cell r="M128">
            <v>0</v>
          </cell>
        </row>
        <row r="129">
          <cell r="H129" t="str">
            <v>Giang Phi Hùng</v>
          </cell>
          <cell r="J129">
            <v>20</v>
          </cell>
          <cell r="M129">
            <v>0</v>
          </cell>
        </row>
        <row r="130">
          <cell r="H130" t="str">
            <v>Ngô Thanh Điền</v>
          </cell>
          <cell r="J130">
            <v>20</v>
          </cell>
          <cell r="M130">
            <v>0</v>
          </cell>
        </row>
        <row r="131">
          <cell r="H131" t="str">
            <v>Nguyễn Thị Thu Hà</v>
          </cell>
          <cell r="J131">
            <v>20</v>
          </cell>
          <cell r="M131">
            <v>0</v>
          </cell>
        </row>
        <row r="132">
          <cell r="H132" t="str">
            <v>Vương Thanh Thủy</v>
          </cell>
          <cell r="J132">
            <v>20</v>
          </cell>
          <cell r="M132">
            <v>0</v>
          </cell>
        </row>
        <row r="133">
          <cell r="H133" t="str">
            <v>Nguyễn Thị Bảo Trân</v>
          </cell>
          <cell r="J133">
            <v>20</v>
          </cell>
          <cell r="M133">
            <v>0</v>
          </cell>
        </row>
        <row r="134">
          <cell r="H134" t="str">
            <v>Nguyễn Thị Thu Tâm</v>
          </cell>
          <cell r="J134">
            <v>20</v>
          </cell>
          <cell r="M134">
            <v>0</v>
          </cell>
        </row>
        <row r="135">
          <cell r="H135" t="str">
            <v>Nguyễn Thị Thanh Tú</v>
          </cell>
          <cell r="J135">
            <v>20</v>
          </cell>
          <cell r="M135">
            <v>0</v>
          </cell>
        </row>
        <row r="136">
          <cell r="H136" t="str">
            <v>Võ Thị Hồng Lan</v>
          </cell>
          <cell r="J136">
            <v>20</v>
          </cell>
          <cell r="M136">
            <v>0</v>
          </cell>
        </row>
        <row r="137">
          <cell r="H137" t="str">
            <v>Lê Nguyễn Mỹ Trâm</v>
          </cell>
          <cell r="J137">
            <v>20</v>
          </cell>
          <cell r="M137">
            <v>0</v>
          </cell>
        </row>
        <row r="138">
          <cell r="H138" t="str">
            <v>Phạm Thị Thu Hiền</v>
          </cell>
          <cell r="J138">
            <v>20</v>
          </cell>
          <cell r="M138">
            <v>0</v>
          </cell>
        </row>
        <row r="139">
          <cell r="H139" t="str">
            <v>Nguyễn Thiện Bình</v>
          </cell>
          <cell r="J139">
            <v>20</v>
          </cell>
          <cell r="M139">
            <v>0</v>
          </cell>
        </row>
        <row r="140">
          <cell r="H140" t="str">
            <v>Trần Thanh Trúc</v>
          </cell>
          <cell r="J140">
            <v>20</v>
          </cell>
          <cell r="M140">
            <v>0</v>
          </cell>
        </row>
        <row r="141">
          <cell r="H141" t="str">
            <v>Lâm Thị Phương Thảo</v>
          </cell>
          <cell r="J141">
            <v>20</v>
          </cell>
          <cell r="M141">
            <v>0</v>
          </cell>
        </row>
        <row r="142">
          <cell r="H142" t="str">
            <v>Trần Hà Trang</v>
          </cell>
          <cell r="J142">
            <v>20</v>
          </cell>
          <cell r="M142">
            <v>0</v>
          </cell>
        </row>
        <row r="143">
          <cell r="H143" t="str">
            <v>Lê Thu Hà</v>
          </cell>
          <cell r="J143">
            <v>0</v>
          </cell>
          <cell r="M143" t="str">
            <v>Nghỉ hộ sản hưởng chế độ BHXH từ 9/3/2024</v>
          </cell>
        </row>
        <row r="144">
          <cell r="H144" t="str">
            <v>Ôn Thị Ngọc Thảo</v>
          </cell>
          <cell r="J144">
            <v>20</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20</v>
          </cell>
          <cell r="M150">
            <v>0</v>
          </cell>
        </row>
        <row r="151">
          <cell r="H151" t="str">
            <v>Nguyễn Anh Kiệt</v>
          </cell>
          <cell r="J151">
            <v>20</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13</v>
          </cell>
          <cell r="M154" t="str">
            <v>Hết thời gian nghỉ thai sản, đi làm lại từ ngày 12/06/2024</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20</v>
          </cell>
          <cell r="M158">
            <v>0</v>
          </cell>
        </row>
        <row r="159">
          <cell r="H159" t="str">
            <v>Trần Văn Lượng</v>
          </cell>
          <cell r="J159">
            <v>20</v>
          </cell>
          <cell r="M159">
            <v>0</v>
          </cell>
        </row>
        <row r="160">
          <cell r="H160" t="str">
            <v>Trần Việt Khánh</v>
          </cell>
          <cell r="J160">
            <v>20</v>
          </cell>
          <cell r="M160">
            <v>0</v>
          </cell>
        </row>
        <row r="161">
          <cell r="H161" t="str">
            <v>Vũ Thị Thái Linh</v>
          </cell>
          <cell r="J161">
            <v>20</v>
          </cell>
          <cell r="M161">
            <v>0</v>
          </cell>
        </row>
        <row r="162">
          <cell r="H162" t="str">
            <v>Nguyễn Sanh Cường</v>
          </cell>
          <cell r="J162">
            <v>20</v>
          </cell>
          <cell r="M162">
            <v>0</v>
          </cell>
        </row>
        <row r="163">
          <cell r="H163" t="str">
            <v>Lê Quý Hưng Quốc</v>
          </cell>
          <cell r="J163">
            <v>20</v>
          </cell>
          <cell r="M163">
            <v>0</v>
          </cell>
        </row>
        <row r="164">
          <cell r="H164" t="str">
            <v>Bùi Văn Dũng</v>
          </cell>
          <cell r="J164">
            <v>20</v>
          </cell>
          <cell r="M164">
            <v>0</v>
          </cell>
        </row>
        <row r="165">
          <cell r="H165" t="str">
            <v>Nguyễn Văn Minh</v>
          </cell>
          <cell r="J165">
            <v>20</v>
          </cell>
          <cell r="M165">
            <v>0</v>
          </cell>
        </row>
        <row r="166">
          <cell r="H166" t="str">
            <v>Nguyễn Thị Khánh Thư</v>
          </cell>
          <cell r="J166">
            <v>20</v>
          </cell>
          <cell r="M166">
            <v>0</v>
          </cell>
        </row>
        <row r="167">
          <cell r="H167" t="str">
            <v>Đỗ Thị Hải Yến</v>
          </cell>
          <cell r="J167">
            <v>20</v>
          </cell>
          <cell r="M167">
            <v>0</v>
          </cell>
        </row>
        <row r="168">
          <cell r="H168" t="str">
            <v>Lê Hồng Thái</v>
          </cell>
          <cell r="J168">
            <v>20</v>
          </cell>
          <cell r="M168">
            <v>0</v>
          </cell>
        </row>
        <row r="169">
          <cell r="H169" t="str">
            <v>Đặng Ngọc Đoàn</v>
          </cell>
          <cell r="J169">
            <v>20</v>
          </cell>
          <cell r="M169">
            <v>0</v>
          </cell>
        </row>
        <row r="170">
          <cell r="H170" t="str">
            <v>Nguyễn Văn Đôn</v>
          </cell>
          <cell r="J170">
            <v>20</v>
          </cell>
          <cell r="M170">
            <v>0</v>
          </cell>
        </row>
        <row r="171">
          <cell r="H171" t="str">
            <v>Huỳnh Quốc Dũng</v>
          </cell>
          <cell r="J171">
            <v>20</v>
          </cell>
          <cell r="M171">
            <v>0</v>
          </cell>
        </row>
        <row r="172">
          <cell r="H172" t="str">
            <v>Dương Ngọc Vọng</v>
          </cell>
          <cell r="J172">
            <v>20</v>
          </cell>
          <cell r="M172">
            <v>0</v>
          </cell>
        </row>
        <row r="173">
          <cell r="H173" t="str">
            <v>Nguyễn Ngọc Tuyên</v>
          </cell>
          <cell r="J173">
            <v>20</v>
          </cell>
          <cell r="M173">
            <v>0</v>
          </cell>
        </row>
        <row r="174">
          <cell r="H174" t="str">
            <v>Nguyễn Cao Phong</v>
          </cell>
          <cell r="J174">
            <v>20</v>
          </cell>
          <cell r="M174">
            <v>0</v>
          </cell>
        </row>
        <row r="175">
          <cell r="H175" t="str">
            <v>Mai Chiếm Tuấn</v>
          </cell>
          <cell r="J175">
            <v>20</v>
          </cell>
          <cell r="M175">
            <v>0</v>
          </cell>
        </row>
        <row r="176">
          <cell r="H176" t="str">
            <v>Đỗ Tuấn Việt</v>
          </cell>
          <cell r="J176">
            <v>20</v>
          </cell>
          <cell r="M176">
            <v>0</v>
          </cell>
        </row>
        <row r="177">
          <cell r="H177" t="str">
            <v>Trần Vĩnh Xuyên</v>
          </cell>
          <cell r="J177">
            <v>20</v>
          </cell>
          <cell r="M177">
            <v>0</v>
          </cell>
        </row>
        <row r="178">
          <cell r="H178" t="str">
            <v>Đào Lê Phương Anh</v>
          </cell>
          <cell r="J178">
            <v>20</v>
          </cell>
          <cell r="M178">
            <v>0</v>
          </cell>
        </row>
        <row r="179">
          <cell r="H179" t="str">
            <v>Nguyễn Duy Lộc</v>
          </cell>
          <cell r="J179">
            <v>20</v>
          </cell>
          <cell r="M179">
            <v>0</v>
          </cell>
        </row>
        <row r="180">
          <cell r="H180" t="str">
            <v>Chung Trần Thế Vinh</v>
          </cell>
          <cell r="J180">
            <v>24</v>
          </cell>
          <cell r="M180">
            <v>0</v>
          </cell>
        </row>
        <row r="181">
          <cell r="H181" t="str">
            <v>Đỗ Thị Phương Khanh</v>
          </cell>
          <cell r="J181">
            <v>20</v>
          </cell>
          <cell r="M181">
            <v>0</v>
          </cell>
        </row>
        <row r="182">
          <cell r="H182" t="str">
            <v>Trương Thị Phương Hồng</v>
          </cell>
          <cell r="J182">
            <v>20</v>
          </cell>
          <cell r="M182">
            <v>0</v>
          </cell>
        </row>
        <row r="183">
          <cell r="H183" t="str">
            <v>Dương Minh Chung</v>
          </cell>
          <cell r="J183">
            <v>20</v>
          </cell>
          <cell r="M183">
            <v>0</v>
          </cell>
        </row>
        <row r="184">
          <cell r="H184" t="str">
            <v>Phan Văn Thành</v>
          </cell>
          <cell r="J184">
            <v>20</v>
          </cell>
          <cell r="M184">
            <v>0</v>
          </cell>
        </row>
        <row r="185">
          <cell r="H185" t="str">
            <v>Vũ Đức Pháp</v>
          </cell>
          <cell r="J185">
            <v>20</v>
          </cell>
          <cell r="M185">
            <v>0</v>
          </cell>
        </row>
        <row r="186">
          <cell r="H186" t="str">
            <v>Vũ Quang Khải</v>
          </cell>
          <cell r="J186">
            <v>20</v>
          </cell>
          <cell r="M186">
            <v>0</v>
          </cell>
        </row>
        <row r="187">
          <cell r="H187" t="str">
            <v>Nguyễn Thanh Vũ</v>
          </cell>
          <cell r="J187">
            <v>20</v>
          </cell>
          <cell r="M187">
            <v>0</v>
          </cell>
        </row>
        <row r="188">
          <cell r="H188" t="str">
            <v>Phan Thị Xuân Trang</v>
          </cell>
          <cell r="J188">
            <v>20</v>
          </cell>
          <cell r="M188">
            <v>0</v>
          </cell>
        </row>
        <row r="189">
          <cell r="H189" t="str">
            <v>Trần Đình Khải</v>
          </cell>
          <cell r="J189">
            <v>20</v>
          </cell>
          <cell r="M189">
            <v>0</v>
          </cell>
        </row>
        <row r="190">
          <cell r="H190" t="str">
            <v>Lư Thị Yến Vũ</v>
          </cell>
          <cell r="J190">
            <v>20</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20</v>
          </cell>
          <cell r="M195">
            <v>0</v>
          </cell>
        </row>
        <row r="196">
          <cell r="H196" t="str">
            <v>Trần Thị Hương</v>
          </cell>
          <cell r="J196">
            <v>20</v>
          </cell>
          <cell r="M196">
            <v>0</v>
          </cell>
        </row>
        <row r="197">
          <cell r="H197" t="str">
            <v>Trần Minh Thông</v>
          </cell>
          <cell r="J197">
            <v>20</v>
          </cell>
          <cell r="M197">
            <v>0</v>
          </cell>
        </row>
        <row r="198">
          <cell r="H198" t="str">
            <v>Nguyễn Thanh Vĩnh Phúc</v>
          </cell>
          <cell r="J198">
            <v>20</v>
          </cell>
          <cell r="M198">
            <v>0</v>
          </cell>
        </row>
        <row r="199">
          <cell r="H199" t="str">
            <v>Võ Minh Quang</v>
          </cell>
          <cell r="J199">
            <v>20</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20</v>
          </cell>
          <cell r="M202">
            <v>0</v>
          </cell>
        </row>
        <row r="203">
          <cell r="H203" t="str">
            <v>Nguyễn Văn Sơn</v>
          </cell>
          <cell r="J203">
            <v>20</v>
          </cell>
          <cell r="M203">
            <v>0</v>
          </cell>
        </row>
        <row r="204">
          <cell r="H204" t="str">
            <v>Nguyễn Khắc Huy</v>
          </cell>
          <cell r="J204">
            <v>20</v>
          </cell>
          <cell r="M204">
            <v>0</v>
          </cell>
        </row>
        <row r="205">
          <cell r="H205" t="str">
            <v>Võ Hoài Sơn</v>
          </cell>
          <cell r="J205">
            <v>20</v>
          </cell>
          <cell r="M205">
            <v>0</v>
          </cell>
        </row>
        <row r="206">
          <cell r="H206" t="str">
            <v>Nguyễn Thị Xuân Chinh</v>
          </cell>
          <cell r="J206">
            <v>20</v>
          </cell>
          <cell r="M206">
            <v>0</v>
          </cell>
        </row>
        <row r="207">
          <cell r="H207" t="str">
            <v>Nguyễn Duy Tân</v>
          </cell>
          <cell r="J207">
            <v>20</v>
          </cell>
          <cell r="M207">
            <v>0</v>
          </cell>
        </row>
        <row r="208">
          <cell r="H208" t="str">
            <v>Nguyễn Ngọc Hiệp</v>
          </cell>
          <cell r="J208">
            <v>20</v>
          </cell>
          <cell r="M208">
            <v>0</v>
          </cell>
        </row>
        <row r="209">
          <cell r="H209" t="str">
            <v>Tạ Minh Cường</v>
          </cell>
          <cell r="J209">
            <v>20</v>
          </cell>
          <cell r="M209">
            <v>0</v>
          </cell>
        </row>
        <row r="210">
          <cell r="H210" t="str">
            <v>Phạm Minh Nghĩa</v>
          </cell>
          <cell r="J210">
            <v>20</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20</v>
          </cell>
          <cell r="M213">
            <v>0</v>
          </cell>
        </row>
        <row r="214">
          <cell r="H214" t="str">
            <v>Lê Thế Huân</v>
          </cell>
          <cell r="J214">
            <v>20</v>
          </cell>
          <cell r="M214">
            <v>0</v>
          </cell>
        </row>
        <row r="215">
          <cell r="H215" t="str">
            <v>Trần Trung Hiếu</v>
          </cell>
          <cell r="J215">
            <v>20</v>
          </cell>
          <cell r="M215">
            <v>0</v>
          </cell>
        </row>
        <row r="216">
          <cell r="H216" t="str">
            <v>Trần Nguyên Bảo Trân</v>
          </cell>
          <cell r="J216">
            <v>20</v>
          </cell>
          <cell r="M216">
            <v>0</v>
          </cell>
        </row>
        <row r="217">
          <cell r="H217" t="str">
            <v>Mạnh Lê Hoàn</v>
          </cell>
          <cell r="J217">
            <v>20</v>
          </cell>
          <cell r="M217">
            <v>0</v>
          </cell>
        </row>
        <row r="218">
          <cell r="H218" t="str">
            <v>Ngô Hoàng Anh</v>
          </cell>
          <cell r="J218">
            <v>20</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20</v>
          </cell>
          <cell r="M221">
            <v>0</v>
          </cell>
        </row>
        <row r="222">
          <cell r="H222" t="str">
            <v>Nguyễn Minh Đức Cường</v>
          </cell>
          <cell r="J222">
            <v>20</v>
          </cell>
          <cell r="M222">
            <v>0</v>
          </cell>
        </row>
        <row r="223">
          <cell r="H223" t="str">
            <v>Huỳnh Ngọc Mai</v>
          </cell>
          <cell r="J223">
            <v>20</v>
          </cell>
          <cell r="M223">
            <v>0</v>
          </cell>
        </row>
        <row r="224">
          <cell r="H224" t="str">
            <v>Nguyễn Hồng Đức</v>
          </cell>
          <cell r="J224">
            <v>20</v>
          </cell>
          <cell r="M224">
            <v>0</v>
          </cell>
        </row>
        <row r="225">
          <cell r="H225" t="str">
            <v>Trần Công Tiến</v>
          </cell>
          <cell r="J225">
            <v>20</v>
          </cell>
          <cell r="M225">
            <v>0</v>
          </cell>
        </row>
        <row r="226">
          <cell r="H226" t="str">
            <v>Nguyễn Trần Thanh Nhàn</v>
          </cell>
          <cell r="J226">
            <v>20</v>
          </cell>
          <cell r="M226">
            <v>0</v>
          </cell>
        </row>
        <row r="227">
          <cell r="H227" t="str">
            <v>Tăng Cẩm Huê</v>
          </cell>
          <cell r="J227">
            <v>20</v>
          </cell>
          <cell r="M227">
            <v>0</v>
          </cell>
        </row>
        <row r="228">
          <cell r="H228" t="str">
            <v>Trần Hiếu Trinh</v>
          </cell>
          <cell r="J228">
            <v>20</v>
          </cell>
          <cell r="M228">
            <v>0</v>
          </cell>
        </row>
        <row r="229">
          <cell r="H229" t="str">
            <v>Nguyễn Thị Tố Nga</v>
          </cell>
          <cell r="J229">
            <v>20</v>
          </cell>
          <cell r="M229">
            <v>0</v>
          </cell>
        </row>
        <row r="230">
          <cell r="H230" t="str">
            <v>Đặng Đức Minh</v>
          </cell>
          <cell r="J230">
            <v>20</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20</v>
          </cell>
          <cell r="M233">
            <v>0</v>
          </cell>
        </row>
        <row r="234">
          <cell r="H234" t="str">
            <v>Trần Nam Anh</v>
          </cell>
          <cell r="J234">
            <v>20</v>
          </cell>
          <cell r="M234">
            <v>0</v>
          </cell>
        </row>
        <row r="235">
          <cell r="H235" t="str">
            <v>Trần Giang Nam</v>
          </cell>
          <cell r="J235">
            <v>20</v>
          </cell>
          <cell r="M235">
            <v>0</v>
          </cell>
        </row>
        <row r="236">
          <cell r="H236" t="str">
            <v>Phan Thanh Hoàng</v>
          </cell>
          <cell r="J236">
            <v>20</v>
          </cell>
          <cell r="M236">
            <v>0</v>
          </cell>
        </row>
        <row r="237">
          <cell r="H237" t="str">
            <v>Huỳnh Duy An</v>
          </cell>
          <cell r="J237">
            <v>20</v>
          </cell>
          <cell r="M237">
            <v>0</v>
          </cell>
        </row>
        <row r="238">
          <cell r="H238" t="str">
            <v>Nguyễn Khương Thành</v>
          </cell>
          <cell r="J238">
            <v>20</v>
          </cell>
          <cell r="M238">
            <v>0</v>
          </cell>
        </row>
        <row r="239">
          <cell r="H239" t="str">
            <v>Nguyễn Anh Tuấn</v>
          </cell>
          <cell r="J239">
            <v>20</v>
          </cell>
          <cell r="M239">
            <v>0</v>
          </cell>
        </row>
        <row r="240">
          <cell r="H240" t="str">
            <v>Võ Đắc Thịnh</v>
          </cell>
          <cell r="J240">
            <v>20</v>
          </cell>
          <cell r="M240">
            <v>0</v>
          </cell>
        </row>
        <row r="241">
          <cell r="H241" t="str">
            <v>Nguyễn Hữu Mạnh</v>
          </cell>
          <cell r="J241">
            <v>20</v>
          </cell>
          <cell r="M241">
            <v>0</v>
          </cell>
        </row>
        <row r="242">
          <cell r="H242" t="str">
            <v>Phan Anh Tuấn Kiệt</v>
          </cell>
          <cell r="J242">
            <v>20</v>
          </cell>
          <cell r="M242">
            <v>0</v>
          </cell>
        </row>
        <row r="243">
          <cell r="H243" t="str">
            <v>Triệu Phú Nguyên</v>
          </cell>
          <cell r="J243">
            <v>20</v>
          </cell>
          <cell r="M243">
            <v>0</v>
          </cell>
        </row>
        <row r="244">
          <cell r="H244" t="str">
            <v>Nguyễn Thành Đức</v>
          </cell>
          <cell r="J244">
            <v>20</v>
          </cell>
          <cell r="M244">
            <v>0</v>
          </cell>
        </row>
        <row r="245">
          <cell r="H245" t="str">
            <v>Nguyễn Minh Thái</v>
          </cell>
          <cell r="J245">
            <v>20</v>
          </cell>
          <cell r="M245">
            <v>0</v>
          </cell>
        </row>
        <row r="246">
          <cell r="H246" t="str">
            <v>Đặng Thái Sơn</v>
          </cell>
          <cell r="J246">
            <v>20</v>
          </cell>
          <cell r="M246">
            <v>0</v>
          </cell>
        </row>
        <row r="247">
          <cell r="H247" t="str">
            <v>Nguyễn Thái Bình</v>
          </cell>
          <cell r="J247">
            <v>20</v>
          </cell>
          <cell r="M247">
            <v>0</v>
          </cell>
        </row>
        <row r="248">
          <cell r="H248" t="str">
            <v>Kiều Trung Tín</v>
          </cell>
          <cell r="J248">
            <v>20</v>
          </cell>
          <cell r="M248">
            <v>0</v>
          </cell>
        </row>
        <row r="249">
          <cell r="H249" t="str">
            <v>Trần Quốc Duy</v>
          </cell>
          <cell r="J249">
            <v>20</v>
          </cell>
          <cell r="M249">
            <v>0</v>
          </cell>
        </row>
        <row r="250">
          <cell r="H250" t="str">
            <v>Hồ Văn Hóa</v>
          </cell>
          <cell r="J250">
            <v>20</v>
          </cell>
          <cell r="M250">
            <v>0</v>
          </cell>
        </row>
        <row r="251">
          <cell r="H251" t="str">
            <v>Nguyễn Thanh Hùng</v>
          </cell>
          <cell r="J251">
            <v>20</v>
          </cell>
          <cell r="M251">
            <v>0</v>
          </cell>
        </row>
        <row r="252">
          <cell r="H252" t="str">
            <v>Hà Quốc Bảo</v>
          </cell>
          <cell r="J252">
            <v>20</v>
          </cell>
          <cell r="M252">
            <v>0</v>
          </cell>
        </row>
        <row r="253">
          <cell r="H253" t="str">
            <v>Hoàng Phúc Bảo</v>
          </cell>
          <cell r="J253">
            <v>20</v>
          </cell>
          <cell r="M253">
            <v>0</v>
          </cell>
        </row>
        <row r="254">
          <cell r="H254" t="str">
            <v>Nguyễn Lương Tâm</v>
          </cell>
          <cell r="J254">
            <v>20</v>
          </cell>
          <cell r="M254">
            <v>0</v>
          </cell>
        </row>
        <row r="255">
          <cell r="H255" t="str">
            <v>Trần Thế Sơn</v>
          </cell>
          <cell r="J255">
            <v>20</v>
          </cell>
          <cell r="M255">
            <v>0</v>
          </cell>
        </row>
        <row r="256">
          <cell r="H256" t="str">
            <v>Trần Văn Đông</v>
          </cell>
          <cell r="J256">
            <v>20</v>
          </cell>
          <cell r="M256">
            <v>0</v>
          </cell>
        </row>
        <row r="257">
          <cell r="H257" t="str">
            <v>Lý Văn Trung</v>
          </cell>
          <cell r="J257">
            <v>20</v>
          </cell>
          <cell r="M257">
            <v>0</v>
          </cell>
        </row>
        <row r="258">
          <cell r="H258" t="str">
            <v>Nguyễn Hoàng Vinh</v>
          </cell>
          <cell r="J258">
            <v>20</v>
          </cell>
          <cell r="M258">
            <v>0</v>
          </cell>
        </row>
        <row r="259">
          <cell r="H259" t="str">
            <v>Bùi Trọng Tân</v>
          </cell>
          <cell r="J259">
            <v>20</v>
          </cell>
          <cell r="M259">
            <v>0</v>
          </cell>
        </row>
        <row r="260">
          <cell r="H260" t="str">
            <v>Võ Quốc Duy</v>
          </cell>
          <cell r="J260">
            <v>20</v>
          </cell>
          <cell r="M260">
            <v>0</v>
          </cell>
        </row>
        <row r="261">
          <cell r="H261" t="str">
            <v>Giang Văn Tiến</v>
          </cell>
          <cell r="J261">
            <v>20</v>
          </cell>
          <cell r="M261">
            <v>0</v>
          </cell>
        </row>
        <row r="262">
          <cell r="H262" t="str">
            <v>Nguyễn Hữu Lương</v>
          </cell>
          <cell r="J262">
            <v>20</v>
          </cell>
          <cell r="M262">
            <v>0</v>
          </cell>
        </row>
        <row r="263">
          <cell r="H263" t="str">
            <v>Huỳnh Đình Văn</v>
          </cell>
          <cell r="J263">
            <v>20</v>
          </cell>
          <cell r="M263">
            <v>0</v>
          </cell>
        </row>
        <row r="264">
          <cell r="H264" t="str">
            <v>Phạm Quang Vũ</v>
          </cell>
          <cell r="J264">
            <v>20</v>
          </cell>
          <cell r="M264">
            <v>0</v>
          </cell>
        </row>
        <row r="265">
          <cell r="H265" t="str">
            <v>Trình Minh Phong</v>
          </cell>
          <cell r="J265">
            <v>20</v>
          </cell>
          <cell r="M265">
            <v>0</v>
          </cell>
        </row>
        <row r="266">
          <cell r="H266" t="str">
            <v>Trần Ngọc Tuấn</v>
          </cell>
          <cell r="J266">
            <v>20</v>
          </cell>
          <cell r="M266">
            <v>0</v>
          </cell>
        </row>
        <row r="267">
          <cell r="H267" t="str">
            <v>Đinh Đồng Hiệp</v>
          </cell>
          <cell r="J267">
            <v>20</v>
          </cell>
          <cell r="M267">
            <v>0</v>
          </cell>
        </row>
        <row r="268">
          <cell r="H268" t="str">
            <v>Đặng Thế Huân</v>
          </cell>
          <cell r="J268">
            <v>20</v>
          </cell>
          <cell r="M268">
            <v>0</v>
          </cell>
        </row>
        <row r="269">
          <cell r="H269" t="str">
            <v>Võ Anh Hào</v>
          </cell>
          <cell r="J269">
            <v>20</v>
          </cell>
          <cell r="M269">
            <v>0</v>
          </cell>
        </row>
        <row r="270">
          <cell r="H270" t="str">
            <v>Phan Văn Hòa</v>
          </cell>
          <cell r="J270">
            <v>20</v>
          </cell>
          <cell r="M270">
            <v>0</v>
          </cell>
        </row>
        <row r="271">
          <cell r="H271" t="str">
            <v>Trần Đình Khoa</v>
          </cell>
          <cell r="J271">
            <v>20</v>
          </cell>
          <cell r="M271">
            <v>0</v>
          </cell>
        </row>
        <row r="272">
          <cell r="H272" t="str">
            <v>Đỗ Trọng Quý</v>
          </cell>
          <cell r="J272">
            <v>20</v>
          </cell>
          <cell r="M272">
            <v>0</v>
          </cell>
        </row>
        <row r="273">
          <cell r="H273" t="str">
            <v>Nguyễn Vũ Xuân Thì</v>
          </cell>
          <cell r="J273">
            <v>20</v>
          </cell>
          <cell r="M273">
            <v>0</v>
          </cell>
        </row>
        <row r="274">
          <cell r="H274" t="str">
            <v>Hoàng Văn Viết</v>
          </cell>
          <cell r="J274">
            <v>20</v>
          </cell>
          <cell r="M274">
            <v>0</v>
          </cell>
        </row>
        <row r="275">
          <cell r="H275" t="str">
            <v>Nguyễn Thanh Dũng</v>
          </cell>
          <cell r="J275">
            <v>20</v>
          </cell>
          <cell r="M275">
            <v>0</v>
          </cell>
        </row>
        <row r="276">
          <cell r="H276">
            <v>0</v>
          </cell>
          <cell r="J276">
            <v>5451.5</v>
          </cell>
          <cell r="M276">
            <v>0</v>
          </cell>
        </row>
      </sheetData>
      <sheetData sheetId="1"/>
      <sheetData sheetId="2">
        <row r="10">
          <cell r="H10" t="str">
            <v>Đồng Anh Tuấn</v>
          </cell>
          <cell r="J10">
            <v>25</v>
          </cell>
          <cell r="M10">
            <v>0</v>
          </cell>
        </row>
        <row r="11">
          <cell r="H11" t="str">
            <v>Lê Hồng Sơn</v>
          </cell>
          <cell r="J11">
            <v>25</v>
          </cell>
          <cell r="M11">
            <v>0</v>
          </cell>
        </row>
        <row r="12">
          <cell r="H12" t="str">
            <v>Nguyễn Thanh Hiền</v>
          </cell>
          <cell r="J12">
            <v>25</v>
          </cell>
          <cell r="M12">
            <v>0</v>
          </cell>
        </row>
        <row r="13">
          <cell r="H13" t="str">
            <v>Lê Hồng Phúc</v>
          </cell>
          <cell r="J13">
            <v>25</v>
          </cell>
          <cell r="M13">
            <v>0</v>
          </cell>
        </row>
        <row r="14">
          <cell r="H14" t="str">
            <v>Phạm Hữu Tấn</v>
          </cell>
          <cell r="J14">
            <v>25</v>
          </cell>
          <cell r="M14">
            <v>0</v>
          </cell>
        </row>
        <row r="15">
          <cell r="H15" t="str">
            <v>Nguyễn Hữu Xuân Vũ</v>
          </cell>
          <cell r="J15">
            <v>21</v>
          </cell>
          <cell r="M15" t="str">
            <v>Trừ 4 ngày nghỉ phép NH 1 - 4/6</v>
          </cell>
        </row>
        <row r="16">
          <cell r="H16" t="str">
            <v>Phạm Hữu Thành Phú</v>
          </cell>
          <cell r="J16">
            <v>25</v>
          </cell>
          <cell r="M16">
            <v>0</v>
          </cell>
        </row>
        <row r="17">
          <cell r="H17" t="str">
            <v>Huỳnh Thanh Nhàn</v>
          </cell>
          <cell r="J17">
            <v>24</v>
          </cell>
          <cell r="M17" t="str">
            <v>Trừ 1 ngày nghỉ phép 21/6</v>
          </cell>
        </row>
        <row r="18">
          <cell r="H18" t="str">
            <v>Phạm Quang Tùng</v>
          </cell>
          <cell r="J18">
            <v>25</v>
          </cell>
          <cell r="M18">
            <v>0</v>
          </cell>
        </row>
        <row r="19">
          <cell r="H19" t="str">
            <v>Trần Thanh Cường</v>
          </cell>
          <cell r="J19">
            <v>26</v>
          </cell>
          <cell r="M19">
            <v>0</v>
          </cell>
        </row>
        <row r="20">
          <cell r="H20" t="str">
            <v>Dương Văn Tâm</v>
          </cell>
          <cell r="J20">
            <v>29</v>
          </cell>
          <cell r="M20">
            <v>0</v>
          </cell>
        </row>
        <row r="21">
          <cell r="H21" t="str">
            <v>Huỳnh Ngọc Liên</v>
          </cell>
          <cell r="J21">
            <v>24</v>
          </cell>
          <cell r="M21" t="str">
            <v>Trừ 1 ngày nghỉ phép 8/6</v>
          </cell>
        </row>
        <row r="22">
          <cell r="H22" t="str">
            <v>Huỳnh Thị Xuân Mai</v>
          </cell>
          <cell r="J22">
            <v>25</v>
          </cell>
          <cell r="M22">
            <v>0</v>
          </cell>
        </row>
        <row r="23">
          <cell r="H23" t="str">
            <v>Trần Văn Cu Anh</v>
          </cell>
          <cell r="J23">
            <v>26</v>
          </cell>
          <cell r="M23">
            <v>0</v>
          </cell>
        </row>
        <row r="24">
          <cell r="H24" t="str">
            <v>Vũ Anh Hiếu</v>
          </cell>
          <cell r="J24">
            <v>25</v>
          </cell>
          <cell r="M24">
            <v>0</v>
          </cell>
        </row>
        <row r="25">
          <cell r="H25" t="str">
            <v>Dương Thị Thủy</v>
          </cell>
          <cell r="J25">
            <v>25</v>
          </cell>
          <cell r="M25">
            <v>0</v>
          </cell>
        </row>
        <row r="26">
          <cell r="H26" t="str">
            <v>Tạ Quốc Tấn</v>
          </cell>
          <cell r="J26">
            <v>25</v>
          </cell>
          <cell r="M26">
            <v>0</v>
          </cell>
        </row>
        <row r="27">
          <cell r="H27" t="str">
            <v>Huỳnh Bá Triết</v>
          </cell>
          <cell r="J27">
            <v>23</v>
          </cell>
          <cell r="M27" t="str">
            <v>Trừ 2 ngày nghỉ chế độ cưới 1+3/6</v>
          </cell>
        </row>
        <row r="28">
          <cell r="H28" t="str">
            <v>Giáp Đức Nhận</v>
          </cell>
          <cell r="J28">
            <v>25</v>
          </cell>
          <cell r="M28">
            <v>0</v>
          </cell>
        </row>
        <row r="29">
          <cell r="H29" t="str">
            <v>Trần Thị Thu</v>
          </cell>
          <cell r="J29">
            <v>25</v>
          </cell>
          <cell r="M29">
            <v>0</v>
          </cell>
        </row>
        <row r="30">
          <cell r="H30" t="str">
            <v>Đỗ Thị Bích Thủy</v>
          </cell>
          <cell r="J30">
            <v>25</v>
          </cell>
          <cell r="M30">
            <v>0</v>
          </cell>
        </row>
        <row r="31">
          <cell r="H31" t="str">
            <v>Trịnh Tuấn Vũ</v>
          </cell>
          <cell r="J31">
            <v>24</v>
          </cell>
          <cell r="M31">
            <v>0</v>
          </cell>
        </row>
        <row r="32">
          <cell r="H32" t="str">
            <v>Võ Thị Tuyết</v>
          </cell>
          <cell r="J32">
            <v>24</v>
          </cell>
          <cell r="M32" t="str">
            <v>Trừ 2 ngày nghỉ phép 26+27/6</v>
          </cell>
        </row>
        <row r="33">
          <cell r="H33" t="str">
            <v>Trần Kim Tươi</v>
          </cell>
          <cell r="J33">
            <v>25</v>
          </cell>
          <cell r="M33">
            <v>0</v>
          </cell>
        </row>
        <row r="34">
          <cell r="H34" t="str">
            <v>Trương Thị Định</v>
          </cell>
          <cell r="J34">
            <v>25</v>
          </cell>
          <cell r="M34">
            <v>0</v>
          </cell>
        </row>
        <row r="35">
          <cell r="H35" t="str">
            <v>Trương Thị Bắc</v>
          </cell>
          <cell r="J35">
            <v>25</v>
          </cell>
          <cell r="M35">
            <v>0</v>
          </cell>
        </row>
        <row r="36">
          <cell r="H36" t="str">
            <v>Võ Tấn Đức</v>
          </cell>
          <cell r="J36">
            <v>25</v>
          </cell>
          <cell r="M36">
            <v>0</v>
          </cell>
        </row>
        <row r="37">
          <cell r="H37" t="str">
            <v>Ngô Ngọc Của</v>
          </cell>
          <cell r="J37">
            <v>25</v>
          </cell>
          <cell r="M37" t="str">
            <v>Trừ 1 ngày nghỉ phép 8/6</v>
          </cell>
        </row>
        <row r="38">
          <cell r="H38" t="str">
            <v>Phạm Thị Hoàng Diễm</v>
          </cell>
          <cell r="J38">
            <v>26</v>
          </cell>
          <cell r="M38">
            <v>0</v>
          </cell>
        </row>
        <row r="39">
          <cell r="H39" t="str">
            <v>Nguyễn Văn Hiển</v>
          </cell>
          <cell r="J39">
            <v>25</v>
          </cell>
          <cell r="M39">
            <v>0</v>
          </cell>
        </row>
        <row r="40">
          <cell r="H40" t="str">
            <v>Trần Thanh Phương</v>
          </cell>
          <cell r="J40">
            <v>25</v>
          </cell>
          <cell r="M40">
            <v>0</v>
          </cell>
        </row>
        <row r="41">
          <cell r="H41" t="str">
            <v>Lâm Võ Hữu Duy</v>
          </cell>
          <cell r="J41">
            <v>25</v>
          </cell>
          <cell r="M41" t="str">
            <v>Cộng 13 ngày đi công tác tại đảo Phú Quý</v>
          </cell>
        </row>
        <row r="42">
          <cell r="H42" t="str">
            <v>Võ Lạc Tân</v>
          </cell>
          <cell r="J42">
            <v>18</v>
          </cell>
          <cell r="M42" t="str">
            <v>Hợp đồng mới từ 10/6/2024</v>
          </cell>
        </row>
        <row r="43">
          <cell r="H43" t="str">
            <v>Lê Thị Huyền</v>
          </cell>
          <cell r="J43">
            <v>17</v>
          </cell>
          <cell r="M43" t="str">
            <v>Trừ 8 ngày nghỉ phép NH từ 10 đến 18/6/2024</v>
          </cell>
        </row>
        <row r="44">
          <cell r="H44" t="str">
            <v>Trần Thị Thảo Vân</v>
          </cell>
          <cell r="J44">
            <v>24</v>
          </cell>
          <cell r="M44" t="str">
            <v>Trừ 1 ngày nghỉ phép 27/6</v>
          </cell>
        </row>
        <row r="45">
          <cell r="H45" t="str">
            <v>Nguyễn Thụy Nghiêm</v>
          </cell>
          <cell r="J45">
            <v>23</v>
          </cell>
          <cell r="M45" t="str">
            <v>Trừ 2 ngày nghỉ phép 10+21/6</v>
          </cell>
        </row>
        <row r="46">
          <cell r="H46" t="str">
            <v>Huỳnh Như Ý</v>
          </cell>
          <cell r="J46">
            <v>25</v>
          </cell>
          <cell r="M46">
            <v>0</v>
          </cell>
        </row>
        <row r="47">
          <cell r="H47" t="str">
            <v>Nguyễn Chiến Thắng</v>
          </cell>
          <cell r="J47">
            <v>25</v>
          </cell>
          <cell r="M47">
            <v>0</v>
          </cell>
        </row>
        <row r="48">
          <cell r="H48" t="str">
            <v>Huỳnh Văn Hiếu</v>
          </cell>
          <cell r="J48">
            <v>25</v>
          </cell>
          <cell r="M48">
            <v>0</v>
          </cell>
        </row>
        <row r="49">
          <cell r="H49" t="str">
            <v>Trần Anh Mỹ</v>
          </cell>
          <cell r="J49">
            <v>23</v>
          </cell>
          <cell r="M49" t="str">
            <v>Trừ 2 ngày nghỉ phép 28+29/6</v>
          </cell>
        </row>
        <row r="50">
          <cell r="H50" t="str">
            <v>Nguyễn Trung Dũng</v>
          </cell>
          <cell r="J50">
            <v>25</v>
          </cell>
          <cell r="M50">
            <v>0</v>
          </cell>
        </row>
        <row r="51">
          <cell r="H51" t="str">
            <v>Phạm Huy Hoàng</v>
          </cell>
          <cell r="J51">
            <v>24</v>
          </cell>
          <cell r="M51">
            <v>0</v>
          </cell>
        </row>
        <row r="52">
          <cell r="H52" t="str">
            <v>Bùi Đức Phước</v>
          </cell>
          <cell r="J52">
            <v>24</v>
          </cell>
          <cell r="M52" t="str">
            <v>Trừ 1 ngày nghỉ phép 6/6</v>
          </cell>
        </row>
        <row r="53">
          <cell r="H53" t="str">
            <v>Nguyễn Thị Thảo</v>
          </cell>
          <cell r="J53">
            <v>24</v>
          </cell>
          <cell r="M53" t="str">
            <v>Trừ 1 ngày nghỉ phép 4/6</v>
          </cell>
        </row>
        <row r="54">
          <cell r="H54" t="str">
            <v>Lưu Hoàng Bảo Châu</v>
          </cell>
          <cell r="J54">
            <v>25</v>
          </cell>
          <cell r="M54">
            <v>0</v>
          </cell>
        </row>
        <row r="55">
          <cell r="H55" t="str">
            <v>Trần Việt Anh</v>
          </cell>
          <cell r="J55">
            <v>25</v>
          </cell>
          <cell r="M55">
            <v>0</v>
          </cell>
        </row>
        <row r="56">
          <cell r="H56" t="str">
            <v>Phạm Huỳnh Kim Ngân</v>
          </cell>
          <cell r="J56">
            <v>25</v>
          </cell>
          <cell r="M56">
            <v>0</v>
          </cell>
        </row>
        <row r="57">
          <cell r="H57" t="str">
            <v>Nguyễn Đan Trường</v>
          </cell>
          <cell r="J57">
            <v>25</v>
          </cell>
          <cell r="M57">
            <v>0</v>
          </cell>
        </row>
        <row r="58">
          <cell r="H58" t="str">
            <v>Lương Công Phi</v>
          </cell>
          <cell r="J58">
            <v>24</v>
          </cell>
          <cell r="M58" t="str">
            <v>Trừ 1 ngày nghỉ phép 29/6</v>
          </cell>
        </row>
        <row r="59">
          <cell r="H59" t="str">
            <v>Nguyễn Yến Nhi</v>
          </cell>
          <cell r="J59">
            <v>25</v>
          </cell>
          <cell r="M59">
            <v>0</v>
          </cell>
        </row>
        <row r="60">
          <cell r="H60" t="str">
            <v>Nguyễn Khắc Huân</v>
          </cell>
          <cell r="J60">
            <v>24</v>
          </cell>
          <cell r="M60">
            <v>0</v>
          </cell>
        </row>
        <row r="61">
          <cell r="H61" t="str">
            <v>Nguyễn Thị Trang</v>
          </cell>
          <cell r="J61">
            <v>20</v>
          </cell>
          <cell r="M61" t="str">
            <v>Trừ 5 ngày nghỉ phép NH 3 đến 7/6</v>
          </cell>
        </row>
        <row r="62">
          <cell r="H62" t="str">
            <v>Lư Diễm Phúc</v>
          </cell>
          <cell r="J62">
            <v>25</v>
          </cell>
          <cell r="M62">
            <v>0</v>
          </cell>
        </row>
        <row r="63">
          <cell r="H63" t="str">
            <v>Hà Thị Hậu</v>
          </cell>
          <cell r="J63">
            <v>23</v>
          </cell>
          <cell r="M63" t="str">
            <v>Trừ 2 ngày nghỉ phép 8+10/6</v>
          </cell>
        </row>
        <row r="64">
          <cell r="H64" t="str">
            <v>Lê Tiến Dũng</v>
          </cell>
          <cell r="J64">
            <v>24</v>
          </cell>
          <cell r="M64" t="str">
            <v>Trừ 1 ngày nghỉ phép 10/6</v>
          </cell>
        </row>
        <row r="65">
          <cell r="H65" t="str">
            <v>Lê Trần Thanh Nga</v>
          </cell>
          <cell r="J65">
            <v>25</v>
          </cell>
          <cell r="M65">
            <v>0</v>
          </cell>
        </row>
        <row r="66">
          <cell r="H66" t="str">
            <v>Nguyễn Việt Tiến</v>
          </cell>
          <cell r="J66">
            <v>26</v>
          </cell>
          <cell r="M66">
            <v>0</v>
          </cell>
        </row>
        <row r="67">
          <cell r="H67" t="str">
            <v>Nguyễn Thị Tất</v>
          </cell>
          <cell r="J67">
            <v>25</v>
          </cell>
          <cell r="M67">
            <v>0</v>
          </cell>
        </row>
        <row r="68">
          <cell r="H68" t="str">
            <v>Sỹ Thị Chung</v>
          </cell>
          <cell r="J68">
            <v>25</v>
          </cell>
          <cell r="M68">
            <v>0</v>
          </cell>
        </row>
        <row r="69">
          <cell r="H69" t="str">
            <v>Nguyễn Thị Nhung</v>
          </cell>
          <cell r="J69">
            <v>25</v>
          </cell>
          <cell r="M69">
            <v>0</v>
          </cell>
        </row>
        <row r="70">
          <cell r="H70" t="str">
            <v>Trần Nhật Thịnh</v>
          </cell>
          <cell r="J70">
            <v>25</v>
          </cell>
          <cell r="M70">
            <v>0</v>
          </cell>
        </row>
        <row r="71">
          <cell r="H71" t="str">
            <v>Đỗ Công Thành</v>
          </cell>
          <cell r="J71">
            <v>30</v>
          </cell>
          <cell r="M71">
            <v>0</v>
          </cell>
        </row>
        <row r="72">
          <cell r="H72" t="str">
            <v>Lương Thị Thắm</v>
          </cell>
          <cell r="J72">
            <v>25</v>
          </cell>
          <cell r="M72">
            <v>0</v>
          </cell>
        </row>
        <row r="73">
          <cell r="H73" t="str">
            <v>Nguyễn Xuân Lợi</v>
          </cell>
          <cell r="J73">
            <v>25</v>
          </cell>
          <cell r="M73">
            <v>0</v>
          </cell>
        </row>
        <row r="74">
          <cell r="H74" t="str">
            <v>Nguyễn Hoàng Hải</v>
          </cell>
          <cell r="J74">
            <v>25</v>
          </cell>
          <cell r="M74">
            <v>0</v>
          </cell>
        </row>
        <row r="75">
          <cell r="H75">
            <v>0</v>
          </cell>
          <cell r="J75">
            <v>1595</v>
          </cell>
          <cell r="M75">
            <v>0</v>
          </cell>
        </row>
        <row r="76">
          <cell r="J76">
            <v>0</v>
          </cell>
          <cell r="M76">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E11" t="str">
            <v>A1</v>
          </cell>
        </row>
        <row r="12">
          <cell r="B12" t="str">
            <v>Đinh Hồng Minh</v>
          </cell>
          <cell r="E12" t="str">
            <v>A1</v>
          </cell>
        </row>
        <row r="13">
          <cell r="B13" t="str">
            <v>Đinh Văn Đệ</v>
          </cell>
          <cell r="E13" t="str">
            <v>A1</v>
          </cell>
        </row>
        <row r="14">
          <cell r="B14" t="str">
            <v>Châu Văn Bảo</v>
          </cell>
          <cell r="E14" t="str">
            <v>A1</v>
          </cell>
        </row>
        <row r="15">
          <cell r="B15" t="str">
            <v>PHÒNG KẾ HOẠCH - TÀI CHÍNH</v>
          </cell>
          <cell r="E15">
            <v>9</v>
          </cell>
        </row>
        <row r="16">
          <cell r="B16" t="str">
            <v>Viên chức</v>
          </cell>
          <cell r="E16">
            <v>5</v>
          </cell>
        </row>
        <row r="17">
          <cell r="B17" t="str">
            <v>Nguyễn Kính</v>
          </cell>
          <cell r="E17" t="str">
            <v>A1</v>
          </cell>
        </row>
        <row r="18">
          <cell r="B18" t="str">
            <v>Hồng Mộng Tuyết Dung</v>
          </cell>
          <cell r="E18" t="str">
            <v>A1</v>
          </cell>
        </row>
        <row r="19">
          <cell r="B19" t="str">
            <v>Trần Thị Minh Thoa</v>
          </cell>
          <cell r="E19" t="str">
            <v>A1</v>
          </cell>
        </row>
        <row r="20">
          <cell r="B20" t="str">
            <v>Võ Thị Lệ Trân</v>
          </cell>
          <cell r="E20" t="str">
            <v>A1</v>
          </cell>
        </row>
        <row r="21">
          <cell r="B21" t="str">
            <v>Nguyễn Thị Hồng Thắm</v>
          </cell>
          <cell r="E21" t="str">
            <v>A2</v>
          </cell>
        </row>
        <row r="22">
          <cell r="B22" t="str">
            <v>Hợp đồng trường</v>
          </cell>
          <cell r="E22">
            <v>4</v>
          </cell>
        </row>
        <row r="23">
          <cell r="B23" t="str">
            <v>Trần Thị Thảo Vân</v>
          </cell>
          <cell r="E23" t="str">
            <v>A3</v>
          </cell>
        </row>
        <row r="24">
          <cell r="B24" t="str">
            <v>Nguyễn Thụy Nghiêm</v>
          </cell>
          <cell r="E24" t="str">
            <v>A2</v>
          </cell>
        </row>
        <row r="25">
          <cell r="B25" t="str">
            <v>Huỳnh Như Ý</v>
          </cell>
          <cell r="E25" t="str">
            <v>A2</v>
          </cell>
        </row>
        <row r="26">
          <cell r="B26" t="str">
            <v>Nguyễn Chiến Thắng</v>
          </cell>
          <cell r="E26" t="str">
            <v>A2</v>
          </cell>
        </row>
        <row r="27">
          <cell r="B27" t="str">
            <v>PHÒNG TUYỂN SINH - ĐÀO TẠO</v>
          </cell>
          <cell r="E27">
            <v>16</v>
          </cell>
        </row>
        <row r="28">
          <cell r="B28" t="str">
            <v>Viên chức</v>
          </cell>
          <cell r="E28">
            <v>10</v>
          </cell>
        </row>
        <row r="29">
          <cell r="B29" t="str">
            <v>Nguyễn Thành Nam</v>
          </cell>
          <cell r="E29" t="str">
            <v>A1</v>
          </cell>
        </row>
        <row r="30">
          <cell r="B30" t="str">
            <v>Quách Minh Thử</v>
          </cell>
          <cell r="E30" t="str">
            <v>A2</v>
          </cell>
        </row>
        <row r="31">
          <cell r="B31" t="str">
            <v>Nguyễn Thị Thùy</v>
          </cell>
          <cell r="E31" t="str">
            <v>A1</v>
          </cell>
        </row>
        <row r="32">
          <cell r="B32" t="str">
            <v>Võ Thị Xuân Thơ</v>
          </cell>
          <cell r="E32" t="str">
            <v>A3</v>
          </cell>
        </row>
        <row r="33">
          <cell r="B33" t="str">
            <v>Nguyễn Thị Thanh Thảo</v>
          </cell>
          <cell r="E33" t="str">
            <v>A2</v>
          </cell>
        </row>
        <row r="34">
          <cell r="B34" t="str">
            <v>Huỳnh Thị Cẩm Hoa</v>
          </cell>
          <cell r="E34" t="str">
            <v>A2</v>
          </cell>
        </row>
        <row r="35">
          <cell r="B35" t="str">
            <v>Giáp Thị Vượng</v>
          </cell>
          <cell r="E35" t="str">
            <v>A3</v>
          </cell>
        </row>
        <row r="36">
          <cell r="B36" t="str">
            <v>Thái Thị My Sa</v>
          </cell>
          <cell r="E36" t="str">
            <v>A2</v>
          </cell>
        </row>
        <row r="37">
          <cell r="B37" t="str">
            <v>Nguyễn Thị Hải Hà</v>
          </cell>
          <cell r="E37" t="str">
            <v>A3</v>
          </cell>
        </row>
        <row r="38">
          <cell r="B38" t="str">
            <v>Nguyễn Thị Ngọc Anh</v>
          </cell>
          <cell r="E38" t="str">
            <v>A3</v>
          </cell>
        </row>
        <row r="39">
          <cell r="B39" t="str">
            <v>Hợp đồng trường</v>
          </cell>
          <cell r="E39">
            <v>6</v>
          </cell>
        </row>
        <row r="40">
          <cell r="B40" t="str">
            <v>Trần Nhật Thịnh</v>
          </cell>
          <cell r="E40" t="str">
            <v>A1</v>
          </cell>
        </row>
        <row r="41">
          <cell r="B41" t="str">
            <v>Sỹ Thị Chung</v>
          </cell>
          <cell r="E41" t="str">
            <v>A2</v>
          </cell>
        </row>
        <row r="42">
          <cell r="B42" t="str">
            <v>Nguyễn Thị Tất</v>
          </cell>
          <cell r="E42" t="str">
            <v>A3</v>
          </cell>
        </row>
        <row r="43">
          <cell r="B43" t="str">
            <v>Nguyễn Thị Nhung</v>
          </cell>
          <cell r="E43" t="str">
            <v>A2</v>
          </cell>
        </row>
        <row r="44">
          <cell r="B44" t="str">
            <v>Võ Thị Mỹ Ngọc</v>
          </cell>
          <cell r="E44" t="str">
            <v>A4</v>
          </cell>
        </row>
        <row r="45">
          <cell r="B45" t="str">
            <v>Nguyễn Việt Tiến</v>
          </cell>
          <cell r="E45" t="str">
            <v>A1</v>
          </cell>
        </row>
        <row r="46">
          <cell r="B46" t="str">
            <v>P. TỔ CHỨC - HÀNH CHÍNH - TỔNG HỢP</v>
          </cell>
          <cell r="E46">
            <v>25</v>
          </cell>
        </row>
        <row r="47">
          <cell r="B47" t="str">
            <v xml:space="preserve">Viên chức </v>
          </cell>
          <cell r="E47">
            <v>11</v>
          </cell>
        </row>
        <row r="48">
          <cell r="B48" t="str">
            <v>Lâm Viết Dũng</v>
          </cell>
          <cell r="E48" t="str">
            <v>A1</v>
          </cell>
        </row>
        <row r="49">
          <cell r="B49" t="str">
            <v>Lưu Hoàng Hải Yến</v>
          </cell>
          <cell r="E49" t="str">
            <v>A1</v>
          </cell>
        </row>
        <row r="50">
          <cell r="B50" t="str">
            <v>Huỳnh Thị Minh Ly</v>
          </cell>
          <cell r="E50" t="str">
            <v>A1</v>
          </cell>
        </row>
        <row r="51">
          <cell r="B51" t="str">
            <v>Vũ Như Quỳnh</v>
          </cell>
          <cell r="E51" t="str">
            <v>A2</v>
          </cell>
        </row>
        <row r="52">
          <cell r="B52" t="str">
            <v>Phan Thị Ngọc Phượng</v>
          </cell>
          <cell r="E52" t="str">
            <v>A1</v>
          </cell>
        </row>
        <row r="53">
          <cell r="B53" t="str">
            <v>Nguyễn Thị Bích Liễu</v>
          </cell>
          <cell r="E53" t="str">
            <v>A2</v>
          </cell>
        </row>
        <row r="54">
          <cell r="B54" t="str">
            <v>Nguyễn Văn Chì</v>
          </cell>
          <cell r="E54" t="str">
            <v>A3</v>
          </cell>
        </row>
        <row r="55">
          <cell r="B55" t="str">
            <v>Trần Thị Ánh Phượng</v>
          </cell>
          <cell r="E55" t="str">
            <v>A2</v>
          </cell>
        </row>
        <row r="56">
          <cell r="B56" t="str">
            <v>Nguyễn Thị Vân</v>
          </cell>
          <cell r="E56" t="str">
            <v>A2</v>
          </cell>
        </row>
        <row r="57">
          <cell r="B57" t="str">
            <v>Trần Thị Phương Oanh</v>
          </cell>
          <cell r="E57" t="str">
            <v>A3</v>
          </cell>
        </row>
        <row r="58">
          <cell r="B58" t="str">
            <v>Thân Thị Nhung</v>
          </cell>
          <cell r="E58" t="str">
            <v>A2</v>
          </cell>
        </row>
        <row r="59">
          <cell r="B59" t="str">
            <v>Hợp đồng trường</v>
          </cell>
          <cell r="E59">
            <v>14</v>
          </cell>
        </row>
        <row r="60">
          <cell r="B60" t="str">
            <v>Huỳnh Thị Xuân Mai</v>
          </cell>
          <cell r="E60" t="str">
            <v>A3</v>
          </cell>
        </row>
        <row r="61">
          <cell r="B61" t="str">
            <v>Phạm Hữu Tấn</v>
          </cell>
          <cell r="E61" t="str">
            <v>A3</v>
          </cell>
        </row>
        <row r="62">
          <cell r="B62" t="str">
            <v>Trần Văn Cu Anh</v>
          </cell>
          <cell r="E62" t="str">
            <v>A4</v>
          </cell>
        </row>
        <row r="63">
          <cell r="B63" t="str">
            <v>Nguyễn Hữu Xuân Vũ</v>
          </cell>
          <cell r="E63" t="str">
            <v>A3</v>
          </cell>
        </row>
        <row r="64">
          <cell r="B64" t="str">
            <v>Lê Hồng Phúc</v>
          </cell>
          <cell r="E64" t="str">
            <v>A4</v>
          </cell>
        </row>
        <row r="65">
          <cell r="B65" t="str">
            <v>Phạm Hữu Thành Phú</v>
          </cell>
          <cell r="E65" t="str">
            <v>A3</v>
          </cell>
        </row>
        <row r="66">
          <cell r="B66" t="str">
            <v>Huỳnh Thanh Nhàn</v>
          </cell>
          <cell r="E66" t="str">
            <v>A3</v>
          </cell>
        </row>
        <row r="67">
          <cell r="B67" t="str">
            <v>Đồng Anh Tuấn</v>
          </cell>
          <cell r="E67" t="str">
            <v>A4</v>
          </cell>
        </row>
        <row r="68">
          <cell r="B68" t="str">
            <v>Nguyễn Thanh Hiền</v>
          </cell>
          <cell r="E68" t="str">
            <v>A3</v>
          </cell>
        </row>
        <row r="69">
          <cell r="B69" t="str">
            <v>Phạm Quang Tùng</v>
          </cell>
          <cell r="E69" t="str">
            <v>A3</v>
          </cell>
        </row>
        <row r="70">
          <cell r="B70" t="str">
            <v>Trần Thanh Cường</v>
          </cell>
          <cell r="E70" t="str">
            <v>A3</v>
          </cell>
        </row>
        <row r="71">
          <cell r="B71" t="str">
            <v>Vũ Anh Hiếu</v>
          </cell>
          <cell r="E71" t="str">
            <v>A3</v>
          </cell>
        </row>
        <row r="72">
          <cell r="B72" t="str">
            <v>Dương Văn Tâm</v>
          </cell>
          <cell r="E72" t="str">
            <v>A2</v>
          </cell>
        </row>
        <row r="73">
          <cell r="B73" t="str">
            <v>Huỳnh Ngọc Liên</v>
          </cell>
          <cell r="E73" t="str">
            <v>A2</v>
          </cell>
        </row>
        <row r="74">
          <cell r="B74" t="str">
            <v>PHÒNG TTGD-QHDN</v>
          </cell>
          <cell r="E74">
            <v>16</v>
          </cell>
        </row>
        <row r="75">
          <cell r="B75" t="str">
            <v>Viên chức</v>
          </cell>
          <cell r="E75">
            <v>8</v>
          </cell>
        </row>
        <row r="76">
          <cell r="B76" t="str">
            <v>Nguyễn Văn Chiến</v>
          </cell>
          <cell r="E76" t="str">
            <v>A2</v>
          </cell>
        </row>
        <row r="77">
          <cell r="B77" t="str">
            <v>Lê Xuân Thiện</v>
          </cell>
          <cell r="E77" t="str">
            <v>A1</v>
          </cell>
        </row>
        <row r="78">
          <cell r="B78" t="str">
            <v>Nguyễn Thị Kim Anh</v>
          </cell>
          <cell r="E78" t="str">
            <v>A3</v>
          </cell>
        </row>
        <row r="79">
          <cell r="B79" t="str">
            <v>Phạm Thị Lê Chi</v>
          </cell>
          <cell r="E79" t="str">
            <v>A4</v>
          </cell>
        </row>
        <row r="80">
          <cell r="B80" t="str">
            <v>Trần Thị Thu Hà</v>
          </cell>
          <cell r="E80" t="str">
            <v>A3</v>
          </cell>
        </row>
        <row r="81">
          <cell r="B81" t="str">
            <v>Nguyễn Tất Thắng</v>
          </cell>
          <cell r="E81" t="str">
            <v>A4</v>
          </cell>
        </row>
        <row r="82">
          <cell r="B82" t="str">
            <v>Mai Thu Hương</v>
          </cell>
          <cell r="E82" t="str">
            <v>A4</v>
          </cell>
        </row>
        <row r="83">
          <cell r="B83" t="str">
            <v>Nguyễn Thùy Dương</v>
          </cell>
          <cell r="E83" t="str">
            <v>A3</v>
          </cell>
        </row>
        <row r="84">
          <cell r="B84" t="str">
            <v>Hợp đồng trường</v>
          </cell>
          <cell r="E84">
            <v>8</v>
          </cell>
        </row>
        <row r="85">
          <cell r="B85" t="str">
            <v>Nguyễn Trung Dũng</v>
          </cell>
          <cell r="E85" t="str">
            <v>A3</v>
          </cell>
        </row>
        <row r="86">
          <cell r="B86" t="str">
            <v>Huỳnh Văn Hiếu</v>
          </cell>
          <cell r="E86" t="str">
            <v>B1</v>
          </cell>
        </row>
        <row r="87">
          <cell r="B87" t="str">
            <v>Phạm Huy Hoàng</v>
          </cell>
          <cell r="E87" t="str">
            <v>A3</v>
          </cell>
        </row>
        <row r="88">
          <cell r="B88" t="str">
            <v>Trần Anh Mỹ</v>
          </cell>
          <cell r="E88" t="str">
            <v>A4</v>
          </cell>
        </row>
        <row r="89">
          <cell r="B89" t="str">
            <v>Bùi Đức Phước</v>
          </cell>
          <cell r="E89" t="str">
            <v>A3</v>
          </cell>
        </row>
        <row r="90">
          <cell r="B90" t="str">
            <v>Nguyễn Thị Thảo</v>
          </cell>
          <cell r="E90" t="str">
            <v>A4</v>
          </cell>
        </row>
        <row r="91">
          <cell r="B91" t="str">
            <v>Lưu Hoàng Bảo Châu</v>
          </cell>
          <cell r="E91" t="str">
            <v>A3</v>
          </cell>
        </row>
        <row r="92">
          <cell r="B92" t="str">
            <v>Trần Việt Anh</v>
          </cell>
          <cell r="E92" t="str">
            <v>B1</v>
          </cell>
        </row>
        <row r="93">
          <cell r="B93" t="str">
            <v>PHÒNG KHẢO THÍ VÀ ĐBCL</v>
          </cell>
          <cell r="E93">
            <v>8</v>
          </cell>
        </row>
        <row r="94">
          <cell r="B94" t="str">
            <v>Viên chức</v>
          </cell>
          <cell r="E94">
            <v>7</v>
          </cell>
        </row>
        <row r="95">
          <cell r="B95" t="str">
            <v>Nguyễn Chí Nhân</v>
          </cell>
          <cell r="E95" t="str">
            <v>A2</v>
          </cell>
        </row>
        <row r="96">
          <cell r="B96" t="str">
            <v>Nguyễn Thị Kim Dung</v>
          </cell>
          <cell r="E96" t="str">
            <v>A3</v>
          </cell>
        </row>
        <row r="97">
          <cell r="B97" t="str">
            <v>Nguyễn Thanh Sơn</v>
          </cell>
          <cell r="E97" t="str">
            <v>A3</v>
          </cell>
        </row>
        <row r="98">
          <cell r="B98" t="str">
            <v>Vũ Thị Thu Thủy</v>
          </cell>
          <cell r="E98" t="str">
            <v>A3</v>
          </cell>
        </row>
        <row r="99">
          <cell r="B99" t="str">
            <v>Nguyễn Thị Tuyết</v>
          </cell>
          <cell r="E99" t="str">
            <v>A3</v>
          </cell>
        </row>
        <row r="100">
          <cell r="B100" t="str">
            <v>Lương Minh Dũng</v>
          </cell>
          <cell r="E100" t="str">
            <v>A3</v>
          </cell>
        </row>
        <row r="101">
          <cell r="B101" t="str">
            <v>Mai Nguyễn Hoàng Yến</v>
          </cell>
          <cell r="E101" t="str">
            <v>A3</v>
          </cell>
        </row>
        <row r="102">
          <cell r="B102" t="str">
            <v>Hợp đồng trường</v>
          </cell>
          <cell r="E102">
            <v>1</v>
          </cell>
        </row>
        <row r="103">
          <cell r="B103" t="str">
            <v>Nguyễn Yến Nhi</v>
          </cell>
          <cell r="E103" t="str">
            <v>A3</v>
          </cell>
        </row>
        <row r="104">
          <cell r="B104" t="str">
            <v>PHÒNG QLKH-HTQT</v>
          </cell>
          <cell r="E104">
            <v>4</v>
          </cell>
        </row>
        <row r="105">
          <cell r="B105" t="str">
            <v>Viên chức</v>
          </cell>
          <cell r="E105">
            <v>2</v>
          </cell>
        </row>
        <row r="106">
          <cell r="B106" t="str">
            <v>Nguyễn Trọng Nghĩa</v>
          </cell>
          <cell r="E106" t="str">
            <v>A1</v>
          </cell>
        </row>
        <row r="107">
          <cell r="B107" t="str">
            <v>Lê Thị Hải Đăng</v>
          </cell>
          <cell r="E107" t="str">
            <v>A2</v>
          </cell>
        </row>
        <row r="108">
          <cell r="B108" t="str">
            <v>Hợp đồng trường</v>
          </cell>
          <cell r="E108">
            <v>2</v>
          </cell>
        </row>
        <row r="109">
          <cell r="B109" t="str">
            <v>Lê Tiến Dũng</v>
          </cell>
          <cell r="E109" t="str">
            <v>A2</v>
          </cell>
        </row>
        <row r="110">
          <cell r="B110" t="str">
            <v>Lê Trần Thanh Nga</v>
          </cell>
          <cell r="E110" t="str">
            <v>A3</v>
          </cell>
        </row>
        <row r="111">
          <cell r="B111" t="str">
            <v>PHÒNG QUẢN TRỊ - DỊCH VỤ</v>
          </cell>
          <cell r="E111">
            <v>28</v>
          </cell>
        </row>
        <row r="112">
          <cell r="B112" t="str">
            <v>Viên chức</v>
          </cell>
          <cell r="E112">
            <v>10</v>
          </cell>
        </row>
        <row r="113">
          <cell r="B113" t="str">
            <v>Lê Quang Liêm</v>
          </cell>
          <cell r="E113" t="str">
            <v>A1</v>
          </cell>
        </row>
        <row r="114">
          <cell r="B114" t="str">
            <v>Nguyễn Văn Thành</v>
          </cell>
          <cell r="E114" t="str">
            <v>A2</v>
          </cell>
        </row>
        <row r="115">
          <cell r="B115" t="str">
            <v>Phan Hữu Tước</v>
          </cell>
          <cell r="E115" t="str">
            <v>A1</v>
          </cell>
        </row>
        <row r="116">
          <cell r="B116" t="str">
            <v>Nguyễn Trọng Phú</v>
          </cell>
          <cell r="E116" t="str">
            <v>A2</v>
          </cell>
        </row>
        <row r="117">
          <cell r="B117" t="str">
            <v>Phan Đức Long</v>
          </cell>
          <cell r="E117" t="str">
            <v>A2</v>
          </cell>
        </row>
        <row r="118">
          <cell r="B118" t="str">
            <v>Giáp Văn Thịnh</v>
          </cell>
          <cell r="E118" t="str">
            <v>A2</v>
          </cell>
        </row>
        <row r="119">
          <cell r="B119" t="str">
            <v>Vũ Ngọc Quang</v>
          </cell>
          <cell r="E119" t="str">
            <v>A1</v>
          </cell>
        </row>
        <row r="120">
          <cell r="B120" t="str">
            <v>Ninh Đỗ Hiệp</v>
          </cell>
          <cell r="E120" t="str">
            <v>A4</v>
          </cell>
        </row>
        <row r="121">
          <cell r="B121" t="str">
            <v>Lê Hồng Anh Tuấn</v>
          </cell>
          <cell r="E121" t="str">
            <v>A3</v>
          </cell>
        </row>
        <row r="122">
          <cell r="B122" t="str">
            <v>Bùi Thị Dương</v>
          </cell>
          <cell r="E122" t="str">
            <v>A3</v>
          </cell>
        </row>
        <row r="123">
          <cell r="B123" t="str">
            <v>Hợp đồng trường</v>
          </cell>
          <cell r="E123">
            <v>18</v>
          </cell>
        </row>
        <row r="124">
          <cell r="B124" t="str">
            <v>Trần Thị Thu</v>
          </cell>
          <cell r="E124" t="str">
            <v>A3</v>
          </cell>
        </row>
        <row r="125">
          <cell r="B125" t="str">
            <v>Dương Thị Thủy</v>
          </cell>
          <cell r="E125" t="str">
            <v>A3</v>
          </cell>
        </row>
        <row r="126">
          <cell r="B126" t="str">
            <v>Đỗ Thị Bích Thủy</v>
          </cell>
          <cell r="E126" t="str">
            <v>A3</v>
          </cell>
        </row>
        <row r="127">
          <cell r="B127" t="str">
            <v>Trần Kim Tươi</v>
          </cell>
          <cell r="E127" t="str">
            <v>A3</v>
          </cell>
        </row>
        <row r="128">
          <cell r="B128" t="str">
            <v>Trương Thị Bắc</v>
          </cell>
          <cell r="E128" t="str">
            <v>A3</v>
          </cell>
        </row>
        <row r="129">
          <cell r="B129" t="str">
            <v>Trương Thị Định</v>
          </cell>
          <cell r="E129" t="str">
            <v>A3</v>
          </cell>
        </row>
        <row r="130">
          <cell r="B130" t="str">
            <v>Giáp Đức Nhận</v>
          </cell>
          <cell r="E130" t="str">
            <v>A4</v>
          </cell>
        </row>
        <row r="131">
          <cell r="B131" t="str">
            <v>Tạ Quốc Tấn</v>
          </cell>
          <cell r="E131" t="str">
            <v>A4</v>
          </cell>
        </row>
        <row r="132">
          <cell r="B132" t="str">
            <v>Huỳnh Bá Triết</v>
          </cell>
          <cell r="E132" t="str">
            <v>A3</v>
          </cell>
        </row>
        <row r="133">
          <cell r="B133" t="str">
            <v>Võ Thị Tuyết</v>
          </cell>
          <cell r="E133" t="str">
            <v>A4</v>
          </cell>
        </row>
        <row r="134">
          <cell r="B134" t="str">
            <v>Trịnh Tuấn Vũ</v>
          </cell>
          <cell r="E134" t="str">
            <v>A4</v>
          </cell>
        </row>
        <row r="135">
          <cell r="B135" t="str">
            <v>Võ Tấn Đức</v>
          </cell>
          <cell r="E135" t="str">
            <v>A4</v>
          </cell>
        </row>
        <row r="136">
          <cell r="B136" t="str">
            <v>Ngô Ngọc Của</v>
          </cell>
          <cell r="E136" t="str">
            <v>A4</v>
          </cell>
        </row>
        <row r="137">
          <cell r="B137" t="str">
            <v>Phạm Thị Hoàng Diễm</v>
          </cell>
          <cell r="E137" t="str">
            <v>A4</v>
          </cell>
        </row>
        <row r="138">
          <cell r="B138" t="str">
            <v>Nguyễn Văn Hiển</v>
          </cell>
          <cell r="E138" t="str">
            <v>A2</v>
          </cell>
        </row>
        <row r="139">
          <cell r="B139" t="str">
            <v>Trần Thanh Phương</v>
          </cell>
          <cell r="E139" t="str">
            <v>A4</v>
          </cell>
        </row>
        <row r="140">
          <cell r="B140" t="str">
            <v>Lâm Võ Hữu Duy</v>
          </cell>
          <cell r="E140" t="str">
            <v>A3</v>
          </cell>
        </row>
        <row r="141">
          <cell r="B141" t="str">
            <v>Võ Lạc Tân</v>
          </cell>
          <cell r="E141" t="str">
            <v>A4</v>
          </cell>
        </row>
        <row r="142">
          <cell r="B142" t="str">
            <v>KHOA KHOA HỌC CƠ BẢN</v>
          </cell>
          <cell r="E142">
            <v>21</v>
          </cell>
        </row>
        <row r="143">
          <cell r="B143" t="str">
            <v>Viên chức</v>
          </cell>
          <cell r="E143">
            <v>21</v>
          </cell>
        </row>
        <row r="144">
          <cell r="B144" t="str">
            <v>Nguyễn Thị Nhuận</v>
          </cell>
          <cell r="E144" t="str">
            <v>A2</v>
          </cell>
        </row>
        <row r="145">
          <cell r="B145" t="str">
            <v>Phạm Thị Thu Nga</v>
          </cell>
          <cell r="E145" t="str">
            <v>A3</v>
          </cell>
        </row>
        <row r="146">
          <cell r="B146" t="str">
            <v>Nguyễn Văn Hậu</v>
          </cell>
          <cell r="E146" t="str">
            <v>A4</v>
          </cell>
        </row>
        <row r="147">
          <cell r="B147" t="str">
            <v>Dương Đức Kiên</v>
          </cell>
          <cell r="E147" t="str">
            <v>A4</v>
          </cell>
        </row>
        <row r="148">
          <cell r="B148" t="str">
            <v>Hà Như Mai</v>
          </cell>
          <cell r="E148" t="str">
            <v>A4</v>
          </cell>
        </row>
        <row r="149">
          <cell r="B149" t="str">
            <v>Nguyễn Thị Cẩm Thạch</v>
          </cell>
          <cell r="E149" t="str">
            <v>A4</v>
          </cell>
        </row>
        <row r="150">
          <cell r="B150" t="str">
            <v>Nguyễn Thị Thủy</v>
          </cell>
          <cell r="E150" t="str">
            <v>A3</v>
          </cell>
        </row>
        <row r="151">
          <cell r="B151" t="str">
            <v>Nguyễn Văn Đông</v>
          </cell>
          <cell r="E151" t="str">
            <v>A4</v>
          </cell>
        </row>
        <row r="152">
          <cell r="B152" t="str">
            <v>Nguyễn Thanh Tú</v>
          </cell>
          <cell r="E152" t="str">
            <v>A3</v>
          </cell>
        </row>
        <row r="153">
          <cell r="B153" t="str">
            <v>Trần Thị Ánh Tuyết</v>
          </cell>
          <cell r="E153" t="str">
            <v>A4</v>
          </cell>
        </row>
        <row r="154">
          <cell r="B154" t="str">
            <v>Đặng Thị Kiến Trúc</v>
          </cell>
          <cell r="E154" t="str">
            <v>A3</v>
          </cell>
        </row>
        <row r="155">
          <cell r="B155" t="str">
            <v>Lê Văn Bình</v>
          </cell>
          <cell r="E155" t="str">
            <v>A4</v>
          </cell>
        </row>
        <row r="156">
          <cell r="B156" t="str">
            <v>Nguyễn Phương Hà</v>
          </cell>
          <cell r="E156" t="str">
            <v>A4</v>
          </cell>
        </row>
        <row r="157">
          <cell r="B157" t="str">
            <v>Lê Minh Phong</v>
          </cell>
          <cell r="E157" t="str">
            <v>A4</v>
          </cell>
        </row>
        <row r="158">
          <cell r="B158" t="str">
            <v>Nguyễn Thị Huyền Nga</v>
          </cell>
          <cell r="E158" t="str">
            <v>A4</v>
          </cell>
        </row>
        <row r="159">
          <cell r="B159" t="str">
            <v>Trịnh Khắc Vũ</v>
          </cell>
          <cell r="E159" t="str">
            <v>A4</v>
          </cell>
        </row>
        <row r="160">
          <cell r="B160" t="str">
            <v>Lê Thái Hùng</v>
          </cell>
          <cell r="E160" t="str">
            <v>A3</v>
          </cell>
        </row>
        <row r="161">
          <cell r="B161" t="str">
            <v>Giang Phi Hùng</v>
          </cell>
          <cell r="E161" t="str">
            <v>A3</v>
          </cell>
        </row>
        <row r="162">
          <cell r="B162" t="str">
            <v>Ngô Thanh Điền</v>
          </cell>
          <cell r="E162" t="str">
            <v>A3</v>
          </cell>
        </row>
        <row r="163">
          <cell r="B163" t="str">
            <v>Nguyễn Phú Tân</v>
          </cell>
          <cell r="E163" t="str">
            <v>A3</v>
          </cell>
        </row>
        <row r="164">
          <cell r="B164" t="str">
            <v>Nguyễn Mạnh Phương</v>
          </cell>
          <cell r="E164" t="str">
            <v>A3</v>
          </cell>
        </row>
        <row r="165">
          <cell r="B165" t="str">
            <v>KHOA NGOẠI NGỮ</v>
          </cell>
          <cell r="E165">
            <v>14</v>
          </cell>
        </row>
        <row r="166">
          <cell r="B166" t="str">
            <v>Viên chức</v>
          </cell>
          <cell r="E166">
            <v>14</v>
          </cell>
        </row>
        <row r="167">
          <cell r="B167" t="str">
            <v>Nguyễn Thị Thu Hà</v>
          </cell>
          <cell r="E167" t="str">
            <v>A2</v>
          </cell>
        </row>
        <row r="168">
          <cell r="B168" t="str">
            <v>Phạm Thị Thu Hiền</v>
          </cell>
          <cell r="E168" t="str">
            <v>A3</v>
          </cell>
        </row>
        <row r="169">
          <cell r="B169" t="str">
            <v>Lê Nguyễn Mỹ Trâm</v>
          </cell>
          <cell r="E169" t="str">
            <v>A3</v>
          </cell>
        </row>
        <row r="170">
          <cell r="B170" t="str">
            <v>Nguyễn Thị Bảo Trân</v>
          </cell>
          <cell r="E170" t="str">
            <v>A3</v>
          </cell>
        </row>
        <row r="171">
          <cell r="B171" t="str">
            <v>Vương Thanh Thủy</v>
          </cell>
          <cell r="E171" t="str">
            <v>A3</v>
          </cell>
        </row>
        <row r="172">
          <cell r="B172" t="str">
            <v>Nguyễn Thị Thu Tâm</v>
          </cell>
          <cell r="E172" t="str">
            <v>A3</v>
          </cell>
        </row>
        <row r="173">
          <cell r="B173" t="str">
            <v>Võ Thị Hồng Lan</v>
          </cell>
          <cell r="E173" t="str">
            <v>A3</v>
          </cell>
        </row>
        <row r="174">
          <cell r="B174" t="str">
            <v>Nguyễn Thị Thanh Tú</v>
          </cell>
          <cell r="E174" t="str">
            <v>A3</v>
          </cell>
        </row>
        <row r="175">
          <cell r="B175" t="str">
            <v>Trần Thanh Trúc</v>
          </cell>
          <cell r="E175" t="str">
            <v>A3</v>
          </cell>
        </row>
        <row r="176">
          <cell r="B176" t="str">
            <v>Nguyễn Thiện Bình</v>
          </cell>
          <cell r="E176" t="str">
            <v>A4</v>
          </cell>
        </row>
        <row r="177">
          <cell r="B177" t="str">
            <v>Lâm Thị Phương Thảo</v>
          </cell>
          <cell r="E177" t="str">
            <v>A3</v>
          </cell>
        </row>
        <row r="178">
          <cell r="B178" t="str">
            <v>Trần Hà Trang</v>
          </cell>
          <cell r="E178" t="str">
            <v>A3</v>
          </cell>
        </row>
        <row r="179">
          <cell r="B179" t="str">
            <v>Lê Thu Hà</v>
          </cell>
          <cell r="E179" t="str">
            <v>A DN</v>
          </cell>
        </row>
        <row r="180">
          <cell r="B180" t="str">
            <v>Ôn Thị Ngọc Thảo</v>
          </cell>
          <cell r="E180" t="str">
            <v>A3</v>
          </cell>
        </row>
        <row r="181">
          <cell r="B181" t="str">
            <v>KHOA LÝ LUẬN CHÍNH TRỊ</v>
          </cell>
          <cell r="E181">
            <v>15</v>
          </cell>
        </row>
        <row r="182">
          <cell r="B182" t="str">
            <v>Viên chức</v>
          </cell>
          <cell r="E182">
            <v>15</v>
          </cell>
        </row>
        <row r="183">
          <cell r="B183" t="str">
            <v>Lê Thị Hồng Vân</v>
          </cell>
          <cell r="E183" t="str">
            <v>A2</v>
          </cell>
        </row>
        <row r="184">
          <cell r="B184" t="str">
            <v>Nguyễn Ngọc Quỳnh</v>
          </cell>
          <cell r="E184" t="str">
            <v>A3</v>
          </cell>
        </row>
        <row r="185">
          <cell r="B185" t="str">
            <v>Nguyễn Thị Dinh</v>
          </cell>
          <cell r="E185" t="str">
            <v>A3</v>
          </cell>
        </row>
        <row r="186">
          <cell r="B186" t="str">
            <v>Bùi Thành Dũng</v>
          </cell>
          <cell r="E186" t="str">
            <v>A4</v>
          </cell>
        </row>
        <row r="187">
          <cell r="B187" t="str">
            <v>Lê Thị Mai Hường</v>
          </cell>
          <cell r="E187" t="str">
            <v>A3</v>
          </cell>
        </row>
        <row r="188">
          <cell r="B188" t="str">
            <v>Đinh Thị Huyên</v>
          </cell>
          <cell r="E188" t="str">
            <v>A3</v>
          </cell>
        </row>
        <row r="189">
          <cell r="B189" t="str">
            <v>Nguyễn Anh Kiệt</v>
          </cell>
          <cell r="E189" t="str">
            <v>A4</v>
          </cell>
        </row>
        <row r="190">
          <cell r="B190" t="str">
            <v>Trần Văn Lượng</v>
          </cell>
          <cell r="E190" t="str">
            <v>A3</v>
          </cell>
        </row>
        <row r="191">
          <cell r="B191" t="str">
            <v>Đỗ Thị Ngát</v>
          </cell>
          <cell r="E191" t="str">
            <v>A4</v>
          </cell>
        </row>
        <row r="192">
          <cell r="B192" t="str">
            <v>Cao Thị Hồng Thắm</v>
          </cell>
          <cell r="E192" t="str">
            <v>A3</v>
          </cell>
        </row>
        <row r="193">
          <cell r="B193" t="str">
            <v>Đỗ Thị Thơm</v>
          </cell>
          <cell r="E193" t="str">
            <v>A3</v>
          </cell>
        </row>
        <row r="194">
          <cell r="B194" t="str">
            <v>Trần Thị Hồng Thu</v>
          </cell>
          <cell r="E194" t="str">
            <v>A3</v>
          </cell>
        </row>
        <row r="195">
          <cell r="B195" t="str">
            <v>Phan Thị Thùy Trang</v>
          </cell>
          <cell r="E195" t="str">
            <v>A3</v>
          </cell>
        </row>
        <row r="196">
          <cell r="B196" t="str">
            <v>Hoàng Thị Trang</v>
          </cell>
          <cell r="E196" t="str">
            <v>A1</v>
          </cell>
        </row>
        <row r="197">
          <cell r="B197" t="str">
            <v>Phạm Thị Vinh</v>
          </cell>
          <cell r="E197" t="str">
            <v>A3</v>
          </cell>
        </row>
        <row r="198">
          <cell r="B198" t="str">
            <v>KHOA CƠ KHÍ</v>
          </cell>
          <cell r="E198">
            <v>29</v>
          </cell>
        </row>
        <row r="199">
          <cell r="B199" t="str">
            <v>Viên chức</v>
          </cell>
          <cell r="E199">
            <v>29</v>
          </cell>
        </row>
        <row r="200">
          <cell r="B200" t="str">
            <v>Chung Trần Thế Vinh</v>
          </cell>
          <cell r="E200" t="str">
            <v>A1</v>
          </cell>
        </row>
        <row r="201">
          <cell r="B201" t="str">
            <v>Trần Đình Khải</v>
          </cell>
          <cell r="E201" t="str">
            <v>A4</v>
          </cell>
        </row>
        <row r="202">
          <cell r="B202" t="str">
            <v>Vũ Quang Khải</v>
          </cell>
          <cell r="E202" t="str">
            <v>A3</v>
          </cell>
        </row>
        <row r="203">
          <cell r="B203" t="str">
            <v>Vũ Đức Pháp</v>
          </cell>
          <cell r="E203" t="str">
            <v>A3</v>
          </cell>
        </row>
        <row r="204">
          <cell r="B204" t="str">
            <v>Bùi Anh Tuấn</v>
          </cell>
          <cell r="E204" t="str">
            <v>A1</v>
          </cell>
        </row>
        <row r="205">
          <cell r="B205" t="str">
            <v>Dương Minh Chung</v>
          </cell>
          <cell r="E205" t="str">
            <v>A4</v>
          </cell>
        </row>
        <row r="206">
          <cell r="B206" t="str">
            <v>Đỗ Thị Phương Khanh</v>
          </cell>
          <cell r="E206" t="str">
            <v>A3</v>
          </cell>
        </row>
        <row r="207">
          <cell r="B207" t="str">
            <v>Trương Thị Phương Hồng</v>
          </cell>
          <cell r="E207" t="str">
            <v>A1</v>
          </cell>
        </row>
        <row r="208">
          <cell r="B208" t="str">
            <v>Phan Văn Thành</v>
          </cell>
          <cell r="E208" t="str">
            <v>A4</v>
          </cell>
        </row>
        <row r="209">
          <cell r="B209" t="str">
            <v>Phan Thị Xuân Trang</v>
          </cell>
          <cell r="E209" t="str">
            <v>A4</v>
          </cell>
        </row>
        <row r="210">
          <cell r="B210" t="str">
            <v>Lư Thị Yến Vũ</v>
          </cell>
          <cell r="E210" t="str">
            <v>A4</v>
          </cell>
        </row>
        <row r="211">
          <cell r="B211" t="str">
            <v>Nguyễn Thanh Vũ</v>
          </cell>
          <cell r="E211" t="str">
            <v>A4</v>
          </cell>
        </row>
        <row r="212">
          <cell r="B212" t="str">
            <v>Nguyễn Tiến Dũng</v>
          </cell>
          <cell r="E212" t="str">
            <v>A4</v>
          </cell>
        </row>
        <row r="213">
          <cell r="B213" t="str">
            <v>Nguyễn Thành Long</v>
          </cell>
          <cell r="E213" t="str">
            <v>A4</v>
          </cell>
        </row>
        <row r="214">
          <cell r="B214" t="str">
            <v>Nguyễn Ngọc Quỳnh.</v>
          </cell>
          <cell r="E214" t="str">
            <v>A4</v>
          </cell>
        </row>
        <row r="215">
          <cell r="B215" t="str">
            <v>Nguyễn Duy Hải</v>
          </cell>
          <cell r="E215" t="str">
            <v>A4</v>
          </cell>
        </row>
        <row r="216">
          <cell r="B216" t="str">
            <v>Trần Minh Thông</v>
          </cell>
          <cell r="E216" t="str">
            <v>A3</v>
          </cell>
        </row>
        <row r="217">
          <cell r="B217" t="str">
            <v>Trần Thị Hương</v>
          </cell>
          <cell r="E217" t="str">
            <v>A4</v>
          </cell>
        </row>
        <row r="218">
          <cell r="B218" t="str">
            <v>Nguyễn Thanh Vĩnh Phúc</v>
          </cell>
          <cell r="E218" t="str">
            <v>A4</v>
          </cell>
        </row>
        <row r="219">
          <cell r="B219" t="str">
            <v>Võ Minh Quang</v>
          </cell>
          <cell r="E219" t="str">
            <v>A4</v>
          </cell>
        </row>
        <row r="220">
          <cell r="B220" t="str">
            <v>Dương Thị Hồng</v>
          </cell>
          <cell r="E220" t="str">
            <v>A2</v>
          </cell>
        </row>
        <row r="221">
          <cell r="B221" t="str">
            <v>Nguyễn Thanh Giang</v>
          </cell>
          <cell r="E221" t="str">
            <v>A3</v>
          </cell>
        </row>
        <row r="222">
          <cell r="B222" t="str">
            <v>Nguyễn Hồng Phúc</v>
          </cell>
          <cell r="E222" t="str">
            <v>A1</v>
          </cell>
        </row>
        <row r="223">
          <cell r="B223" t="str">
            <v>Nguyễn Văn Sơn</v>
          </cell>
          <cell r="E223" t="str">
            <v>A4</v>
          </cell>
        </row>
        <row r="224">
          <cell r="B224" t="str">
            <v>Nguyễn Khắc Huy</v>
          </cell>
          <cell r="E224" t="str">
            <v>A2</v>
          </cell>
        </row>
        <row r="225">
          <cell r="B225" t="str">
            <v>Võ Hoài Sơn</v>
          </cell>
          <cell r="E225" t="str">
            <v>A3</v>
          </cell>
        </row>
        <row r="226">
          <cell r="B226" t="str">
            <v>Nguyễn Thị Xuân Chinh</v>
          </cell>
          <cell r="E226" t="str">
            <v>A4</v>
          </cell>
        </row>
        <row r="227">
          <cell r="B227" t="str">
            <v>Nguyễn Ngọc Hiệp</v>
          </cell>
          <cell r="E227" t="str">
            <v>A3</v>
          </cell>
        </row>
        <row r="228">
          <cell r="B228" t="str">
            <v>Nguyễn Duy Tân</v>
          </cell>
          <cell r="E228" t="str">
            <v>A4</v>
          </cell>
        </row>
        <row r="229">
          <cell r="B229" t="str">
            <v>KHOA CÔNG NGHỆ THÔNG TIN</v>
          </cell>
          <cell r="E229">
            <v>20</v>
          </cell>
        </row>
        <row r="230">
          <cell r="B230" t="str">
            <v>Viên chức</v>
          </cell>
          <cell r="E230">
            <v>20</v>
          </cell>
        </row>
        <row r="231">
          <cell r="B231" t="str">
            <v>Trần Việt Khánh</v>
          </cell>
          <cell r="E231" t="str">
            <v>A2</v>
          </cell>
        </row>
        <row r="232">
          <cell r="B232" t="str">
            <v>Nguyễn Văn Đôn</v>
          </cell>
          <cell r="E232" t="str">
            <v>A4</v>
          </cell>
        </row>
        <row r="233">
          <cell r="B233" t="str">
            <v>Nguyễn Sanh Cường</v>
          </cell>
          <cell r="E233" t="str">
            <v>A4</v>
          </cell>
        </row>
        <row r="234">
          <cell r="B234" t="str">
            <v>Đặng Ngọc Đoàn</v>
          </cell>
          <cell r="E234" t="str">
            <v>A3</v>
          </cell>
        </row>
        <row r="235">
          <cell r="B235" t="str">
            <v>Bùi Văn Dũng</v>
          </cell>
          <cell r="E235" t="str">
            <v>A4</v>
          </cell>
        </row>
        <row r="236">
          <cell r="B236" t="str">
            <v>Huỳnh Quốc Dũng</v>
          </cell>
          <cell r="E236" t="str">
            <v>A4</v>
          </cell>
        </row>
        <row r="237">
          <cell r="B237" t="str">
            <v>Vũ Thị Thái Linh</v>
          </cell>
          <cell r="E237" t="str">
            <v>A3</v>
          </cell>
        </row>
        <row r="238">
          <cell r="B238" t="str">
            <v>Nguyễn Văn Minh</v>
          </cell>
          <cell r="E238" t="str">
            <v>A3</v>
          </cell>
        </row>
        <row r="239">
          <cell r="B239" t="str">
            <v>Nguyễn Cao Phong</v>
          </cell>
          <cell r="E239" t="str">
            <v>A4</v>
          </cell>
        </row>
        <row r="240">
          <cell r="B240" t="str">
            <v>Lê Quý Hưng Quốc</v>
          </cell>
          <cell r="E240" t="str">
            <v>A4</v>
          </cell>
        </row>
        <row r="241">
          <cell r="B241" t="str">
            <v>Lê Hồng Thái</v>
          </cell>
          <cell r="E241" t="str">
            <v>A3</v>
          </cell>
        </row>
        <row r="242">
          <cell r="B242" t="str">
            <v>Nguyễn Thị Khánh Thư</v>
          </cell>
          <cell r="E242" t="str">
            <v>A4</v>
          </cell>
        </row>
        <row r="243">
          <cell r="B243" t="str">
            <v>Mai Chiếm Tuấn</v>
          </cell>
          <cell r="E243" t="str">
            <v>A4</v>
          </cell>
        </row>
        <row r="244">
          <cell r="B244" t="str">
            <v>Nguyễn Ngọc Tuyên</v>
          </cell>
          <cell r="E244" t="str">
            <v>A3</v>
          </cell>
        </row>
        <row r="245">
          <cell r="B245" t="str">
            <v>Đỗ Tuấn Việt</v>
          </cell>
          <cell r="E245" t="str">
            <v>A4</v>
          </cell>
        </row>
        <row r="246">
          <cell r="B246" t="str">
            <v>Dương Ngọc Vọng</v>
          </cell>
          <cell r="E246" t="str">
            <v>A4</v>
          </cell>
        </row>
        <row r="247">
          <cell r="B247" t="str">
            <v>Trần Vĩnh Xuyên</v>
          </cell>
          <cell r="E247" t="str">
            <v>A3</v>
          </cell>
        </row>
        <row r="248">
          <cell r="B248" t="str">
            <v>Đỗ Thị Hải Yến</v>
          </cell>
          <cell r="E248" t="str">
            <v>A3</v>
          </cell>
        </row>
        <row r="249">
          <cell r="B249" t="str">
            <v>Đào Lê Phương Anh</v>
          </cell>
          <cell r="E249" t="str">
            <v>A3</v>
          </cell>
        </row>
        <row r="250">
          <cell r="B250" t="str">
            <v>Nguyễn Duy Lộc</v>
          </cell>
          <cell r="E250" t="str">
            <v>A3</v>
          </cell>
        </row>
        <row r="251">
          <cell r="B251" t="str">
            <v>KHOA ĐỘNG LỰC</v>
          </cell>
          <cell r="E251">
            <v>26</v>
          </cell>
        </row>
        <row r="252">
          <cell r="B252" t="str">
            <v>Viên chức</v>
          </cell>
          <cell r="E252">
            <v>25</v>
          </cell>
        </row>
        <row r="253">
          <cell r="B253" t="str">
            <v>Nguyễn Anh Tuấn</v>
          </cell>
          <cell r="E253" t="str">
            <v>A2</v>
          </cell>
        </row>
        <row r="254">
          <cell r="B254" t="str">
            <v>Võ Đắc Thịnh</v>
          </cell>
          <cell r="E254" t="str">
            <v>A3</v>
          </cell>
        </row>
        <row r="255">
          <cell r="B255" t="str">
            <v>Nguyễn Hữu Mạnh</v>
          </cell>
          <cell r="E255" t="str">
            <v>A4</v>
          </cell>
        </row>
        <row r="256">
          <cell r="B256" t="str">
            <v>Hà Quốc Bảo</v>
          </cell>
          <cell r="E256" t="str">
            <v>A4</v>
          </cell>
        </row>
        <row r="257">
          <cell r="B257" t="str">
            <v>Triệu Phú Nguyên</v>
          </cell>
          <cell r="E257" t="str">
            <v>A3</v>
          </cell>
        </row>
        <row r="258">
          <cell r="B258" t="str">
            <v>Nguyễn Thành Đức</v>
          </cell>
          <cell r="E258" t="str">
            <v>A4</v>
          </cell>
        </row>
        <row r="259">
          <cell r="B259" t="str">
            <v>Nguyễn Minh Thái</v>
          </cell>
          <cell r="E259" t="str">
            <v>A4</v>
          </cell>
        </row>
        <row r="260">
          <cell r="B260" t="str">
            <v>Đặng Thái Sơn</v>
          </cell>
          <cell r="E260" t="str">
            <v>A4</v>
          </cell>
        </row>
        <row r="261">
          <cell r="B261" t="str">
            <v>Nguyễn Thái Bình</v>
          </cell>
          <cell r="E261" t="str">
            <v>A4</v>
          </cell>
        </row>
        <row r="262">
          <cell r="B262" t="str">
            <v>Kiều Trung Tín</v>
          </cell>
          <cell r="E262" t="str">
            <v>A4</v>
          </cell>
        </row>
        <row r="263">
          <cell r="B263" t="str">
            <v>Trần Quốc Duy</v>
          </cell>
          <cell r="E263" t="str">
            <v>A3</v>
          </cell>
        </row>
        <row r="264">
          <cell r="B264" t="str">
            <v>Hồ Văn Hóa</v>
          </cell>
          <cell r="E264" t="str">
            <v>A3</v>
          </cell>
        </row>
        <row r="265">
          <cell r="B265" t="str">
            <v>Nguyễn Thanh Hùng</v>
          </cell>
          <cell r="E265" t="str">
            <v>A4</v>
          </cell>
        </row>
        <row r="266">
          <cell r="B266" t="str">
            <v>Phan Anh Tuấn Kiệt</v>
          </cell>
          <cell r="E266" t="str">
            <v>A4</v>
          </cell>
        </row>
        <row r="267">
          <cell r="B267" t="str">
            <v>Hoàng Phúc Bảo</v>
          </cell>
          <cell r="E267" t="str">
            <v>A4</v>
          </cell>
        </row>
        <row r="268">
          <cell r="B268" t="str">
            <v>Nguyễn Lương Tâm</v>
          </cell>
          <cell r="E268" t="str">
            <v>A4</v>
          </cell>
        </row>
        <row r="269">
          <cell r="B269" t="str">
            <v>Trần Thế Sơn</v>
          </cell>
          <cell r="E269" t="str">
            <v>A4</v>
          </cell>
        </row>
        <row r="270">
          <cell r="B270" t="str">
            <v>Trần Văn Đông</v>
          </cell>
          <cell r="E270" t="str">
            <v>A4</v>
          </cell>
        </row>
        <row r="271">
          <cell r="B271" t="str">
            <v>Lý Văn Trung</v>
          </cell>
          <cell r="E271" t="str">
            <v>A3</v>
          </cell>
        </row>
        <row r="272">
          <cell r="B272" t="str">
            <v>Nguyễn Hoàng Vinh</v>
          </cell>
          <cell r="E272" t="str">
            <v>A3</v>
          </cell>
        </row>
        <row r="273">
          <cell r="B273" t="str">
            <v>Bùi Trọng Tân</v>
          </cell>
          <cell r="E273" t="str">
            <v>A3</v>
          </cell>
        </row>
        <row r="274">
          <cell r="B274" t="str">
            <v>Võ Quốc Duy</v>
          </cell>
          <cell r="E274" t="str">
            <v>A4</v>
          </cell>
        </row>
        <row r="275">
          <cell r="B275" t="str">
            <v>Giang Văn Tiến</v>
          </cell>
          <cell r="E275" t="str">
            <v>A4</v>
          </cell>
        </row>
        <row r="276">
          <cell r="B276" t="str">
            <v>Nguyễn Hữu Lương</v>
          </cell>
          <cell r="E276" t="str">
            <v>A3</v>
          </cell>
        </row>
        <row r="277">
          <cell r="B277" t="str">
            <v>Huỳnh Đình Văn</v>
          </cell>
          <cell r="E277" t="str">
            <v>A4</v>
          </cell>
        </row>
        <row r="278">
          <cell r="B278" t="str">
            <v>Hợp đồng trường</v>
          </cell>
          <cell r="E278">
            <v>1</v>
          </cell>
        </row>
        <row r="279">
          <cell r="B279" t="str">
            <v>Nguyễn Khắc Huân</v>
          </cell>
          <cell r="E279" t="str">
            <v>A4</v>
          </cell>
        </row>
        <row r="280">
          <cell r="B280" t="str">
            <v>KHOA ĐIỆN - ĐIỆN TỬ</v>
          </cell>
          <cell r="E280">
            <v>30</v>
          </cell>
        </row>
        <row r="281">
          <cell r="B281" t="str">
            <v>Viên chức</v>
          </cell>
          <cell r="E281">
            <v>30</v>
          </cell>
        </row>
        <row r="282">
          <cell r="B282" t="str">
            <v>Tạ Minh Cường</v>
          </cell>
          <cell r="E282" t="str">
            <v>A1</v>
          </cell>
        </row>
        <row r="283">
          <cell r="B283" t="str">
            <v>Huỳnh Ngọc Mai</v>
          </cell>
          <cell r="E283" t="str">
            <v>A3</v>
          </cell>
        </row>
        <row r="284">
          <cell r="B284" t="str">
            <v>Phạm Minh Nghĩa</v>
          </cell>
          <cell r="E284" t="str">
            <v>A3</v>
          </cell>
        </row>
        <row r="285">
          <cell r="B285" t="str">
            <v>Trần Nguyên Bảo Trân</v>
          </cell>
          <cell r="E285" t="str">
            <v>A3</v>
          </cell>
        </row>
        <row r="286">
          <cell r="B286" t="str">
            <v>Huỳnh Duy An</v>
          </cell>
          <cell r="E286" t="str">
            <v>A3</v>
          </cell>
        </row>
        <row r="287">
          <cell r="B287" t="str">
            <v>Ngô Hoàng Anh</v>
          </cell>
          <cell r="E287" t="str">
            <v>A3</v>
          </cell>
        </row>
        <row r="288">
          <cell r="B288" t="str">
            <v>Trần Nam Anh</v>
          </cell>
          <cell r="E288" t="str">
            <v>A3</v>
          </cell>
        </row>
        <row r="289">
          <cell r="B289" t="str">
            <v>Vũ Hạnh Chiêu</v>
          </cell>
          <cell r="E289" t="str">
            <v>A3</v>
          </cell>
        </row>
        <row r="290">
          <cell r="B290" t="str">
            <v>Ngô Phong Cường</v>
          </cell>
          <cell r="E290" t="str">
            <v>A3</v>
          </cell>
        </row>
        <row r="291">
          <cell r="B291" t="str">
            <v>Nguyễn Minh Đức Cường</v>
          </cell>
          <cell r="E291" t="str">
            <v>A3</v>
          </cell>
        </row>
        <row r="292">
          <cell r="B292" t="str">
            <v>Nguyễn Hồng Đức</v>
          </cell>
          <cell r="E292" t="str">
            <v>A4</v>
          </cell>
        </row>
        <row r="293">
          <cell r="B293" t="str">
            <v>Nguyễn Minh Đức</v>
          </cell>
          <cell r="E293" t="str">
            <v>A3</v>
          </cell>
        </row>
        <row r="294">
          <cell r="B294" t="str">
            <v>Nguyễn Thị Ngọc Hiền</v>
          </cell>
          <cell r="E294" t="str">
            <v>A4</v>
          </cell>
        </row>
        <row r="295">
          <cell r="B295" t="str">
            <v>Trần Trung Hiếu</v>
          </cell>
          <cell r="E295" t="str">
            <v>A3</v>
          </cell>
        </row>
        <row r="296">
          <cell r="B296" t="str">
            <v>Mạnh Lê Hoàn</v>
          </cell>
          <cell r="E296" t="str">
            <v>A3</v>
          </cell>
        </row>
        <row r="297">
          <cell r="B297" t="str">
            <v>Phan Thanh Hoàng</v>
          </cell>
          <cell r="E297" t="str">
            <v>A3</v>
          </cell>
        </row>
        <row r="298">
          <cell r="B298" t="str">
            <v>Lê Thế Huân</v>
          </cell>
          <cell r="E298" t="str">
            <v>A3</v>
          </cell>
        </row>
        <row r="299">
          <cell r="B299" t="str">
            <v>Tăng Cẩm Huê</v>
          </cell>
          <cell r="E299" t="str">
            <v>A3</v>
          </cell>
        </row>
        <row r="300">
          <cell r="B300" t="str">
            <v>Nguyễn Thùy Linh</v>
          </cell>
          <cell r="E300" t="str">
            <v>A3</v>
          </cell>
        </row>
        <row r="301">
          <cell r="B301" t="str">
            <v>Đặng Đức Minh</v>
          </cell>
          <cell r="E301" t="str">
            <v>A3</v>
          </cell>
        </row>
        <row r="302">
          <cell r="B302" t="str">
            <v>Trần Giang Nam</v>
          </cell>
          <cell r="E302" t="str">
            <v>A3</v>
          </cell>
        </row>
        <row r="303">
          <cell r="B303" t="str">
            <v>Nguyễn Thị Tố Nga</v>
          </cell>
          <cell r="E303" t="str">
            <v>A3</v>
          </cell>
        </row>
        <row r="304">
          <cell r="B304" t="str">
            <v>Nguyễn Trần Thanh Nhàn</v>
          </cell>
          <cell r="E304" t="str">
            <v>A4</v>
          </cell>
        </row>
        <row r="305">
          <cell r="B305" t="str">
            <v>Đỗ Huỳnh Thanh Phong</v>
          </cell>
          <cell r="E305" t="str">
            <v>A3</v>
          </cell>
        </row>
        <row r="306">
          <cell r="B306" t="str">
            <v>Nguyễn Anh Tăng</v>
          </cell>
          <cell r="E306" t="str">
            <v>A3</v>
          </cell>
        </row>
        <row r="307">
          <cell r="B307" t="str">
            <v>Nguyễn Khương Thành</v>
          </cell>
          <cell r="E307" t="str">
            <v>A3</v>
          </cell>
        </row>
        <row r="308">
          <cell r="B308" t="str">
            <v>Trần Công Tiến</v>
          </cell>
          <cell r="E308" t="str">
            <v>A3</v>
          </cell>
        </row>
        <row r="309">
          <cell r="B309" t="str">
            <v>Cao Văn Tuấn</v>
          </cell>
          <cell r="E309" t="str">
            <v>A3</v>
          </cell>
        </row>
        <row r="310">
          <cell r="B310" t="str">
            <v>Trần Hiếu Trinh</v>
          </cell>
          <cell r="E310" t="str">
            <v>A3</v>
          </cell>
        </row>
        <row r="311">
          <cell r="B311" t="str">
            <v>Nguyễn Văn Yên</v>
          </cell>
          <cell r="E311" t="str">
            <v>A3</v>
          </cell>
        </row>
        <row r="312">
          <cell r="B312" t="str">
            <v>KHOA MAY - THỜI TRANG</v>
          </cell>
          <cell r="E312">
            <v>8</v>
          </cell>
        </row>
        <row r="313">
          <cell r="B313" t="str">
            <v>Viên chức</v>
          </cell>
          <cell r="E313">
            <v>8</v>
          </cell>
        </row>
        <row r="314">
          <cell r="B314" t="str">
            <v>Nguyễn Ngọc Thọ</v>
          </cell>
          <cell r="E314" t="str">
            <v>A2</v>
          </cell>
        </row>
        <row r="315">
          <cell r="B315" t="str">
            <v>Chế Vân Cầm</v>
          </cell>
          <cell r="E315" t="str">
            <v>A4</v>
          </cell>
        </row>
        <row r="316">
          <cell r="B316" t="str">
            <v>Nguyễn Bạch Cẩm Dung</v>
          </cell>
          <cell r="E316" t="str">
            <v>A4</v>
          </cell>
        </row>
        <row r="317">
          <cell r="B317" t="str">
            <v>Nguyễn Thị Hiền</v>
          </cell>
          <cell r="E317" t="str">
            <v>A3</v>
          </cell>
        </row>
        <row r="318">
          <cell r="B318" t="str">
            <v>Bùi Thị Ngọc Sương</v>
          </cell>
          <cell r="E318" t="str">
            <v>A3</v>
          </cell>
        </row>
        <row r="319">
          <cell r="B319" t="str">
            <v>Lê Thị Phương Thảo</v>
          </cell>
          <cell r="E319" t="str">
            <v>A4</v>
          </cell>
        </row>
        <row r="320">
          <cell r="B320" t="str">
            <v>Trần Hồng Thảo</v>
          </cell>
          <cell r="E320" t="str">
            <v>A4</v>
          </cell>
        </row>
        <row r="321">
          <cell r="B321" t="str">
            <v>Lâm Thị Phương Thùy</v>
          </cell>
          <cell r="E321" t="str">
            <v>A3</v>
          </cell>
        </row>
        <row r="322">
          <cell r="B322" t="str">
            <v>KHOA XÂY DỰNG - NHIỆT LẠNH</v>
          </cell>
          <cell r="E322">
            <v>12</v>
          </cell>
        </row>
        <row r="323">
          <cell r="B323" t="str">
            <v>Viên chức</v>
          </cell>
          <cell r="E323">
            <v>12</v>
          </cell>
        </row>
        <row r="324">
          <cell r="B324" t="str">
            <v>Phạm Quang Vũ</v>
          </cell>
          <cell r="E324" t="str">
            <v>A2</v>
          </cell>
        </row>
        <row r="325">
          <cell r="B325" t="str">
            <v>Hoàng Văn Viết</v>
          </cell>
          <cell r="E325" t="str">
            <v>A2</v>
          </cell>
        </row>
        <row r="326">
          <cell r="B326" t="str">
            <v>Đinh Đồng Hiệp</v>
          </cell>
          <cell r="E326" t="str">
            <v>A4</v>
          </cell>
        </row>
        <row r="327">
          <cell r="B327" t="str">
            <v>Võ Anh Hào</v>
          </cell>
          <cell r="E327" t="str">
            <v>A3</v>
          </cell>
        </row>
        <row r="328">
          <cell r="B328" t="str">
            <v>Đặng Thế Huân</v>
          </cell>
          <cell r="E328" t="str">
            <v>A3</v>
          </cell>
        </row>
        <row r="329">
          <cell r="B329" t="str">
            <v>Nguyễn Vũ Xuân Thì</v>
          </cell>
          <cell r="E329" t="str">
            <v>A4</v>
          </cell>
        </row>
        <row r="330">
          <cell r="B330" t="str">
            <v>Đỗ Trọng Quý</v>
          </cell>
          <cell r="E330" t="str">
            <v>A3</v>
          </cell>
        </row>
        <row r="331">
          <cell r="B331" t="str">
            <v>Trần Đình Khoa</v>
          </cell>
          <cell r="E331" t="str">
            <v>A4</v>
          </cell>
        </row>
        <row r="332">
          <cell r="B332" t="str">
            <v>Phan Văn Hòa</v>
          </cell>
          <cell r="E332" t="str">
            <v>A3</v>
          </cell>
        </row>
        <row r="333">
          <cell r="B333" t="str">
            <v>Nguyễn Thanh Dũng</v>
          </cell>
          <cell r="E333" t="str">
            <v>A3</v>
          </cell>
        </row>
        <row r="334">
          <cell r="B334" t="str">
            <v>Trình Minh Phong</v>
          </cell>
          <cell r="E334" t="str">
            <v>A4</v>
          </cell>
        </row>
        <row r="335">
          <cell r="B335" t="str">
            <v>Trần Ngọc Tuấn</v>
          </cell>
          <cell r="E335" t="str">
            <v>A4</v>
          </cell>
        </row>
        <row r="336">
          <cell r="B336" t="str">
            <v>KHOA KINH TẾ</v>
          </cell>
          <cell r="E336">
            <v>12</v>
          </cell>
        </row>
        <row r="337">
          <cell r="B337" t="str">
            <v>Viên chức</v>
          </cell>
          <cell r="E337">
            <v>12</v>
          </cell>
        </row>
        <row r="338">
          <cell r="B338" t="str">
            <v>Trịnh Hoàng Hiệp</v>
          </cell>
          <cell r="E338" t="str">
            <v>A2</v>
          </cell>
        </row>
        <row r="339">
          <cell r="B339" t="str">
            <v>Phạm Quỳnh Như</v>
          </cell>
          <cell r="E339" t="str">
            <v>A3</v>
          </cell>
        </row>
        <row r="340">
          <cell r="B340" t="str">
            <v>Lưu Thị Thúy</v>
          </cell>
          <cell r="E340" t="str">
            <v>A3</v>
          </cell>
        </row>
        <row r="341">
          <cell r="B341" t="str">
            <v>Trần Thị Ngọc Dung</v>
          </cell>
          <cell r="E341" t="str">
            <v>A3</v>
          </cell>
        </row>
        <row r="342">
          <cell r="B342" t="str">
            <v>Cao Xuân Giang</v>
          </cell>
          <cell r="E342" t="str">
            <v>A3</v>
          </cell>
        </row>
        <row r="343">
          <cell r="B343" t="str">
            <v>Nguyễn Thị Thanh Hòa</v>
          </cell>
          <cell r="E343" t="str">
            <v>A3</v>
          </cell>
        </row>
        <row r="344">
          <cell r="B344" t="str">
            <v>Huỳnh Kim Liên</v>
          </cell>
          <cell r="E344" t="str">
            <v>A3</v>
          </cell>
        </row>
        <row r="345">
          <cell r="B345" t="str">
            <v>Lê Hồng Ngọc My</v>
          </cell>
          <cell r="E345" t="str">
            <v>A3</v>
          </cell>
        </row>
        <row r="346">
          <cell r="B346" t="str">
            <v>Lê Thị Thu Thảo</v>
          </cell>
          <cell r="E346" t="str">
            <v>A3</v>
          </cell>
        </row>
        <row r="347">
          <cell r="B347" t="str">
            <v>Nguyễn Thị Minh Thùy</v>
          </cell>
          <cell r="E347" t="str">
            <v>A3</v>
          </cell>
        </row>
        <row r="348">
          <cell r="B348" t="str">
            <v>Nguyễn Mỹ Tiên</v>
          </cell>
          <cell r="E348" t="str">
            <v>A3</v>
          </cell>
        </row>
        <row r="349">
          <cell r="B349" t="str">
            <v>Nguyễn Huỳnh Lưu Phương</v>
          </cell>
          <cell r="E349" t="str">
            <v>A3</v>
          </cell>
        </row>
        <row r="350">
          <cell r="B350" t="str">
            <v>KHOA DU LỊCH - KHÁCH SẠN</v>
          </cell>
          <cell r="E350">
            <v>7</v>
          </cell>
        </row>
        <row r="351">
          <cell r="B351" t="str">
            <v>Viên chức</v>
          </cell>
          <cell r="E351">
            <v>7</v>
          </cell>
        </row>
        <row r="352">
          <cell r="B352" t="str">
            <v>Hồ Gia Bảo</v>
          </cell>
          <cell r="E352" t="str">
            <v>A1</v>
          </cell>
        </row>
        <row r="353">
          <cell r="B353" t="str">
            <v>Lữ Xuân Trang</v>
          </cell>
          <cell r="E353" t="str">
            <v>A1</v>
          </cell>
        </row>
        <row r="354">
          <cell r="B354" t="str">
            <v>Phạm Thị Thanh Thúy</v>
          </cell>
          <cell r="E354" t="str">
            <v>A2</v>
          </cell>
        </row>
        <row r="355">
          <cell r="B355" t="str">
            <v>Đinh Thị Trâm</v>
          </cell>
          <cell r="E355" t="str">
            <v>A2</v>
          </cell>
        </row>
        <row r="356">
          <cell r="B356" t="str">
            <v>Lê Thị Thúy Oanh</v>
          </cell>
          <cell r="E356" t="str">
            <v>A3</v>
          </cell>
        </row>
        <row r="357">
          <cell r="B357" t="str">
            <v>Võ Thị Kim Thư</v>
          </cell>
          <cell r="E357" t="str">
            <v>A3</v>
          </cell>
        </row>
        <row r="358">
          <cell r="B358" t="str">
            <v>Nguyễn Hoàng Thanh Ngân</v>
          </cell>
          <cell r="E358" t="str">
            <v>A DN</v>
          </cell>
        </row>
        <row r="359">
          <cell r="B359" t="str">
            <v>TRUNG TÂM THƯ VIỆN</v>
          </cell>
          <cell r="E359">
            <v>7</v>
          </cell>
        </row>
        <row r="360">
          <cell r="B360" t="str">
            <v>Viên chức</v>
          </cell>
          <cell r="E360">
            <v>4</v>
          </cell>
        </row>
        <row r="361">
          <cell r="B361" t="str">
            <v>Hồ Ngọc Chi</v>
          </cell>
          <cell r="E361" t="str">
            <v>A2</v>
          </cell>
        </row>
        <row r="362">
          <cell r="B362" t="str">
            <v>Nguyễn Tứ Cảnh</v>
          </cell>
          <cell r="E362" t="str">
            <v>A4</v>
          </cell>
        </row>
        <row r="363">
          <cell r="B363" t="str">
            <v>Đặng Thu Hà</v>
          </cell>
          <cell r="E363" t="str">
            <v>A3</v>
          </cell>
        </row>
        <row r="364">
          <cell r="B364" t="str">
            <v>Trần Thị Diễm Thúy</v>
          </cell>
          <cell r="E364" t="str">
            <v>A3</v>
          </cell>
        </row>
        <row r="365">
          <cell r="B365" t="str">
            <v>Hợp đồng trường</v>
          </cell>
          <cell r="E365">
            <v>3</v>
          </cell>
        </row>
        <row r="366">
          <cell r="B366" t="str">
            <v>Nguyễn Thị Trang</v>
          </cell>
          <cell r="E366" t="str">
            <v>A3</v>
          </cell>
        </row>
        <row r="367">
          <cell r="B367" t="str">
            <v>Hà Thị Hậu</v>
          </cell>
          <cell r="E367" t="str">
            <v>A3</v>
          </cell>
        </row>
        <row r="368">
          <cell r="B368" t="str">
            <v>Lư Diễm Phúc</v>
          </cell>
          <cell r="E368" t="str">
            <v>A3</v>
          </cell>
        </row>
        <row r="369">
          <cell r="B369" t="str">
            <v>TRUNG TÂM ĐÀO TẠO VÀ QUẢN LÝ VẬT TƯ THIẾT BỊ</v>
          </cell>
          <cell r="E369">
            <v>10</v>
          </cell>
        </row>
        <row r="370">
          <cell r="B370" t="str">
            <v>Viên chức</v>
          </cell>
          <cell r="E370">
            <v>6</v>
          </cell>
        </row>
        <row r="371">
          <cell r="B371" t="str">
            <v>Lương Xuân Thịnh</v>
          </cell>
          <cell r="E371" t="str">
            <v>A1</v>
          </cell>
        </row>
        <row r="372">
          <cell r="B372" t="str">
            <v>Nguyễn Cao Thắng</v>
          </cell>
          <cell r="E372" t="str">
            <v>A1</v>
          </cell>
        </row>
        <row r="373">
          <cell r="B373" t="str">
            <v>Đỗ Thị Tâm</v>
          </cell>
          <cell r="E373" t="str">
            <v>A4</v>
          </cell>
        </row>
        <row r="374">
          <cell r="B374" t="str">
            <v>Bùi Đặng Hoàng Tuấn</v>
          </cell>
          <cell r="E374" t="str">
            <v>A2</v>
          </cell>
        </row>
        <row r="375">
          <cell r="B375" t="str">
            <v>Võ Tấn Kiệt</v>
          </cell>
          <cell r="E375" t="str">
            <v>A1</v>
          </cell>
        </row>
        <row r="376">
          <cell r="B376" t="str">
            <v>Nguyễn Tiến Việt Dũng</v>
          </cell>
          <cell r="E376" t="str">
            <v>A2</v>
          </cell>
        </row>
        <row r="377">
          <cell r="B377" t="str">
            <v>Hợp đồng trường</v>
          </cell>
          <cell r="E377">
            <v>4</v>
          </cell>
        </row>
        <row r="378">
          <cell r="B378" t="str">
            <v>Lương Thị Thắm</v>
          </cell>
          <cell r="E378" t="str">
            <v>A4</v>
          </cell>
        </row>
        <row r="379">
          <cell r="B379" t="str">
            <v>Đỗ Công Thành</v>
          </cell>
          <cell r="E379" t="str">
            <v>A1</v>
          </cell>
        </row>
        <row r="380">
          <cell r="B380" t="str">
            <v>Nguyễn Xuân Lợi</v>
          </cell>
          <cell r="E380" t="str">
            <v>A3</v>
          </cell>
        </row>
        <row r="381">
          <cell r="B381" t="str">
            <v>Nguyễn Hoàng Hải</v>
          </cell>
          <cell r="E381" t="str">
            <v>A3</v>
          </cell>
        </row>
        <row r="382">
          <cell r="B382" t="str">
            <v>TRUNG TÂM Y TẾ</v>
          </cell>
          <cell r="E382">
            <v>3</v>
          </cell>
        </row>
        <row r="383">
          <cell r="B383" t="str">
            <v>Viên chức</v>
          </cell>
          <cell r="E383">
            <v>2</v>
          </cell>
        </row>
        <row r="384">
          <cell r="B384" t="str">
            <v>Trang Thị Xuân Uyên</v>
          </cell>
          <cell r="E384" t="str">
            <v>A2</v>
          </cell>
        </row>
        <row r="385">
          <cell r="B385" t="str">
            <v>Bùi Thị Lan Anh</v>
          </cell>
          <cell r="E385" t="str">
            <v>A3</v>
          </cell>
        </row>
        <row r="386">
          <cell r="B386" t="str">
            <v>Hợp đồng trường</v>
          </cell>
          <cell r="E386">
            <v>1</v>
          </cell>
        </row>
        <row r="387">
          <cell r="B387" t="str">
            <v>Lê Thị Huyền</v>
          </cell>
          <cell r="E387" t="str">
            <v>A2</v>
          </cell>
        </row>
        <row r="388">
          <cell r="B388" t="str">
            <v>TRUNG TÂM ĐIỀU HÀNH VÀ QLDL</v>
          </cell>
          <cell r="E388">
            <v>7</v>
          </cell>
        </row>
        <row r="389">
          <cell r="B389" t="str">
            <v>Viên chức</v>
          </cell>
          <cell r="E389">
            <v>4</v>
          </cell>
        </row>
        <row r="390">
          <cell r="B390" t="str">
            <v>Nguyễn Hữu Thiện</v>
          </cell>
          <cell r="E390" t="str">
            <v>A1</v>
          </cell>
        </row>
        <row r="391">
          <cell r="B391" t="str">
            <v>Trương Thị Hồng</v>
          </cell>
          <cell r="E391" t="str">
            <v>A1</v>
          </cell>
        </row>
        <row r="392">
          <cell r="B392" t="str">
            <v>Vương Hội Khánh</v>
          </cell>
          <cell r="E392" t="str">
            <v>A1</v>
          </cell>
        </row>
        <row r="393">
          <cell r="B393" t="str">
            <v>Trương Hữu Lộc</v>
          </cell>
          <cell r="E393" t="str">
            <v>A1</v>
          </cell>
        </row>
        <row r="394">
          <cell r="B394" t="str">
            <v>Hợp đồng trường</v>
          </cell>
          <cell r="E394">
            <v>3</v>
          </cell>
        </row>
        <row r="395">
          <cell r="B395" t="str">
            <v>Phạm Huỳnh Kim Ngân</v>
          </cell>
          <cell r="E395" t="str">
            <v>A4</v>
          </cell>
        </row>
        <row r="396">
          <cell r="B396" t="str">
            <v>Nguyễn Đan Trường</v>
          </cell>
          <cell r="E396" t="str">
            <v>A1</v>
          </cell>
        </row>
        <row r="397">
          <cell r="B397" t="str">
            <v>Lương Công Phi</v>
          </cell>
          <cell r="E397" t="str">
            <v>A4</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A3</v>
          </cell>
          <cell r="E26" t="str">
            <v>A3</v>
          </cell>
        </row>
        <row r="27">
          <cell r="B27" t="str">
            <v>PHÒNG TUYỂN SINH - ĐÀO TẠO</v>
          </cell>
          <cell r="C27">
            <v>0</v>
          </cell>
          <cell r="D27">
            <v>0</v>
          </cell>
          <cell r="E27">
            <v>16</v>
          </cell>
        </row>
        <row r="28">
          <cell r="B28" t="str">
            <v>Viên chức</v>
          </cell>
          <cell r="C28">
            <v>0</v>
          </cell>
          <cell r="D28">
            <v>0</v>
          </cell>
          <cell r="E28">
            <v>10</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A2</v>
          </cell>
          <cell r="E32" t="str">
            <v>A2</v>
          </cell>
        </row>
        <row r="33">
          <cell r="B33" t="str">
            <v>Nguyễn Thị Thanh Thảo</v>
          </cell>
          <cell r="C33" t="str">
            <v>01004008</v>
          </cell>
          <cell r="D33" t="str">
            <v>A3</v>
          </cell>
          <cell r="E33" t="str">
            <v>A2</v>
          </cell>
        </row>
        <row r="34">
          <cell r="B34" t="str">
            <v>Huỳnh Thị Cẩm Hoa</v>
          </cell>
          <cell r="C34" t="str">
            <v>01005009</v>
          </cell>
          <cell r="D34" t="str">
            <v>A3</v>
          </cell>
          <cell r="E34" t="str">
            <v>A3</v>
          </cell>
        </row>
        <row r="35">
          <cell r="B35" t="str">
            <v>Giáp Thị Vượng</v>
          </cell>
          <cell r="C35" t="str">
            <v>01004009</v>
          </cell>
          <cell r="D35" t="str">
            <v>A2</v>
          </cell>
          <cell r="E35" t="str">
            <v>A2</v>
          </cell>
        </row>
        <row r="36">
          <cell r="B36" t="str">
            <v>Thái Thị My Sa</v>
          </cell>
          <cell r="C36" t="str">
            <v>01002020</v>
          </cell>
          <cell r="D36" t="str">
            <v>A1</v>
          </cell>
          <cell r="E36" t="str">
            <v>A1</v>
          </cell>
        </row>
        <row r="37">
          <cell r="B37" t="str">
            <v>Nguyễn Thị Hải Hà</v>
          </cell>
          <cell r="C37" t="str">
            <v>01012026</v>
          </cell>
          <cell r="D37" t="str">
            <v>A2</v>
          </cell>
          <cell r="E37" t="str">
            <v>A2</v>
          </cell>
        </row>
        <row r="38">
          <cell r="B38" t="str">
            <v>Nguyễn Thị Ngọc Anh</v>
          </cell>
          <cell r="C38" t="str">
            <v>01022058</v>
          </cell>
          <cell r="D38" t="str">
            <v>A3</v>
          </cell>
          <cell r="E38" t="str">
            <v>A3</v>
          </cell>
        </row>
        <row r="39">
          <cell r="B39" t="str">
            <v>Hợp đồng trường</v>
          </cell>
          <cell r="C39">
            <v>0</v>
          </cell>
          <cell r="D39">
            <v>0</v>
          </cell>
          <cell r="E39">
            <v>6</v>
          </cell>
        </row>
        <row r="40">
          <cell r="B40" t="str">
            <v>Trần Nhật Thịnh</v>
          </cell>
          <cell r="C40" t="str">
            <v>01004020</v>
          </cell>
          <cell r="D40" t="str">
            <v>A3</v>
          </cell>
          <cell r="E40" t="str">
            <v>A3</v>
          </cell>
        </row>
        <row r="41">
          <cell r="B41" t="str">
            <v>Sỹ Thị Chung</v>
          </cell>
          <cell r="C41" t="str">
            <v>01011017</v>
          </cell>
          <cell r="D41" t="str">
            <v>A2</v>
          </cell>
          <cell r="E41" t="str">
            <v>A2</v>
          </cell>
        </row>
        <row r="42">
          <cell r="B42" t="str">
            <v>Nguyễn Thị Tất</v>
          </cell>
          <cell r="C42" t="str">
            <v>01022059</v>
          </cell>
          <cell r="D42" t="str">
            <v>A2</v>
          </cell>
          <cell r="E42" t="str">
            <v>A2</v>
          </cell>
        </row>
        <row r="43">
          <cell r="B43" t="str">
            <v>Nguyễn Thị Nhung</v>
          </cell>
          <cell r="C43" t="str">
            <v>01018006</v>
          </cell>
          <cell r="D43" t="str">
            <v>A1</v>
          </cell>
          <cell r="E43" t="str">
            <v>A1</v>
          </cell>
        </row>
        <row r="44">
          <cell r="B44" t="str">
            <v>Võ Thị Mỹ Ngọc</v>
          </cell>
          <cell r="C44" t="str">
            <v>01004021</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25</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14</v>
          </cell>
        </row>
        <row r="60">
          <cell r="B60" t="str">
            <v>Huỳnh Thị Xuân Mai</v>
          </cell>
          <cell r="C60" t="str">
            <v>01007006</v>
          </cell>
          <cell r="D60" t="str">
            <v>A2</v>
          </cell>
          <cell r="E60" t="str">
            <v>A2</v>
          </cell>
        </row>
        <row r="61">
          <cell r="B61" t="str">
            <v>Phạm Hữu Tấn</v>
          </cell>
          <cell r="C61" t="str">
            <v>01002023</v>
          </cell>
          <cell r="D61" t="str">
            <v>A3</v>
          </cell>
          <cell r="E61" t="str">
            <v>A3</v>
          </cell>
        </row>
        <row r="62">
          <cell r="B62" t="str">
            <v>Trần Văn Cu Anh</v>
          </cell>
          <cell r="C62" t="str">
            <v>01002007</v>
          </cell>
          <cell r="D62" t="str">
            <v>A3</v>
          </cell>
          <cell r="E62" t="str">
            <v>A3</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Nguyễn Thanh Hiền</v>
          </cell>
          <cell r="C68" t="str">
            <v>01002033</v>
          </cell>
          <cell r="D68" t="str">
            <v>A3</v>
          </cell>
          <cell r="E68" t="str">
            <v>A3</v>
          </cell>
        </row>
        <row r="69">
          <cell r="B69" t="str">
            <v>Phạm Quang Tùng</v>
          </cell>
          <cell r="C69" t="str">
            <v>01010068</v>
          </cell>
          <cell r="D69" t="str">
            <v>A4</v>
          </cell>
          <cell r="E69" t="str">
            <v>A4</v>
          </cell>
        </row>
        <row r="70">
          <cell r="B70" t="str">
            <v>Trần Thanh Cường</v>
          </cell>
          <cell r="C70" t="str">
            <v>01002040</v>
          </cell>
          <cell r="D70" t="str">
            <v>A3</v>
          </cell>
          <cell r="E70" t="str">
            <v>A3</v>
          </cell>
        </row>
        <row r="71">
          <cell r="B71" t="str">
            <v>Vũ Anh Hiếu</v>
          </cell>
          <cell r="C71" t="str">
            <v>01002041</v>
          </cell>
          <cell r="D71" t="str">
            <v>A3</v>
          </cell>
          <cell r="E71" t="str">
            <v>A3</v>
          </cell>
        </row>
        <row r="72">
          <cell r="B72" t="str">
            <v>Dương Văn Tâm</v>
          </cell>
          <cell r="C72" t="str">
            <v>01002035</v>
          </cell>
          <cell r="D72" t="str">
            <v>A3</v>
          </cell>
          <cell r="E72" t="str">
            <v>A2</v>
          </cell>
        </row>
        <row r="73">
          <cell r="B73" t="str">
            <v>Huỳnh Ngọc Liên</v>
          </cell>
          <cell r="C73" t="str">
            <v>01002036</v>
          </cell>
          <cell r="D73" t="str">
            <v>A2</v>
          </cell>
          <cell r="E73" t="str">
            <v>A2</v>
          </cell>
        </row>
        <row r="74">
          <cell r="B74" t="str">
            <v>PHÒNG TTGD-QHDN</v>
          </cell>
          <cell r="C74">
            <v>0</v>
          </cell>
          <cell r="D74">
            <v>0</v>
          </cell>
          <cell r="E74">
            <v>16</v>
          </cell>
        </row>
        <row r="75">
          <cell r="B75" t="str">
            <v>Viên chức</v>
          </cell>
          <cell r="C75">
            <v>0</v>
          </cell>
          <cell r="D75">
            <v>0</v>
          </cell>
          <cell r="E75">
            <v>8</v>
          </cell>
        </row>
        <row r="76">
          <cell r="B76" t="str">
            <v>Nguyễn Văn Chiến</v>
          </cell>
          <cell r="C76" t="str">
            <v>01007008</v>
          </cell>
          <cell r="D76" t="str">
            <v>A3</v>
          </cell>
          <cell r="E76" t="str">
            <v>A2</v>
          </cell>
        </row>
        <row r="77">
          <cell r="B77" t="str">
            <v>Lê Xuân Thiện</v>
          </cell>
          <cell r="C77" t="str">
            <v>01002002</v>
          </cell>
          <cell r="D77" t="str">
            <v>A3</v>
          </cell>
          <cell r="E77" t="str">
            <v>A3</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A3</v>
          </cell>
          <cell r="E81" t="str">
            <v>A3</v>
          </cell>
        </row>
        <row r="82">
          <cell r="B82" t="str">
            <v>Mai Thu Hương</v>
          </cell>
          <cell r="C82" t="str">
            <v>01007004</v>
          </cell>
          <cell r="D82" t="str">
            <v>A4</v>
          </cell>
          <cell r="E82" t="str">
            <v>A4</v>
          </cell>
        </row>
        <row r="83">
          <cell r="B83" t="str">
            <v>Nguyễn Thùy Dương</v>
          </cell>
          <cell r="C83" t="str">
            <v>01014012</v>
          </cell>
          <cell r="D83" t="str">
            <v>A4</v>
          </cell>
          <cell r="E83" t="str">
            <v>A4</v>
          </cell>
        </row>
        <row r="84">
          <cell r="B84" t="str">
            <v>Hợp đồng trường</v>
          </cell>
          <cell r="C84">
            <v>0</v>
          </cell>
          <cell r="D84">
            <v>0</v>
          </cell>
          <cell r="E84">
            <v>8</v>
          </cell>
        </row>
        <row r="85">
          <cell r="B85" t="str">
            <v>Nguyễn Trung Dũng</v>
          </cell>
          <cell r="C85" t="str">
            <v>01002008</v>
          </cell>
          <cell r="D85" t="str">
            <v>A3</v>
          </cell>
          <cell r="E85" t="str">
            <v>A3</v>
          </cell>
        </row>
        <row r="86">
          <cell r="B86" t="str">
            <v>Huỳnh Văn Hiếu</v>
          </cell>
          <cell r="C86" t="str">
            <v>01009019</v>
          </cell>
          <cell r="D86" t="str">
            <v>A3</v>
          </cell>
          <cell r="E86" t="str">
            <v>A3</v>
          </cell>
        </row>
        <row r="87">
          <cell r="B87" t="str">
            <v>Phạm Huy Hoàng</v>
          </cell>
          <cell r="C87" t="str">
            <v>01009011</v>
          </cell>
          <cell r="D87" t="str">
            <v>A3</v>
          </cell>
          <cell r="E87" t="str">
            <v>A3</v>
          </cell>
        </row>
        <row r="88">
          <cell r="B88" t="str">
            <v>Trần Anh Mỹ</v>
          </cell>
          <cell r="C88" t="str">
            <v>01009028</v>
          </cell>
          <cell r="D88" t="str">
            <v>A4</v>
          </cell>
          <cell r="E88" t="str">
            <v>A4</v>
          </cell>
        </row>
        <row r="89">
          <cell r="B89" t="str">
            <v>Bùi Đức Phước</v>
          </cell>
          <cell r="C89" t="str">
            <v>01009026</v>
          </cell>
          <cell r="D89" t="str">
            <v>A3</v>
          </cell>
          <cell r="E89" t="str">
            <v>A3</v>
          </cell>
        </row>
        <row r="90">
          <cell r="B90" t="str">
            <v>Nguyễn Thị Thảo</v>
          </cell>
          <cell r="C90" t="str">
            <v>01007003</v>
          </cell>
          <cell r="D90" t="str">
            <v>A3</v>
          </cell>
          <cell r="E90" t="str">
            <v>A3</v>
          </cell>
        </row>
        <row r="91">
          <cell r="B91" t="str">
            <v>Lưu Hoàng Bảo Châu</v>
          </cell>
          <cell r="C91" t="str">
            <v>01009029</v>
          </cell>
          <cell r="D91" t="str">
            <v>A3</v>
          </cell>
          <cell r="E91" t="str">
            <v>A3</v>
          </cell>
        </row>
        <row r="92">
          <cell r="B92" t="str">
            <v>Trần Việt Anh</v>
          </cell>
          <cell r="C92" t="str">
            <v>01002038</v>
          </cell>
          <cell r="D92" t="str">
            <v>A3</v>
          </cell>
          <cell r="E92" t="str">
            <v>A3</v>
          </cell>
        </row>
        <row r="93">
          <cell r="B93" t="str">
            <v>PHÒNG KHẢO THÍ VÀ ĐBCL</v>
          </cell>
          <cell r="C93">
            <v>0</v>
          </cell>
          <cell r="D93">
            <v>0</v>
          </cell>
          <cell r="E93">
            <v>8</v>
          </cell>
        </row>
        <row r="94">
          <cell r="B94" t="str">
            <v>Viên chức</v>
          </cell>
          <cell r="C94">
            <v>0</v>
          </cell>
          <cell r="D94">
            <v>0</v>
          </cell>
          <cell r="E94">
            <v>7</v>
          </cell>
        </row>
        <row r="95">
          <cell r="B95" t="str">
            <v>Nguyễn Chí Nhân</v>
          </cell>
          <cell r="C95" t="str">
            <v>01009009</v>
          </cell>
          <cell r="D95" t="str">
            <v>B1</v>
          </cell>
          <cell r="E95" t="str">
            <v>A4</v>
          </cell>
        </row>
        <row r="96">
          <cell r="B96" t="str">
            <v>Nguyễn Thị Kim Dung</v>
          </cell>
          <cell r="C96" t="str">
            <v>01003002</v>
          </cell>
          <cell r="D96" t="str">
            <v>A2</v>
          </cell>
          <cell r="E96" t="str">
            <v>A2</v>
          </cell>
        </row>
        <row r="97">
          <cell r="B97" t="str">
            <v>Nguyễn Thanh Sơn</v>
          </cell>
          <cell r="C97" t="str">
            <v>01006003</v>
          </cell>
          <cell r="D97" t="str">
            <v>A3</v>
          </cell>
          <cell r="E97" t="str">
            <v>A3</v>
          </cell>
        </row>
        <row r="98">
          <cell r="B98" t="str">
            <v>Vũ Thị Thu Thủy</v>
          </cell>
          <cell r="C98" t="str">
            <v>01013032</v>
          </cell>
          <cell r="D98" t="str">
            <v>A2</v>
          </cell>
          <cell r="E98" t="str">
            <v>A1</v>
          </cell>
        </row>
        <row r="99">
          <cell r="B99" t="str">
            <v>Nguyễn Thị Tuyết</v>
          </cell>
          <cell r="C99" t="str">
            <v>01022061</v>
          </cell>
          <cell r="D99" t="str">
            <v>A3</v>
          </cell>
          <cell r="E99" t="str">
            <v>A3</v>
          </cell>
        </row>
        <row r="100">
          <cell r="B100" t="str">
            <v>Lương Minh Dũng</v>
          </cell>
          <cell r="C100" t="str">
            <v>01015027</v>
          </cell>
          <cell r="D100" t="str">
            <v>A3</v>
          </cell>
          <cell r="E100" t="str">
            <v>A3</v>
          </cell>
        </row>
        <row r="101">
          <cell r="B101" t="str">
            <v>Mai Nguyễn Hoàng Yến</v>
          </cell>
          <cell r="C101" t="str">
            <v>01010038</v>
          </cell>
          <cell r="D101" t="str">
            <v>A2</v>
          </cell>
          <cell r="E101" t="str">
            <v>A1</v>
          </cell>
        </row>
        <row r="102">
          <cell r="B102" t="str">
            <v>Hợp đồng trường</v>
          </cell>
          <cell r="C102">
            <v>0</v>
          </cell>
          <cell r="D102">
            <v>0</v>
          </cell>
          <cell r="E102">
            <v>1</v>
          </cell>
        </row>
        <row r="103">
          <cell r="B103" t="str">
            <v>Nguyễn Yến Nhi</v>
          </cell>
          <cell r="C103" t="str">
            <v>01006006</v>
          </cell>
          <cell r="D103" t="str">
            <v>A3</v>
          </cell>
          <cell r="E103" t="str">
            <v>A1</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A3</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A3</v>
          </cell>
        </row>
        <row r="117">
          <cell r="B117" t="str">
            <v>Phan Đức Long</v>
          </cell>
          <cell r="C117" t="str">
            <v>01009007</v>
          </cell>
          <cell r="D117" t="str">
            <v>A3</v>
          </cell>
          <cell r="E117" t="str">
            <v>A3</v>
          </cell>
        </row>
        <row r="118">
          <cell r="B118" t="str">
            <v>Giáp Văn Thịnh</v>
          </cell>
          <cell r="C118" t="str">
            <v>01008008</v>
          </cell>
          <cell r="D118" t="str">
            <v>A1</v>
          </cell>
          <cell r="E118" t="str">
            <v>A1</v>
          </cell>
        </row>
        <row r="119">
          <cell r="B119" t="str">
            <v>Vũ Ngọc Quang</v>
          </cell>
          <cell r="C119" t="str">
            <v>01008006</v>
          </cell>
          <cell r="D119" t="str">
            <v>A1</v>
          </cell>
          <cell r="E119" t="str">
            <v>A1</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18</v>
          </cell>
        </row>
        <row r="124">
          <cell r="B124" t="str">
            <v>Trần Thị Thu</v>
          </cell>
          <cell r="C124" t="str">
            <v>01008021</v>
          </cell>
          <cell r="D124" t="str">
            <v>A1</v>
          </cell>
          <cell r="E124" t="str">
            <v>A1</v>
          </cell>
        </row>
        <row r="125">
          <cell r="B125" t="str">
            <v>Dương Thị Thủy</v>
          </cell>
          <cell r="C125" t="str">
            <v>01008009</v>
          </cell>
          <cell r="D125" t="str">
            <v>A DN</v>
          </cell>
          <cell r="E125" t="str">
            <v>A DN</v>
          </cell>
        </row>
        <row r="126">
          <cell r="B126" t="str">
            <v>Đỗ Thị Bích Thủy</v>
          </cell>
          <cell r="C126" t="str">
            <v>01008031</v>
          </cell>
          <cell r="D126" t="str">
            <v>A2</v>
          </cell>
          <cell r="E126" t="str">
            <v>A2</v>
          </cell>
        </row>
        <row r="127">
          <cell r="B127" t="str">
            <v>Trần Kim Tươi</v>
          </cell>
          <cell r="C127" t="str">
            <v>01008039</v>
          </cell>
          <cell r="D127" t="str">
            <v>A2</v>
          </cell>
          <cell r="E127" t="str">
            <v>A2</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A2</v>
          </cell>
          <cell r="E130" t="str">
            <v>A2</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A4</v>
          </cell>
          <cell r="E133" t="str">
            <v>A4</v>
          </cell>
        </row>
        <row r="134">
          <cell r="B134" t="str">
            <v>Trịnh Tuấn Vũ</v>
          </cell>
          <cell r="C134" t="str">
            <v>01009015</v>
          </cell>
          <cell r="D134" t="str">
            <v>A4</v>
          </cell>
          <cell r="E134" t="str">
            <v>A4</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A1</v>
          </cell>
          <cell r="E138" t="str">
            <v>A1</v>
          </cell>
        </row>
        <row r="139">
          <cell r="B139" t="str">
            <v>Trần Thanh Phương</v>
          </cell>
          <cell r="C139" t="str">
            <v>01002034</v>
          </cell>
          <cell r="D139" t="str">
            <v>A2</v>
          </cell>
          <cell r="E139" t="str">
            <v>A1</v>
          </cell>
        </row>
        <row r="140">
          <cell r="B140" t="str">
            <v>Lâm Võ Hữu Duy</v>
          </cell>
          <cell r="C140" t="str">
            <v>01008050</v>
          </cell>
          <cell r="D140" t="str">
            <v>A3</v>
          </cell>
          <cell r="E140" t="str">
            <v>A2</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A3</v>
          </cell>
          <cell r="E144" t="str">
            <v>A2</v>
          </cell>
        </row>
        <row r="145">
          <cell r="B145" t="str">
            <v>Phạm Thị Thu Nga</v>
          </cell>
          <cell r="C145" t="str">
            <v>01010007</v>
          </cell>
          <cell r="D145" t="str">
            <v>A3</v>
          </cell>
          <cell r="E145" t="str">
            <v>A3</v>
          </cell>
        </row>
        <row r="146">
          <cell r="B146" t="str">
            <v>Nguyễn Văn Hậu</v>
          </cell>
          <cell r="C146" t="str">
            <v>01010033</v>
          </cell>
          <cell r="D146" t="str">
            <v>A4</v>
          </cell>
          <cell r="E146" t="str">
            <v>A DN</v>
          </cell>
        </row>
        <row r="147">
          <cell r="B147" t="str">
            <v>Dương Đức Kiên</v>
          </cell>
          <cell r="C147" t="str">
            <v>01010037</v>
          </cell>
          <cell r="D147" t="str">
            <v>A4</v>
          </cell>
          <cell r="E147" t="str">
            <v>A DN</v>
          </cell>
        </row>
        <row r="148">
          <cell r="B148" t="str">
            <v>Hà Như Mai</v>
          </cell>
          <cell r="C148" t="str">
            <v>01010031</v>
          </cell>
          <cell r="D148" t="str">
            <v>A4</v>
          </cell>
          <cell r="E148" t="str">
            <v>A DN</v>
          </cell>
        </row>
        <row r="149">
          <cell r="B149" t="str">
            <v>Nguyễn Thị Cẩm Thạch</v>
          </cell>
          <cell r="C149" t="str">
            <v>01010016</v>
          </cell>
          <cell r="D149" t="str">
            <v>A4</v>
          </cell>
          <cell r="E149" t="str">
            <v>A DN</v>
          </cell>
        </row>
        <row r="150">
          <cell r="B150" t="str">
            <v>Nguyễn Thị Thủy</v>
          </cell>
          <cell r="C150" t="str">
            <v>01010028</v>
          </cell>
          <cell r="D150" t="str">
            <v>A4</v>
          </cell>
          <cell r="E150" t="str">
            <v>A DN</v>
          </cell>
        </row>
        <row r="151">
          <cell r="B151" t="str">
            <v>Nguyễn Văn Đông</v>
          </cell>
          <cell r="C151" t="str">
            <v>01010017</v>
          </cell>
          <cell r="D151" t="str">
            <v>A4</v>
          </cell>
          <cell r="E151" t="str">
            <v>A DN</v>
          </cell>
        </row>
        <row r="152">
          <cell r="B152" t="str">
            <v>Nguyễn Thanh Tú</v>
          </cell>
          <cell r="C152" t="str">
            <v>01010012</v>
          </cell>
          <cell r="D152" t="str">
            <v>A4</v>
          </cell>
          <cell r="E152" t="str">
            <v>A DN</v>
          </cell>
        </row>
        <row r="153">
          <cell r="B153" t="str">
            <v>Trần Thị Ánh Tuyết</v>
          </cell>
          <cell r="C153" t="str">
            <v>01010029</v>
          </cell>
          <cell r="D153" t="str">
            <v>A4</v>
          </cell>
          <cell r="E153" t="str">
            <v>A DN</v>
          </cell>
        </row>
        <row r="154">
          <cell r="B154" t="str">
            <v>Đặng Thị Kiến Trúc</v>
          </cell>
          <cell r="C154" t="str">
            <v>01010024</v>
          </cell>
          <cell r="D154" t="str">
            <v>A4</v>
          </cell>
          <cell r="E154" t="str">
            <v>A DN</v>
          </cell>
        </row>
        <row r="155">
          <cell r="B155" t="str">
            <v>Lê Văn Bình</v>
          </cell>
          <cell r="C155" t="str">
            <v>01004012</v>
          </cell>
          <cell r="D155" t="str">
            <v>A4</v>
          </cell>
          <cell r="E155" t="str">
            <v>A DN</v>
          </cell>
        </row>
        <row r="156">
          <cell r="B156" t="str">
            <v>Nguyễn Phương Hà</v>
          </cell>
          <cell r="C156" t="str">
            <v>01010023</v>
          </cell>
          <cell r="D156" t="str">
            <v>A4</v>
          </cell>
          <cell r="E156" t="str">
            <v>A DN</v>
          </cell>
        </row>
        <row r="157">
          <cell r="B157" t="str">
            <v>Lê Minh Phong</v>
          </cell>
          <cell r="C157" t="str">
            <v>01022048</v>
          </cell>
          <cell r="D157" t="str">
            <v>A4</v>
          </cell>
          <cell r="E157" t="str">
            <v>A DN</v>
          </cell>
        </row>
        <row r="158">
          <cell r="B158" t="str">
            <v>Nguyễn Thị Huyền Nga</v>
          </cell>
          <cell r="C158" t="str">
            <v>01010006</v>
          </cell>
          <cell r="D158" t="str">
            <v>A4</v>
          </cell>
          <cell r="E158" t="str">
            <v>A DN</v>
          </cell>
        </row>
        <row r="159">
          <cell r="B159" t="str">
            <v>Trịnh Khắc Vũ</v>
          </cell>
          <cell r="C159" t="str">
            <v>01010026</v>
          </cell>
          <cell r="D159" t="str">
            <v>A4</v>
          </cell>
          <cell r="E159" t="str">
            <v>A DN</v>
          </cell>
        </row>
        <row r="160">
          <cell r="B160" t="str">
            <v>Lê Thái Hùng</v>
          </cell>
          <cell r="C160" t="str">
            <v>01010021</v>
          </cell>
          <cell r="D160" t="str">
            <v>A4</v>
          </cell>
          <cell r="E160" t="str">
            <v>A DN</v>
          </cell>
        </row>
        <row r="161">
          <cell r="B161" t="str">
            <v>Giang Phi Hùng</v>
          </cell>
          <cell r="C161" t="str">
            <v>01010030</v>
          </cell>
          <cell r="D161" t="str">
            <v>A4</v>
          </cell>
          <cell r="E161" t="str">
            <v>A DN</v>
          </cell>
        </row>
        <row r="162">
          <cell r="B162" t="str">
            <v>Ngô Thanh Điền</v>
          </cell>
          <cell r="C162" t="str">
            <v>01022005</v>
          </cell>
          <cell r="D162" t="str">
            <v>A4</v>
          </cell>
          <cell r="E162" t="str">
            <v>A DN</v>
          </cell>
        </row>
        <row r="163">
          <cell r="B163" t="str">
            <v>Nguyễn Phú Tân</v>
          </cell>
          <cell r="C163" t="str">
            <v>01010022</v>
          </cell>
          <cell r="D163" t="str">
            <v>A4</v>
          </cell>
          <cell r="E163" t="str">
            <v>A DN</v>
          </cell>
        </row>
        <row r="164">
          <cell r="B164" t="str">
            <v>Nguyễn Mạnh Phương</v>
          </cell>
          <cell r="C164" t="str">
            <v>01010032</v>
          </cell>
          <cell r="D164" t="str">
            <v>A4</v>
          </cell>
          <cell r="E164" t="str">
            <v>A DN</v>
          </cell>
        </row>
        <row r="165">
          <cell r="B165" t="str">
            <v>KHOA NGOẠI NGỮ</v>
          </cell>
          <cell r="C165">
            <v>0</v>
          </cell>
          <cell r="D165">
            <v>0</v>
          </cell>
          <cell r="E165">
            <v>15</v>
          </cell>
        </row>
        <row r="166">
          <cell r="B166" t="str">
            <v>Viên chức</v>
          </cell>
          <cell r="C166">
            <v>0</v>
          </cell>
          <cell r="D166">
            <v>0</v>
          </cell>
          <cell r="E166">
            <v>15</v>
          </cell>
        </row>
        <row r="167">
          <cell r="B167" t="str">
            <v>Nguyễn Thị Thu Hà</v>
          </cell>
          <cell r="C167" t="str">
            <v>01010039</v>
          </cell>
          <cell r="D167" t="str">
            <v>A3</v>
          </cell>
          <cell r="E167" t="str">
            <v>A2</v>
          </cell>
        </row>
        <row r="168">
          <cell r="B168" t="str">
            <v>Phạm Thị Thu Hiền</v>
          </cell>
          <cell r="C168" t="str">
            <v>01010040</v>
          </cell>
          <cell r="D168" t="str">
            <v>A4</v>
          </cell>
          <cell r="E168" t="str">
            <v>A DN</v>
          </cell>
        </row>
        <row r="169">
          <cell r="B169" t="str">
            <v>Lê Nguyễn Mỹ Trâm</v>
          </cell>
          <cell r="C169" t="str">
            <v>01010009</v>
          </cell>
          <cell r="D169" t="str">
            <v>A4</v>
          </cell>
          <cell r="E169" t="str">
            <v>A DN</v>
          </cell>
        </row>
        <row r="170">
          <cell r="B170" t="str">
            <v>Nguyễn Thị Bảo Trân</v>
          </cell>
          <cell r="C170" t="str">
            <v>01010020</v>
          </cell>
          <cell r="D170" t="str">
            <v>A4</v>
          </cell>
          <cell r="E170" t="str">
            <v>A DN</v>
          </cell>
        </row>
        <row r="171">
          <cell r="B171" t="str">
            <v>Vương Thanh Thủy</v>
          </cell>
          <cell r="C171" t="str">
            <v>01010018</v>
          </cell>
          <cell r="D171" t="str">
            <v>A4</v>
          </cell>
          <cell r="E171" t="str">
            <v>A DN</v>
          </cell>
        </row>
        <row r="172">
          <cell r="B172" t="str">
            <v>Nguyễn Thị Thu Tâm</v>
          </cell>
          <cell r="C172" t="str">
            <v>01010019</v>
          </cell>
          <cell r="D172" t="str">
            <v>A4</v>
          </cell>
          <cell r="E172" t="str">
            <v>A DN</v>
          </cell>
        </row>
        <row r="173">
          <cell r="B173" t="str">
            <v>Võ Thị Hồng Lan</v>
          </cell>
          <cell r="C173" t="str">
            <v>01010015</v>
          </cell>
          <cell r="D173" t="str">
            <v>A4</v>
          </cell>
          <cell r="E173" t="str">
            <v>A DN</v>
          </cell>
        </row>
        <row r="174">
          <cell r="B174" t="str">
            <v>Nguyễn Thị Thanh Tú</v>
          </cell>
          <cell r="C174" t="str">
            <v>01010027</v>
          </cell>
          <cell r="D174" t="str">
            <v>A4</v>
          </cell>
          <cell r="E174" t="str">
            <v>A DN</v>
          </cell>
        </row>
        <row r="175">
          <cell r="B175" t="str">
            <v>Trần Thanh Trúc</v>
          </cell>
          <cell r="C175" t="str">
            <v>01002025</v>
          </cell>
          <cell r="D175" t="str">
            <v>A4</v>
          </cell>
          <cell r="E175" t="str">
            <v>A DN</v>
          </cell>
        </row>
        <row r="176">
          <cell r="B176" t="str">
            <v>Nguyễn Thiện Bình</v>
          </cell>
          <cell r="C176" t="str">
            <v>01010162</v>
          </cell>
          <cell r="D176" t="str">
            <v>A4</v>
          </cell>
          <cell r="E176" t="str">
            <v>A DN</v>
          </cell>
        </row>
        <row r="177">
          <cell r="B177" t="str">
            <v>Lâm Thị Phương Thảo</v>
          </cell>
          <cell r="C177" t="str">
            <v>01010141</v>
          </cell>
          <cell r="D177" t="str">
            <v>A4</v>
          </cell>
          <cell r="E177" t="str">
            <v>A DN</v>
          </cell>
        </row>
        <row r="178">
          <cell r="B178" t="str">
            <v>Trần Hà Trang</v>
          </cell>
          <cell r="C178" t="str">
            <v>01010254</v>
          </cell>
          <cell r="D178" t="str">
            <v>A4</v>
          </cell>
          <cell r="E178" t="str">
            <v>A DN</v>
          </cell>
        </row>
        <row r="179">
          <cell r="B179" t="str">
            <v>Lê Thu Hà</v>
          </cell>
          <cell r="C179" t="str">
            <v>01010260</v>
          </cell>
          <cell r="D179" t="str">
            <v>A DN</v>
          </cell>
          <cell r="E179" t="str">
            <v>A DN</v>
          </cell>
        </row>
        <row r="180">
          <cell r="B180" t="str">
            <v>Ôn Thị Ngọc Thảo</v>
          </cell>
          <cell r="C180" t="str">
            <v>01010288</v>
          </cell>
          <cell r="D180" t="str">
            <v>A4</v>
          </cell>
          <cell r="E180" t="str">
            <v>A DN</v>
          </cell>
        </row>
        <row r="181">
          <cell r="B181" t="str">
            <v>Nguyễn Huỳnh Khánh Vy</v>
          </cell>
          <cell r="C181" t="str">
            <v>01027013</v>
          </cell>
          <cell r="D181" t="str">
            <v>A4</v>
          </cell>
          <cell r="E181" t="str">
            <v>A DN</v>
          </cell>
        </row>
        <row r="182">
          <cell r="B182" t="str">
            <v>KHOA LÝ LUẬN CHÍNH TRỊ</v>
          </cell>
          <cell r="C182">
            <v>0</v>
          </cell>
          <cell r="D182">
            <v>0</v>
          </cell>
          <cell r="E182">
            <v>15</v>
          </cell>
        </row>
        <row r="183">
          <cell r="B183" t="str">
            <v>Viên chức</v>
          </cell>
          <cell r="C183">
            <v>0</v>
          </cell>
          <cell r="D183">
            <v>0</v>
          </cell>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A4</v>
          </cell>
          <cell r="E186" t="str">
            <v>A DN</v>
          </cell>
        </row>
        <row r="187">
          <cell r="B187" t="str">
            <v>Bùi Thành Dũng</v>
          </cell>
          <cell r="C187" t="str">
            <v>01011011</v>
          </cell>
          <cell r="D187" t="str">
            <v>A4</v>
          </cell>
          <cell r="E187" t="str">
            <v>A DN</v>
          </cell>
        </row>
        <row r="188">
          <cell r="B188" t="str">
            <v>Lê Thị Mai Hường</v>
          </cell>
          <cell r="C188" t="str">
            <v>01011013</v>
          </cell>
          <cell r="D188" t="str">
            <v>A4</v>
          </cell>
          <cell r="E188" t="str">
            <v>A DN</v>
          </cell>
        </row>
        <row r="189">
          <cell r="B189" t="str">
            <v>Đinh Thị Huyên</v>
          </cell>
          <cell r="C189" t="str">
            <v>01011009</v>
          </cell>
          <cell r="D189" t="str">
            <v>A4</v>
          </cell>
          <cell r="E189" t="str">
            <v>A DN</v>
          </cell>
        </row>
        <row r="190">
          <cell r="B190" t="str">
            <v>Nguyễn Anh Kiệt</v>
          </cell>
          <cell r="C190" t="str">
            <v>01011001</v>
          </cell>
          <cell r="D190" t="str">
            <v>A4</v>
          </cell>
          <cell r="E190" t="str">
            <v>A DN</v>
          </cell>
        </row>
        <row r="191">
          <cell r="B191" t="str">
            <v>Trần Văn Lượng</v>
          </cell>
          <cell r="C191" t="str">
            <v>01011014</v>
          </cell>
          <cell r="D191" t="str">
            <v>A4</v>
          </cell>
          <cell r="E191" t="str">
            <v>A DN</v>
          </cell>
        </row>
        <row r="192">
          <cell r="B192" t="str">
            <v>Đỗ Thị Ngát</v>
          </cell>
          <cell r="C192" t="str">
            <v>01011016</v>
          </cell>
          <cell r="D192" t="str">
            <v>A4</v>
          </cell>
          <cell r="E192" t="str">
            <v>A DN</v>
          </cell>
        </row>
        <row r="193">
          <cell r="B193" t="str">
            <v>Cao Thị Hồng Thắm</v>
          </cell>
          <cell r="C193" t="str">
            <v>01011007</v>
          </cell>
          <cell r="D193" t="str">
            <v>A4</v>
          </cell>
          <cell r="E193" t="str">
            <v>A DN</v>
          </cell>
        </row>
        <row r="194">
          <cell r="B194" t="str">
            <v>Đỗ Thị Thơm</v>
          </cell>
          <cell r="C194" t="str">
            <v>01011008</v>
          </cell>
          <cell r="D194" t="str">
            <v>A4</v>
          </cell>
          <cell r="E194" t="str">
            <v>A DN</v>
          </cell>
        </row>
        <row r="195">
          <cell r="B195" t="str">
            <v>Trần Thị Hồng Thu</v>
          </cell>
          <cell r="C195" t="str">
            <v>01011015</v>
          </cell>
          <cell r="D195" t="str">
            <v>A4</v>
          </cell>
          <cell r="E195" t="str">
            <v>A DN</v>
          </cell>
        </row>
        <row r="196">
          <cell r="B196" t="str">
            <v>Phan Thị Thùy Trang</v>
          </cell>
          <cell r="C196" t="str">
            <v>01011010</v>
          </cell>
          <cell r="D196" t="str">
            <v>A4</v>
          </cell>
          <cell r="E196" t="str">
            <v>A DN</v>
          </cell>
        </row>
        <row r="197">
          <cell r="B197" t="str">
            <v>Hoàng Thị Trang</v>
          </cell>
          <cell r="C197" t="str">
            <v>01011018</v>
          </cell>
          <cell r="D197" t="str">
            <v>A4</v>
          </cell>
          <cell r="E197" t="str">
            <v>A DN</v>
          </cell>
        </row>
        <row r="198">
          <cell r="B198" t="str">
            <v>Phạm Thị Vinh</v>
          </cell>
          <cell r="C198" t="str">
            <v>01011006</v>
          </cell>
          <cell r="D198" t="str">
            <v>A4</v>
          </cell>
          <cell r="E198" t="str">
            <v>A DN</v>
          </cell>
        </row>
        <row r="199">
          <cell r="B199" t="str">
            <v>KHOA CƠ KHÍ</v>
          </cell>
          <cell r="C199">
            <v>0</v>
          </cell>
          <cell r="D199">
            <v>0</v>
          </cell>
          <cell r="E199">
            <v>29</v>
          </cell>
        </row>
        <row r="200">
          <cell r="B200" t="str">
            <v>Viên chức</v>
          </cell>
          <cell r="C200">
            <v>0</v>
          </cell>
          <cell r="D200">
            <v>0</v>
          </cell>
          <cell r="E200">
            <v>29</v>
          </cell>
        </row>
        <row r="201">
          <cell r="B201" t="str">
            <v>Chung Trần Thế Vinh</v>
          </cell>
          <cell r="C201" t="str">
            <v>01012003</v>
          </cell>
          <cell r="D201" t="str">
            <v>A2</v>
          </cell>
          <cell r="E201" t="str">
            <v>A2</v>
          </cell>
        </row>
        <row r="202">
          <cell r="B202" t="str">
            <v>Trần Đình Khải</v>
          </cell>
          <cell r="C202" t="str">
            <v>01012008</v>
          </cell>
          <cell r="D202" t="str">
            <v>A4</v>
          </cell>
          <cell r="E202" t="str">
            <v>A4</v>
          </cell>
        </row>
        <row r="203">
          <cell r="B203" t="str">
            <v>Vũ Quang Khải</v>
          </cell>
          <cell r="C203" t="str">
            <v>01012007</v>
          </cell>
          <cell r="D203" t="str">
            <v>A4</v>
          </cell>
          <cell r="E203" t="str">
            <v>A DN</v>
          </cell>
        </row>
        <row r="204">
          <cell r="B204" t="str">
            <v>Vũ Đức Pháp</v>
          </cell>
          <cell r="C204" t="str">
            <v>01012013</v>
          </cell>
          <cell r="D204" t="str">
            <v>A4</v>
          </cell>
          <cell r="E204" t="str">
            <v>A DN</v>
          </cell>
        </row>
        <row r="205">
          <cell r="B205" t="str">
            <v>Bùi Anh Tuấn</v>
          </cell>
          <cell r="C205" t="str">
            <v>01012023</v>
          </cell>
          <cell r="D205" t="str">
            <v>A4</v>
          </cell>
          <cell r="E205" t="str">
            <v>A DN</v>
          </cell>
        </row>
        <row r="206">
          <cell r="B206" t="str">
            <v>Dương Minh Chung</v>
          </cell>
          <cell r="C206" t="str">
            <v>01012014</v>
          </cell>
          <cell r="D206" t="str">
            <v>A4</v>
          </cell>
          <cell r="E206" t="str">
            <v>A DN</v>
          </cell>
        </row>
        <row r="207">
          <cell r="B207" t="str">
            <v>Đỗ Thị Phương Khanh</v>
          </cell>
          <cell r="C207" t="str">
            <v>01012005</v>
          </cell>
          <cell r="D207" t="str">
            <v>A4</v>
          </cell>
          <cell r="E207" t="str">
            <v>A DN</v>
          </cell>
        </row>
        <row r="208">
          <cell r="B208" t="str">
            <v>Trương Thị Phương Hồng</v>
          </cell>
          <cell r="C208" t="str">
            <v>01012006</v>
          </cell>
          <cell r="D208" t="str">
            <v>A4</v>
          </cell>
          <cell r="E208" t="str">
            <v>A DN</v>
          </cell>
        </row>
        <row r="209">
          <cell r="B209" t="str">
            <v>Phan Văn Thành</v>
          </cell>
          <cell r="C209" t="str">
            <v>01012004</v>
          </cell>
          <cell r="D209" t="str">
            <v>A4</v>
          </cell>
          <cell r="E209" t="str">
            <v>A DN</v>
          </cell>
        </row>
        <row r="210">
          <cell r="B210" t="str">
            <v>Phan Thị Xuân Trang</v>
          </cell>
          <cell r="C210" t="str">
            <v>01012012</v>
          </cell>
          <cell r="D210" t="str">
            <v>A4</v>
          </cell>
          <cell r="E210" t="str">
            <v>A DN</v>
          </cell>
        </row>
        <row r="211">
          <cell r="B211" t="str">
            <v>Lư Thị Yến Vũ</v>
          </cell>
          <cell r="C211" t="str">
            <v>01012016</v>
          </cell>
          <cell r="D211" t="str">
            <v>A4</v>
          </cell>
          <cell r="E211" t="str">
            <v>A DN</v>
          </cell>
        </row>
        <row r="212">
          <cell r="B212" t="str">
            <v>Nguyễn Thanh Vũ</v>
          </cell>
          <cell r="C212" t="str">
            <v>01012015</v>
          </cell>
          <cell r="D212" t="str">
            <v>A4</v>
          </cell>
          <cell r="E212" t="str">
            <v>A DN</v>
          </cell>
        </row>
        <row r="213">
          <cell r="B213" t="str">
            <v>Nguyễn Tiến Dũng</v>
          </cell>
          <cell r="C213" t="str">
            <v>01012019</v>
          </cell>
          <cell r="D213" t="str">
            <v>A4</v>
          </cell>
          <cell r="E213" t="str">
            <v>A DN</v>
          </cell>
        </row>
        <row r="214">
          <cell r="B214" t="str">
            <v>Nguyễn Thành Long</v>
          </cell>
          <cell r="C214" t="str">
            <v>01012018</v>
          </cell>
          <cell r="D214" t="str">
            <v>A4</v>
          </cell>
          <cell r="E214" t="str">
            <v>A DN</v>
          </cell>
        </row>
        <row r="215">
          <cell r="B215" t="str">
            <v>Nguyễn Ngọc Quỳnh.</v>
          </cell>
          <cell r="C215" t="str">
            <v>01012017</v>
          </cell>
          <cell r="D215" t="str">
            <v>A4</v>
          </cell>
          <cell r="E215" t="str">
            <v>A DN</v>
          </cell>
        </row>
        <row r="216">
          <cell r="B216" t="str">
            <v>Nguyễn Duy Hải</v>
          </cell>
          <cell r="C216" t="str">
            <v>01012022</v>
          </cell>
          <cell r="D216" t="str">
            <v>A4</v>
          </cell>
          <cell r="E216" t="str">
            <v>A DN</v>
          </cell>
        </row>
        <row r="217">
          <cell r="B217" t="str">
            <v>Trần Minh Thông</v>
          </cell>
          <cell r="C217" t="str">
            <v>01012020</v>
          </cell>
          <cell r="D217" t="str">
            <v>A4</v>
          </cell>
          <cell r="E217" t="str">
            <v>A DN</v>
          </cell>
        </row>
        <row r="218">
          <cell r="B218" t="str">
            <v>Trần Thị Hương</v>
          </cell>
          <cell r="C218" t="str">
            <v>01012021</v>
          </cell>
          <cell r="D218" t="str">
            <v>A4</v>
          </cell>
          <cell r="E218" t="str">
            <v>A DN</v>
          </cell>
        </row>
        <row r="219">
          <cell r="B219" t="str">
            <v>Nguyễn Thanh Vĩnh Phúc</v>
          </cell>
          <cell r="C219" t="str">
            <v>01012011</v>
          </cell>
          <cell r="D219" t="str">
            <v>A4</v>
          </cell>
          <cell r="E219" t="str">
            <v>A DN</v>
          </cell>
        </row>
        <row r="220">
          <cell r="B220" t="str">
            <v>Võ Minh Quang</v>
          </cell>
          <cell r="C220" t="str">
            <v>01017002</v>
          </cell>
          <cell r="D220" t="str">
            <v>A4</v>
          </cell>
          <cell r="E220" t="str">
            <v>A DN</v>
          </cell>
        </row>
        <row r="221">
          <cell r="B221" t="str">
            <v>Dương Thị Hồng</v>
          </cell>
          <cell r="C221" t="str">
            <v>01012028</v>
          </cell>
          <cell r="D221" t="str">
            <v>A4</v>
          </cell>
          <cell r="E221" t="str">
            <v>A DN</v>
          </cell>
        </row>
        <row r="222">
          <cell r="B222" t="str">
            <v>Nguyễn Thanh Giang</v>
          </cell>
          <cell r="C222" t="str">
            <v>01012032</v>
          </cell>
          <cell r="D222" t="str">
            <v>A4</v>
          </cell>
          <cell r="E222" t="str">
            <v>A DN</v>
          </cell>
        </row>
        <row r="223">
          <cell r="B223" t="str">
            <v>Nguyễn Hồng Phúc</v>
          </cell>
          <cell r="C223" t="str">
            <v>01025017</v>
          </cell>
          <cell r="D223" t="str">
            <v>A4</v>
          </cell>
          <cell r="E223" t="str">
            <v>A DN</v>
          </cell>
        </row>
        <row r="224">
          <cell r="B224" t="str">
            <v>Nguyễn Văn Sơn</v>
          </cell>
          <cell r="C224" t="str">
            <v>01006004</v>
          </cell>
          <cell r="D224" t="str">
            <v>A4</v>
          </cell>
          <cell r="E224" t="str">
            <v>A DN</v>
          </cell>
        </row>
        <row r="225">
          <cell r="B225" t="str">
            <v>Nguyễn Khắc Huy</v>
          </cell>
          <cell r="C225" t="str">
            <v>01013068</v>
          </cell>
          <cell r="D225" t="str">
            <v>A4</v>
          </cell>
          <cell r="E225" t="str">
            <v>A DN</v>
          </cell>
        </row>
        <row r="226">
          <cell r="B226" t="str">
            <v>Võ Hoài Sơn</v>
          </cell>
          <cell r="C226" t="str">
            <v>01012048</v>
          </cell>
          <cell r="D226" t="str">
            <v>A4</v>
          </cell>
          <cell r="E226" t="str">
            <v>A DN</v>
          </cell>
        </row>
        <row r="227">
          <cell r="B227" t="str">
            <v>Nguyễn Thị Xuân Chinh</v>
          </cell>
          <cell r="C227" t="str">
            <v>01012049</v>
          </cell>
          <cell r="D227" t="str">
            <v>A4</v>
          </cell>
          <cell r="E227" t="str">
            <v>A DN</v>
          </cell>
        </row>
        <row r="228">
          <cell r="B228" t="str">
            <v>Nguyễn Ngọc Hiệp</v>
          </cell>
          <cell r="C228" t="str">
            <v>01009006</v>
          </cell>
          <cell r="D228" t="str">
            <v>A4</v>
          </cell>
          <cell r="E228" t="str">
            <v>A DN</v>
          </cell>
        </row>
        <row r="229">
          <cell r="B229" t="str">
            <v>Nguyễn Duy Tân</v>
          </cell>
          <cell r="C229" t="str">
            <v>01012050</v>
          </cell>
          <cell r="D229" t="str">
            <v>A4</v>
          </cell>
          <cell r="E229" t="str">
            <v>A DN</v>
          </cell>
        </row>
        <row r="230">
          <cell r="B230" t="str">
            <v>KHOA CÔNG NGHỆ THÔNG TIN</v>
          </cell>
          <cell r="C230">
            <v>0</v>
          </cell>
          <cell r="D230">
            <v>0</v>
          </cell>
          <cell r="E230">
            <v>20</v>
          </cell>
        </row>
        <row r="231">
          <cell r="B231" t="str">
            <v>Viên chức</v>
          </cell>
          <cell r="C231">
            <v>0</v>
          </cell>
          <cell r="D231">
            <v>0</v>
          </cell>
          <cell r="E231">
            <v>20</v>
          </cell>
        </row>
        <row r="232">
          <cell r="B232" t="str">
            <v>Trần Việt Khánh</v>
          </cell>
          <cell r="C232" t="str">
            <v>01015019</v>
          </cell>
          <cell r="D232" t="str">
            <v>A3</v>
          </cell>
          <cell r="E232" t="str">
            <v>A2</v>
          </cell>
        </row>
        <row r="233">
          <cell r="B233" t="str">
            <v>Nguyễn Văn Đôn</v>
          </cell>
          <cell r="C233" t="str">
            <v>01015023</v>
          </cell>
          <cell r="D233" t="str">
            <v>B1</v>
          </cell>
          <cell r="E233" t="str">
            <v>A4</v>
          </cell>
        </row>
        <row r="234">
          <cell r="B234" t="str">
            <v>Nguyễn Sanh Cường</v>
          </cell>
          <cell r="C234" t="str">
            <v>01015005</v>
          </cell>
          <cell r="D234" t="str">
            <v>A4</v>
          </cell>
          <cell r="E234" t="str">
            <v>A DN</v>
          </cell>
        </row>
        <row r="235">
          <cell r="B235" t="str">
            <v>Đặng Ngọc Đoàn</v>
          </cell>
          <cell r="C235" t="str">
            <v>01015018</v>
          </cell>
          <cell r="D235" t="str">
            <v>A4</v>
          </cell>
          <cell r="E235" t="str">
            <v>A DN</v>
          </cell>
        </row>
        <row r="236">
          <cell r="B236" t="str">
            <v>Bùi Văn Dũng</v>
          </cell>
          <cell r="C236" t="str">
            <v>01015020</v>
          </cell>
          <cell r="D236" t="str">
            <v>A4</v>
          </cell>
          <cell r="E236" t="str">
            <v>A DN</v>
          </cell>
        </row>
        <row r="237">
          <cell r="B237" t="str">
            <v>Huỳnh Quốc Dũng</v>
          </cell>
          <cell r="C237" t="str">
            <v>01015041</v>
          </cell>
          <cell r="D237" t="str">
            <v>A3</v>
          </cell>
          <cell r="E237" t="str">
            <v>A DN</v>
          </cell>
        </row>
        <row r="238">
          <cell r="B238" t="str">
            <v>Vũ Thị Thái Linh</v>
          </cell>
          <cell r="C238" t="str">
            <v>01015013</v>
          </cell>
          <cell r="D238" t="str">
            <v>A4</v>
          </cell>
          <cell r="E238" t="str">
            <v>A DN</v>
          </cell>
        </row>
        <row r="239">
          <cell r="B239" t="str">
            <v>Nguyễn Văn Minh</v>
          </cell>
          <cell r="C239" t="str">
            <v>01015006</v>
          </cell>
          <cell r="D239" t="str">
            <v>A3</v>
          </cell>
          <cell r="E239" t="str">
            <v>A DN</v>
          </cell>
        </row>
        <row r="240">
          <cell r="B240" t="str">
            <v>Nguyễn Cao Phong</v>
          </cell>
          <cell r="C240" t="str">
            <v>01018001</v>
          </cell>
          <cell r="D240" t="str">
            <v>A4</v>
          </cell>
          <cell r="E240" t="str">
            <v>A DN</v>
          </cell>
        </row>
        <row r="241">
          <cell r="B241" t="str">
            <v>Lê Quý Hưng Quốc</v>
          </cell>
          <cell r="C241" t="str">
            <v>01015004</v>
          </cell>
          <cell r="D241" t="str">
            <v>A4</v>
          </cell>
          <cell r="E241" t="str">
            <v>A DN</v>
          </cell>
        </row>
        <row r="242">
          <cell r="B242" t="str">
            <v>Lê Hồng Thái</v>
          </cell>
          <cell r="C242" t="str">
            <v>01015017</v>
          </cell>
          <cell r="D242" t="str">
            <v>A4</v>
          </cell>
          <cell r="E242" t="str">
            <v>A DN</v>
          </cell>
        </row>
        <row r="243">
          <cell r="B243" t="str">
            <v>Nguyễn Thị Khánh Thư</v>
          </cell>
          <cell r="C243" t="str">
            <v>01015016</v>
          </cell>
          <cell r="D243" t="str">
            <v>A4</v>
          </cell>
          <cell r="E243" t="str">
            <v>A DN</v>
          </cell>
        </row>
        <row r="244">
          <cell r="B244" t="str">
            <v>Mai Chiếm Tuấn</v>
          </cell>
          <cell r="C244" t="str">
            <v>01015031</v>
          </cell>
          <cell r="D244" t="str">
            <v>A3</v>
          </cell>
          <cell r="E244" t="str">
            <v>A DN</v>
          </cell>
        </row>
        <row r="245">
          <cell r="B245" t="str">
            <v>Nguyễn Ngọc Tuyên</v>
          </cell>
          <cell r="C245" t="str">
            <v>01015025</v>
          </cell>
          <cell r="D245" t="str">
            <v>A4</v>
          </cell>
          <cell r="E245" t="str">
            <v>A DN</v>
          </cell>
        </row>
        <row r="246">
          <cell r="B246" t="str">
            <v>Đỗ Tuấn Việt</v>
          </cell>
          <cell r="C246" t="str">
            <v>01017001</v>
          </cell>
          <cell r="D246" t="str">
            <v>A4</v>
          </cell>
          <cell r="E246" t="str">
            <v>A DN</v>
          </cell>
        </row>
        <row r="247">
          <cell r="B247" t="str">
            <v>Dương Ngọc Vọng</v>
          </cell>
          <cell r="C247" t="str">
            <v>01015012</v>
          </cell>
          <cell r="D247" t="str">
            <v>A3</v>
          </cell>
          <cell r="E247" t="str">
            <v>A DN</v>
          </cell>
        </row>
        <row r="248">
          <cell r="B248" t="str">
            <v>Trần Vĩnh Xuyên</v>
          </cell>
          <cell r="C248" t="str">
            <v>01015008</v>
          </cell>
          <cell r="D248" t="str">
            <v>A4</v>
          </cell>
          <cell r="E248" t="str">
            <v>A DN</v>
          </cell>
        </row>
        <row r="249">
          <cell r="B249" t="str">
            <v>Đỗ Thị Hải Yến</v>
          </cell>
          <cell r="C249" t="str">
            <v>01015021</v>
          </cell>
          <cell r="D249" t="str">
            <v>A4</v>
          </cell>
          <cell r="E249" t="str">
            <v>A DN</v>
          </cell>
        </row>
        <row r="250">
          <cell r="B250" t="str">
            <v>Đào Lê Phương Anh</v>
          </cell>
          <cell r="C250" t="str">
            <v>01015108</v>
          </cell>
          <cell r="D250" t="str">
            <v>A4</v>
          </cell>
          <cell r="E250" t="str">
            <v>A DN</v>
          </cell>
        </row>
        <row r="251">
          <cell r="B251" t="str">
            <v>Nguyễn Duy Lộc</v>
          </cell>
          <cell r="C251" t="str">
            <v>01015142</v>
          </cell>
          <cell r="D251" t="str">
            <v>A4</v>
          </cell>
          <cell r="E251" t="str">
            <v>A DN</v>
          </cell>
        </row>
        <row r="252">
          <cell r="B252" t="str">
            <v>KHOA ĐỘNG LỰC</v>
          </cell>
          <cell r="C252">
            <v>0</v>
          </cell>
          <cell r="D252">
            <v>0</v>
          </cell>
          <cell r="E252">
            <v>25</v>
          </cell>
        </row>
        <row r="253">
          <cell r="B253" t="str">
            <v>Viên chức</v>
          </cell>
          <cell r="C253">
            <v>0</v>
          </cell>
          <cell r="D253">
            <v>0</v>
          </cell>
          <cell r="E253">
            <v>24</v>
          </cell>
        </row>
        <row r="254">
          <cell r="B254" t="str">
            <v>Nguyễn Anh Tuấn</v>
          </cell>
          <cell r="C254" t="str">
            <v>01013003</v>
          </cell>
          <cell r="D254" t="str">
            <v>A4</v>
          </cell>
          <cell r="E254" t="str">
            <v>A2</v>
          </cell>
        </row>
        <row r="255">
          <cell r="B255" t="str">
            <v>Võ Đắc Thịnh</v>
          </cell>
          <cell r="C255" t="str">
            <v>01013002</v>
          </cell>
          <cell r="D255" t="str">
            <v>A4</v>
          </cell>
          <cell r="E255" t="str">
            <v>A4</v>
          </cell>
        </row>
        <row r="256">
          <cell r="B256" t="str">
            <v>Nguyễn Hữu Mạnh</v>
          </cell>
          <cell r="C256" t="str">
            <v>01013004</v>
          </cell>
          <cell r="D256" t="str">
            <v>A4</v>
          </cell>
          <cell r="E256" t="str">
            <v>A DN</v>
          </cell>
        </row>
        <row r="257">
          <cell r="B257" t="str">
            <v>Hà Quốc Bảo</v>
          </cell>
          <cell r="C257" t="str">
            <v>01013021</v>
          </cell>
          <cell r="D257" t="str">
            <v>A4</v>
          </cell>
          <cell r="E257" t="str">
            <v>A DN</v>
          </cell>
        </row>
        <row r="258">
          <cell r="B258" t="str">
            <v>Triệu Phú Nguyên</v>
          </cell>
          <cell r="C258" t="str">
            <v>01013006</v>
          </cell>
          <cell r="D258" t="str">
            <v>A4</v>
          </cell>
          <cell r="E258" t="str">
            <v>A DN</v>
          </cell>
        </row>
        <row r="259">
          <cell r="B259" t="str">
            <v>Nguyễn Thành Đức</v>
          </cell>
          <cell r="C259" t="str">
            <v>01013018</v>
          </cell>
          <cell r="D259" t="str">
            <v>A4</v>
          </cell>
          <cell r="E259" t="str">
            <v>A DN</v>
          </cell>
        </row>
        <row r="260">
          <cell r="B260" t="str">
            <v>Nguyễn Minh Thái</v>
          </cell>
          <cell r="C260" t="str">
            <v>01013019</v>
          </cell>
          <cell r="D260" t="str">
            <v>A4</v>
          </cell>
          <cell r="E260" t="str">
            <v>A DN</v>
          </cell>
        </row>
        <row r="261">
          <cell r="B261" t="str">
            <v>Đặng Thái Sơn</v>
          </cell>
          <cell r="C261" t="str">
            <v>01013016</v>
          </cell>
          <cell r="D261" t="str">
            <v>A4</v>
          </cell>
          <cell r="E261" t="str">
            <v>A DN</v>
          </cell>
        </row>
        <row r="262">
          <cell r="B262" t="str">
            <v>Nguyễn Thái Bình</v>
          </cell>
          <cell r="C262" t="str">
            <v>01013017</v>
          </cell>
          <cell r="D262" t="str">
            <v>A4</v>
          </cell>
          <cell r="E262" t="str">
            <v>A DN</v>
          </cell>
        </row>
        <row r="263">
          <cell r="B263" t="str">
            <v>Kiều Trung Tín</v>
          </cell>
          <cell r="C263" t="str">
            <v>01013027</v>
          </cell>
          <cell r="D263" t="str">
            <v>A4</v>
          </cell>
          <cell r="E263" t="str">
            <v>A DN</v>
          </cell>
        </row>
        <row r="264">
          <cell r="B264" t="str">
            <v>Trần Quốc Duy</v>
          </cell>
          <cell r="C264" t="str">
            <v>01013026</v>
          </cell>
          <cell r="D264" t="str">
            <v>A4</v>
          </cell>
          <cell r="E264" t="str">
            <v>A DN</v>
          </cell>
        </row>
        <row r="265">
          <cell r="B265" t="str">
            <v>Hồ Văn Hóa</v>
          </cell>
          <cell r="C265" t="str">
            <v>01013029</v>
          </cell>
          <cell r="D265" t="str">
            <v>A4</v>
          </cell>
          <cell r="E265" t="str">
            <v>A DN</v>
          </cell>
        </row>
        <row r="266">
          <cell r="B266" t="str">
            <v>Nguyễn Thanh Hùng</v>
          </cell>
          <cell r="C266" t="str">
            <v>01013028</v>
          </cell>
          <cell r="D266" t="str">
            <v>A4</v>
          </cell>
          <cell r="E266" t="str">
            <v>A DN</v>
          </cell>
        </row>
        <row r="267">
          <cell r="B267" t="str">
            <v>Phan Anh Tuấn Kiệt</v>
          </cell>
          <cell r="C267" t="str">
            <v>01013005</v>
          </cell>
          <cell r="D267" t="str">
            <v>A4</v>
          </cell>
          <cell r="E267" t="str">
            <v>A DN</v>
          </cell>
        </row>
        <row r="268">
          <cell r="B268" t="str">
            <v>Hoàng Phúc Bảo</v>
          </cell>
          <cell r="C268" t="str">
            <v>01013022</v>
          </cell>
          <cell r="D268" t="str">
            <v>A4</v>
          </cell>
          <cell r="E268" t="str">
            <v>A DN</v>
          </cell>
        </row>
        <row r="269">
          <cell r="B269" t="str">
            <v>Nguyễn Lương Tâm</v>
          </cell>
          <cell r="C269" t="str">
            <v>01013047</v>
          </cell>
          <cell r="D269" t="str">
            <v>A4</v>
          </cell>
          <cell r="E269" t="str">
            <v>A DN</v>
          </cell>
        </row>
        <row r="270">
          <cell r="B270" t="str">
            <v>Trần Thế Sơn</v>
          </cell>
          <cell r="C270" t="str">
            <v>01013070</v>
          </cell>
          <cell r="D270" t="str">
            <v>A4</v>
          </cell>
          <cell r="E270" t="str">
            <v>A DN</v>
          </cell>
        </row>
        <row r="271">
          <cell r="B271" t="str">
            <v>Trần Văn Đông</v>
          </cell>
          <cell r="C271" t="str">
            <v>01014047</v>
          </cell>
          <cell r="D271" t="str">
            <v>A4</v>
          </cell>
          <cell r="E271" t="str">
            <v>A DN</v>
          </cell>
        </row>
        <row r="272">
          <cell r="B272" t="str">
            <v>Lý Văn Trung</v>
          </cell>
          <cell r="C272" t="str">
            <v>01013079</v>
          </cell>
          <cell r="D272" t="str">
            <v>A4</v>
          </cell>
          <cell r="E272" t="str">
            <v>A DN</v>
          </cell>
        </row>
        <row r="273">
          <cell r="B273" t="str">
            <v>Nguyễn Hoàng Vinh</v>
          </cell>
          <cell r="C273" t="str">
            <v>01013087</v>
          </cell>
          <cell r="D273" t="str">
            <v>A4</v>
          </cell>
          <cell r="E273" t="str">
            <v>A DN</v>
          </cell>
        </row>
        <row r="274">
          <cell r="B274" t="str">
            <v>Bùi Trọng Tân</v>
          </cell>
          <cell r="C274" t="str">
            <v>01013094</v>
          </cell>
          <cell r="D274" t="str">
            <v>A4</v>
          </cell>
          <cell r="E274" t="str">
            <v>A DN</v>
          </cell>
        </row>
        <row r="275">
          <cell r="B275" t="str">
            <v>Giang Văn Tiến</v>
          </cell>
          <cell r="C275" t="str">
            <v>01013117</v>
          </cell>
          <cell r="D275" t="str">
            <v>A4</v>
          </cell>
          <cell r="E275" t="str">
            <v>A DN</v>
          </cell>
        </row>
        <row r="276">
          <cell r="B276" t="str">
            <v>Nguyễn Hữu Lương</v>
          </cell>
          <cell r="C276" t="str">
            <v>01013116</v>
          </cell>
          <cell r="D276" t="str">
            <v>A4</v>
          </cell>
          <cell r="E276" t="str">
            <v>A DN</v>
          </cell>
        </row>
        <row r="277">
          <cell r="B277" t="str">
            <v>Huỳnh Đình Văn</v>
          </cell>
          <cell r="C277" t="str">
            <v>01013128</v>
          </cell>
          <cell r="D277" t="str">
            <v>A4</v>
          </cell>
          <cell r="E277" t="str">
            <v>A DN</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 DN</v>
          </cell>
        </row>
        <row r="286">
          <cell r="B286" t="str">
            <v>Huỳnh Duy An</v>
          </cell>
          <cell r="C286" t="str">
            <v>01014051</v>
          </cell>
          <cell r="D286" t="str">
            <v>A3</v>
          </cell>
          <cell r="E286" t="str">
            <v>A DN</v>
          </cell>
        </row>
        <row r="287">
          <cell r="B287" t="str">
            <v>Ngô Hoàng Anh</v>
          </cell>
          <cell r="C287" t="str">
            <v>01014005</v>
          </cell>
          <cell r="D287" t="str">
            <v>A4</v>
          </cell>
          <cell r="E287" t="str">
            <v>A DN</v>
          </cell>
        </row>
        <row r="288">
          <cell r="B288" t="str">
            <v>Trần Nam Anh</v>
          </cell>
          <cell r="C288" t="str">
            <v>01014046</v>
          </cell>
          <cell r="D288" t="str">
            <v>A3</v>
          </cell>
          <cell r="E288" t="str">
            <v>A DN</v>
          </cell>
        </row>
        <row r="289">
          <cell r="B289" t="str">
            <v>Vũ Hạnh Chiêu</v>
          </cell>
          <cell r="C289" t="str">
            <v>01014026</v>
          </cell>
          <cell r="D289" t="str">
            <v>A4</v>
          </cell>
          <cell r="E289" t="str">
            <v>A DN</v>
          </cell>
        </row>
        <row r="290">
          <cell r="B290" t="str">
            <v>Ngô Phong Cường</v>
          </cell>
          <cell r="C290" t="str">
            <v>01014029</v>
          </cell>
          <cell r="D290" t="str">
            <v>A4</v>
          </cell>
          <cell r="E290" t="str">
            <v>A DN</v>
          </cell>
        </row>
        <row r="291">
          <cell r="B291" t="str">
            <v>Nguyễn Minh Đức Cường</v>
          </cell>
          <cell r="C291" t="str">
            <v>01014033</v>
          </cell>
          <cell r="D291" t="str">
            <v>A3</v>
          </cell>
          <cell r="E291" t="str">
            <v>A DN</v>
          </cell>
        </row>
        <row r="292">
          <cell r="B292" t="str">
            <v>Nguyễn Hồng Đức</v>
          </cell>
          <cell r="C292" t="str">
            <v>01014013</v>
          </cell>
          <cell r="D292" t="str">
            <v>A4</v>
          </cell>
          <cell r="E292" t="str">
            <v>A DN</v>
          </cell>
        </row>
        <row r="293">
          <cell r="B293" t="str">
            <v>Nguyễn Minh Đức</v>
          </cell>
          <cell r="C293" t="str">
            <v>01014017</v>
          </cell>
          <cell r="D293" t="str">
            <v>A4</v>
          </cell>
          <cell r="E293" t="str">
            <v>A DN</v>
          </cell>
        </row>
        <row r="294">
          <cell r="B294" t="str">
            <v>Nguyễn Thị Ngọc Hiền</v>
          </cell>
          <cell r="C294" t="str">
            <v>01014034</v>
          </cell>
          <cell r="D294" t="str">
            <v>A4</v>
          </cell>
          <cell r="E294" t="str">
            <v>A DN</v>
          </cell>
        </row>
        <row r="295">
          <cell r="B295" t="str">
            <v>Trần Trung Hiếu</v>
          </cell>
          <cell r="C295" t="str">
            <v>01014020</v>
          </cell>
          <cell r="D295" t="str">
            <v>A4</v>
          </cell>
          <cell r="E295" t="str">
            <v>A DN</v>
          </cell>
        </row>
        <row r="296">
          <cell r="B296" t="str">
            <v>Mạnh Lê Hoàn</v>
          </cell>
          <cell r="C296" t="str">
            <v>01014018</v>
          </cell>
          <cell r="D296" t="str">
            <v>A4</v>
          </cell>
          <cell r="E296" t="str">
            <v>A DN</v>
          </cell>
        </row>
        <row r="297">
          <cell r="B297" t="str">
            <v>Phan Thanh Hoàng</v>
          </cell>
          <cell r="C297" t="str">
            <v>01014042</v>
          </cell>
          <cell r="D297" t="str">
            <v>A3</v>
          </cell>
          <cell r="E297" t="str">
            <v>A DN</v>
          </cell>
        </row>
        <row r="298">
          <cell r="B298" t="str">
            <v>Lê Thế Huân</v>
          </cell>
          <cell r="C298" t="str">
            <v>01014019</v>
          </cell>
          <cell r="D298" t="str">
            <v>A4</v>
          </cell>
          <cell r="E298" t="str">
            <v>A DN</v>
          </cell>
        </row>
        <row r="299">
          <cell r="B299" t="str">
            <v>Tăng Cẩm Huê</v>
          </cell>
          <cell r="C299" t="str">
            <v>01014010</v>
          </cell>
          <cell r="D299" t="str">
            <v>A4</v>
          </cell>
          <cell r="E299" t="str">
            <v>A DN</v>
          </cell>
        </row>
        <row r="300">
          <cell r="B300" t="str">
            <v>Nguyễn Thùy Linh</v>
          </cell>
          <cell r="C300" t="str">
            <v>01014030</v>
          </cell>
          <cell r="D300" t="str">
            <v>A4</v>
          </cell>
          <cell r="E300" t="str">
            <v>A DN</v>
          </cell>
        </row>
        <row r="301">
          <cell r="B301" t="str">
            <v>Đặng Đức Minh</v>
          </cell>
          <cell r="C301" t="str">
            <v>01014024</v>
          </cell>
          <cell r="D301" t="str">
            <v>A4</v>
          </cell>
          <cell r="E301" t="str">
            <v>A DN</v>
          </cell>
        </row>
        <row r="302">
          <cell r="B302" t="str">
            <v>Trần Giang Nam</v>
          </cell>
          <cell r="C302" t="str">
            <v>01014048</v>
          </cell>
          <cell r="D302" t="str">
            <v>A3</v>
          </cell>
          <cell r="E302" t="str">
            <v>A DN</v>
          </cell>
        </row>
        <row r="303">
          <cell r="B303" t="str">
            <v>Nguyễn Thị Tố Nga</v>
          </cell>
          <cell r="C303" t="str">
            <v>01014022</v>
          </cell>
          <cell r="D303" t="str">
            <v>A4</v>
          </cell>
          <cell r="E303" t="str">
            <v>A DN</v>
          </cell>
        </row>
        <row r="304">
          <cell r="B304" t="str">
            <v>Nguyễn Trần Thanh Nhàn</v>
          </cell>
          <cell r="C304" t="str">
            <v>01014025</v>
          </cell>
          <cell r="D304" t="str">
            <v>A4</v>
          </cell>
          <cell r="E304" t="str">
            <v>A DN</v>
          </cell>
        </row>
        <row r="305">
          <cell r="B305" t="str">
            <v>Đỗ Huỳnh Thanh Phong</v>
          </cell>
          <cell r="C305" t="str">
            <v>01014032</v>
          </cell>
          <cell r="D305" t="str">
            <v>A4</v>
          </cell>
          <cell r="E305" t="str">
            <v>A DN</v>
          </cell>
        </row>
        <row r="306">
          <cell r="B306" t="str">
            <v>Nguyễn Anh Tăng</v>
          </cell>
          <cell r="C306" t="str">
            <v>01014006</v>
          </cell>
          <cell r="D306" t="str">
            <v>A3</v>
          </cell>
          <cell r="E306" t="str">
            <v>A DN</v>
          </cell>
        </row>
        <row r="307">
          <cell r="B307" t="str">
            <v>Nguyễn Khương Thành</v>
          </cell>
          <cell r="C307" t="str">
            <v>01014052</v>
          </cell>
          <cell r="D307" t="str">
            <v>A3</v>
          </cell>
          <cell r="E307" t="str">
            <v>A DN</v>
          </cell>
        </row>
        <row r="308">
          <cell r="B308" t="str">
            <v>Trần Công Tiến</v>
          </cell>
          <cell r="C308" t="str">
            <v>01014009</v>
          </cell>
          <cell r="D308" t="str">
            <v>A4</v>
          </cell>
          <cell r="E308" t="str">
            <v>A DN</v>
          </cell>
        </row>
        <row r="309">
          <cell r="B309" t="str">
            <v>Cao Văn Tuấn</v>
          </cell>
          <cell r="C309" t="str">
            <v>01014045</v>
          </cell>
          <cell r="D309" t="str">
            <v>A3</v>
          </cell>
          <cell r="E309" t="str">
            <v>A DN</v>
          </cell>
        </row>
        <row r="310">
          <cell r="B310" t="str">
            <v>Trần Hiếu Trinh</v>
          </cell>
          <cell r="C310" t="str">
            <v>01014021</v>
          </cell>
          <cell r="D310" t="str">
            <v>A4</v>
          </cell>
          <cell r="E310" t="str">
            <v>A DN</v>
          </cell>
        </row>
        <row r="311">
          <cell r="B311" t="str">
            <v>Nguyễn Văn Yên</v>
          </cell>
          <cell r="C311" t="str">
            <v>01014016</v>
          </cell>
          <cell r="D311" t="str">
            <v>A4</v>
          </cell>
          <cell r="E311" t="str">
            <v>A DN</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A4</v>
          </cell>
          <cell r="E315" t="str">
            <v>A DN</v>
          </cell>
        </row>
        <row r="316">
          <cell r="B316" t="str">
            <v>Nguyễn Bạch Cẩm Dung</v>
          </cell>
          <cell r="C316" t="str">
            <v>01016002</v>
          </cell>
          <cell r="D316" t="str">
            <v>A4</v>
          </cell>
          <cell r="E316" t="str">
            <v>A DN</v>
          </cell>
        </row>
        <row r="317">
          <cell r="B317" t="str">
            <v>Nguyễn Thị Hiền</v>
          </cell>
          <cell r="C317" t="str">
            <v>01016006</v>
          </cell>
          <cell r="D317" t="str">
            <v>A4</v>
          </cell>
          <cell r="E317" t="str">
            <v>A DN</v>
          </cell>
        </row>
        <row r="318">
          <cell r="B318" t="str">
            <v>Bùi Thị Ngọc Sương</v>
          </cell>
          <cell r="C318" t="str">
            <v>01016005</v>
          </cell>
          <cell r="D318" t="str">
            <v>A4</v>
          </cell>
          <cell r="E318" t="str">
            <v>A DN</v>
          </cell>
        </row>
        <row r="319">
          <cell r="B319" t="str">
            <v>Lê Thị Phương Thảo</v>
          </cell>
          <cell r="C319" t="str">
            <v>01016012</v>
          </cell>
          <cell r="D319" t="str">
            <v>A4</v>
          </cell>
          <cell r="E319" t="str">
            <v>A DN</v>
          </cell>
        </row>
        <row r="320">
          <cell r="B320" t="str">
            <v>Trần Hồng Thảo</v>
          </cell>
          <cell r="C320" t="str">
            <v>01016010</v>
          </cell>
          <cell r="D320" t="str">
            <v>A4</v>
          </cell>
          <cell r="E320" t="str">
            <v>A DN</v>
          </cell>
        </row>
        <row r="321">
          <cell r="B321" t="str">
            <v>Lâm Thị Phương Thùy</v>
          </cell>
          <cell r="C321" t="str">
            <v>01016007</v>
          </cell>
          <cell r="D321" t="str">
            <v>A4</v>
          </cell>
          <cell r="E321" t="str">
            <v>A DN</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A3</v>
          </cell>
          <cell r="E324" t="str">
            <v>A2</v>
          </cell>
        </row>
        <row r="325">
          <cell r="B325" t="str">
            <v>Hoàng Văn Viết</v>
          </cell>
          <cell r="C325" t="str">
            <v>01029001</v>
          </cell>
          <cell r="D325" t="str">
            <v>A3</v>
          </cell>
          <cell r="E325" t="str">
            <v>A2</v>
          </cell>
        </row>
        <row r="326">
          <cell r="B326" t="str">
            <v>Đinh Đồng Hiệp</v>
          </cell>
          <cell r="C326" t="str">
            <v>01013020</v>
          </cell>
          <cell r="D326" t="str">
            <v>A4</v>
          </cell>
          <cell r="E326" t="str">
            <v>A DN</v>
          </cell>
        </row>
        <row r="327">
          <cell r="B327" t="str">
            <v>Võ Anh Hào</v>
          </cell>
          <cell r="C327" t="str">
            <v>01013010</v>
          </cell>
          <cell r="D327" t="str">
            <v>A4</v>
          </cell>
          <cell r="E327" t="str">
            <v>A DN</v>
          </cell>
        </row>
        <row r="328">
          <cell r="B328" t="str">
            <v>Đặng Thế Huân</v>
          </cell>
          <cell r="C328" t="str">
            <v>01013009</v>
          </cell>
          <cell r="D328" t="str">
            <v>A4</v>
          </cell>
          <cell r="E328" t="str">
            <v>A DN</v>
          </cell>
        </row>
        <row r="329">
          <cell r="B329" t="str">
            <v>Nguyễn Vũ Xuân Thì</v>
          </cell>
          <cell r="C329" t="str">
            <v>01013008</v>
          </cell>
          <cell r="D329" t="str">
            <v>A4</v>
          </cell>
          <cell r="E329" t="str">
            <v>A DN</v>
          </cell>
        </row>
        <row r="330">
          <cell r="B330" t="str">
            <v>Đỗ Trọng Quý</v>
          </cell>
          <cell r="C330" t="str">
            <v>01013011</v>
          </cell>
          <cell r="D330" t="str">
            <v>A4</v>
          </cell>
          <cell r="E330" t="str">
            <v>A DN</v>
          </cell>
        </row>
        <row r="331">
          <cell r="B331" t="str">
            <v>Trần Đình Khoa</v>
          </cell>
          <cell r="C331" t="str">
            <v>01013023</v>
          </cell>
          <cell r="D331" t="str">
            <v>A4</v>
          </cell>
          <cell r="E331" t="str">
            <v>A DN</v>
          </cell>
        </row>
        <row r="332">
          <cell r="B332" t="str">
            <v>Phan Văn Hòa</v>
          </cell>
          <cell r="C332" t="str">
            <v>01013015</v>
          </cell>
          <cell r="D332" t="str">
            <v>A4</v>
          </cell>
          <cell r="E332" t="str">
            <v>A DN</v>
          </cell>
        </row>
        <row r="333">
          <cell r="B333" t="str">
            <v>Nguyễn Thanh Dũng</v>
          </cell>
          <cell r="C333" t="str">
            <v>01029016</v>
          </cell>
          <cell r="D333" t="str">
            <v>A4</v>
          </cell>
          <cell r="E333" t="str">
            <v>A DN</v>
          </cell>
        </row>
        <row r="334">
          <cell r="B334" t="str">
            <v>Trình Minh Phong</v>
          </cell>
          <cell r="C334" t="str">
            <v>01028013</v>
          </cell>
          <cell r="D334" t="str">
            <v>A4</v>
          </cell>
          <cell r="E334" t="str">
            <v>A DN</v>
          </cell>
        </row>
        <row r="335">
          <cell r="B335" t="str">
            <v>Trần Ngọc Tuấn</v>
          </cell>
          <cell r="C335" t="str">
            <v>01028017</v>
          </cell>
          <cell r="D335" t="str">
            <v>A4</v>
          </cell>
          <cell r="E335" t="str">
            <v>A DN</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A4</v>
          </cell>
          <cell r="E338" t="str">
            <v>A2</v>
          </cell>
        </row>
        <row r="339">
          <cell r="B339" t="str">
            <v>Phạm Quỳnh Như</v>
          </cell>
          <cell r="C339" t="str">
            <v>01025004</v>
          </cell>
          <cell r="D339" t="str">
            <v>A4</v>
          </cell>
          <cell r="E339" t="str">
            <v>A4</v>
          </cell>
        </row>
        <row r="340">
          <cell r="B340" t="str">
            <v>Lưu Thị Thúy</v>
          </cell>
          <cell r="C340" t="str">
            <v>01025002</v>
          </cell>
          <cell r="D340" t="str">
            <v>A4</v>
          </cell>
          <cell r="E340" t="str">
            <v>A DN</v>
          </cell>
        </row>
        <row r="341">
          <cell r="B341" t="str">
            <v>Trần Thị Ngọc Dung</v>
          </cell>
          <cell r="C341" t="str">
            <v>01025016</v>
          </cell>
          <cell r="D341" t="str">
            <v>A4</v>
          </cell>
          <cell r="E341" t="str">
            <v>A DN</v>
          </cell>
        </row>
        <row r="342">
          <cell r="B342" t="str">
            <v>Cao Xuân Giang</v>
          </cell>
          <cell r="C342" t="str">
            <v>01025018</v>
          </cell>
          <cell r="D342" t="str">
            <v>A4</v>
          </cell>
          <cell r="E342" t="str">
            <v>A DN</v>
          </cell>
        </row>
        <row r="343">
          <cell r="B343" t="str">
            <v>Nguyễn Thị Thanh Hòa</v>
          </cell>
          <cell r="C343" t="str">
            <v>01009027</v>
          </cell>
          <cell r="D343" t="str">
            <v>A4</v>
          </cell>
          <cell r="E343" t="str">
            <v>A DN</v>
          </cell>
        </row>
        <row r="344">
          <cell r="B344" t="str">
            <v>Huỳnh Kim Liên</v>
          </cell>
          <cell r="C344" t="str">
            <v>01025052</v>
          </cell>
          <cell r="D344" t="str">
            <v>A4</v>
          </cell>
          <cell r="E344" t="str">
            <v>A DN</v>
          </cell>
        </row>
        <row r="345">
          <cell r="B345" t="str">
            <v>Lê Hồng Ngọc My</v>
          </cell>
          <cell r="C345" t="str">
            <v>01015053</v>
          </cell>
          <cell r="D345" t="str">
            <v>A4</v>
          </cell>
          <cell r="E345" t="str">
            <v>A DN</v>
          </cell>
        </row>
        <row r="346">
          <cell r="B346" t="str">
            <v>Lê Thị Thu Thảo</v>
          </cell>
          <cell r="C346" t="str">
            <v>01025008</v>
          </cell>
          <cell r="D346" t="str">
            <v>A4</v>
          </cell>
          <cell r="E346" t="str">
            <v>A DN</v>
          </cell>
        </row>
        <row r="347">
          <cell r="B347" t="str">
            <v>Nguyễn Thị Minh Thùy</v>
          </cell>
          <cell r="C347" t="str">
            <v>01003013</v>
          </cell>
          <cell r="D347" t="str">
            <v>A4</v>
          </cell>
          <cell r="E347" t="str">
            <v>A DN</v>
          </cell>
        </row>
        <row r="348">
          <cell r="B348" t="str">
            <v>Nguyễn Mỹ Tiên</v>
          </cell>
          <cell r="C348" t="str">
            <v>01025015</v>
          </cell>
          <cell r="D348" t="str">
            <v>A4</v>
          </cell>
          <cell r="E348" t="str">
            <v>A DN</v>
          </cell>
        </row>
        <row r="349">
          <cell r="B349" t="str">
            <v>Nguyễn Huỳnh Lưu Phương</v>
          </cell>
          <cell r="C349" t="str">
            <v>01025101</v>
          </cell>
          <cell r="D349" t="str">
            <v>A4</v>
          </cell>
          <cell r="E349" t="str">
            <v>A DN</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A4</v>
          </cell>
          <cell r="E353" t="str">
            <v>A DN</v>
          </cell>
        </row>
        <row r="354">
          <cell r="B354" t="str">
            <v>Phạm Thị Thanh Thúy</v>
          </cell>
          <cell r="C354" t="str">
            <v>01016003</v>
          </cell>
          <cell r="D354" t="str">
            <v>A4</v>
          </cell>
          <cell r="E354" t="str">
            <v>A DN</v>
          </cell>
        </row>
        <row r="355">
          <cell r="B355" t="str">
            <v>Đinh Thị Trâm</v>
          </cell>
          <cell r="C355" t="str">
            <v>01025033</v>
          </cell>
          <cell r="D355" t="str">
            <v>A4</v>
          </cell>
          <cell r="E355" t="str">
            <v>A DN</v>
          </cell>
        </row>
        <row r="356">
          <cell r="B356" t="str">
            <v>Lê Thị Thúy Oanh</v>
          </cell>
          <cell r="C356" t="str">
            <v>01025020</v>
          </cell>
          <cell r="D356" t="str">
            <v>A4</v>
          </cell>
          <cell r="E356" t="str">
            <v>A DN</v>
          </cell>
        </row>
        <row r="357">
          <cell r="B357" t="str">
            <v>Võ Thị Kim Thư</v>
          </cell>
          <cell r="C357" t="str">
            <v>01025012</v>
          </cell>
          <cell r="D357" t="str">
            <v>A4</v>
          </cell>
          <cell r="E357" t="str">
            <v>A DN</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A3</v>
          </cell>
          <cell r="E374" t="str">
            <v>A3</v>
          </cell>
        </row>
        <row r="375">
          <cell r="B375" t="str">
            <v>Võ Tấn Kiệt</v>
          </cell>
          <cell r="C375" t="str">
            <v>01008034</v>
          </cell>
          <cell r="D375" t="str">
            <v>A3</v>
          </cell>
          <cell r="E375" t="str">
            <v>A1</v>
          </cell>
        </row>
        <row r="376">
          <cell r="B376" t="str">
            <v>Nguyễn Tiến Việt Dũng</v>
          </cell>
          <cell r="C376" t="str">
            <v>01015026</v>
          </cell>
          <cell r="D376" t="str">
            <v>A3</v>
          </cell>
          <cell r="E376" t="str">
            <v>A1</v>
          </cell>
        </row>
        <row r="377">
          <cell r="B377" t="str">
            <v>Hợp đồng trường</v>
          </cell>
          <cell r="C377">
            <v>0</v>
          </cell>
          <cell r="D377">
            <v>0</v>
          </cell>
          <cell r="E377">
            <v>4</v>
          </cell>
        </row>
        <row r="378">
          <cell r="B378" t="str">
            <v>Lương Thị Thắm</v>
          </cell>
          <cell r="C378" t="str">
            <v>01019001</v>
          </cell>
          <cell r="D378" t="str">
            <v>A4</v>
          </cell>
          <cell r="E378" t="str">
            <v>A3</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A2</v>
          </cell>
          <cell r="E381" t="str">
            <v>A1</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A2</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A3</v>
          </cell>
          <cell r="E387" t="str">
            <v>A3</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A1</v>
          </cell>
          <cell r="E390" t="str">
            <v>A1</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A1</v>
          </cell>
        </row>
        <row r="393">
          <cell r="B393" t="str">
            <v>Trương Hữu Lộc</v>
          </cell>
          <cell r="C393" t="str">
            <v>01018004</v>
          </cell>
          <cell r="D393" t="str">
            <v>A1</v>
          </cell>
          <cell r="E393" t="str">
            <v>A1</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A2</v>
          </cell>
          <cell r="E396" t="str">
            <v>A1</v>
          </cell>
        </row>
        <row r="397">
          <cell r="B397" t="str">
            <v>Lương Công Phi</v>
          </cell>
          <cell r="C397" t="str">
            <v>01031002</v>
          </cell>
          <cell r="D397" t="str">
            <v>A4</v>
          </cell>
          <cell r="E397" t="str">
            <v>A4</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8</v>
          </cell>
        </row>
        <row r="16">
          <cell r="B16" t="str">
            <v>Viên chức</v>
          </cell>
          <cell r="C16">
            <v>0</v>
          </cell>
          <cell r="D16">
            <v>0</v>
          </cell>
          <cell r="E16">
            <v>5</v>
          </cell>
        </row>
        <row r="17">
          <cell r="B17" t="str">
            <v>Nguyễn Kính</v>
          </cell>
          <cell r="C17" t="str">
            <v>01002024</v>
          </cell>
          <cell r="D17" t="str">
            <v>A2</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3</v>
          </cell>
        </row>
        <row r="23">
          <cell r="B23" t="str">
            <v>Trần Thị Thảo Vân</v>
          </cell>
          <cell r="C23" t="str">
            <v>01003008</v>
          </cell>
          <cell r="D23" t="str">
            <v>A2</v>
          </cell>
          <cell r="E23" t="str">
            <v>A2</v>
          </cell>
        </row>
        <row r="24">
          <cell r="B24" t="str">
            <v>Huỳnh Như Ý</v>
          </cell>
          <cell r="C24" t="str">
            <v>01003015</v>
          </cell>
          <cell r="D24" t="str">
            <v>A3</v>
          </cell>
          <cell r="E24" t="str">
            <v>A3</v>
          </cell>
        </row>
        <row r="25">
          <cell r="B25" t="str">
            <v>Nguyễn Chiến Thắng</v>
          </cell>
          <cell r="C25" t="str">
            <v>01003016</v>
          </cell>
          <cell r="D25" t="str">
            <v>A2</v>
          </cell>
          <cell r="E25" t="str">
            <v>A2</v>
          </cell>
        </row>
        <row r="26">
          <cell r="B26" t="str">
            <v>PHÒNG TUYỂN SINH - ĐÀO TẠO</v>
          </cell>
          <cell r="C26">
            <v>0</v>
          </cell>
          <cell r="D26">
            <v>0</v>
          </cell>
          <cell r="E26">
            <v>16</v>
          </cell>
        </row>
        <row r="27">
          <cell r="B27" t="str">
            <v>Viên chức</v>
          </cell>
          <cell r="C27">
            <v>0</v>
          </cell>
          <cell r="D27">
            <v>0</v>
          </cell>
          <cell r="E27">
            <v>10</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A2</v>
          </cell>
          <cell r="E31" t="str">
            <v>A2</v>
          </cell>
        </row>
        <row r="32">
          <cell r="B32" t="str">
            <v>Nguyễn Thị Thanh Thảo</v>
          </cell>
          <cell r="C32" t="str">
            <v>01004008</v>
          </cell>
          <cell r="D32" t="str">
            <v>A2</v>
          </cell>
          <cell r="E32" t="str">
            <v>A2</v>
          </cell>
        </row>
        <row r="33">
          <cell r="B33" t="str">
            <v>Huỳnh Thị Cẩm Hoa</v>
          </cell>
          <cell r="C33" t="str">
            <v>01005009</v>
          </cell>
          <cell r="D33" t="str">
            <v>A3</v>
          </cell>
          <cell r="E33" t="str">
            <v>A3</v>
          </cell>
        </row>
        <row r="34">
          <cell r="B34" t="str">
            <v>Giáp Thị Vượng</v>
          </cell>
          <cell r="C34" t="str">
            <v>01004009</v>
          </cell>
          <cell r="D34" t="str">
            <v>A3</v>
          </cell>
          <cell r="E34" t="str">
            <v>A3</v>
          </cell>
        </row>
        <row r="35">
          <cell r="B35" t="str">
            <v>Thái Thị My Sa</v>
          </cell>
          <cell r="C35" t="str">
            <v>01002020</v>
          </cell>
          <cell r="D35" t="str">
            <v>A3</v>
          </cell>
          <cell r="E35" t="str">
            <v>A2</v>
          </cell>
        </row>
        <row r="36">
          <cell r="B36" t="str">
            <v>Nguyễn Thị Hải Hà</v>
          </cell>
          <cell r="C36" t="str">
            <v>01012026</v>
          </cell>
          <cell r="D36" t="str">
            <v>A3</v>
          </cell>
          <cell r="E36" t="str">
            <v>A2</v>
          </cell>
        </row>
        <row r="37">
          <cell r="B37" t="str">
            <v>Nguyễn Thị Ngọc Anh</v>
          </cell>
          <cell r="C37" t="str">
            <v>01022058</v>
          </cell>
          <cell r="D37" t="str">
            <v>A3</v>
          </cell>
          <cell r="E37" t="str">
            <v>A3</v>
          </cell>
        </row>
        <row r="38">
          <cell r="B38" t="str">
            <v>Hợp đồng trường</v>
          </cell>
          <cell r="C38">
            <v>0</v>
          </cell>
          <cell r="D38">
            <v>0</v>
          </cell>
          <cell r="E38">
            <v>6</v>
          </cell>
        </row>
        <row r="39">
          <cell r="B39" t="str">
            <v>Trần Nhật Thịnh</v>
          </cell>
          <cell r="C39" t="str">
            <v>01004020</v>
          </cell>
          <cell r="D39" t="str">
            <v>A3</v>
          </cell>
          <cell r="E39" t="str">
            <v>A3</v>
          </cell>
        </row>
        <row r="40">
          <cell r="B40" t="str">
            <v>Sỹ Thị Chung</v>
          </cell>
          <cell r="C40" t="str">
            <v>01011017</v>
          </cell>
          <cell r="D40" t="str">
            <v>A3</v>
          </cell>
          <cell r="E40" t="str">
            <v>A3</v>
          </cell>
        </row>
        <row r="41">
          <cell r="B41" t="str">
            <v>Nguyễn Thị Tất</v>
          </cell>
          <cell r="C41" t="str">
            <v>01022059</v>
          </cell>
          <cell r="D41" t="str">
            <v>A2</v>
          </cell>
          <cell r="E41" t="str">
            <v>A2</v>
          </cell>
        </row>
        <row r="42">
          <cell r="B42" t="str">
            <v>Nguyễn Thị Nhung</v>
          </cell>
          <cell r="C42" t="str">
            <v>01018006</v>
          </cell>
          <cell r="D42" t="str">
            <v>A3</v>
          </cell>
          <cell r="E42" t="str">
            <v>A2</v>
          </cell>
        </row>
        <row r="43">
          <cell r="B43" t="str">
            <v>Võ Thị Mỹ Ngọc</v>
          </cell>
          <cell r="C43" t="str">
            <v>01004021</v>
          </cell>
          <cell r="D43" t="str">
            <v>A3</v>
          </cell>
          <cell r="E43" t="str">
            <v>A3</v>
          </cell>
        </row>
        <row r="44">
          <cell r="B44" t="str">
            <v>Nguyễn Việt Tiến</v>
          </cell>
          <cell r="C44" t="str">
            <v>01004013</v>
          </cell>
          <cell r="D44" t="str">
            <v>A3</v>
          </cell>
          <cell r="E44" t="str">
            <v>A3</v>
          </cell>
        </row>
        <row r="45">
          <cell r="B45" t="str">
            <v>P. TỔ CHỨC - HÀNH CHÍNH - TỔNG HỢP</v>
          </cell>
          <cell r="C45">
            <v>0</v>
          </cell>
          <cell r="D45">
            <v>0</v>
          </cell>
          <cell r="E45">
            <v>25</v>
          </cell>
        </row>
        <row r="46">
          <cell r="B46" t="str">
            <v xml:space="preserve">Viên chức </v>
          </cell>
          <cell r="C46">
            <v>0</v>
          </cell>
          <cell r="D46">
            <v>0</v>
          </cell>
          <cell r="E46">
            <v>11</v>
          </cell>
        </row>
        <row r="47">
          <cell r="B47" t="str">
            <v>Lâm Viết Dũng</v>
          </cell>
          <cell r="C47" t="str">
            <v>01007009</v>
          </cell>
          <cell r="D47" t="str">
            <v>A1</v>
          </cell>
          <cell r="E47" t="str">
            <v>A1</v>
          </cell>
        </row>
        <row r="48">
          <cell r="B48" t="str">
            <v>Lưu Hoàng Hải Yến</v>
          </cell>
          <cell r="C48" t="str">
            <v>01002019</v>
          </cell>
          <cell r="D48" t="str">
            <v>A1</v>
          </cell>
          <cell r="E48" t="str">
            <v>A1</v>
          </cell>
        </row>
        <row r="49">
          <cell r="B49" t="str">
            <v>Huỳnh Thị Minh Ly</v>
          </cell>
          <cell r="C49" t="str">
            <v>01004007</v>
          </cell>
          <cell r="D49" t="str">
            <v>A1</v>
          </cell>
          <cell r="E49" t="str">
            <v>A1</v>
          </cell>
        </row>
        <row r="50">
          <cell r="B50" t="str">
            <v>Vũ Như Quỳnh</v>
          </cell>
          <cell r="C50" t="str">
            <v>01002017</v>
          </cell>
          <cell r="D50" t="str">
            <v>A2</v>
          </cell>
          <cell r="E50" t="str">
            <v>A2</v>
          </cell>
        </row>
        <row r="51">
          <cell r="B51" t="str">
            <v>Phan Thị Ngọc Phượng</v>
          </cell>
          <cell r="C51" t="str">
            <v>01002018</v>
          </cell>
          <cell r="D51" t="str">
            <v>A1</v>
          </cell>
          <cell r="E51" t="str">
            <v>A1</v>
          </cell>
        </row>
        <row r="52">
          <cell r="B52" t="str">
            <v>Nguyễn Thị Bích Liễu</v>
          </cell>
          <cell r="C52" t="str">
            <v>01002005</v>
          </cell>
          <cell r="D52" t="str">
            <v>A2</v>
          </cell>
          <cell r="E52" t="str">
            <v>A2</v>
          </cell>
        </row>
        <row r="53">
          <cell r="B53" t="str">
            <v>Nguyễn Văn Chì</v>
          </cell>
          <cell r="C53" t="str">
            <v>01023001</v>
          </cell>
          <cell r="D53" t="str">
            <v>A3</v>
          </cell>
          <cell r="E53" t="str">
            <v>A3</v>
          </cell>
        </row>
        <row r="54">
          <cell r="B54" t="str">
            <v>Trần Thị Ánh Phượng</v>
          </cell>
          <cell r="C54" t="str">
            <v>01017006</v>
          </cell>
          <cell r="D54" t="str">
            <v>A1</v>
          </cell>
          <cell r="E54" t="str">
            <v>A1</v>
          </cell>
        </row>
        <row r="55">
          <cell r="B55" t="str">
            <v>Nguyễn Thị Vân</v>
          </cell>
          <cell r="C55" t="str">
            <v>01002032</v>
          </cell>
          <cell r="D55" t="str">
            <v>A2</v>
          </cell>
          <cell r="E55" t="str">
            <v>A2</v>
          </cell>
        </row>
        <row r="56">
          <cell r="B56" t="str">
            <v>Trần Thị Phương Oanh</v>
          </cell>
          <cell r="C56" t="str">
            <v>01007007</v>
          </cell>
          <cell r="D56" t="str">
            <v>A3</v>
          </cell>
          <cell r="E56" t="str">
            <v>A3</v>
          </cell>
        </row>
        <row r="57">
          <cell r="B57" t="str">
            <v>Thân Thị Nhung</v>
          </cell>
          <cell r="C57" t="str">
            <v>01007005</v>
          </cell>
          <cell r="D57" t="str">
            <v>A1</v>
          </cell>
          <cell r="E57" t="str">
            <v>A1</v>
          </cell>
        </row>
        <row r="58">
          <cell r="B58" t="str">
            <v>Hợp đồng trường</v>
          </cell>
          <cell r="C58">
            <v>0</v>
          </cell>
          <cell r="D58">
            <v>0</v>
          </cell>
          <cell r="E58">
            <v>14</v>
          </cell>
        </row>
        <row r="59">
          <cell r="B59" t="str">
            <v>Huỳnh Thị Xuân Mai</v>
          </cell>
          <cell r="C59" t="str">
            <v>01007006</v>
          </cell>
          <cell r="D59" t="str">
            <v>A3</v>
          </cell>
          <cell r="E59" t="str">
            <v>A2</v>
          </cell>
        </row>
        <row r="60">
          <cell r="B60" t="str">
            <v>Phạm Hữu Tấn</v>
          </cell>
          <cell r="C60" t="str">
            <v>01002023</v>
          </cell>
          <cell r="D60" t="str">
            <v>A3</v>
          </cell>
          <cell r="E60" t="str">
            <v>A3</v>
          </cell>
        </row>
        <row r="61">
          <cell r="B61" t="str">
            <v>Trần Văn Cu Anh</v>
          </cell>
          <cell r="C61" t="str">
            <v>01002007</v>
          </cell>
          <cell r="D61" t="str">
            <v>A3</v>
          </cell>
          <cell r="E61" t="str">
            <v>A3</v>
          </cell>
        </row>
        <row r="62">
          <cell r="B62" t="str">
            <v>Nguyễn Hữu Xuân Vũ</v>
          </cell>
          <cell r="C62" t="str">
            <v>01002010</v>
          </cell>
          <cell r="D62" t="str">
            <v>A3</v>
          </cell>
          <cell r="E62" t="str">
            <v>A2</v>
          </cell>
        </row>
        <row r="63">
          <cell r="B63" t="str">
            <v>Lê Hồng Phúc</v>
          </cell>
          <cell r="C63" t="str">
            <v>01002012</v>
          </cell>
          <cell r="D63" t="str">
            <v>A3</v>
          </cell>
          <cell r="E63" t="str">
            <v>A3</v>
          </cell>
        </row>
        <row r="64">
          <cell r="B64" t="str">
            <v>Phạm Hữu Thành Phú</v>
          </cell>
          <cell r="C64" t="str">
            <v>01002028</v>
          </cell>
          <cell r="D64" t="str">
            <v>A3</v>
          </cell>
          <cell r="E64" t="str">
            <v>A3</v>
          </cell>
        </row>
        <row r="65">
          <cell r="B65" t="str">
            <v>Huỳnh Thanh Nhàn</v>
          </cell>
          <cell r="C65" t="str">
            <v>01002027</v>
          </cell>
          <cell r="D65" t="str">
            <v>A3</v>
          </cell>
          <cell r="E65" t="str">
            <v>A3</v>
          </cell>
        </row>
        <row r="66">
          <cell r="B66" t="str">
            <v>Đồng Anh Tuấn</v>
          </cell>
          <cell r="C66" t="str">
            <v>01002013</v>
          </cell>
          <cell r="D66" t="str">
            <v>A3</v>
          </cell>
          <cell r="E66" t="str">
            <v>A3</v>
          </cell>
        </row>
        <row r="67">
          <cell r="B67" t="str">
            <v>Nguyễn Thanh Hiền</v>
          </cell>
          <cell r="C67" t="str">
            <v>01002033</v>
          </cell>
          <cell r="D67" t="str">
            <v>A3</v>
          </cell>
          <cell r="E67" t="str">
            <v>A3</v>
          </cell>
        </row>
        <row r="68">
          <cell r="B68" t="str">
            <v>Phạm Quang Tùng</v>
          </cell>
          <cell r="C68" t="str">
            <v>01010068</v>
          </cell>
          <cell r="D68" t="str">
            <v>A3</v>
          </cell>
          <cell r="E68" t="str">
            <v>A3</v>
          </cell>
        </row>
        <row r="69">
          <cell r="B69" t="str">
            <v>Trần Thanh Cường</v>
          </cell>
          <cell r="C69" t="str">
            <v>01002040</v>
          </cell>
          <cell r="D69" t="str">
            <v>A3</v>
          </cell>
          <cell r="E69" t="str">
            <v>A3</v>
          </cell>
        </row>
        <row r="70">
          <cell r="B70" t="str">
            <v>Vũ Anh Hiếu</v>
          </cell>
          <cell r="C70" t="str">
            <v>01002041</v>
          </cell>
          <cell r="D70" t="str">
            <v>A2</v>
          </cell>
          <cell r="E70" t="str">
            <v>A2</v>
          </cell>
        </row>
        <row r="71">
          <cell r="B71" t="str">
            <v>Dương Văn Tâm</v>
          </cell>
          <cell r="C71" t="str">
            <v>01002035</v>
          </cell>
          <cell r="D71" t="str">
            <v>A3</v>
          </cell>
          <cell r="E71" t="str">
            <v>A2</v>
          </cell>
        </row>
        <row r="72">
          <cell r="B72" t="str">
            <v>Huỳnh Ngọc Liên</v>
          </cell>
          <cell r="C72" t="str">
            <v>01002036</v>
          </cell>
          <cell r="D72" t="str">
            <v>A3</v>
          </cell>
          <cell r="E72" t="str">
            <v>A2</v>
          </cell>
        </row>
        <row r="73">
          <cell r="B73" t="str">
            <v>PHÒNG TTGD-QHDN</v>
          </cell>
          <cell r="C73">
            <v>0</v>
          </cell>
          <cell r="D73">
            <v>0</v>
          </cell>
          <cell r="E73">
            <v>16</v>
          </cell>
        </row>
        <row r="74">
          <cell r="B74" t="str">
            <v>Viên chức</v>
          </cell>
          <cell r="C74">
            <v>0</v>
          </cell>
          <cell r="D74">
            <v>0</v>
          </cell>
          <cell r="E74">
            <v>8</v>
          </cell>
        </row>
        <row r="75">
          <cell r="B75" t="str">
            <v>Nguyễn Văn Chiến</v>
          </cell>
          <cell r="C75" t="str">
            <v>01007008</v>
          </cell>
          <cell r="D75" t="str">
            <v>A2</v>
          </cell>
          <cell r="E75" t="str">
            <v>A2</v>
          </cell>
        </row>
        <row r="76">
          <cell r="B76" t="str">
            <v>Lê Xuân Thiện</v>
          </cell>
          <cell r="C76" t="str">
            <v>01002002</v>
          </cell>
          <cell r="D76" t="str">
            <v>A3</v>
          </cell>
          <cell r="E76" t="str">
            <v>A3</v>
          </cell>
        </row>
        <row r="77">
          <cell r="B77" t="str">
            <v>Nguyễn Thị Kim Anh</v>
          </cell>
          <cell r="C77" t="str">
            <v>01009018</v>
          </cell>
          <cell r="D77" t="str">
            <v>A3</v>
          </cell>
          <cell r="E77" t="str">
            <v>A3</v>
          </cell>
        </row>
        <row r="78">
          <cell r="B78" t="str">
            <v>Phạm Thị Lê Chi</v>
          </cell>
          <cell r="C78" t="str">
            <v>01009010</v>
          </cell>
          <cell r="D78" t="str">
            <v>A3</v>
          </cell>
          <cell r="E78" t="str">
            <v>A3</v>
          </cell>
        </row>
        <row r="79">
          <cell r="B79" t="str">
            <v>Trần Thị Thu Hà</v>
          </cell>
          <cell r="C79" t="str">
            <v>01002004</v>
          </cell>
          <cell r="D79" t="str">
            <v>A2</v>
          </cell>
          <cell r="E79" t="str">
            <v>A2</v>
          </cell>
        </row>
        <row r="80">
          <cell r="B80" t="str">
            <v>Nguyễn Tất Thắng</v>
          </cell>
          <cell r="C80" t="str">
            <v>01009008</v>
          </cell>
          <cell r="D80" t="str">
            <v>A4</v>
          </cell>
          <cell r="E80" t="str">
            <v>A4</v>
          </cell>
        </row>
        <row r="81">
          <cell r="B81" t="str">
            <v>Mai Thu Hương</v>
          </cell>
          <cell r="C81" t="str">
            <v>01007004</v>
          </cell>
          <cell r="D81" t="str">
            <v>A3</v>
          </cell>
          <cell r="E81" t="str">
            <v>A3</v>
          </cell>
        </row>
        <row r="82">
          <cell r="B82" t="str">
            <v>Nguyễn Thùy Dương</v>
          </cell>
          <cell r="C82" t="str">
            <v>01014012</v>
          </cell>
          <cell r="D82" t="str">
            <v>A3</v>
          </cell>
          <cell r="E82" t="str">
            <v>A3</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A3</v>
          </cell>
          <cell r="E87" t="str">
            <v>A4</v>
          </cell>
        </row>
        <row r="88">
          <cell r="B88" t="str">
            <v>Bùi Đức Phước</v>
          </cell>
          <cell r="C88" t="str">
            <v>01009026</v>
          </cell>
          <cell r="D88" t="str">
            <v>A4</v>
          </cell>
          <cell r="E88" t="str">
            <v>A4</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A3</v>
          </cell>
          <cell r="E91" t="str">
            <v>A4</v>
          </cell>
        </row>
        <row r="92">
          <cell r="B92" t="str">
            <v>PHÒNG KHẢO THÍ VÀ ĐBCL</v>
          </cell>
          <cell r="C92">
            <v>0</v>
          </cell>
          <cell r="D92">
            <v>0</v>
          </cell>
          <cell r="E92">
            <v>8</v>
          </cell>
        </row>
        <row r="93">
          <cell r="B93" t="str">
            <v>Viên chức</v>
          </cell>
          <cell r="C93">
            <v>0</v>
          </cell>
          <cell r="D93">
            <v>0</v>
          </cell>
          <cell r="E93">
            <v>7</v>
          </cell>
        </row>
        <row r="94">
          <cell r="B94" t="str">
            <v>Nguyễn Chí Nhân</v>
          </cell>
          <cell r="C94" t="str">
            <v>01009009</v>
          </cell>
          <cell r="D94" t="str">
            <v>A3</v>
          </cell>
          <cell r="E94" t="str">
            <v>A2</v>
          </cell>
        </row>
        <row r="95">
          <cell r="B95" t="str">
            <v>Nguyễn Thị Kim Dung</v>
          </cell>
          <cell r="C95" t="str">
            <v>01003002</v>
          </cell>
          <cell r="D95" t="str">
            <v>A3</v>
          </cell>
          <cell r="E95" t="str">
            <v>A3</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A2</v>
          </cell>
          <cell r="E99" t="str">
            <v>A2</v>
          </cell>
        </row>
        <row r="100">
          <cell r="B100" t="str">
            <v>Mai Nguyễn Hoàng Yến</v>
          </cell>
          <cell r="C100" t="str">
            <v>01010038</v>
          </cell>
          <cell r="D100" t="str">
            <v>A2</v>
          </cell>
          <cell r="E100" t="str">
            <v>A2</v>
          </cell>
        </row>
        <row r="101">
          <cell r="B101" t="str">
            <v>Hợp đồng trường</v>
          </cell>
          <cell r="C101">
            <v>0</v>
          </cell>
          <cell r="D101">
            <v>0</v>
          </cell>
          <cell r="E101">
            <v>1</v>
          </cell>
        </row>
        <row r="102">
          <cell r="B102" t="str">
            <v>Nguyễn Yến Nhi</v>
          </cell>
          <cell r="C102" t="str">
            <v>01006006</v>
          </cell>
          <cell r="D102" t="str">
            <v>A DN</v>
          </cell>
          <cell r="E102" t="str">
            <v>A DN</v>
          </cell>
        </row>
        <row r="103">
          <cell r="B103" t="str">
            <v>PHÒNG QLKH-HTQT</v>
          </cell>
          <cell r="C103">
            <v>0</v>
          </cell>
          <cell r="D103">
            <v>0</v>
          </cell>
          <cell r="E103">
            <v>4</v>
          </cell>
        </row>
        <row r="104">
          <cell r="B104" t="str">
            <v>Viên chức</v>
          </cell>
          <cell r="C104">
            <v>0</v>
          </cell>
          <cell r="D104">
            <v>0</v>
          </cell>
          <cell r="E104">
            <v>2</v>
          </cell>
        </row>
        <row r="105">
          <cell r="B105" t="str">
            <v>Nguyễn Trọng Nghĩa</v>
          </cell>
          <cell r="C105" t="str">
            <v>01025001</v>
          </cell>
          <cell r="D105" t="str">
            <v>A4</v>
          </cell>
          <cell r="E105" t="str">
            <v>A4</v>
          </cell>
        </row>
        <row r="106">
          <cell r="B106" t="str">
            <v>Lê Thị Hải Đăng</v>
          </cell>
          <cell r="C106" t="str">
            <v>01002039</v>
          </cell>
          <cell r="D106" t="str">
            <v>A2</v>
          </cell>
          <cell r="E106" t="str">
            <v>A2</v>
          </cell>
        </row>
        <row r="107">
          <cell r="B107" t="str">
            <v>Hợp đồng trường</v>
          </cell>
          <cell r="C107">
            <v>0</v>
          </cell>
          <cell r="D107">
            <v>0</v>
          </cell>
          <cell r="E107">
            <v>2</v>
          </cell>
        </row>
        <row r="108">
          <cell r="B108" t="str">
            <v>Lê Tiến Dũng</v>
          </cell>
          <cell r="C108" t="str">
            <v>01005003</v>
          </cell>
          <cell r="D108" t="str">
            <v>A3</v>
          </cell>
          <cell r="E108" t="str">
            <v>A3</v>
          </cell>
        </row>
        <row r="109">
          <cell r="B109" t="str">
            <v>Lê Trần Thanh Nga</v>
          </cell>
          <cell r="C109" t="str">
            <v>01005011</v>
          </cell>
          <cell r="D109" t="str">
            <v>A4</v>
          </cell>
          <cell r="E109" t="str">
            <v>A4</v>
          </cell>
        </row>
        <row r="110">
          <cell r="B110" t="str">
            <v>PHÒNG QUẢN TRỊ - DỊCH VỤ</v>
          </cell>
          <cell r="C110">
            <v>0</v>
          </cell>
          <cell r="D110">
            <v>0</v>
          </cell>
          <cell r="E110">
            <v>28</v>
          </cell>
        </row>
        <row r="111">
          <cell r="B111" t="str">
            <v>Viên chức</v>
          </cell>
          <cell r="C111">
            <v>0</v>
          </cell>
          <cell r="D111">
            <v>0</v>
          </cell>
          <cell r="E111">
            <v>10</v>
          </cell>
        </row>
        <row r="112">
          <cell r="B112" t="str">
            <v>Lê Quang Liêm</v>
          </cell>
          <cell r="C112" t="str">
            <v>01008028</v>
          </cell>
          <cell r="D112" t="str">
            <v>A1</v>
          </cell>
          <cell r="E112" t="str">
            <v>A1</v>
          </cell>
        </row>
        <row r="113">
          <cell r="B113" t="str">
            <v>Nguyễn Văn Thành</v>
          </cell>
          <cell r="C113" t="str">
            <v>01008002</v>
          </cell>
          <cell r="D113" t="str">
            <v>A2</v>
          </cell>
          <cell r="E113" t="str">
            <v>A2</v>
          </cell>
        </row>
        <row r="114">
          <cell r="B114" t="str">
            <v>Phan Hữu Tước</v>
          </cell>
          <cell r="C114" t="str">
            <v>01008049</v>
          </cell>
          <cell r="D114" t="str">
            <v>A1</v>
          </cell>
          <cell r="E114" t="str">
            <v>A1</v>
          </cell>
        </row>
        <row r="115">
          <cell r="B115" t="str">
            <v>Nguyễn Trọng Phú</v>
          </cell>
          <cell r="C115" t="str">
            <v>01008004</v>
          </cell>
          <cell r="D115" t="str">
            <v>A1</v>
          </cell>
          <cell r="E115" t="str">
            <v>A1</v>
          </cell>
        </row>
        <row r="116">
          <cell r="B116" t="str">
            <v>Phan Đức Long</v>
          </cell>
          <cell r="C116" t="str">
            <v>01009007</v>
          </cell>
          <cell r="D116" t="str">
            <v>A3</v>
          </cell>
          <cell r="E116" t="str">
            <v>A3</v>
          </cell>
        </row>
        <row r="117">
          <cell r="B117" t="str">
            <v>Giáp Văn Thịnh</v>
          </cell>
          <cell r="C117" t="str">
            <v>01008008</v>
          </cell>
          <cell r="D117" t="str">
            <v>A2</v>
          </cell>
          <cell r="E117" t="str">
            <v>A2</v>
          </cell>
        </row>
        <row r="118">
          <cell r="B118" t="str">
            <v>Vũ Ngọc Quang</v>
          </cell>
          <cell r="C118" t="str">
            <v>01008006</v>
          </cell>
          <cell r="D118" t="str">
            <v>A3</v>
          </cell>
          <cell r="E118" t="str">
            <v>A3</v>
          </cell>
        </row>
        <row r="119">
          <cell r="B119" t="str">
            <v>Ninh Đỗ Hiệp</v>
          </cell>
          <cell r="C119" t="str">
            <v>01017009</v>
          </cell>
          <cell r="D119" t="str">
            <v>A4</v>
          </cell>
          <cell r="E119" t="str">
            <v>A4</v>
          </cell>
        </row>
        <row r="120">
          <cell r="B120" t="str">
            <v>Lê Hồng Anh Tuấn</v>
          </cell>
          <cell r="C120" t="str">
            <v>01008005</v>
          </cell>
          <cell r="D120" t="str">
            <v>A2</v>
          </cell>
          <cell r="E120" t="str">
            <v>A2</v>
          </cell>
        </row>
        <row r="121">
          <cell r="B121" t="str">
            <v>Bùi Thị Dương</v>
          </cell>
          <cell r="C121" t="str">
            <v>01009014</v>
          </cell>
          <cell r="D121" t="str">
            <v>A3</v>
          </cell>
          <cell r="E121" t="str">
            <v>A3</v>
          </cell>
        </row>
        <row r="122">
          <cell r="B122" t="str">
            <v>Hợp đồng trường</v>
          </cell>
          <cell r="C122">
            <v>0</v>
          </cell>
          <cell r="D122">
            <v>0</v>
          </cell>
          <cell r="E122">
            <v>18</v>
          </cell>
        </row>
        <row r="123">
          <cell r="B123" t="str">
            <v>Trần Thị Thu</v>
          </cell>
          <cell r="C123" t="str">
            <v>01008021</v>
          </cell>
          <cell r="D123" t="str">
            <v>A3</v>
          </cell>
          <cell r="E123" t="str">
            <v>A3</v>
          </cell>
        </row>
        <row r="124">
          <cell r="B124" t="str">
            <v>Dương Thị Thủy</v>
          </cell>
          <cell r="C124" t="str">
            <v>01008009</v>
          </cell>
          <cell r="D124" t="str">
            <v>A DN</v>
          </cell>
          <cell r="E124" t="str">
            <v>A DN</v>
          </cell>
        </row>
        <row r="125">
          <cell r="B125" t="str">
            <v>Đỗ Thị Bích Thủy</v>
          </cell>
          <cell r="C125" t="str">
            <v>01008031</v>
          </cell>
          <cell r="D125" t="str">
            <v>A3</v>
          </cell>
          <cell r="E125" t="str">
            <v>A3</v>
          </cell>
        </row>
        <row r="126">
          <cell r="B126" t="str">
            <v>Trần Kim Tươi</v>
          </cell>
          <cell r="C126" t="str">
            <v>01008039</v>
          </cell>
          <cell r="D126" t="str">
            <v>A3</v>
          </cell>
          <cell r="E126" t="str">
            <v>A3</v>
          </cell>
        </row>
        <row r="127">
          <cell r="B127" t="str">
            <v>Trương Thị Bắc</v>
          </cell>
          <cell r="C127" t="str">
            <v>01008040</v>
          </cell>
          <cell r="D127" t="str">
            <v>A3</v>
          </cell>
          <cell r="E127" t="str">
            <v>A3</v>
          </cell>
        </row>
        <row r="128">
          <cell r="B128" t="str">
            <v>Trương Thị Định</v>
          </cell>
          <cell r="C128" t="str">
            <v>01008041</v>
          </cell>
          <cell r="D128" t="str">
            <v>A3</v>
          </cell>
          <cell r="E128" t="str">
            <v>A3</v>
          </cell>
        </row>
        <row r="129">
          <cell r="B129" t="str">
            <v>Giáp Đức Nhận</v>
          </cell>
          <cell r="C129" t="str">
            <v>01012027</v>
          </cell>
          <cell r="D129" t="str">
            <v>A3</v>
          </cell>
          <cell r="E129" t="str">
            <v>A3</v>
          </cell>
        </row>
        <row r="130">
          <cell r="B130" t="str">
            <v>Tạ Quốc Tấn</v>
          </cell>
          <cell r="C130" t="str">
            <v>01008012</v>
          </cell>
          <cell r="D130" t="str">
            <v>A2</v>
          </cell>
          <cell r="E130" t="str">
            <v>A2</v>
          </cell>
        </row>
        <row r="131">
          <cell r="B131" t="str">
            <v>Huỳnh Bá Triết</v>
          </cell>
          <cell r="C131" t="str">
            <v>01008033</v>
          </cell>
          <cell r="D131" t="str">
            <v>A1</v>
          </cell>
          <cell r="E131" t="str">
            <v>A1</v>
          </cell>
        </row>
        <row r="132">
          <cell r="B132" t="str">
            <v>Võ Thị Tuyết</v>
          </cell>
          <cell r="C132" t="str">
            <v>01013033</v>
          </cell>
          <cell r="D132" t="str">
            <v>A4</v>
          </cell>
          <cell r="E132" t="str">
            <v>A4</v>
          </cell>
        </row>
        <row r="133">
          <cell r="B133" t="str">
            <v>Trịnh Tuấn Vũ</v>
          </cell>
          <cell r="C133" t="str">
            <v>01009015</v>
          </cell>
          <cell r="D133" t="str">
            <v>A4</v>
          </cell>
          <cell r="E133" t="str">
            <v>A4</v>
          </cell>
        </row>
        <row r="134">
          <cell r="B134" t="str">
            <v>Võ Tấn Đức</v>
          </cell>
          <cell r="C134" t="str">
            <v>01008042</v>
          </cell>
          <cell r="D134" t="str">
            <v>A3</v>
          </cell>
          <cell r="E134" t="str">
            <v>A3</v>
          </cell>
        </row>
        <row r="135">
          <cell r="B135" t="str">
            <v>Ngô Ngọc Của</v>
          </cell>
          <cell r="C135" t="str">
            <v>01008044</v>
          </cell>
          <cell r="D135" t="str">
            <v>A4</v>
          </cell>
          <cell r="E135" t="str">
            <v>A4</v>
          </cell>
        </row>
        <row r="136">
          <cell r="B136" t="str">
            <v>Phạm Thị Hoàng Diễm</v>
          </cell>
          <cell r="C136" t="str">
            <v>01008045</v>
          </cell>
          <cell r="D136" t="str">
            <v>A4</v>
          </cell>
          <cell r="E136" t="str">
            <v>A4</v>
          </cell>
        </row>
        <row r="137">
          <cell r="B137" t="str">
            <v>Nguyễn Văn Hiển</v>
          </cell>
          <cell r="C137" t="str">
            <v>01008048</v>
          </cell>
          <cell r="D137" t="str">
            <v>A1</v>
          </cell>
          <cell r="E137" t="str">
            <v>A1</v>
          </cell>
        </row>
        <row r="138">
          <cell r="B138" t="str">
            <v>Trần Thanh Phương</v>
          </cell>
          <cell r="C138" t="str">
            <v>01002034</v>
          </cell>
          <cell r="D138" t="str">
            <v>A2</v>
          </cell>
          <cell r="E138" t="str">
            <v>A2</v>
          </cell>
        </row>
        <row r="139">
          <cell r="B139" t="str">
            <v>Lâm Võ Hữu Duy</v>
          </cell>
          <cell r="C139" t="str">
            <v>01008050</v>
          </cell>
          <cell r="D139" t="str">
            <v>A2</v>
          </cell>
          <cell r="E139" t="str">
            <v>A2</v>
          </cell>
        </row>
        <row r="140">
          <cell r="B140" t="str">
            <v>Võ Lạc Tân</v>
          </cell>
          <cell r="C140" t="str">
            <v>01008051</v>
          </cell>
          <cell r="D140" t="str">
            <v>A4</v>
          </cell>
          <cell r="E140" t="str">
            <v>A4</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A2</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A3</v>
          </cell>
        </row>
        <row r="148">
          <cell r="B148" t="str">
            <v>Nguyễn Thị Cẩm Thạch</v>
          </cell>
          <cell r="C148" t="str">
            <v>01010016</v>
          </cell>
          <cell r="D148" t="str">
            <v>A4</v>
          </cell>
          <cell r="E148" t="str">
            <v>A4</v>
          </cell>
        </row>
        <row r="149">
          <cell r="B149" t="str">
            <v>Nguyễn Thị Thủy</v>
          </cell>
          <cell r="C149" t="str">
            <v>01010028</v>
          </cell>
          <cell r="D149" t="str">
            <v>A3</v>
          </cell>
          <cell r="E149" t="str">
            <v>A3</v>
          </cell>
        </row>
        <row r="150">
          <cell r="B150" t="str">
            <v>Nguyễn Văn Đông</v>
          </cell>
          <cell r="C150" t="str">
            <v>01010017</v>
          </cell>
          <cell r="D150" t="str">
            <v>A3</v>
          </cell>
          <cell r="E150" t="str">
            <v>A3</v>
          </cell>
        </row>
        <row r="151">
          <cell r="B151" t="str">
            <v>Nguyễn Thanh Tú</v>
          </cell>
          <cell r="C151" t="str">
            <v>01010012</v>
          </cell>
          <cell r="D151" t="str">
            <v>A3</v>
          </cell>
          <cell r="E151" t="str">
            <v>A3</v>
          </cell>
        </row>
        <row r="152">
          <cell r="B152" t="str">
            <v>Trần Thị Ánh Tuyết</v>
          </cell>
          <cell r="C152" t="str">
            <v>01010029</v>
          </cell>
          <cell r="D152" t="str">
            <v>A4</v>
          </cell>
          <cell r="E152" t="str">
            <v>A4</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A3</v>
          </cell>
        </row>
        <row r="156">
          <cell r="B156" t="str">
            <v>Lê Minh Phong</v>
          </cell>
          <cell r="C156" t="str">
            <v>01022048</v>
          </cell>
          <cell r="D156" t="str">
            <v>A4</v>
          </cell>
          <cell r="E156" t="str">
            <v>A4</v>
          </cell>
        </row>
        <row r="157">
          <cell r="B157" t="str">
            <v>Nguyễn Thị Huyền Nga</v>
          </cell>
          <cell r="C157" t="str">
            <v>01010006</v>
          </cell>
          <cell r="D157" t="str">
            <v>A4</v>
          </cell>
          <cell r="E157" t="str">
            <v>A4</v>
          </cell>
        </row>
        <row r="158">
          <cell r="B158" t="str">
            <v>Trịnh Khắc Vũ</v>
          </cell>
          <cell r="C158" t="str">
            <v>01010026</v>
          </cell>
          <cell r="D158" t="str">
            <v>A4</v>
          </cell>
          <cell r="E158" t="str">
            <v>A4</v>
          </cell>
        </row>
        <row r="159">
          <cell r="B159" t="str">
            <v>Lê Thái Hùng</v>
          </cell>
          <cell r="C159" t="str">
            <v>01010021</v>
          </cell>
          <cell r="D159" t="str">
            <v>A4</v>
          </cell>
          <cell r="E159" t="str">
            <v>A4</v>
          </cell>
        </row>
        <row r="160">
          <cell r="B160" t="str">
            <v>Giang Phi Hùng</v>
          </cell>
          <cell r="C160" t="str">
            <v>01010030</v>
          </cell>
          <cell r="D160" t="str">
            <v>A4</v>
          </cell>
          <cell r="E160" t="str">
            <v>A4</v>
          </cell>
        </row>
        <row r="161">
          <cell r="B161" t="str">
            <v>Ngô Thanh Điền</v>
          </cell>
          <cell r="C161" t="str">
            <v>01022005</v>
          </cell>
          <cell r="D161" t="str">
            <v>A4</v>
          </cell>
          <cell r="E161" t="str">
            <v>A4</v>
          </cell>
        </row>
        <row r="162">
          <cell r="B162" t="str">
            <v>Nguyễn Phú Tân</v>
          </cell>
          <cell r="C162" t="str">
            <v>01010022</v>
          </cell>
          <cell r="D162" t="str">
            <v>A4</v>
          </cell>
          <cell r="E162" t="str">
            <v>A4</v>
          </cell>
        </row>
        <row r="163">
          <cell r="B163" t="str">
            <v>Nguyễn Mạnh Phương</v>
          </cell>
          <cell r="C163" t="str">
            <v>01010032</v>
          </cell>
          <cell r="D163" t="str">
            <v>B1</v>
          </cell>
          <cell r="E163" t="str">
            <v>A4</v>
          </cell>
        </row>
        <row r="164">
          <cell r="B164" t="str">
            <v>KHOA NGOẠI NGỮ</v>
          </cell>
          <cell r="C164">
            <v>0</v>
          </cell>
          <cell r="D164">
            <v>0</v>
          </cell>
          <cell r="E164">
            <v>15</v>
          </cell>
        </row>
        <row r="165">
          <cell r="B165" t="str">
            <v>Viên chức</v>
          </cell>
          <cell r="C165">
            <v>0</v>
          </cell>
          <cell r="D165">
            <v>0</v>
          </cell>
          <cell r="E165">
            <v>15</v>
          </cell>
        </row>
        <row r="166">
          <cell r="B166" t="str">
            <v>Nguyễn Thị Thu Hà</v>
          </cell>
          <cell r="C166" t="str">
            <v>01010039</v>
          </cell>
          <cell r="D166" t="str">
            <v>A3</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A4</v>
          </cell>
          <cell r="E173" t="str">
            <v>A4</v>
          </cell>
        </row>
        <row r="174">
          <cell r="B174" t="str">
            <v>Trần Thanh Trúc</v>
          </cell>
          <cell r="C174" t="str">
            <v>01002025</v>
          </cell>
          <cell r="D174" t="str">
            <v>A4</v>
          </cell>
          <cell r="E174" t="str">
            <v>A4</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A3</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A3</v>
          </cell>
          <cell r="E179" t="str">
            <v>A3</v>
          </cell>
        </row>
        <row r="180">
          <cell r="B180" t="str">
            <v>Nguyễn Huỳnh Khánh Vy</v>
          </cell>
          <cell r="C180" t="str">
            <v>01027013</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A2</v>
          </cell>
          <cell r="E183" t="str">
            <v>A2</v>
          </cell>
        </row>
        <row r="184">
          <cell r="B184" t="str">
            <v>Nguyễn Ngọc Quỳnh</v>
          </cell>
          <cell r="C184" t="str">
            <v>01011012</v>
          </cell>
          <cell r="D184" t="str">
            <v>A3</v>
          </cell>
          <cell r="E184" t="str">
            <v>A4</v>
          </cell>
        </row>
        <row r="185">
          <cell r="B185" t="str">
            <v>Nguyễn Thị Dinh</v>
          </cell>
          <cell r="C185" t="str">
            <v>01011005</v>
          </cell>
          <cell r="D185" t="str">
            <v>A2</v>
          </cell>
          <cell r="E185" t="str">
            <v>A3</v>
          </cell>
        </row>
        <row r="186">
          <cell r="B186" t="str">
            <v>Bùi Thành Dũng</v>
          </cell>
          <cell r="C186" t="str">
            <v>01011011</v>
          </cell>
          <cell r="D186" t="str">
            <v>A3</v>
          </cell>
          <cell r="E186" t="str">
            <v>A3</v>
          </cell>
        </row>
        <row r="187">
          <cell r="B187" t="str">
            <v>Lê Thị Mai Hường</v>
          </cell>
          <cell r="C187" t="str">
            <v>01011013</v>
          </cell>
          <cell r="D187" t="str">
            <v>A3</v>
          </cell>
          <cell r="E187" t="str">
            <v>A3</v>
          </cell>
        </row>
        <row r="188">
          <cell r="B188" t="str">
            <v>Đinh Thị Huyên</v>
          </cell>
          <cell r="C188" t="str">
            <v>01011009</v>
          </cell>
          <cell r="D188" t="str">
            <v>A2</v>
          </cell>
          <cell r="E188" t="str">
            <v>A3</v>
          </cell>
        </row>
        <row r="189">
          <cell r="B189" t="str">
            <v>Nguyễn Anh Kiệt</v>
          </cell>
          <cell r="C189" t="str">
            <v>01011001</v>
          </cell>
          <cell r="D189" t="str">
            <v>A4</v>
          </cell>
          <cell r="E189" t="str">
            <v>A4</v>
          </cell>
        </row>
        <row r="190">
          <cell r="B190" t="str">
            <v>Trần Văn Lượng</v>
          </cell>
          <cell r="C190" t="str">
            <v>01011014</v>
          </cell>
          <cell r="D190" t="str">
            <v>A3</v>
          </cell>
          <cell r="E190" t="str">
            <v>A4</v>
          </cell>
        </row>
        <row r="191">
          <cell r="B191" t="str">
            <v>Đỗ Thị Ngát</v>
          </cell>
          <cell r="C191" t="str">
            <v>01011016</v>
          </cell>
          <cell r="D191" t="str">
            <v>A3</v>
          </cell>
          <cell r="E191" t="str">
            <v>A3</v>
          </cell>
        </row>
        <row r="192">
          <cell r="B192" t="str">
            <v>Cao Thị Hồng Thắm</v>
          </cell>
          <cell r="C192" t="str">
            <v>01011007</v>
          </cell>
          <cell r="D192" t="str">
            <v>A3</v>
          </cell>
          <cell r="E192" t="str">
            <v>A3</v>
          </cell>
        </row>
        <row r="193">
          <cell r="B193" t="str">
            <v>Đỗ Thị Thơm</v>
          </cell>
          <cell r="C193" t="str">
            <v>01011008</v>
          </cell>
          <cell r="D193" t="str">
            <v>A2</v>
          </cell>
          <cell r="E193" t="str">
            <v>A1</v>
          </cell>
        </row>
        <row r="194">
          <cell r="B194" t="str">
            <v>Trần Thị Hồng Thu</v>
          </cell>
          <cell r="C194" t="str">
            <v>01011015</v>
          </cell>
          <cell r="D194" t="str">
            <v>A1</v>
          </cell>
          <cell r="E194" t="str">
            <v>A1</v>
          </cell>
        </row>
        <row r="195">
          <cell r="B195" t="str">
            <v>Phan Thị Thùy Trang</v>
          </cell>
          <cell r="C195" t="str">
            <v>01011010</v>
          </cell>
          <cell r="D195" t="str">
            <v>A3</v>
          </cell>
          <cell r="E195" t="str">
            <v>A3</v>
          </cell>
        </row>
        <row r="196">
          <cell r="B196" t="str">
            <v>Hoàng Thị Trang</v>
          </cell>
          <cell r="C196" t="str">
            <v>01011018</v>
          </cell>
          <cell r="D196" t="str">
            <v>A1</v>
          </cell>
          <cell r="E196" t="str">
            <v>A1</v>
          </cell>
        </row>
        <row r="197">
          <cell r="B197" t="str">
            <v>Phạm Thị Vinh</v>
          </cell>
          <cell r="C197" t="str">
            <v>01011006</v>
          </cell>
          <cell r="D197" t="str">
            <v>A3</v>
          </cell>
          <cell r="E197" t="str">
            <v>A3</v>
          </cell>
        </row>
        <row r="198">
          <cell r="B198" t="str">
            <v>KHOA CƠ KHÍ</v>
          </cell>
          <cell r="C198">
            <v>0</v>
          </cell>
          <cell r="D198">
            <v>0</v>
          </cell>
          <cell r="E198">
            <v>28</v>
          </cell>
        </row>
        <row r="199">
          <cell r="B199" t="str">
            <v>Viên chức</v>
          </cell>
          <cell r="C199">
            <v>0</v>
          </cell>
          <cell r="D199">
            <v>0</v>
          </cell>
          <cell r="E199">
            <v>28</v>
          </cell>
        </row>
        <row r="200">
          <cell r="B200" t="str">
            <v>Chung Trần Thế Vinh</v>
          </cell>
          <cell r="C200" t="str">
            <v>01012003</v>
          </cell>
          <cell r="D200" t="str">
            <v>A1</v>
          </cell>
          <cell r="E200" t="str">
            <v>A1</v>
          </cell>
        </row>
        <row r="201">
          <cell r="B201" t="str">
            <v>Trần Đình Khải</v>
          </cell>
          <cell r="C201" t="str">
            <v>01012008</v>
          </cell>
          <cell r="D201" t="str">
            <v>A3</v>
          </cell>
          <cell r="E201" t="str">
            <v>A3</v>
          </cell>
        </row>
        <row r="202">
          <cell r="B202" t="str">
            <v>Vũ Quang Khải</v>
          </cell>
          <cell r="C202" t="str">
            <v>01012007</v>
          </cell>
          <cell r="D202" t="str">
            <v>A3</v>
          </cell>
          <cell r="E202" t="str">
            <v>A3</v>
          </cell>
        </row>
        <row r="203">
          <cell r="B203" t="str">
            <v>Vũ Đức Pháp</v>
          </cell>
          <cell r="C203" t="str">
            <v>01012013</v>
          </cell>
          <cell r="D203" t="str">
            <v>A3</v>
          </cell>
          <cell r="E203" t="str">
            <v>A2</v>
          </cell>
        </row>
        <row r="204">
          <cell r="B204" t="str">
            <v>Bùi Anh Tuấn</v>
          </cell>
          <cell r="C204" t="str">
            <v>01012023</v>
          </cell>
          <cell r="D204" t="str">
            <v>A1</v>
          </cell>
          <cell r="E204" t="str">
            <v>A1</v>
          </cell>
        </row>
        <row r="205">
          <cell r="B205" t="str">
            <v>Dương Minh Chung</v>
          </cell>
          <cell r="C205" t="str">
            <v>01012014</v>
          </cell>
          <cell r="D205" t="str">
            <v>A3</v>
          </cell>
          <cell r="E205" t="str">
            <v>A3</v>
          </cell>
        </row>
        <row r="206">
          <cell r="B206" t="str">
            <v>Đỗ Thị Phương Khanh</v>
          </cell>
          <cell r="C206" t="str">
            <v>01012005</v>
          </cell>
          <cell r="D206" t="str">
            <v>A2</v>
          </cell>
          <cell r="E206" t="str">
            <v>A2</v>
          </cell>
        </row>
        <row r="207">
          <cell r="B207" t="str">
            <v>Trương Thị Phương Hồng</v>
          </cell>
          <cell r="C207" t="str">
            <v>01012006</v>
          </cell>
          <cell r="D207" t="str">
            <v>A1</v>
          </cell>
          <cell r="E207" t="str">
            <v>A1</v>
          </cell>
        </row>
        <row r="208">
          <cell r="B208" t="str">
            <v>Phan Văn Thành</v>
          </cell>
          <cell r="C208" t="str">
            <v>01012004</v>
          </cell>
          <cell r="D208" t="str">
            <v>A4</v>
          </cell>
          <cell r="E208" t="str">
            <v>A4</v>
          </cell>
        </row>
        <row r="209">
          <cell r="B209" t="str">
            <v>Phan Thị Xuân Trang</v>
          </cell>
          <cell r="C209" t="str">
            <v>01012012</v>
          </cell>
          <cell r="D209" t="str">
            <v>A4</v>
          </cell>
          <cell r="E209" t="str">
            <v>A4</v>
          </cell>
        </row>
        <row r="210">
          <cell r="B210" t="str">
            <v>Lư Thị Yến Vũ</v>
          </cell>
          <cell r="C210" t="str">
            <v>01012016</v>
          </cell>
          <cell r="D210" t="str">
            <v>A4</v>
          </cell>
          <cell r="E210" t="str">
            <v>A4</v>
          </cell>
        </row>
        <row r="211">
          <cell r="B211" t="str">
            <v>Nguyễn Thanh Vũ</v>
          </cell>
          <cell r="C211" t="str">
            <v>01012015</v>
          </cell>
          <cell r="D211" t="str">
            <v>A4</v>
          </cell>
          <cell r="E211" t="str">
            <v>A4</v>
          </cell>
        </row>
        <row r="212">
          <cell r="B212" t="str">
            <v>Nguyễn Tiến Dũng</v>
          </cell>
          <cell r="C212" t="str">
            <v>01012019</v>
          </cell>
          <cell r="D212" t="str">
            <v>A3</v>
          </cell>
          <cell r="E212" t="str">
            <v>A3</v>
          </cell>
        </row>
        <row r="213">
          <cell r="B213" t="str">
            <v>Nguyễn Thành Long</v>
          </cell>
          <cell r="C213" t="str">
            <v>01012018</v>
          </cell>
          <cell r="D213" t="str">
            <v>A4</v>
          </cell>
          <cell r="E213" t="str">
            <v>A4</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A3</v>
          </cell>
          <cell r="E216" t="str">
            <v>A3</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A4</v>
          </cell>
          <cell r="E220" t="str">
            <v>A4</v>
          </cell>
        </row>
        <row r="221">
          <cell r="B221" t="str">
            <v>Nguyễn Hồng Phúc</v>
          </cell>
          <cell r="C221" t="str">
            <v>01025017</v>
          </cell>
          <cell r="D221" t="str">
            <v>A3</v>
          </cell>
          <cell r="E221" t="str">
            <v>A3</v>
          </cell>
        </row>
        <row r="222">
          <cell r="B222" t="str">
            <v>Nguyễn Văn Sơn</v>
          </cell>
          <cell r="C222" t="str">
            <v>01006004</v>
          </cell>
          <cell r="D222" t="str">
            <v>A4</v>
          </cell>
          <cell r="E222" t="str">
            <v>A4</v>
          </cell>
        </row>
        <row r="223">
          <cell r="B223" t="str">
            <v>Nguyễn Khắc Huy</v>
          </cell>
          <cell r="C223" t="str">
            <v>01013068</v>
          </cell>
          <cell r="D223" t="str">
            <v>A2</v>
          </cell>
          <cell r="E223" t="str">
            <v>A2</v>
          </cell>
        </row>
        <row r="224">
          <cell r="B224" t="str">
            <v>Võ Hoài Sơn</v>
          </cell>
          <cell r="C224" t="str">
            <v>01012048</v>
          </cell>
          <cell r="D224" t="str">
            <v>A3</v>
          </cell>
          <cell r="E224" t="str">
            <v>A3</v>
          </cell>
        </row>
        <row r="225">
          <cell r="B225" t="str">
            <v>Nguyễn Thị Xuân Chinh</v>
          </cell>
          <cell r="C225" t="str">
            <v>01012049</v>
          </cell>
          <cell r="D225" t="str">
            <v>A4</v>
          </cell>
          <cell r="E225" t="str">
            <v>A4</v>
          </cell>
        </row>
        <row r="226">
          <cell r="B226" t="str">
            <v>Nguyễn Ngọc Hiệp</v>
          </cell>
          <cell r="C226" t="str">
            <v>01009006</v>
          </cell>
          <cell r="D226" t="str">
            <v>A3</v>
          </cell>
          <cell r="E226" t="str">
            <v>A3</v>
          </cell>
        </row>
        <row r="227">
          <cell r="B227" t="str">
            <v>Nguyễn Duy Tân</v>
          </cell>
          <cell r="C227" t="str">
            <v>01012050</v>
          </cell>
          <cell r="D227" t="str">
            <v>A3</v>
          </cell>
          <cell r="E227" t="str">
            <v>A3</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A2</v>
          </cell>
        </row>
        <row r="231">
          <cell r="B231" t="str">
            <v>Nguyễn Văn Đôn</v>
          </cell>
          <cell r="C231" t="str">
            <v>01015023</v>
          </cell>
          <cell r="D231" t="str">
            <v>A3</v>
          </cell>
          <cell r="E231" t="str">
            <v>A3</v>
          </cell>
        </row>
        <row r="232">
          <cell r="B232" t="str">
            <v>Nguyễn Sanh Cường</v>
          </cell>
          <cell r="C232" t="str">
            <v>01015005</v>
          </cell>
          <cell r="D232" t="str">
            <v>A3</v>
          </cell>
          <cell r="E232" t="str">
            <v>A3</v>
          </cell>
        </row>
        <row r="233">
          <cell r="B233" t="str">
            <v>Đặng Ngọc Đoàn</v>
          </cell>
          <cell r="C233" t="str">
            <v>01015018</v>
          </cell>
          <cell r="D233" t="str">
            <v>A3</v>
          </cell>
          <cell r="E233" t="str">
            <v>A3</v>
          </cell>
        </row>
        <row r="234">
          <cell r="B234" t="str">
            <v>Bùi Văn Dũng</v>
          </cell>
          <cell r="C234" t="str">
            <v>01015020</v>
          </cell>
          <cell r="D234" t="str">
            <v>A4</v>
          </cell>
          <cell r="E234" t="str">
            <v>D</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A3</v>
          </cell>
          <cell r="E238" t="str">
            <v>A3</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B1</v>
          </cell>
          <cell r="E241" t="str">
            <v>B1</v>
          </cell>
        </row>
        <row r="242">
          <cell r="B242" t="str">
            <v>Mai Chiếm Tuấn</v>
          </cell>
          <cell r="C242" t="str">
            <v>01015031</v>
          </cell>
          <cell r="D242" t="str">
            <v>A3</v>
          </cell>
          <cell r="E242" t="str">
            <v>A3</v>
          </cell>
        </row>
        <row r="243">
          <cell r="B243" t="str">
            <v>Nguyễn Ngọc Tuyên</v>
          </cell>
          <cell r="C243" t="str">
            <v>01015025</v>
          </cell>
          <cell r="D243" t="str">
            <v>A3</v>
          </cell>
          <cell r="E243" t="str">
            <v>A3</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A3</v>
          </cell>
          <cell r="E246" t="str">
            <v>A3</v>
          </cell>
        </row>
        <row r="247">
          <cell r="B247" t="str">
            <v>Đỗ Thị Hải Yến</v>
          </cell>
          <cell r="C247" t="str">
            <v>01015021</v>
          </cell>
          <cell r="D247" t="str">
            <v>A3</v>
          </cell>
          <cell r="E247" t="str">
            <v>A3</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v>0</v>
          </cell>
          <cell r="D250">
            <v>0</v>
          </cell>
          <cell r="E250">
            <v>25</v>
          </cell>
        </row>
        <row r="251">
          <cell r="B251" t="str">
            <v>Viên chức</v>
          </cell>
          <cell r="C251">
            <v>0</v>
          </cell>
          <cell r="D251">
            <v>0</v>
          </cell>
          <cell r="E251">
            <v>24</v>
          </cell>
        </row>
        <row r="252">
          <cell r="B252" t="str">
            <v>Nguyễn Anh Tuấn</v>
          </cell>
          <cell r="C252" t="str">
            <v>01013003</v>
          </cell>
          <cell r="D252" t="str">
            <v>A1</v>
          </cell>
          <cell r="E252" t="str">
            <v>A1</v>
          </cell>
        </row>
        <row r="253">
          <cell r="B253" t="str">
            <v>Võ Đắc Thịnh</v>
          </cell>
          <cell r="C253" t="str">
            <v>01013002</v>
          </cell>
          <cell r="D253" t="str">
            <v>A2</v>
          </cell>
          <cell r="E253" t="str">
            <v>A2</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A1</v>
          </cell>
          <cell r="E256" t="str">
            <v>A1</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B1</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A2</v>
          </cell>
        </row>
        <row r="267">
          <cell r="B267" t="str">
            <v>Nguyễn Lương Tâm</v>
          </cell>
          <cell r="C267" t="str">
            <v>01013047</v>
          </cell>
          <cell r="D267" t="str">
            <v>A4</v>
          </cell>
          <cell r="E267" t="str">
            <v>A4</v>
          </cell>
        </row>
        <row r="268">
          <cell r="B268" t="str">
            <v>Trần Thế Sơn</v>
          </cell>
          <cell r="C268" t="str">
            <v>01013070</v>
          </cell>
          <cell r="D268" t="str">
            <v>A4</v>
          </cell>
          <cell r="E268" t="str">
            <v>A3</v>
          </cell>
        </row>
        <row r="269">
          <cell r="B269" t="str">
            <v>Trần Văn Đông</v>
          </cell>
          <cell r="C269" t="str">
            <v>01014047</v>
          </cell>
          <cell r="D269" t="str">
            <v>A4</v>
          </cell>
          <cell r="E269" t="str">
            <v>A4</v>
          </cell>
        </row>
        <row r="270">
          <cell r="B270" t="str">
            <v>Lý Văn Trung</v>
          </cell>
          <cell r="C270" t="str">
            <v>01013079</v>
          </cell>
          <cell r="D270" t="str">
            <v>A3</v>
          </cell>
          <cell r="E270" t="str">
            <v>A3</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v>0</v>
          </cell>
          <cell r="D276">
            <v>0</v>
          </cell>
          <cell r="E276">
            <v>1</v>
          </cell>
        </row>
        <row r="277">
          <cell r="B277" t="str">
            <v>Nguyễn Khắc Huân</v>
          </cell>
          <cell r="C277" t="str">
            <v>01013096</v>
          </cell>
          <cell r="D277" t="str">
            <v>A2</v>
          </cell>
          <cell r="E277" t="str">
            <v>A2</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A2</v>
          </cell>
        </row>
        <row r="282">
          <cell r="B282" t="str">
            <v>Phạm Minh Nghĩa</v>
          </cell>
          <cell r="C282" t="str">
            <v>01023003</v>
          </cell>
          <cell r="D282" t="str">
            <v>A3</v>
          </cell>
          <cell r="E282" t="str">
            <v>A2</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A3</v>
          </cell>
          <cell r="E285" t="str">
            <v>A3</v>
          </cell>
        </row>
        <row r="286">
          <cell r="B286" t="str">
            <v>Trần Nam Anh</v>
          </cell>
          <cell r="C286" t="str">
            <v>01014046</v>
          </cell>
          <cell r="D286" t="str">
            <v>A1</v>
          </cell>
          <cell r="E286" t="str">
            <v>A2</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A3</v>
          </cell>
          <cell r="E289" t="str">
            <v>A3</v>
          </cell>
        </row>
        <row r="290">
          <cell r="B290" t="str">
            <v>Nguyễn Hồng Đức</v>
          </cell>
          <cell r="C290" t="str">
            <v>01014013</v>
          </cell>
          <cell r="D290" t="str">
            <v>A4</v>
          </cell>
          <cell r="E290" t="str">
            <v>A4</v>
          </cell>
        </row>
        <row r="291">
          <cell r="B291" t="str">
            <v>Nguyễn Minh Đức</v>
          </cell>
          <cell r="C291" t="str">
            <v>01014017</v>
          </cell>
          <cell r="D291" t="str">
            <v>A2</v>
          </cell>
          <cell r="E291" t="str">
            <v>A2</v>
          </cell>
        </row>
        <row r="292">
          <cell r="B292" t="str">
            <v>Nguyễn Thị Ngọc Hiền</v>
          </cell>
          <cell r="C292" t="str">
            <v>01014034</v>
          </cell>
          <cell r="D292" t="str">
            <v>A3</v>
          </cell>
          <cell r="E292" t="str">
            <v>A3</v>
          </cell>
        </row>
        <row r="293">
          <cell r="B293" t="str">
            <v>Trần Trung Hiếu</v>
          </cell>
          <cell r="C293" t="str">
            <v>01014020</v>
          </cell>
          <cell r="D293" t="str">
            <v>A4</v>
          </cell>
          <cell r="E293" t="str">
            <v>A4</v>
          </cell>
        </row>
        <row r="294">
          <cell r="B294" t="str">
            <v>Mạnh Lê Hoàn</v>
          </cell>
          <cell r="C294" t="str">
            <v>01014018</v>
          </cell>
          <cell r="D294" t="str">
            <v>A3</v>
          </cell>
          <cell r="E294" t="str">
            <v>A3</v>
          </cell>
        </row>
        <row r="295">
          <cell r="B295" t="str">
            <v>Phan Thanh Hoàng</v>
          </cell>
          <cell r="C295" t="str">
            <v>01014042</v>
          </cell>
          <cell r="D295" t="str">
            <v>A2</v>
          </cell>
          <cell r="E295" t="str">
            <v>A3</v>
          </cell>
        </row>
        <row r="296">
          <cell r="B296" t="str">
            <v>Lê Thế Huân</v>
          </cell>
          <cell r="C296" t="str">
            <v>01014019</v>
          </cell>
          <cell r="D296" t="str">
            <v>A4</v>
          </cell>
          <cell r="E296" t="str">
            <v>A4</v>
          </cell>
        </row>
        <row r="297">
          <cell r="B297" t="str">
            <v>Tăng Cẩm Huê</v>
          </cell>
          <cell r="C297" t="str">
            <v>01014010</v>
          </cell>
          <cell r="D297" t="str">
            <v>A4</v>
          </cell>
          <cell r="E297" t="str">
            <v>A4</v>
          </cell>
        </row>
        <row r="298">
          <cell r="B298" t="str">
            <v>Nguyễn Thùy Linh</v>
          </cell>
          <cell r="C298" t="str">
            <v>01014030</v>
          </cell>
          <cell r="D298" t="str">
            <v>A3</v>
          </cell>
          <cell r="E298" t="str">
            <v>A3</v>
          </cell>
        </row>
        <row r="299">
          <cell r="B299" t="str">
            <v>Đặng Đức Minh</v>
          </cell>
          <cell r="C299" t="str">
            <v>01014024</v>
          </cell>
          <cell r="D299" t="str">
            <v>A4</v>
          </cell>
          <cell r="E299" t="str">
            <v>A4</v>
          </cell>
        </row>
        <row r="300">
          <cell r="B300" t="str">
            <v>Trần Giang Nam</v>
          </cell>
          <cell r="C300" t="str">
            <v>01014048</v>
          </cell>
          <cell r="D300" t="str">
            <v>A3</v>
          </cell>
          <cell r="E300" t="str">
            <v>A2</v>
          </cell>
        </row>
        <row r="301">
          <cell r="B301" t="str">
            <v>Nguyễn Thị Tố Nga</v>
          </cell>
          <cell r="C301" t="str">
            <v>01014022</v>
          </cell>
          <cell r="D301" t="str">
            <v>A4</v>
          </cell>
          <cell r="E301" t="str">
            <v>A4</v>
          </cell>
        </row>
        <row r="302">
          <cell r="B302" t="str">
            <v>Nguyễn Trần Thanh Nhàn</v>
          </cell>
          <cell r="C302" t="str">
            <v>01014025</v>
          </cell>
          <cell r="D302" t="str">
            <v>A3</v>
          </cell>
          <cell r="E302" t="str">
            <v>A3</v>
          </cell>
        </row>
        <row r="303">
          <cell r="B303" t="str">
            <v>Đỗ Huỳnh Thanh Phong</v>
          </cell>
          <cell r="C303" t="str">
            <v>01014032</v>
          </cell>
          <cell r="D303" t="str">
            <v>A4</v>
          </cell>
          <cell r="E303" t="str">
            <v>A4</v>
          </cell>
        </row>
        <row r="304">
          <cell r="B304" t="str">
            <v>Nguyễn Anh Tăng</v>
          </cell>
          <cell r="C304" t="str">
            <v>01014006</v>
          </cell>
          <cell r="D304" t="str">
            <v>A3</v>
          </cell>
          <cell r="E304" t="str">
            <v>A3</v>
          </cell>
        </row>
        <row r="305">
          <cell r="B305" t="str">
            <v>Nguyễn Khương Thành</v>
          </cell>
          <cell r="C305" t="str">
            <v>01014052</v>
          </cell>
          <cell r="D305" t="str">
            <v>A2</v>
          </cell>
          <cell r="E305" t="str">
            <v>A2</v>
          </cell>
        </row>
        <row r="306">
          <cell r="B306" t="str">
            <v>Trần Công Tiến</v>
          </cell>
          <cell r="C306" t="str">
            <v>01014009</v>
          </cell>
          <cell r="D306" t="str">
            <v>A4</v>
          </cell>
          <cell r="E306" t="str">
            <v>A4</v>
          </cell>
        </row>
        <row r="307">
          <cell r="B307" t="str">
            <v>Cao Văn Tuấn</v>
          </cell>
          <cell r="C307" t="str">
            <v>01014045</v>
          </cell>
          <cell r="D307" t="str">
            <v>A3</v>
          </cell>
          <cell r="E307" t="str">
            <v>A2</v>
          </cell>
        </row>
        <row r="308">
          <cell r="B308" t="str">
            <v>Trần Hiếu Trinh</v>
          </cell>
          <cell r="C308" t="str">
            <v>01014021</v>
          </cell>
          <cell r="D308" t="str">
            <v>A4</v>
          </cell>
          <cell r="E308" t="str">
            <v>A4</v>
          </cell>
        </row>
        <row r="309">
          <cell r="B309" t="str">
            <v>Nguyễn Văn Yên</v>
          </cell>
          <cell r="C309" t="str">
            <v>01014016</v>
          </cell>
          <cell r="D309" t="str">
            <v>A3</v>
          </cell>
          <cell r="E309" t="str">
            <v>A3</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A2</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A3</v>
          </cell>
          <cell r="E314" t="str">
            <v>A3</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A2</v>
          </cell>
        </row>
        <row r="317">
          <cell r="B317" t="str">
            <v>Lê Thị Phương Thảo</v>
          </cell>
          <cell r="C317" t="str">
            <v>01016012</v>
          </cell>
          <cell r="D317" t="str">
            <v>A3</v>
          </cell>
          <cell r="E317" t="str">
            <v>A3</v>
          </cell>
        </row>
        <row r="318">
          <cell r="B318" t="str">
            <v>Trần Hồng Thảo</v>
          </cell>
          <cell r="C318" t="str">
            <v>01016010</v>
          </cell>
          <cell r="D318" t="str">
            <v>A3</v>
          </cell>
          <cell r="E318" t="str">
            <v>A3</v>
          </cell>
        </row>
        <row r="319">
          <cell r="B319" t="str">
            <v>Lâm Thị Phương Thùy</v>
          </cell>
          <cell r="C319" t="str">
            <v>01016007</v>
          </cell>
          <cell r="D319" t="str">
            <v>A3</v>
          </cell>
          <cell r="E319" t="str">
            <v>A3</v>
          </cell>
        </row>
        <row r="320">
          <cell r="B320" t="str">
            <v>KHOA XÂY DỰNG - NHIỆT LẠNH</v>
          </cell>
          <cell r="C320">
            <v>0</v>
          </cell>
          <cell r="D320">
            <v>0</v>
          </cell>
          <cell r="E320">
            <v>12</v>
          </cell>
        </row>
        <row r="321">
          <cell r="B321" t="str">
            <v>Viên chức</v>
          </cell>
          <cell r="C321">
            <v>0</v>
          </cell>
          <cell r="D321">
            <v>0</v>
          </cell>
          <cell r="E321">
            <v>12</v>
          </cell>
        </row>
        <row r="322">
          <cell r="B322" t="str">
            <v>Phạm Quang Vũ</v>
          </cell>
          <cell r="C322" t="str">
            <v>01004014</v>
          </cell>
          <cell r="D322" t="str">
            <v>A2</v>
          </cell>
          <cell r="E322" t="str">
            <v>A2</v>
          </cell>
        </row>
        <row r="323">
          <cell r="B323" t="str">
            <v>Hoàng Văn Viết</v>
          </cell>
          <cell r="C323" t="str">
            <v>01029001</v>
          </cell>
          <cell r="D323" t="str">
            <v>A2</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A3</v>
          </cell>
          <cell r="E327" t="str">
            <v>A3</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A3</v>
          </cell>
          <cell r="E332" t="str">
            <v>A3</v>
          </cell>
        </row>
        <row r="333">
          <cell r="B333" t="str">
            <v>Trần Ngọc Tuấn</v>
          </cell>
          <cell r="C333" t="str">
            <v>01028017</v>
          </cell>
          <cell r="D333" t="str">
            <v>A2</v>
          </cell>
          <cell r="E333" t="str">
            <v>A2</v>
          </cell>
        </row>
        <row r="334">
          <cell r="B334" t="str">
            <v>KHOA KINH TẾ</v>
          </cell>
          <cell r="C334">
            <v>0</v>
          </cell>
          <cell r="D334">
            <v>0</v>
          </cell>
          <cell r="E334">
            <v>13</v>
          </cell>
        </row>
        <row r="335">
          <cell r="B335" t="str">
            <v>Viên chức</v>
          </cell>
          <cell r="C335">
            <v>0</v>
          </cell>
          <cell r="D335">
            <v>0</v>
          </cell>
          <cell r="E335">
            <v>13</v>
          </cell>
        </row>
        <row r="336">
          <cell r="B336" t="str">
            <v>Trịnh Hoàng Hiệp</v>
          </cell>
          <cell r="C336" t="str">
            <v>01025007</v>
          </cell>
          <cell r="D336" t="str">
            <v>A1</v>
          </cell>
          <cell r="E336" t="str">
            <v>A1</v>
          </cell>
        </row>
        <row r="337">
          <cell r="B337" t="str">
            <v>Phạm Quỳnh Như</v>
          </cell>
          <cell r="C337" t="str">
            <v>01025004</v>
          </cell>
          <cell r="D337" t="str">
            <v>A1</v>
          </cell>
          <cell r="E337" t="str">
            <v>A1</v>
          </cell>
        </row>
        <row r="338">
          <cell r="B338" t="str">
            <v>Lưu Thị Thúy</v>
          </cell>
          <cell r="C338" t="str">
            <v>01025002</v>
          </cell>
          <cell r="D338" t="str">
            <v>A1</v>
          </cell>
          <cell r="E338" t="str">
            <v>A2</v>
          </cell>
        </row>
        <row r="339">
          <cell r="B339" t="str">
            <v>Trần Thị Ngọc Dung</v>
          </cell>
          <cell r="C339" t="str">
            <v>01025016</v>
          </cell>
          <cell r="D339" t="str">
            <v>A1</v>
          </cell>
          <cell r="E339" t="str">
            <v>A1</v>
          </cell>
        </row>
        <row r="340">
          <cell r="B340" t="str">
            <v>Cao Xuân Giang</v>
          </cell>
          <cell r="C340" t="str">
            <v>01025018</v>
          </cell>
          <cell r="D340" t="str">
            <v>A2</v>
          </cell>
          <cell r="E340" t="str">
            <v>A3</v>
          </cell>
        </row>
        <row r="341">
          <cell r="B341" t="str">
            <v>Nguyễn Thị Thanh Hòa</v>
          </cell>
          <cell r="C341" t="str">
            <v>01009027</v>
          </cell>
          <cell r="D341" t="str">
            <v>A1</v>
          </cell>
          <cell r="E341" t="str">
            <v>A2</v>
          </cell>
        </row>
        <row r="342">
          <cell r="B342" t="str">
            <v>Huỳnh Kim Liên</v>
          </cell>
          <cell r="C342" t="str">
            <v>01025052</v>
          </cell>
          <cell r="D342" t="str">
            <v>A1</v>
          </cell>
          <cell r="E342" t="str">
            <v>A2</v>
          </cell>
        </row>
        <row r="343">
          <cell r="B343" t="str">
            <v>Lê Hồng Ngọc My</v>
          </cell>
          <cell r="C343" t="str">
            <v>01015053</v>
          </cell>
          <cell r="D343" t="str">
            <v>A1</v>
          </cell>
          <cell r="E343" t="str">
            <v>A2</v>
          </cell>
        </row>
        <row r="344">
          <cell r="B344" t="str">
            <v>Lê Thị Thu Thảo</v>
          </cell>
          <cell r="C344" t="str">
            <v>01025008</v>
          </cell>
          <cell r="D344" t="str">
            <v>A2</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A1</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A1</v>
          </cell>
        </row>
        <row r="353">
          <cell r="B353" t="str">
            <v>Phạm Thị Thanh Thúy</v>
          </cell>
          <cell r="C353" t="str">
            <v>01016003</v>
          </cell>
          <cell r="D353" t="str">
            <v>A1</v>
          </cell>
          <cell r="E353" t="str">
            <v>A1</v>
          </cell>
        </row>
        <row r="354">
          <cell r="B354" t="str">
            <v>Đinh Thị Trâm</v>
          </cell>
          <cell r="C354" t="str">
            <v>01025033</v>
          </cell>
          <cell r="D354" t="str">
            <v>A3</v>
          </cell>
          <cell r="E354" t="str">
            <v>A2</v>
          </cell>
        </row>
        <row r="355">
          <cell r="B355" t="str">
            <v>Lê Thị Thúy Oanh</v>
          </cell>
          <cell r="C355" t="str">
            <v>01025020</v>
          </cell>
          <cell r="D355" t="str">
            <v>A4</v>
          </cell>
          <cell r="E355" t="str">
            <v>A3</v>
          </cell>
        </row>
        <row r="356">
          <cell r="B356" t="str">
            <v>Võ Thị Kim Thư</v>
          </cell>
          <cell r="C356" t="str">
            <v>01025012</v>
          </cell>
          <cell r="D356" t="str">
            <v>B1</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A3</v>
          </cell>
          <cell r="E360" t="str">
            <v>A2</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A3</v>
          </cell>
          <cell r="E372" t="str">
            <v>A3</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A3</v>
          </cell>
          <cell r="E377" t="str">
            <v>A3</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A2</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A4</v>
          </cell>
          <cell r="E396" t="str">
            <v>A4</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row>
        <row r="11">
          <cell r="H11" t="str">
            <v>Đinh Văn Đệ</v>
          </cell>
          <cell r="J11">
            <v>29</v>
          </cell>
        </row>
        <row r="12">
          <cell r="H12" t="str">
            <v>Đinh Hồng Minh</v>
          </cell>
          <cell r="J12">
            <v>28</v>
          </cell>
        </row>
        <row r="13">
          <cell r="H13" t="str">
            <v>Châu Văn Bảo</v>
          </cell>
          <cell r="J13">
            <v>28</v>
          </cell>
        </row>
        <row r="14">
          <cell r="H14" t="str">
            <v>Lâm Viết Dũng</v>
          </cell>
          <cell r="J14">
            <v>23</v>
          </cell>
        </row>
        <row r="15">
          <cell r="H15" t="str">
            <v>Lưu Hoàng Hải Yến</v>
          </cell>
          <cell r="J15">
            <v>24.5</v>
          </cell>
        </row>
        <row r="16">
          <cell r="H16" t="str">
            <v>Huỳnh Thị Minh Ly</v>
          </cell>
          <cell r="J16">
            <v>25.5</v>
          </cell>
        </row>
        <row r="17">
          <cell r="H17" t="str">
            <v>Nguyễn Văn Chì</v>
          </cell>
          <cell r="J17">
            <v>23</v>
          </cell>
        </row>
        <row r="18">
          <cell r="H18" t="str">
            <v>Nguyễn Thị Vân</v>
          </cell>
          <cell r="J18">
            <v>24</v>
          </cell>
        </row>
        <row r="19">
          <cell r="H19" t="str">
            <v>Phan Thị Ngọc Phượng</v>
          </cell>
          <cell r="J19">
            <v>24</v>
          </cell>
        </row>
        <row r="20">
          <cell r="H20" t="str">
            <v>Trần Thị Ánh Phượng</v>
          </cell>
          <cell r="J20">
            <v>24</v>
          </cell>
        </row>
        <row r="21">
          <cell r="H21" t="str">
            <v>Thân Thị Nhung</v>
          </cell>
          <cell r="J21">
            <v>23</v>
          </cell>
        </row>
        <row r="22">
          <cell r="H22" t="str">
            <v>Trần Thị Phương Oanh</v>
          </cell>
          <cell r="J22">
            <v>21</v>
          </cell>
        </row>
        <row r="23">
          <cell r="H23" t="str">
            <v>Vũ Như Quỳnh</v>
          </cell>
          <cell r="J23">
            <v>25</v>
          </cell>
        </row>
        <row r="24">
          <cell r="H24" t="str">
            <v>Nguyễn Thị Bích Liễu</v>
          </cell>
          <cell r="J24">
            <v>22.5</v>
          </cell>
        </row>
        <row r="25">
          <cell r="H25" t="str">
            <v>Lê Quang Liêm</v>
          </cell>
          <cell r="J25">
            <v>24</v>
          </cell>
        </row>
        <row r="26">
          <cell r="H26" t="str">
            <v>Nguyễn Văn Thành</v>
          </cell>
          <cell r="J26">
            <v>22</v>
          </cell>
        </row>
        <row r="27">
          <cell r="H27" t="str">
            <v>Phan Đức Long</v>
          </cell>
          <cell r="J27">
            <v>24</v>
          </cell>
        </row>
        <row r="28">
          <cell r="H28" t="str">
            <v>Ninh Đỗ Hiệp</v>
          </cell>
          <cell r="J28">
            <v>23</v>
          </cell>
        </row>
        <row r="29">
          <cell r="H29" t="str">
            <v>Nguyễn Trọng Phú</v>
          </cell>
          <cell r="J29">
            <v>27</v>
          </cell>
        </row>
        <row r="30">
          <cell r="H30" t="str">
            <v>Lê Hồng Anh Tuấn</v>
          </cell>
          <cell r="J30">
            <v>23</v>
          </cell>
        </row>
        <row r="31">
          <cell r="H31" t="str">
            <v>Giáp Văn Thịnh</v>
          </cell>
          <cell r="J31">
            <v>21</v>
          </cell>
        </row>
        <row r="32">
          <cell r="H32" t="str">
            <v>Vũ Ngọc Quang</v>
          </cell>
          <cell r="J32">
            <v>23</v>
          </cell>
        </row>
        <row r="33">
          <cell r="H33" t="str">
            <v>Bùi Thị Dương</v>
          </cell>
          <cell r="J33">
            <v>27</v>
          </cell>
        </row>
        <row r="34">
          <cell r="H34" t="str">
            <v>Phan Hữu Tước</v>
          </cell>
          <cell r="J34">
            <v>27</v>
          </cell>
        </row>
        <row r="35">
          <cell r="H35" t="str">
            <v>Trang Thị Xuân Uyên</v>
          </cell>
          <cell r="J35">
            <v>25</v>
          </cell>
        </row>
        <row r="36">
          <cell r="H36" t="str">
            <v>Bùi Thị Lan Anh</v>
          </cell>
          <cell r="J36">
            <v>27</v>
          </cell>
        </row>
        <row r="37">
          <cell r="H37" t="str">
            <v>Nguyễn Kính</v>
          </cell>
          <cell r="J37">
            <v>26</v>
          </cell>
        </row>
        <row r="38">
          <cell r="H38" t="str">
            <v>Võ Thị Lệ Trân</v>
          </cell>
          <cell r="J38">
            <v>27</v>
          </cell>
        </row>
        <row r="39">
          <cell r="H39" t="str">
            <v>Trần Thị Minh Thoa</v>
          </cell>
          <cell r="J39">
            <v>24</v>
          </cell>
        </row>
        <row r="40">
          <cell r="H40" t="str">
            <v>Hồng Mộng Tuyết Dung</v>
          </cell>
          <cell r="J40">
            <v>27</v>
          </cell>
        </row>
        <row r="41">
          <cell r="H41" t="str">
            <v>Nguyễn Thị Hồng Thắm</v>
          </cell>
          <cell r="J41">
            <v>26</v>
          </cell>
        </row>
        <row r="42">
          <cell r="H42" t="str">
            <v>Nguyễn Văn Chiến</v>
          </cell>
          <cell r="J42">
            <v>27</v>
          </cell>
        </row>
        <row r="43">
          <cell r="H43" t="str">
            <v>Lê Xuân Thiện</v>
          </cell>
          <cell r="J43">
            <v>25</v>
          </cell>
        </row>
        <row r="44">
          <cell r="H44" t="str">
            <v>Nguyễn Tất Thắng</v>
          </cell>
          <cell r="J44">
            <v>24</v>
          </cell>
        </row>
        <row r="45">
          <cell r="H45" t="str">
            <v>Trần Thị Thu Hà</v>
          </cell>
          <cell r="J45">
            <v>24</v>
          </cell>
        </row>
        <row r="46">
          <cell r="H46" t="str">
            <v>Phạm Thị Lê Chi</v>
          </cell>
          <cell r="J46">
            <v>21</v>
          </cell>
        </row>
        <row r="47">
          <cell r="H47" t="str">
            <v>Nguyễn Thùy Dương</v>
          </cell>
          <cell r="J47">
            <v>23</v>
          </cell>
        </row>
        <row r="48">
          <cell r="H48" t="str">
            <v>Nguyễn Thị Kim Anh</v>
          </cell>
          <cell r="J48">
            <v>19</v>
          </cell>
        </row>
        <row r="49">
          <cell r="H49" t="str">
            <v>Mai Thu Hương</v>
          </cell>
          <cell r="J49">
            <v>24</v>
          </cell>
        </row>
        <row r="50">
          <cell r="H50" t="str">
            <v>Nguyễn Thành Nam</v>
          </cell>
          <cell r="J50">
            <v>25</v>
          </cell>
        </row>
        <row r="51">
          <cell r="H51" t="str">
            <v>Quách Minh Thử</v>
          </cell>
          <cell r="J51">
            <v>20.5</v>
          </cell>
        </row>
        <row r="52">
          <cell r="H52" t="str">
            <v>Võ Thị Xuân Thơ</v>
          </cell>
          <cell r="J52">
            <v>21.5</v>
          </cell>
        </row>
        <row r="53">
          <cell r="H53" t="str">
            <v>Nguyễn Thị Hải Hà</v>
          </cell>
          <cell r="J53">
            <v>21</v>
          </cell>
        </row>
        <row r="54">
          <cell r="H54" t="str">
            <v>Nguyễn Thị Thanh Thảo</v>
          </cell>
          <cell r="J54">
            <v>23</v>
          </cell>
        </row>
        <row r="55">
          <cell r="H55" t="str">
            <v>Thái Thị My Sa</v>
          </cell>
          <cell r="J55">
            <v>24</v>
          </cell>
        </row>
        <row r="56">
          <cell r="H56" t="str">
            <v>Giáp Thị Vượng</v>
          </cell>
          <cell r="J56">
            <v>24.5</v>
          </cell>
        </row>
        <row r="57">
          <cell r="H57" t="str">
            <v>Huỳnh Thị Cẩm Hoa</v>
          </cell>
          <cell r="J57">
            <v>20.5</v>
          </cell>
        </row>
        <row r="58">
          <cell r="H58" t="str">
            <v>Nguyễn Thị Thùy</v>
          </cell>
          <cell r="J58">
            <v>25</v>
          </cell>
        </row>
        <row r="59">
          <cell r="H59" t="str">
            <v>Nguyễn Thị Ngọc Anh</v>
          </cell>
          <cell r="J59">
            <v>22.5</v>
          </cell>
        </row>
        <row r="60">
          <cell r="H60" t="str">
            <v>Nguyễn Chí Nhân</v>
          </cell>
          <cell r="J60">
            <v>27</v>
          </cell>
        </row>
        <row r="61">
          <cell r="H61" t="str">
            <v>Nguyễn Thị Kim Dung</v>
          </cell>
          <cell r="J61">
            <v>23</v>
          </cell>
        </row>
        <row r="62">
          <cell r="H62" t="str">
            <v>Nguyễn Thanh Sơn</v>
          </cell>
          <cell r="J62">
            <v>23</v>
          </cell>
        </row>
        <row r="63">
          <cell r="H63" t="str">
            <v>Lương Minh Dũng</v>
          </cell>
          <cell r="J63">
            <v>23</v>
          </cell>
        </row>
        <row r="64">
          <cell r="H64" t="str">
            <v>Nguyễn Thị Tuyết</v>
          </cell>
          <cell r="J64">
            <v>22</v>
          </cell>
        </row>
        <row r="65">
          <cell r="H65" t="str">
            <v>Vũ Thị Thu Thủy</v>
          </cell>
          <cell r="J65">
            <v>23</v>
          </cell>
        </row>
        <row r="66">
          <cell r="H66" t="str">
            <v>Mai Nguyễn Hoàng Yến</v>
          </cell>
          <cell r="J66">
            <v>23</v>
          </cell>
        </row>
        <row r="67">
          <cell r="H67" t="str">
            <v>Nguyễn Trọng Nghĩa</v>
          </cell>
          <cell r="J67">
            <v>21</v>
          </cell>
        </row>
        <row r="68">
          <cell r="H68" t="str">
            <v>Lê Thị Hải Đăng</v>
          </cell>
          <cell r="J68">
            <v>27</v>
          </cell>
        </row>
        <row r="69">
          <cell r="H69" t="str">
            <v>Nguyễn Hữu Thiện</v>
          </cell>
          <cell r="J69">
            <v>27</v>
          </cell>
        </row>
        <row r="70">
          <cell r="H70" t="str">
            <v>Vương Hội Khánh</v>
          </cell>
          <cell r="J70">
            <v>25</v>
          </cell>
        </row>
        <row r="71">
          <cell r="H71" t="str">
            <v>Trương Hữu Lộc</v>
          </cell>
          <cell r="J71">
            <v>22</v>
          </cell>
        </row>
        <row r="72">
          <cell r="H72" t="str">
            <v>Trương Thị Hồng</v>
          </cell>
          <cell r="J72">
            <v>24</v>
          </cell>
        </row>
        <row r="73">
          <cell r="H73" t="str">
            <v>Lương Xuân Thịnh</v>
          </cell>
          <cell r="J73">
            <v>31</v>
          </cell>
        </row>
        <row r="74">
          <cell r="H74" t="str">
            <v>Nguyễn Cao Thắng</v>
          </cell>
          <cell r="J74">
            <v>27</v>
          </cell>
        </row>
        <row r="75">
          <cell r="H75" t="str">
            <v>Đỗ Thị Tâm</v>
          </cell>
          <cell r="J75">
            <v>29</v>
          </cell>
        </row>
        <row r="76">
          <cell r="H76" t="str">
            <v>Nguyễn Tiến Việt Dũng</v>
          </cell>
          <cell r="J76">
            <v>25</v>
          </cell>
        </row>
        <row r="77">
          <cell r="H77" t="str">
            <v>Bùi Đặng Hoàng Tuấn</v>
          </cell>
          <cell r="J77">
            <v>23</v>
          </cell>
        </row>
        <row r="78">
          <cell r="H78" t="str">
            <v>Võ Tấn Kiệt</v>
          </cell>
          <cell r="J78">
            <v>23</v>
          </cell>
        </row>
        <row r="79">
          <cell r="H79" t="str">
            <v>Hồ Ngọc Chi</v>
          </cell>
          <cell r="J79">
            <v>23.5</v>
          </cell>
        </row>
        <row r="80">
          <cell r="H80" t="str">
            <v>Nguyễn Tứ Cảnh</v>
          </cell>
          <cell r="J80">
            <v>23</v>
          </cell>
        </row>
        <row r="81">
          <cell r="H81" t="str">
            <v>Đặng Thu Hà</v>
          </cell>
          <cell r="J81">
            <v>23</v>
          </cell>
        </row>
        <row r="82">
          <cell r="H82" t="str">
            <v>Trần Thị Diễm Thúy</v>
          </cell>
          <cell r="J82">
            <v>21</v>
          </cell>
        </row>
        <row r="83">
          <cell r="H83" t="str">
            <v>Trịnh Hoàng Hiệp</v>
          </cell>
          <cell r="J83">
            <v>23</v>
          </cell>
        </row>
        <row r="84">
          <cell r="H84" t="str">
            <v>Phạm Quỳnh Như</v>
          </cell>
          <cell r="J84">
            <v>23</v>
          </cell>
        </row>
        <row r="85">
          <cell r="H85" t="str">
            <v>Lê Thị Thu Thảo</v>
          </cell>
          <cell r="J85">
            <v>23</v>
          </cell>
        </row>
        <row r="86">
          <cell r="H86" t="str">
            <v>Lưu Thị Thúy</v>
          </cell>
          <cell r="J86">
            <v>23</v>
          </cell>
        </row>
        <row r="87">
          <cell r="H87" t="str">
            <v>Nguyễn Thị Minh Thùy</v>
          </cell>
          <cell r="J87">
            <v>23</v>
          </cell>
        </row>
        <row r="88">
          <cell r="H88" t="str">
            <v>Nguyễn Mỹ Tiên</v>
          </cell>
          <cell r="J88">
            <v>21</v>
          </cell>
        </row>
        <row r="89">
          <cell r="H89" t="str">
            <v>Trần Thị Ngọc Dung</v>
          </cell>
          <cell r="J89">
            <v>21</v>
          </cell>
        </row>
        <row r="90">
          <cell r="H90" t="str">
            <v>Cao Xuân Giang</v>
          </cell>
          <cell r="J90">
            <v>21</v>
          </cell>
        </row>
        <row r="91">
          <cell r="H91" t="str">
            <v>Lê Hồng Ngọc My</v>
          </cell>
          <cell r="J91">
            <v>23</v>
          </cell>
        </row>
        <row r="92">
          <cell r="H92" t="str">
            <v>Nguyễn Thị Thanh Hòa</v>
          </cell>
          <cell r="J92">
            <v>23</v>
          </cell>
        </row>
        <row r="93">
          <cell r="H93" t="str">
            <v>Huỳnh Kim Liên</v>
          </cell>
          <cell r="J93">
            <v>23</v>
          </cell>
        </row>
        <row r="94">
          <cell r="H94" t="str">
            <v>Nguyễn Huỳnh Lưu Phương</v>
          </cell>
          <cell r="J94">
            <v>23</v>
          </cell>
        </row>
        <row r="95">
          <cell r="H95" t="str">
            <v>Hồ Gia Bảo</v>
          </cell>
          <cell r="J95">
            <v>21</v>
          </cell>
        </row>
        <row r="96">
          <cell r="H96" t="str">
            <v>Lữ Xuân Trang</v>
          </cell>
          <cell r="J96">
            <v>23</v>
          </cell>
        </row>
        <row r="97">
          <cell r="H97" t="str">
            <v>Phạm Thị Thanh Thúy</v>
          </cell>
          <cell r="J97">
            <v>23</v>
          </cell>
        </row>
        <row r="98">
          <cell r="H98" t="str">
            <v>Đinh Thị Trâm</v>
          </cell>
          <cell r="J98">
            <v>23</v>
          </cell>
        </row>
        <row r="99">
          <cell r="H99" t="str">
            <v>Lê Thị Thúy Oanh</v>
          </cell>
          <cell r="J99">
            <v>21</v>
          </cell>
        </row>
        <row r="100">
          <cell r="H100" t="str">
            <v>Võ Thị Kim Thư</v>
          </cell>
          <cell r="J100">
            <v>23</v>
          </cell>
        </row>
        <row r="101">
          <cell r="H101" t="str">
            <v>Nguyễn Hoàng Thanh Ngân</v>
          </cell>
          <cell r="J101">
            <v>0</v>
          </cell>
        </row>
        <row r="102">
          <cell r="H102" t="str">
            <v>Nguyễn Ngọc Thọ</v>
          </cell>
          <cell r="J102">
            <v>23</v>
          </cell>
        </row>
        <row r="103">
          <cell r="H103" t="str">
            <v>Nguyễn Bạch Cẩm Dung</v>
          </cell>
          <cell r="J103">
            <v>21</v>
          </cell>
        </row>
        <row r="104">
          <cell r="H104" t="str">
            <v>Lâm Thị Phương Thùy</v>
          </cell>
          <cell r="J104">
            <v>23</v>
          </cell>
        </row>
        <row r="105">
          <cell r="H105" t="str">
            <v>Nguyễn Thị Hiền</v>
          </cell>
          <cell r="J105">
            <v>23</v>
          </cell>
        </row>
        <row r="106">
          <cell r="H106" t="str">
            <v>Chế Vân Cầm</v>
          </cell>
          <cell r="J106">
            <v>23</v>
          </cell>
        </row>
        <row r="107">
          <cell r="H107" t="str">
            <v>Trần Hồng Thảo</v>
          </cell>
          <cell r="J107">
            <v>21</v>
          </cell>
        </row>
        <row r="108">
          <cell r="H108" t="str">
            <v>Lê Thị Phương Thảo</v>
          </cell>
          <cell r="J108">
            <v>21</v>
          </cell>
        </row>
        <row r="109">
          <cell r="H109" t="str">
            <v>Bùi Thị Ngọc Sương</v>
          </cell>
          <cell r="J109">
            <v>23</v>
          </cell>
        </row>
        <row r="110">
          <cell r="H110" t="str">
            <v>Nguyễn Thị Nhuận</v>
          </cell>
          <cell r="J110">
            <v>22</v>
          </cell>
        </row>
        <row r="111">
          <cell r="H111" t="str">
            <v>Nguyễn Thị Huyền Nga</v>
          </cell>
          <cell r="J111">
            <v>23</v>
          </cell>
        </row>
        <row r="112">
          <cell r="H112" t="str">
            <v>Nguyễn Phương Hà</v>
          </cell>
          <cell r="J112">
            <v>23</v>
          </cell>
        </row>
        <row r="113">
          <cell r="H113" t="str">
            <v>Trịnh Khắc Vũ</v>
          </cell>
          <cell r="J113">
            <v>23</v>
          </cell>
        </row>
        <row r="114">
          <cell r="H114" t="str">
            <v>Lê Minh Phong</v>
          </cell>
          <cell r="J114">
            <v>23</v>
          </cell>
        </row>
        <row r="115">
          <cell r="H115" t="str">
            <v>Nguyễn Văn Đông</v>
          </cell>
          <cell r="J115">
            <v>21</v>
          </cell>
        </row>
        <row r="116">
          <cell r="H116" t="str">
            <v>Đặng Thị Kiến Trúc</v>
          </cell>
          <cell r="J116">
            <v>21</v>
          </cell>
        </row>
        <row r="117">
          <cell r="H117" t="str">
            <v>Nguyễn Thanh Tú</v>
          </cell>
          <cell r="J117">
            <v>22</v>
          </cell>
        </row>
        <row r="118">
          <cell r="H118" t="str">
            <v>Trần Thị Ánh Tuyết</v>
          </cell>
          <cell r="J118">
            <v>21</v>
          </cell>
        </row>
        <row r="119">
          <cell r="H119" t="str">
            <v>Lê Văn Bình</v>
          </cell>
          <cell r="J119">
            <v>23</v>
          </cell>
        </row>
        <row r="120">
          <cell r="H120" t="str">
            <v>Phạm Thị Thu Nga</v>
          </cell>
          <cell r="J120">
            <v>21</v>
          </cell>
        </row>
        <row r="121">
          <cell r="H121" t="str">
            <v>Nguyễn Thị Cẩm Thạch</v>
          </cell>
          <cell r="J121">
            <v>23</v>
          </cell>
        </row>
        <row r="122">
          <cell r="H122" t="str">
            <v>Hà Như Mai</v>
          </cell>
          <cell r="J122">
            <v>23</v>
          </cell>
        </row>
        <row r="123">
          <cell r="H123" t="str">
            <v>Nguyễn Thị Thủy</v>
          </cell>
          <cell r="J123">
            <v>21</v>
          </cell>
        </row>
        <row r="124">
          <cell r="H124" t="str">
            <v>Dương Đức Kiên</v>
          </cell>
          <cell r="J124">
            <v>23</v>
          </cell>
        </row>
        <row r="125">
          <cell r="H125" t="str">
            <v>Nguyễn Văn Hậu</v>
          </cell>
          <cell r="J125">
            <v>21</v>
          </cell>
        </row>
        <row r="126">
          <cell r="H126" t="str">
            <v>Lê Thái Hùng</v>
          </cell>
          <cell r="J126">
            <v>22</v>
          </cell>
        </row>
        <row r="127">
          <cell r="H127" t="str">
            <v>Nguyễn Phú Tân</v>
          </cell>
          <cell r="J127">
            <v>22</v>
          </cell>
        </row>
        <row r="128">
          <cell r="H128" t="str">
            <v>Nguyễn Mạnh Phương</v>
          </cell>
          <cell r="J128">
            <v>22</v>
          </cell>
        </row>
        <row r="129">
          <cell r="H129" t="str">
            <v>Giang Phi Hùng</v>
          </cell>
          <cell r="J129">
            <v>22</v>
          </cell>
        </row>
        <row r="130">
          <cell r="H130" t="str">
            <v>Ngô Thanh Điền</v>
          </cell>
          <cell r="J130">
            <v>22</v>
          </cell>
        </row>
        <row r="131">
          <cell r="H131" t="str">
            <v>Nguyễn Thị Thu Hà</v>
          </cell>
          <cell r="J131">
            <v>23</v>
          </cell>
        </row>
        <row r="132">
          <cell r="H132" t="str">
            <v>Vương Thanh Thủy</v>
          </cell>
          <cell r="J132">
            <v>21</v>
          </cell>
        </row>
        <row r="133">
          <cell r="H133" t="str">
            <v>Nguyễn Thị Bảo Trân</v>
          </cell>
          <cell r="J133">
            <v>23</v>
          </cell>
        </row>
        <row r="134">
          <cell r="H134" t="str">
            <v>Nguyễn Thị Thu Tâm</v>
          </cell>
          <cell r="J134">
            <v>23</v>
          </cell>
        </row>
        <row r="135">
          <cell r="H135" t="str">
            <v>Nguyễn Thị Thanh Tú</v>
          </cell>
          <cell r="J135">
            <v>23</v>
          </cell>
        </row>
        <row r="136">
          <cell r="H136" t="str">
            <v>Võ Thị Hồng Lan</v>
          </cell>
          <cell r="J136">
            <v>21</v>
          </cell>
        </row>
        <row r="137">
          <cell r="H137" t="str">
            <v>Lê Nguyễn Mỹ Trâm</v>
          </cell>
          <cell r="J137">
            <v>21</v>
          </cell>
        </row>
        <row r="138">
          <cell r="H138" t="str">
            <v>Phạm Thị Thu Hiền</v>
          </cell>
          <cell r="J138">
            <v>23</v>
          </cell>
        </row>
        <row r="139">
          <cell r="H139" t="str">
            <v>Nguyễn Thiện Bình</v>
          </cell>
          <cell r="J139">
            <v>23</v>
          </cell>
        </row>
        <row r="140">
          <cell r="H140" t="str">
            <v>Trần Thanh Trúc</v>
          </cell>
          <cell r="J140">
            <v>23</v>
          </cell>
        </row>
        <row r="141">
          <cell r="H141" t="str">
            <v>Lâm Thị Phương Thảo</v>
          </cell>
          <cell r="J141">
            <v>23</v>
          </cell>
        </row>
        <row r="142">
          <cell r="H142" t="str">
            <v>Trần Hà Trang</v>
          </cell>
          <cell r="J142">
            <v>23</v>
          </cell>
        </row>
        <row r="143">
          <cell r="H143" t="str">
            <v>Lê Thu Hà</v>
          </cell>
          <cell r="J143">
            <v>0</v>
          </cell>
        </row>
        <row r="144">
          <cell r="H144" t="str">
            <v>Ôn Thị Ngọc Thảo</v>
          </cell>
          <cell r="J144">
            <v>23</v>
          </cell>
        </row>
        <row r="145">
          <cell r="H145" t="str">
            <v>Lê Thị Hồng Vân</v>
          </cell>
          <cell r="J145">
            <v>23</v>
          </cell>
        </row>
        <row r="146">
          <cell r="H146" t="str">
            <v>Nguyễn Ngọc Quỳnh</v>
          </cell>
          <cell r="J146">
            <v>21</v>
          </cell>
        </row>
        <row r="147">
          <cell r="H147" t="str">
            <v>Phan Thị Thùy Trang</v>
          </cell>
          <cell r="J147">
            <v>23</v>
          </cell>
        </row>
        <row r="148">
          <cell r="H148" t="str">
            <v>Lê Thị Mai Hường</v>
          </cell>
          <cell r="J148">
            <v>23</v>
          </cell>
        </row>
        <row r="149">
          <cell r="H149" t="str">
            <v>Nguyễn Thị Dinh</v>
          </cell>
          <cell r="J149">
            <v>23</v>
          </cell>
        </row>
        <row r="150">
          <cell r="H150" t="str">
            <v>Đỗ Thị Ngát</v>
          </cell>
          <cell r="J150">
            <v>23</v>
          </cell>
        </row>
        <row r="151">
          <cell r="H151" t="str">
            <v>Nguyễn Anh Kiệt</v>
          </cell>
          <cell r="J151">
            <v>23</v>
          </cell>
        </row>
        <row r="152">
          <cell r="H152" t="str">
            <v>Trần Thị Hồng Thu</v>
          </cell>
          <cell r="J152">
            <v>21</v>
          </cell>
        </row>
        <row r="153">
          <cell r="H153" t="str">
            <v>Đinh Thị Huyên</v>
          </cell>
          <cell r="J153">
            <v>21</v>
          </cell>
        </row>
        <row r="154">
          <cell r="H154" t="str">
            <v>Cao Thị Hồng Thắm</v>
          </cell>
          <cell r="J154">
            <v>23</v>
          </cell>
        </row>
        <row r="155">
          <cell r="H155" t="str">
            <v>Đỗ Thị Thơm</v>
          </cell>
          <cell r="J155">
            <v>23</v>
          </cell>
        </row>
        <row r="156">
          <cell r="H156" t="str">
            <v>Phạm Thị Vinh</v>
          </cell>
          <cell r="J156">
            <v>21</v>
          </cell>
        </row>
        <row r="157">
          <cell r="H157" t="str">
            <v>Hoàng Thị Trang</v>
          </cell>
          <cell r="J157">
            <v>21</v>
          </cell>
        </row>
        <row r="158">
          <cell r="H158" t="str">
            <v>Bùi Thành Dũng</v>
          </cell>
          <cell r="J158">
            <v>21</v>
          </cell>
        </row>
        <row r="159">
          <cell r="H159" t="str">
            <v>Trần Văn Lượng</v>
          </cell>
          <cell r="J159">
            <v>21</v>
          </cell>
        </row>
        <row r="160">
          <cell r="H160" t="str">
            <v>Trần Việt Khánh</v>
          </cell>
          <cell r="J160">
            <v>23</v>
          </cell>
        </row>
        <row r="161">
          <cell r="H161" t="str">
            <v>Vũ Thị Thái Linh</v>
          </cell>
          <cell r="J161">
            <v>23</v>
          </cell>
        </row>
        <row r="162">
          <cell r="H162" t="str">
            <v>Nguyễn Sanh Cường</v>
          </cell>
          <cell r="J162">
            <v>21</v>
          </cell>
        </row>
        <row r="163">
          <cell r="H163" t="str">
            <v>Lê Quý Hưng Quốc</v>
          </cell>
          <cell r="J163">
            <v>23</v>
          </cell>
        </row>
        <row r="164">
          <cell r="H164" t="str">
            <v>Bùi Văn Dũng</v>
          </cell>
          <cell r="J164">
            <v>21</v>
          </cell>
        </row>
        <row r="165">
          <cell r="H165" t="str">
            <v>Nguyễn Văn Minh</v>
          </cell>
          <cell r="J165">
            <v>21</v>
          </cell>
        </row>
        <row r="166">
          <cell r="H166" t="str">
            <v>Nguyễn Thị Khánh Thư</v>
          </cell>
          <cell r="J166">
            <v>21</v>
          </cell>
        </row>
        <row r="167">
          <cell r="H167" t="str">
            <v>Đỗ Thị Hải Yến</v>
          </cell>
          <cell r="J167">
            <v>21</v>
          </cell>
        </row>
        <row r="168">
          <cell r="H168" t="str">
            <v>Lê Hồng Thái</v>
          </cell>
          <cell r="J168">
            <v>21</v>
          </cell>
        </row>
        <row r="169">
          <cell r="H169" t="str">
            <v>Đặng Ngọc Đoàn</v>
          </cell>
          <cell r="J169">
            <v>21</v>
          </cell>
        </row>
        <row r="170">
          <cell r="H170" t="str">
            <v>Nguyễn Văn Đôn</v>
          </cell>
          <cell r="J170">
            <v>23</v>
          </cell>
        </row>
        <row r="171">
          <cell r="H171" t="str">
            <v>Huỳnh Quốc Dũng</v>
          </cell>
          <cell r="J171">
            <v>21</v>
          </cell>
        </row>
        <row r="172">
          <cell r="H172" t="str">
            <v>Dương Ngọc Vọng</v>
          </cell>
          <cell r="J172">
            <v>23</v>
          </cell>
        </row>
        <row r="173">
          <cell r="H173" t="str">
            <v>Nguyễn Ngọc Tuyên</v>
          </cell>
          <cell r="J173">
            <v>23</v>
          </cell>
        </row>
        <row r="174">
          <cell r="H174" t="str">
            <v>Nguyễn Cao Phong</v>
          </cell>
          <cell r="J174">
            <v>23</v>
          </cell>
        </row>
        <row r="175">
          <cell r="H175" t="str">
            <v>Mai Chiếm Tuấn</v>
          </cell>
          <cell r="J175">
            <v>23</v>
          </cell>
        </row>
        <row r="176">
          <cell r="H176" t="str">
            <v>Đỗ Tuấn Việt</v>
          </cell>
          <cell r="J176">
            <v>23</v>
          </cell>
        </row>
        <row r="177">
          <cell r="H177" t="str">
            <v>Trần Vĩnh Xuyên</v>
          </cell>
          <cell r="J177">
            <v>21</v>
          </cell>
        </row>
        <row r="178">
          <cell r="H178" t="str">
            <v>Đào Lê Phương Anh</v>
          </cell>
          <cell r="J178">
            <v>23</v>
          </cell>
        </row>
        <row r="179">
          <cell r="H179" t="str">
            <v>Nguyễn Duy Lộc</v>
          </cell>
          <cell r="J179">
            <v>23</v>
          </cell>
        </row>
        <row r="180">
          <cell r="H180" t="str">
            <v>Chung Trần Thế Vinh</v>
          </cell>
          <cell r="J180">
            <v>24</v>
          </cell>
        </row>
        <row r="181">
          <cell r="H181" t="str">
            <v>Đỗ Thị Phương Khanh</v>
          </cell>
          <cell r="J181">
            <v>21</v>
          </cell>
        </row>
        <row r="182">
          <cell r="H182" t="str">
            <v>Trương Thị Phương Hồng</v>
          </cell>
          <cell r="J182">
            <v>21</v>
          </cell>
        </row>
        <row r="183">
          <cell r="H183" t="str">
            <v>Dương Minh Chung</v>
          </cell>
          <cell r="J183">
            <v>21</v>
          </cell>
        </row>
        <row r="184">
          <cell r="H184" t="str">
            <v>Phan Văn Thành</v>
          </cell>
          <cell r="J184">
            <v>23</v>
          </cell>
        </row>
        <row r="185">
          <cell r="H185" t="str">
            <v>Vũ Đức Pháp</v>
          </cell>
          <cell r="J185">
            <v>23</v>
          </cell>
        </row>
        <row r="186">
          <cell r="H186" t="str">
            <v>Vũ Quang Khải</v>
          </cell>
          <cell r="J186">
            <v>21</v>
          </cell>
        </row>
        <row r="187">
          <cell r="H187" t="str">
            <v>Nguyễn Thanh Vũ</v>
          </cell>
          <cell r="J187">
            <v>23</v>
          </cell>
        </row>
        <row r="188">
          <cell r="H188" t="str">
            <v>Phan Thị Xuân Trang</v>
          </cell>
          <cell r="J188">
            <v>21</v>
          </cell>
        </row>
        <row r="189">
          <cell r="H189" t="str">
            <v>Trần Đình Khải</v>
          </cell>
          <cell r="J189">
            <v>23</v>
          </cell>
        </row>
        <row r="190">
          <cell r="H190" t="str">
            <v>Lư Thị Yến Vũ</v>
          </cell>
          <cell r="J190">
            <v>21</v>
          </cell>
        </row>
        <row r="191">
          <cell r="H191" t="str">
            <v>Nguyễn Tiến Dũng</v>
          </cell>
          <cell r="J191">
            <v>23</v>
          </cell>
        </row>
        <row r="192">
          <cell r="H192" t="str">
            <v>Nguyễn Thành Long</v>
          </cell>
          <cell r="J192">
            <v>23</v>
          </cell>
        </row>
        <row r="193">
          <cell r="H193" t="str">
            <v>Nguyễn Ngọc Quỳnh.</v>
          </cell>
          <cell r="J193">
            <v>23</v>
          </cell>
        </row>
        <row r="194">
          <cell r="H194" t="str">
            <v>Nguyễn Duy Hải</v>
          </cell>
          <cell r="J194">
            <v>23</v>
          </cell>
        </row>
        <row r="195">
          <cell r="H195" t="str">
            <v>Bùi Anh Tuấn</v>
          </cell>
          <cell r="J195">
            <v>21</v>
          </cell>
        </row>
        <row r="196">
          <cell r="H196" t="str">
            <v>Trần Thị Hương</v>
          </cell>
          <cell r="J196">
            <v>21</v>
          </cell>
        </row>
        <row r="197">
          <cell r="H197" t="str">
            <v>Trần Minh Thông</v>
          </cell>
          <cell r="J197">
            <v>23</v>
          </cell>
        </row>
        <row r="198">
          <cell r="H198" t="str">
            <v>Nguyễn Thanh Vĩnh Phúc</v>
          </cell>
          <cell r="J198">
            <v>23</v>
          </cell>
        </row>
        <row r="199">
          <cell r="H199" t="str">
            <v>Võ Minh Quang</v>
          </cell>
          <cell r="J199">
            <v>21</v>
          </cell>
        </row>
        <row r="200">
          <cell r="H200" t="str">
            <v>Dương Thị Hồng</v>
          </cell>
          <cell r="J200">
            <v>23</v>
          </cell>
        </row>
        <row r="201">
          <cell r="H201" t="str">
            <v>Nguyễn Thanh Giang</v>
          </cell>
          <cell r="J201">
            <v>21</v>
          </cell>
        </row>
        <row r="202">
          <cell r="H202" t="str">
            <v>Nguyễn Hồng Phúc</v>
          </cell>
          <cell r="J202">
            <v>23</v>
          </cell>
        </row>
        <row r="203">
          <cell r="H203" t="str">
            <v>Nguyễn Văn Sơn</v>
          </cell>
          <cell r="J203">
            <v>23</v>
          </cell>
        </row>
        <row r="204">
          <cell r="H204" t="str">
            <v>Nguyễn Khắc Huy</v>
          </cell>
          <cell r="J204">
            <v>23</v>
          </cell>
        </row>
        <row r="205">
          <cell r="H205" t="str">
            <v>Võ Hoài Sơn</v>
          </cell>
          <cell r="J205">
            <v>21</v>
          </cell>
        </row>
        <row r="206">
          <cell r="H206" t="str">
            <v>Nguyễn Thị Xuân Chinh</v>
          </cell>
          <cell r="J206">
            <v>21</v>
          </cell>
        </row>
        <row r="207">
          <cell r="H207" t="str">
            <v>Nguyễn Duy Tân</v>
          </cell>
          <cell r="J207">
            <v>23</v>
          </cell>
        </row>
        <row r="208">
          <cell r="H208" t="str">
            <v>Nguyễn Ngọc Hiệp</v>
          </cell>
          <cell r="J208">
            <v>21</v>
          </cell>
        </row>
        <row r="209">
          <cell r="H209" t="str">
            <v>Tạ Minh Cường</v>
          </cell>
          <cell r="J209">
            <v>21</v>
          </cell>
        </row>
        <row r="210">
          <cell r="H210" t="str">
            <v>Phạm Minh Nghĩa</v>
          </cell>
          <cell r="J210">
            <v>21</v>
          </cell>
        </row>
        <row r="211">
          <cell r="H211" t="str">
            <v>Nguyễn Văn Yên</v>
          </cell>
          <cell r="J211">
            <v>21</v>
          </cell>
        </row>
        <row r="212">
          <cell r="H212" t="str">
            <v>Nguyễn Minh Đức</v>
          </cell>
          <cell r="J212">
            <v>21</v>
          </cell>
        </row>
        <row r="213">
          <cell r="H213" t="str">
            <v>Nguyễn Anh Tăng</v>
          </cell>
          <cell r="J213">
            <v>23</v>
          </cell>
        </row>
        <row r="214">
          <cell r="H214" t="str">
            <v>Lê Thế Huân</v>
          </cell>
          <cell r="J214">
            <v>21</v>
          </cell>
        </row>
        <row r="215">
          <cell r="H215" t="str">
            <v>Trần Trung Hiếu</v>
          </cell>
          <cell r="J215">
            <v>21</v>
          </cell>
        </row>
        <row r="216">
          <cell r="H216" t="str">
            <v>Trần Nguyên Bảo Trân</v>
          </cell>
          <cell r="J216">
            <v>21</v>
          </cell>
        </row>
        <row r="217">
          <cell r="H217" t="str">
            <v>Mạnh Lê Hoàn</v>
          </cell>
          <cell r="J217">
            <v>23</v>
          </cell>
        </row>
        <row r="218">
          <cell r="H218" t="str">
            <v>Ngô Hoàng Anh</v>
          </cell>
          <cell r="J218">
            <v>23</v>
          </cell>
        </row>
        <row r="219">
          <cell r="H219" t="str">
            <v>Nguyễn Thùy Linh</v>
          </cell>
          <cell r="J219">
            <v>23</v>
          </cell>
        </row>
        <row r="220">
          <cell r="H220" t="str">
            <v>Vũ Hạnh Chiêu</v>
          </cell>
          <cell r="J220">
            <v>23</v>
          </cell>
        </row>
        <row r="221">
          <cell r="H221" t="str">
            <v>Đỗ Huỳnh Thanh Phong</v>
          </cell>
          <cell r="J221">
            <v>23</v>
          </cell>
        </row>
        <row r="222">
          <cell r="H222" t="str">
            <v>Nguyễn Minh Đức Cường</v>
          </cell>
          <cell r="J222">
            <v>23</v>
          </cell>
        </row>
        <row r="223">
          <cell r="H223" t="str">
            <v>Huỳnh Ngọc Mai</v>
          </cell>
          <cell r="J223">
            <v>23</v>
          </cell>
        </row>
        <row r="224">
          <cell r="H224" t="str">
            <v>Nguyễn Hồng Đức</v>
          </cell>
          <cell r="J224">
            <v>21</v>
          </cell>
        </row>
        <row r="225">
          <cell r="H225" t="str">
            <v>Trần Công Tiến</v>
          </cell>
          <cell r="J225">
            <v>23</v>
          </cell>
        </row>
        <row r="226">
          <cell r="H226" t="str">
            <v>Nguyễn Trần Thanh Nhàn</v>
          </cell>
          <cell r="J226">
            <v>23</v>
          </cell>
        </row>
        <row r="227">
          <cell r="H227" t="str">
            <v>Tăng Cẩm Huê</v>
          </cell>
          <cell r="J227">
            <v>21</v>
          </cell>
        </row>
        <row r="228">
          <cell r="H228" t="str">
            <v>Trần Hiếu Trinh</v>
          </cell>
          <cell r="J228">
            <v>21</v>
          </cell>
        </row>
        <row r="229">
          <cell r="H229" t="str">
            <v>Nguyễn Thị Tố Nga</v>
          </cell>
          <cell r="J229">
            <v>21</v>
          </cell>
        </row>
        <row r="230">
          <cell r="H230" t="str">
            <v>Đặng Đức Minh</v>
          </cell>
          <cell r="J230">
            <v>21</v>
          </cell>
        </row>
        <row r="231">
          <cell r="H231" t="str">
            <v>Nguyễn Thị Ngọc Hiền</v>
          </cell>
          <cell r="J231">
            <v>23</v>
          </cell>
        </row>
        <row r="232">
          <cell r="H232" t="str">
            <v>Ngô Phong Cường</v>
          </cell>
          <cell r="J232">
            <v>23</v>
          </cell>
        </row>
        <row r="233">
          <cell r="H233" t="str">
            <v>Cao Văn Tuấn</v>
          </cell>
          <cell r="J233">
            <v>23</v>
          </cell>
        </row>
        <row r="234">
          <cell r="H234" t="str">
            <v>Trần Nam Anh</v>
          </cell>
          <cell r="J234">
            <v>21</v>
          </cell>
        </row>
        <row r="235">
          <cell r="H235" t="str">
            <v>Trần Giang Nam</v>
          </cell>
          <cell r="J235">
            <v>21</v>
          </cell>
        </row>
        <row r="236">
          <cell r="H236" t="str">
            <v>Phan Thanh Hoàng</v>
          </cell>
          <cell r="J236">
            <v>21</v>
          </cell>
        </row>
        <row r="237">
          <cell r="H237" t="str">
            <v>Huỳnh Duy An</v>
          </cell>
          <cell r="J237">
            <v>23</v>
          </cell>
        </row>
        <row r="238">
          <cell r="H238" t="str">
            <v>Nguyễn Khương Thành</v>
          </cell>
          <cell r="J238">
            <v>23</v>
          </cell>
        </row>
        <row r="239">
          <cell r="H239" t="str">
            <v>Nguyễn Anh Tuấn</v>
          </cell>
          <cell r="J239">
            <v>23</v>
          </cell>
        </row>
        <row r="240">
          <cell r="H240" t="str">
            <v>Võ Đắc Thịnh</v>
          </cell>
          <cell r="J240">
            <v>23</v>
          </cell>
        </row>
        <row r="241">
          <cell r="H241" t="str">
            <v>Nguyễn Hữu Mạnh</v>
          </cell>
          <cell r="J241">
            <v>23</v>
          </cell>
        </row>
        <row r="242">
          <cell r="H242" t="str">
            <v>Phan Anh Tuấn Kiệt</v>
          </cell>
          <cell r="J242">
            <v>23</v>
          </cell>
        </row>
        <row r="243">
          <cell r="H243" t="str">
            <v>Triệu Phú Nguyên</v>
          </cell>
          <cell r="J243">
            <v>23</v>
          </cell>
        </row>
        <row r="244">
          <cell r="H244" t="str">
            <v>Nguyễn Thành Đức</v>
          </cell>
          <cell r="J244">
            <v>21</v>
          </cell>
        </row>
        <row r="245">
          <cell r="H245" t="str">
            <v>Nguyễn Minh Thái</v>
          </cell>
          <cell r="J245">
            <v>23</v>
          </cell>
        </row>
        <row r="246">
          <cell r="H246" t="str">
            <v>Đặng Thái Sơn</v>
          </cell>
          <cell r="J246">
            <v>23</v>
          </cell>
        </row>
        <row r="247">
          <cell r="H247" t="str">
            <v>Nguyễn Thái Bình</v>
          </cell>
          <cell r="J247">
            <v>21</v>
          </cell>
        </row>
        <row r="248">
          <cell r="H248" t="str">
            <v>Kiều Trung Tín</v>
          </cell>
          <cell r="J248">
            <v>21</v>
          </cell>
        </row>
        <row r="249">
          <cell r="H249" t="str">
            <v>Trần Quốc Duy</v>
          </cell>
          <cell r="J249">
            <v>23</v>
          </cell>
        </row>
        <row r="250">
          <cell r="H250" t="str">
            <v>Hồ Văn Hóa</v>
          </cell>
          <cell r="J250">
            <v>23</v>
          </cell>
        </row>
        <row r="251">
          <cell r="H251" t="str">
            <v>Nguyễn Thanh Hùng</v>
          </cell>
          <cell r="J251">
            <v>23</v>
          </cell>
        </row>
        <row r="252">
          <cell r="H252" t="str">
            <v>Hà Quốc Bảo</v>
          </cell>
          <cell r="J252">
            <v>23</v>
          </cell>
        </row>
        <row r="253">
          <cell r="H253" t="str">
            <v>Hoàng Phúc Bảo</v>
          </cell>
          <cell r="J253">
            <v>23</v>
          </cell>
        </row>
        <row r="254">
          <cell r="H254" t="str">
            <v>Nguyễn Lương Tâm</v>
          </cell>
          <cell r="J254">
            <v>23</v>
          </cell>
        </row>
        <row r="255">
          <cell r="H255" t="str">
            <v>Trần Thế Sơn</v>
          </cell>
          <cell r="J255">
            <v>21</v>
          </cell>
        </row>
        <row r="256">
          <cell r="H256" t="str">
            <v>Trần Văn Đông</v>
          </cell>
          <cell r="J256">
            <v>23</v>
          </cell>
        </row>
        <row r="257">
          <cell r="H257" t="str">
            <v>Lý Văn Trung</v>
          </cell>
          <cell r="J257">
            <v>21</v>
          </cell>
        </row>
        <row r="258">
          <cell r="H258" t="str">
            <v>Nguyễn Hoàng Vinh</v>
          </cell>
          <cell r="J258">
            <v>23</v>
          </cell>
        </row>
        <row r="259">
          <cell r="H259" t="str">
            <v>Bùi Trọng Tân</v>
          </cell>
          <cell r="J259">
            <v>23</v>
          </cell>
        </row>
        <row r="260">
          <cell r="H260" t="str">
            <v>Võ Quốc Duy</v>
          </cell>
          <cell r="J260">
            <v>23</v>
          </cell>
        </row>
        <row r="261">
          <cell r="H261" t="str">
            <v>Giang Văn Tiến</v>
          </cell>
          <cell r="J261">
            <v>21</v>
          </cell>
        </row>
        <row r="262">
          <cell r="H262" t="str">
            <v>Nguyễn Hữu Lương</v>
          </cell>
          <cell r="J262">
            <v>23</v>
          </cell>
        </row>
        <row r="263">
          <cell r="H263" t="str">
            <v>Huỳnh Đình Văn</v>
          </cell>
          <cell r="J263">
            <v>23</v>
          </cell>
        </row>
        <row r="264">
          <cell r="H264" t="str">
            <v>Phạm Quang Vũ</v>
          </cell>
          <cell r="J264">
            <v>21</v>
          </cell>
        </row>
        <row r="265">
          <cell r="H265" t="str">
            <v>Trình Minh Phong</v>
          </cell>
          <cell r="J265">
            <v>23</v>
          </cell>
        </row>
        <row r="266">
          <cell r="H266" t="str">
            <v>Trần Ngọc Tuấn</v>
          </cell>
          <cell r="J266">
            <v>23</v>
          </cell>
        </row>
        <row r="267">
          <cell r="H267" t="str">
            <v>Đinh Đồng Hiệp</v>
          </cell>
          <cell r="J267">
            <v>23</v>
          </cell>
        </row>
        <row r="268">
          <cell r="H268" t="str">
            <v>Đặng Thế Huân</v>
          </cell>
          <cell r="J268">
            <v>21</v>
          </cell>
        </row>
        <row r="269">
          <cell r="H269" t="str">
            <v>Võ Anh Hào</v>
          </cell>
          <cell r="J269">
            <v>23</v>
          </cell>
        </row>
        <row r="270">
          <cell r="H270" t="str">
            <v>Phan Văn Hòa</v>
          </cell>
          <cell r="J270">
            <v>21</v>
          </cell>
        </row>
        <row r="271">
          <cell r="H271" t="str">
            <v>Trần Đình Khoa</v>
          </cell>
          <cell r="J271">
            <v>21</v>
          </cell>
        </row>
        <row r="272">
          <cell r="H272" t="str">
            <v>Đỗ Trọng Quý</v>
          </cell>
          <cell r="J272">
            <v>23</v>
          </cell>
        </row>
        <row r="273">
          <cell r="H273" t="str">
            <v>Nguyễn Vũ Xuân Thì</v>
          </cell>
          <cell r="J273">
            <v>23</v>
          </cell>
        </row>
        <row r="274">
          <cell r="H274" t="str">
            <v>Hoàng Văn Viết</v>
          </cell>
          <cell r="J274">
            <v>23</v>
          </cell>
        </row>
        <row r="275">
          <cell r="H275" t="str">
            <v>Nguyễn Thanh Dũng</v>
          </cell>
          <cell r="J275">
            <v>23</v>
          </cell>
        </row>
      </sheetData>
      <sheetData sheetId="1"/>
      <sheetData sheetId="2">
        <row r="10">
          <cell r="H10" t="str">
            <v>Đồng Anh Tuấn</v>
          </cell>
          <cell r="J10">
            <v>24</v>
          </cell>
        </row>
        <row r="11">
          <cell r="H11" t="str">
            <v>Nguyễn Thanh Hiền</v>
          </cell>
          <cell r="J11">
            <v>27</v>
          </cell>
        </row>
        <row r="12">
          <cell r="H12" t="str">
            <v>Lê Hồng Phúc</v>
          </cell>
          <cell r="J12">
            <v>23</v>
          </cell>
        </row>
        <row r="13">
          <cell r="H13" t="str">
            <v>Phạm Hữu Tấn</v>
          </cell>
          <cell r="J13">
            <v>24</v>
          </cell>
        </row>
        <row r="14">
          <cell r="H14" t="str">
            <v>Nguyễn Hữu Xuân Vũ</v>
          </cell>
          <cell r="J14">
            <v>23</v>
          </cell>
        </row>
        <row r="15">
          <cell r="H15" t="str">
            <v>Phạm Hữu Thành Phú</v>
          </cell>
          <cell r="J15">
            <v>29</v>
          </cell>
        </row>
        <row r="16">
          <cell r="H16" t="str">
            <v>Huỳnh Thanh Nhàn</v>
          </cell>
          <cell r="J16">
            <v>29</v>
          </cell>
        </row>
        <row r="17">
          <cell r="H17" t="str">
            <v>Phạm Quang Tùng</v>
          </cell>
          <cell r="J17">
            <v>28</v>
          </cell>
        </row>
        <row r="18">
          <cell r="H18" t="str">
            <v>Trần Thanh Cường</v>
          </cell>
          <cell r="J18">
            <v>29</v>
          </cell>
        </row>
        <row r="19">
          <cell r="H19" t="str">
            <v>Dương Văn Tâm</v>
          </cell>
          <cell r="J19">
            <v>24</v>
          </cell>
        </row>
        <row r="20">
          <cell r="H20" t="str">
            <v>Huỳnh Ngọc Liên</v>
          </cell>
          <cell r="J20">
            <v>27</v>
          </cell>
        </row>
        <row r="21">
          <cell r="H21" t="str">
            <v>Huỳnh Thị Xuân Mai</v>
          </cell>
          <cell r="J21">
            <v>25.5</v>
          </cell>
        </row>
        <row r="22">
          <cell r="H22" t="str">
            <v>Trần Văn Cu Anh</v>
          </cell>
          <cell r="J22">
            <v>23</v>
          </cell>
        </row>
        <row r="23">
          <cell r="H23" t="str">
            <v>Vũ Anh Hiếu</v>
          </cell>
          <cell r="J23">
            <v>23</v>
          </cell>
        </row>
        <row r="24">
          <cell r="H24" t="str">
            <v>Dương Thị Thủy</v>
          </cell>
          <cell r="J24">
            <v>23</v>
          </cell>
        </row>
        <row r="25">
          <cell r="H25" t="str">
            <v>Tạ Quốc Tấn</v>
          </cell>
          <cell r="J25">
            <v>24</v>
          </cell>
        </row>
        <row r="26">
          <cell r="H26" t="str">
            <v>Huỳnh Bá Triết</v>
          </cell>
          <cell r="J26">
            <v>25</v>
          </cell>
        </row>
        <row r="27">
          <cell r="H27" t="str">
            <v>Giáp Đức Nhận</v>
          </cell>
          <cell r="J27">
            <v>24</v>
          </cell>
        </row>
        <row r="28">
          <cell r="H28" t="str">
            <v>Trần Thị Thu</v>
          </cell>
          <cell r="J28">
            <v>23</v>
          </cell>
        </row>
        <row r="29">
          <cell r="H29" t="str">
            <v>Đỗ Thị Bích Thủy</v>
          </cell>
          <cell r="J29">
            <v>24</v>
          </cell>
        </row>
        <row r="30">
          <cell r="H30" t="str">
            <v>Trịnh Tuấn Vũ</v>
          </cell>
          <cell r="J30">
            <v>23</v>
          </cell>
        </row>
        <row r="31">
          <cell r="H31" t="str">
            <v>Võ Thị Tuyết</v>
          </cell>
          <cell r="J31">
            <v>23</v>
          </cell>
        </row>
        <row r="32">
          <cell r="H32" t="str">
            <v>Trần Kim Tươi</v>
          </cell>
          <cell r="J32">
            <v>27</v>
          </cell>
        </row>
        <row r="33">
          <cell r="H33" t="str">
            <v>Trương Thị Định</v>
          </cell>
          <cell r="J33">
            <v>24</v>
          </cell>
        </row>
        <row r="34">
          <cell r="H34" t="str">
            <v>Trương Thị Bắc</v>
          </cell>
          <cell r="J34">
            <v>27</v>
          </cell>
        </row>
        <row r="35">
          <cell r="H35" t="str">
            <v>Võ Tấn Đức</v>
          </cell>
          <cell r="J35">
            <v>27</v>
          </cell>
        </row>
        <row r="36">
          <cell r="H36" t="str">
            <v>Ngô Ngọc Của</v>
          </cell>
          <cell r="J36">
            <v>27</v>
          </cell>
        </row>
        <row r="37">
          <cell r="H37" t="str">
            <v>Phạm Thị Hoàng Diễm</v>
          </cell>
          <cell r="J37">
            <v>27</v>
          </cell>
        </row>
        <row r="38">
          <cell r="H38" t="str">
            <v>Nguyễn Văn Hiển</v>
          </cell>
          <cell r="J38">
            <v>24</v>
          </cell>
        </row>
        <row r="39">
          <cell r="H39" t="str">
            <v>Trần Thanh Phương</v>
          </cell>
          <cell r="J39">
            <v>27</v>
          </cell>
        </row>
        <row r="40">
          <cell r="H40" t="str">
            <v>Lâm Võ Hữu Duy</v>
          </cell>
          <cell r="J40">
            <v>24</v>
          </cell>
        </row>
        <row r="41">
          <cell r="H41" t="str">
            <v>Võ Lạc Tân</v>
          </cell>
          <cell r="J41">
            <v>27</v>
          </cell>
        </row>
        <row r="42">
          <cell r="H42" t="str">
            <v>Lê Thị Huyền</v>
          </cell>
          <cell r="J42">
            <v>24</v>
          </cell>
        </row>
        <row r="43">
          <cell r="H43" t="str">
            <v>Trần Thị Thảo Vân</v>
          </cell>
          <cell r="J43">
            <v>25</v>
          </cell>
        </row>
        <row r="44">
          <cell r="H44" t="str">
            <v>Nguyễn Thụy Nghiêm</v>
          </cell>
          <cell r="J44">
            <v>27</v>
          </cell>
        </row>
        <row r="45">
          <cell r="H45" t="str">
            <v>Huỳnh Như Ý</v>
          </cell>
          <cell r="J45">
            <v>24</v>
          </cell>
        </row>
        <row r="46">
          <cell r="H46" t="str">
            <v>Nguyễn Chiến Thắng</v>
          </cell>
          <cell r="J46">
            <v>24</v>
          </cell>
        </row>
        <row r="47">
          <cell r="H47" t="str">
            <v>Huỳnh Văn Hiếu</v>
          </cell>
          <cell r="J47">
            <v>21</v>
          </cell>
        </row>
        <row r="48">
          <cell r="H48" t="str">
            <v>Trần Anh Mỹ</v>
          </cell>
          <cell r="J48">
            <v>24</v>
          </cell>
        </row>
        <row r="49">
          <cell r="H49" t="str">
            <v>Nguyễn Trung Dũng</v>
          </cell>
          <cell r="J49">
            <v>27</v>
          </cell>
        </row>
        <row r="50">
          <cell r="H50" t="str">
            <v>Phạm Huy Hoàng</v>
          </cell>
          <cell r="J50">
            <v>27</v>
          </cell>
        </row>
        <row r="51">
          <cell r="H51" t="str">
            <v>Bùi Đức Phước</v>
          </cell>
          <cell r="J51">
            <v>25</v>
          </cell>
        </row>
        <row r="52">
          <cell r="H52" t="str">
            <v>Nguyễn Thị Thảo</v>
          </cell>
          <cell r="J52">
            <v>23</v>
          </cell>
        </row>
        <row r="53">
          <cell r="H53" t="str">
            <v>Lưu Hoàng Bảo Châu</v>
          </cell>
          <cell r="J53">
            <v>26</v>
          </cell>
        </row>
        <row r="54">
          <cell r="H54" t="str">
            <v>Trần Việt Anh</v>
          </cell>
          <cell r="J54">
            <v>24</v>
          </cell>
        </row>
        <row r="55">
          <cell r="H55" t="str">
            <v>Phạm Huỳnh Kim Ngân</v>
          </cell>
          <cell r="J55">
            <v>27</v>
          </cell>
        </row>
        <row r="56">
          <cell r="H56" t="str">
            <v>Nguyễn Đan Trường</v>
          </cell>
          <cell r="J56">
            <v>24</v>
          </cell>
        </row>
        <row r="57">
          <cell r="H57" t="str">
            <v>Lương Công Phi</v>
          </cell>
          <cell r="J57">
            <v>24</v>
          </cell>
        </row>
        <row r="58">
          <cell r="H58" t="str">
            <v>Nguyễn Yến Nhi</v>
          </cell>
          <cell r="J58">
            <v>25</v>
          </cell>
        </row>
        <row r="59">
          <cell r="H59" t="str">
            <v>Nguyễn Khắc Huân</v>
          </cell>
          <cell r="J59">
            <v>25</v>
          </cell>
        </row>
        <row r="60">
          <cell r="H60" t="str">
            <v>Nguyễn Thị Trang</v>
          </cell>
          <cell r="J60">
            <v>23.5</v>
          </cell>
        </row>
        <row r="61">
          <cell r="H61" t="str">
            <v>Lư Diễm Phúc</v>
          </cell>
          <cell r="J61">
            <v>24</v>
          </cell>
        </row>
        <row r="62">
          <cell r="H62" t="str">
            <v>Hà Thị Hậu</v>
          </cell>
          <cell r="J62">
            <v>23</v>
          </cell>
        </row>
        <row r="63">
          <cell r="H63" t="str">
            <v>Lê Tiến Dũng</v>
          </cell>
          <cell r="J63">
            <v>27</v>
          </cell>
        </row>
        <row r="64">
          <cell r="H64" t="str">
            <v>Lê Trần Thanh Nga</v>
          </cell>
          <cell r="J64">
            <v>27</v>
          </cell>
        </row>
        <row r="65">
          <cell r="H65" t="str">
            <v>Nguyễn Việt Tiến</v>
          </cell>
          <cell r="J65">
            <v>28</v>
          </cell>
        </row>
        <row r="66">
          <cell r="H66" t="str">
            <v>Nguyễn Thị Tất</v>
          </cell>
          <cell r="J66">
            <v>24</v>
          </cell>
        </row>
        <row r="67">
          <cell r="H67" t="str">
            <v>Sỹ Thị Chung</v>
          </cell>
          <cell r="J67">
            <v>26.5</v>
          </cell>
        </row>
        <row r="68">
          <cell r="H68" t="str">
            <v>Nguyễn Thị Nhung</v>
          </cell>
          <cell r="J68">
            <v>23.5</v>
          </cell>
        </row>
        <row r="69">
          <cell r="H69" t="str">
            <v>Trần Nhật Thịnh</v>
          </cell>
          <cell r="J69">
            <v>24</v>
          </cell>
        </row>
        <row r="70">
          <cell r="H70" t="str">
            <v>Võ Thị Mỹ Ngọc</v>
          </cell>
          <cell r="J70">
            <v>17</v>
          </cell>
        </row>
        <row r="71">
          <cell r="H71" t="str">
            <v>Đỗ Công Thành</v>
          </cell>
          <cell r="J71">
            <v>31</v>
          </cell>
        </row>
        <row r="72">
          <cell r="H72" t="str">
            <v>Lương Thị Thắm</v>
          </cell>
          <cell r="J72">
            <v>29</v>
          </cell>
        </row>
        <row r="73">
          <cell r="H73" t="str">
            <v>Nguyễn Xuân Lợi</v>
          </cell>
          <cell r="J73">
            <v>25</v>
          </cell>
        </row>
        <row r="74">
          <cell r="H74" t="str">
            <v>Nguyễn Hoàng Hải</v>
          </cell>
          <cell r="J74">
            <v>24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2)"/>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sheetData sheetId="1">
        <row r="10">
          <cell r="H10" t="str">
            <v>Phạm Hữu Lộc</v>
          </cell>
          <cell r="J10">
            <v>27</v>
          </cell>
        </row>
        <row r="11">
          <cell r="H11" t="str">
            <v>Đinh Văn Đệ</v>
          </cell>
          <cell r="J11">
            <v>28</v>
          </cell>
        </row>
        <row r="12">
          <cell r="H12" t="str">
            <v>Đinh Hồng Minh</v>
          </cell>
          <cell r="J12">
            <v>27</v>
          </cell>
        </row>
        <row r="13">
          <cell r="H13" t="str">
            <v>Châu Văn Bảo</v>
          </cell>
          <cell r="J13">
            <v>29</v>
          </cell>
        </row>
        <row r="14">
          <cell r="H14" t="str">
            <v>Lâm Viết Dũng</v>
          </cell>
          <cell r="J14">
            <v>29</v>
          </cell>
        </row>
        <row r="15">
          <cell r="H15" t="str">
            <v>Lưu Hoàng Hải Yến</v>
          </cell>
          <cell r="J15">
            <v>26</v>
          </cell>
        </row>
        <row r="16">
          <cell r="H16" t="str">
            <v>Huỳnh Thị Minh Ly</v>
          </cell>
          <cell r="J16">
            <v>27</v>
          </cell>
        </row>
        <row r="17">
          <cell r="H17" t="str">
            <v>Nguyễn Văn Chì</v>
          </cell>
          <cell r="J17">
            <v>22</v>
          </cell>
        </row>
        <row r="18">
          <cell r="H18" t="str">
            <v>Nguyễn Thị Vân</v>
          </cell>
          <cell r="J18">
            <v>24</v>
          </cell>
        </row>
        <row r="19">
          <cell r="H19" t="str">
            <v>Phan Thị Ngọc Phượng</v>
          </cell>
          <cell r="J19">
            <v>23.5</v>
          </cell>
        </row>
        <row r="20">
          <cell r="H20" t="str">
            <v>Trần Thị Ánh Phượng</v>
          </cell>
          <cell r="J20">
            <v>23</v>
          </cell>
        </row>
        <row r="21">
          <cell r="H21" t="str">
            <v>Thân Thị Nhung</v>
          </cell>
          <cell r="J21">
            <v>22</v>
          </cell>
        </row>
        <row r="22">
          <cell r="H22" t="str">
            <v>Trần Thị Phương Oanh</v>
          </cell>
          <cell r="J22">
            <v>22</v>
          </cell>
        </row>
        <row r="23">
          <cell r="H23" t="str">
            <v>Vũ Như Quỳnh</v>
          </cell>
          <cell r="J23">
            <v>23</v>
          </cell>
        </row>
        <row r="24">
          <cell r="H24" t="str">
            <v>Nguyễn Thị Bích Liễu</v>
          </cell>
          <cell r="J24">
            <v>23.5</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20</v>
          </cell>
        </row>
        <row r="29">
          <cell r="H29" t="str">
            <v>Nguyễn Trọng Phú</v>
          </cell>
          <cell r="J29">
            <v>26</v>
          </cell>
        </row>
        <row r="30">
          <cell r="H30" t="str">
            <v>Lê Hồng Anh Tuấn</v>
          </cell>
          <cell r="J30">
            <v>22</v>
          </cell>
        </row>
        <row r="31">
          <cell r="H31" t="str">
            <v>Giáp Văn Thịnh</v>
          </cell>
          <cell r="J31">
            <v>22</v>
          </cell>
        </row>
        <row r="32">
          <cell r="H32" t="str">
            <v>Vũ Ngọc Quang</v>
          </cell>
          <cell r="J32">
            <v>22</v>
          </cell>
        </row>
        <row r="33">
          <cell r="H33" t="str">
            <v>Bùi Thị Dương</v>
          </cell>
          <cell r="J33">
            <v>24</v>
          </cell>
        </row>
        <row r="34">
          <cell r="H34" t="str">
            <v>Phan Hữu Tước</v>
          </cell>
          <cell r="J34">
            <v>26</v>
          </cell>
        </row>
        <row r="35">
          <cell r="H35" t="str">
            <v>Trang Thị Xuân Uyên</v>
          </cell>
          <cell r="J35">
            <v>26</v>
          </cell>
        </row>
        <row r="36">
          <cell r="H36" t="str">
            <v>Bùi Thị Lan Anh</v>
          </cell>
          <cell r="J36">
            <v>26</v>
          </cell>
        </row>
        <row r="37">
          <cell r="H37" t="str">
            <v>Nguyễn Kính</v>
          </cell>
          <cell r="J37">
            <v>28</v>
          </cell>
        </row>
        <row r="38">
          <cell r="H38" t="str">
            <v>Võ Thị Lệ Trân</v>
          </cell>
          <cell r="J38">
            <v>27</v>
          </cell>
        </row>
        <row r="39">
          <cell r="H39" t="str">
            <v>Trần Thị Minh Thoa</v>
          </cell>
          <cell r="J39">
            <v>26</v>
          </cell>
        </row>
        <row r="40">
          <cell r="H40" t="str">
            <v>Hồng Mộng Tuyết Dung</v>
          </cell>
          <cell r="J40">
            <v>26</v>
          </cell>
        </row>
        <row r="41">
          <cell r="H41" t="str">
            <v>Nguyễn Thị Hồng Thắm</v>
          </cell>
          <cell r="J41">
            <v>25</v>
          </cell>
        </row>
        <row r="42">
          <cell r="H42" t="str">
            <v>Nguyễn Văn Chiến</v>
          </cell>
          <cell r="J42">
            <v>26</v>
          </cell>
        </row>
        <row r="43">
          <cell r="H43" t="str">
            <v>Lê Xuân Thiện</v>
          </cell>
          <cell r="J43">
            <v>23</v>
          </cell>
        </row>
        <row r="44">
          <cell r="H44" t="str">
            <v>Nguyễn Tất Thắng</v>
          </cell>
          <cell r="J44">
            <v>22</v>
          </cell>
        </row>
        <row r="45">
          <cell r="H45" t="str">
            <v>Trần Thị Thu Hà</v>
          </cell>
          <cell r="J45">
            <v>22</v>
          </cell>
        </row>
        <row r="46">
          <cell r="H46" t="str">
            <v>Phạm Thị Lê Chi</v>
          </cell>
          <cell r="J46">
            <v>21</v>
          </cell>
        </row>
        <row r="47">
          <cell r="H47" t="str">
            <v>Nguyễn Thùy Dương</v>
          </cell>
          <cell r="J47">
            <v>22</v>
          </cell>
        </row>
        <row r="48">
          <cell r="H48" t="str">
            <v>Nguyễn Thị Kim Anh</v>
          </cell>
          <cell r="J48">
            <v>22</v>
          </cell>
        </row>
        <row r="49">
          <cell r="H49" t="str">
            <v>Mai Thu Hương</v>
          </cell>
          <cell r="J49">
            <v>19</v>
          </cell>
        </row>
        <row r="50">
          <cell r="H50" t="str">
            <v>Nguyễn Thành Nam</v>
          </cell>
          <cell r="J50">
            <v>24</v>
          </cell>
        </row>
        <row r="51">
          <cell r="H51" t="str">
            <v>Quách Minh Thử</v>
          </cell>
          <cell r="J51">
            <v>23</v>
          </cell>
        </row>
        <row r="52">
          <cell r="H52" t="str">
            <v>Võ Thị Xuân Thơ</v>
          </cell>
          <cell r="J52">
            <v>23</v>
          </cell>
        </row>
        <row r="53">
          <cell r="H53" t="str">
            <v>Nguyễn Thị Hải Hà</v>
          </cell>
          <cell r="J53">
            <v>23</v>
          </cell>
        </row>
        <row r="54">
          <cell r="H54" t="str">
            <v>Nguyễn Thị Thanh Thảo</v>
          </cell>
          <cell r="J54">
            <v>23.5</v>
          </cell>
        </row>
        <row r="55">
          <cell r="H55" t="str">
            <v>Thái Thị My Sa</v>
          </cell>
          <cell r="J55">
            <v>22.5</v>
          </cell>
        </row>
        <row r="56">
          <cell r="H56" t="str">
            <v>Giáp Thị Vượng</v>
          </cell>
          <cell r="J56">
            <v>23</v>
          </cell>
        </row>
        <row r="57">
          <cell r="H57" t="str">
            <v>Huỳnh Thị Cẩm Hoa</v>
          </cell>
          <cell r="J57">
            <v>22.5</v>
          </cell>
        </row>
        <row r="58">
          <cell r="H58" t="str">
            <v>Nguyễn Thị Thùy</v>
          </cell>
          <cell r="J58">
            <v>24</v>
          </cell>
        </row>
        <row r="59">
          <cell r="H59" t="str">
            <v>Nguyễn Thị Ngọc Anh</v>
          </cell>
          <cell r="J59">
            <v>23.5</v>
          </cell>
        </row>
        <row r="60">
          <cell r="H60" t="str">
            <v>Nguyễn Chí Nhân</v>
          </cell>
          <cell r="J60">
            <v>20</v>
          </cell>
        </row>
        <row r="61">
          <cell r="H61" t="str">
            <v>Nguyễn Thị Kim Dung</v>
          </cell>
          <cell r="J61">
            <v>22</v>
          </cell>
        </row>
        <row r="62">
          <cell r="H62" t="str">
            <v>Nguyễn Thanh Sơn</v>
          </cell>
          <cell r="J62">
            <v>23</v>
          </cell>
        </row>
        <row r="63">
          <cell r="H63" t="str">
            <v>Lương Minh Dũng</v>
          </cell>
          <cell r="J63">
            <v>23</v>
          </cell>
        </row>
        <row r="64">
          <cell r="H64" t="str">
            <v>Nguyễn Thị Tuyết</v>
          </cell>
          <cell r="J64">
            <v>21</v>
          </cell>
        </row>
        <row r="65">
          <cell r="H65" t="str">
            <v>Vũ Thị Thu Thủy</v>
          </cell>
          <cell r="J65">
            <v>22</v>
          </cell>
        </row>
        <row r="66">
          <cell r="H66" t="str">
            <v>Mai Nguyễn Hoàng Yến</v>
          </cell>
          <cell r="J66">
            <v>24</v>
          </cell>
        </row>
        <row r="67">
          <cell r="H67" t="str">
            <v>Nguyễn Trọng Nghĩa</v>
          </cell>
          <cell r="J67">
            <v>20</v>
          </cell>
        </row>
        <row r="68">
          <cell r="H68" t="str">
            <v>Lê Thị Hải Đăng</v>
          </cell>
          <cell r="J68">
            <v>25</v>
          </cell>
        </row>
        <row r="69">
          <cell r="H69" t="str">
            <v>Nguyễn Hữu Thiện</v>
          </cell>
          <cell r="J69">
            <v>25</v>
          </cell>
        </row>
        <row r="70">
          <cell r="H70" t="str">
            <v>Vương Hội Khánh</v>
          </cell>
          <cell r="J70">
            <v>22</v>
          </cell>
        </row>
        <row r="71">
          <cell r="H71" t="str">
            <v>Trương Hữu Lộc</v>
          </cell>
          <cell r="J71">
            <v>25</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26</v>
          </cell>
        </row>
        <row r="76">
          <cell r="H76" t="str">
            <v>Nguyễn Tiến Việt Dũng</v>
          </cell>
          <cell r="J76">
            <v>22</v>
          </cell>
        </row>
        <row r="77">
          <cell r="H77" t="str">
            <v>Bùi Đặng Hoàng Tuấn</v>
          </cell>
          <cell r="J77">
            <v>24</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25.5</v>
          </cell>
        </row>
        <row r="82">
          <cell r="H82" t="str">
            <v>Trần Thị Diễm Thúy</v>
          </cell>
          <cell r="J82">
            <v>20</v>
          </cell>
        </row>
        <row r="83">
          <cell r="H83" t="str">
            <v>Trịnh Hoàng Hiệp</v>
          </cell>
          <cell r="J83">
            <v>13</v>
          </cell>
        </row>
        <row r="84">
          <cell r="H84" t="str">
            <v>Phạm Quỳnh Như</v>
          </cell>
          <cell r="J84">
            <v>13</v>
          </cell>
        </row>
        <row r="85">
          <cell r="H85" t="str">
            <v>Lê Thị Thu Thảo</v>
          </cell>
          <cell r="J85">
            <v>0</v>
          </cell>
        </row>
        <row r="86">
          <cell r="H86" t="str">
            <v>Lưu Thị Thúy</v>
          </cell>
          <cell r="J86">
            <v>0</v>
          </cell>
        </row>
        <row r="87">
          <cell r="H87" t="str">
            <v>Nguyễn Thị Minh Thùy</v>
          </cell>
          <cell r="J87">
            <v>0</v>
          </cell>
        </row>
        <row r="88">
          <cell r="H88" t="str">
            <v>Nguyễn Mỹ Tiên</v>
          </cell>
          <cell r="J88">
            <v>0</v>
          </cell>
        </row>
        <row r="89">
          <cell r="H89" t="str">
            <v>Trần Thị Ngọc Dung</v>
          </cell>
          <cell r="J89">
            <v>0</v>
          </cell>
        </row>
        <row r="90">
          <cell r="H90" t="str">
            <v>Cao Xuân Giang</v>
          </cell>
          <cell r="J90">
            <v>0</v>
          </cell>
        </row>
        <row r="91">
          <cell r="H91" t="str">
            <v>Lê Hồng Ngọc My</v>
          </cell>
          <cell r="J91">
            <v>0</v>
          </cell>
        </row>
        <row r="92">
          <cell r="H92" t="str">
            <v>Nguyễn Thị Thanh Hòa</v>
          </cell>
          <cell r="J92">
            <v>0</v>
          </cell>
        </row>
        <row r="93">
          <cell r="H93" t="str">
            <v>Huỳnh Kim Liên</v>
          </cell>
          <cell r="J93">
            <v>0</v>
          </cell>
        </row>
        <row r="94">
          <cell r="H94" t="str">
            <v>Nguyễn Huỳnh Lưu Phương</v>
          </cell>
          <cell r="J94">
            <v>0</v>
          </cell>
        </row>
        <row r="95">
          <cell r="H95" t="str">
            <v>Hồ Gia Bảo</v>
          </cell>
          <cell r="J95">
            <v>22</v>
          </cell>
        </row>
        <row r="96">
          <cell r="H96" t="str">
            <v>Lữ Xuân Trang</v>
          </cell>
          <cell r="J96">
            <v>0</v>
          </cell>
        </row>
        <row r="97">
          <cell r="H97" t="str">
            <v>Phạm Thị Thanh Thúy</v>
          </cell>
          <cell r="J97">
            <v>0</v>
          </cell>
        </row>
        <row r="98">
          <cell r="H98" t="str">
            <v>Đinh Thị Trâm</v>
          </cell>
          <cell r="J98">
            <v>0</v>
          </cell>
        </row>
        <row r="99">
          <cell r="H99" t="str">
            <v>Lê Thị Thúy Oanh</v>
          </cell>
          <cell r="J99">
            <v>0</v>
          </cell>
        </row>
        <row r="100">
          <cell r="H100" t="str">
            <v>Võ Thị Kim Thư</v>
          </cell>
          <cell r="J100">
            <v>0</v>
          </cell>
        </row>
        <row r="101">
          <cell r="H101" t="str">
            <v>Nguyễn Hoàng Thanh Ngân</v>
          </cell>
          <cell r="J101">
            <v>0</v>
          </cell>
        </row>
        <row r="102">
          <cell r="H102" t="str">
            <v>Nguyễn Ngọc Thọ</v>
          </cell>
          <cell r="J102">
            <v>22</v>
          </cell>
        </row>
        <row r="103">
          <cell r="H103" t="str">
            <v>Nguyễn Bạch Cẩm Dung</v>
          </cell>
          <cell r="J103">
            <v>0</v>
          </cell>
        </row>
        <row r="104">
          <cell r="H104" t="str">
            <v>Lâm Thị Phương Thùy</v>
          </cell>
          <cell r="J104">
            <v>0</v>
          </cell>
        </row>
        <row r="105">
          <cell r="H105" t="str">
            <v>Nguyễn Thị Hiền</v>
          </cell>
          <cell r="J105">
            <v>0</v>
          </cell>
        </row>
        <row r="106">
          <cell r="H106" t="str">
            <v>Chế Vân Cầm</v>
          </cell>
          <cell r="J106">
            <v>0</v>
          </cell>
        </row>
        <row r="107">
          <cell r="H107" t="str">
            <v>Trần Hồng Thảo</v>
          </cell>
          <cell r="J107">
            <v>0</v>
          </cell>
        </row>
        <row r="108">
          <cell r="H108" t="str">
            <v>Lê Thị Phương Thảo</v>
          </cell>
          <cell r="J108">
            <v>0</v>
          </cell>
        </row>
        <row r="109">
          <cell r="H109" t="str">
            <v>Bùi Thị Ngọc Sương</v>
          </cell>
          <cell r="J109">
            <v>0</v>
          </cell>
        </row>
        <row r="110">
          <cell r="H110" t="str">
            <v>Nguyễn Thị Nhuận</v>
          </cell>
          <cell r="J110">
            <v>22</v>
          </cell>
        </row>
        <row r="111">
          <cell r="H111" t="str">
            <v>Nguyễn Thị Huyền Nga</v>
          </cell>
          <cell r="J111">
            <v>0</v>
          </cell>
        </row>
        <row r="112">
          <cell r="H112" t="str">
            <v>Nguyễn Phương Hà</v>
          </cell>
          <cell r="J112">
            <v>0</v>
          </cell>
        </row>
        <row r="113">
          <cell r="H113" t="str">
            <v>Trịnh Khắc Vũ</v>
          </cell>
          <cell r="J113">
            <v>0</v>
          </cell>
        </row>
        <row r="114">
          <cell r="H114" t="str">
            <v>Lê Minh Phong</v>
          </cell>
          <cell r="J114">
            <v>0</v>
          </cell>
        </row>
        <row r="115">
          <cell r="H115" t="str">
            <v>Nguyễn Văn Đông</v>
          </cell>
          <cell r="J115">
            <v>0</v>
          </cell>
        </row>
        <row r="116">
          <cell r="H116" t="str">
            <v>Đặng Thị Kiến Trúc</v>
          </cell>
          <cell r="J116">
            <v>0</v>
          </cell>
        </row>
        <row r="117">
          <cell r="H117" t="str">
            <v>Nguyễn Thanh Tú</v>
          </cell>
          <cell r="J117">
            <v>0</v>
          </cell>
        </row>
        <row r="118">
          <cell r="H118" t="str">
            <v>Trần Thị Ánh Tuyết</v>
          </cell>
          <cell r="J118">
            <v>0</v>
          </cell>
        </row>
        <row r="119">
          <cell r="H119" t="str">
            <v>Lê Văn Bình</v>
          </cell>
          <cell r="J119">
            <v>0</v>
          </cell>
        </row>
        <row r="120">
          <cell r="H120" t="str">
            <v>Phạm Thị Thu Nga</v>
          </cell>
          <cell r="J120">
            <v>22</v>
          </cell>
        </row>
        <row r="121">
          <cell r="H121" t="str">
            <v>Nguyễn Thị Cẩm Thạch</v>
          </cell>
          <cell r="J121">
            <v>0</v>
          </cell>
        </row>
        <row r="122">
          <cell r="H122" t="str">
            <v>Hà Như Mai</v>
          </cell>
          <cell r="J122">
            <v>0</v>
          </cell>
        </row>
        <row r="123">
          <cell r="H123" t="str">
            <v>Nguyễn Thị Thủy</v>
          </cell>
          <cell r="J123">
            <v>0</v>
          </cell>
        </row>
        <row r="124">
          <cell r="H124" t="str">
            <v>Dương Đức Kiên</v>
          </cell>
          <cell r="J124">
            <v>0</v>
          </cell>
        </row>
        <row r="125">
          <cell r="H125" t="str">
            <v>Nguyễn Văn Hậu</v>
          </cell>
          <cell r="J125">
            <v>0</v>
          </cell>
        </row>
        <row r="126">
          <cell r="H126" t="str">
            <v>Lê Thái Hùng</v>
          </cell>
          <cell r="J126">
            <v>0</v>
          </cell>
        </row>
        <row r="127">
          <cell r="H127" t="str">
            <v>Nguyễn Phú Tân</v>
          </cell>
          <cell r="J127">
            <v>0</v>
          </cell>
        </row>
        <row r="128">
          <cell r="H128" t="str">
            <v>Nguyễn Mạnh Phương</v>
          </cell>
          <cell r="J128">
            <v>0</v>
          </cell>
        </row>
        <row r="129">
          <cell r="H129" t="str">
            <v>Giang Phi Hùng</v>
          </cell>
          <cell r="J129">
            <v>0</v>
          </cell>
        </row>
        <row r="130">
          <cell r="H130" t="str">
            <v>Ngô Thanh Điền</v>
          </cell>
          <cell r="J130">
            <v>0</v>
          </cell>
        </row>
        <row r="131">
          <cell r="H131" t="str">
            <v>Nguyễn Thị Thu Hà</v>
          </cell>
          <cell r="J131">
            <v>22</v>
          </cell>
        </row>
        <row r="132">
          <cell r="H132" t="str">
            <v>Vương Thanh Thủy</v>
          </cell>
          <cell r="J132">
            <v>0</v>
          </cell>
        </row>
        <row r="133">
          <cell r="H133" t="str">
            <v>Nguyễn Thị Bảo Trân</v>
          </cell>
          <cell r="J133">
            <v>0</v>
          </cell>
        </row>
        <row r="134">
          <cell r="H134" t="str">
            <v>Nguyễn Thị Thu Tâm</v>
          </cell>
          <cell r="J134">
            <v>0</v>
          </cell>
        </row>
        <row r="135">
          <cell r="H135" t="str">
            <v>Nguyễn Thị Thanh Tú</v>
          </cell>
          <cell r="J135">
            <v>0</v>
          </cell>
        </row>
        <row r="136">
          <cell r="H136" t="str">
            <v>Võ Thị Hồng Lan</v>
          </cell>
          <cell r="J136">
            <v>0</v>
          </cell>
        </row>
        <row r="137">
          <cell r="H137" t="str">
            <v>Lê Nguyễn Mỹ Trâm</v>
          </cell>
          <cell r="J137">
            <v>0</v>
          </cell>
        </row>
        <row r="138">
          <cell r="H138" t="str">
            <v>Phạm Thị Thu Hiền</v>
          </cell>
          <cell r="J138">
            <v>0</v>
          </cell>
        </row>
        <row r="139">
          <cell r="H139" t="str">
            <v>Nguyễn Thiện Bình</v>
          </cell>
          <cell r="J139">
            <v>0</v>
          </cell>
        </row>
        <row r="140">
          <cell r="H140" t="str">
            <v>Trần Thanh Trúc</v>
          </cell>
          <cell r="J140">
            <v>0</v>
          </cell>
        </row>
        <row r="141">
          <cell r="H141" t="str">
            <v>Lâm Thị Phương Thảo</v>
          </cell>
          <cell r="J141">
            <v>0</v>
          </cell>
        </row>
        <row r="142">
          <cell r="H142" t="str">
            <v>Trần Hà Trang</v>
          </cell>
          <cell r="J142">
            <v>0</v>
          </cell>
        </row>
        <row r="143">
          <cell r="H143" t="str">
            <v>Lê Thu Hà</v>
          </cell>
          <cell r="J143">
            <v>0</v>
          </cell>
        </row>
        <row r="144">
          <cell r="H144" t="str">
            <v>Ôn Thị Ngọc Thảo</v>
          </cell>
          <cell r="J144">
            <v>0</v>
          </cell>
        </row>
        <row r="145">
          <cell r="H145" t="str">
            <v>Lê Thị Hồng Vân</v>
          </cell>
          <cell r="J145">
            <v>22</v>
          </cell>
        </row>
        <row r="146">
          <cell r="H146" t="str">
            <v>Nguyễn Ngọc Quỳnh</v>
          </cell>
          <cell r="J146">
            <v>22</v>
          </cell>
        </row>
        <row r="147">
          <cell r="H147" t="str">
            <v>Phan Thị Thùy Trang</v>
          </cell>
          <cell r="J147">
            <v>0</v>
          </cell>
        </row>
        <row r="148">
          <cell r="H148" t="str">
            <v>Lê Thị Mai Hường</v>
          </cell>
          <cell r="J148">
            <v>0</v>
          </cell>
        </row>
        <row r="149">
          <cell r="H149" t="str">
            <v>Nguyễn Thị Dinh</v>
          </cell>
          <cell r="J149">
            <v>0</v>
          </cell>
        </row>
        <row r="150">
          <cell r="H150" t="str">
            <v>Đỗ Thị Ngát</v>
          </cell>
          <cell r="J150">
            <v>0</v>
          </cell>
        </row>
        <row r="151">
          <cell r="H151" t="str">
            <v>Nguyễn Anh Kiệt</v>
          </cell>
          <cell r="J151">
            <v>0</v>
          </cell>
        </row>
        <row r="152">
          <cell r="H152" t="str">
            <v>Trần Thị Hồng Thu</v>
          </cell>
          <cell r="J152">
            <v>0</v>
          </cell>
        </row>
        <row r="153">
          <cell r="H153" t="str">
            <v>Đinh Thị Huyên</v>
          </cell>
          <cell r="J153">
            <v>0</v>
          </cell>
        </row>
        <row r="154">
          <cell r="H154" t="str">
            <v>Cao Thị Hồng Thắm</v>
          </cell>
          <cell r="J154">
            <v>0</v>
          </cell>
        </row>
        <row r="155">
          <cell r="H155" t="str">
            <v>Đỗ Thị Thơm</v>
          </cell>
          <cell r="J155">
            <v>0</v>
          </cell>
        </row>
        <row r="156">
          <cell r="H156" t="str">
            <v>Phạm Thị Vinh</v>
          </cell>
          <cell r="J156">
            <v>0</v>
          </cell>
        </row>
        <row r="157">
          <cell r="H157" t="str">
            <v>Hoàng Thị Trang</v>
          </cell>
          <cell r="J157">
            <v>0</v>
          </cell>
        </row>
        <row r="158">
          <cell r="H158" t="str">
            <v>Bùi Thành Dũng</v>
          </cell>
          <cell r="J158">
            <v>0</v>
          </cell>
        </row>
        <row r="159">
          <cell r="H159" t="str">
            <v>Trần Văn Lượng</v>
          </cell>
          <cell r="J159">
            <v>0</v>
          </cell>
        </row>
        <row r="160">
          <cell r="H160" t="str">
            <v>Trần Việt Khánh</v>
          </cell>
          <cell r="J160">
            <v>22</v>
          </cell>
        </row>
        <row r="161">
          <cell r="H161" t="str">
            <v>Vũ Thị Thái Linh</v>
          </cell>
          <cell r="J161">
            <v>0</v>
          </cell>
        </row>
        <row r="162">
          <cell r="H162" t="str">
            <v>Nguyễn Sanh Cường</v>
          </cell>
          <cell r="J162">
            <v>0</v>
          </cell>
        </row>
        <row r="163">
          <cell r="H163" t="str">
            <v>Lê Quý Hưng Quốc</v>
          </cell>
          <cell r="J163">
            <v>0</v>
          </cell>
        </row>
        <row r="164">
          <cell r="H164" t="str">
            <v>Bùi Văn Dũng</v>
          </cell>
          <cell r="J164">
            <v>0</v>
          </cell>
        </row>
        <row r="165">
          <cell r="H165" t="str">
            <v>Nguyễn Văn Minh</v>
          </cell>
          <cell r="J165">
            <v>0</v>
          </cell>
        </row>
        <row r="166">
          <cell r="H166" t="str">
            <v>Nguyễn Thị Khánh Thư</v>
          </cell>
          <cell r="J166">
            <v>0</v>
          </cell>
        </row>
        <row r="167">
          <cell r="H167" t="str">
            <v>Đỗ Thị Hải Yến</v>
          </cell>
          <cell r="J167">
            <v>0</v>
          </cell>
        </row>
        <row r="168">
          <cell r="H168" t="str">
            <v>Lê Hồng Thái</v>
          </cell>
          <cell r="J168">
            <v>0</v>
          </cell>
        </row>
        <row r="169">
          <cell r="H169" t="str">
            <v>Đặng Ngọc Đoàn</v>
          </cell>
          <cell r="J169">
            <v>0</v>
          </cell>
        </row>
        <row r="170">
          <cell r="H170" t="str">
            <v>Nguyễn Văn Đôn</v>
          </cell>
          <cell r="J170">
            <v>15</v>
          </cell>
        </row>
        <row r="171">
          <cell r="H171" t="str">
            <v>Huỳnh Quốc Dũng</v>
          </cell>
          <cell r="J171">
            <v>0</v>
          </cell>
        </row>
        <row r="172">
          <cell r="H172" t="str">
            <v>Dương Ngọc Vọng</v>
          </cell>
          <cell r="J172">
            <v>0</v>
          </cell>
        </row>
        <row r="173">
          <cell r="H173" t="str">
            <v>Nguyễn Ngọc Tuyên</v>
          </cell>
          <cell r="J173">
            <v>0</v>
          </cell>
        </row>
        <row r="174">
          <cell r="H174" t="str">
            <v>Nguyễn Cao Phong</v>
          </cell>
          <cell r="J174">
            <v>0</v>
          </cell>
        </row>
        <row r="175">
          <cell r="H175" t="str">
            <v>Mai Chiếm Tuấn</v>
          </cell>
          <cell r="J175">
            <v>0</v>
          </cell>
        </row>
        <row r="176">
          <cell r="H176" t="str">
            <v>Đỗ Tuấn Việt</v>
          </cell>
          <cell r="J176">
            <v>0</v>
          </cell>
        </row>
        <row r="177">
          <cell r="H177" t="str">
            <v>Trần Vĩnh Xuyên</v>
          </cell>
          <cell r="J177">
            <v>0</v>
          </cell>
        </row>
        <row r="178">
          <cell r="H178" t="str">
            <v>Đào Lê Phương Anh</v>
          </cell>
          <cell r="J178">
            <v>0</v>
          </cell>
        </row>
        <row r="179">
          <cell r="H179" t="str">
            <v>Nguyễn Duy Lộc</v>
          </cell>
          <cell r="J179">
            <v>0</v>
          </cell>
        </row>
        <row r="180">
          <cell r="H180" t="str">
            <v>Chung Trần Thế Vinh</v>
          </cell>
          <cell r="J180">
            <v>20</v>
          </cell>
        </row>
        <row r="181">
          <cell r="H181" t="str">
            <v>Đỗ Thị Phương Khanh</v>
          </cell>
          <cell r="J181">
            <v>0</v>
          </cell>
        </row>
        <row r="182">
          <cell r="H182" t="str">
            <v>Trương Thị Phương Hồng</v>
          </cell>
          <cell r="J182">
            <v>0</v>
          </cell>
        </row>
        <row r="183">
          <cell r="H183" t="str">
            <v>Dương Minh Chung</v>
          </cell>
          <cell r="J183">
            <v>0</v>
          </cell>
        </row>
        <row r="184">
          <cell r="H184" t="str">
            <v>Phan Văn Thành</v>
          </cell>
          <cell r="J184">
            <v>0</v>
          </cell>
        </row>
        <row r="185">
          <cell r="H185" t="str">
            <v>Vũ Đức Pháp</v>
          </cell>
          <cell r="J185">
            <v>0</v>
          </cell>
        </row>
        <row r="186">
          <cell r="H186" t="str">
            <v>Vũ Quang Khải</v>
          </cell>
          <cell r="J186">
            <v>0</v>
          </cell>
        </row>
        <row r="187">
          <cell r="H187" t="str">
            <v>Nguyễn Thanh Vũ</v>
          </cell>
          <cell r="J187">
            <v>0</v>
          </cell>
        </row>
        <row r="188">
          <cell r="H188" t="str">
            <v>Phan Thị Xuân Trang</v>
          </cell>
          <cell r="J188">
            <v>0</v>
          </cell>
        </row>
        <row r="189">
          <cell r="H189" t="str">
            <v>Trần Đình Khải</v>
          </cell>
          <cell r="J189">
            <v>15</v>
          </cell>
        </row>
        <row r="190">
          <cell r="H190" t="str">
            <v>Lư Thị Yến Vũ</v>
          </cell>
          <cell r="J190">
            <v>0</v>
          </cell>
        </row>
        <row r="191">
          <cell r="H191" t="str">
            <v>Nguyễn Tiến Dũng</v>
          </cell>
          <cell r="J191">
            <v>0</v>
          </cell>
        </row>
        <row r="192">
          <cell r="H192" t="str">
            <v>Nguyễn Thành Long</v>
          </cell>
          <cell r="J192">
            <v>0</v>
          </cell>
        </row>
        <row r="193">
          <cell r="H193" t="str">
            <v>Nguyễn Ngọc Quỳnh.</v>
          </cell>
          <cell r="J193">
            <v>0</v>
          </cell>
        </row>
        <row r="194">
          <cell r="H194" t="str">
            <v>Nguyễn Duy Hải</v>
          </cell>
          <cell r="J194">
            <v>0</v>
          </cell>
        </row>
        <row r="195">
          <cell r="H195" t="str">
            <v>Bùi Anh Tuấn</v>
          </cell>
          <cell r="J195">
            <v>0</v>
          </cell>
        </row>
        <row r="196">
          <cell r="H196" t="str">
            <v>Trần Thị Hương</v>
          </cell>
          <cell r="J196">
            <v>0</v>
          </cell>
        </row>
        <row r="197">
          <cell r="H197" t="str">
            <v>Trần Minh Thông</v>
          </cell>
          <cell r="J197">
            <v>0</v>
          </cell>
        </row>
        <row r="198">
          <cell r="H198" t="str">
            <v>Nguyễn Thanh Vĩnh Phúc</v>
          </cell>
          <cell r="J198">
            <v>0</v>
          </cell>
        </row>
        <row r="199">
          <cell r="H199" t="str">
            <v>Võ Minh Quang</v>
          </cell>
          <cell r="J199">
            <v>0</v>
          </cell>
        </row>
        <row r="200">
          <cell r="H200" t="str">
            <v>Dương Thị Hồng</v>
          </cell>
          <cell r="J200">
            <v>0</v>
          </cell>
        </row>
        <row r="201">
          <cell r="H201" t="str">
            <v>Nguyễn Thanh Giang</v>
          </cell>
          <cell r="J201">
            <v>0</v>
          </cell>
        </row>
        <row r="202">
          <cell r="H202" t="str">
            <v>Nguyễn Hồng Phúc</v>
          </cell>
          <cell r="J202">
            <v>0</v>
          </cell>
        </row>
        <row r="203">
          <cell r="H203" t="str">
            <v>Nguyễn Văn Sơn</v>
          </cell>
          <cell r="J203">
            <v>0</v>
          </cell>
        </row>
        <row r="204">
          <cell r="H204" t="str">
            <v>Nguyễn Khắc Huy</v>
          </cell>
          <cell r="J204">
            <v>0</v>
          </cell>
        </row>
        <row r="205">
          <cell r="H205" t="str">
            <v>Võ Hoài Sơn</v>
          </cell>
          <cell r="J205">
            <v>0</v>
          </cell>
        </row>
        <row r="206">
          <cell r="H206" t="str">
            <v>Nguyễn Thị Xuân Chinh</v>
          </cell>
          <cell r="J206">
            <v>0</v>
          </cell>
        </row>
        <row r="207">
          <cell r="H207" t="str">
            <v>Nguyễn Duy Tân</v>
          </cell>
          <cell r="J207">
            <v>0</v>
          </cell>
        </row>
        <row r="208">
          <cell r="H208" t="str">
            <v>Nguyễn Ngọc Hiệp</v>
          </cell>
          <cell r="J208">
            <v>0</v>
          </cell>
        </row>
        <row r="209">
          <cell r="H209" t="str">
            <v>Tạ Minh Cường</v>
          </cell>
          <cell r="J209">
            <v>23</v>
          </cell>
        </row>
        <row r="210">
          <cell r="H210" t="str">
            <v>Phạm Minh Nghĩa</v>
          </cell>
          <cell r="J210">
            <v>20</v>
          </cell>
        </row>
        <row r="211">
          <cell r="H211" t="str">
            <v>Nguyễn Văn Yên</v>
          </cell>
          <cell r="J211">
            <v>0</v>
          </cell>
        </row>
        <row r="212">
          <cell r="H212" t="str">
            <v>Nguyễn Minh Đức</v>
          </cell>
          <cell r="J212">
            <v>0</v>
          </cell>
        </row>
        <row r="213">
          <cell r="H213" t="str">
            <v>Nguyễn Anh Tăng</v>
          </cell>
          <cell r="J213">
            <v>0</v>
          </cell>
        </row>
        <row r="214">
          <cell r="H214" t="str">
            <v>Lê Thế Huân</v>
          </cell>
          <cell r="J214">
            <v>0</v>
          </cell>
        </row>
        <row r="215">
          <cell r="H215" t="str">
            <v>Trần Trung Hiếu</v>
          </cell>
          <cell r="J215">
            <v>0</v>
          </cell>
        </row>
        <row r="216">
          <cell r="H216" t="str">
            <v>Trần Nguyên Bảo Trân</v>
          </cell>
          <cell r="J216">
            <v>0</v>
          </cell>
        </row>
        <row r="217">
          <cell r="H217" t="str">
            <v>Mạnh Lê Hoàn</v>
          </cell>
          <cell r="J217">
            <v>0</v>
          </cell>
        </row>
        <row r="218">
          <cell r="H218" t="str">
            <v>Ngô Hoàng Anh</v>
          </cell>
          <cell r="J218">
            <v>0</v>
          </cell>
        </row>
        <row r="219">
          <cell r="H219" t="str">
            <v>Nguyễn Thùy Linh</v>
          </cell>
          <cell r="J219">
            <v>0</v>
          </cell>
        </row>
        <row r="220">
          <cell r="H220" t="str">
            <v>Vũ Hạnh Chiêu</v>
          </cell>
          <cell r="J220">
            <v>0</v>
          </cell>
        </row>
        <row r="221">
          <cell r="H221" t="str">
            <v>Đỗ Huỳnh Thanh Phong</v>
          </cell>
          <cell r="J221">
            <v>0</v>
          </cell>
        </row>
        <row r="222">
          <cell r="H222" t="str">
            <v>Nguyễn Minh Đức Cường</v>
          </cell>
          <cell r="J222">
            <v>0</v>
          </cell>
        </row>
        <row r="223">
          <cell r="H223" t="str">
            <v>Huỳnh Ngọc Mai</v>
          </cell>
          <cell r="J223">
            <v>20</v>
          </cell>
        </row>
        <row r="224">
          <cell r="H224" t="str">
            <v>Nguyễn Hồng Đức</v>
          </cell>
          <cell r="J224">
            <v>0</v>
          </cell>
        </row>
        <row r="225">
          <cell r="H225" t="str">
            <v>Trần Công Tiến</v>
          </cell>
          <cell r="J225">
            <v>0</v>
          </cell>
        </row>
        <row r="226">
          <cell r="H226" t="str">
            <v>Nguyễn Trần Thanh Nhàn</v>
          </cell>
          <cell r="J226">
            <v>0</v>
          </cell>
        </row>
        <row r="227">
          <cell r="H227" t="str">
            <v>Tăng Cẩm Huê</v>
          </cell>
          <cell r="J227">
            <v>0</v>
          </cell>
        </row>
        <row r="228">
          <cell r="H228" t="str">
            <v>Trần Hiếu Trinh</v>
          </cell>
          <cell r="J228">
            <v>0</v>
          </cell>
        </row>
        <row r="229">
          <cell r="H229" t="str">
            <v>Nguyễn Thị Tố Nga</v>
          </cell>
          <cell r="J229">
            <v>0</v>
          </cell>
        </row>
        <row r="230">
          <cell r="H230" t="str">
            <v>Đặng Đức Minh</v>
          </cell>
          <cell r="J230">
            <v>0</v>
          </cell>
        </row>
        <row r="231">
          <cell r="H231" t="str">
            <v>Nguyễn Thị Ngọc Hiền</v>
          </cell>
          <cell r="J231">
            <v>0</v>
          </cell>
        </row>
        <row r="232">
          <cell r="H232" t="str">
            <v>Ngô Phong Cường</v>
          </cell>
          <cell r="J232">
            <v>0</v>
          </cell>
        </row>
        <row r="233">
          <cell r="H233" t="str">
            <v>Cao Văn Tuấn</v>
          </cell>
          <cell r="J233">
            <v>0</v>
          </cell>
        </row>
        <row r="234">
          <cell r="H234" t="str">
            <v>Trần Nam Anh</v>
          </cell>
          <cell r="J234">
            <v>0</v>
          </cell>
        </row>
        <row r="235">
          <cell r="H235" t="str">
            <v>Trần Giang Nam</v>
          </cell>
          <cell r="J235">
            <v>0</v>
          </cell>
        </row>
        <row r="236">
          <cell r="H236" t="str">
            <v>Phan Thanh Hoàng</v>
          </cell>
          <cell r="J236">
            <v>0</v>
          </cell>
        </row>
        <row r="237">
          <cell r="H237" t="str">
            <v>Huỳnh Duy An</v>
          </cell>
          <cell r="J237">
            <v>0</v>
          </cell>
        </row>
        <row r="238">
          <cell r="H238" t="str">
            <v>Nguyễn Khương Thành</v>
          </cell>
          <cell r="J238">
            <v>0</v>
          </cell>
        </row>
        <row r="239">
          <cell r="H239" t="str">
            <v>Nguyễn Anh Tuấn</v>
          </cell>
          <cell r="J239">
            <v>22</v>
          </cell>
        </row>
        <row r="240">
          <cell r="H240" t="str">
            <v>Võ Đắc Thịnh</v>
          </cell>
          <cell r="J240">
            <v>22</v>
          </cell>
        </row>
        <row r="241">
          <cell r="H241" t="str">
            <v>Nguyễn Hữu Mạnh</v>
          </cell>
          <cell r="J241">
            <v>0</v>
          </cell>
        </row>
        <row r="242">
          <cell r="H242" t="str">
            <v>Phan Anh Tuấn Kiệt</v>
          </cell>
          <cell r="J242">
            <v>0</v>
          </cell>
        </row>
        <row r="243">
          <cell r="H243" t="str">
            <v>Triệu Phú Nguyên</v>
          </cell>
          <cell r="J243">
            <v>0</v>
          </cell>
        </row>
        <row r="244">
          <cell r="H244" t="str">
            <v>Nguyễn Thành Đức</v>
          </cell>
          <cell r="J244">
            <v>0</v>
          </cell>
        </row>
        <row r="245">
          <cell r="H245" t="str">
            <v>Nguyễn Minh Thái</v>
          </cell>
          <cell r="J245">
            <v>0</v>
          </cell>
        </row>
        <row r="246">
          <cell r="H246" t="str">
            <v>Đặng Thái Sơn</v>
          </cell>
          <cell r="J246">
            <v>0</v>
          </cell>
        </row>
        <row r="247">
          <cell r="H247" t="str">
            <v>Nguyễn Thái Bình</v>
          </cell>
          <cell r="J247">
            <v>0</v>
          </cell>
        </row>
        <row r="248">
          <cell r="H248" t="str">
            <v>Kiều Trung Tín</v>
          </cell>
          <cell r="J248">
            <v>0</v>
          </cell>
        </row>
        <row r="249">
          <cell r="H249" t="str">
            <v>Trần Quốc Duy</v>
          </cell>
          <cell r="J249">
            <v>0</v>
          </cell>
        </row>
        <row r="250">
          <cell r="H250" t="str">
            <v>Hồ Văn Hóa</v>
          </cell>
          <cell r="J250">
            <v>0</v>
          </cell>
        </row>
        <row r="251">
          <cell r="H251" t="str">
            <v>Nguyễn Thanh Hùng</v>
          </cell>
          <cell r="J251">
            <v>0</v>
          </cell>
        </row>
        <row r="252">
          <cell r="H252" t="str">
            <v>Hà Quốc Bảo</v>
          </cell>
          <cell r="J252">
            <v>0</v>
          </cell>
        </row>
        <row r="253">
          <cell r="H253" t="str">
            <v>Hoàng Phúc Bảo</v>
          </cell>
          <cell r="J253">
            <v>0</v>
          </cell>
        </row>
        <row r="254">
          <cell r="H254" t="str">
            <v>Nguyễn Lương Tâm</v>
          </cell>
          <cell r="J254">
            <v>0</v>
          </cell>
        </row>
        <row r="255">
          <cell r="H255" t="str">
            <v>Trần Thế Sơn</v>
          </cell>
          <cell r="J255">
            <v>0</v>
          </cell>
        </row>
        <row r="256">
          <cell r="H256" t="str">
            <v>Trần Văn Đông</v>
          </cell>
          <cell r="J256">
            <v>0</v>
          </cell>
        </row>
        <row r="257">
          <cell r="H257" t="str">
            <v>Lý Văn Trung</v>
          </cell>
          <cell r="J257">
            <v>0</v>
          </cell>
        </row>
        <row r="258">
          <cell r="H258" t="str">
            <v>Nguyễn Hoàng Vinh</v>
          </cell>
          <cell r="J258">
            <v>0</v>
          </cell>
        </row>
        <row r="259">
          <cell r="H259" t="str">
            <v>Bùi Trọng Tân</v>
          </cell>
          <cell r="J259">
            <v>0</v>
          </cell>
        </row>
        <row r="260">
          <cell r="H260" t="str">
            <v>Giang Văn Tiến</v>
          </cell>
          <cell r="J260">
            <v>0</v>
          </cell>
        </row>
        <row r="261">
          <cell r="H261" t="str">
            <v>Nguyễn Hữu Lương</v>
          </cell>
          <cell r="J261">
            <v>0</v>
          </cell>
        </row>
        <row r="262">
          <cell r="H262" t="str">
            <v>Huỳnh Đình Văn</v>
          </cell>
          <cell r="J262">
            <v>0</v>
          </cell>
        </row>
        <row r="263">
          <cell r="H263" t="str">
            <v>Phạm Quang Vũ</v>
          </cell>
          <cell r="J263">
            <v>22</v>
          </cell>
        </row>
        <row r="264">
          <cell r="H264" t="str">
            <v>Trình Minh Phong</v>
          </cell>
          <cell r="J264">
            <v>0</v>
          </cell>
        </row>
        <row r="265">
          <cell r="H265" t="str">
            <v>Trần Ngọc Tuấn</v>
          </cell>
          <cell r="J265">
            <v>0</v>
          </cell>
        </row>
        <row r="266">
          <cell r="H266" t="str">
            <v>Đinh Đồng Hiệp</v>
          </cell>
          <cell r="J266">
            <v>0</v>
          </cell>
        </row>
        <row r="267">
          <cell r="H267" t="str">
            <v>Đặng Thế Huân</v>
          </cell>
          <cell r="J267">
            <v>0</v>
          </cell>
        </row>
        <row r="268">
          <cell r="H268" t="str">
            <v>Võ Anh Hào</v>
          </cell>
          <cell r="J268">
            <v>0</v>
          </cell>
        </row>
        <row r="269">
          <cell r="H269" t="str">
            <v>Phan Văn Hòa</v>
          </cell>
          <cell r="J269">
            <v>0</v>
          </cell>
        </row>
        <row r="270">
          <cell r="H270" t="str">
            <v>Trần Đình Khoa</v>
          </cell>
          <cell r="J270">
            <v>0</v>
          </cell>
        </row>
        <row r="271">
          <cell r="H271" t="str">
            <v>Đỗ Trọng Quý</v>
          </cell>
          <cell r="J271">
            <v>0</v>
          </cell>
        </row>
        <row r="272">
          <cell r="H272" t="str">
            <v>Nguyễn Vũ Xuân Thì</v>
          </cell>
          <cell r="J272">
            <v>0</v>
          </cell>
        </row>
        <row r="273">
          <cell r="H273" t="str">
            <v>Hoàng Văn Viết</v>
          </cell>
          <cell r="J273">
            <v>22</v>
          </cell>
        </row>
        <row r="274">
          <cell r="H274" t="str">
            <v>Nguyễn Thanh Dũng</v>
          </cell>
          <cell r="J274">
            <v>0</v>
          </cell>
        </row>
      </sheetData>
      <sheetData sheetId="2"/>
      <sheetData sheetId="3">
        <row r="10">
          <cell r="H10" t="str">
            <v>Đồng Anh Tuấn</v>
          </cell>
          <cell r="J10">
            <v>27</v>
          </cell>
        </row>
        <row r="11">
          <cell r="H11" t="str">
            <v>Nguyễn Thanh Hiền</v>
          </cell>
          <cell r="J11">
            <v>25</v>
          </cell>
        </row>
        <row r="12">
          <cell r="H12" t="str">
            <v>Lê Hồng Phúc</v>
          </cell>
          <cell r="J12">
            <v>26</v>
          </cell>
        </row>
        <row r="13">
          <cell r="H13" t="str">
            <v>Phạm Hữu Tấn</v>
          </cell>
          <cell r="J13">
            <v>25</v>
          </cell>
        </row>
        <row r="14">
          <cell r="H14" t="str">
            <v>Nguyễn Hữu Xuân Vũ</v>
          </cell>
          <cell r="J14">
            <v>26</v>
          </cell>
        </row>
        <row r="15">
          <cell r="H15" t="str">
            <v>Phạm Hữu Thành Phú</v>
          </cell>
          <cell r="J15">
            <v>27</v>
          </cell>
        </row>
        <row r="16">
          <cell r="H16" t="str">
            <v>Huỳnh Thanh Nhàn</v>
          </cell>
          <cell r="J16">
            <v>27</v>
          </cell>
        </row>
        <row r="17">
          <cell r="H17" t="str">
            <v>Phạm Quang Tùng</v>
          </cell>
          <cell r="J17">
            <v>26</v>
          </cell>
        </row>
        <row r="18">
          <cell r="H18" t="str">
            <v>Trần Thanh Cường</v>
          </cell>
          <cell r="J18">
            <v>24</v>
          </cell>
        </row>
        <row r="19">
          <cell r="H19" t="str">
            <v>Dương Văn Tâm</v>
          </cell>
          <cell r="J19">
            <v>26</v>
          </cell>
        </row>
        <row r="20">
          <cell r="H20" t="str">
            <v>Huỳnh Ngọc Liên</v>
          </cell>
          <cell r="J20">
            <v>26</v>
          </cell>
        </row>
        <row r="21">
          <cell r="H21" t="str">
            <v>Huỳnh Thị Xuân Mai</v>
          </cell>
          <cell r="J21">
            <v>26</v>
          </cell>
        </row>
        <row r="22">
          <cell r="H22" t="str">
            <v>Trần Văn Cu Anh</v>
          </cell>
          <cell r="J22">
            <v>27</v>
          </cell>
        </row>
        <row r="23">
          <cell r="H23" t="str">
            <v>Vũ Anh Hiếu</v>
          </cell>
          <cell r="J23">
            <v>29</v>
          </cell>
        </row>
        <row r="24">
          <cell r="H24" t="str">
            <v>Dương Thị Thủy</v>
          </cell>
          <cell r="J24">
            <v>0</v>
          </cell>
        </row>
        <row r="25">
          <cell r="H25" t="str">
            <v>Tạ Quốc Tấn</v>
          </cell>
          <cell r="J25">
            <v>26</v>
          </cell>
        </row>
        <row r="26">
          <cell r="H26" t="str">
            <v>Huỳnh Bá Triết</v>
          </cell>
          <cell r="J26">
            <v>26</v>
          </cell>
        </row>
        <row r="27">
          <cell r="H27" t="str">
            <v>Giáp Đức Nhận</v>
          </cell>
          <cell r="J27">
            <v>26</v>
          </cell>
        </row>
        <row r="28">
          <cell r="H28" t="str">
            <v>Trần Thị Thu</v>
          </cell>
          <cell r="J28">
            <v>26</v>
          </cell>
        </row>
        <row r="29">
          <cell r="H29" t="str">
            <v>Đỗ Thị Bích Thủy</v>
          </cell>
          <cell r="J29">
            <v>26</v>
          </cell>
        </row>
        <row r="30">
          <cell r="H30" t="str">
            <v>Trịnh Tuấn Vũ</v>
          </cell>
          <cell r="J30">
            <v>26</v>
          </cell>
        </row>
        <row r="31">
          <cell r="H31" t="str">
            <v>Võ Thị Tuyết</v>
          </cell>
          <cell r="J31">
            <v>26</v>
          </cell>
        </row>
        <row r="32">
          <cell r="H32" t="str">
            <v>Trần Kim Tươi</v>
          </cell>
          <cell r="J32">
            <v>26</v>
          </cell>
        </row>
        <row r="33">
          <cell r="H33" t="str">
            <v>Trương Thị Định</v>
          </cell>
          <cell r="J33">
            <v>26</v>
          </cell>
        </row>
        <row r="34">
          <cell r="H34" t="str">
            <v>Trương Thị Bắc</v>
          </cell>
          <cell r="J34">
            <v>26</v>
          </cell>
        </row>
        <row r="35">
          <cell r="H35" t="str">
            <v>Võ Tấn Đức</v>
          </cell>
          <cell r="J35">
            <v>26</v>
          </cell>
        </row>
        <row r="36">
          <cell r="H36" t="str">
            <v>Ngô Ngọc Của</v>
          </cell>
          <cell r="J36">
            <v>25</v>
          </cell>
        </row>
        <row r="37">
          <cell r="H37" t="str">
            <v>Phạm Thị Hoàng Diễm</v>
          </cell>
          <cell r="J37">
            <v>24</v>
          </cell>
        </row>
        <row r="38">
          <cell r="H38" t="str">
            <v>Nguyễn Văn Hiển</v>
          </cell>
          <cell r="J38">
            <v>26</v>
          </cell>
        </row>
        <row r="39">
          <cell r="H39" t="str">
            <v>Trần Thanh Phương</v>
          </cell>
          <cell r="J39">
            <v>25</v>
          </cell>
        </row>
        <row r="40">
          <cell r="H40" t="str">
            <v>Lâm Võ Hữu Duy</v>
          </cell>
          <cell r="J40">
            <v>24</v>
          </cell>
        </row>
        <row r="41">
          <cell r="H41" t="str">
            <v>Võ Lạc Tân</v>
          </cell>
          <cell r="J41">
            <v>25</v>
          </cell>
        </row>
        <row r="42">
          <cell r="H42" t="str">
            <v>Lê Thị Huyền</v>
          </cell>
          <cell r="J42">
            <v>26</v>
          </cell>
        </row>
        <row r="43">
          <cell r="H43" t="str">
            <v>Trần Thị Thảo Vân</v>
          </cell>
          <cell r="J43">
            <v>27</v>
          </cell>
        </row>
        <row r="44">
          <cell r="H44" t="str">
            <v>Nguyễn Thụy Nghiêm</v>
          </cell>
          <cell r="J44">
            <v>27</v>
          </cell>
        </row>
        <row r="45">
          <cell r="H45" t="str">
            <v>Huỳnh Như Ý</v>
          </cell>
          <cell r="J45">
            <v>26</v>
          </cell>
        </row>
        <row r="46">
          <cell r="H46" t="str">
            <v>Nguyễn Chiến Thắng</v>
          </cell>
          <cell r="J46">
            <v>26</v>
          </cell>
        </row>
        <row r="47">
          <cell r="H47" t="str">
            <v>Huỳnh Văn Hiếu</v>
          </cell>
          <cell r="J47">
            <v>26</v>
          </cell>
        </row>
        <row r="48">
          <cell r="H48" t="str">
            <v>Trần Anh Mỹ</v>
          </cell>
          <cell r="J48">
            <v>24</v>
          </cell>
        </row>
        <row r="49">
          <cell r="H49" t="str">
            <v>Nguyễn Trung Dũng</v>
          </cell>
          <cell r="J49">
            <v>26</v>
          </cell>
        </row>
        <row r="50">
          <cell r="H50" t="str">
            <v>Phạm Huy Hoàng</v>
          </cell>
          <cell r="J50">
            <v>26</v>
          </cell>
        </row>
        <row r="51">
          <cell r="H51" t="str">
            <v>Bùi Đức Phước</v>
          </cell>
          <cell r="J51">
            <v>24</v>
          </cell>
        </row>
        <row r="52">
          <cell r="H52" t="str">
            <v>Nguyễn Thị Thảo</v>
          </cell>
          <cell r="J52">
            <v>26</v>
          </cell>
        </row>
        <row r="53">
          <cell r="H53" t="str">
            <v>Lưu Hoàng Bảo Châu</v>
          </cell>
          <cell r="J53">
            <v>25</v>
          </cell>
        </row>
        <row r="54">
          <cell r="H54" t="str">
            <v>Trần Việt Anh</v>
          </cell>
          <cell r="J54">
            <v>26</v>
          </cell>
        </row>
        <row r="55">
          <cell r="H55" t="str">
            <v>Phạm Huỳnh Kim Ngân</v>
          </cell>
          <cell r="J55">
            <v>23</v>
          </cell>
        </row>
        <row r="56">
          <cell r="H56" t="str">
            <v>Nguyễn Đan Trường</v>
          </cell>
          <cell r="J56">
            <v>27</v>
          </cell>
        </row>
        <row r="57">
          <cell r="H57" t="str">
            <v>Lương Công Phi</v>
          </cell>
          <cell r="J57">
            <v>26</v>
          </cell>
        </row>
        <row r="58">
          <cell r="H58" t="str">
            <v>Nguyễn Yến Nhi</v>
          </cell>
          <cell r="J58">
            <v>26</v>
          </cell>
        </row>
        <row r="59">
          <cell r="H59" t="str">
            <v>Nguyễn Khắc Huân</v>
          </cell>
          <cell r="J59">
            <v>26</v>
          </cell>
        </row>
        <row r="60">
          <cell r="H60" t="str">
            <v>Nguyễn Thị Trang</v>
          </cell>
          <cell r="J60">
            <v>25.5</v>
          </cell>
        </row>
        <row r="61">
          <cell r="H61" t="str">
            <v>Lư Diễm Phúc</v>
          </cell>
          <cell r="J61">
            <v>26</v>
          </cell>
        </row>
        <row r="62">
          <cell r="H62" t="str">
            <v>Hà Thị Hậu</v>
          </cell>
          <cell r="J62">
            <v>26</v>
          </cell>
        </row>
        <row r="63">
          <cell r="H63" t="str">
            <v>Lê Tiến Dũng</v>
          </cell>
          <cell r="J63">
            <v>25</v>
          </cell>
        </row>
        <row r="64">
          <cell r="H64" t="str">
            <v>Lê Trần Thanh Nga</v>
          </cell>
          <cell r="J64">
            <v>26</v>
          </cell>
        </row>
        <row r="65">
          <cell r="H65" t="str">
            <v>Nguyễn Việt Tiến</v>
          </cell>
          <cell r="J65">
            <v>25</v>
          </cell>
        </row>
        <row r="66">
          <cell r="H66" t="str">
            <v>Nguyễn Thị Tất</v>
          </cell>
          <cell r="J66">
            <v>27</v>
          </cell>
        </row>
        <row r="67">
          <cell r="H67" t="str">
            <v>Sỹ Thị Chung</v>
          </cell>
          <cell r="J67">
            <v>26</v>
          </cell>
        </row>
        <row r="68">
          <cell r="H68" t="str">
            <v>Nguyễn Thị Nhung</v>
          </cell>
          <cell r="J68">
            <v>26</v>
          </cell>
        </row>
        <row r="69">
          <cell r="H69" t="str">
            <v>Trần Nhật Thịnh</v>
          </cell>
          <cell r="J69">
            <v>24</v>
          </cell>
        </row>
        <row r="70">
          <cell r="H70" t="str">
            <v>Võ Thị Mỹ Ngọc</v>
          </cell>
          <cell r="J70">
            <v>25</v>
          </cell>
        </row>
        <row r="71">
          <cell r="H71" t="str">
            <v>Đỗ Công Thành</v>
          </cell>
          <cell r="J71">
            <v>30</v>
          </cell>
        </row>
        <row r="72">
          <cell r="H72" t="str">
            <v>Lương Thị Thắm</v>
          </cell>
          <cell r="J72">
            <v>26</v>
          </cell>
        </row>
        <row r="73">
          <cell r="H73" t="str">
            <v>Nguyễn Xuân Lợi</v>
          </cell>
          <cell r="J73">
            <v>27</v>
          </cell>
        </row>
        <row r="74">
          <cell r="H74" t="str">
            <v>Nguyễn Hoàng Hải</v>
          </cell>
          <cell r="J74">
            <v>26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23</v>
          </cell>
        </row>
        <row r="11">
          <cell r="H11" t="str">
            <v>Đinh Văn Đệ</v>
          </cell>
          <cell r="I11" t="str">
            <v>Phó Hiệu Trưởng PT</v>
          </cell>
          <cell r="J11">
            <v>26</v>
          </cell>
        </row>
        <row r="12">
          <cell r="H12" t="str">
            <v>Đinh Hồng Minh</v>
          </cell>
          <cell r="I12" t="str">
            <v xml:space="preserve">Phó Hiệu Trưởng </v>
          </cell>
          <cell r="J12">
            <v>25</v>
          </cell>
        </row>
        <row r="13">
          <cell r="H13" t="str">
            <v>Châu Văn Bảo</v>
          </cell>
          <cell r="I13" t="str">
            <v xml:space="preserve">Phó Hiệu Trưởng </v>
          </cell>
          <cell r="J13">
            <v>26</v>
          </cell>
        </row>
        <row r="14">
          <cell r="H14" t="str">
            <v>Lâm Viết Dũng</v>
          </cell>
          <cell r="I14" t="str">
            <v>Phòng TC-HC-TH</v>
          </cell>
          <cell r="J14">
            <v>25</v>
          </cell>
        </row>
        <row r="15">
          <cell r="H15" t="str">
            <v>Lưu Hoàng Hải Yến</v>
          </cell>
          <cell r="I15">
            <v>0</v>
          </cell>
          <cell r="J15">
            <v>22</v>
          </cell>
        </row>
        <row r="16">
          <cell r="H16" t="str">
            <v>Huỳnh Thị Minh Ly</v>
          </cell>
          <cell r="I16" t="str">
            <v xml:space="preserve"> </v>
          </cell>
          <cell r="J16">
            <v>23</v>
          </cell>
        </row>
        <row r="17">
          <cell r="H17" t="str">
            <v>Nguyễn Văn Chì</v>
          </cell>
          <cell r="I17">
            <v>0</v>
          </cell>
          <cell r="J17">
            <v>18</v>
          </cell>
        </row>
        <row r="18">
          <cell r="H18" t="str">
            <v>Nguyễn Thị Vân</v>
          </cell>
          <cell r="I18">
            <v>0</v>
          </cell>
          <cell r="J18">
            <v>21.5</v>
          </cell>
        </row>
        <row r="19">
          <cell r="H19" t="str">
            <v>Phan Thị Ngọc Phượng</v>
          </cell>
          <cell r="I19">
            <v>0</v>
          </cell>
          <cell r="J19">
            <v>19.5</v>
          </cell>
        </row>
        <row r="20">
          <cell r="H20" t="str">
            <v>Trần Thị Ánh Phượng</v>
          </cell>
          <cell r="I20">
            <v>0</v>
          </cell>
          <cell r="J20">
            <v>21</v>
          </cell>
        </row>
        <row r="21">
          <cell r="H21" t="str">
            <v>Thân Thị Nhung</v>
          </cell>
          <cell r="I21">
            <v>0</v>
          </cell>
          <cell r="J21">
            <v>18</v>
          </cell>
        </row>
        <row r="22">
          <cell r="H22" t="str">
            <v>Trần Thị Phương Oanh</v>
          </cell>
          <cell r="I22">
            <v>0</v>
          </cell>
          <cell r="J22">
            <v>19</v>
          </cell>
        </row>
        <row r="23">
          <cell r="H23" t="str">
            <v>Vũ Như Quỳnh</v>
          </cell>
          <cell r="I23">
            <v>0</v>
          </cell>
          <cell r="J23">
            <v>20</v>
          </cell>
        </row>
        <row r="24">
          <cell r="H24" t="str">
            <v>Nguyễn Thị Bích Liễu</v>
          </cell>
          <cell r="I24">
            <v>0</v>
          </cell>
          <cell r="J24">
            <v>19</v>
          </cell>
        </row>
        <row r="25">
          <cell r="H25" t="str">
            <v>Lê Quang Liêm</v>
          </cell>
          <cell r="I25" t="str">
            <v>Phòng QT - DV</v>
          </cell>
          <cell r="J25">
            <v>23</v>
          </cell>
        </row>
        <row r="26">
          <cell r="H26" t="str">
            <v>Nguyễn Văn Thành</v>
          </cell>
          <cell r="I26">
            <v>0</v>
          </cell>
          <cell r="J26">
            <v>20</v>
          </cell>
        </row>
        <row r="27">
          <cell r="H27" t="str">
            <v>Phan Đức Long</v>
          </cell>
          <cell r="I27">
            <v>0</v>
          </cell>
          <cell r="J27">
            <v>23</v>
          </cell>
        </row>
        <row r="28">
          <cell r="H28" t="str">
            <v>Ninh Đỗ Hiệp</v>
          </cell>
          <cell r="I28">
            <v>0</v>
          </cell>
          <cell r="J28">
            <v>18</v>
          </cell>
        </row>
        <row r="29">
          <cell r="H29" t="str">
            <v>Nguyễn Trọng Phú</v>
          </cell>
          <cell r="I29">
            <v>0</v>
          </cell>
          <cell r="J29">
            <v>23</v>
          </cell>
        </row>
        <row r="30">
          <cell r="H30" t="str">
            <v>Lê Hồng Anh Tuấn</v>
          </cell>
          <cell r="I30">
            <v>0</v>
          </cell>
          <cell r="J30">
            <v>18</v>
          </cell>
        </row>
        <row r="31">
          <cell r="H31" t="str">
            <v>Giáp Văn Thịnh</v>
          </cell>
          <cell r="I31">
            <v>0</v>
          </cell>
          <cell r="J31">
            <v>19</v>
          </cell>
        </row>
        <row r="32">
          <cell r="H32" t="str">
            <v>Vũ Ngọc Quang</v>
          </cell>
          <cell r="I32">
            <v>0</v>
          </cell>
          <cell r="J32">
            <v>18</v>
          </cell>
        </row>
        <row r="33">
          <cell r="H33" t="str">
            <v>Bùi Thị Dương</v>
          </cell>
          <cell r="I33">
            <v>0</v>
          </cell>
          <cell r="J33">
            <v>23</v>
          </cell>
        </row>
        <row r="34">
          <cell r="H34" t="str">
            <v>Phan Hữu Tước</v>
          </cell>
          <cell r="I34">
            <v>0</v>
          </cell>
          <cell r="J34">
            <v>23</v>
          </cell>
        </row>
        <row r="35">
          <cell r="H35" t="str">
            <v>Trang Thị Xuân Uyên</v>
          </cell>
          <cell r="I35" t="str">
            <v>Trung tâm Y tế</v>
          </cell>
          <cell r="J35">
            <v>23</v>
          </cell>
        </row>
        <row r="36">
          <cell r="H36" t="str">
            <v>Bùi Thị Lan Anh</v>
          </cell>
          <cell r="I36">
            <v>0</v>
          </cell>
          <cell r="J36">
            <v>23</v>
          </cell>
        </row>
        <row r="37">
          <cell r="H37" t="str">
            <v>Nguyễn Kính</v>
          </cell>
          <cell r="I37" t="str">
            <v xml:space="preserve">Phòng KH - TC </v>
          </cell>
          <cell r="J37">
            <v>24</v>
          </cell>
        </row>
        <row r="38">
          <cell r="H38" t="str">
            <v>Võ Thị Lệ Trân</v>
          </cell>
          <cell r="I38">
            <v>0</v>
          </cell>
          <cell r="J38">
            <v>24</v>
          </cell>
        </row>
        <row r="39">
          <cell r="H39" t="str">
            <v>Trần Thị Minh Thoa</v>
          </cell>
          <cell r="I39">
            <v>0</v>
          </cell>
          <cell r="J39">
            <v>25</v>
          </cell>
        </row>
        <row r="40">
          <cell r="H40" t="str">
            <v>Hồng Mộng Tuyết Dung</v>
          </cell>
          <cell r="I40">
            <v>0</v>
          </cell>
          <cell r="J40">
            <v>24</v>
          </cell>
        </row>
        <row r="41">
          <cell r="H41" t="str">
            <v>Nguyễn Thị Hồng Thắm</v>
          </cell>
          <cell r="I41">
            <v>0</v>
          </cell>
          <cell r="J41">
            <v>23</v>
          </cell>
        </row>
        <row r="42">
          <cell r="H42" t="str">
            <v>Nguyễn Văn Chiến</v>
          </cell>
          <cell r="I42" t="str">
            <v>Phòng Thanh tra GD - QHDN</v>
          </cell>
          <cell r="J42">
            <v>23</v>
          </cell>
        </row>
        <row r="43">
          <cell r="H43" t="str">
            <v>Lê Xuân Thiện</v>
          </cell>
          <cell r="I43">
            <v>0</v>
          </cell>
          <cell r="J43">
            <v>19</v>
          </cell>
        </row>
        <row r="44">
          <cell r="H44" t="str">
            <v>Nguyễn Tất Thắng</v>
          </cell>
          <cell r="I44">
            <v>0</v>
          </cell>
          <cell r="J44">
            <v>19</v>
          </cell>
        </row>
        <row r="45">
          <cell r="H45" t="str">
            <v>Trần Thị Thu Hà</v>
          </cell>
          <cell r="I45">
            <v>0</v>
          </cell>
          <cell r="J45">
            <v>21</v>
          </cell>
        </row>
        <row r="46">
          <cell r="H46" t="str">
            <v>Phạm Thị Lê Chi</v>
          </cell>
          <cell r="I46">
            <v>0</v>
          </cell>
          <cell r="J46">
            <v>20</v>
          </cell>
        </row>
        <row r="47">
          <cell r="H47" t="str">
            <v>Nguyễn Thùy Dương</v>
          </cell>
          <cell r="I47">
            <v>0</v>
          </cell>
          <cell r="J47">
            <v>19</v>
          </cell>
        </row>
        <row r="48">
          <cell r="H48" t="str">
            <v>Nguyễn Thị Kim Anh</v>
          </cell>
          <cell r="I48">
            <v>0</v>
          </cell>
          <cell r="J48">
            <v>20</v>
          </cell>
        </row>
        <row r="49">
          <cell r="H49" t="str">
            <v>Mai Thu Hương</v>
          </cell>
          <cell r="I49">
            <v>0</v>
          </cell>
          <cell r="J49">
            <v>20</v>
          </cell>
        </row>
        <row r="50">
          <cell r="H50" t="str">
            <v>Nguyễn Thành Nam</v>
          </cell>
          <cell r="I50" t="str">
            <v>Phòng TS-ĐT</v>
          </cell>
          <cell r="J50">
            <v>23.5</v>
          </cell>
        </row>
        <row r="51">
          <cell r="H51" t="str">
            <v>Quách Minh Thử</v>
          </cell>
          <cell r="I51">
            <v>0</v>
          </cell>
          <cell r="J51">
            <v>18</v>
          </cell>
        </row>
        <row r="52">
          <cell r="H52" t="str">
            <v>Võ Thị Xuân Thơ</v>
          </cell>
          <cell r="I52">
            <v>0</v>
          </cell>
          <cell r="J52">
            <v>20.5</v>
          </cell>
        </row>
        <row r="53">
          <cell r="H53" t="str">
            <v>Nguyễn Thị Hải Hà</v>
          </cell>
          <cell r="I53">
            <v>0</v>
          </cell>
          <cell r="J53">
            <v>21.5</v>
          </cell>
        </row>
        <row r="54">
          <cell r="H54" t="str">
            <v>Nguyễn Thị Thanh Thảo</v>
          </cell>
          <cell r="I54">
            <v>0</v>
          </cell>
          <cell r="J54">
            <v>19.5</v>
          </cell>
        </row>
        <row r="55">
          <cell r="H55" t="str">
            <v>Thái Thị My Sa</v>
          </cell>
          <cell r="I55">
            <v>0</v>
          </cell>
          <cell r="J55">
            <v>19.5</v>
          </cell>
        </row>
        <row r="56">
          <cell r="H56" t="str">
            <v>Giáp Thị Vượng</v>
          </cell>
          <cell r="I56">
            <v>0</v>
          </cell>
          <cell r="J56">
            <v>19.5</v>
          </cell>
        </row>
        <row r="57">
          <cell r="H57" t="str">
            <v>Huỳnh Thị Cẩm Hoa</v>
          </cell>
          <cell r="I57">
            <v>0</v>
          </cell>
          <cell r="J57">
            <v>19</v>
          </cell>
        </row>
        <row r="58">
          <cell r="H58" t="str">
            <v>Nguyễn Thị Thùy</v>
          </cell>
          <cell r="I58">
            <v>0</v>
          </cell>
          <cell r="J58">
            <v>22</v>
          </cell>
        </row>
        <row r="59">
          <cell r="H59" t="str">
            <v>Nguyễn Thị Ngọc Anh</v>
          </cell>
          <cell r="I59">
            <v>0</v>
          </cell>
          <cell r="J59">
            <v>19.5</v>
          </cell>
        </row>
        <row r="60">
          <cell r="H60" t="str">
            <v>Nguyễn Chí Nhân</v>
          </cell>
          <cell r="I60" t="str">
            <v>Phòng Khảo thí và ĐBCL</v>
          </cell>
          <cell r="J60">
            <v>22</v>
          </cell>
        </row>
        <row r="61">
          <cell r="H61" t="str">
            <v>Nguyễn Thị Kim Dung</v>
          </cell>
          <cell r="I61">
            <v>0</v>
          </cell>
          <cell r="J61">
            <v>21</v>
          </cell>
        </row>
        <row r="62">
          <cell r="H62" t="str">
            <v>Nguyễn Thanh Sơn</v>
          </cell>
          <cell r="I62">
            <v>0</v>
          </cell>
          <cell r="J62">
            <v>18</v>
          </cell>
        </row>
        <row r="63">
          <cell r="H63" t="str">
            <v>Lương Minh Dũng</v>
          </cell>
          <cell r="I63">
            <v>0</v>
          </cell>
          <cell r="J63">
            <v>21</v>
          </cell>
        </row>
        <row r="64">
          <cell r="H64" t="str">
            <v>Nguyễn Thị Tuyết</v>
          </cell>
          <cell r="I64">
            <v>0</v>
          </cell>
          <cell r="J64">
            <v>21</v>
          </cell>
        </row>
        <row r="65">
          <cell r="H65" t="str">
            <v>Vũ Thị Thu Thủy</v>
          </cell>
          <cell r="I65">
            <v>0</v>
          </cell>
          <cell r="J65">
            <v>20</v>
          </cell>
        </row>
        <row r="66">
          <cell r="H66" t="str">
            <v>Mai Nguyễn Hoàng Yến</v>
          </cell>
          <cell r="I66">
            <v>0</v>
          </cell>
          <cell r="J66">
            <v>21</v>
          </cell>
        </row>
        <row r="67">
          <cell r="H67" t="str">
            <v>Nguyễn Trọng Nghĩa</v>
          </cell>
          <cell r="I67" t="str">
            <v>Phòng KHCN &amp; QHQT</v>
          </cell>
          <cell r="J67">
            <v>16</v>
          </cell>
        </row>
        <row r="68">
          <cell r="H68" t="str">
            <v>Lê Thị Hải Đăng</v>
          </cell>
          <cell r="I68">
            <v>0</v>
          </cell>
          <cell r="J68">
            <v>20</v>
          </cell>
        </row>
        <row r="69">
          <cell r="H69" t="str">
            <v>Nguyễn Hữu Thiện</v>
          </cell>
          <cell r="I69" t="str">
            <v>TT. Điều hành &amp; QLDL</v>
          </cell>
          <cell r="J69">
            <v>23</v>
          </cell>
        </row>
        <row r="70">
          <cell r="H70" t="str">
            <v>Vương Hội Khánh</v>
          </cell>
          <cell r="I70">
            <v>0</v>
          </cell>
          <cell r="J70">
            <v>20</v>
          </cell>
        </row>
        <row r="71">
          <cell r="H71" t="str">
            <v>Trương Hữu Lộc</v>
          </cell>
          <cell r="I71">
            <v>0</v>
          </cell>
          <cell r="J71">
            <v>19</v>
          </cell>
        </row>
        <row r="72">
          <cell r="H72" t="str">
            <v>Trương Thị Hồng</v>
          </cell>
          <cell r="I72">
            <v>0</v>
          </cell>
          <cell r="J72">
            <v>23</v>
          </cell>
        </row>
        <row r="73">
          <cell r="H73" t="str">
            <v>Lương Xuân Thịnh</v>
          </cell>
          <cell r="I73" t="str">
            <v>TT Đào tạo và QLTB</v>
          </cell>
          <cell r="J73">
            <v>27</v>
          </cell>
        </row>
        <row r="74">
          <cell r="H74" t="str">
            <v>Nguyễn Cao Thắng</v>
          </cell>
          <cell r="I74">
            <v>0</v>
          </cell>
          <cell r="J74">
            <v>23</v>
          </cell>
        </row>
        <row r="75">
          <cell r="H75" t="str">
            <v>Đỗ Thị Tâm</v>
          </cell>
          <cell r="I75">
            <v>0</v>
          </cell>
          <cell r="J75">
            <v>24</v>
          </cell>
        </row>
        <row r="76">
          <cell r="H76" t="str">
            <v>Nguyễn Tiến Việt Dũng</v>
          </cell>
          <cell r="I76">
            <v>0</v>
          </cell>
          <cell r="J76">
            <v>21</v>
          </cell>
        </row>
        <row r="77">
          <cell r="H77" t="str">
            <v>Bùi Đặng Hoàng Tuấn</v>
          </cell>
          <cell r="I77">
            <v>0</v>
          </cell>
          <cell r="J77">
            <v>21</v>
          </cell>
        </row>
        <row r="78">
          <cell r="H78" t="str">
            <v>Võ Tấn Kiệt</v>
          </cell>
          <cell r="I78">
            <v>0</v>
          </cell>
          <cell r="J78">
            <v>23</v>
          </cell>
        </row>
        <row r="79">
          <cell r="H79" t="str">
            <v>Hồ Ngọc Chi</v>
          </cell>
          <cell r="I79" t="str">
            <v>TT. Thư viện</v>
          </cell>
          <cell r="J79">
            <v>19</v>
          </cell>
        </row>
        <row r="80">
          <cell r="H80" t="str">
            <v>Nguyễn Tứ Cảnh</v>
          </cell>
          <cell r="I80">
            <v>0</v>
          </cell>
          <cell r="J80">
            <v>19</v>
          </cell>
        </row>
        <row r="81">
          <cell r="H81" t="str">
            <v>Đặng Thu Hà</v>
          </cell>
          <cell r="I81">
            <v>0</v>
          </cell>
          <cell r="J81">
            <v>20</v>
          </cell>
        </row>
        <row r="82">
          <cell r="H82" t="str">
            <v>Trần Thị Diễm Thúy</v>
          </cell>
          <cell r="I82">
            <v>0</v>
          </cell>
          <cell r="J82">
            <v>19</v>
          </cell>
        </row>
        <row r="83">
          <cell r="H83" t="str">
            <v>Trịnh Hoàng Hiệp</v>
          </cell>
          <cell r="I83" t="str">
            <v>Khoa Kinh tế</v>
          </cell>
          <cell r="J83">
            <v>19</v>
          </cell>
        </row>
        <row r="84">
          <cell r="H84" t="str">
            <v>Phạm Quỳnh Như</v>
          </cell>
          <cell r="I84">
            <v>0</v>
          </cell>
          <cell r="J84">
            <v>19</v>
          </cell>
        </row>
        <row r="85">
          <cell r="H85" t="str">
            <v>Lê Thị Thu Thảo</v>
          </cell>
          <cell r="I85">
            <v>0</v>
          </cell>
          <cell r="J85">
            <v>19</v>
          </cell>
        </row>
        <row r="86">
          <cell r="H86" t="str">
            <v>Lưu Thị Thúy</v>
          </cell>
          <cell r="I86">
            <v>0</v>
          </cell>
          <cell r="J86">
            <v>19</v>
          </cell>
        </row>
        <row r="87">
          <cell r="H87" t="str">
            <v>Nguyễn Thị Minh Thùy</v>
          </cell>
          <cell r="I87">
            <v>0</v>
          </cell>
          <cell r="J87">
            <v>19</v>
          </cell>
        </row>
        <row r="88">
          <cell r="H88" t="str">
            <v>Nguyễn Mỹ Tiên</v>
          </cell>
          <cell r="I88">
            <v>0</v>
          </cell>
          <cell r="J88">
            <v>19</v>
          </cell>
        </row>
        <row r="89">
          <cell r="H89" t="str">
            <v>Trần Thị Ngọc Dung</v>
          </cell>
          <cell r="I89">
            <v>0</v>
          </cell>
          <cell r="J89">
            <v>19</v>
          </cell>
        </row>
        <row r="90">
          <cell r="H90" t="str">
            <v>Cao Xuân Giang</v>
          </cell>
          <cell r="I90">
            <v>0</v>
          </cell>
          <cell r="J90">
            <v>19</v>
          </cell>
        </row>
        <row r="91">
          <cell r="H91" t="str">
            <v>Lê Hồng Ngọc My</v>
          </cell>
          <cell r="I91">
            <v>0</v>
          </cell>
          <cell r="J91">
            <v>19</v>
          </cell>
        </row>
        <row r="92">
          <cell r="H92" t="str">
            <v>Nguyễn Thị Thanh Hòa</v>
          </cell>
          <cell r="I92">
            <v>0</v>
          </cell>
          <cell r="J92">
            <v>19</v>
          </cell>
        </row>
        <row r="93">
          <cell r="H93" t="str">
            <v>Huỳnh Kim Liên</v>
          </cell>
          <cell r="I93">
            <v>0</v>
          </cell>
          <cell r="J93">
            <v>19</v>
          </cell>
        </row>
        <row r="94">
          <cell r="H94" t="str">
            <v>Nguyễn Huỳnh Lưu Phương</v>
          </cell>
          <cell r="I94">
            <v>0</v>
          </cell>
          <cell r="J94">
            <v>0</v>
          </cell>
        </row>
        <row r="95">
          <cell r="H95" t="str">
            <v>Nguyễn Thụy Nghiêm</v>
          </cell>
          <cell r="I95">
            <v>0</v>
          </cell>
          <cell r="J95">
            <v>24</v>
          </cell>
        </row>
        <row r="96">
          <cell r="H96" t="str">
            <v>Hồ Gia Bảo</v>
          </cell>
          <cell r="I96" t="str">
            <v>Khoa Du lịch -
 Khách sạn</v>
          </cell>
          <cell r="J96">
            <v>19</v>
          </cell>
        </row>
        <row r="97">
          <cell r="H97" t="str">
            <v>Lữ Xuân Trang</v>
          </cell>
          <cell r="I97">
            <v>0</v>
          </cell>
          <cell r="J97">
            <v>19</v>
          </cell>
        </row>
        <row r="98">
          <cell r="H98" t="str">
            <v>Phạm Thị Thanh Thúy</v>
          </cell>
          <cell r="I98">
            <v>0</v>
          </cell>
          <cell r="J98">
            <v>19</v>
          </cell>
        </row>
        <row r="99">
          <cell r="H99" t="str">
            <v>Đinh Thị Trâm</v>
          </cell>
          <cell r="I99">
            <v>0</v>
          </cell>
          <cell r="J99">
            <v>19</v>
          </cell>
        </row>
        <row r="100">
          <cell r="H100" t="str">
            <v>Lê Thị Thúy Oanh</v>
          </cell>
          <cell r="I100">
            <v>0</v>
          </cell>
          <cell r="J100">
            <v>19</v>
          </cell>
        </row>
        <row r="101">
          <cell r="H101" t="str">
            <v>Võ Thị Kim Thư</v>
          </cell>
          <cell r="I101">
            <v>0</v>
          </cell>
          <cell r="J101">
            <v>19</v>
          </cell>
        </row>
        <row r="102">
          <cell r="H102" t="str">
            <v>Nguyễn Hoàng Thanh Ngân</v>
          </cell>
          <cell r="I102">
            <v>0</v>
          </cell>
          <cell r="J102">
            <v>0</v>
          </cell>
        </row>
        <row r="103">
          <cell r="H103" t="str">
            <v>Nguyễn Ngọc Thọ</v>
          </cell>
          <cell r="I103" t="str">
            <v>Khoa May -  TT</v>
          </cell>
          <cell r="J103">
            <v>19</v>
          </cell>
        </row>
        <row r="104">
          <cell r="H104" t="str">
            <v>Nguyễn Bạch Cẩm Dung</v>
          </cell>
          <cell r="I104">
            <v>0</v>
          </cell>
          <cell r="J104">
            <v>19</v>
          </cell>
        </row>
        <row r="105">
          <cell r="H105" t="str">
            <v>Lâm Thị Phương Thùy</v>
          </cell>
          <cell r="I105">
            <v>0</v>
          </cell>
          <cell r="J105">
            <v>19</v>
          </cell>
        </row>
        <row r="106">
          <cell r="H106" t="str">
            <v>Nguyễn Thị Hiền</v>
          </cell>
          <cell r="I106">
            <v>0</v>
          </cell>
          <cell r="J106">
            <v>19</v>
          </cell>
        </row>
        <row r="107">
          <cell r="H107" t="str">
            <v>Chế Vân Cầm</v>
          </cell>
          <cell r="I107">
            <v>0</v>
          </cell>
          <cell r="J107">
            <v>19</v>
          </cell>
        </row>
        <row r="108">
          <cell r="H108" t="str">
            <v>Trần Hồng Thảo</v>
          </cell>
          <cell r="I108">
            <v>0</v>
          </cell>
          <cell r="J108">
            <v>19</v>
          </cell>
        </row>
        <row r="109">
          <cell r="H109" t="str">
            <v>Lê Thị Phương Thảo</v>
          </cell>
          <cell r="I109">
            <v>0</v>
          </cell>
          <cell r="J109">
            <v>19</v>
          </cell>
        </row>
        <row r="110">
          <cell r="H110" t="str">
            <v>Bùi Thị Ngọc Sương</v>
          </cell>
          <cell r="I110">
            <v>0</v>
          </cell>
          <cell r="J110">
            <v>19</v>
          </cell>
        </row>
        <row r="111">
          <cell r="H111" t="str">
            <v>Nguyễn Thị Nhuận</v>
          </cell>
          <cell r="I111" t="str">
            <v>Khoa KH Cơ bản</v>
          </cell>
          <cell r="J111">
            <v>19</v>
          </cell>
        </row>
        <row r="112">
          <cell r="H112" t="str">
            <v>Nguyễn Thị Huyền Nga</v>
          </cell>
          <cell r="I112" t="str">
            <v>Tổ Hoá</v>
          </cell>
          <cell r="J112">
            <v>19</v>
          </cell>
        </row>
        <row r="113">
          <cell r="H113" t="str">
            <v>Nguyễn Phương Hà</v>
          </cell>
          <cell r="I113">
            <v>0</v>
          </cell>
          <cell r="J113">
            <v>19</v>
          </cell>
        </row>
        <row r="114">
          <cell r="H114" t="str">
            <v>Trịnh Khắc Vũ</v>
          </cell>
          <cell r="I114">
            <v>0</v>
          </cell>
          <cell r="J114">
            <v>19</v>
          </cell>
        </row>
        <row r="115">
          <cell r="H115" t="str">
            <v>Lê Minh Phong</v>
          </cell>
          <cell r="I115">
            <v>0</v>
          </cell>
          <cell r="J115">
            <v>19</v>
          </cell>
        </row>
        <row r="116">
          <cell r="H116" t="str">
            <v>Lê Văn Bình</v>
          </cell>
          <cell r="I116">
            <v>0</v>
          </cell>
          <cell r="J116">
            <v>19</v>
          </cell>
        </row>
        <row r="117">
          <cell r="H117" t="str">
            <v>Nguyễn Văn Đông</v>
          </cell>
          <cell r="I117" t="str">
            <v>Tổ Lý</v>
          </cell>
          <cell r="J117">
            <v>19</v>
          </cell>
        </row>
        <row r="118">
          <cell r="H118" t="str">
            <v>Đặng Thị Kiến Trúc</v>
          </cell>
          <cell r="I118">
            <v>0</v>
          </cell>
          <cell r="J118">
            <v>19</v>
          </cell>
        </row>
        <row r="119">
          <cell r="H119" t="str">
            <v>Nguyễn Thanh Tú</v>
          </cell>
          <cell r="I119">
            <v>0</v>
          </cell>
          <cell r="J119">
            <v>19</v>
          </cell>
        </row>
        <row r="120">
          <cell r="H120" t="str">
            <v>Trần Thị Ánh Tuyết</v>
          </cell>
          <cell r="I120">
            <v>0</v>
          </cell>
          <cell r="J120">
            <v>19</v>
          </cell>
        </row>
        <row r="121">
          <cell r="H121" t="str">
            <v>Phạm Thị Thu Nga</v>
          </cell>
          <cell r="I121" t="str">
            <v>Tổ Toán</v>
          </cell>
          <cell r="J121">
            <v>19</v>
          </cell>
        </row>
        <row r="122">
          <cell r="H122" t="str">
            <v>Nguyễn Thị Cẩm Thạch</v>
          </cell>
          <cell r="I122">
            <v>0</v>
          </cell>
          <cell r="J122">
            <v>19</v>
          </cell>
        </row>
        <row r="123">
          <cell r="H123" t="str">
            <v>Hà Như Mai</v>
          </cell>
          <cell r="I123">
            <v>0</v>
          </cell>
          <cell r="J123">
            <v>19</v>
          </cell>
        </row>
        <row r="124">
          <cell r="H124" t="str">
            <v>Nguyễn Thị Thủy</v>
          </cell>
          <cell r="I124">
            <v>0</v>
          </cell>
          <cell r="J124">
            <v>19</v>
          </cell>
        </row>
        <row r="125">
          <cell r="H125" t="str">
            <v>Dương Đức Kiên</v>
          </cell>
          <cell r="I125">
            <v>0</v>
          </cell>
          <cell r="J125">
            <v>19</v>
          </cell>
        </row>
        <row r="126">
          <cell r="H126" t="str">
            <v>Nguyễn Văn Hậu</v>
          </cell>
          <cell r="I126">
            <v>0</v>
          </cell>
          <cell r="J126">
            <v>19</v>
          </cell>
        </row>
        <row r="127">
          <cell r="H127" t="str">
            <v>Lê Thái Hùng</v>
          </cell>
          <cell r="I127" t="str">
            <v xml:space="preserve">Tổ  Thể chất </v>
          </cell>
          <cell r="J127">
            <v>19</v>
          </cell>
        </row>
        <row r="128">
          <cell r="H128" t="str">
            <v>Nguyễn Phú Tân</v>
          </cell>
          <cell r="I128">
            <v>0</v>
          </cell>
          <cell r="J128">
            <v>19</v>
          </cell>
        </row>
        <row r="129">
          <cell r="H129" t="str">
            <v>Nguyễn Mạnh Phương</v>
          </cell>
          <cell r="I129">
            <v>0</v>
          </cell>
          <cell r="J129">
            <v>19</v>
          </cell>
        </row>
        <row r="130">
          <cell r="H130" t="str">
            <v>Giang Phi Hùng</v>
          </cell>
          <cell r="I130">
            <v>0</v>
          </cell>
          <cell r="J130">
            <v>19</v>
          </cell>
        </row>
        <row r="131">
          <cell r="H131" t="str">
            <v>Ngô Thanh Điền</v>
          </cell>
          <cell r="I131">
            <v>0</v>
          </cell>
          <cell r="J131">
            <v>19</v>
          </cell>
        </row>
        <row r="132">
          <cell r="H132" t="str">
            <v>Nguyễn Thị Thu Hà</v>
          </cell>
          <cell r="I132" t="str">
            <v>Khoa Ngoại ngữ</v>
          </cell>
          <cell r="J132">
            <v>19</v>
          </cell>
        </row>
        <row r="133">
          <cell r="H133" t="str">
            <v>Vương Thanh Thủy</v>
          </cell>
          <cell r="I133">
            <v>0</v>
          </cell>
          <cell r="J133">
            <v>19</v>
          </cell>
        </row>
        <row r="134">
          <cell r="H134" t="str">
            <v>Nguyễn Thị Bảo Trân</v>
          </cell>
          <cell r="I134">
            <v>0</v>
          </cell>
          <cell r="J134">
            <v>19</v>
          </cell>
        </row>
        <row r="135">
          <cell r="H135" t="str">
            <v>Nguyễn Thị Thu Tâm</v>
          </cell>
          <cell r="I135">
            <v>0</v>
          </cell>
          <cell r="J135">
            <v>19</v>
          </cell>
        </row>
        <row r="136">
          <cell r="H136" t="str">
            <v>Nguyễn Thị Thanh Tú</v>
          </cell>
          <cell r="I136">
            <v>0</v>
          </cell>
          <cell r="J136">
            <v>19</v>
          </cell>
        </row>
        <row r="137">
          <cell r="H137" t="str">
            <v>Võ Thị Hồng Lan</v>
          </cell>
          <cell r="I137">
            <v>0</v>
          </cell>
          <cell r="J137">
            <v>19</v>
          </cell>
        </row>
        <row r="138">
          <cell r="H138" t="str">
            <v>Lê Nguyễn Mỹ Trâm</v>
          </cell>
          <cell r="I138">
            <v>0</v>
          </cell>
          <cell r="J138">
            <v>19</v>
          </cell>
        </row>
        <row r="139">
          <cell r="H139" t="str">
            <v>Phạm Thị Thu Hiền</v>
          </cell>
          <cell r="I139">
            <v>0</v>
          </cell>
          <cell r="J139">
            <v>19</v>
          </cell>
        </row>
        <row r="140">
          <cell r="H140" t="str">
            <v>Nguyễn Thiện Bình</v>
          </cell>
          <cell r="I140">
            <v>0</v>
          </cell>
          <cell r="J140">
            <v>19</v>
          </cell>
        </row>
        <row r="141">
          <cell r="H141" t="str">
            <v>Trần Thanh Trúc</v>
          </cell>
          <cell r="I141">
            <v>0</v>
          </cell>
          <cell r="J141">
            <v>19</v>
          </cell>
        </row>
        <row r="142">
          <cell r="H142" t="str">
            <v>Lâm Thị Phương Thảo</v>
          </cell>
          <cell r="I142">
            <v>0</v>
          </cell>
          <cell r="J142">
            <v>19</v>
          </cell>
        </row>
        <row r="143">
          <cell r="H143" t="str">
            <v>Trần Hà Trang</v>
          </cell>
          <cell r="I143">
            <v>0</v>
          </cell>
          <cell r="J143">
            <v>19</v>
          </cell>
        </row>
        <row r="144">
          <cell r="H144" t="str">
            <v>Lê Thu Hà</v>
          </cell>
          <cell r="I144">
            <v>0</v>
          </cell>
          <cell r="J144">
            <v>16</v>
          </cell>
        </row>
        <row r="145">
          <cell r="H145" t="str">
            <v>Ôn Thị Ngọc Thảo</v>
          </cell>
          <cell r="I145">
            <v>0</v>
          </cell>
          <cell r="J145">
            <v>19</v>
          </cell>
        </row>
        <row r="146">
          <cell r="H146" t="str">
            <v>Nguyễn Huỳnh Khánh Vy</v>
          </cell>
          <cell r="I146">
            <v>0</v>
          </cell>
          <cell r="J146">
            <v>19</v>
          </cell>
        </row>
        <row r="147">
          <cell r="H147" t="str">
            <v>Lê Thị Hồng Vân</v>
          </cell>
          <cell r="I147" t="str">
            <v xml:space="preserve">Khoa Lý luận chính trị </v>
          </cell>
          <cell r="J147">
            <v>19</v>
          </cell>
        </row>
        <row r="148">
          <cell r="H148" t="str">
            <v>Nguyễn Ngọc Quỳnh</v>
          </cell>
          <cell r="I148">
            <v>0</v>
          </cell>
          <cell r="J148">
            <v>19</v>
          </cell>
        </row>
        <row r="149">
          <cell r="H149" t="str">
            <v>Phan Thị Thùy Trang</v>
          </cell>
          <cell r="I149">
            <v>0</v>
          </cell>
          <cell r="J149">
            <v>19</v>
          </cell>
        </row>
        <row r="150">
          <cell r="H150" t="str">
            <v>Lê Thị Mai Hường</v>
          </cell>
          <cell r="I150">
            <v>0</v>
          </cell>
          <cell r="J150">
            <v>19</v>
          </cell>
        </row>
        <row r="151">
          <cell r="H151" t="str">
            <v>Nguyễn Thị Dinh</v>
          </cell>
          <cell r="I151">
            <v>0</v>
          </cell>
          <cell r="J151">
            <v>19</v>
          </cell>
        </row>
        <row r="152">
          <cell r="H152" t="str">
            <v>Đỗ Thị Ngát</v>
          </cell>
          <cell r="I152">
            <v>0</v>
          </cell>
          <cell r="J152">
            <v>19</v>
          </cell>
        </row>
        <row r="153">
          <cell r="H153" t="str">
            <v>Nguyễn Anh Kiệt</v>
          </cell>
          <cell r="I153">
            <v>0</v>
          </cell>
          <cell r="J153">
            <v>19</v>
          </cell>
        </row>
        <row r="154">
          <cell r="H154" t="str">
            <v>Trần Thị Hồng Thu</v>
          </cell>
          <cell r="I154">
            <v>0</v>
          </cell>
          <cell r="J154">
            <v>19</v>
          </cell>
        </row>
        <row r="155">
          <cell r="H155" t="str">
            <v>Đinh Thị Huyên</v>
          </cell>
          <cell r="I155">
            <v>0</v>
          </cell>
          <cell r="J155">
            <v>19</v>
          </cell>
        </row>
        <row r="156">
          <cell r="H156" t="str">
            <v>Cao Thị Hồng Thắm</v>
          </cell>
          <cell r="I156">
            <v>0</v>
          </cell>
          <cell r="J156">
            <v>19</v>
          </cell>
        </row>
        <row r="157">
          <cell r="H157" t="str">
            <v>Đỗ Thị Thơm</v>
          </cell>
          <cell r="I157">
            <v>0</v>
          </cell>
          <cell r="J157">
            <v>19</v>
          </cell>
        </row>
        <row r="158">
          <cell r="H158" t="str">
            <v>Phạm Thị Vinh</v>
          </cell>
          <cell r="I158">
            <v>0</v>
          </cell>
          <cell r="J158">
            <v>19</v>
          </cell>
        </row>
        <row r="159">
          <cell r="H159" t="str">
            <v>Hoàng Thị Trang</v>
          </cell>
          <cell r="I159">
            <v>0</v>
          </cell>
          <cell r="J159">
            <v>19</v>
          </cell>
        </row>
        <row r="160">
          <cell r="H160" t="str">
            <v>Bùi Thành Dũng</v>
          </cell>
          <cell r="I160" t="str">
            <v>Tổ Pháp luật</v>
          </cell>
          <cell r="J160">
            <v>19</v>
          </cell>
        </row>
        <row r="161">
          <cell r="H161" t="str">
            <v>Trần Văn Lượng</v>
          </cell>
          <cell r="I161">
            <v>0</v>
          </cell>
          <cell r="J161">
            <v>19</v>
          </cell>
        </row>
        <row r="162">
          <cell r="H162" t="str">
            <v>Trần Việt Khánh</v>
          </cell>
          <cell r="I162" t="str">
            <v>Khoa CNTT</v>
          </cell>
          <cell r="J162">
            <v>20</v>
          </cell>
        </row>
        <row r="163">
          <cell r="H163" t="str">
            <v>Vũ Thị Thái Linh</v>
          </cell>
          <cell r="I163">
            <v>0</v>
          </cell>
          <cell r="J163">
            <v>19</v>
          </cell>
        </row>
        <row r="164">
          <cell r="H164" t="str">
            <v>Nguyễn Sanh Cường</v>
          </cell>
          <cell r="I164">
            <v>0</v>
          </cell>
          <cell r="J164">
            <v>19</v>
          </cell>
        </row>
        <row r="165">
          <cell r="H165" t="str">
            <v>Lê Quý Hưng Quốc</v>
          </cell>
          <cell r="I165">
            <v>0</v>
          </cell>
          <cell r="J165">
            <v>19</v>
          </cell>
        </row>
        <row r="166">
          <cell r="H166" t="str">
            <v>Bùi Văn Dũng</v>
          </cell>
          <cell r="I166">
            <v>0</v>
          </cell>
          <cell r="J166">
            <v>4</v>
          </cell>
        </row>
        <row r="167">
          <cell r="H167" t="str">
            <v>Nguyễn Văn Minh</v>
          </cell>
          <cell r="I167">
            <v>0</v>
          </cell>
          <cell r="J167">
            <v>19</v>
          </cell>
        </row>
        <row r="168">
          <cell r="H168" t="str">
            <v>Nguyễn Thị Khánh Thư</v>
          </cell>
          <cell r="I168">
            <v>0</v>
          </cell>
          <cell r="J168">
            <v>19</v>
          </cell>
        </row>
        <row r="169">
          <cell r="H169" t="str">
            <v>Đỗ Thị Hải Yến</v>
          </cell>
          <cell r="I169">
            <v>0</v>
          </cell>
          <cell r="J169">
            <v>19</v>
          </cell>
        </row>
        <row r="170">
          <cell r="H170" t="str">
            <v>Lê Hồng Thái</v>
          </cell>
          <cell r="I170">
            <v>0</v>
          </cell>
          <cell r="J170">
            <v>19</v>
          </cell>
        </row>
        <row r="171">
          <cell r="H171" t="str">
            <v>Đặng Ngọc Đoàn</v>
          </cell>
          <cell r="I171">
            <v>0</v>
          </cell>
          <cell r="J171">
            <v>19</v>
          </cell>
        </row>
        <row r="172">
          <cell r="H172" t="str">
            <v>Nguyễn Văn Đôn</v>
          </cell>
          <cell r="I172">
            <v>0</v>
          </cell>
          <cell r="J172">
            <v>19</v>
          </cell>
        </row>
        <row r="173">
          <cell r="H173" t="str">
            <v>Huỳnh Quốc Dũng</v>
          </cell>
          <cell r="I173">
            <v>0</v>
          </cell>
          <cell r="J173">
            <v>19</v>
          </cell>
        </row>
        <row r="174">
          <cell r="H174" t="str">
            <v>Dương Ngọc Vọng</v>
          </cell>
          <cell r="I174">
            <v>0</v>
          </cell>
          <cell r="J174">
            <v>19</v>
          </cell>
        </row>
        <row r="175">
          <cell r="H175" t="str">
            <v>Nguyễn Ngọc Tuyên</v>
          </cell>
          <cell r="I175">
            <v>0</v>
          </cell>
          <cell r="J175">
            <v>19</v>
          </cell>
        </row>
        <row r="176">
          <cell r="H176" t="str">
            <v>Nguyễn Cao Phong</v>
          </cell>
          <cell r="I176">
            <v>0</v>
          </cell>
          <cell r="J176">
            <v>19</v>
          </cell>
        </row>
        <row r="177">
          <cell r="H177" t="str">
            <v>Mai Chiếm Tuấn</v>
          </cell>
          <cell r="I177">
            <v>0</v>
          </cell>
          <cell r="J177">
            <v>19</v>
          </cell>
        </row>
        <row r="178">
          <cell r="H178" t="str">
            <v>Đỗ Tuấn Việt</v>
          </cell>
          <cell r="I178">
            <v>0</v>
          </cell>
          <cell r="J178">
            <v>19</v>
          </cell>
        </row>
        <row r="179">
          <cell r="H179" t="str">
            <v>Trần Vĩnh Xuyên</v>
          </cell>
          <cell r="I179">
            <v>0</v>
          </cell>
          <cell r="J179">
            <v>19</v>
          </cell>
        </row>
        <row r="180">
          <cell r="H180" t="str">
            <v>Đào Lê Phương Anh</v>
          </cell>
          <cell r="I180">
            <v>0</v>
          </cell>
          <cell r="J180">
            <v>19</v>
          </cell>
        </row>
        <row r="181">
          <cell r="H181" t="str">
            <v>Nguyễn Duy Lộc</v>
          </cell>
          <cell r="I181">
            <v>0</v>
          </cell>
          <cell r="J181">
            <v>19</v>
          </cell>
        </row>
        <row r="182">
          <cell r="H182" t="str">
            <v>Chung Trần Thế Vinh</v>
          </cell>
          <cell r="I182" t="str">
            <v>Khoa Cơ khí</v>
          </cell>
          <cell r="J182">
            <v>23</v>
          </cell>
        </row>
        <row r="183">
          <cell r="H183" t="str">
            <v>Đỗ Thị Phương Khanh</v>
          </cell>
          <cell r="I183">
            <v>0</v>
          </cell>
          <cell r="J183">
            <v>19</v>
          </cell>
        </row>
        <row r="184">
          <cell r="H184" t="str">
            <v>Trương Thị Phương Hồng</v>
          </cell>
          <cell r="I184">
            <v>0</v>
          </cell>
          <cell r="J184">
            <v>19</v>
          </cell>
        </row>
        <row r="185">
          <cell r="H185" t="str">
            <v>Dương Minh Chung</v>
          </cell>
          <cell r="I185">
            <v>0</v>
          </cell>
          <cell r="J185">
            <v>19</v>
          </cell>
        </row>
        <row r="186">
          <cell r="H186" t="str">
            <v>Phan Văn Thành</v>
          </cell>
          <cell r="I186">
            <v>0</v>
          </cell>
          <cell r="J186">
            <v>19</v>
          </cell>
        </row>
        <row r="187">
          <cell r="H187" t="str">
            <v>Vũ Đức Pháp</v>
          </cell>
          <cell r="I187">
            <v>0</v>
          </cell>
          <cell r="J187">
            <v>19</v>
          </cell>
        </row>
        <row r="188">
          <cell r="H188" t="str">
            <v>Vũ Quang Khải</v>
          </cell>
          <cell r="I188">
            <v>0</v>
          </cell>
          <cell r="J188">
            <v>19</v>
          </cell>
        </row>
        <row r="189">
          <cell r="H189" t="str">
            <v>Nguyễn Thanh Vũ</v>
          </cell>
          <cell r="I189">
            <v>0</v>
          </cell>
          <cell r="J189">
            <v>19</v>
          </cell>
        </row>
        <row r="190">
          <cell r="H190" t="str">
            <v>Phan Thị Xuân Trang</v>
          </cell>
          <cell r="I190">
            <v>0</v>
          </cell>
          <cell r="J190">
            <v>19</v>
          </cell>
        </row>
        <row r="191">
          <cell r="H191" t="str">
            <v>Trần Đình Khải</v>
          </cell>
          <cell r="I191">
            <v>0</v>
          </cell>
          <cell r="J191">
            <v>19</v>
          </cell>
        </row>
        <row r="192">
          <cell r="H192" t="str">
            <v>Lư Thị Yến Vũ</v>
          </cell>
          <cell r="I192">
            <v>0</v>
          </cell>
          <cell r="J192">
            <v>19</v>
          </cell>
        </row>
        <row r="193">
          <cell r="H193" t="str">
            <v>Nguyễn Tiến Dũng</v>
          </cell>
          <cell r="I193">
            <v>0</v>
          </cell>
          <cell r="J193">
            <v>19</v>
          </cell>
        </row>
        <row r="194">
          <cell r="H194" t="str">
            <v>Nguyễn Thành Long</v>
          </cell>
          <cell r="I194">
            <v>0</v>
          </cell>
          <cell r="J194">
            <v>19</v>
          </cell>
        </row>
        <row r="195">
          <cell r="H195" t="str">
            <v>Nguyễn Ngọc Quỳnh.</v>
          </cell>
          <cell r="I195">
            <v>0</v>
          </cell>
          <cell r="J195">
            <v>19</v>
          </cell>
        </row>
        <row r="196">
          <cell r="H196" t="str">
            <v>Nguyễn Duy Hải</v>
          </cell>
          <cell r="I196">
            <v>0</v>
          </cell>
          <cell r="J196">
            <v>19</v>
          </cell>
        </row>
        <row r="197">
          <cell r="H197" t="str">
            <v>Bùi Anh Tuấn</v>
          </cell>
          <cell r="I197">
            <v>0</v>
          </cell>
          <cell r="J197">
            <v>19</v>
          </cell>
        </row>
        <row r="198">
          <cell r="H198" t="str">
            <v>Trần Thị Hương</v>
          </cell>
          <cell r="I198">
            <v>0</v>
          </cell>
          <cell r="J198">
            <v>19</v>
          </cell>
        </row>
        <row r="199">
          <cell r="H199" t="str">
            <v>Trần Minh Thông</v>
          </cell>
          <cell r="I199">
            <v>0</v>
          </cell>
          <cell r="J199">
            <v>19</v>
          </cell>
        </row>
        <row r="200">
          <cell r="H200" t="str">
            <v>Nguyễn Thanh Vĩnh Phúc</v>
          </cell>
          <cell r="I200">
            <v>0</v>
          </cell>
          <cell r="J200">
            <v>19</v>
          </cell>
        </row>
        <row r="201">
          <cell r="H201" t="str">
            <v>Dương Thị Hồng</v>
          </cell>
          <cell r="I201">
            <v>0</v>
          </cell>
          <cell r="J201">
            <v>19</v>
          </cell>
        </row>
        <row r="202">
          <cell r="H202" t="str">
            <v>Nguyễn Thanh Giang</v>
          </cell>
          <cell r="I202">
            <v>0</v>
          </cell>
          <cell r="J202">
            <v>19</v>
          </cell>
        </row>
        <row r="203">
          <cell r="H203" t="str">
            <v>Nguyễn Hồng Phúc</v>
          </cell>
          <cell r="I203">
            <v>0</v>
          </cell>
          <cell r="J203">
            <v>19</v>
          </cell>
        </row>
        <row r="204">
          <cell r="H204" t="str">
            <v>Nguyễn Văn Sơn</v>
          </cell>
          <cell r="I204">
            <v>0</v>
          </cell>
          <cell r="J204">
            <v>19</v>
          </cell>
        </row>
        <row r="205">
          <cell r="H205" t="str">
            <v>Nguyễn Khắc Huy</v>
          </cell>
          <cell r="I205">
            <v>0</v>
          </cell>
          <cell r="J205">
            <v>19</v>
          </cell>
        </row>
        <row r="206">
          <cell r="H206" t="str">
            <v>Võ Hoài Sơn</v>
          </cell>
          <cell r="I206">
            <v>0</v>
          </cell>
          <cell r="J206">
            <v>19</v>
          </cell>
        </row>
        <row r="207">
          <cell r="H207" t="str">
            <v>Nguyễn Thị Xuân Chinh</v>
          </cell>
          <cell r="I207">
            <v>0</v>
          </cell>
          <cell r="J207">
            <v>19</v>
          </cell>
        </row>
        <row r="208">
          <cell r="H208" t="str">
            <v>Nguyễn Duy Tân</v>
          </cell>
          <cell r="I208">
            <v>0</v>
          </cell>
          <cell r="J208">
            <v>19</v>
          </cell>
        </row>
        <row r="209">
          <cell r="H209" t="str">
            <v>Nguyễn Ngọc Hiệp</v>
          </cell>
          <cell r="I209">
            <v>0</v>
          </cell>
          <cell r="J209">
            <v>19</v>
          </cell>
        </row>
        <row r="210">
          <cell r="H210" t="str">
            <v>Tạ Minh Cường</v>
          </cell>
          <cell r="I210" t="str">
            <v>Khoa Điện-
Điện tử</v>
          </cell>
          <cell r="J210">
            <v>19</v>
          </cell>
        </row>
        <row r="211">
          <cell r="H211" t="str">
            <v>Phạm Minh Nghĩa</v>
          </cell>
          <cell r="I211">
            <v>0</v>
          </cell>
          <cell r="J211">
            <v>19</v>
          </cell>
        </row>
        <row r="212">
          <cell r="H212" t="str">
            <v>Nguyễn Văn Yên</v>
          </cell>
          <cell r="I212">
            <v>0</v>
          </cell>
          <cell r="J212">
            <v>19</v>
          </cell>
        </row>
        <row r="213">
          <cell r="H213" t="str">
            <v>Nguyễn Minh Đức</v>
          </cell>
          <cell r="I213">
            <v>0</v>
          </cell>
          <cell r="J213">
            <v>19</v>
          </cell>
        </row>
        <row r="214">
          <cell r="H214" t="str">
            <v>Nguyễn Anh Tăng</v>
          </cell>
          <cell r="I214">
            <v>0</v>
          </cell>
          <cell r="J214">
            <v>19</v>
          </cell>
        </row>
        <row r="215">
          <cell r="H215" t="str">
            <v>Lê Thế Huân</v>
          </cell>
          <cell r="I215">
            <v>0</v>
          </cell>
          <cell r="J215">
            <v>19</v>
          </cell>
        </row>
        <row r="216">
          <cell r="H216" t="str">
            <v>Trần Trung Hiếu</v>
          </cell>
          <cell r="I216">
            <v>0</v>
          </cell>
          <cell r="J216">
            <v>19</v>
          </cell>
        </row>
        <row r="217">
          <cell r="H217" t="str">
            <v>Trần Nguyên Bảo Trân</v>
          </cell>
          <cell r="I217">
            <v>0</v>
          </cell>
          <cell r="J217">
            <v>19</v>
          </cell>
        </row>
        <row r="218">
          <cell r="H218" t="str">
            <v>Mạnh Lê Hoàn</v>
          </cell>
          <cell r="I218">
            <v>0</v>
          </cell>
          <cell r="J218">
            <v>19</v>
          </cell>
        </row>
        <row r="219">
          <cell r="H219" t="str">
            <v>Ngô Hoàng Anh</v>
          </cell>
          <cell r="I219">
            <v>0</v>
          </cell>
          <cell r="J219">
            <v>19</v>
          </cell>
        </row>
        <row r="220">
          <cell r="H220" t="str">
            <v>Nguyễn Thùy Linh</v>
          </cell>
          <cell r="I220">
            <v>0</v>
          </cell>
          <cell r="J220">
            <v>19</v>
          </cell>
        </row>
        <row r="221">
          <cell r="H221" t="str">
            <v>Vũ Hạnh Chiêu</v>
          </cell>
          <cell r="I221">
            <v>0</v>
          </cell>
          <cell r="J221">
            <v>19</v>
          </cell>
        </row>
        <row r="222">
          <cell r="H222" t="str">
            <v>Đỗ Huỳnh Thanh Phong</v>
          </cell>
          <cell r="I222">
            <v>0</v>
          </cell>
          <cell r="J222">
            <v>19</v>
          </cell>
        </row>
        <row r="223">
          <cell r="H223" t="str">
            <v>Nguyễn Minh Đức Cường</v>
          </cell>
          <cell r="I223">
            <v>0</v>
          </cell>
          <cell r="J223">
            <v>19</v>
          </cell>
        </row>
        <row r="224">
          <cell r="H224" t="str">
            <v>Huỳnh Ngọc Mai</v>
          </cell>
          <cell r="I224">
            <v>0</v>
          </cell>
          <cell r="J224">
            <v>19</v>
          </cell>
        </row>
        <row r="225">
          <cell r="H225" t="str">
            <v>Nguyễn Hồng Đức</v>
          </cell>
          <cell r="I225">
            <v>0</v>
          </cell>
          <cell r="J225">
            <v>19</v>
          </cell>
        </row>
        <row r="226">
          <cell r="H226" t="str">
            <v>Trần Công Tiến</v>
          </cell>
          <cell r="I226">
            <v>0</v>
          </cell>
          <cell r="J226">
            <v>19</v>
          </cell>
        </row>
        <row r="227">
          <cell r="H227" t="str">
            <v>Nguyễn Trần Thanh Nhàn</v>
          </cell>
          <cell r="I227">
            <v>0</v>
          </cell>
          <cell r="J227">
            <v>19</v>
          </cell>
        </row>
        <row r="228">
          <cell r="H228" t="str">
            <v>Tăng Cẩm Huê</v>
          </cell>
          <cell r="I228">
            <v>0</v>
          </cell>
          <cell r="J228">
            <v>19</v>
          </cell>
        </row>
        <row r="229">
          <cell r="H229" t="str">
            <v>Trần Hiếu Trinh</v>
          </cell>
          <cell r="I229">
            <v>0</v>
          </cell>
          <cell r="J229">
            <v>19</v>
          </cell>
        </row>
        <row r="230">
          <cell r="H230" t="str">
            <v>Nguyễn Thị Tố Nga</v>
          </cell>
          <cell r="I230">
            <v>0</v>
          </cell>
          <cell r="J230">
            <v>19</v>
          </cell>
        </row>
        <row r="231">
          <cell r="H231" t="str">
            <v>Đặng Đức Minh</v>
          </cell>
          <cell r="I231">
            <v>0</v>
          </cell>
          <cell r="J231">
            <v>19</v>
          </cell>
        </row>
        <row r="232">
          <cell r="H232" t="str">
            <v>Nguyễn Thị Ngọc Hiền</v>
          </cell>
          <cell r="I232">
            <v>0</v>
          </cell>
          <cell r="J232">
            <v>19</v>
          </cell>
        </row>
        <row r="233">
          <cell r="H233" t="str">
            <v>Ngô Phong Cường</v>
          </cell>
          <cell r="I233">
            <v>0</v>
          </cell>
          <cell r="J233">
            <v>19</v>
          </cell>
        </row>
        <row r="234">
          <cell r="H234" t="str">
            <v>Cao Văn Tuấn</v>
          </cell>
          <cell r="I234">
            <v>0</v>
          </cell>
          <cell r="J234">
            <v>19</v>
          </cell>
        </row>
        <row r="235">
          <cell r="H235" t="str">
            <v>Trần Nam Anh</v>
          </cell>
          <cell r="I235">
            <v>0</v>
          </cell>
          <cell r="J235">
            <v>19</v>
          </cell>
        </row>
        <row r="236">
          <cell r="H236" t="str">
            <v>Trần Giang Nam</v>
          </cell>
          <cell r="I236">
            <v>0</v>
          </cell>
          <cell r="J236">
            <v>19</v>
          </cell>
        </row>
        <row r="237">
          <cell r="H237" t="str">
            <v>Phan Thanh Hoàng</v>
          </cell>
          <cell r="I237">
            <v>0</v>
          </cell>
          <cell r="J237">
            <v>19</v>
          </cell>
        </row>
        <row r="238">
          <cell r="H238" t="str">
            <v>Huỳnh Duy An</v>
          </cell>
          <cell r="I238">
            <v>0</v>
          </cell>
          <cell r="J238">
            <v>19</v>
          </cell>
        </row>
        <row r="239">
          <cell r="H239" t="str">
            <v>Nguyễn Khương Thành</v>
          </cell>
          <cell r="I239">
            <v>0</v>
          </cell>
          <cell r="J239">
            <v>19</v>
          </cell>
        </row>
        <row r="240">
          <cell r="H240" t="str">
            <v>Nguyễn Anh Tuấn</v>
          </cell>
          <cell r="I240" t="str">
            <v>Khoa Động Lực</v>
          </cell>
          <cell r="J240">
            <v>19</v>
          </cell>
        </row>
        <row r="241">
          <cell r="H241" t="str">
            <v>Võ Đắc Thịnh</v>
          </cell>
          <cell r="I241">
            <v>0</v>
          </cell>
          <cell r="J241">
            <v>19</v>
          </cell>
        </row>
        <row r="242">
          <cell r="H242" t="str">
            <v>Nguyễn Hữu Mạnh</v>
          </cell>
          <cell r="I242">
            <v>0</v>
          </cell>
          <cell r="J242">
            <v>19</v>
          </cell>
        </row>
        <row r="243">
          <cell r="H243" t="str">
            <v>Phan Anh Tuấn Kiệt</v>
          </cell>
          <cell r="I243">
            <v>0</v>
          </cell>
          <cell r="J243">
            <v>19</v>
          </cell>
        </row>
        <row r="244">
          <cell r="H244" t="str">
            <v>Triệu Phú Nguyên</v>
          </cell>
          <cell r="I244">
            <v>0</v>
          </cell>
          <cell r="J244">
            <v>19</v>
          </cell>
        </row>
        <row r="245">
          <cell r="H245" t="str">
            <v>Nguyễn Thành Đức</v>
          </cell>
          <cell r="I245">
            <v>0</v>
          </cell>
          <cell r="J245">
            <v>19</v>
          </cell>
        </row>
        <row r="246">
          <cell r="H246" t="str">
            <v>Nguyễn Minh Thái</v>
          </cell>
          <cell r="I246">
            <v>0</v>
          </cell>
          <cell r="J246">
            <v>19</v>
          </cell>
        </row>
        <row r="247">
          <cell r="H247" t="str">
            <v>Đặng Thái Sơn</v>
          </cell>
          <cell r="I247">
            <v>0</v>
          </cell>
          <cell r="J247">
            <v>19</v>
          </cell>
        </row>
        <row r="248">
          <cell r="H248" t="str">
            <v>Nguyễn Thái Bình</v>
          </cell>
          <cell r="I248">
            <v>0</v>
          </cell>
          <cell r="J248">
            <v>19</v>
          </cell>
        </row>
        <row r="249">
          <cell r="H249" t="str">
            <v>Kiều Trung Tín</v>
          </cell>
          <cell r="I249">
            <v>0</v>
          </cell>
          <cell r="J249">
            <v>19</v>
          </cell>
        </row>
        <row r="250">
          <cell r="H250" t="str">
            <v>Trần Quốc Duy</v>
          </cell>
          <cell r="I250">
            <v>0</v>
          </cell>
          <cell r="J250">
            <v>19</v>
          </cell>
        </row>
        <row r="251">
          <cell r="H251" t="str">
            <v>Hồ Văn Hóa</v>
          </cell>
          <cell r="I251">
            <v>0</v>
          </cell>
          <cell r="J251">
            <v>19</v>
          </cell>
        </row>
        <row r="252">
          <cell r="H252" t="str">
            <v>Nguyễn Thanh Hùng</v>
          </cell>
          <cell r="I252">
            <v>0</v>
          </cell>
          <cell r="J252">
            <v>19</v>
          </cell>
        </row>
        <row r="253">
          <cell r="H253" t="str">
            <v>Hà Quốc Bảo</v>
          </cell>
          <cell r="I253">
            <v>0</v>
          </cell>
          <cell r="J253">
            <v>19</v>
          </cell>
        </row>
        <row r="254">
          <cell r="H254" t="str">
            <v>Hoàng Phúc Bảo</v>
          </cell>
          <cell r="I254">
            <v>0</v>
          </cell>
          <cell r="J254">
            <v>19</v>
          </cell>
        </row>
        <row r="255">
          <cell r="H255" t="str">
            <v>Nguyễn Lương Tâm</v>
          </cell>
          <cell r="I255">
            <v>0</v>
          </cell>
          <cell r="J255">
            <v>19</v>
          </cell>
        </row>
        <row r="256">
          <cell r="H256" t="str">
            <v>Trần Thế Sơn</v>
          </cell>
          <cell r="I256">
            <v>0</v>
          </cell>
          <cell r="J256">
            <v>19</v>
          </cell>
        </row>
        <row r="257">
          <cell r="H257" t="str">
            <v>Trần Văn Đông</v>
          </cell>
          <cell r="I257">
            <v>0</v>
          </cell>
          <cell r="J257">
            <v>19</v>
          </cell>
        </row>
        <row r="258">
          <cell r="H258" t="str">
            <v>Lý Văn Trung</v>
          </cell>
          <cell r="I258">
            <v>0</v>
          </cell>
          <cell r="J258">
            <v>19</v>
          </cell>
        </row>
        <row r="259">
          <cell r="H259" t="str">
            <v>Nguyễn Hoàng Vinh</v>
          </cell>
          <cell r="I259">
            <v>0</v>
          </cell>
          <cell r="J259">
            <v>19</v>
          </cell>
        </row>
        <row r="260">
          <cell r="H260" t="str">
            <v>Bùi Trọng Tân</v>
          </cell>
          <cell r="I260">
            <v>0</v>
          </cell>
          <cell r="J260">
            <v>19</v>
          </cell>
        </row>
        <row r="261">
          <cell r="H261" t="str">
            <v>Giang Văn Tiến</v>
          </cell>
          <cell r="I261">
            <v>0</v>
          </cell>
          <cell r="J261">
            <v>19</v>
          </cell>
        </row>
        <row r="262">
          <cell r="H262" t="str">
            <v>Nguyễn Hữu Lương</v>
          </cell>
          <cell r="I262">
            <v>0</v>
          </cell>
          <cell r="J262">
            <v>19</v>
          </cell>
        </row>
        <row r="263">
          <cell r="H263" t="str">
            <v>Huỳnh Đình Văn</v>
          </cell>
          <cell r="I263">
            <v>0</v>
          </cell>
          <cell r="J263">
            <v>19</v>
          </cell>
        </row>
        <row r="264">
          <cell r="H264" t="str">
            <v>Phạm Quang Vũ</v>
          </cell>
          <cell r="I264" t="str">
            <v>Khoa Xây dựng - Nhiệt lạnh</v>
          </cell>
          <cell r="J264">
            <v>19</v>
          </cell>
        </row>
        <row r="265">
          <cell r="H265" t="str">
            <v>Trình Minh Phong</v>
          </cell>
          <cell r="I265">
            <v>0</v>
          </cell>
          <cell r="J265">
            <v>19</v>
          </cell>
        </row>
        <row r="266">
          <cell r="H266" t="str">
            <v>Trần Ngọc Tuấn</v>
          </cell>
          <cell r="I266">
            <v>0</v>
          </cell>
          <cell r="J266">
            <v>19</v>
          </cell>
        </row>
        <row r="267">
          <cell r="H267" t="str">
            <v>Đinh Đồng Hiệp</v>
          </cell>
          <cell r="I267">
            <v>0</v>
          </cell>
          <cell r="J267">
            <v>19</v>
          </cell>
        </row>
        <row r="268">
          <cell r="H268" t="str">
            <v>Đặng Thế Huân</v>
          </cell>
          <cell r="I268">
            <v>0</v>
          </cell>
          <cell r="J268">
            <v>19</v>
          </cell>
        </row>
        <row r="269">
          <cell r="H269" t="str">
            <v>Võ Anh Hào</v>
          </cell>
          <cell r="I269">
            <v>0</v>
          </cell>
          <cell r="J269">
            <v>19</v>
          </cell>
        </row>
        <row r="270">
          <cell r="H270" t="str">
            <v>Phan Văn Hòa</v>
          </cell>
          <cell r="I270">
            <v>0</v>
          </cell>
          <cell r="J270">
            <v>19</v>
          </cell>
        </row>
        <row r="271">
          <cell r="H271" t="str">
            <v>Trần Đình Khoa</v>
          </cell>
          <cell r="I271">
            <v>0</v>
          </cell>
          <cell r="J271">
            <v>19</v>
          </cell>
        </row>
        <row r="272">
          <cell r="H272" t="str">
            <v>Đỗ Trọng Quý</v>
          </cell>
          <cell r="I272">
            <v>0</v>
          </cell>
          <cell r="J272">
            <v>19</v>
          </cell>
        </row>
        <row r="273">
          <cell r="H273" t="str">
            <v>Nguyễn Vũ Xuân Thì</v>
          </cell>
          <cell r="I273">
            <v>0</v>
          </cell>
          <cell r="J273">
            <v>19</v>
          </cell>
        </row>
        <row r="274">
          <cell r="H274" t="str">
            <v>Hoàng Văn Viết</v>
          </cell>
          <cell r="I274">
            <v>0</v>
          </cell>
          <cell r="J274">
            <v>19</v>
          </cell>
        </row>
        <row r="275">
          <cell r="H275" t="str">
            <v>Nguyễn Thanh Dũng</v>
          </cell>
          <cell r="I275">
            <v>0</v>
          </cell>
          <cell r="J275">
            <v>19</v>
          </cell>
        </row>
      </sheetData>
      <sheetData sheetId="1"/>
      <sheetData sheetId="2">
        <row r="10">
          <cell r="H10" t="str">
            <v>Đồng Anh Tuấn</v>
          </cell>
          <cell r="I10" t="str">
            <v>P. TC-HC-TH</v>
          </cell>
          <cell r="J10">
            <v>24</v>
          </cell>
        </row>
        <row r="11">
          <cell r="H11" t="str">
            <v>Nguyễn Thanh Hiền</v>
          </cell>
          <cell r="I11">
            <v>0</v>
          </cell>
          <cell r="J11">
            <v>23</v>
          </cell>
        </row>
        <row r="12">
          <cell r="H12" t="str">
            <v>Lê Hồng Phúc</v>
          </cell>
          <cell r="I12">
            <v>0</v>
          </cell>
          <cell r="J12">
            <v>24</v>
          </cell>
        </row>
        <row r="13">
          <cell r="H13" t="str">
            <v>Phạm Hữu Tấn</v>
          </cell>
          <cell r="I13">
            <v>0</v>
          </cell>
          <cell r="J13">
            <v>24</v>
          </cell>
        </row>
        <row r="14">
          <cell r="H14" t="str">
            <v>Nguyễn Hữu Xuân Vũ</v>
          </cell>
          <cell r="I14">
            <v>0</v>
          </cell>
          <cell r="J14">
            <v>24</v>
          </cell>
        </row>
        <row r="15">
          <cell r="H15" t="str">
            <v>Phạm Hữu Thành Phú</v>
          </cell>
          <cell r="I15">
            <v>0</v>
          </cell>
          <cell r="J15">
            <v>24</v>
          </cell>
        </row>
        <row r="16">
          <cell r="H16" t="str">
            <v>Huỳnh Thanh Nhàn</v>
          </cell>
          <cell r="I16">
            <v>0</v>
          </cell>
          <cell r="J16">
            <v>23</v>
          </cell>
        </row>
        <row r="17">
          <cell r="H17" t="str">
            <v>Phạm Quang Tùng</v>
          </cell>
          <cell r="I17">
            <v>0</v>
          </cell>
          <cell r="J17">
            <v>23</v>
          </cell>
        </row>
        <row r="18">
          <cell r="H18" t="str">
            <v>Trần Thanh Cường</v>
          </cell>
          <cell r="I18">
            <v>0</v>
          </cell>
          <cell r="J18">
            <v>22</v>
          </cell>
        </row>
        <row r="19">
          <cell r="H19" t="str">
            <v>Dương Văn Tâm</v>
          </cell>
          <cell r="I19">
            <v>0</v>
          </cell>
          <cell r="J19">
            <v>24</v>
          </cell>
        </row>
        <row r="20">
          <cell r="H20" t="str">
            <v>Huỳnh Ngọc Liên</v>
          </cell>
          <cell r="I20">
            <v>0</v>
          </cell>
          <cell r="J20">
            <v>22</v>
          </cell>
        </row>
        <row r="21">
          <cell r="H21" t="str">
            <v>Huỳnh Thị Xuân Mai</v>
          </cell>
          <cell r="I21">
            <v>0</v>
          </cell>
          <cell r="J21">
            <v>21.5</v>
          </cell>
        </row>
        <row r="22">
          <cell r="H22" t="str">
            <v>Trần Văn Cu Anh</v>
          </cell>
          <cell r="I22">
            <v>0</v>
          </cell>
          <cell r="J22">
            <v>24</v>
          </cell>
        </row>
        <row r="23">
          <cell r="H23" t="str">
            <v>Vũ Anh Hiếu</v>
          </cell>
          <cell r="I23">
            <v>0</v>
          </cell>
          <cell r="J23">
            <v>23</v>
          </cell>
        </row>
        <row r="24">
          <cell r="H24" t="str">
            <v>Dương Thị Thủy</v>
          </cell>
          <cell r="I24" t="str">
            <v>P.QT-DV</v>
          </cell>
          <cell r="J24">
            <v>0</v>
          </cell>
        </row>
        <row r="25">
          <cell r="H25" t="str">
            <v>Tạ Quốc Tấn</v>
          </cell>
          <cell r="I25">
            <v>0</v>
          </cell>
          <cell r="J25">
            <v>23</v>
          </cell>
        </row>
        <row r="26">
          <cell r="H26" t="str">
            <v>Huỳnh Bá Triết</v>
          </cell>
          <cell r="I26">
            <v>0</v>
          </cell>
          <cell r="J26">
            <v>23</v>
          </cell>
        </row>
        <row r="27">
          <cell r="H27" t="str">
            <v>Giáp Đức Nhận</v>
          </cell>
          <cell r="I27">
            <v>0</v>
          </cell>
          <cell r="J27">
            <v>23</v>
          </cell>
        </row>
        <row r="28">
          <cell r="H28" t="str">
            <v>Trần Thị Thu</v>
          </cell>
          <cell r="I28">
            <v>0</v>
          </cell>
          <cell r="J28">
            <v>23</v>
          </cell>
        </row>
        <row r="29">
          <cell r="H29" t="str">
            <v>Đỗ Thị Bích Thủy</v>
          </cell>
          <cell r="I29">
            <v>0</v>
          </cell>
          <cell r="J29">
            <v>23</v>
          </cell>
        </row>
        <row r="30">
          <cell r="H30" t="str">
            <v>Trịnh Tuấn Vũ</v>
          </cell>
          <cell r="I30">
            <v>0</v>
          </cell>
          <cell r="J30">
            <v>23</v>
          </cell>
        </row>
        <row r="31">
          <cell r="H31" t="str">
            <v>Võ Thị Tuyết</v>
          </cell>
          <cell r="I31">
            <v>0</v>
          </cell>
          <cell r="J31">
            <v>23</v>
          </cell>
        </row>
        <row r="32">
          <cell r="H32" t="str">
            <v>Trần Kim Tươi</v>
          </cell>
          <cell r="I32">
            <v>0</v>
          </cell>
          <cell r="J32">
            <v>23</v>
          </cell>
        </row>
        <row r="33">
          <cell r="H33" t="str">
            <v>Trương Thị Định</v>
          </cell>
          <cell r="I33">
            <v>0</v>
          </cell>
          <cell r="J33">
            <v>23</v>
          </cell>
        </row>
        <row r="34">
          <cell r="H34" t="str">
            <v>Trương Thị Bắc</v>
          </cell>
          <cell r="I34">
            <v>0</v>
          </cell>
          <cell r="J34">
            <v>23</v>
          </cell>
        </row>
        <row r="35">
          <cell r="H35" t="str">
            <v>Võ Tấn Đức</v>
          </cell>
          <cell r="I35">
            <v>0</v>
          </cell>
          <cell r="J35">
            <v>23</v>
          </cell>
        </row>
        <row r="36">
          <cell r="H36" t="str">
            <v>Ngô Ngọc Của</v>
          </cell>
          <cell r="I36">
            <v>0</v>
          </cell>
          <cell r="J36">
            <v>23</v>
          </cell>
        </row>
        <row r="37">
          <cell r="H37" t="str">
            <v>Phạm Thị Hoàng Diễm</v>
          </cell>
          <cell r="I37">
            <v>0</v>
          </cell>
          <cell r="J37">
            <v>23</v>
          </cell>
        </row>
        <row r="38">
          <cell r="H38" t="str">
            <v>Nguyễn Văn Hiển</v>
          </cell>
          <cell r="I38">
            <v>0</v>
          </cell>
          <cell r="J38">
            <v>23</v>
          </cell>
        </row>
        <row r="39">
          <cell r="H39" t="str">
            <v>Trần Thanh Phương</v>
          </cell>
          <cell r="I39">
            <v>0</v>
          </cell>
          <cell r="J39">
            <v>23</v>
          </cell>
        </row>
        <row r="40">
          <cell r="H40" t="str">
            <v>Lâm Võ Hữu Duy</v>
          </cell>
          <cell r="I40">
            <v>0</v>
          </cell>
          <cell r="J40">
            <v>23</v>
          </cell>
        </row>
        <row r="41">
          <cell r="H41" t="str">
            <v>Võ Lạc Tân</v>
          </cell>
          <cell r="I41">
            <v>0</v>
          </cell>
          <cell r="J41">
            <v>24</v>
          </cell>
        </row>
        <row r="42">
          <cell r="H42" t="str">
            <v>Lê Thị Huyền</v>
          </cell>
          <cell r="I42" t="str">
            <v>Trạm Y tế</v>
          </cell>
          <cell r="J42">
            <v>23</v>
          </cell>
        </row>
        <row r="43">
          <cell r="H43" t="str">
            <v>Trần Thị Thảo Vân</v>
          </cell>
          <cell r="I43" t="str">
            <v xml:space="preserve">Phòng KH - TC </v>
          </cell>
          <cell r="J43">
            <v>24</v>
          </cell>
        </row>
        <row r="44">
          <cell r="H44" t="str">
            <v>Huỳnh Như Ý</v>
          </cell>
          <cell r="I44">
            <v>0</v>
          </cell>
          <cell r="J44">
            <v>23</v>
          </cell>
        </row>
        <row r="45">
          <cell r="H45" t="str">
            <v>Nguyễn Chiến Thắng</v>
          </cell>
          <cell r="I45">
            <v>0</v>
          </cell>
          <cell r="J45">
            <v>25</v>
          </cell>
        </row>
        <row r="46">
          <cell r="H46" t="str">
            <v>Huỳnh Văn Hiếu</v>
          </cell>
          <cell r="I46" t="str">
            <v>Phòng TTGD - QHDN</v>
          </cell>
          <cell r="J46">
            <v>23</v>
          </cell>
        </row>
        <row r="47">
          <cell r="H47" t="str">
            <v>Trần Anh Mỹ</v>
          </cell>
          <cell r="I47">
            <v>0</v>
          </cell>
          <cell r="J47">
            <v>23</v>
          </cell>
        </row>
        <row r="48">
          <cell r="H48" t="str">
            <v>Nguyễn Trung Dũng</v>
          </cell>
          <cell r="I48">
            <v>0</v>
          </cell>
          <cell r="J48">
            <v>23</v>
          </cell>
        </row>
        <row r="49">
          <cell r="H49" t="str">
            <v>Phạm Huy Hoàng</v>
          </cell>
          <cell r="I49">
            <v>0</v>
          </cell>
          <cell r="J49">
            <v>23</v>
          </cell>
        </row>
        <row r="50">
          <cell r="H50" t="str">
            <v>Bùi Đức Phước</v>
          </cell>
          <cell r="I50">
            <v>0</v>
          </cell>
          <cell r="J50">
            <v>22</v>
          </cell>
        </row>
        <row r="51">
          <cell r="H51" t="str">
            <v>Nguyễn Thị Thảo</v>
          </cell>
          <cell r="I51">
            <v>0</v>
          </cell>
          <cell r="J51">
            <v>22</v>
          </cell>
        </row>
        <row r="52">
          <cell r="H52" t="str">
            <v>Lưu Hoàng Bảo Châu</v>
          </cell>
          <cell r="I52">
            <v>0</v>
          </cell>
          <cell r="J52">
            <v>23</v>
          </cell>
        </row>
        <row r="53">
          <cell r="H53" t="str">
            <v>Trần Việt Anh</v>
          </cell>
          <cell r="I53">
            <v>0</v>
          </cell>
          <cell r="J53">
            <v>23</v>
          </cell>
        </row>
        <row r="54">
          <cell r="H54" t="str">
            <v>Phạm Huỳnh Kim Ngân</v>
          </cell>
          <cell r="I54" t="str">
            <v>TT Điều hành và QL dữ liệu</v>
          </cell>
          <cell r="J54">
            <v>20</v>
          </cell>
        </row>
        <row r="55">
          <cell r="H55" t="str">
            <v>Nguyễn Đan Trường</v>
          </cell>
          <cell r="I55">
            <v>0</v>
          </cell>
          <cell r="J55">
            <v>23</v>
          </cell>
        </row>
        <row r="56">
          <cell r="H56" t="str">
            <v>Lương Công Phi</v>
          </cell>
          <cell r="I56">
            <v>0</v>
          </cell>
          <cell r="J56">
            <v>22</v>
          </cell>
        </row>
        <row r="57">
          <cell r="H57" t="str">
            <v>Nguyễn Yến Nhi</v>
          </cell>
          <cell r="I57" t="str">
            <v>Phòng Khảo thí và Đảm bảo CL</v>
          </cell>
          <cell r="J57">
            <v>4</v>
          </cell>
        </row>
        <row r="58">
          <cell r="H58" t="str">
            <v>Nguyễn Khắc Huân</v>
          </cell>
          <cell r="I58" t="str">
            <v>Khoa Động lực</v>
          </cell>
          <cell r="J58">
            <v>23</v>
          </cell>
        </row>
        <row r="59">
          <cell r="H59" t="str">
            <v>Nguyễn Thị Trang</v>
          </cell>
          <cell r="I59" t="str">
            <v>TT. Thư viện</v>
          </cell>
          <cell r="J59">
            <v>23</v>
          </cell>
        </row>
        <row r="60">
          <cell r="H60" t="str">
            <v>Lư Diễm Phúc</v>
          </cell>
          <cell r="I60">
            <v>0</v>
          </cell>
          <cell r="J60">
            <v>22.5</v>
          </cell>
        </row>
        <row r="61">
          <cell r="H61" t="str">
            <v>Hà Thị Hậu</v>
          </cell>
          <cell r="I61">
            <v>0</v>
          </cell>
          <cell r="J61">
            <v>23</v>
          </cell>
        </row>
        <row r="62">
          <cell r="H62" t="str">
            <v>Lê Tiến Dũng</v>
          </cell>
          <cell r="I62" t="str">
            <v>P. KHCN và QHQT</v>
          </cell>
          <cell r="J62">
            <v>23</v>
          </cell>
        </row>
        <row r="63">
          <cell r="H63" t="str">
            <v>Lê Trần Thanh Nga</v>
          </cell>
          <cell r="I63">
            <v>0</v>
          </cell>
          <cell r="J63">
            <v>22</v>
          </cell>
        </row>
        <row r="64">
          <cell r="H64" t="str">
            <v>Nguyễn Việt Tiến</v>
          </cell>
          <cell r="I64" t="str">
            <v xml:space="preserve">P. Tuyển sinh - Đào tạo </v>
          </cell>
          <cell r="J64">
            <v>23</v>
          </cell>
        </row>
        <row r="65">
          <cell r="H65" t="str">
            <v>Nguyễn Thị Tất</v>
          </cell>
          <cell r="I65">
            <v>0</v>
          </cell>
          <cell r="J65">
            <v>23</v>
          </cell>
        </row>
        <row r="66">
          <cell r="H66" t="str">
            <v>Sỹ Thị Chung</v>
          </cell>
          <cell r="I66">
            <v>0</v>
          </cell>
          <cell r="J66">
            <v>24</v>
          </cell>
        </row>
        <row r="67">
          <cell r="H67" t="str">
            <v>Nguyễn Thị Nhung</v>
          </cell>
          <cell r="I67">
            <v>0</v>
          </cell>
          <cell r="J67">
            <v>22</v>
          </cell>
        </row>
        <row r="68">
          <cell r="H68" t="str">
            <v>Trần Nhật Thịnh</v>
          </cell>
          <cell r="I68">
            <v>0</v>
          </cell>
          <cell r="J68">
            <v>23</v>
          </cell>
        </row>
        <row r="69">
          <cell r="H69" t="str">
            <v>Võ Thị Mỹ Ngọc</v>
          </cell>
          <cell r="I69">
            <v>0</v>
          </cell>
          <cell r="J69">
            <v>22</v>
          </cell>
        </row>
        <row r="70">
          <cell r="H70" t="str">
            <v>Đỗ Công Thành</v>
          </cell>
          <cell r="I70" t="str">
            <v>TT Đào tạo và QLTB</v>
          </cell>
          <cell r="J70">
            <v>27</v>
          </cell>
        </row>
        <row r="71">
          <cell r="H71" t="str">
            <v>Lương Thị Thắm</v>
          </cell>
          <cell r="I71">
            <v>0</v>
          </cell>
          <cell r="J71">
            <v>24</v>
          </cell>
        </row>
        <row r="72">
          <cell r="H72" t="str">
            <v>Nguyễn Xuân Lợi</v>
          </cell>
          <cell r="I72">
            <v>0</v>
          </cell>
          <cell r="J72">
            <v>24</v>
          </cell>
        </row>
        <row r="73">
          <cell r="H73" t="str">
            <v>Nguyễn Hoàng Hải</v>
          </cell>
          <cell r="I73">
            <v>0</v>
          </cell>
          <cell r="J73">
            <v>24</v>
          </cell>
        </row>
        <row r="74">
          <cell r="H74">
            <v>0</v>
          </cell>
          <cell r="I74">
            <v>0</v>
          </cell>
          <cell r="J74">
            <v>1436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A4</v>
          </cell>
          <cell r="E34" t="str">
            <v>A4</v>
          </cell>
        </row>
        <row r="35">
          <cell r="B35" t="str">
            <v>Giáp Thị Vượng</v>
          </cell>
          <cell r="C35" t="str">
            <v>01004009</v>
          </cell>
          <cell r="D35" t="str">
            <v>A3</v>
          </cell>
          <cell r="E35" t="str">
            <v>A3</v>
          </cell>
        </row>
        <row r="36">
          <cell r="B36" t="str">
            <v>Thái Thị My Sa</v>
          </cell>
          <cell r="C36" t="str">
            <v>01002020</v>
          </cell>
          <cell r="D36" t="str">
            <v>A4</v>
          </cell>
          <cell r="E36" t="str">
            <v>A4</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A2</v>
          </cell>
          <cell r="E50" t="str">
            <v>A2</v>
          </cell>
        </row>
        <row r="51">
          <cell r="B51" t="str">
            <v>Vũ Như Quỳnh</v>
          </cell>
          <cell r="C51" t="str">
            <v>01002017</v>
          </cell>
          <cell r="D51" t="str">
            <v>A3</v>
          </cell>
          <cell r="E51" t="str">
            <v>A3</v>
          </cell>
        </row>
        <row r="52">
          <cell r="B52" t="str">
            <v>Phan Thị Ngọc Phượng</v>
          </cell>
          <cell r="C52" t="str">
            <v>01002018</v>
          </cell>
          <cell r="D52" t="str">
            <v>A2</v>
          </cell>
          <cell r="E52" t="str">
            <v>A2</v>
          </cell>
        </row>
        <row r="53">
          <cell r="B53" t="str">
            <v>Nguyễn Thị Bích Liễu</v>
          </cell>
          <cell r="C53" t="str">
            <v>01002005</v>
          </cell>
          <cell r="D53" t="str">
            <v>A3</v>
          </cell>
          <cell r="E53" t="str">
            <v>A3</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A4</v>
          </cell>
          <cell r="E57" t="str">
            <v>A4</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A4</v>
          </cell>
          <cell r="E61" t="str">
            <v>A3</v>
          </cell>
        </row>
        <row r="62">
          <cell r="B62" t="str">
            <v>Trần Văn Cu Anh</v>
          </cell>
          <cell r="C62" t="str">
            <v>01002007</v>
          </cell>
          <cell r="D62" t="str">
            <v>A3</v>
          </cell>
          <cell r="E62" t="str">
            <v>A3</v>
          </cell>
        </row>
        <row r="63">
          <cell r="B63" t="str">
            <v>Nguyễn Hữu Xuân Vũ</v>
          </cell>
          <cell r="C63" t="str">
            <v>01002010</v>
          </cell>
          <cell r="D63" t="str">
            <v>B1</v>
          </cell>
          <cell r="E63" t="str">
            <v>A4</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A3</v>
          </cell>
        </row>
        <row r="78">
          <cell r="B78" t="str">
            <v>Lê Xuân Thiện</v>
          </cell>
          <cell r="C78" t="str">
            <v>01002002</v>
          </cell>
          <cell r="D78" t="str">
            <v>A2</v>
          </cell>
          <cell r="E78" t="str">
            <v>A2</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A3</v>
          </cell>
          <cell r="E81" t="str">
            <v>A3</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A4</v>
          </cell>
          <cell r="E87" t="str">
            <v>A4</v>
          </cell>
        </row>
        <row r="88">
          <cell r="B88" t="str">
            <v>Phạm Huy Hoàng</v>
          </cell>
          <cell r="C88" t="str">
            <v>01009011</v>
          </cell>
          <cell r="D88" t="str">
            <v>A4</v>
          </cell>
          <cell r="E88" t="str">
            <v>A4</v>
          </cell>
        </row>
        <row r="89">
          <cell r="B89" t="str">
            <v>Trần Anh Mỹ</v>
          </cell>
          <cell r="C89" t="str">
            <v>01009028</v>
          </cell>
          <cell r="D89" t="str">
            <v>A4</v>
          </cell>
          <cell r="E89" t="str">
            <v>A4</v>
          </cell>
        </row>
        <row r="90">
          <cell r="B90" t="str">
            <v>Bùi Đức Phước</v>
          </cell>
          <cell r="C90" t="str">
            <v>01009026</v>
          </cell>
          <cell r="D90" t="str">
            <v>A4</v>
          </cell>
          <cell r="E90" t="str">
            <v>A3</v>
          </cell>
        </row>
        <row r="91">
          <cell r="B91" t="str">
            <v>Nguyễn Thị Thảo</v>
          </cell>
          <cell r="C91" t="str">
            <v>01007003</v>
          </cell>
          <cell r="D91" t="str">
            <v>A4</v>
          </cell>
          <cell r="E91" t="str">
            <v>A4</v>
          </cell>
        </row>
        <row r="92">
          <cell r="B92" t="str">
            <v>Lưu Hoàng Bảo Châu</v>
          </cell>
          <cell r="C92" t="str">
            <v>01009029</v>
          </cell>
          <cell r="D92" t="str">
            <v>A3</v>
          </cell>
          <cell r="E92" t="str">
            <v>A3</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A3</v>
          </cell>
          <cell r="E101" t="str">
            <v>A3</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A1</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A4</v>
          </cell>
          <cell r="E110" t="str">
            <v>A4</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A4</v>
          </cell>
          <cell r="E117" t="str">
            <v>A3</v>
          </cell>
        </row>
        <row r="118">
          <cell r="B118" t="str">
            <v>Giáp Văn Thịnh</v>
          </cell>
          <cell r="C118" t="str">
            <v>01008008</v>
          </cell>
          <cell r="D118" t="str">
            <v>A3</v>
          </cell>
          <cell r="E118" t="str">
            <v>A3</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A4</v>
          </cell>
          <cell r="E122" t="str">
            <v>A4</v>
          </cell>
        </row>
        <row r="123">
          <cell r="B123" t="str">
            <v>Hợp đồng trường</v>
          </cell>
          <cell r="C123">
            <v>0</v>
          </cell>
          <cell r="D123">
            <v>0</v>
          </cell>
          <cell r="E123">
            <v>18</v>
          </cell>
        </row>
        <row r="124">
          <cell r="B124" t="str">
            <v>Trần Thị Thu</v>
          </cell>
          <cell r="C124" t="str">
            <v>01008021</v>
          </cell>
          <cell r="D124" t="str">
            <v>A4</v>
          </cell>
          <cell r="E124" t="str">
            <v>A4</v>
          </cell>
        </row>
        <row r="125">
          <cell r="B125" t="str">
            <v>Dương Thị Thủy</v>
          </cell>
          <cell r="C125" t="str">
            <v>01008009</v>
          </cell>
          <cell r="D125" t="str">
            <v>A2</v>
          </cell>
          <cell r="E125" t="str">
            <v>A2</v>
          </cell>
        </row>
        <row r="126">
          <cell r="B126" t="str">
            <v>Đỗ Thị Bích Thủy</v>
          </cell>
          <cell r="C126" t="str">
            <v>01008031</v>
          </cell>
          <cell r="D126" t="str">
            <v>A4</v>
          </cell>
          <cell r="E126" t="str">
            <v>A4</v>
          </cell>
        </row>
        <row r="127">
          <cell r="B127" t="str">
            <v>Trần Kim Tươi</v>
          </cell>
          <cell r="C127" t="str">
            <v>01008039</v>
          </cell>
          <cell r="D127" t="str">
            <v>A4</v>
          </cell>
          <cell r="E127" t="str">
            <v>A4</v>
          </cell>
        </row>
        <row r="128">
          <cell r="B128" t="str">
            <v>Trương Thị Bắc</v>
          </cell>
          <cell r="C128" t="str">
            <v>01008040</v>
          </cell>
          <cell r="D128" t="str">
            <v>A4</v>
          </cell>
          <cell r="E128" t="str">
            <v>A4</v>
          </cell>
        </row>
        <row r="129">
          <cell r="B129" t="str">
            <v>Trương Thị Định</v>
          </cell>
          <cell r="C129" t="str">
            <v>01008041</v>
          </cell>
          <cell r="D129" t="str">
            <v>A4</v>
          </cell>
          <cell r="E129" t="str">
            <v>A4</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A2</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A4</v>
          </cell>
          <cell r="E139" t="str">
            <v>A4</v>
          </cell>
        </row>
        <row r="140">
          <cell r="B140" t="str">
            <v>Lâm Võ Hữu Duy</v>
          </cell>
          <cell r="C140" t="str">
            <v>01008050</v>
          </cell>
          <cell r="D140" t="str">
            <v>A3</v>
          </cell>
          <cell r="E140" t="str">
            <v>A1</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A4</v>
          </cell>
          <cell r="E144" t="str">
            <v>A4</v>
          </cell>
        </row>
        <row r="145">
          <cell r="B145" t="str">
            <v>Phạm Thị Thu Nga</v>
          </cell>
          <cell r="C145" t="str">
            <v>01010007</v>
          </cell>
          <cell r="D145" t="str">
            <v>A3</v>
          </cell>
          <cell r="E145" t="str">
            <v>A4</v>
          </cell>
        </row>
        <row r="146">
          <cell r="B146" t="str">
            <v>Nguyễn Văn Hậu</v>
          </cell>
          <cell r="C146" t="str">
            <v>01010033</v>
          </cell>
          <cell r="D146" t="str">
            <v>A4</v>
          </cell>
          <cell r="E146" t="str">
            <v>A4</v>
          </cell>
        </row>
        <row r="147">
          <cell r="B147" t="str">
            <v>Dương Đức Kiên</v>
          </cell>
          <cell r="C147" t="str">
            <v>01010037</v>
          </cell>
          <cell r="D147" t="str">
            <v>A4</v>
          </cell>
          <cell r="E147" t="str">
            <v>A4</v>
          </cell>
        </row>
        <row r="148">
          <cell r="B148" t="str">
            <v>Hà Như Mai</v>
          </cell>
          <cell r="C148" t="str">
            <v>01010031</v>
          </cell>
          <cell r="D148" t="str">
            <v>A4</v>
          </cell>
          <cell r="E148" t="str">
            <v>A4</v>
          </cell>
        </row>
        <row r="149">
          <cell r="B149" t="str">
            <v>Nguyễn Thị Cẩm Thạch</v>
          </cell>
          <cell r="C149" t="str">
            <v>01010016</v>
          </cell>
          <cell r="D149" t="str">
            <v>A4</v>
          </cell>
          <cell r="E149" t="str">
            <v>A4</v>
          </cell>
        </row>
        <row r="150">
          <cell r="B150" t="str">
            <v>Nguyễn Thị Thủy</v>
          </cell>
          <cell r="C150" t="str">
            <v>01010028</v>
          </cell>
          <cell r="D150" t="str">
            <v>A4</v>
          </cell>
          <cell r="E150" t="str">
            <v>A4</v>
          </cell>
        </row>
        <row r="151">
          <cell r="B151" t="str">
            <v>Nguyễn Văn Đông</v>
          </cell>
          <cell r="C151" t="str">
            <v>01010017</v>
          </cell>
          <cell r="D151" t="str">
            <v>A4</v>
          </cell>
          <cell r="E151" t="str">
            <v>A4</v>
          </cell>
        </row>
        <row r="152">
          <cell r="B152" t="str">
            <v>Nguyễn Thanh Tú</v>
          </cell>
          <cell r="C152" t="str">
            <v>01010012</v>
          </cell>
          <cell r="D152" t="str">
            <v>A3</v>
          </cell>
          <cell r="E152" t="str">
            <v>A4</v>
          </cell>
        </row>
        <row r="153">
          <cell r="B153" t="str">
            <v>Trần Thị Ánh Tuyết</v>
          </cell>
          <cell r="C153" t="str">
            <v>01010029</v>
          </cell>
          <cell r="D153" t="str">
            <v>A3</v>
          </cell>
          <cell r="E153" t="str">
            <v>A4</v>
          </cell>
        </row>
        <row r="154">
          <cell r="B154" t="str">
            <v>Đặng Thị Kiến Trúc</v>
          </cell>
          <cell r="C154" t="str">
            <v>01010024</v>
          </cell>
          <cell r="D154" t="str">
            <v>A4</v>
          </cell>
          <cell r="E154" t="str">
            <v>A4</v>
          </cell>
        </row>
        <row r="155">
          <cell r="B155" t="str">
            <v>Lê Văn Bình</v>
          </cell>
          <cell r="C155" t="str">
            <v>01004012</v>
          </cell>
          <cell r="D155" t="str">
            <v>A4</v>
          </cell>
          <cell r="E155" t="str">
            <v>A4</v>
          </cell>
        </row>
        <row r="156">
          <cell r="B156" t="str">
            <v>Nguyễn Phương Hà</v>
          </cell>
          <cell r="C156" t="str">
            <v>01010023</v>
          </cell>
          <cell r="D156" t="str">
            <v>A4</v>
          </cell>
          <cell r="E156" t="str">
            <v>A4</v>
          </cell>
        </row>
        <row r="157">
          <cell r="B157" t="str">
            <v>Lê Minh Phong</v>
          </cell>
          <cell r="C157" t="str">
            <v>01022048</v>
          </cell>
          <cell r="D157" t="str">
            <v>A4</v>
          </cell>
          <cell r="E157" t="str">
            <v>A4</v>
          </cell>
        </row>
        <row r="158">
          <cell r="B158" t="str">
            <v>Nguyễn Thị Huyền Nga</v>
          </cell>
          <cell r="C158" t="str">
            <v>01010006</v>
          </cell>
          <cell r="D158" t="str">
            <v>A3</v>
          </cell>
          <cell r="E158" t="str">
            <v>A4</v>
          </cell>
        </row>
        <row r="159">
          <cell r="B159" t="str">
            <v>Trịnh Khắc Vũ</v>
          </cell>
          <cell r="C159" t="str">
            <v>01010026</v>
          </cell>
          <cell r="D159" t="str">
            <v>A4</v>
          </cell>
          <cell r="E159" t="str">
            <v>A4</v>
          </cell>
        </row>
        <row r="160">
          <cell r="B160" t="str">
            <v>Lê Thái Hùng</v>
          </cell>
          <cell r="C160" t="str">
            <v>01010021</v>
          </cell>
          <cell r="D160" t="str">
            <v>A3</v>
          </cell>
          <cell r="E160" t="str">
            <v>A3</v>
          </cell>
        </row>
        <row r="161">
          <cell r="B161" t="str">
            <v>Giang Phi Hùng</v>
          </cell>
          <cell r="C161" t="str">
            <v>01010030</v>
          </cell>
          <cell r="D161" t="str">
            <v>A3</v>
          </cell>
          <cell r="E161" t="str">
            <v>A1</v>
          </cell>
        </row>
        <row r="162">
          <cell r="B162" t="str">
            <v>Ngô Thanh Điền</v>
          </cell>
          <cell r="C162" t="str">
            <v>01022005</v>
          </cell>
          <cell r="D162" t="str">
            <v>A3</v>
          </cell>
          <cell r="E162" t="str">
            <v>A2</v>
          </cell>
        </row>
        <row r="163">
          <cell r="B163" t="str">
            <v>Nguyễn Phú Tân</v>
          </cell>
          <cell r="C163" t="str">
            <v>01010022</v>
          </cell>
          <cell r="D163" t="str">
            <v>A3</v>
          </cell>
          <cell r="E163" t="str">
            <v>A3</v>
          </cell>
        </row>
        <row r="164">
          <cell r="B164" t="str">
            <v>Nguyễn Mạnh Phương</v>
          </cell>
          <cell r="C164" t="str">
            <v>01010032</v>
          </cell>
          <cell r="D164" t="str">
            <v>A3</v>
          </cell>
          <cell r="E164" t="str">
            <v>A3</v>
          </cell>
        </row>
        <row r="165">
          <cell r="B165" t="str">
            <v>KHOA NGOẠI NGỮ</v>
          </cell>
          <cell r="C165">
            <v>0</v>
          </cell>
          <cell r="D165">
            <v>0</v>
          </cell>
          <cell r="E165">
            <v>14</v>
          </cell>
        </row>
        <row r="166">
          <cell r="B166" t="str">
            <v>Viên chức</v>
          </cell>
          <cell r="C166">
            <v>0</v>
          </cell>
          <cell r="D166">
            <v>0</v>
          </cell>
          <cell r="E166">
            <v>14</v>
          </cell>
        </row>
        <row r="167">
          <cell r="B167" t="str">
            <v>Nguyễn Thị Thu Hà</v>
          </cell>
          <cell r="C167" t="str">
            <v>01010039</v>
          </cell>
          <cell r="D167" t="str">
            <v>A2</v>
          </cell>
          <cell r="E167" t="str">
            <v>A2</v>
          </cell>
        </row>
        <row r="168">
          <cell r="B168" t="str">
            <v>Phạm Thị Thu Hiền</v>
          </cell>
          <cell r="C168" t="str">
            <v>01010040</v>
          </cell>
          <cell r="D168" t="str">
            <v>A3</v>
          </cell>
          <cell r="E168" t="str">
            <v>A3</v>
          </cell>
        </row>
        <row r="169">
          <cell r="B169" t="str">
            <v>Lê Nguyễn Mỹ Trâm</v>
          </cell>
          <cell r="C169" t="str">
            <v>01010009</v>
          </cell>
          <cell r="D169" t="str">
            <v>A4</v>
          </cell>
          <cell r="E169" t="str">
            <v>A4</v>
          </cell>
        </row>
        <row r="170">
          <cell r="B170" t="str">
            <v>Nguyễn Thị Bảo Trân</v>
          </cell>
          <cell r="C170" t="str">
            <v>01010020</v>
          </cell>
          <cell r="D170" t="str">
            <v>A4</v>
          </cell>
          <cell r="E170" t="str">
            <v>A4</v>
          </cell>
        </row>
        <row r="171">
          <cell r="B171" t="str">
            <v>Vương Thanh Thủy</v>
          </cell>
          <cell r="C171" t="str">
            <v>01010018</v>
          </cell>
          <cell r="D171" t="str">
            <v>A4</v>
          </cell>
          <cell r="E171" t="str">
            <v>A4</v>
          </cell>
        </row>
        <row r="172">
          <cell r="B172" t="str">
            <v>Nguyễn Thị Thu Tâm</v>
          </cell>
          <cell r="C172" t="str">
            <v>01010019</v>
          </cell>
          <cell r="D172" t="str">
            <v>A4</v>
          </cell>
          <cell r="E172" t="str">
            <v>A4</v>
          </cell>
        </row>
        <row r="173">
          <cell r="B173" t="str">
            <v>Võ Thị Hồng Lan</v>
          </cell>
          <cell r="C173" t="str">
            <v>01010015</v>
          </cell>
          <cell r="D173" t="str">
            <v>A4</v>
          </cell>
          <cell r="E173" t="str">
            <v>A4</v>
          </cell>
        </row>
        <row r="174">
          <cell r="B174" t="str">
            <v>Nguyễn Thị Thanh Tú</v>
          </cell>
          <cell r="C174" t="str">
            <v>01010027</v>
          </cell>
          <cell r="D174" t="str">
            <v>A4</v>
          </cell>
          <cell r="E174" t="str">
            <v>A4</v>
          </cell>
        </row>
        <row r="175">
          <cell r="B175" t="str">
            <v>Trần Thanh Trúc</v>
          </cell>
          <cell r="C175" t="str">
            <v>01002025</v>
          </cell>
          <cell r="D175" t="str">
            <v>A3</v>
          </cell>
          <cell r="E175" t="str">
            <v>A3</v>
          </cell>
        </row>
        <row r="176">
          <cell r="B176" t="str">
            <v>Nguyễn Thiện Bình</v>
          </cell>
          <cell r="C176" t="str">
            <v>01010162</v>
          </cell>
          <cell r="D176" t="str">
            <v>A4</v>
          </cell>
          <cell r="E176" t="str">
            <v>A4</v>
          </cell>
        </row>
        <row r="177">
          <cell r="B177" t="str">
            <v>Lâm Thị Phương Thảo</v>
          </cell>
          <cell r="C177" t="str">
            <v>01010141</v>
          </cell>
          <cell r="D177" t="str">
            <v>A3</v>
          </cell>
          <cell r="E177" t="str">
            <v>A3</v>
          </cell>
        </row>
        <row r="178">
          <cell r="B178" t="str">
            <v>Trần Hà Trang</v>
          </cell>
          <cell r="C178" t="str">
            <v>01010254</v>
          </cell>
          <cell r="D178" t="str">
            <v>A3</v>
          </cell>
          <cell r="E178" t="str">
            <v>A3</v>
          </cell>
        </row>
        <row r="179">
          <cell r="B179" t="str">
            <v>Lê Thu Hà</v>
          </cell>
          <cell r="C179" t="str">
            <v>01010260</v>
          </cell>
          <cell r="D179" t="str">
            <v>A DN</v>
          </cell>
          <cell r="E179" t="str">
            <v>A DN</v>
          </cell>
        </row>
        <row r="180">
          <cell r="B180" t="str">
            <v>Ôn Thị Ngọc Thảo</v>
          </cell>
          <cell r="C180" t="str">
            <v>01010288</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A3</v>
          </cell>
          <cell r="E183" t="str">
            <v>A4</v>
          </cell>
        </row>
        <row r="184">
          <cell r="B184" t="str">
            <v>Nguyễn Ngọc Quỳnh</v>
          </cell>
          <cell r="C184" t="str">
            <v>01011012</v>
          </cell>
          <cell r="D184" t="str">
            <v>A4</v>
          </cell>
          <cell r="E184" t="str">
            <v>A4</v>
          </cell>
        </row>
        <row r="185">
          <cell r="B185" t="str">
            <v>Nguyễn Thị Dinh</v>
          </cell>
          <cell r="C185" t="str">
            <v>01011005</v>
          </cell>
          <cell r="D185" t="str">
            <v>A4</v>
          </cell>
          <cell r="E185" t="str">
            <v>A4</v>
          </cell>
        </row>
        <row r="186">
          <cell r="B186" t="str">
            <v>Bùi Thành Dũng</v>
          </cell>
          <cell r="C186" t="str">
            <v>01011011</v>
          </cell>
          <cell r="D186" t="str">
            <v>A3</v>
          </cell>
          <cell r="E186" t="str">
            <v>A4</v>
          </cell>
        </row>
        <row r="187">
          <cell r="B187" t="str">
            <v>Lê Thị Mai Hường</v>
          </cell>
          <cell r="C187" t="str">
            <v>01011013</v>
          </cell>
          <cell r="D187" t="str">
            <v>A4</v>
          </cell>
          <cell r="E187" t="str">
            <v>A4</v>
          </cell>
        </row>
        <row r="188">
          <cell r="B188" t="str">
            <v>Đinh Thị Huyên</v>
          </cell>
          <cell r="C188" t="str">
            <v>01011009</v>
          </cell>
          <cell r="D188" t="str">
            <v>A3</v>
          </cell>
          <cell r="E188" t="str">
            <v>A4</v>
          </cell>
        </row>
        <row r="189">
          <cell r="B189" t="str">
            <v>Nguyễn Anh Kiệt</v>
          </cell>
          <cell r="C189" t="str">
            <v>01011001</v>
          </cell>
          <cell r="D189" t="str">
            <v>A4</v>
          </cell>
          <cell r="E189" t="str">
            <v>A4</v>
          </cell>
        </row>
        <row r="190">
          <cell r="B190" t="str">
            <v>Trần Văn Lượng</v>
          </cell>
          <cell r="C190" t="str">
            <v>01011014</v>
          </cell>
          <cell r="D190" t="str">
            <v>A4</v>
          </cell>
          <cell r="E190" t="str">
            <v>A4</v>
          </cell>
        </row>
        <row r="191">
          <cell r="B191" t="str">
            <v>Đỗ Thị Ngát</v>
          </cell>
          <cell r="C191" t="str">
            <v>01011016</v>
          </cell>
          <cell r="D191" t="str">
            <v>A4</v>
          </cell>
          <cell r="E191" t="str">
            <v>A4</v>
          </cell>
        </row>
        <row r="192">
          <cell r="B192" t="str">
            <v>Cao Thị Hồng Thắm</v>
          </cell>
          <cell r="C192" t="str">
            <v>01011007</v>
          </cell>
          <cell r="D192" t="str">
            <v>A4</v>
          </cell>
          <cell r="E192" t="str">
            <v>A4</v>
          </cell>
        </row>
        <row r="193">
          <cell r="B193" t="str">
            <v>Đỗ Thị Thơm</v>
          </cell>
          <cell r="C193" t="str">
            <v>01011008</v>
          </cell>
          <cell r="D193" t="str">
            <v>A3</v>
          </cell>
          <cell r="E193" t="str">
            <v>A3</v>
          </cell>
        </row>
        <row r="194">
          <cell r="B194" t="str">
            <v>Trần Thị Hồng Thu</v>
          </cell>
          <cell r="C194" t="str">
            <v>01011015</v>
          </cell>
          <cell r="D194" t="str">
            <v>A3</v>
          </cell>
          <cell r="E194" t="str">
            <v>A3</v>
          </cell>
        </row>
        <row r="195">
          <cell r="B195" t="str">
            <v>Phan Thị Thùy Trang</v>
          </cell>
          <cell r="C195" t="str">
            <v>01011010</v>
          </cell>
          <cell r="D195" t="str">
            <v>A4</v>
          </cell>
          <cell r="E195" t="str">
            <v>A4</v>
          </cell>
        </row>
        <row r="196">
          <cell r="B196" t="str">
            <v>Hoàng Thị Trang</v>
          </cell>
          <cell r="C196" t="str">
            <v>01011018</v>
          </cell>
          <cell r="D196" t="str">
            <v>A3</v>
          </cell>
          <cell r="E196" t="str">
            <v>A4</v>
          </cell>
        </row>
        <row r="197">
          <cell r="B197" t="str">
            <v>Phạm Thị Vinh</v>
          </cell>
          <cell r="C197" t="str">
            <v>01011006</v>
          </cell>
          <cell r="D197" t="str">
            <v>A4</v>
          </cell>
          <cell r="E197" t="str">
            <v>A4</v>
          </cell>
        </row>
        <row r="198">
          <cell r="B198" t="str">
            <v>KHOA CƠ KHÍ</v>
          </cell>
          <cell r="C198">
            <v>0</v>
          </cell>
          <cell r="D198">
            <v>0</v>
          </cell>
          <cell r="E198">
            <v>29</v>
          </cell>
        </row>
        <row r="199">
          <cell r="B199" t="str">
            <v>Viên chức</v>
          </cell>
          <cell r="C199">
            <v>0</v>
          </cell>
          <cell r="D199">
            <v>0</v>
          </cell>
          <cell r="E199">
            <v>29</v>
          </cell>
        </row>
        <row r="200">
          <cell r="B200" t="str">
            <v>Chung Trần Thế Vinh</v>
          </cell>
          <cell r="C200" t="str">
            <v>01012003</v>
          </cell>
          <cell r="D200" t="str">
            <v>A1</v>
          </cell>
          <cell r="E200" t="str">
            <v>A1</v>
          </cell>
        </row>
        <row r="201">
          <cell r="B201" t="str">
            <v>Trần Đình Khải</v>
          </cell>
          <cell r="C201" t="str">
            <v>01012008</v>
          </cell>
          <cell r="D201" t="str">
            <v>A2</v>
          </cell>
          <cell r="E201" t="str">
            <v>A2</v>
          </cell>
        </row>
        <row r="202">
          <cell r="B202" t="str">
            <v>Vũ Quang Khải</v>
          </cell>
          <cell r="C202" t="str">
            <v>01012007</v>
          </cell>
          <cell r="D202" t="str">
            <v>A3</v>
          </cell>
          <cell r="E202" t="str">
            <v>A3</v>
          </cell>
        </row>
        <row r="203">
          <cell r="B203" t="str">
            <v>Vũ Đức Pháp</v>
          </cell>
          <cell r="C203" t="str">
            <v>01012013</v>
          </cell>
          <cell r="D203" t="str">
            <v>A1</v>
          </cell>
          <cell r="E203" t="str">
            <v>A1</v>
          </cell>
        </row>
        <row r="204">
          <cell r="B204" t="str">
            <v>Bùi Anh Tuấn</v>
          </cell>
          <cell r="C204" t="str">
            <v>01012023</v>
          </cell>
          <cell r="D204" t="str">
            <v>A1</v>
          </cell>
          <cell r="E204" t="str">
            <v>A1</v>
          </cell>
        </row>
        <row r="205">
          <cell r="B205" t="str">
            <v>Dương Minh Chung</v>
          </cell>
          <cell r="C205" t="str">
            <v>01012014</v>
          </cell>
          <cell r="D205" t="str">
            <v>A4</v>
          </cell>
          <cell r="E205" t="str">
            <v>A4</v>
          </cell>
        </row>
        <row r="206">
          <cell r="B206" t="str">
            <v>Đỗ Thị Phương Khanh</v>
          </cell>
          <cell r="C206" t="str">
            <v>01012005</v>
          </cell>
          <cell r="D206" t="str">
            <v>A1</v>
          </cell>
          <cell r="E206" t="str">
            <v>A1</v>
          </cell>
        </row>
        <row r="207">
          <cell r="B207" t="str">
            <v>Trương Thị Phương Hồng</v>
          </cell>
          <cell r="C207" t="str">
            <v>01012006</v>
          </cell>
          <cell r="D207" t="str">
            <v>A1</v>
          </cell>
          <cell r="E207" t="str">
            <v>A1</v>
          </cell>
        </row>
        <row r="208">
          <cell r="B208" t="str">
            <v>Phan Văn Thành</v>
          </cell>
          <cell r="C208" t="str">
            <v>01012004</v>
          </cell>
          <cell r="D208" t="str">
            <v>A3</v>
          </cell>
          <cell r="E208" t="str">
            <v>A3</v>
          </cell>
        </row>
        <row r="209">
          <cell r="B209" t="str">
            <v>Phan Thị Xuân Trang</v>
          </cell>
          <cell r="C209" t="str">
            <v>01012012</v>
          </cell>
          <cell r="D209" t="str">
            <v>A4</v>
          </cell>
          <cell r="E209" t="str">
            <v>A4</v>
          </cell>
        </row>
        <row r="210">
          <cell r="B210" t="str">
            <v>Lư Thị Yến Vũ</v>
          </cell>
          <cell r="C210" t="str">
            <v>01012016</v>
          </cell>
          <cell r="D210" t="str">
            <v>A3</v>
          </cell>
          <cell r="E210" t="str">
            <v>A3</v>
          </cell>
        </row>
        <row r="211">
          <cell r="B211" t="str">
            <v>Nguyễn Thanh Vũ</v>
          </cell>
          <cell r="C211" t="str">
            <v>01012015</v>
          </cell>
          <cell r="D211" t="str">
            <v>A3</v>
          </cell>
          <cell r="E211" t="str">
            <v>A4</v>
          </cell>
        </row>
        <row r="212">
          <cell r="B212" t="str">
            <v>Nguyễn Tiến Dũng</v>
          </cell>
          <cell r="C212" t="str">
            <v>01012019</v>
          </cell>
          <cell r="D212" t="str">
            <v>A2</v>
          </cell>
          <cell r="E212" t="str">
            <v>A3</v>
          </cell>
        </row>
        <row r="213">
          <cell r="B213" t="str">
            <v>Nguyễn Thành Long</v>
          </cell>
          <cell r="C213" t="str">
            <v>01012018</v>
          </cell>
          <cell r="D213" t="str">
            <v>A3</v>
          </cell>
          <cell r="E213" t="str">
            <v>A3</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A2</v>
          </cell>
          <cell r="E216" t="str">
            <v>A2</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Võ Minh Quang</v>
          </cell>
          <cell r="C219" t="str">
            <v>01017002</v>
          </cell>
          <cell r="D219" t="str">
            <v>A4</v>
          </cell>
          <cell r="E219" t="str">
            <v>A4</v>
          </cell>
        </row>
        <row r="220">
          <cell r="B220" t="str">
            <v>Dương Thị Hồng</v>
          </cell>
          <cell r="C220" t="str">
            <v>01012028</v>
          </cell>
          <cell r="D220" t="str">
            <v>A3</v>
          </cell>
          <cell r="E220" t="str">
            <v>A3</v>
          </cell>
        </row>
        <row r="221">
          <cell r="B221" t="str">
            <v>Nguyễn Thanh Giang</v>
          </cell>
          <cell r="C221" t="str">
            <v>01012032</v>
          </cell>
          <cell r="D221" t="str">
            <v>A2</v>
          </cell>
          <cell r="E221" t="str">
            <v>A2</v>
          </cell>
        </row>
        <row r="222">
          <cell r="B222" t="str">
            <v>Nguyễn Hồng Phúc</v>
          </cell>
          <cell r="C222" t="str">
            <v>01025017</v>
          </cell>
          <cell r="D222" t="str">
            <v>A1</v>
          </cell>
          <cell r="E222" t="str">
            <v>A1</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A4</v>
          </cell>
          <cell r="E225" t="str">
            <v>A4</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A4</v>
          </cell>
          <cell r="E228" t="str">
            <v>A4</v>
          </cell>
        </row>
        <row r="229">
          <cell r="B229" t="str">
            <v>KHOA CÔNG NGHỆ THÔNG TIN</v>
          </cell>
          <cell r="C229">
            <v>0</v>
          </cell>
          <cell r="D229">
            <v>0</v>
          </cell>
          <cell r="E229">
            <v>20</v>
          </cell>
        </row>
        <row r="230">
          <cell r="B230" t="str">
            <v>Viên chức</v>
          </cell>
          <cell r="C230">
            <v>0</v>
          </cell>
          <cell r="D230">
            <v>0</v>
          </cell>
          <cell r="E230">
            <v>20</v>
          </cell>
        </row>
        <row r="231">
          <cell r="B231" t="str">
            <v>Trần Việt Khánh</v>
          </cell>
          <cell r="C231" t="str">
            <v>01015019</v>
          </cell>
          <cell r="D231" t="str">
            <v>A3</v>
          </cell>
          <cell r="E231" t="str">
            <v>A3</v>
          </cell>
        </row>
        <row r="232">
          <cell r="B232" t="str">
            <v>Nguyễn Văn Đôn</v>
          </cell>
          <cell r="C232" t="str">
            <v>01015023</v>
          </cell>
          <cell r="D232" t="str">
            <v>A2</v>
          </cell>
          <cell r="E232" t="str">
            <v>A2</v>
          </cell>
        </row>
        <row r="233">
          <cell r="B233" t="str">
            <v>Nguyễn Sanh Cường</v>
          </cell>
          <cell r="C233" t="str">
            <v>01015005</v>
          </cell>
          <cell r="D233" t="str">
            <v>A3</v>
          </cell>
          <cell r="E233" t="str">
            <v>A3</v>
          </cell>
        </row>
        <row r="234">
          <cell r="B234" t="str">
            <v>Đặng Ngọc Đoàn</v>
          </cell>
          <cell r="C234" t="str">
            <v>01015018</v>
          </cell>
          <cell r="D234" t="str">
            <v>A3</v>
          </cell>
          <cell r="E234" t="str">
            <v>A3</v>
          </cell>
        </row>
        <row r="235">
          <cell r="B235" t="str">
            <v>Bùi Văn Dũng</v>
          </cell>
          <cell r="C235" t="str">
            <v>01015020</v>
          </cell>
          <cell r="D235" t="str">
            <v>A4</v>
          </cell>
          <cell r="E235" t="str">
            <v>A4</v>
          </cell>
        </row>
        <row r="236">
          <cell r="B236" t="str">
            <v>Huỳnh Quốc Dũng</v>
          </cell>
          <cell r="C236" t="str">
            <v>01015041</v>
          </cell>
          <cell r="D236" t="str">
            <v>A4</v>
          </cell>
          <cell r="E236" t="str">
            <v>A4</v>
          </cell>
        </row>
        <row r="237">
          <cell r="B237" t="str">
            <v>Vũ Thị Thái Linh</v>
          </cell>
          <cell r="C237" t="str">
            <v>01015013</v>
          </cell>
          <cell r="D237" t="str">
            <v>A3</v>
          </cell>
          <cell r="E237" t="str">
            <v>A3</v>
          </cell>
        </row>
        <row r="238">
          <cell r="B238" t="str">
            <v>Nguyễn Văn Minh</v>
          </cell>
          <cell r="C238" t="str">
            <v>01015006</v>
          </cell>
          <cell r="D238" t="str">
            <v>A3</v>
          </cell>
          <cell r="E238" t="str">
            <v>A3</v>
          </cell>
        </row>
        <row r="239">
          <cell r="B239" t="str">
            <v>Nguyễn Cao Phong</v>
          </cell>
          <cell r="C239" t="str">
            <v>01018001</v>
          </cell>
          <cell r="D239" t="str">
            <v>A3</v>
          </cell>
          <cell r="E239" t="str">
            <v>A3</v>
          </cell>
        </row>
        <row r="240">
          <cell r="B240" t="str">
            <v>Lê Quý Hưng Quốc</v>
          </cell>
          <cell r="C240" t="str">
            <v>01015004</v>
          </cell>
          <cell r="D240" t="str">
            <v>A3</v>
          </cell>
          <cell r="E240" t="str">
            <v>A3</v>
          </cell>
        </row>
        <row r="241">
          <cell r="B241" t="str">
            <v>Lê Hồng Thái</v>
          </cell>
          <cell r="C241" t="str">
            <v>01015017</v>
          </cell>
          <cell r="D241" t="str">
            <v>A3</v>
          </cell>
          <cell r="E241" t="str">
            <v>A3</v>
          </cell>
        </row>
        <row r="242">
          <cell r="B242" t="str">
            <v>Nguyễn Thị Khánh Thư</v>
          </cell>
          <cell r="C242" t="str">
            <v>01015016</v>
          </cell>
          <cell r="D242" t="str">
            <v>A3</v>
          </cell>
          <cell r="E242" t="str">
            <v>A3</v>
          </cell>
        </row>
        <row r="243">
          <cell r="B243" t="str">
            <v>Mai Chiếm Tuấn</v>
          </cell>
          <cell r="C243" t="str">
            <v>01015031</v>
          </cell>
          <cell r="D243" t="str">
            <v>A1</v>
          </cell>
          <cell r="E243" t="str">
            <v>A1</v>
          </cell>
        </row>
        <row r="244">
          <cell r="B244" t="str">
            <v>Nguyễn Ngọc Tuyên</v>
          </cell>
          <cell r="C244" t="str">
            <v>01015025</v>
          </cell>
          <cell r="D244" t="str">
            <v>A3</v>
          </cell>
          <cell r="E244" t="str">
            <v>A3</v>
          </cell>
        </row>
        <row r="245">
          <cell r="B245" t="str">
            <v>Đỗ Tuấn Việt</v>
          </cell>
          <cell r="C245" t="str">
            <v>01017001</v>
          </cell>
          <cell r="D245" t="str">
            <v>A3</v>
          </cell>
          <cell r="E245" t="str">
            <v>A3</v>
          </cell>
        </row>
        <row r="246">
          <cell r="B246" t="str">
            <v>Dương Ngọc Vọng</v>
          </cell>
          <cell r="C246" t="str">
            <v>01015012</v>
          </cell>
          <cell r="D246" t="str">
            <v>A3</v>
          </cell>
          <cell r="E246" t="str">
            <v>A3</v>
          </cell>
        </row>
        <row r="247">
          <cell r="B247" t="str">
            <v>Trần Vĩnh Xuyên</v>
          </cell>
          <cell r="C247" t="str">
            <v>01015008</v>
          </cell>
          <cell r="D247" t="str">
            <v>A3</v>
          </cell>
          <cell r="E247" t="str">
            <v>A3</v>
          </cell>
        </row>
        <row r="248">
          <cell r="B248" t="str">
            <v>Đỗ Thị Hải Yến</v>
          </cell>
          <cell r="C248" t="str">
            <v>01015021</v>
          </cell>
          <cell r="D248" t="str">
            <v>A3</v>
          </cell>
          <cell r="E248" t="str">
            <v>A3</v>
          </cell>
        </row>
        <row r="249">
          <cell r="B249" t="str">
            <v>Đào Lê Phương Anh</v>
          </cell>
          <cell r="C249" t="str">
            <v>01015108</v>
          </cell>
          <cell r="D249" t="str">
            <v>A3</v>
          </cell>
          <cell r="E249" t="str">
            <v>A3</v>
          </cell>
        </row>
        <row r="250">
          <cell r="B250" t="str">
            <v>Nguyễn Duy Lộc</v>
          </cell>
          <cell r="C250" t="str">
            <v>01015142</v>
          </cell>
          <cell r="D250" t="str">
            <v>A3</v>
          </cell>
          <cell r="E250" t="str">
            <v>A3</v>
          </cell>
        </row>
        <row r="251">
          <cell r="B251" t="str">
            <v>KHOA ĐỘNG LỰC</v>
          </cell>
          <cell r="C251">
            <v>0</v>
          </cell>
          <cell r="D251">
            <v>0</v>
          </cell>
          <cell r="E251">
            <v>26</v>
          </cell>
        </row>
        <row r="252">
          <cell r="B252" t="str">
            <v>Viên chức</v>
          </cell>
          <cell r="C252">
            <v>0</v>
          </cell>
          <cell r="D252">
            <v>0</v>
          </cell>
          <cell r="E252">
            <v>25</v>
          </cell>
        </row>
        <row r="253">
          <cell r="B253" t="str">
            <v>Nguyễn Anh Tuấn</v>
          </cell>
          <cell r="C253" t="str">
            <v>01013003</v>
          </cell>
          <cell r="D253" t="str">
            <v>A3</v>
          </cell>
          <cell r="E253" t="str">
            <v>A3</v>
          </cell>
        </row>
        <row r="254">
          <cell r="B254" t="str">
            <v>Võ Đắc Thịnh</v>
          </cell>
          <cell r="C254" t="str">
            <v>01013002</v>
          </cell>
          <cell r="D254" t="str">
            <v>A3</v>
          </cell>
          <cell r="E254" t="str">
            <v>A3</v>
          </cell>
        </row>
        <row r="255">
          <cell r="B255" t="str">
            <v>Nguyễn Hữu Mạnh</v>
          </cell>
          <cell r="C255" t="str">
            <v>01013004</v>
          </cell>
          <cell r="D255" t="str">
            <v>A4</v>
          </cell>
          <cell r="E255" t="str">
            <v>A4</v>
          </cell>
        </row>
        <row r="256">
          <cell r="B256" t="str">
            <v>Hà Quốc Bảo</v>
          </cell>
          <cell r="C256" t="str">
            <v>01013021</v>
          </cell>
          <cell r="D256" t="str">
            <v>A3</v>
          </cell>
          <cell r="E256" t="str">
            <v>A3</v>
          </cell>
        </row>
        <row r="257">
          <cell r="B257" t="str">
            <v>Triệu Phú Nguyên</v>
          </cell>
          <cell r="C257" t="str">
            <v>01013006</v>
          </cell>
          <cell r="D257" t="str">
            <v>A3</v>
          </cell>
          <cell r="E257" t="str">
            <v>A3</v>
          </cell>
        </row>
        <row r="258">
          <cell r="B258" t="str">
            <v>Nguyễn Thành Đức</v>
          </cell>
          <cell r="C258" t="str">
            <v>01013018</v>
          </cell>
          <cell r="D258" t="str">
            <v>A4</v>
          </cell>
          <cell r="E258" t="str">
            <v>A4</v>
          </cell>
        </row>
        <row r="259">
          <cell r="B259" t="str">
            <v>Nguyễn Minh Thái</v>
          </cell>
          <cell r="C259" t="str">
            <v>01013019</v>
          </cell>
          <cell r="D259" t="str">
            <v>A4</v>
          </cell>
          <cell r="E259" t="str">
            <v>A4</v>
          </cell>
        </row>
        <row r="260">
          <cell r="B260" t="str">
            <v>Đặng Thái Sơn</v>
          </cell>
          <cell r="C260" t="str">
            <v>01013016</v>
          </cell>
          <cell r="D260" t="str">
            <v>A4</v>
          </cell>
          <cell r="E260" t="str">
            <v>A4</v>
          </cell>
        </row>
        <row r="261">
          <cell r="B261" t="str">
            <v>Nguyễn Thái Bình</v>
          </cell>
          <cell r="C261" t="str">
            <v>01013017</v>
          </cell>
          <cell r="D261" t="str">
            <v>A4</v>
          </cell>
          <cell r="E261" t="str">
            <v>A4</v>
          </cell>
        </row>
        <row r="262">
          <cell r="B262" t="str">
            <v>Kiều Trung Tín</v>
          </cell>
          <cell r="C262" t="str">
            <v>01013027</v>
          </cell>
          <cell r="D262" t="str">
            <v>A3</v>
          </cell>
          <cell r="E262" t="str">
            <v>A3</v>
          </cell>
        </row>
        <row r="263">
          <cell r="B263" t="str">
            <v>Trần Quốc Duy</v>
          </cell>
          <cell r="C263" t="str">
            <v>01013026</v>
          </cell>
          <cell r="D263" t="str">
            <v>A4</v>
          </cell>
          <cell r="E263" t="str">
            <v>A4</v>
          </cell>
        </row>
        <row r="264">
          <cell r="B264" t="str">
            <v>Hồ Văn Hóa</v>
          </cell>
          <cell r="C264" t="str">
            <v>01013029</v>
          </cell>
          <cell r="D264" t="str">
            <v>A4</v>
          </cell>
          <cell r="E264" t="str">
            <v>A4</v>
          </cell>
        </row>
        <row r="265">
          <cell r="B265" t="str">
            <v>Nguyễn Thanh Hùng</v>
          </cell>
          <cell r="C265" t="str">
            <v>01013028</v>
          </cell>
          <cell r="D265" t="str">
            <v>A4</v>
          </cell>
          <cell r="E265" t="str">
            <v>A4</v>
          </cell>
        </row>
        <row r="266">
          <cell r="B266" t="str">
            <v>Phan Anh Tuấn Kiệt</v>
          </cell>
          <cell r="C266" t="str">
            <v>01013005</v>
          </cell>
          <cell r="D266" t="str">
            <v>A4</v>
          </cell>
          <cell r="E266" t="str">
            <v>A3</v>
          </cell>
        </row>
        <row r="267">
          <cell r="B267" t="str">
            <v>Hoàng Phúc Bảo</v>
          </cell>
          <cell r="C267" t="str">
            <v>01013022</v>
          </cell>
          <cell r="D267" t="str">
            <v>A4</v>
          </cell>
          <cell r="E267" t="str">
            <v>A4</v>
          </cell>
        </row>
        <row r="268">
          <cell r="B268" t="str">
            <v>Nguyễn Lương Tâm</v>
          </cell>
          <cell r="C268" t="str">
            <v>01013047</v>
          </cell>
          <cell r="D268" t="str">
            <v>A4</v>
          </cell>
          <cell r="E268" t="str">
            <v>A4</v>
          </cell>
        </row>
        <row r="269">
          <cell r="B269" t="str">
            <v>Trần Thế Sơn</v>
          </cell>
          <cell r="C269" t="str">
            <v>01013070</v>
          </cell>
          <cell r="D269" t="str">
            <v>A4</v>
          </cell>
          <cell r="E269" t="str">
            <v>A4</v>
          </cell>
        </row>
        <row r="270">
          <cell r="B270" t="str">
            <v>Trần Văn Đông</v>
          </cell>
          <cell r="C270" t="str">
            <v>01014047</v>
          </cell>
          <cell r="D270" t="str">
            <v>A4</v>
          </cell>
          <cell r="E270" t="str">
            <v>A3</v>
          </cell>
        </row>
        <row r="271">
          <cell r="B271" t="str">
            <v>Lý Văn Trung</v>
          </cell>
          <cell r="C271" t="str">
            <v>01013079</v>
          </cell>
          <cell r="D271" t="str">
            <v>A4</v>
          </cell>
          <cell r="E271" t="str">
            <v>A3</v>
          </cell>
        </row>
        <row r="272">
          <cell r="B272" t="str">
            <v>Nguyễn Hoàng Vinh</v>
          </cell>
          <cell r="C272" t="str">
            <v>01013087</v>
          </cell>
          <cell r="D272" t="str">
            <v>A4</v>
          </cell>
          <cell r="E272" t="str">
            <v>A3</v>
          </cell>
        </row>
        <row r="273">
          <cell r="B273" t="str">
            <v>Bùi Trọng Tân</v>
          </cell>
          <cell r="C273" t="str">
            <v>01013094</v>
          </cell>
          <cell r="D273" t="str">
            <v>A4</v>
          </cell>
          <cell r="E273" t="str">
            <v>A4</v>
          </cell>
        </row>
        <row r="274">
          <cell r="B274" t="str">
            <v>Võ Quốc Duy</v>
          </cell>
          <cell r="C274" t="str">
            <v>01013120</v>
          </cell>
          <cell r="D274" t="str">
            <v>A4</v>
          </cell>
          <cell r="E274" t="str">
            <v>A4</v>
          </cell>
        </row>
        <row r="275">
          <cell r="B275" t="str">
            <v>Giang Văn Tiến</v>
          </cell>
          <cell r="C275" t="str">
            <v>01013117</v>
          </cell>
          <cell r="D275" t="str">
            <v>A4</v>
          </cell>
          <cell r="E275" t="str">
            <v>A4</v>
          </cell>
        </row>
        <row r="276">
          <cell r="B276" t="str">
            <v>Nguyễn Hữu Lương</v>
          </cell>
          <cell r="C276" t="str">
            <v>01013116</v>
          </cell>
          <cell r="D276" t="str">
            <v>A4</v>
          </cell>
          <cell r="E276" t="str">
            <v>A4</v>
          </cell>
        </row>
        <row r="277">
          <cell r="B277" t="str">
            <v>Huỳnh Đình Văn</v>
          </cell>
          <cell r="C277" t="str">
            <v>01013128</v>
          </cell>
          <cell r="D277" t="str">
            <v>A4</v>
          </cell>
          <cell r="E277" t="str">
            <v>A4</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A2</v>
          </cell>
        </row>
        <row r="286">
          <cell r="B286" t="str">
            <v>Huỳnh Duy An</v>
          </cell>
          <cell r="C286" t="str">
            <v>01014051</v>
          </cell>
          <cell r="D286" t="str">
            <v>A3</v>
          </cell>
          <cell r="E286" t="str">
            <v>A3</v>
          </cell>
        </row>
        <row r="287">
          <cell r="B287" t="str">
            <v>Ngô Hoàng Anh</v>
          </cell>
          <cell r="C287" t="str">
            <v>01014005</v>
          </cell>
          <cell r="D287" t="str">
            <v>A3</v>
          </cell>
          <cell r="E287" t="str">
            <v>A3</v>
          </cell>
        </row>
        <row r="288">
          <cell r="B288" t="str">
            <v>Trần Nam Anh</v>
          </cell>
          <cell r="C288" t="str">
            <v>01014046</v>
          </cell>
          <cell r="D288" t="str">
            <v>A3</v>
          </cell>
          <cell r="E288" t="str">
            <v>A2</v>
          </cell>
        </row>
        <row r="289">
          <cell r="B289" t="str">
            <v>Vũ Hạnh Chiêu</v>
          </cell>
          <cell r="C289" t="str">
            <v>01014026</v>
          </cell>
          <cell r="D289" t="str">
            <v>A3</v>
          </cell>
          <cell r="E289" t="str">
            <v>A3</v>
          </cell>
        </row>
        <row r="290">
          <cell r="B290" t="str">
            <v>Ngô Phong Cường</v>
          </cell>
          <cell r="C290" t="str">
            <v>01014029</v>
          </cell>
          <cell r="D290" t="str">
            <v>A4</v>
          </cell>
          <cell r="E290" t="str">
            <v>A4</v>
          </cell>
        </row>
        <row r="291">
          <cell r="B291" t="str">
            <v>Nguyễn Minh Đức Cường</v>
          </cell>
          <cell r="C291" t="str">
            <v>01014033</v>
          </cell>
          <cell r="D291" t="str">
            <v>A1</v>
          </cell>
          <cell r="E291" t="str">
            <v>A1</v>
          </cell>
        </row>
        <row r="292">
          <cell r="B292" t="str">
            <v>Nguyễn Hồng Đức</v>
          </cell>
          <cell r="C292" t="str">
            <v>01014013</v>
          </cell>
          <cell r="D292" t="str">
            <v>A4</v>
          </cell>
          <cell r="E292" t="str">
            <v>A4</v>
          </cell>
        </row>
        <row r="293">
          <cell r="B293" t="str">
            <v>Nguyễn Minh Đức</v>
          </cell>
          <cell r="C293" t="str">
            <v>01014017</v>
          </cell>
          <cell r="D293" t="str">
            <v>A3</v>
          </cell>
          <cell r="E293" t="str">
            <v>A3</v>
          </cell>
        </row>
        <row r="294">
          <cell r="B294" t="str">
            <v>Nguyễn Thị Ngọc Hiền</v>
          </cell>
          <cell r="C294" t="str">
            <v>01014034</v>
          </cell>
          <cell r="D294" t="str">
            <v>A4</v>
          </cell>
          <cell r="E294" t="str">
            <v>A4</v>
          </cell>
        </row>
        <row r="295">
          <cell r="B295" t="str">
            <v>Trần Trung Hiếu</v>
          </cell>
          <cell r="C295" t="str">
            <v>01014020</v>
          </cell>
          <cell r="D295" t="str">
            <v>A3</v>
          </cell>
          <cell r="E295" t="str">
            <v>A3</v>
          </cell>
        </row>
        <row r="296">
          <cell r="B296" t="str">
            <v>Mạnh Lê Hoàn</v>
          </cell>
          <cell r="C296" t="str">
            <v>01014018</v>
          </cell>
          <cell r="D296" t="str">
            <v>A3</v>
          </cell>
          <cell r="E296" t="str">
            <v>A3</v>
          </cell>
        </row>
        <row r="297">
          <cell r="B297" t="str">
            <v>Phan Thanh Hoàng</v>
          </cell>
          <cell r="C297" t="str">
            <v>01014042</v>
          </cell>
          <cell r="D297" t="str">
            <v>A3</v>
          </cell>
          <cell r="E297" t="str">
            <v>A3</v>
          </cell>
        </row>
        <row r="298">
          <cell r="B298" t="str">
            <v>Lê Thế Huân</v>
          </cell>
          <cell r="C298" t="str">
            <v>01014019</v>
          </cell>
          <cell r="D298" t="str">
            <v>A3</v>
          </cell>
          <cell r="E298" t="str">
            <v>A3</v>
          </cell>
        </row>
        <row r="299">
          <cell r="B299" t="str">
            <v>Tăng Cẩm Huê</v>
          </cell>
          <cell r="C299" t="str">
            <v>01014010</v>
          </cell>
          <cell r="D299" t="str">
            <v>A3</v>
          </cell>
          <cell r="E299" t="str">
            <v>A3</v>
          </cell>
        </row>
        <row r="300">
          <cell r="B300" t="str">
            <v>Nguyễn Thùy Linh</v>
          </cell>
          <cell r="C300" t="str">
            <v>01014030</v>
          </cell>
          <cell r="D300" t="str">
            <v>A3</v>
          </cell>
          <cell r="E300" t="str">
            <v>A3</v>
          </cell>
        </row>
        <row r="301">
          <cell r="B301" t="str">
            <v>Đặng Đức Minh</v>
          </cell>
          <cell r="C301" t="str">
            <v>01014024</v>
          </cell>
          <cell r="D301" t="str">
            <v>A3</v>
          </cell>
          <cell r="E301" t="str">
            <v>A3</v>
          </cell>
        </row>
        <row r="302">
          <cell r="B302" t="str">
            <v>Trần Giang Nam</v>
          </cell>
          <cell r="C302" t="str">
            <v>01014048</v>
          </cell>
          <cell r="D302" t="str">
            <v>A3</v>
          </cell>
          <cell r="E302" t="str">
            <v>A2</v>
          </cell>
        </row>
        <row r="303">
          <cell r="B303" t="str">
            <v>Nguyễn Thị Tố Nga</v>
          </cell>
          <cell r="C303" t="str">
            <v>01014022</v>
          </cell>
          <cell r="D303" t="str">
            <v>A3</v>
          </cell>
          <cell r="E303" t="str">
            <v>A3</v>
          </cell>
        </row>
        <row r="304">
          <cell r="B304" t="str">
            <v>Nguyễn Trần Thanh Nhàn</v>
          </cell>
          <cell r="C304" t="str">
            <v>01014025</v>
          </cell>
          <cell r="D304" t="str">
            <v>A4</v>
          </cell>
          <cell r="E304" t="str">
            <v>A4</v>
          </cell>
        </row>
        <row r="305">
          <cell r="B305" t="str">
            <v>Đỗ Huỳnh Thanh Phong</v>
          </cell>
          <cell r="C305" t="str">
            <v>01014032</v>
          </cell>
          <cell r="D305" t="str">
            <v>A3</v>
          </cell>
          <cell r="E305" t="str">
            <v>A3</v>
          </cell>
        </row>
        <row r="306">
          <cell r="B306" t="str">
            <v>Nguyễn Anh Tăng</v>
          </cell>
          <cell r="C306" t="str">
            <v>01014006</v>
          </cell>
          <cell r="D306" t="str">
            <v>A3</v>
          </cell>
          <cell r="E306" t="str">
            <v>A3</v>
          </cell>
        </row>
        <row r="307">
          <cell r="B307" t="str">
            <v>Nguyễn Khương Thành</v>
          </cell>
          <cell r="C307" t="str">
            <v>01014052</v>
          </cell>
          <cell r="D307" t="str">
            <v>A3</v>
          </cell>
          <cell r="E307" t="str">
            <v>A3</v>
          </cell>
        </row>
        <row r="308">
          <cell r="B308" t="str">
            <v>Trần Công Tiến</v>
          </cell>
          <cell r="C308" t="str">
            <v>01014009</v>
          </cell>
          <cell r="D308" t="str">
            <v>A3</v>
          </cell>
          <cell r="E308" t="str">
            <v>A3</v>
          </cell>
        </row>
        <row r="309">
          <cell r="B309" t="str">
            <v>Cao Văn Tuấn</v>
          </cell>
          <cell r="C309" t="str">
            <v>01014045</v>
          </cell>
          <cell r="D309" t="str">
            <v>A3</v>
          </cell>
          <cell r="E309" t="str">
            <v>A3</v>
          </cell>
        </row>
        <row r="310">
          <cell r="B310" t="str">
            <v>Trần Hiếu Trinh</v>
          </cell>
          <cell r="C310" t="str">
            <v>01014021</v>
          </cell>
          <cell r="D310" t="str">
            <v>A3</v>
          </cell>
          <cell r="E310" t="str">
            <v>A3</v>
          </cell>
        </row>
        <row r="311">
          <cell r="B311" t="str">
            <v>Nguyễn Văn Yên</v>
          </cell>
          <cell r="C311" t="str">
            <v>01014016</v>
          </cell>
          <cell r="D311" t="str">
            <v>A3</v>
          </cell>
          <cell r="E311" t="str">
            <v>A3</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A3</v>
          </cell>
          <cell r="E315" t="str">
            <v>A3</v>
          </cell>
        </row>
        <row r="316">
          <cell r="B316" t="str">
            <v>Nguyễn Bạch Cẩm Dung</v>
          </cell>
          <cell r="C316" t="str">
            <v>01016002</v>
          </cell>
          <cell r="D316" t="str">
            <v>A3</v>
          </cell>
          <cell r="E316" t="str">
            <v>A3</v>
          </cell>
        </row>
        <row r="317">
          <cell r="B317" t="str">
            <v>Nguyễn Thị Hiền</v>
          </cell>
          <cell r="C317" t="str">
            <v>01016006</v>
          </cell>
          <cell r="D317" t="str">
            <v>A3</v>
          </cell>
          <cell r="E317" t="str">
            <v>A3</v>
          </cell>
        </row>
        <row r="318">
          <cell r="B318" t="str">
            <v>Bùi Thị Ngọc Sương</v>
          </cell>
          <cell r="C318" t="str">
            <v>01016005</v>
          </cell>
          <cell r="D318" t="str">
            <v>A3</v>
          </cell>
          <cell r="E318" t="str">
            <v>A3</v>
          </cell>
        </row>
        <row r="319">
          <cell r="B319" t="str">
            <v>Lê Thị Phương Thảo</v>
          </cell>
          <cell r="C319" t="str">
            <v>01016012</v>
          </cell>
          <cell r="D319" t="str">
            <v>A3</v>
          </cell>
          <cell r="E319" t="str">
            <v>A3</v>
          </cell>
        </row>
        <row r="320">
          <cell r="B320" t="str">
            <v>Trần Hồng Thảo</v>
          </cell>
          <cell r="C320" t="str">
            <v>01016010</v>
          </cell>
          <cell r="D320" t="str">
            <v>A3</v>
          </cell>
          <cell r="E320" t="str">
            <v>A3</v>
          </cell>
        </row>
        <row r="321">
          <cell r="B321" t="str">
            <v>Lâm Thị Phương Thùy</v>
          </cell>
          <cell r="C321" t="str">
            <v>01016007</v>
          </cell>
          <cell r="D321" t="str">
            <v>A3</v>
          </cell>
          <cell r="E321" t="str">
            <v>A3</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A2</v>
          </cell>
          <cell r="E324" t="str">
            <v>A1</v>
          </cell>
        </row>
        <row r="325">
          <cell r="B325" t="str">
            <v>Hoàng Văn Viết</v>
          </cell>
          <cell r="C325" t="str">
            <v>01029001</v>
          </cell>
          <cell r="D325" t="str">
            <v>A3</v>
          </cell>
          <cell r="E325" t="str">
            <v>A2</v>
          </cell>
        </row>
        <row r="326">
          <cell r="B326" t="str">
            <v>Đinh Đồng Hiệp</v>
          </cell>
          <cell r="C326" t="str">
            <v>01013020</v>
          </cell>
          <cell r="D326" t="str">
            <v>A3</v>
          </cell>
          <cell r="E326" t="str">
            <v>A3</v>
          </cell>
        </row>
        <row r="327">
          <cell r="B327" t="str">
            <v>Võ Anh Hào</v>
          </cell>
          <cell r="C327" t="str">
            <v>01013010</v>
          </cell>
          <cell r="D327" t="str">
            <v>A3</v>
          </cell>
          <cell r="E327" t="str">
            <v>A3</v>
          </cell>
        </row>
        <row r="328">
          <cell r="B328" t="str">
            <v>Đặng Thế Huân</v>
          </cell>
          <cell r="C328" t="str">
            <v>01013009</v>
          </cell>
          <cell r="D328" t="str">
            <v>A3</v>
          </cell>
          <cell r="E328" t="str">
            <v>A3</v>
          </cell>
        </row>
        <row r="329">
          <cell r="B329" t="str">
            <v>Nguyễn Vũ Xuân Thì</v>
          </cell>
          <cell r="C329" t="str">
            <v>01013008</v>
          </cell>
          <cell r="D329" t="str">
            <v>A3</v>
          </cell>
          <cell r="E329" t="str">
            <v>A3</v>
          </cell>
        </row>
        <row r="330">
          <cell r="B330" t="str">
            <v>Đỗ Trọng Quý</v>
          </cell>
          <cell r="C330" t="str">
            <v>01013011</v>
          </cell>
          <cell r="D330" t="str">
            <v>A3</v>
          </cell>
          <cell r="E330" t="str">
            <v>A3</v>
          </cell>
        </row>
        <row r="331">
          <cell r="B331" t="str">
            <v>Trần Đình Khoa</v>
          </cell>
          <cell r="C331" t="str">
            <v>01013023</v>
          </cell>
          <cell r="D331" t="str">
            <v>A3</v>
          </cell>
          <cell r="E331" t="str">
            <v>A3</v>
          </cell>
        </row>
        <row r="332">
          <cell r="B332" t="str">
            <v>Phan Văn Hòa</v>
          </cell>
          <cell r="C332" t="str">
            <v>01013015</v>
          </cell>
          <cell r="D332" t="str">
            <v>A3</v>
          </cell>
          <cell r="E332" t="str">
            <v>A3</v>
          </cell>
        </row>
        <row r="333">
          <cell r="B333" t="str">
            <v>Nguyễn Thanh Dũng</v>
          </cell>
          <cell r="C333" t="str">
            <v>01029016</v>
          </cell>
          <cell r="D333" t="str">
            <v>A3</v>
          </cell>
          <cell r="E333" t="str">
            <v>A3</v>
          </cell>
        </row>
        <row r="334">
          <cell r="B334" t="str">
            <v>Trình Minh Phong</v>
          </cell>
          <cell r="C334" t="str">
            <v>01028013</v>
          </cell>
          <cell r="D334" t="str">
            <v>A4</v>
          </cell>
          <cell r="E334" t="str">
            <v>A4</v>
          </cell>
        </row>
        <row r="335">
          <cell r="B335" t="str">
            <v>Trần Ngọc Tuấn</v>
          </cell>
          <cell r="C335" t="str">
            <v>01028017</v>
          </cell>
          <cell r="D335" t="str">
            <v>A3</v>
          </cell>
          <cell r="E335" t="str">
            <v>A3</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A1</v>
          </cell>
          <cell r="E338" t="str">
            <v>A2</v>
          </cell>
        </row>
        <row r="339">
          <cell r="B339" t="str">
            <v>Phạm Quỳnh Như</v>
          </cell>
          <cell r="C339" t="str">
            <v>01025004</v>
          </cell>
          <cell r="D339" t="str">
            <v>A1</v>
          </cell>
          <cell r="E339" t="str">
            <v>A2</v>
          </cell>
        </row>
        <row r="340">
          <cell r="B340" t="str">
            <v>Lưu Thị Thúy</v>
          </cell>
          <cell r="C340" t="str">
            <v>01025002</v>
          </cell>
          <cell r="D340" t="str">
            <v>A2</v>
          </cell>
          <cell r="E340" t="str">
            <v>A2</v>
          </cell>
        </row>
        <row r="341">
          <cell r="B341" t="str">
            <v>Trần Thị Ngọc Dung</v>
          </cell>
          <cell r="C341" t="str">
            <v>01025016</v>
          </cell>
          <cell r="D341" t="str">
            <v>A2</v>
          </cell>
          <cell r="E341" t="str">
            <v>A3</v>
          </cell>
        </row>
        <row r="342">
          <cell r="B342" t="str">
            <v>Cao Xuân Giang</v>
          </cell>
          <cell r="C342" t="str">
            <v>01025018</v>
          </cell>
          <cell r="D342" t="str">
            <v>A3</v>
          </cell>
          <cell r="E342" t="str">
            <v>A3</v>
          </cell>
        </row>
        <row r="343">
          <cell r="B343" t="str">
            <v>Nguyễn Thị Thanh Hòa</v>
          </cell>
          <cell r="C343" t="str">
            <v>01009027</v>
          </cell>
          <cell r="D343" t="str">
            <v>A2</v>
          </cell>
          <cell r="E343" t="str">
            <v>A2</v>
          </cell>
        </row>
        <row r="344">
          <cell r="B344" t="str">
            <v>Huỳnh Kim Liên</v>
          </cell>
          <cell r="C344" t="str">
            <v>01025052</v>
          </cell>
          <cell r="D344" t="str">
            <v>A2</v>
          </cell>
          <cell r="E344" t="str">
            <v>A3</v>
          </cell>
        </row>
        <row r="345">
          <cell r="B345" t="str">
            <v>Lê Hồng Ngọc My</v>
          </cell>
          <cell r="C345" t="str">
            <v>01015053</v>
          </cell>
          <cell r="D345" t="str">
            <v>A2</v>
          </cell>
          <cell r="E345" t="str">
            <v>A2</v>
          </cell>
        </row>
        <row r="346">
          <cell r="B346" t="str">
            <v>Lê Thị Thu Thảo</v>
          </cell>
          <cell r="C346" t="str">
            <v>01025008</v>
          </cell>
          <cell r="D346" t="str">
            <v>A2</v>
          </cell>
          <cell r="E346" t="str">
            <v>A2</v>
          </cell>
        </row>
        <row r="347">
          <cell r="B347" t="str">
            <v>Nguyễn Thị Minh Thùy</v>
          </cell>
          <cell r="C347" t="str">
            <v>01003013</v>
          </cell>
          <cell r="D347" t="str">
            <v>A1</v>
          </cell>
          <cell r="E347" t="str">
            <v>A1</v>
          </cell>
        </row>
        <row r="348">
          <cell r="B348" t="str">
            <v>Nguyễn Mỹ Tiên</v>
          </cell>
          <cell r="C348" t="str">
            <v>01025015</v>
          </cell>
          <cell r="D348" t="str">
            <v>A3</v>
          </cell>
          <cell r="E348" t="str">
            <v>A3</v>
          </cell>
        </row>
        <row r="349">
          <cell r="B349" t="str">
            <v>Nguyễn Huỳnh Lưu Phương</v>
          </cell>
          <cell r="C349" t="str">
            <v>01025101</v>
          </cell>
          <cell r="D349" t="str">
            <v>A3</v>
          </cell>
          <cell r="E349" t="str">
            <v>A3</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A1</v>
          </cell>
          <cell r="E353" t="str">
            <v>A1</v>
          </cell>
        </row>
        <row r="354">
          <cell r="B354" t="str">
            <v>Phạm Thị Thanh Thúy</v>
          </cell>
          <cell r="C354" t="str">
            <v>01016003</v>
          </cell>
          <cell r="D354" t="str">
            <v>A2</v>
          </cell>
          <cell r="E354" t="str">
            <v>A2</v>
          </cell>
        </row>
        <row r="355">
          <cell r="B355" t="str">
            <v>Đinh Thị Trâm</v>
          </cell>
          <cell r="C355" t="str">
            <v>01025033</v>
          </cell>
          <cell r="D355" t="str">
            <v>A2</v>
          </cell>
          <cell r="E355" t="str">
            <v>A2</v>
          </cell>
        </row>
        <row r="356">
          <cell r="B356" t="str">
            <v>Lê Thị Thúy Oanh</v>
          </cell>
          <cell r="C356" t="str">
            <v>01025020</v>
          </cell>
          <cell r="D356" t="str">
            <v>A3</v>
          </cell>
          <cell r="E356" t="str">
            <v>A3</v>
          </cell>
        </row>
        <row r="357">
          <cell r="B357" t="str">
            <v>Võ Thị Kim Thư</v>
          </cell>
          <cell r="C357" t="str">
            <v>01025012</v>
          </cell>
          <cell r="D357" t="str">
            <v>A3</v>
          </cell>
          <cell r="E357" t="str">
            <v>A3</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A3</v>
          </cell>
          <cell r="E361" t="str">
            <v>A3</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B2</v>
          </cell>
          <cell r="E366" t="str">
            <v>A4</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A2</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A2</v>
          </cell>
          <cell r="E380" t="str">
            <v>A2</v>
          </cell>
        </row>
        <row r="381">
          <cell r="B381" t="str">
            <v>Nguyễn Hoàng Hải</v>
          </cell>
          <cell r="C381" t="str">
            <v>01019003</v>
          </cell>
          <cell r="D381" t="str">
            <v>A3</v>
          </cell>
          <cell r="E381" t="str">
            <v>A3</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B1</v>
          </cell>
          <cell r="E384" t="str">
            <v>A4</v>
          </cell>
        </row>
        <row r="385">
          <cell r="B385" t="str">
            <v>Bùi Thị Lan Anh</v>
          </cell>
          <cell r="C385" t="str">
            <v>01021003</v>
          </cell>
          <cell r="D385" t="str">
            <v>A2</v>
          </cell>
          <cell r="E385" t="str">
            <v>A2</v>
          </cell>
        </row>
        <row r="386">
          <cell r="B386" t="str">
            <v>Hợp đồng trường</v>
          </cell>
          <cell r="C386">
            <v>0</v>
          </cell>
          <cell r="D386">
            <v>0</v>
          </cell>
          <cell r="E386">
            <v>1</v>
          </cell>
        </row>
        <row r="387">
          <cell r="B387" t="str">
            <v>Lê Thị Huyền</v>
          </cell>
          <cell r="C387" t="str">
            <v>01021004</v>
          </cell>
          <cell r="D387" t="str">
            <v>D</v>
          </cell>
          <cell r="E387" t="str">
            <v>B1</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A3</v>
          </cell>
          <cell r="E390" t="str">
            <v>A2</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A2</v>
          </cell>
        </row>
        <row r="393">
          <cell r="B393" t="str">
            <v>Trương Hữu Lộc</v>
          </cell>
          <cell r="C393" t="str">
            <v>01018004</v>
          </cell>
          <cell r="D393" t="str">
            <v>A2</v>
          </cell>
          <cell r="E393" t="str">
            <v>A2</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A1</v>
          </cell>
          <cell r="E396" t="str">
            <v>A1</v>
          </cell>
        </row>
        <row r="397">
          <cell r="B397" t="str">
            <v>Lương Công Phi</v>
          </cell>
          <cell r="C397" t="str">
            <v>01031002</v>
          </cell>
          <cell r="D397" t="str">
            <v>A4</v>
          </cell>
          <cell r="E397" t="str">
            <v>A4</v>
          </cell>
        </row>
        <row r="398">
          <cell r="B398">
            <v>0</v>
          </cell>
          <cell r="C398">
            <v>0</v>
          </cell>
          <cell r="D398">
            <v>0</v>
          </cell>
          <cell r="E398">
            <v>0</v>
          </cell>
        </row>
        <row r="399">
          <cell r="B399">
            <v>0</v>
          </cell>
          <cell r="C399">
            <v>0</v>
          </cell>
          <cell r="D399">
            <v>0</v>
          </cell>
          <cell r="E399">
            <v>0</v>
          </cell>
        </row>
        <row r="400">
          <cell r="B400">
            <v>0</v>
          </cell>
          <cell r="C400">
            <v>0</v>
          </cell>
          <cell r="D400">
            <v>0</v>
          </cell>
          <cell r="E400">
            <v>0</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 val="Ket qua thi dua thang 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N BC"/>
      <sheetName val="NH BC"/>
      <sheetName val="CN HĐ"/>
      <sheetName val="NH HĐ"/>
      <sheetName val="BGH + TCHCTH"/>
      <sheetName val="TRẠM Y TẾ"/>
      <sheetName val="KẾ TOÁN"/>
      <sheetName val="KHVT"/>
      <sheetName val="NH TC"/>
      <sheetName val="SV"/>
      <sheetName val="SV (3)"/>
      <sheetName val="ATM"/>
      <sheetName val="TS"/>
      <sheetName val="Sheet2"/>
      <sheetName val="Diem"/>
      <sheetName val="Ben"/>
    </sheetNames>
    <sheetDataSet>
      <sheetData sheetId="0">
        <row r="10">
          <cell r="F10" t="str">
            <v>Đinh Văn Đệ</v>
          </cell>
          <cell r="G10" t="str">
            <v>Q. Hiệu Trưởng</v>
          </cell>
          <cell r="H10">
            <v>26</v>
          </cell>
          <cell r="I10">
            <v>1300000</v>
          </cell>
          <cell r="J10">
            <v>1</v>
          </cell>
          <cell r="K10"/>
        </row>
        <row r="11">
          <cell r="F11" t="str">
            <v>Đinh Hồng Minh</v>
          </cell>
          <cell r="G11" t="str">
            <v xml:space="preserve">Phó Hiệu Trưởng </v>
          </cell>
          <cell r="H11">
            <v>22</v>
          </cell>
          <cell r="I11">
            <v>1100000</v>
          </cell>
          <cell r="J11">
            <v>2</v>
          </cell>
          <cell r="K11"/>
        </row>
        <row r="12">
          <cell r="F12" t="str">
            <v>Châu Văn Bảo</v>
          </cell>
          <cell r="G12" t="str">
            <v xml:space="preserve">Phó Hiệu Trưởng </v>
          </cell>
          <cell r="H12">
            <v>26</v>
          </cell>
          <cell r="I12">
            <v>1300000</v>
          </cell>
          <cell r="J12">
            <v>3</v>
          </cell>
          <cell r="K12"/>
        </row>
        <row r="13">
          <cell r="F13" t="str">
            <v>Nguyễn Thành Nam</v>
          </cell>
          <cell r="G13" t="str">
            <v>Phòng TC-HC</v>
          </cell>
          <cell r="H13">
            <v>24</v>
          </cell>
          <cell r="I13">
            <v>1200000</v>
          </cell>
          <cell r="J13">
            <v>4</v>
          </cell>
          <cell r="K13"/>
        </row>
        <row r="14">
          <cell r="F14" t="str">
            <v>Lưu Hoàng Hải Yến</v>
          </cell>
          <cell r="G14"/>
          <cell r="H14">
            <v>23</v>
          </cell>
          <cell r="I14">
            <v>1150000</v>
          </cell>
          <cell r="J14">
            <v>5</v>
          </cell>
          <cell r="K14"/>
        </row>
        <row r="15">
          <cell r="F15" t="str">
            <v>Huỳnh Thị Minh Ly</v>
          </cell>
          <cell r="G15" t="str">
            <v xml:space="preserve"> </v>
          </cell>
          <cell r="H15">
            <v>26</v>
          </cell>
          <cell r="I15">
            <v>1300000</v>
          </cell>
          <cell r="J15">
            <v>6</v>
          </cell>
          <cell r="K15"/>
        </row>
        <row r="16">
          <cell r="F16" t="str">
            <v>Nguyễn Văn Chì</v>
          </cell>
          <cell r="G16"/>
          <cell r="H16">
            <v>17.5</v>
          </cell>
          <cell r="I16">
            <v>875000</v>
          </cell>
          <cell r="J16">
            <v>7</v>
          </cell>
          <cell r="K16" t="str">
            <v>Trừ 3 ngày nghỉ phép 3+4+5/9</v>
          </cell>
        </row>
        <row r="17">
          <cell r="F17" t="str">
            <v>Nguyễn Thị Vân</v>
          </cell>
          <cell r="G17"/>
          <cell r="H17">
            <v>23</v>
          </cell>
          <cell r="I17">
            <v>1150000</v>
          </cell>
          <cell r="J17">
            <v>8</v>
          </cell>
          <cell r="K17"/>
        </row>
        <row r="18">
          <cell r="F18" t="str">
            <v>Trần Thị Ánh Phượng</v>
          </cell>
          <cell r="G18"/>
          <cell r="H18">
            <v>21</v>
          </cell>
          <cell r="I18">
            <v>1050000</v>
          </cell>
          <cell r="J18">
            <v>9</v>
          </cell>
          <cell r="K18"/>
        </row>
        <row r="19">
          <cell r="F19" t="str">
            <v>Trần Thị Phương Oanh</v>
          </cell>
          <cell r="G19"/>
          <cell r="H19">
            <v>22</v>
          </cell>
          <cell r="I19">
            <v>1100000</v>
          </cell>
          <cell r="J19">
            <v>10</v>
          </cell>
          <cell r="K19"/>
        </row>
        <row r="20">
          <cell r="F20" t="str">
            <v>Nguyễn Thị Bích Liễu</v>
          </cell>
          <cell r="G20"/>
          <cell r="H20">
            <v>22.5</v>
          </cell>
          <cell r="I20">
            <v>1125000</v>
          </cell>
          <cell r="J20">
            <v>11</v>
          </cell>
          <cell r="K20"/>
        </row>
        <row r="21">
          <cell r="F21" t="str">
            <v>Lê Quang Liêm</v>
          </cell>
          <cell r="G21" t="str">
            <v>Phòng QT - DV</v>
          </cell>
          <cell r="H21">
            <v>24</v>
          </cell>
          <cell r="I21">
            <v>1200000</v>
          </cell>
          <cell r="J21">
            <v>12</v>
          </cell>
          <cell r="K21"/>
        </row>
        <row r="22">
          <cell r="F22" t="str">
            <v>Nguyễn Văn Thành</v>
          </cell>
          <cell r="G22"/>
          <cell r="H22">
            <v>24</v>
          </cell>
          <cell r="I22">
            <v>1200000</v>
          </cell>
          <cell r="J22">
            <v>13</v>
          </cell>
          <cell r="K22"/>
        </row>
        <row r="23">
          <cell r="F23" t="str">
            <v>Phan Đức Long</v>
          </cell>
          <cell r="G23"/>
          <cell r="H23">
            <v>24</v>
          </cell>
          <cell r="I23">
            <v>1200000</v>
          </cell>
          <cell r="J23">
            <v>14</v>
          </cell>
          <cell r="K23"/>
        </row>
        <row r="24">
          <cell r="F24" t="str">
            <v>Ninh Đỗ Hiệp</v>
          </cell>
          <cell r="G24"/>
          <cell r="H24">
            <v>19</v>
          </cell>
          <cell r="I24">
            <v>950000</v>
          </cell>
          <cell r="J24">
            <v>15</v>
          </cell>
          <cell r="K24"/>
        </row>
        <row r="25">
          <cell r="F25" t="str">
            <v>Nguyễn Trọng Phú</v>
          </cell>
          <cell r="G25"/>
          <cell r="H25">
            <v>22</v>
          </cell>
          <cell r="I25">
            <v>1100000</v>
          </cell>
          <cell r="J25">
            <v>16</v>
          </cell>
          <cell r="K25"/>
        </row>
        <row r="26">
          <cell r="F26" t="str">
            <v>Lê Hồng Anh Tuấn</v>
          </cell>
          <cell r="G26"/>
          <cell r="H26">
            <v>20</v>
          </cell>
          <cell r="I26">
            <v>1000000</v>
          </cell>
          <cell r="J26">
            <v>17</v>
          </cell>
          <cell r="K26"/>
        </row>
        <row r="27">
          <cell r="F27" t="str">
            <v>Giáp Văn Thịnh</v>
          </cell>
          <cell r="G27"/>
          <cell r="H27">
            <v>18</v>
          </cell>
          <cell r="I27">
            <v>900000</v>
          </cell>
          <cell r="J27">
            <v>18</v>
          </cell>
          <cell r="K27" t="str">
            <v>Trừ 2 ngày nghỉ phép 8+19/9</v>
          </cell>
        </row>
        <row r="28">
          <cell r="F28" t="str">
            <v>Vũ Ngọc Quang</v>
          </cell>
          <cell r="G28"/>
          <cell r="H28">
            <v>19</v>
          </cell>
          <cell r="I28">
            <v>950000</v>
          </cell>
          <cell r="J28">
            <v>19</v>
          </cell>
          <cell r="K28" t="str">
            <v>Trừ 1 ngày nghỉ phép 19/9</v>
          </cell>
        </row>
        <row r="29">
          <cell r="F29" t="str">
            <v>Bùi Thị Dương</v>
          </cell>
          <cell r="G29"/>
          <cell r="H29">
            <v>23</v>
          </cell>
          <cell r="I29">
            <v>1150000</v>
          </cell>
          <cell r="J29">
            <v>20</v>
          </cell>
          <cell r="K29" t="str">
            <v>Trừ 1 ngày nghỉ phép 16/9</v>
          </cell>
        </row>
        <row r="30">
          <cell r="F30" t="str">
            <v>Phan Hữu Tước</v>
          </cell>
          <cell r="G30"/>
          <cell r="H30">
            <v>23</v>
          </cell>
          <cell r="I30">
            <v>1150000</v>
          </cell>
          <cell r="J30">
            <v>21</v>
          </cell>
          <cell r="K30" t="str">
            <v>Trừ 1 ngày nghỉ phép 19/9</v>
          </cell>
        </row>
        <row r="31">
          <cell r="F31" t="str">
            <v>Nguyễn Kính</v>
          </cell>
          <cell r="G31" t="str">
            <v xml:space="preserve">Phòng KH - TC </v>
          </cell>
          <cell r="H31">
            <v>28</v>
          </cell>
          <cell r="I31">
            <v>1400000</v>
          </cell>
          <cell r="J31">
            <v>22</v>
          </cell>
          <cell r="K31"/>
        </row>
        <row r="32">
          <cell r="F32" t="str">
            <v>Võ Thị Lệ Trân</v>
          </cell>
          <cell r="G32"/>
          <cell r="H32">
            <v>25</v>
          </cell>
          <cell r="I32">
            <v>1250000</v>
          </cell>
          <cell r="J32">
            <v>23</v>
          </cell>
          <cell r="K32"/>
        </row>
        <row r="33">
          <cell r="F33" t="str">
            <v>Trần Thị Minh Thoa</v>
          </cell>
          <cell r="G33"/>
          <cell r="H33">
            <v>27</v>
          </cell>
          <cell r="I33">
            <v>1350000</v>
          </cell>
          <cell r="J33">
            <v>24</v>
          </cell>
          <cell r="K33"/>
        </row>
        <row r="34">
          <cell r="F34" t="str">
            <v>Hồng Mộng Tuyết Dung</v>
          </cell>
          <cell r="G34"/>
          <cell r="H34">
            <v>25</v>
          </cell>
          <cell r="I34">
            <v>1250000</v>
          </cell>
          <cell r="J34">
            <v>25</v>
          </cell>
          <cell r="K34"/>
        </row>
        <row r="35">
          <cell r="F35" t="str">
            <v>Nguyễn Thị Hồng Thắm</v>
          </cell>
          <cell r="G35"/>
          <cell r="H35">
            <v>25</v>
          </cell>
          <cell r="I35">
            <v>1250000</v>
          </cell>
          <cell r="J35">
            <v>26</v>
          </cell>
          <cell r="K35"/>
        </row>
        <row r="36">
          <cell r="F36" t="str">
            <v>Vũ Như Quỳnh</v>
          </cell>
          <cell r="G36"/>
          <cell r="H36">
            <v>20</v>
          </cell>
          <cell r="I36">
            <v>1000000</v>
          </cell>
          <cell r="J36">
            <v>27</v>
          </cell>
          <cell r="K36" t="str">
            <v>Trừử ngày nghỉ phép 10+11+12/9</v>
          </cell>
        </row>
        <row r="37">
          <cell r="F37" t="str">
            <v>Nguyễn Thị Minh Thùy</v>
          </cell>
          <cell r="G37"/>
          <cell r="H37">
            <v>0</v>
          </cell>
          <cell r="I37">
            <v>0</v>
          </cell>
          <cell r="J37">
            <v>28</v>
          </cell>
          <cell r="K37" t="str">
            <v>Nghỉ hộ sản hưởng chế độ BHXH</v>
          </cell>
        </row>
        <row r="38">
          <cell r="F38" t="str">
            <v>Nguyễn Văn Chiến</v>
          </cell>
          <cell r="G38" t="str">
            <v>Phòng Thanh tra GD - CTSV</v>
          </cell>
          <cell r="H38">
            <v>23</v>
          </cell>
          <cell r="I38">
            <v>1150000</v>
          </cell>
          <cell r="J38">
            <v>29</v>
          </cell>
          <cell r="K38"/>
        </row>
        <row r="39">
          <cell r="F39" t="str">
            <v>Trang Thị Xuân Uyên</v>
          </cell>
          <cell r="G39"/>
          <cell r="H39">
            <v>23</v>
          </cell>
          <cell r="I39">
            <v>1150000</v>
          </cell>
          <cell r="J39">
            <v>30</v>
          </cell>
          <cell r="K39" t="str">
            <v>Cộng 1 ngày đi học 7/9</v>
          </cell>
        </row>
        <row r="40">
          <cell r="F40" t="str">
            <v>Hồ Ngọc Chi</v>
          </cell>
          <cell r="G40"/>
          <cell r="H40">
            <v>20</v>
          </cell>
          <cell r="I40">
            <v>1000000</v>
          </cell>
          <cell r="J40">
            <v>31</v>
          </cell>
          <cell r="K40" t="str">
            <v>Trừ 1 ngày nghỉ phép 19/9</v>
          </cell>
        </row>
        <row r="41">
          <cell r="F41" t="str">
            <v>Nguyễn Thị Nhuận</v>
          </cell>
          <cell r="G41"/>
          <cell r="H41">
            <v>21</v>
          </cell>
          <cell r="I41">
            <v>1050000</v>
          </cell>
          <cell r="J41">
            <v>32</v>
          </cell>
          <cell r="K41"/>
        </row>
        <row r="42">
          <cell r="F42" t="str">
            <v>Nguyễn Tất Thắng</v>
          </cell>
          <cell r="G42"/>
          <cell r="H42">
            <v>22</v>
          </cell>
          <cell r="I42">
            <v>1100000</v>
          </cell>
          <cell r="J42">
            <v>33</v>
          </cell>
          <cell r="K42"/>
        </row>
        <row r="43">
          <cell r="F43" t="str">
            <v>Trần Thị Thu Hà</v>
          </cell>
          <cell r="G43"/>
          <cell r="H43">
            <v>22</v>
          </cell>
          <cell r="I43">
            <v>1100000</v>
          </cell>
          <cell r="J43">
            <v>34</v>
          </cell>
          <cell r="K43"/>
        </row>
        <row r="44">
          <cell r="F44" t="str">
            <v>Phạm Thị Lê Chi</v>
          </cell>
          <cell r="G44"/>
          <cell r="H44">
            <v>22</v>
          </cell>
          <cell r="I44">
            <v>1100000</v>
          </cell>
          <cell r="J44">
            <v>35</v>
          </cell>
          <cell r="K44"/>
        </row>
        <row r="45">
          <cell r="F45" t="str">
            <v>Nguyễn Thùy Dương</v>
          </cell>
          <cell r="G45"/>
          <cell r="H45">
            <v>22</v>
          </cell>
          <cell r="I45">
            <v>1100000</v>
          </cell>
          <cell r="J45">
            <v>36</v>
          </cell>
          <cell r="K45" t="str">
            <v>Trừ 1 ngày nghỉ 18/9</v>
          </cell>
        </row>
        <row r="46">
          <cell r="F46" t="str">
            <v>Nguyễn Thị Kim Anh</v>
          </cell>
          <cell r="G46"/>
          <cell r="H46">
            <v>24</v>
          </cell>
          <cell r="I46">
            <v>1200000</v>
          </cell>
          <cell r="J46">
            <v>37</v>
          </cell>
          <cell r="K46"/>
        </row>
        <row r="47">
          <cell r="F47" t="str">
            <v>Mai Thu Hương</v>
          </cell>
          <cell r="G47"/>
          <cell r="H47">
            <v>20</v>
          </cell>
          <cell r="I47">
            <v>1000000</v>
          </cell>
          <cell r="J47">
            <v>38</v>
          </cell>
          <cell r="K47" t="str">
            <v>Trừ 2 ngày nghỉ phép 29+30/9</v>
          </cell>
        </row>
        <row r="48">
          <cell r="F48" t="str">
            <v>Bùi Thị Lan Anh</v>
          </cell>
          <cell r="G48"/>
          <cell r="H48">
            <v>22</v>
          </cell>
          <cell r="I48">
            <v>1100000</v>
          </cell>
          <cell r="J48">
            <v>39</v>
          </cell>
          <cell r="K48"/>
        </row>
        <row r="49">
          <cell r="F49" t="str">
            <v>Đặng Thu Hà</v>
          </cell>
          <cell r="G49"/>
          <cell r="H49">
            <v>21</v>
          </cell>
          <cell r="I49">
            <v>1050000</v>
          </cell>
          <cell r="J49">
            <v>40</v>
          </cell>
          <cell r="K49"/>
        </row>
        <row r="50">
          <cell r="F50" t="str">
            <v>Trần Thị Diễm Thúy</v>
          </cell>
          <cell r="G50"/>
          <cell r="H50">
            <v>24</v>
          </cell>
          <cell r="I50">
            <v>1200000</v>
          </cell>
          <cell r="J50">
            <v>41</v>
          </cell>
          <cell r="K50"/>
        </row>
        <row r="51">
          <cell r="F51" t="str">
            <v>Phan Thị Ngọc Phượng</v>
          </cell>
          <cell r="G51"/>
          <cell r="H51">
            <v>21</v>
          </cell>
          <cell r="I51">
            <v>1050000</v>
          </cell>
          <cell r="J51">
            <v>42</v>
          </cell>
          <cell r="K51"/>
        </row>
        <row r="52">
          <cell r="F52" t="str">
            <v>Hoàng Văn Viết</v>
          </cell>
          <cell r="G52" t="str">
            <v>Phòng Quản lý đào tạo - HTQT</v>
          </cell>
          <cell r="H52">
            <v>24</v>
          </cell>
          <cell r="I52">
            <v>1200000</v>
          </cell>
          <cell r="J52">
            <v>43</v>
          </cell>
          <cell r="K52"/>
        </row>
        <row r="53">
          <cell r="F53" t="str">
            <v>Quách Minh Thử</v>
          </cell>
          <cell r="G53"/>
          <cell r="H53">
            <v>21</v>
          </cell>
          <cell r="I53">
            <v>1050000</v>
          </cell>
          <cell r="J53">
            <v>44</v>
          </cell>
          <cell r="K53"/>
        </row>
        <row r="54">
          <cell r="F54" t="str">
            <v>Nguyễn Trọng Nghĩa</v>
          </cell>
          <cell r="G54"/>
          <cell r="H54">
            <v>20</v>
          </cell>
          <cell r="I54">
            <v>1000000</v>
          </cell>
          <cell r="J54">
            <v>45</v>
          </cell>
          <cell r="K54"/>
        </row>
        <row r="55">
          <cell r="F55" t="str">
            <v>Võ Thị Xuân Thơ</v>
          </cell>
          <cell r="G55"/>
          <cell r="H55">
            <v>22</v>
          </cell>
          <cell r="I55">
            <v>1100000</v>
          </cell>
          <cell r="J55">
            <v>46</v>
          </cell>
          <cell r="K55"/>
        </row>
        <row r="56">
          <cell r="F56" t="str">
            <v>Nguyễn Thị Hải Hà</v>
          </cell>
          <cell r="G56"/>
          <cell r="H56">
            <v>23</v>
          </cell>
          <cell r="I56">
            <v>1150000</v>
          </cell>
          <cell r="J56">
            <v>47</v>
          </cell>
          <cell r="K56"/>
        </row>
        <row r="57">
          <cell r="F57" t="str">
            <v>Nguyễn Thị Thanh Thảo</v>
          </cell>
          <cell r="G57"/>
          <cell r="H57">
            <v>22.5</v>
          </cell>
          <cell r="I57">
            <v>1125000</v>
          </cell>
          <cell r="J57">
            <v>48</v>
          </cell>
          <cell r="K57"/>
        </row>
        <row r="58">
          <cell r="F58" t="str">
            <v>Thái Thị My Sa</v>
          </cell>
          <cell r="G58"/>
          <cell r="H58">
            <v>22</v>
          </cell>
          <cell r="I58">
            <v>1100000</v>
          </cell>
          <cell r="J58">
            <v>49</v>
          </cell>
          <cell r="K58"/>
        </row>
        <row r="59">
          <cell r="F59" t="str">
            <v>Giáp Thị Vượng</v>
          </cell>
          <cell r="G59"/>
          <cell r="H59">
            <v>22</v>
          </cell>
          <cell r="I59">
            <v>1100000</v>
          </cell>
          <cell r="J59">
            <v>50</v>
          </cell>
          <cell r="K59"/>
        </row>
        <row r="60">
          <cell r="F60" t="str">
            <v>Huỳnh Thị Cẩm Hoa</v>
          </cell>
          <cell r="G60"/>
          <cell r="H60">
            <v>22</v>
          </cell>
          <cell r="I60">
            <v>1100000</v>
          </cell>
          <cell r="J60">
            <v>51</v>
          </cell>
          <cell r="K60"/>
        </row>
        <row r="61">
          <cell r="F61" t="str">
            <v>Nguyễn Thị Thùy</v>
          </cell>
          <cell r="G61"/>
          <cell r="H61">
            <v>24.5</v>
          </cell>
          <cell r="I61">
            <v>1225000</v>
          </cell>
          <cell r="J61">
            <v>52</v>
          </cell>
          <cell r="K61"/>
        </row>
        <row r="62">
          <cell r="F62" t="str">
            <v>Nguyễn Thị Ngọc Anh</v>
          </cell>
          <cell r="G62"/>
          <cell r="H62">
            <v>20.5</v>
          </cell>
          <cell r="I62">
            <v>1025000</v>
          </cell>
          <cell r="J62">
            <v>53</v>
          </cell>
          <cell r="K62"/>
        </row>
        <row r="63">
          <cell r="F63" t="str">
            <v>Lê Thị Hải Đăng</v>
          </cell>
          <cell r="G63"/>
          <cell r="H63">
            <v>19.5</v>
          </cell>
          <cell r="I63">
            <v>975000</v>
          </cell>
          <cell r="J63">
            <v>54</v>
          </cell>
          <cell r="K63" t="str">
            <v xml:space="preserve">Trừ 1/2 ngày nghỉ phép </v>
          </cell>
        </row>
        <row r="64">
          <cell r="F64" t="str">
            <v>Nguyễn Chí Nhân</v>
          </cell>
          <cell r="G64" t="str">
            <v>Phòng ĐBCL - NCKH</v>
          </cell>
          <cell r="H64">
            <v>23</v>
          </cell>
          <cell r="I64">
            <v>1150000</v>
          </cell>
          <cell r="J64">
            <v>55</v>
          </cell>
          <cell r="K64"/>
        </row>
        <row r="65">
          <cell r="F65" t="str">
            <v>Nguyễn Thị Kim Dung</v>
          </cell>
          <cell r="G65"/>
          <cell r="H65">
            <v>22</v>
          </cell>
          <cell r="I65">
            <v>1100000</v>
          </cell>
          <cell r="J65">
            <v>56</v>
          </cell>
          <cell r="K65"/>
        </row>
        <row r="66">
          <cell r="F66" t="str">
            <v>Lê Xuân Thiện</v>
          </cell>
          <cell r="G66"/>
          <cell r="H66">
            <v>20</v>
          </cell>
          <cell r="I66">
            <v>1000000</v>
          </cell>
          <cell r="J66">
            <v>57</v>
          </cell>
          <cell r="K66"/>
        </row>
        <row r="67">
          <cell r="F67" t="str">
            <v>Lương Minh Dũng</v>
          </cell>
          <cell r="G67"/>
          <cell r="H67">
            <v>21</v>
          </cell>
          <cell r="I67">
            <v>1050000</v>
          </cell>
          <cell r="J67">
            <v>58</v>
          </cell>
          <cell r="K67"/>
        </row>
        <row r="68">
          <cell r="F68" t="str">
            <v>Nguyễn Thị Tuyết</v>
          </cell>
          <cell r="G68"/>
          <cell r="H68">
            <v>20</v>
          </cell>
          <cell r="I68">
            <v>1000000</v>
          </cell>
          <cell r="J68">
            <v>59</v>
          </cell>
          <cell r="K68"/>
        </row>
        <row r="69">
          <cell r="F69" t="str">
            <v>Vũ Thị Thu Thủy</v>
          </cell>
          <cell r="G69"/>
          <cell r="H69">
            <v>21</v>
          </cell>
          <cell r="I69">
            <v>1050000</v>
          </cell>
          <cell r="J69">
            <v>60</v>
          </cell>
          <cell r="K69"/>
        </row>
        <row r="70">
          <cell r="F70" t="str">
            <v>Mai Nguyễn Hoàng Yến</v>
          </cell>
          <cell r="G70"/>
          <cell r="H70">
            <v>22</v>
          </cell>
          <cell r="I70">
            <v>1100000</v>
          </cell>
          <cell r="J70">
            <v>61</v>
          </cell>
          <cell r="K70"/>
        </row>
        <row r="71">
          <cell r="F71" t="str">
            <v>Lương Xuân Thịnh</v>
          </cell>
          <cell r="G71" t="str">
            <v>TT Đào tạo - QHDN - QLTB</v>
          </cell>
          <cell r="H71">
            <v>28</v>
          </cell>
          <cell r="I71">
            <v>1400000</v>
          </cell>
          <cell r="J71">
            <v>62</v>
          </cell>
          <cell r="K71"/>
        </row>
        <row r="72">
          <cell r="F72" t="str">
            <v>Nguyễn Cao Thắng</v>
          </cell>
          <cell r="G72"/>
          <cell r="H72">
            <v>27</v>
          </cell>
          <cell r="I72">
            <v>1350000</v>
          </cell>
          <cell r="J72">
            <v>63</v>
          </cell>
          <cell r="K72"/>
        </row>
        <row r="73">
          <cell r="F73" t="str">
            <v>Đỗ Thị Tâm</v>
          </cell>
          <cell r="G73"/>
          <cell r="H73">
            <v>26</v>
          </cell>
          <cell r="I73">
            <v>1300000</v>
          </cell>
          <cell r="J73">
            <v>64</v>
          </cell>
          <cell r="K73"/>
        </row>
        <row r="74">
          <cell r="F74" t="str">
            <v>Nguyễn Tiến Việt Dũng</v>
          </cell>
          <cell r="G74"/>
          <cell r="H74">
            <v>22</v>
          </cell>
          <cell r="I74">
            <v>1100000</v>
          </cell>
          <cell r="J74">
            <v>65</v>
          </cell>
          <cell r="K74"/>
        </row>
        <row r="75">
          <cell r="F75" t="str">
            <v>Bùi Đặng Hoàng Tuấn</v>
          </cell>
          <cell r="G75"/>
          <cell r="H75">
            <v>20</v>
          </cell>
          <cell r="I75">
            <v>1000000</v>
          </cell>
          <cell r="J75">
            <v>66</v>
          </cell>
          <cell r="K75" t="str">
            <v>Trừ 1 ngày nghỉ phép 29/9</v>
          </cell>
        </row>
        <row r="76">
          <cell r="F76" t="str">
            <v>Võ Tấn Kiệt</v>
          </cell>
          <cell r="G76"/>
          <cell r="H76">
            <v>20</v>
          </cell>
          <cell r="I76">
            <v>1000000</v>
          </cell>
          <cell r="J76">
            <v>67</v>
          </cell>
          <cell r="K76"/>
        </row>
        <row r="77">
          <cell r="F77" t="str">
            <v>Thân Thị Nhung</v>
          </cell>
          <cell r="G77"/>
          <cell r="H77">
            <v>20</v>
          </cell>
          <cell r="I77">
            <v>1000000</v>
          </cell>
          <cell r="J77">
            <v>68</v>
          </cell>
          <cell r="K77"/>
        </row>
        <row r="78">
          <cell r="F78" t="str">
            <v>Vương Hội Khánh</v>
          </cell>
          <cell r="G78"/>
          <cell r="H78">
            <v>21</v>
          </cell>
          <cell r="I78">
            <v>1050000</v>
          </cell>
          <cell r="J78">
            <v>69</v>
          </cell>
          <cell r="K78"/>
        </row>
        <row r="79">
          <cell r="F79" t="str">
            <v>Trương Hữu Lộc</v>
          </cell>
          <cell r="G79"/>
          <cell r="H79">
            <v>20</v>
          </cell>
          <cell r="I79">
            <v>1000000</v>
          </cell>
          <cell r="J79">
            <v>70</v>
          </cell>
          <cell r="K79"/>
        </row>
        <row r="80">
          <cell r="F80" t="str">
            <v>Trịnh Hoàng Hiệp</v>
          </cell>
          <cell r="G80" t="str">
            <v>Khoa Kinh tế</v>
          </cell>
          <cell r="H80">
            <v>20</v>
          </cell>
          <cell r="I80">
            <v>1000000</v>
          </cell>
          <cell r="J80">
            <v>71</v>
          </cell>
          <cell r="K80"/>
        </row>
        <row r="81">
          <cell r="F81" t="str">
            <v>Lê Thị Thu Thảo</v>
          </cell>
          <cell r="G81"/>
          <cell r="H81">
            <v>20</v>
          </cell>
          <cell r="I81">
            <v>1000000</v>
          </cell>
          <cell r="J81">
            <v>72</v>
          </cell>
          <cell r="K81"/>
        </row>
        <row r="82">
          <cell r="F82" t="str">
            <v>Lưu Thị Thúy</v>
          </cell>
          <cell r="G82"/>
          <cell r="H82">
            <v>20</v>
          </cell>
          <cell r="I82">
            <v>1000000</v>
          </cell>
          <cell r="J82">
            <v>73</v>
          </cell>
          <cell r="K82"/>
        </row>
        <row r="83">
          <cell r="F83" t="str">
            <v>Nguyễn Mỹ Tiên</v>
          </cell>
          <cell r="G83"/>
          <cell r="H83">
            <v>20</v>
          </cell>
          <cell r="I83">
            <v>1000000</v>
          </cell>
          <cell r="J83">
            <v>74</v>
          </cell>
          <cell r="K83"/>
        </row>
        <row r="84">
          <cell r="F84" t="str">
            <v>Trần Thị Ngọc Dung</v>
          </cell>
          <cell r="G84"/>
          <cell r="H84">
            <v>20</v>
          </cell>
          <cell r="I84">
            <v>1000000</v>
          </cell>
          <cell r="J84">
            <v>75</v>
          </cell>
          <cell r="K84"/>
        </row>
        <row r="85">
          <cell r="F85" t="str">
            <v>Cao Xuân Giang</v>
          </cell>
          <cell r="G85"/>
          <cell r="H85">
            <v>20</v>
          </cell>
          <cell r="I85">
            <v>1000000</v>
          </cell>
          <cell r="J85">
            <v>76</v>
          </cell>
          <cell r="K85"/>
        </row>
        <row r="86">
          <cell r="F86" t="str">
            <v>Lê Hồng Ngọc My</v>
          </cell>
          <cell r="G86"/>
          <cell r="H86">
            <v>20</v>
          </cell>
          <cell r="I86">
            <v>1000000</v>
          </cell>
          <cell r="J86">
            <v>77</v>
          </cell>
          <cell r="K86"/>
        </row>
        <row r="87">
          <cell r="F87" t="str">
            <v>Nguyễn Thị Thanh Hòa</v>
          </cell>
          <cell r="G87"/>
          <cell r="H87">
            <v>20</v>
          </cell>
          <cell r="I87">
            <v>1000000</v>
          </cell>
          <cell r="J87">
            <v>78</v>
          </cell>
          <cell r="K87"/>
        </row>
        <row r="88">
          <cell r="F88" t="str">
            <v>Nguyễn Thụy Nghiêm</v>
          </cell>
          <cell r="G88"/>
          <cell r="H88">
            <v>25</v>
          </cell>
          <cell r="I88">
            <v>1250000</v>
          </cell>
          <cell r="J88">
            <v>79</v>
          </cell>
          <cell r="K88" t="str">
            <v>Hỗ trợ công việc phòng KHTC</v>
          </cell>
        </row>
        <row r="89">
          <cell r="F89" t="str">
            <v>Hồ Gia Bảo</v>
          </cell>
          <cell r="G89" t="str">
            <v>Khoa Du lịch -
 Khách sạn</v>
          </cell>
          <cell r="H89">
            <v>20</v>
          </cell>
          <cell r="I89">
            <v>1000000</v>
          </cell>
          <cell r="J89">
            <v>80</v>
          </cell>
          <cell r="K89"/>
        </row>
        <row r="90">
          <cell r="F90" t="str">
            <v>Lữ Xuân Trang</v>
          </cell>
          <cell r="G90"/>
          <cell r="H90">
            <v>20</v>
          </cell>
          <cell r="I90">
            <v>1000000</v>
          </cell>
          <cell r="J90">
            <v>81</v>
          </cell>
          <cell r="K90"/>
        </row>
        <row r="91">
          <cell r="F91" t="str">
            <v>Phạm Thị Thanh Thúy</v>
          </cell>
          <cell r="G91"/>
          <cell r="H91">
            <v>20</v>
          </cell>
          <cell r="I91">
            <v>1000000</v>
          </cell>
          <cell r="J91">
            <v>82</v>
          </cell>
          <cell r="K91"/>
        </row>
        <row r="92">
          <cell r="F92" t="str">
            <v>Đinh Thị Trâm</v>
          </cell>
          <cell r="G92"/>
          <cell r="H92">
            <v>20</v>
          </cell>
          <cell r="I92">
            <v>1000000</v>
          </cell>
          <cell r="J92">
            <v>83</v>
          </cell>
          <cell r="K92"/>
        </row>
        <row r="93">
          <cell r="F93" t="str">
            <v>Lê Thị Thúy Oanh</v>
          </cell>
          <cell r="G93"/>
          <cell r="H93">
            <v>20</v>
          </cell>
          <cell r="I93">
            <v>1000000</v>
          </cell>
          <cell r="J93">
            <v>84</v>
          </cell>
          <cell r="K93"/>
        </row>
        <row r="94">
          <cell r="F94" t="str">
            <v>Võ Thị Kim Thư</v>
          </cell>
          <cell r="G94"/>
          <cell r="H94">
            <v>20</v>
          </cell>
          <cell r="I94">
            <v>1000000</v>
          </cell>
          <cell r="J94">
            <v>85</v>
          </cell>
          <cell r="K94"/>
        </row>
        <row r="95">
          <cell r="F95" t="str">
            <v>Huỳnh Kim Liên</v>
          </cell>
          <cell r="G95"/>
          <cell r="H95">
            <v>20</v>
          </cell>
          <cell r="I95">
            <v>1000000</v>
          </cell>
          <cell r="J95">
            <v>86</v>
          </cell>
          <cell r="K95"/>
        </row>
        <row r="96">
          <cell r="F96" t="str">
            <v>Lê Thị Mai Hường</v>
          </cell>
          <cell r="G96"/>
          <cell r="H96">
            <v>20</v>
          </cell>
          <cell r="I96">
            <v>1000000</v>
          </cell>
          <cell r="J96">
            <v>87</v>
          </cell>
          <cell r="K96"/>
        </row>
        <row r="97">
          <cell r="F97" t="str">
            <v>Nguyễn Ngọc Thọ</v>
          </cell>
          <cell r="G97" t="str">
            <v>Khoa May -  TT</v>
          </cell>
          <cell r="H97">
            <v>20</v>
          </cell>
          <cell r="I97">
            <v>1000000</v>
          </cell>
          <cell r="J97">
            <v>88</v>
          </cell>
          <cell r="K97"/>
        </row>
        <row r="98">
          <cell r="F98" t="str">
            <v>Nguyễn Bạch Cẩm Dung</v>
          </cell>
          <cell r="G98"/>
          <cell r="H98">
            <v>20</v>
          </cell>
          <cell r="I98">
            <v>1000000</v>
          </cell>
          <cell r="J98">
            <v>89</v>
          </cell>
          <cell r="K98"/>
        </row>
        <row r="99">
          <cell r="F99" t="str">
            <v>Lâm Thị Phương Thùy</v>
          </cell>
          <cell r="G99"/>
          <cell r="H99">
            <v>20</v>
          </cell>
          <cell r="I99">
            <v>1000000</v>
          </cell>
          <cell r="J99">
            <v>90</v>
          </cell>
          <cell r="K99"/>
        </row>
        <row r="100">
          <cell r="F100" t="str">
            <v>Nguyễn Thị Hiền</v>
          </cell>
          <cell r="G100"/>
          <cell r="H100">
            <v>20</v>
          </cell>
          <cell r="I100">
            <v>1000000</v>
          </cell>
          <cell r="J100">
            <v>91</v>
          </cell>
          <cell r="K100"/>
        </row>
        <row r="101">
          <cell r="F101" t="str">
            <v>Chế Vân Cầm</v>
          </cell>
          <cell r="G101"/>
          <cell r="H101">
            <v>20</v>
          </cell>
          <cell r="I101">
            <v>1000000</v>
          </cell>
          <cell r="J101">
            <v>92</v>
          </cell>
          <cell r="K101"/>
        </row>
        <row r="102">
          <cell r="F102" t="str">
            <v>Trần Hồng Thảo</v>
          </cell>
          <cell r="G102"/>
          <cell r="H102">
            <v>20</v>
          </cell>
          <cell r="I102">
            <v>1000000</v>
          </cell>
          <cell r="J102">
            <v>93</v>
          </cell>
          <cell r="K102"/>
        </row>
        <row r="103">
          <cell r="F103" t="str">
            <v>Lê Thị Phương Thảo</v>
          </cell>
          <cell r="G103"/>
          <cell r="H103">
            <v>20</v>
          </cell>
          <cell r="I103">
            <v>1000000</v>
          </cell>
          <cell r="J103">
            <v>94</v>
          </cell>
          <cell r="K103"/>
        </row>
        <row r="104">
          <cell r="F104" t="str">
            <v>Bùi Thị Ngọc Sương</v>
          </cell>
          <cell r="G104"/>
          <cell r="H104">
            <v>20</v>
          </cell>
          <cell r="I104">
            <v>1000000</v>
          </cell>
          <cell r="J104">
            <v>95</v>
          </cell>
          <cell r="K104"/>
        </row>
        <row r="105">
          <cell r="F105" t="str">
            <v>Lê Thị Hồng Vân</v>
          </cell>
          <cell r="G105" t="str">
            <v>Khoa Giáo dục đại cương</v>
          </cell>
          <cell r="H105">
            <v>20</v>
          </cell>
          <cell r="I105">
            <v>1000000</v>
          </cell>
          <cell r="J105">
            <v>96</v>
          </cell>
          <cell r="K105"/>
        </row>
        <row r="106">
          <cell r="F106" t="str">
            <v>Trương Thị Hồng</v>
          </cell>
          <cell r="G106"/>
          <cell r="H106">
            <v>20</v>
          </cell>
          <cell r="I106">
            <v>1000000</v>
          </cell>
          <cell r="J106">
            <v>97</v>
          </cell>
          <cell r="K106"/>
        </row>
        <row r="107">
          <cell r="F107" t="str">
            <v>Nguyễn Thị Huyền Nga</v>
          </cell>
          <cell r="G107"/>
          <cell r="H107">
            <v>20</v>
          </cell>
          <cell r="I107">
            <v>1000000</v>
          </cell>
          <cell r="J107">
            <v>98</v>
          </cell>
          <cell r="K107"/>
        </row>
        <row r="108">
          <cell r="F108" t="str">
            <v>Lê Văn Bình</v>
          </cell>
          <cell r="G108"/>
          <cell r="H108">
            <v>20</v>
          </cell>
          <cell r="I108">
            <v>1000000</v>
          </cell>
          <cell r="J108">
            <v>99</v>
          </cell>
          <cell r="K108"/>
        </row>
        <row r="109">
          <cell r="F109" t="str">
            <v>Trịnh Khắc Vũ</v>
          </cell>
          <cell r="G109"/>
          <cell r="H109">
            <v>20</v>
          </cell>
          <cell r="I109">
            <v>1000000</v>
          </cell>
          <cell r="J109">
            <v>100</v>
          </cell>
          <cell r="K109"/>
        </row>
        <row r="110">
          <cell r="F110" t="str">
            <v>Lê Minh Phong</v>
          </cell>
          <cell r="G110"/>
          <cell r="H110">
            <v>20</v>
          </cell>
          <cell r="I110">
            <v>1000000</v>
          </cell>
          <cell r="J110">
            <v>101</v>
          </cell>
          <cell r="K110"/>
        </row>
        <row r="111">
          <cell r="F111" t="str">
            <v>Nguyễn Phương Hà</v>
          </cell>
          <cell r="G111"/>
          <cell r="H111">
            <v>20</v>
          </cell>
          <cell r="I111">
            <v>1000000</v>
          </cell>
          <cell r="J111">
            <v>102</v>
          </cell>
          <cell r="K111"/>
        </row>
        <row r="112">
          <cell r="F112" t="str">
            <v>Nguyễn Văn Đông</v>
          </cell>
          <cell r="G112" t="str">
            <v>Tổ Lý</v>
          </cell>
          <cell r="H112">
            <v>20</v>
          </cell>
          <cell r="I112">
            <v>1000000</v>
          </cell>
          <cell r="J112">
            <v>103</v>
          </cell>
          <cell r="K112"/>
        </row>
        <row r="113">
          <cell r="F113" t="str">
            <v>Đặng Thị Kiến Trúc</v>
          </cell>
          <cell r="G113"/>
          <cell r="H113">
            <v>20</v>
          </cell>
          <cell r="I113">
            <v>1000000</v>
          </cell>
          <cell r="J113">
            <v>104</v>
          </cell>
          <cell r="K113"/>
        </row>
        <row r="114">
          <cell r="F114" t="str">
            <v>Nguyễn Thanh Tú</v>
          </cell>
          <cell r="G114"/>
          <cell r="H114">
            <v>20</v>
          </cell>
          <cell r="I114">
            <v>1000000</v>
          </cell>
          <cell r="J114">
            <v>105</v>
          </cell>
          <cell r="K114"/>
        </row>
        <row r="115">
          <cell r="F115" t="str">
            <v>Trần Thị Ánh Tuyết</v>
          </cell>
          <cell r="G115"/>
          <cell r="H115">
            <v>20</v>
          </cell>
          <cell r="I115">
            <v>1000000</v>
          </cell>
          <cell r="J115">
            <v>106</v>
          </cell>
          <cell r="K115"/>
        </row>
        <row r="116">
          <cell r="F116" t="str">
            <v>Phạm Thị Thu Nga</v>
          </cell>
          <cell r="G116" t="str">
            <v>Tổ Toán</v>
          </cell>
          <cell r="H116">
            <v>20</v>
          </cell>
          <cell r="I116">
            <v>1000000</v>
          </cell>
          <cell r="J116">
            <v>107</v>
          </cell>
          <cell r="K116"/>
        </row>
        <row r="117">
          <cell r="F117" t="str">
            <v>Nguyễn Thị Cẩm Thạch</v>
          </cell>
          <cell r="G117"/>
          <cell r="H117">
            <v>20</v>
          </cell>
          <cell r="I117">
            <v>1000000</v>
          </cell>
          <cell r="J117">
            <v>108</v>
          </cell>
          <cell r="K117"/>
        </row>
        <row r="118">
          <cell r="F118" t="str">
            <v>Hà Như Mai</v>
          </cell>
          <cell r="G118"/>
          <cell r="H118">
            <v>20</v>
          </cell>
          <cell r="I118">
            <v>1000000</v>
          </cell>
          <cell r="J118">
            <v>109</v>
          </cell>
          <cell r="K118"/>
        </row>
        <row r="119">
          <cell r="F119" t="str">
            <v>Nguyễn Thị Thủy</v>
          </cell>
          <cell r="G119"/>
          <cell r="H119">
            <v>20</v>
          </cell>
          <cell r="I119">
            <v>1000000</v>
          </cell>
          <cell r="J119">
            <v>110</v>
          </cell>
          <cell r="K119"/>
        </row>
        <row r="120">
          <cell r="F120" t="str">
            <v>Dương Đức Kiên</v>
          </cell>
          <cell r="G120"/>
          <cell r="H120">
            <v>20</v>
          </cell>
          <cell r="I120">
            <v>1000000</v>
          </cell>
          <cell r="J120">
            <v>111</v>
          </cell>
          <cell r="K120"/>
        </row>
        <row r="121">
          <cell r="F121" t="str">
            <v>Nguyễn Văn Hậu</v>
          </cell>
          <cell r="G121"/>
          <cell r="H121">
            <v>20</v>
          </cell>
          <cell r="I121">
            <v>1000000</v>
          </cell>
          <cell r="J121">
            <v>112</v>
          </cell>
          <cell r="K121"/>
        </row>
        <row r="122">
          <cell r="F122" t="str">
            <v>Lê Thái Hùng</v>
          </cell>
          <cell r="G122" t="str">
            <v xml:space="preserve">Tổ  Thể chất </v>
          </cell>
          <cell r="H122">
            <v>20</v>
          </cell>
          <cell r="I122">
            <v>1000000</v>
          </cell>
          <cell r="J122">
            <v>113</v>
          </cell>
          <cell r="K122"/>
        </row>
        <row r="123">
          <cell r="F123" t="str">
            <v>Nguyễn Phú Tân</v>
          </cell>
          <cell r="G123"/>
          <cell r="H123">
            <v>20</v>
          </cell>
          <cell r="I123">
            <v>1000000</v>
          </cell>
          <cell r="J123">
            <v>114</v>
          </cell>
          <cell r="K123"/>
        </row>
        <row r="124">
          <cell r="F124" t="str">
            <v>Nguyễn Mạnh Phương</v>
          </cell>
          <cell r="G124"/>
          <cell r="H124">
            <v>20</v>
          </cell>
          <cell r="I124">
            <v>1000000</v>
          </cell>
          <cell r="J124">
            <v>115</v>
          </cell>
          <cell r="K124"/>
        </row>
        <row r="125">
          <cell r="F125" t="str">
            <v>Giang Phi Hùng</v>
          </cell>
          <cell r="G125"/>
          <cell r="H125">
            <v>20</v>
          </cell>
          <cell r="I125">
            <v>1000000</v>
          </cell>
          <cell r="J125">
            <v>116</v>
          </cell>
          <cell r="K125"/>
        </row>
        <row r="126">
          <cell r="F126" t="str">
            <v>Ngô Thanh Điền</v>
          </cell>
          <cell r="G126"/>
          <cell r="H126">
            <v>20</v>
          </cell>
          <cell r="I126">
            <v>1000000</v>
          </cell>
          <cell r="J126">
            <v>117</v>
          </cell>
          <cell r="K126"/>
        </row>
        <row r="127">
          <cell r="F127" t="str">
            <v>Nguyễn Ngọc Quỳnh</v>
          </cell>
          <cell r="G127" t="str">
            <v>Tổ Chính trị</v>
          </cell>
          <cell r="H127">
            <v>20</v>
          </cell>
          <cell r="I127">
            <v>1000000</v>
          </cell>
          <cell r="J127">
            <v>118</v>
          </cell>
          <cell r="K127"/>
        </row>
        <row r="128">
          <cell r="F128" t="str">
            <v>Phan Thị Thùy Trang</v>
          </cell>
          <cell r="G128"/>
          <cell r="H128">
            <v>20</v>
          </cell>
          <cell r="I128">
            <v>1000000</v>
          </cell>
          <cell r="J128">
            <v>119</v>
          </cell>
          <cell r="K128"/>
        </row>
        <row r="129">
          <cell r="F129" t="str">
            <v>Nguyễn Thị Dinh</v>
          </cell>
          <cell r="G129"/>
          <cell r="H129">
            <v>20</v>
          </cell>
          <cell r="I129">
            <v>1000000</v>
          </cell>
          <cell r="J129">
            <v>120</v>
          </cell>
          <cell r="K129"/>
        </row>
        <row r="130">
          <cell r="F130" t="str">
            <v>Đỗ Thị Ngát</v>
          </cell>
          <cell r="G130"/>
          <cell r="H130">
            <v>20</v>
          </cell>
          <cell r="I130">
            <v>1000000</v>
          </cell>
          <cell r="J130">
            <v>121</v>
          </cell>
          <cell r="K130"/>
        </row>
        <row r="131">
          <cell r="F131" t="str">
            <v>Nguyễn Anh Kiệt</v>
          </cell>
          <cell r="G131"/>
          <cell r="H131">
            <v>20</v>
          </cell>
          <cell r="I131">
            <v>1000000</v>
          </cell>
          <cell r="J131">
            <v>122</v>
          </cell>
          <cell r="K131"/>
        </row>
        <row r="132">
          <cell r="F132" t="str">
            <v>Trần Thị Hồng Thu</v>
          </cell>
          <cell r="G132"/>
          <cell r="H132">
            <v>20</v>
          </cell>
          <cell r="I132">
            <v>1000000</v>
          </cell>
          <cell r="J132">
            <v>123</v>
          </cell>
          <cell r="K132"/>
        </row>
        <row r="133">
          <cell r="F133" t="str">
            <v>Đinh Thị Huyên</v>
          </cell>
          <cell r="G133"/>
          <cell r="H133">
            <v>20</v>
          </cell>
          <cell r="I133">
            <v>1000000</v>
          </cell>
          <cell r="J133">
            <v>124</v>
          </cell>
          <cell r="K133"/>
        </row>
        <row r="134">
          <cell r="F134" t="str">
            <v>Cao Thị Hồng Thắm</v>
          </cell>
          <cell r="G134"/>
          <cell r="H134">
            <v>20</v>
          </cell>
          <cell r="I134">
            <v>1000000</v>
          </cell>
          <cell r="J134">
            <v>125</v>
          </cell>
          <cell r="K134"/>
        </row>
        <row r="135">
          <cell r="F135" t="str">
            <v>Đỗ Thị Thơm</v>
          </cell>
          <cell r="G135"/>
          <cell r="H135">
            <v>20</v>
          </cell>
          <cell r="I135">
            <v>1000000</v>
          </cell>
          <cell r="J135">
            <v>126</v>
          </cell>
          <cell r="K135"/>
        </row>
        <row r="136">
          <cell r="F136" t="str">
            <v>Phạm Thị Vinh</v>
          </cell>
          <cell r="G136"/>
          <cell r="H136">
            <v>20</v>
          </cell>
          <cell r="I136">
            <v>1000000</v>
          </cell>
          <cell r="J136">
            <v>127</v>
          </cell>
          <cell r="K136"/>
        </row>
        <row r="137">
          <cell r="F137" t="str">
            <v>Hoàng Thị Trang</v>
          </cell>
          <cell r="G137"/>
          <cell r="H137">
            <v>20</v>
          </cell>
          <cell r="I137">
            <v>1000000</v>
          </cell>
          <cell r="J137">
            <v>128</v>
          </cell>
          <cell r="K137"/>
        </row>
        <row r="138">
          <cell r="F138" t="str">
            <v>Bùi Thành Dũng</v>
          </cell>
          <cell r="G138" t="str">
            <v>Tổ Pháp luật</v>
          </cell>
          <cell r="H138">
            <v>20</v>
          </cell>
          <cell r="I138">
            <v>1000000</v>
          </cell>
          <cell r="J138">
            <v>129</v>
          </cell>
          <cell r="K138"/>
        </row>
        <row r="139">
          <cell r="F139" t="str">
            <v>Nguyễn Thị Thu Hà</v>
          </cell>
          <cell r="G139" t="str">
            <v>Khoa Ngoại ngữ</v>
          </cell>
          <cell r="H139">
            <v>20</v>
          </cell>
          <cell r="I139">
            <v>1000000</v>
          </cell>
          <cell r="J139">
            <v>130</v>
          </cell>
          <cell r="K139"/>
        </row>
        <row r="140">
          <cell r="F140" t="str">
            <v>Vương Thanh Thủy</v>
          </cell>
          <cell r="G140"/>
          <cell r="H140">
            <v>20</v>
          </cell>
          <cell r="I140">
            <v>1000000</v>
          </cell>
          <cell r="J140">
            <v>131</v>
          </cell>
          <cell r="K140"/>
        </row>
        <row r="141">
          <cell r="F141" t="str">
            <v>Nguyễn Thị Bảo Trân</v>
          </cell>
          <cell r="G141"/>
          <cell r="H141">
            <v>20</v>
          </cell>
          <cell r="I141">
            <v>1000000</v>
          </cell>
          <cell r="J141">
            <v>132</v>
          </cell>
          <cell r="K141"/>
        </row>
        <row r="142">
          <cell r="F142" t="str">
            <v>Nguyễn Thị Thu Tâm</v>
          </cell>
          <cell r="G142"/>
          <cell r="H142">
            <v>20</v>
          </cell>
          <cell r="I142">
            <v>1000000</v>
          </cell>
          <cell r="J142">
            <v>133</v>
          </cell>
          <cell r="K142"/>
        </row>
        <row r="143">
          <cell r="F143" t="str">
            <v>Nguyễn Thị Thanh Tú</v>
          </cell>
          <cell r="G143"/>
          <cell r="H143">
            <v>20</v>
          </cell>
          <cell r="I143">
            <v>1000000</v>
          </cell>
          <cell r="J143">
            <v>134</v>
          </cell>
          <cell r="K143"/>
        </row>
        <row r="144">
          <cell r="F144" t="str">
            <v>Võ Thị Hồng Lan</v>
          </cell>
          <cell r="G144"/>
          <cell r="H144">
            <v>20</v>
          </cell>
          <cell r="I144">
            <v>1000000</v>
          </cell>
          <cell r="J144">
            <v>135</v>
          </cell>
          <cell r="K144"/>
        </row>
        <row r="145">
          <cell r="F145" t="str">
            <v>Lê Nguyễn Mỹ Trâm</v>
          </cell>
          <cell r="G145"/>
          <cell r="H145">
            <v>20</v>
          </cell>
          <cell r="I145">
            <v>1000000</v>
          </cell>
          <cell r="J145">
            <v>136</v>
          </cell>
          <cell r="K145"/>
        </row>
        <row r="146">
          <cell r="F146" t="str">
            <v>Phạm Thị Thu Hiền</v>
          </cell>
          <cell r="G146"/>
          <cell r="H146">
            <v>20</v>
          </cell>
          <cell r="I146">
            <v>1000000</v>
          </cell>
          <cell r="J146">
            <v>137</v>
          </cell>
          <cell r="K146" t="str">
            <v>Nghỉ hộ sản hưởng chế độ BHXH</v>
          </cell>
        </row>
        <row r="147">
          <cell r="F147" t="str">
            <v>Nguyễn Thiện Bình</v>
          </cell>
          <cell r="G147"/>
          <cell r="H147">
            <v>20</v>
          </cell>
          <cell r="I147">
            <v>1000000</v>
          </cell>
          <cell r="J147">
            <v>138</v>
          </cell>
          <cell r="K147"/>
        </row>
        <row r="148">
          <cell r="F148" t="str">
            <v>Trần Thanh Trúc</v>
          </cell>
          <cell r="G148"/>
          <cell r="H148">
            <v>20</v>
          </cell>
          <cell r="I148">
            <v>1000000</v>
          </cell>
          <cell r="J148">
            <v>139</v>
          </cell>
          <cell r="K148"/>
        </row>
        <row r="149">
          <cell r="F149" t="str">
            <v>Lâm Thị Phương Thảo</v>
          </cell>
          <cell r="G149"/>
          <cell r="H149">
            <v>20</v>
          </cell>
          <cell r="I149">
            <v>1000000</v>
          </cell>
          <cell r="J149">
            <v>140</v>
          </cell>
          <cell r="K149"/>
        </row>
        <row r="150">
          <cell r="F150" t="str">
            <v>Trần Hà Trang</v>
          </cell>
          <cell r="G150"/>
          <cell r="H150">
            <v>20</v>
          </cell>
          <cell r="I150">
            <v>1000000</v>
          </cell>
          <cell r="J150">
            <v>141</v>
          </cell>
          <cell r="K150"/>
        </row>
        <row r="151">
          <cell r="F151" t="str">
            <v>Lê Thu Hà</v>
          </cell>
          <cell r="G151"/>
          <cell r="H151">
            <v>20</v>
          </cell>
          <cell r="I151">
            <v>1000000</v>
          </cell>
          <cell r="J151">
            <v>142</v>
          </cell>
          <cell r="K151"/>
        </row>
        <row r="152">
          <cell r="F152" t="str">
            <v>Ôn Thị Ngọc Thảo</v>
          </cell>
          <cell r="G152"/>
          <cell r="H152">
            <v>20</v>
          </cell>
          <cell r="I152">
            <v>1000000</v>
          </cell>
          <cell r="J152">
            <v>143</v>
          </cell>
          <cell r="K152"/>
        </row>
        <row r="153">
          <cell r="F153" t="str">
            <v>Nguyễn Huỳnh Khánh Vy</v>
          </cell>
          <cell r="G153"/>
          <cell r="H153">
            <v>20</v>
          </cell>
          <cell r="I153">
            <v>1000000</v>
          </cell>
          <cell r="J153">
            <v>144</v>
          </cell>
          <cell r="K153"/>
        </row>
        <row r="154">
          <cell r="F154" t="str">
            <v>Đoàn Thanh Long</v>
          </cell>
          <cell r="G154"/>
          <cell r="H154">
            <v>20</v>
          </cell>
          <cell r="I154">
            <v>1000000</v>
          </cell>
          <cell r="J154">
            <v>145</v>
          </cell>
          <cell r="K154"/>
        </row>
        <row r="155">
          <cell r="F155" t="str">
            <v>Nguyễn Hữu Thiện</v>
          </cell>
          <cell r="G155" t="str">
            <v>Khoa CNTT</v>
          </cell>
          <cell r="H155">
            <v>20</v>
          </cell>
          <cell r="I155">
            <v>1000000</v>
          </cell>
          <cell r="J155">
            <v>146</v>
          </cell>
          <cell r="K155"/>
        </row>
        <row r="156">
          <cell r="F156" t="str">
            <v>Trần Việt Khánh</v>
          </cell>
          <cell r="G156"/>
          <cell r="H156">
            <v>20</v>
          </cell>
          <cell r="I156">
            <v>1000000</v>
          </cell>
          <cell r="J156">
            <v>147</v>
          </cell>
          <cell r="K156"/>
        </row>
        <row r="157">
          <cell r="F157" t="str">
            <v>Vũ Thị Thái Linh</v>
          </cell>
          <cell r="G157"/>
          <cell r="H157">
            <v>20</v>
          </cell>
          <cell r="I157">
            <v>1000000</v>
          </cell>
          <cell r="J157">
            <v>148</v>
          </cell>
          <cell r="K157"/>
        </row>
        <row r="158">
          <cell r="F158" t="str">
            <v>Nguyễn Sanh Cường</v>
          </cell>
          <cell r="G158"/>
          <cell r="H158">
            <v>20</v>
          </cell>
          <cell r="I158">
            <v>1000000</v>
          </cell>
          <cell r="J158">
            <v>149</v>
          </cell>
          <cell r="K158"/>
        </row>
        <row r="159">
          <cell r="F159" t="str">
            <v>Lê Quý Hưng Quốc</v>
          </cell>
          <cell r="G159"/>
          <cell r="H159">
            <v>20</v>
          </cell>
          <cell r="I159">
            <v>1000000</v>
          </cell>
          <cell r="J159">
            <v>150</v>
          </cell>
          <cell r="K159"/>
        </row>
        <row r="160">
          <cell r="F160" t="str">
            <v>Nguyễn Văn Minh</v>
          </cell>
          <cell r="G160"/>
          <cell r="H160">
            <v>20</v>
          </cell>
          <cell r="I160">
            <v>1000000</v>
          </cell>
          <cell r="J160">
            <v>151</v>
          </cell>
          <cell r="K160"/>
        </row>
        <row r="161">
          <cell r="F161" t="str">
            <v>Nguyễn Thị Khánh Thư</v>
          </cell>
          <cell r="G161"/>
          <cell r="H161">
            <v>20</v>
          </cell>
          <cell r="I161">
            <v>1000000</v>
          </cell>
          <cell r="J161">
            <v>152</v>
          </cell>
          <cell r="K161"/>
        </row>
        <row r="162">
          <cell r="F162" t="str">
            <v>Đỗ Thị Hải Yến</v>
          </cell>
          <cell r="G162"/>
          <cell r="H162">
            <v>20</v>
          </cell>
          <cell r="I162">
            <v>1000000</v>
          </cell>
          <cell r="J162">
            <v>153</v>
          </cell>
          <cell r="K162"/>
        </row>
        <row r="163">
          <cell r="F163" t="str">
            <v>Lê Hồng Thái</v>
          </cell>
          <cell r="G163"/>
          <cell r="H163">
            <v>20</v>
          </cell>
          <cell r="I163">
            <v>1000000</v>
          </cell>
          <cell r="J163">
            <v>154</v>
          </cell>
          <cell r="K163"/>
        </row>
        <row r="164">
          <cell r="F164" t="str">
            <v>Đặng Ngọc Đoàn</v>
          </cell>
          <cell r="G164"/>
          <cell r="H164">
            <v>20</v>
          </cell>
          <cell r="I164">
            <v>1000000</v>
          </cell>
          <cell r="J164">
            <v>155</v>
          </cell>
          <cell r="K164"/>
        </row>
        <row r="165">
          <cell r="F165" t="str">
            <v>Nguyễn Văn Đôn</v>
          </cell>
          <cell r="G165"/>
          <cell r="H165">
            <v>20</v>
          </cell>
          <cell r="I165">
            <v>1000000</v>
          </cell>
          <cell r="J165">
            <v>156</v>
          </cell>
          <cell r="K165"/>
        </row>
        <row r="166">
          <cell r="F166" t="str">
            <v>Huỳnh Quốc Dũng</v>
          </cell>
          <cell r="G166"/>
          <cell r="H166">
            <v>20</v>
          </cell>
          <cell r="I166">
            <v>1000000</v>
          </cell>
          <cell r="J166">
            <v>157</v>
          </cell>
          <cell r="K166"/>
        </row>
        <row r="167">
          <cell r="F167" t="str">
            <v>Dương Ngọc Vọng</v>
          </cell>
          <cell r="G167"/>
          <cell r="H167">
            <v>20</v>
          </cell>
          <cell r="I167">
            <v>1000000</v>
          </cell>
          <cell r="J167">
            <v>158</v>
          </cell>
          <cell r="K167"/>
        </row>
        <row r="168">
          <cell r="F168" t="str">
            <v>Nguyễn Ngọc Tuyên</v>
          </cell>
          <cell r="G168"/>
          <cell r="H168">
            <v>20</v>
          </cell>
          <cell r="I168">
            <v>1000000</v>
          </cell>
          <cell r="J168">
            <v>159</v>
          </cell>
          <cell r="K168"/>
        </row>
        <row r="169">
          <cell r="F169" t="str">
            <v>Nguyễn Cao Phong</v>
          </cell>
          <cell r="G169"/>
          <cell r="H169">
            <v>20</v>
          </cell>
          <cell r="I169">
            <v>1000000</v>
          </cell>
          <cell r="J169">
            <v>160</v>
          </cell>
          <cell r="K169"/>
        </row>
        <row r="170">
          <cell r="F170" t="str">
            <v>Mai Chiếm Tuấn</v>
          </cell>
          <cell r="G170"/>
          <cell r="H170">
            <v>20</v>
          </cell>
          <cell r="I170">
            <v>1000000</v>
          </cell>
          <cell r="J170">
            <v>161</v>
          </cell>
          <cell r="K170"/>
        </row>
        <row r="171">
          <cell r="F171" t="str">
            <v>Đỗ Tuấn Việt</v>
          </cell>
          <cell r="G171"/>
          <cell r="H171">
            <v>20</v>
          </cell>
          <cell r="I171">
            <v>1000000</v>
          </cell>
          <cell r="J171">
            <v>162</v>
          </cell>
          <cell r="K171"/>
        </row>
        <row r="172">
          <cell r="F172" t="str">
            <v>Trần Vĩnh Xuyên</v>
          </cell>
          <cell r="G172"/>
          <cell r="H172">
            <v>20</v>
          </cell>
          <cell r="I172">
            <v>1000000</v>
          </cell>
          <cell r="J172">
            <v>163</v>
          </cell>
          <cell r="K172"/>
        </row>
        <row r="173">
          <cell r="F173" t="str">
            <v>Đào Lê Phương Anh</v>
          </cell>
          <cell r="G173"/>
          <cell r="H173">
            <v>20</v>
          </cell>
          <cell r="I173">
            <v>1000000</v>
          </cell>
          <cell r="J173">
            <v>164</v>
          </cell>
          <cell r="K173"/>
        </row>
        <row r="174">
          <cell r="F174" t="str">
            <v>Nguyễn Duy Lộc</v>
          </cell>
          <cell r="G174"/>
          <cell r="H174">
            <v>20</v>
          </cell>
          <cell r="I174">
            <v>1000000</v>
          </cell>
          <cell r="J174">
            <v>165</v>
          </cell>
          <cell r="K174"/>
        </row>
        <row r="175">
          <cell r="F175" t="str">
            <v>Chung Trần Thế Vinh</v>
          </cell>
          <cell r="G175" t="str">
            <v>Khoa Cơ khí</v>
          </cell>
          <cell r="H175">
            <v>22</v>
          </cell>
          <cell r="I175">
            <v>1100000</v>
          </cell>
          <cell r="J175">
            <v>166</v>
          </cell>
          <cell r="K175"/>
        </row>
        <row r="176">
          <cell r="F176" t="str">
            <v>Đỗ Thị Phương Khanh</v>
          </cell>
          <cell r="G176"/>
          <cell r="H176">
            <v>20</v>
          </cell>
          <cell r="I176">
            <v>1000000</v>
          </cell>
          <cell r="J176">
            <v>167</v>
          </cell>
          <cell r="K176"/>
        </row>
        <row r="177">
          <cell r="F177" t="str">
            <v>Trương Thị Phương Hồng</v>
          </cell>
          <cell r="G177"/>
          <cell r="H177">
            <v>20</v>
          </cell>
          <cell r="I177">
            <v>1000000</v>
          </cell>
          <cell r="J177">
            <v>168</v>
          </cell>
          <cell r="K177"/>
        </row>
        <row r="178">
          <cell r="F178" t="str">
            <v>Dương Minh Chung</v>
          </cell>
          <cell r="G178"/>
          <cell r="H178">
            <v>20</v>
          </cell>
          <cell r="I178">
            <v>1000000</v>
          </cell>
          <cell r="J178">
            <v>169</v>
          </cell>
          <cell r="K178"/>
        </row>
        <row r="179">
          <cell r="F179" t="str">
            <v>Phan Văn Thành</v>
          </cell>
          <cell r="G179"/>
          <cell r="H179">
            <v>20</v>
          </cell>
          <cell r="I179">
            <v>1000000</v>
          </cell>
          <cell r="J179">
            <v>170</v>
          </cell>
          <cell r="K179"/>
        </row>
        <row r="180">
          <cell r="F180" t="str">
            <v>Vũ Đức Pháp</v>
          </cell>
          <cell r="G180"/>
          <cell r="H180">
            <v>20</v>
          </cell>
          <cell r="I180">
            <v>1000000</v>
          </cell>
          <cell r="J180">
            <v>171</v>
          </cell>
          <cell r="K180"/>
        </row>
        <row r="181">
          <cell r="F181" t="str">
            <v>Vũ Quang Khải</v>
          </cell>
          <cell r="G181"/>
          <cell r="H181">
            <v>20</v>
          </cell>
          <cell r="I181">
            <v>1000000</v>
          </cell>
          <cell r="J181">
            <v>172</v>
          </cell>
          <cell r="K181"/>
        </row>
        <row r="182">
          <cell r="F182" t="str">
            <v>Nguyễn Thanh Vũ</v>
          </cell>
          <cell r="G182"/>
          <cell r="H182">
            <v>20</v>
          </cell>
          <cell r="I182">
            <v>1000000</v>
          </cell>
          <cell r="J182">
            <v>173</v>
          </cell>
          <cell r="K182"/>
        </row>
        <row r="183">
          <cell r="F183" t="str">
            <v>Phan Thị Xuân Trang</v>
          </cell>
          <cell r="G183"/>
          <cell r="H183">
            <v>20</v>
          </cell>
          <cell r="I183">
            <v>1000000</v>
          </cell>
          <cell r="J183">
            <v>174</v>
          </cell>
          <cell r="K183"/>
        </row>
        <row r="184">
          <cell r="F184" t="str">
            <v>Trần Đình Khải</v>
          </cell>
          <cell r="G184"/>
          <cell r="H184">
            <v>20</v>
          </cell>
          <cell r="I184">
            <v>1000000</v>
          </cell>
          <cell r="J184">
            <v>175</v>
          </cell>
          <cell r="K184"/>
        </row>
        <row r="185">
          <cell r="F185" t="str">
            <v>Lư Thị Yến Vũ</v>
          </cell>
          <cell r="G185"/>
          <cell r="H185">
            <v>20</v>
          </cell>
          <cell r="I185">
            <v>1000000</v>
          </cell>
          <cell r="J185">
            <v>176</v>
          </cell>
          <cell r="K185"/>
        </row>
        <row r="186">
          <cell r="F186" t="str">
            <v>Nguyễn Tiến Dũng</v>
          </cell>
          <cell r="G186"/>
          <cell r="H186">
            <v>20</v>
          </cell>
          <cell r="I186">
            <v>1000000</v>
          </cell>
          <cell r="J186">
            <v>177</v>
          </cell>
          <cell r="K186"/>
        </row>
        <row r="187">
          <cell r="F187" t="str">
            <v>Nguyễn Thành Long</v>
          </cell>
          <cell r="G187"/>
          <cell r="H187">
            <v>20</v>
          </cell>
          <cell r="I187">
            <v>1000000</v>
          </cell>
          <cell r="J187">
            <v>178</v>
          </cell>
          <cell r="K187"/>
        </row>
        <row r="188">
          <cell r="F188" t="str">
            <v>Nguyễn Ngọc Quỳnh.</v>
          </cell>
          <cell r="G188"/>
          <cell r="H188">
            <v>20</v>
          </cell>
          <cell r="I188">
            <v>1000000</v>
          </cell>
          <cell r="J188">
            <v>179</v>
          </cell>
          <cell r="K188"/>
        </row>
        <row r="189">
          <cell r="F189" t="str">
            <v>Nguyễn Duy Hải</v>
          </cell>
          <cell r="G189"/>
          <cell r="H189">
            <v>20</v>
          </cell>
          <cell r="I189">
            <v>1000000</v>
          </cell>
          <cell r="J189">
            <v>180</v>
          </cell>
          <cell r="K189"/>
        </row>
        <row r="190">
          <cell r="F190" t="str">
            <v>Bùi Anh Tuấn</v>
          </cell>
          <cell r="G190"/>
          <cell r="H190">
            <v>20</v>
          </cell>
          <cell r="I190">
            <v>1000000</v>
          </cell>
          <cell r="J190">
            <v>181</v>
          </cell>
          <cell r="K190"/>
        </row>
        <row r="191">
          <cell r="F191" t="str">
            <v>Trần Thị Hương</v>
          </cell>
          <cell r="G191"/>
          <cell r="H191">
            <v>20</v>
          </cell>
          <cell r="I191">
            <v>1000000</v>
          </cell>
          <cell r="J191">
            <v>182</v>
          </cell>
          <cell r="K191"/>
        </row>
        <row r="192">
          <cell r="F192" t="str">
            <v>Trần Minh Thông</v>
          </cell>
          <cell r="G192"/>
          <cell r="H192">
            <v>20</v>
          </cell>
          <cell r="I192">
            <v>1000000</v>
          </cell>
          <cell r="J192">
            <v>183</v>
          </cell>
          <cell r="K192"/>
        </row>
        <row r="193">
          <cell r="F193" t="str">
            <v>Nguyễn Thanh Vĩnh Phúc</v>
          </cell>
          <cell r="G193"/>
          <cell r="H193">
            <v>20</v>
          </cell>
          <cell r="I193">
            <v>1000000</v>
          </cell>
          <cell r="J193">
            <v>184</v>
          </cell>
          <cell r="K193"/>
        </row>
        <row r="194">
          <cell r="F194" t="str">
            <v>Dương Thị Hồng</v>
          </cell>
          <cell r="G194"/>
          <cell r="H194">
            <v>20</v>
          </cell>
          <cell r="I194">
            <v>1000000</v>
          </cell>
          <cell r="J194">
            <v>185</v>
          </cell>
          <cell r="K194"/>
        </row>
        <row r="195">
          <cell r="F195" t="str">
            <v>Nguyễn Thanh Giang</v>
          </cell>
          <cell r="G195"/>
          <cell r="H195">
            <v>20</v>
          </cell>
          <cell r="I195">
            <v>1000000</v>
          </cell>
          <cell r="J195">
            <v>186</v>
          </cell>
          <cell r="K195"/>
        </row>
        <row r="196">
          <cell r="F196" t="str">
            <v>Nguyễn Hồng Phúc</v>
          </cell>
          <cell r="G196"/>
          <cell r="H196">
            <v>20</v>
          </cell>
          <cell r="I196">
            <v>1000000</v>
          </cell>
          <cell r="J196">
            <v>187</v>
          </cell>
          <cell r="K196"/>
        </row>
        <row r="197">
          <cell r="F197" t="str">
            <v>Nguyễn Văn Sơn</v>
          </cell>
          <cell r="G197"/>
          <cell r="H197">
            <v>20</v>
          </cell>
          <cell r="I197">
            <v>1000000</v>
          </cell>
          <cell r="J197">
            <v>188</v>
          </cell>
          <cell r="K197"/>
        </row>
        <row r="198">
          <cell r="F198" t="str">
            <v>Nguyễn Khắc Huy</v>
          </cell>
          <cell r="G198"/>
          <cell r="H198">
            <v>20</v>
          </cell>
          <cell r="I198">
            <v>1000000</v>
          </cell>
          <cell r="J198">
            <v>189</v>
          </cell>
          <cell r="K198"/>
        </row>
        <row r="199">
          <cell r="F199" t="str">
            <v>Võ Hoài Sơn</v>
          </cell>
          <cell r="G199"/>
          <cell r="H199">
            <v>20</v>
          </cell>
          <cell r="I199">
            <v>1000000</v>
          </cell>
          <cell r="J199">
            <v>190</v>
          </cell>
          <cell r="K199"/>
        </row>
        <row r="200">
          <cell r="F200" t="str">
            <v>Nguyễn Thị Xuân Chinh</v>
          </cell>
          <cell r="G200"/>
          <cell r="H200">
            <v>20</v>
          </cell>
          <cell r="I200">
            <v>1000000</v>
          </cell>
          <cell r="J200">
            <v>191</v>
          </cell>
          <cell r="K200"/>
        </row>
        <row r="201">
          <cell r="F201" t="str">
            <v>Nguyễn Duy Tân</v>
          </cell>
          <cell r="G201"/>
          <cell r="H201">
            <v>20</v>
          </cell>
          <cell r="I201">
            <v>1000000</v>
          </cell>
          <cell r="J201">
            <v>192</v>
          </cell>
          <cell r="K201"/>
        </row>
        <row r="202">
          <cell r="F202" t="str">
            <v>Nguyễn Ngọc Hiệp</v>
          </cell>
          <cell r="G202"/>
          <cell r="H202">
            <v>20</v>
          </cell>
          <cell r="I202">
            <v>1000000</v>
          </cell>
          <cell r="J202">
            <v>193</v>
          </cell>
          <cell r="K202"/>
        </row>
        <row r="203">
          <cell r="F203" t="str">
            <v>Tạ Minh Cường</v>
          </cell>
          <cell r="G203" t="str">
            <v>Khoa Điện-
Điện tử</v>
          </cell>
          <cell r="H203">
            <v>20</v>
          </cell>
          <cell r="I203">
            <v>1000000</v>
          </cell>
          <cell r="J203">
            <v>194</v>
          </cell>
          <cell r="K203"/>
        </row>
        <row r="204">
          <cell r="F204" t="str">
            <v>Phạm Minh Nghĩa</v>
          </cell>
          <cell r="G204"/>
          <cell r="H204">
            <v>20</v>
          </cell>
          <cell r="I204">
            <v>1000000</v>
          </cell>
          <cell r="J204">
            <v>195</v>
          </cell>
          <cell r="K204"/>
        </row>
        <row r="205">
          <cell r="F205" t="str">
            <v>Nguyễn Văn Yên</v>
          </cell>
          <cell r="G205"/>
          <cell r="H205">
            <v>20</v>
          </cell>
          <cell r="I205">
            <v>1000000</v>
          </cell>
          <cell r="J205">
            <v>196</v>
          </cell>
          <cell r="K205"/>
        </row>
        <row r="206">
          <cell r="F206" t="str">
            <v>Nguyễn Minh Đức</v>
          </cell>
          <cell r="G206"/>
          <cell r="H206">
            <v>20</v>
          </cell>
          <cell r="I206">
            <v>1000000</v>
          </cell>
          <cell r="J206">
            <v>197</v>
          </cell>
          <cell r="K206"/>
        </row>
        <row r="207">
          <cell r="F207" t="str">
            <v>Nguyễn Anh Tăng</v>
          </cell>
          <cell r="G207"/>
          <cell r="H207">
            <v>20</v>
          </cell>
          <cell r="I207">
            <v>1000000</v>
          </cell>
          <cell r="J207">
            <v>198</v>
          </cell>
          <cell r="K207"/>
        </row>
        <row r="208">
          <cell r="F208" t="str">
            <v>Lê Thế Huân</v>
          </cell>
          <cell r="G208"/>
          <cell r="H208">
            <v>20</v>
          </cell>
          <cell r="I208">
            <v>1000000</v>
          </cell>
          <cell r="J208">
            <v>199</v>
          </cell>
          <cell r="K208"/>
        </row>
        <row r="209">
          <cell r="F209" t="str">
            <v>Lâm Viết Dũng</v>
          </cell>
          <cell r="G209"/>
          <cell r="H209">
            <v>20</v>
          </cell>
          <cell r="I209">
            <v>1000000</v>
          </cell>
          <cell r="J209">
            <v>200</v>
          </cell>
          <cell r="K209"/>
        </row>
        <row r="210">
          <cell r="F210" t="str">
            <v>Trần Trung Hiếu</v>
          </cell>
          <cell r="G210"/>
          <cell r="H210">
            <v>20</v>
          </cell>
          <cell r="I210">
            <v>1000000</v>
          </cell>
          <cell r="J210">
            <v>201</v>
          </cell>
          <cell r="K210"/>
        </row>
        <row r="211">
          <cell r="F211" t="str">
            <v>Trần Nguyên Bảo Trân</v>
          </cell>
          <cell r="G211"/>
          <cell r="H211">
            <v>20</v>
          </cell>
          <cell r="I211">
            <v>1000000</v>
          </cell>
          <cell r="J211">
            <v>202</v>
          </cell>
          <cell r="K211"/>
        </row>
        <row r="212">
          <cell r="F212" t="str">
            <v>Mạnh Lê Hoàn</v>
          </cell>
          <cell r="G212"/>
          <cell r="H212">
            <v>20</v>
          </cell>
          <cell r="I212">
            <v>1000000</v>
          </cell>
          <cell r="J212">
            <v>203</v>
          </cell>
          <cell r="K212"/>
        </row>
        <row r="213">
          <cell r="F213" t="str">
            <v>Ngô Hoàng Anh</v>
          </cell>
          <cell r="G213"/>
          <cell r="H213">
            <v>20</v>
          </cell>
          <cell r="I213">
            <v>1000000</v>
          </cell>
          <cell r="J213">
            <v>204</v>
          </cell>
          <cell r="K213"/>
        </row>
        <row r="214">
          <cell r="F214" t="str">
            <v>Nguyễn Thùy Linh</v>
          </cell>
          <cell r="G214"/>
          <cell r="H214">
            <v>20</v>
          </cell>
          <cell r="I214">
            <v>1000000</v>
          </cell>
          <cell r="J214">
            <v>205</v>
          </cell>
          <cell r="K214"/>
        </row>
        <row r="215">
          <cell r="F215" t="str">
            <v>Vũ Hạnh Chiêu</v>
          </cell>
          <cell r="G215"/>
          <cell r="H215">
            <v>20</v>
          </cell>
          <cell r="I215">
            <v>1000000</v>
          </cell>
          <cell r="J215">
            <v>206</v>
          </cell>
          <cell r="K215"/>
        </row>
        <row r="216">
          <cell r="F216" t="str">
            <v>Đỗ Huỳnh Thanh Phong</v>
          </cell>
          <cell r="G216"/>
          <cell r="H216">
            <v>20</v>
          </cell>
          <cell r="I216">
            <v>1000000</v>
          </cell>
          <cell r="J216">
            <v>207</v>
          </cell>
          <cell r="K216"/>
        </row>
        <row r="217">
          <cell r="F217" t="str">
            <v>Nguyễn Minh Đức Cường</v>
          </cell>
          <cell r="G217"/>
          <cell r="H217">
            <v>20</v>
          </cell>
          <cell r="I217">
            <v>1000000</v>
          </cell>
          <cell r="J217">
            <v>208</v>
          </cell>
          <cell r="K217"/>
        </row>
        <row r="218">
          <cell r="F218" t="str">
            <v>Huỳnh Ngọc Mai</v>
          </cell>
          <cell r="G218"/>
          <cell r="H218">
            <v>20</v>
          </cell>
          <cell r="I218">
            <v>1000000</v>
          </cell>
          <cell r="J218">
            <v>209</v>
          </cell>
          <cell r="K218"/>
        </row>
        <row r="219">
          <cell r="F219" t="str">
            <v>Nguyễn Hồng Đức</v>
          </cell>
          <cell r="G219"/>
          <cell r="H219">
            <v>20</v>
          </cell>
          <cell r="I219">
            <v>1000000</v>
          </cell>
          <cell r="J219">
            <v>210</v>
          </cell>
          <cell r="K219"/>
        </row>
        <row r="220">
          <cell r="F220" t="str">
            <v>Trần Công Tiến</v>
          </cell>
          <cell r="G220"/>
          <cell r="H220">
            <v>20</v>
          </cell>
          <cell r="I220">
            <v>1000000</v>
          </cell>
          <cell r="J220">
            <v>211</v>
          </cell>
          <cell r="K220"/>
        </row>
        <row r="221">
          <cell r="F221" t="str">
            <v>Nguyễn Trần Thanh Nhàn</v>
          </cell>
          <cell r="G221"/>
          <cell r="H221">
            <v>20</v>
          </cell>
          <cell r="I221">
            <v>1000000</v>
          </cell>
          <cell r="J221">
            <v>212</v>
          </cell>
          <cell r="K221"/>
        </row>
        <row r="222">
          <cell r="F222" t="str">
            <v>Tăng Cẩm Huê</v>
          </cell>
          <cell r="G222"/>
          <cell r="H222">
            <v>20</v>
          </cell>
          <cell r="I222">
            <v>1000000</v>
          </cell>
          <cell r="J222">
            <v>213</v>
          </cell>
          <cell r="K222"/>
        </row>
        <row r="223">
          <cell r="F223" t="str">
            <v>Trần Hiếu Trinh</v>
          </cell>
          <cell r="G223"/>
          <cell r="H223">
            <v>20</v>
          </cell>
          <cell r="I223">
            <v>1000000</v>
          </cell>
          <cell r="J223">
            <v>214</v>
          </cell>
          <cell r="K223"/>
        </row>
        <row r="224">
          <cell r="F224" t="str">
            <v>Nguyễn Thị Tố Nga</v>
          </cell>
          <cell r="G224"/>
          <cell r="H224">
            <v>20</v>
          </cell>
          <cell r="I224">
            <v>1000000</v>
          </cell>
          <cell r="J224">
            <v>215</v>
          </cell>
          <cell r="K224"/>
        </row>
        <row r="225">
          <cell r="F225" t="str">
            <v>Đặng Đức Minh</v>
          </cell>
          <cell r="G225"/>
          <cell r="H225">
            <v>20</v>
          </cell>
          <cell r="I225">
            <v>1000000</v>
          </cell>
          <cell r="J225">
            <v>216</v>
          </cell>
          <cell r="K225"/>
        </row>
        <row r="226">
          <cell r="F226" t="str">
            <v>Nguyễn Thị Ngọc Hiền</v>
          </cell>
          <cell r="G226"/>
          <cell r="H226">
            <v>20</v>
          </cell>
          <cell r="I226">
            <v>1000000</v>
          </cell>
          <cell r="J226">
            <v>217</v>
          </cell>
          <cell r="K226"/>
        </row>
        <row r="227">
          <cell r="F227" t="str">
            <v>Ngô Phong Cường</v>
          </cell>
          <cell r="G227"/>
          <cell r="H227">
            <v>20</v>
          </cell>
          <cell r="I227">
            <v>1000000</v>
          </cell>
          <cell r="J227">
            <v>218</v>
          </cell>
          <cell r="K227"/>
        </row>
        <row r="228">
          <cell r="F228" t="str">
            <v>Cao Văn Tuấn</v>
          </cell>
          <cell r="G228"/>
          <cell r="H228">
            <v>20</v>
          </cell>
          <cell r="I228">
            <v>1000000</v>
          </cell>
          <cell r="J228">
            <v>219</v>
          </cell>
          <cell r="K228"/>
        </row>
        <row r="229">
          <cell r="F229" t="str">
            <v>Trần Nam Anh</v>
          </cell>
          <cell r="G229"/>
          <cell r="H229">
            <v>20</v>
          </cell>
          <cell r="I229">
            <v>1000000</v>
          </cell>
          <cell r="J229">
            <v>220</v>
          </cell>
          <cell r="K229"/>
        </row>
        <row r="230">
          <cell r="F230" t="str">
            <v>Trần Giang Nam</v>
          </cell>
          <cell r="G230"/>
          <cell r="H230">
            <v>20</v>
          </cell>
          <cell r="I230">
            <v>1000000</v>
          </cell>
          <cell r="J230">
            <v>221</v>
          </cell>
          <cell r="K230"/>
        </row>
        <row r="231">
          <cell r="F231" t="str">
            <v>Phan Thanh Hoàng</v>
          </cell>
          <cell r="G231"/>
          <cell r="H231">
            <v>20</v>
          </cell>
          <cell r="I231">
            <v>1000000</v>
          </cell>
          <cell r="J231">
            <v>222</v>
          </cell>
          <cell r="K231"/>
        </row>
        <row r="232">
          <cell r="F232" t="str">
            <v>Huỳnh Duy An</v>
          </cell>
          <cell r="G232"/>
          <cell r="H232">
            <v>20</v>
          </cell>
          <cell r="I232">
            <v>1000000</v>
          </cell>
          <cell r="J232">
            <v>223</v>
          </cell>
          <cell r="K232"/>
        </row>
        <row r="233">
          <cell r="F233" t="str">
            <v>Nguyễn Khương Thành</v>
          </cell>
          <cell r="G233"/>
          <cell r="H233">
            <v>20</v>
          </cell>
          <cell r="I233">
            <v>1000000</v>
          </cell>
          <cell r="J233">
            <v>224</v>
          </cell>
          <cell r="K233"/>
        </row>
        <row r="234">
          <cell r="F234" t="str">
            <v>Nguyễn Anh Tuấn</v>
          </cell>
          <cell r="G234" t="str">
            <v>Khoa Động Lực</v>
          </cell>
          <cell r="H234">
            <v>20</v>
          </cell>
          <cell r="I234">
            <v>1000000</v>
          </cell>
          <cell r="J234">
            <v>225</v>
          </cell>
          <cell r="K234"/>
        </row>
        <row r="235">
          <cell r="F235" t="str">
            <v>Võ Đắc Thịnh</v>
          </cell>
          <cell r="G235"/>
          <cell r="H235">
            <v>20</v>
          </cell>
          <cell r="I235">
            <v>1000000</v>
          </cell>
          <cell r="J235">
            <v>226</v>
          </cell>
          <cell r="K235"/>
        </row>
        <row r="236">
          <cell r="F236" t="str">
            <v>Nguyễn Hữu Mạnh</v>
          </cell>
          <cell r="G236"/>
          <cell r="H236">
            <v>20</v>
          </cell>
          <cell r="I236">
            <v>1000000</v>
          </cell>
          <cell r="J236">
            <v>227</v>
          </cell>
          <cell r="K236"/>
        </row>
        <row r="237">
          <cell r="F237" t="str">
            <v>Phan Anh Tuấn Kiệt</v>
          </cell>
          <cell r="G237"/>
          <cell r="H237">
            <v>20</v>
          </cell>
          <cell r="I237">
            <v>1000000</v>
          </cell>
          <cell r="J237">
            <v>228</v>
          </cell>
          <cell r="K237"/>
        </row>
        <row r="238">
          <cell r="F238" t="str">
            <v>Triệu Phú Nguyên</v>
          </cell>
          <cell r="G238"/>
          <cell r="H238">
            <v>20</v>
          </cell>
          <cell r="I238">
            <v>1000000</v>
          </cell>
          <cell r="J238">
            <v>229</v>
          </cell>
          <cell r="K238"/>
        </row>
        <row r="239">
          <cell r="F239" t="str">
            <v>Nguyễn Thành Đức</v>
          </cell>
          <cell r="G239"/>
          <cell r="H239">
            <v>20</v>
          </cell>
          <cell r="I239">
            <v>1000000</v>
          </cell>
          <cell r="J239">
            <v>230</v>
          </cell>
          <cell r="K239"/>
        </row>
        <row r="240">
          <cell r="F240" t="str">
            <v>Nguyễn Minh Thái</v>
          </cell>
          <cell r="G240"/>
          <cell r="H240">
            <v>20</v>
          </cell>
          <cell r="I240">
            <v>1000000</v>
          </cell>
          <cell r="J240">
            <v>231</v>
          </cell>
          <cell r="K240"/>
        </row>
        <row r="241">
          <cell r="F241" t="str">
            <v>Đặng Thái Sơn</v>
          </cell>
          <cell r="G241"/>
          <cell r="H241">
            <v>20</v>
          </cell>
          <cell r="I241">
            <v>1000000</v>
          </cell>
          <cell r="J241">
            <v>232</v>
          </cell>
          <cell r="K241"/>
        </row>
        <row r="242">
          <cell r="F242" t="str">
            <v>Nguyễn Thái Bình</v>
          </cell>
          <cell r="G242"/>
          <cell r="H242">
            <v>20</v>
          </cell>
          <cell r="I242">
            <v>1000000</v>
          </cell>
          <cell r="J242">
            <v>233</v>
          </cell>
          <cell r="K242"/>
        </row>
        <row r="243">
          <cell r="F243" t="str">
            <v>Kiều Trung Tín</v>
          </cell>
          <cell r="G243"/>
          <cell r="H243">
            <v>32</v>
          </cell>
          <cell r="I243">
            <v>1600000</v>
          </cell>
          <cell r="J243">
            <v>234</v>
          </cell>
          <cell r="K243" t="str">
            <v>Cộng 12 ngày công T8/2025 (Theo Tờ trình của TK)</v>
          </cell>
        </row>
        <row r="244">
          <cell r="F244" t="str">
            <v>Trần Quốc Duy</v>
          </cell>
          <cell r="G244"/>
          <cell r="H244">
            <v>20</v>
          </cell>
          <cell r="I244">
            <v>1000000</v>
          </cell>
          <cell r="J244">
            <v>235</v>
          </cell>
          <cell r="K244"/>
        </row>
        <row r="245">
          <cell r="F245" t="str">
            <v>Hồ Văn Hóa</v>
          </cell>
          <cell r="G245"/>
          <cell r="H245">
            <v>20</v>
          </cell>
          <cell r="I245">
            <v>1000000</v>
          </cell>
          <cell r="J245">
            <v>236</v>
          </cell>
          <cell r="K245"/>
        </row>
        <row r="246">
          <cell r="F246" t="str">
            <v>Nguyễn Thanh Hùng</v>
          </cell>
          <cell r="G246"/>
          <cell r="H246">
            <v>20</v>
          </cell>
          <cell r="I246">
            <v>1000000</v>
          </cell>
          <cell r="J246">
            <v>237</v>
          </cell>
          <cell r="K246"/>
        </row>
        <row r="247">
          <cell r="F247" t="str">
            <v>Hà Quốc Bảo</v>
          </cell>
          <cell r="G247"/>
          <cell r="H247">
            <v>20</v>
          </cell>
          <cell r="I247">
            <v>1000000</v>
          </cell>
          <cell r="J247">
            <v>238</v>
          </cell>
          <cell r="K247"/>
        </row>
        <row r="248">
          <cell r="F248" t="str">
            <v>Hoàng Phúc Bảo</v>
          </cell>
          <cell r="G248"/>
          <cell r="H248">
            <v>20</v>
          </cell>
          <cell r="I248">
            <v>1000000</v>
          </cell>
          <cell r="J248">
            <v>239</v>
          </cell>
          <cell r="K248"/>
        </row>
        <row r="249">
          <cell r="F249" t="str">
            <v>Nguyễn Lương Tâm</v>
          </cell>
          <cell r="G249"/>
          <cell r="H249">
            <v>20</v>
          </cell>
          <cell r="I249">
            <v>1000000</v>
          </cell>
          <cell r="J249">
            <v>240</v>
          </cell>
          <cell r="K249"/>
        </row>
        <row r="250">
          <cell r="F250" t="str">
            <v>Trần Thế Sơn</v>
          </cell>
          <cell r="G250"/>
          <cell r="H250">
            <v>20</v>
          </cell>
          <cell r="I250">
            <v>1000000</v>
          </cell>
          <cell r="J250">
            <v>241</v>
          </cell>
          <cell r="K250"/>
        </row>
        <row r="251">
          <cell r="F251" t="str">
            <v>Trần Văn Đông</v>
          </cell>
          <cell r="G251"/>
          <cell r="H251">
            <v>20</v>
          </cell>
          <cell r="I251">
            <v>1000000</v>
          </cell>
          <cell r="J251">
            <v>242</v>
          </cell>
          <cell r="K251"/>
        </row>
        <row r="252">
          <cell r="F252" t="str">
            <v>Lý Văn Trung</v>
          </cell>
          <cell r="G252"/>
          <cell r="H252">
            <v>26</v>
          </cell>
          <cell r="I252">
            <v>1300000</v>
          </cell>
          <cell r="J252">
            <v>243</v>
          </cell>
          <cell r="K252" t="str">
            <v>Cộng 6 ngày công T7/2025 (Theo Tờ trình của TK)</v>
          </cell>
        </row>
        <row r="253">
          <cell r="F253" t="str">
            <v>Nguyễn Hoàng Vinh</v>
          </cell>
          <cell r="G253"/>
          <cell r="H253">
            <v>20</v>
          </cell>
          <cell r="I253">
            <v>1000000</v>
          </cell>
          <cell r="J253">
            <v>244</v>
          </cell>
          <cell r="K253"/>
        </row>
        <row r="254">
          <cell r="F254" t="str">
            <v>Bùi Trọng Tân</v>
          </cell>
          <cell r="G254"/>
          <cell r="H254">
            <v>20</v>
          </cell>
          <cell r="I254">
            <v>1000000</v>
          </cell>
          <cell r="J254">
            <v>245</v>
          </cell>
          <cell r="K254"/>
        </row>
        <row r="255">
          <cell r="F255" t="str">
            <v>Giang Văn Tiến</v>
          </cell>
          <cell r="G255"/>
          <cell r="H255">
            <v>25</v>
          </cell>
          <cell r="I255">
            <v>1250000</v>
          </cell>
          <cell r="J255">
            <v>246</v>
          </cell>
          <cell r="K255" t="str">
            <v>Cộng 5 ngày công T7+8/2025 (Theo Tờ trình của TK)</v>
          </cell>
        </row>
        <row r="256">
          <cell r="F256" t="str">
            <v>Nguyễn Hữu Lương</v>
          </cell>
          <cell r="G256"/>
          <cell r="H256">
            <v>20</v>
          </cell>
          <cell r="I256">
            <v>1000000</v>
          </cell>
          <cell r="J256">
            <v>247</v>
          </cell>
          <cell r="K256"/>
        </row>
        <row r="257">
          <cell r="F257" t="str">
            <v>Huỳnh Đình Văn</v>
          </cell>
          <cell r="G257"/>
          <cell r="H257">
            <v>20</v>
          </cell>
          <cell r="I257">
            <v>1000000</v>
          </cell>
          <cell r="J257">
            <v>248</v>
          </cell>
          <cell r="K257"/>
        </row>
        <row r="258">
          <cell r="F258" t="str">
            <v>Phạm Quang Vũ</v>
          </cell>
          <cell r="G258" t="str">
            <v>Khoa Xây dựng - Nhiệt lạnh</v>
          </cell>
          <cell r="H258">
            <v>20</v>
          </cell>
          <cell r="I258">
            <v>1000000</v>
          </cell>
          <cell r="J258">
            <v>249</v>
          </cell>
          <cell r="K258"/>
        </row>
        <row r="259">
          <cell r="F259" t="str">
            <v>Trình Minh Phong</v>
          </cell>
          <cell r="G259"/>
          <cell r="H259">
            <v>20</v>
          </cell>
          <cell r="I259">
            <v>1000000</v>
          </cell>
          <cell r="J259">
            <v>250</v>
          </cell>
          <cell r="K259"/>
        </row>
        <row r="260">
          <cell r="F260" t="str">
            <v>Trần Ngọc Tuấn</v>
          </cell>
          <cell r="G260"/>
          <cell r="H260">
            <v>20</v>
          </cell>
          <cell r="I260">
            <v>1000000</v>
          </cell>
          <cell r="J260">
            <v>251</v>
          </cell>
          <cell r="K260"/>
        </row>
        <row r="261">
          <cell r="F261" t="str">
            <v>Đặng Thế Huân</v>
          </cell>
          <cell r="G261"/>
          <cell r="H261">
            <v>20</v>
          </cell>
          <cell r="I261">
            <v>1000000</v>
          </cell>
          <cell r="J261">
            <v>252</v>
          </cell>
          <cell r="K261"/>
        </row>
        <row r="262">
          <cell r="F262" t="str">
            <v>Võ Anh Hào</v>
          </cell>
          <cell r="G262"/>
          <cell r="H262">
            <v>20</v>
          </cell>
          <cell r="I262">
            <v>1000000</v>
          </cell>
          <cell r="J262">
            <v>253</v>
          </cell>
          <cell r="K262"/>
        </row>
        <row r="263">
          <cell r="F263" t="str">
            <v>Phan Văn Hòa</v>
          </cell>
          <cell r="G263"/>
          <cell r="H263">
            <v>20</v>
          </cell>
          <cell r="I263">
            <v>1000000</v>
          </cell>
          <cell r="J263">
            <v>254</v>
          </cell>
          <cell r="K263"/>
        </row>
        <row r="264">
          <cell r="F264" t="str">
            <v>Trần Đình Khoa</v>
          </cell>
          <cell r="G264"/>
          <cell r="H264">
            <v>20</v>
          </cell>
          <cell r="I264">
            <v>1000000</v>
          </cell>
          <cell r="J264">
            <v>255</v>
          </cell>
          <cell r="K264"/>
        </row>
        <row r="265">
          <cell r="F265" t="str">
            <v>Đỗ Trọng Quý</v>
          </cell>
          <cell r="G265"/>
          <cell r="H265">
            <v>20</v>
          </cell>
          <cell r="I265">
            <v>1000000</v>
          </cell>
          <cell r="J265">
            <v>256</v>
          </cell>
          <cell r="K265"/>
        </row>
        <row r="266">
          <cell r="F266" t="str">
            <v>Nguyễn Vũ Xuân Thì</v>
          </cell>
          <cell r="G266"/>
          <cell r="H266">
            <v>20</v>
          </cell>
          <cell r="I266">
            <v>1000000</v>
          </cell>
          <cell r="J266">
            <v>257</v>
          </cell>
          <cell r="K266"/>
        </row>
        <row r="267">
          <cell r="F267" t="str">
            <v>Nguyễn Thanh Dũng</v>
          </cell>
          <cell r="G267"/>
          <cell r="H267">
            <v>20</v>
          </cell>
          <cell r="I267">
            <v>1000000</v>
          </cell>
          <cell r="J267">
            <v>258</v>
          </cell>
          <cell r="K267"/>
        </row>
      </sheetData>
      <sheetData sheetId="1"/>
      <sheetData sheetId="2">
        <row r="10">
          <cell r="G10" t="str">
            <v>Đồng Anh Tuấn</v>
          </cell>
          <cell r="H10" t="str">
            <v>P. TC-HC-TH</v>
          </cell>
          <cell r="I10">
            <v>24</v>
          </cell>
          <cell r="J10">
            <v>1200000</v>
          </cell>
          <cell r="K10">
            <v>1</v>
          </cell>
        </row>
        <row r="11">
          <cell r="G11" t="str">
            <v>Nguyễn Thanh Hiền</v>
          </cell>
          <cell r="I11">
            <v>24</v>
          </cell>
          <cell r="J11">
            <v>1200000</v>
          </cell>
          <cell r="K11">
            <v>2</v>
          </cell>
        </row>
        <row r="12">
          <cell r="G12" t="str">
            <v>Lê Hồng Phúc</v>
          </cell>
          <cell r="I12">
            <v>24</v>
          </cell>
          <cell r="J12">
            <v>1200000</v>
          </cell>
          <cell r="K12">
            <v>3</v>
          </cell>
        </row>
        <row r="13">
          <cell r="G13" t="str">
            <v>Nguyễn Hữu Xuân Vũ</v>
          </cell>
          <cell r="I13">
            <v>21</v>
          </cell>
          <cell r="J13">
            <v>1050000</v>
          </cell>
          <cell r="K13">
            <v>4</v>
          </cell>
          <cell r="L13" t="str">
            <v>Trừ 3 ngày nghỉ phép 4+5+6/9</v>
          </cell>
        </row>
        <row r="14">
          <cell r="G14" t="str">
            <v>Phạm Hữu Thành Phú</v>
          </cell>
          <cell r="I14">
            <v>24</v>
          </cell>
          <cell r="J14">
            <v>1200000</v>
          </cell>
          <cell r="K14">
            <v>5</v>
          </cell>
        </row>
        <row r="15">
          <cell r="G15" t="str">
            <v>Huỳnh Thanh Nhàn</v>
          </cell>
          <cell r="I15">
            <v>24</v>
          </cell>
          <cell r="J15">
            <v>1200000</v>
          </cell>
          <cell r="K15">
            <v>6</v>
          </cell>
        </row>
        <row r="16">
          <cell r="G16" t="str">
            <v>Phạm Quang Tùng</v>
          </cell>
          <cell r="I16">
            <v>24</v>
          </cell>
          <cell r="J16">
            <v>1200000</v>
          </cell>
          <cell r="K16">
            <v>7</v>
          </cell>
        </row>
        <row r="17">
          <cell r="G17" t="str">
            <v>Trần Thanh Cường</v>
          </cell>
          <cell r="I17">
            <v>24</v>
          </cell>
          <cell r="J17">
            <v>1200000</v>
          </cell>
          <cell r="K17">
            <v>8</v>
          </cell>
        </row>
        <row r="18">
          <cell r="G18" t="str">
            <v>Dương Văn Tâm</v>
          </cell>
          <cell r="I18">
            <v>24</v>
          </cell>
          <cell r="J18">
            <v>1200000</v>
          </cell>
          <cell r="K18">
            <v>9</v>
          </cell>
        </row>
        <row r="19">
          <cell r="G19" t="str">
            <v>Huỳnh Ngọc Liên</v>
          </cell>
          <cell r="I19">
            <v>24</v>
          </cell>
          <cell r="J19">
            <v>1200000</v>
          </cell>
          <cell r="K19">
            <v>10</v>
          </cell>
        </row>
        <row r="20">
          <cell r="G20" t="str">
            <v>Huỳnh Thị Xuân Mai</v>
          </cell>
          <cell r="I20">
            <v>23</v>
          </cell>
          <cell r="J20">
            <v>1150000</v>
          </cell>
          <cell r="K20">
            <v>11</v>
          </cell>
          <cell r="L20" t="str">
            <v>Trừ 1 ngày nghỉ phép 13/9</v>
          </cell>
        </row>
        <row r="21">
          <cell r="G21" t="str">
            <v>Nguyễn Trung Dũng</v>
          </cell>
          <cell r="I21">
            <v>24</v>
          </cell>
          <cell r="J21">
            <v>1200000</v>
          </cell>
          <cell r="K21">
            <v>12</v>
          </cell>
        </row>
        <row r="22">
          <cell r="G22" t="str">
            <v>Lê Tiến Dũng</v>
          </cell>
          <cell r="I22">
            <v>24</v>
          </cell>
          <cell r="J22">
            <v>1200000</v>
          </cell>
          <cell r="K22">
            <v>13</v>
          </cell>
        </row>
        <row r="23">
          <cell r="G23" t="str">
            <v>Trần Văn Cu Anh</v>
          </cell>
          <cell r="I23">
            <v>24</v>
          </cell>
          <cell r="J23">
            <v>1200000</v>
          </cell>
          <cell r="K23">
            <v>14</v>
          </cell>
        </row>
        <row r="24">
          <cell r="G24" t="str">
            <v>Vũ Anh Hiếu</v>
          </cell>
          <cell r="I24">
            <v>24</v>
          </cell>
          <cell r="J24">
            <v>1200000</v>
          </cell>
          <cell r="K24">
            <v>15</v>
          </cell>
        </row>
        <row r="25">
          <cell r="G25" t="str">
            <v>Phan Đức Hiếu</v>
          </cell>
          <cell r="I25">
            <v>24</v>
          </cell>
          <cell r="J25">
            <v>1200000</v>
          </cell>
          <cell r="K25">
            <v>16</v>
          </cell>
        </row>
        <row r="26">
          <cell r="G26" t="str">
            <v>Dương Thị Thủy</v>
          </cell>
          <cell r="H26" t="str">
            <v>P.QT-DV</v>
          </cell>
          <cell r="I26">
            <v>24</v>
          </cell>
          <cell r="J26">
            <v>1200000</v>
          </cell>
          <cell r="K26">
            <v>17</v>
          </cell>
        </row>
        <row r="27">
          <cell r="G27" t="str">
            <v>Tạ Quốc Tấn</v>
          </cell>
          <cell r="I27">
            <v>23</v>
          </cell>
          <cell r="J27">
            <v>1150000</v>
          </cell>
          <cell r="K27">
            <v>18</v>
          </cell>
          <cell r="L27" t="str">
            <v>Trừ 1 ngày nghỉ phép 15/9</v>
          </cell>
        </row>
        <row r="28">
          <cell r="G28" t="str">
            <v>Huỳnh Bá Triết</v>
          </cell>
          <cell r="I28">
            <v>24</v>
          </cell>
          <cell r="J28">
            <v>1200000</v>
          </cell>
          <cell r="K28">
            <v>19</v>
          </cell>
        </row>
        <row r="29">
          <cell r="G29" t="str">
            <v>Giáp Đức Nhận</v>
          </cell>
          <cell r="I29">
            <v>24</v>
          </cell>
          <cell r="J29">
            <v>1200000</v>
          </cell>
          <cell r="K29">
            <v>20</v>
          </cell>
        </row>
        <row r="30">
          <cell r="G30" t="str">
            <v>Trần Thị Thu</v>
          </cell>
          <cell r="I30">
            <v>24</v>
          </cell>
          <cell r="J30">
            <v>1200000</v>
          </cell>
          <cell r="K30">
            <v>21</v>
          </cell>
        </row>
        <row r="31">
          <cell r="G31" t="str">
            <v>Trịnh Tuấn Vũ</v>
          </cell>
          <cell r="I31">
            <v>24</v>
          </cell>
          <cell r="J31">
            <v>1200000</v>
          </cell>
          <cell r="K31">
            <v>22</v>
          </cell>
        </row>
        <row r="32">
          <cell r="G32" t="str">
            <v>Võ Thị Tuyết</v>
          </cell>
          <cell r="I32">
            <v>24</v>
          </cell>
          <cell r="J32">
            <v>1200000</v>
          </cell>
          <cell r="K32">
            <v>23</v>
          </cell>
        </row>
        <row r="33">
          <cell r="G33" t="str">
            <v>Trần Kim Tươi</v>
          </cell>
          <cell r="I33">
            <v>24</v>
          </cell>
          <cell r="J33">
            <v>1200000</v>
          </cell>
          <cell r="K33">
            <v>24</v>
          </cell>
        </row>
        <row r="34">
          <cell r="G34" t="str">
            <v>Trương Thị Định</v>
          </cell>
          <cell r="I34">
            <v>24</v>
          </cell>
          <cell r="J34">
            <v>1200000</v>
          </cell>
          <cell r="K34">
            <v>25</v>
          </cell>
        </row>
        <row r="35">
          <cell r="G35" t="str">
            <v>Trương Thị Bắc</v>
          </cell>
          <cell r="I35">
            <v>24</v>
          </cell>
          <cell r="J35">
            <v>1200000</v>
          </cell>
          <cell r="K35">
            <v>26</v>
          </cell>
        </row>
        <row r="36">
          <cell r="G36" t="str">
            <v>Võ Tấn Đức</v>
          </cell>
          <cell r="I36">
            <v>24</v>
          </cell>
          <cell r="J36">
            <v>1200000</v>
          </cell>
          <cell r="K36">
            <v>27</v>
          </cell>
        </row>
        <row r="37">
          <cell r="G37" t="str">
            <v>Ngô Ngọc Của</v>
          </cell>
          <cell r="I37">
            <v>25</v>
          </cell>
          <cell r="J37">
            <v>1250000</v>
          </cell>
          <cell r="K37">
            <v>28</v>
          </cell>
        </row>
        <row r="38">
          <cell r="G38" t="str">
            <v>Phạm Thị Hoàng Diễm</v>
          </cell>
          <cell r="I38">
            <v>23</v>
          </cell>
          <cell r="J38">
            <v>1150000</v>
          </cell>
          <cell r="K38">
            <v>29</v>
          </cell>
        </row>
        <row r="39">
          <cell r="G39" t="str">
            <v>Nguyễn Văn Hiển</v>
          </cell>
          <cell r="I39">
            <v>24</v>
          </cell>
          <cell r="J39">
            <v>1200000</v>
          </cell>
          <cell r="K39">
            <v>30</v>
          </cell>
        </row>
        <row r="40">
          <cell r="G40" t="str">
            <v>Trần Thanh Phương</v>
          </cell>
          <cell r="I40">
            <v>22</v>
          </cell>
          <cell r="J40">
            <v>1100000</v>
          </cell>
          <cell r="K40">
            <v>31</v>
          </cell>
          <cell r="L40" t="str">
            <v>Trừ 2 ngày nghỉ phép 13+20/9</v>
          </cell>
        </row>
        <row r="41">
          <cell r="G41" t="str">
            <v>Võ Lạc Tân</v>
          </cell>
          <cell r="I41">
            <v>23</v>
          </cell>
          <cell r="J41">
            <v>1150000</v>
          </cell>
          <cell r="K41">
            <v>32</v>
          </cell>
          <cell r="L41" t="str">
            <v>Trừ 1 ngày nghỉ phép 27/9</v>
          </cell>
        </row>
        <row r="42">
          <cell r="G42" t="str">
            <v>Huỳnh Văn Hiếu</v>
          </cell>
          <cell r="I42">
            <v>24</v>
          </cell>
          <cell r="J42">
            <v>1200000</v>
          </cell>
          <cell r="K42">
            <v>33</v>
          </cell>
        </row>
        <row r="43">
          <cell r="G43" t="str">
            <v>Trần Thị Thảo Vân</v>
          </cell>
          <cell r="H43" t="str">
            <v xml:space="preserve">Phòng KH - TC </v>
          </cell>
          <cell r="I43">
            <v>25</v>
          </cell>
          <cell r="J43">
            <v>1250000</v>
          </cell>
          <cell r="K43">
            <v>34</v>
          </cell>
        </row>
        <row r="44">
          <cell r="G44" t="str">
            <v>Huỳnh Như Ý</v>
          </cell>
          <cell r="I44">
            <v>22</v>
          </cell>
          <cell r="J44">
            <v>1100000</v>
          </cell>
          <cell r="K44">
            <v>35</v>
          </cell>
          <cell r="L44" t="str">
            <v>Trừ 3 ngày nghỉ phép 17+18+19/9</v>
          </cell>
        </row>
        <row r="45">
          <cell r="G45" t="str">
            <v>Nguyễn Chiến Thắng</v>
          </cell>
          <cell r="I45">
            <v>26</v>
          </cell>
          <cell r="J45">
            <v>1300000</v>
          </cell>
          <cell r="K45">
            <v>36</v>
          </cell>
        </row>
        <row r="46">
          <cell r="G46" t="str">
            <v>Trần Anh Mỹ</v>
          </cell>
          <cell r="H46" t="str">
            <v>Phòng TTGD - CTSV</v>
          </cell>
          <cell r="I46">
            <v>24</v>
          </cell>
          <cell r="J46">
            <v>1200000</v>
          </cell>
          <cell r="K46">
            <v>37</v>
          </cell>
        </row>
        <row r="47">
          <cell r="G47" t="str">
            <v>Phạm Huy Hoàng</v>
          </cell>
          <cell r="I47">
            <v>24</v>
          </cell>
          <cell r="J47">
            <v>1200000</v>
          </cell>
          <cell r="K47">
            <v>38</v>
          </cell>
        </row>
        <row r="48">
          <cell r="G48" t="str">
            <v>Bùi Đức Phước</v>
          </cell>
          <cell r="I48">
            <v>22</v>
          </cell>
          <cell r="J48">
            <v>1100000</v>
          </cell>
          <cell r="K48">
            <v>39</v>
          </cell>
          <cell r="L48" t="str">
            <v>Trừ 2 ngày nghỉ phép 13+27/9</v>
          </cell>
        </row>
        <row r="49">
          <cell r="G49" t="str">
            <v>Nguyễn Thị Thảo</v>
          </cell>
          <cell r="I49">
            <v>24</v>
          </cell>
          <cell r="J49">
            <v>1200000</v>
          </cell>
          <cell r="K49">
            <v>40</v>
          </cell>
        </row>
        <row r="50">
          <cell r="G50" t="str">
            <v>Trần Việt Anh</v>
          </cell>
          <cell r="I50">
            <v>24</v>
          </cell>
          <cell r="J50">
            <v>1200000</v>
          </cell>
          <cell r="K50">
            <v>41</v>
          </cell>
        </row>
        <row r="51">
          <cell r="G51" t="str">
            <v>Phạm Huỳnh Kim Ngân</v>
          </cell>
          <cell r="I51">
            <v>0</v>
          </cell>
          <cell r="J51">
            <v>0</v>
          </cell>
          <cell r="K51">
            <v>42</v>
          </cell>
          <cell r="L51" t="str">
            <v>Nghỉ hộ sản hưởng chế độ BHXH từ 01/7/2025</v>
          </cell>
        </row>
        <row r="52">
          <cell r="G52" t="str">
            <v>Lê Thị Huyền</v>
          </cell>
          <cell r="I52">
            <v>24</v>
          </cell>
          <cell r="J52">
            <v>1200000</v>
          </cell>
          <cell r="K52">
            <v>43</v>
          </cell>
        </row>
        <row r="53">
          <cell r="G53" t="str">
            <v>Nguyễn Thị Trang</v>
          </cell>
          <cell r="I53">
            <v>24</v>
          </cell>
          <cell r="J53">
            <v>1200000</v>
          </cell>
          <cell r="K53">
            <v>44</v>
          </cell>
        </row>
        <row r="54">
          <cell r="G54" t="str">
            <v>Lư Diễm Phúc</v>
          </cell>
          <cell r="I54">
            <v>19</v>
          </cell>
          <cell r="J54">
            <v>950000</v>
          </cell>
          <cell r="K54">
            <v>45</v>
          </cell>
          <cell r="L54" t="str">
            <v>Trừ 3 ngày nghỉ chế độ, 2 ngày nghỉ phép</v>
          </cell>
        </row>
        <row r="55">
          <cell r="G55" t="str">
            <v>Hà Thị Hậu</v>
          </cell>
          <cell r="I55">
            <v>24</v>
          </cell>
          <cell r="J55">
            <v>1200000</v>
          </cell>
          <cell r="K55">
            <v>46</v>
          </cell>
        </row>
        <row r="56">
          <cell r="G56" t="str">
            <v>Nguyễn Yến Nhi</v>
          </cell>
          <cell r="H56" t="str">
            <v>Phòng Đảm bảo chất lượng - NCKH</v>
          </cell>
          <cell r="I56">
            <v>24</v>
          </cell>
          <cell r="J56">
            <v>1200000</v>
          </cell>
          <cell r="K56">
            <v>47</v>
          </cell>
        </row>
        <row r="57">
          <cell r="G57" t="str">
            <v>Lê Trần Thanh Nga</v>
          </cell>
          <cell r="I57">
            <v>24</v>
          </cell>
          <cell r="J57">
            <v>1200000</v>
          </cell>
          <cell r="K57">
            <v>48</v>
          </cell>
        </row>
        <row r="58">
          <cell r="G58" t="str">
            <v>Nguyễn Khắc Huân</v>
          </cell>
          <cell r="H58" t="str">
            <v>Khoa Động lực</v>
          </cell>
          <cell r="I58">
            <v>24</v>
          </cell>
          <cell r="J58">
            <v>1200000</v>
          </cell>
          <cell r="K58">
            <v>49</v>
          </cell>
        </row>
        <row r="59">
          <cell r="G59" t="str">
            <v>Nguyễn Việt Tiến</v>
          </cell>
          <cell r="H59" t="str">
            <v xml:space="preserve">P. Quản lý đào tạo - HTQT </v>
          </cell>
          <cell r="I59">
            <v>25</v>
          </cell>
          <cell r="J59">
            <v>1250000</v>
          </cell>
          <cell r="K59">
            <v>50</v>
          </cell>
        </row>
        <row r="60">
          <cell r="G60" t="str">
            <v>Nguyễn Thị Tất</v>
          </cell>
          <cell r="I60">
            <v>24.5</v>
          </cell>
          <cell r="J60">
            <v>1225000</v>
          </cell>
          <cell r="K60">
            <v>51</v>
          </cell>
        </row>
        <row r="61">
          <cell r="G61" t="str">
            <v>Sỹ Thị Chung</v>
          </cell>
          <cell r="I61">
            <v>25.5</v>
          </cell>
          <cell r="J61">
            <v>1275000</v>
          </cell>
          <cell r="K61">
            <v>52</v>
          </cell>
        </row>
        <row r="62">
          <cell r="G62" t="str">
            <v>Nguyễn Thị Nhung</v>
          </cell>
          <cell r="I62">
            <v>23.5</v>
          </cell>
          <cell r="J62">
            <v>1175000</v>
          </cell>
          <cell r="K62">
            <v>53</v>
          </cell>
          <cell r="L62" t="str">
            <v>Trừ 2 ngày nghỉ phép 5+6/9</v>
          </cell>
        </row>
        <row r="63">
          <cell r="G63" t="str">
            <v>Trần Nhật Thịnh</v>
          </cell>
          <cell r="I63">
            <v>24.5</v>
          </cell>
          <cell r="J63">
            <v>1225000</v>
          </cell>
          <cell r="K63">
            <v>54</v>
          </cell>
        </row>
        <row r="64">
          <cell r="G64" t="str">
            <v>Võ Thị Mỹ Ngọc</v>
          </cell>
          <cell r="I64">
            <v>23.5</v>
          </cell>
          <cell r="J64">
            <v>1175000</v>
          </cell>
          <cell r="K64">
            <v>55</v>
          </cell>
          <cell r="L64" t="str">
            <v>Trừ 1/2 ngày 6/7</v>
          </cell>
        </row>
        <row r="65">
          <cell r="G65" t="str">
            <v>Đỗ Công Thành</v>
          </cell>
          <cell r="H65" t="str">
            <v>TT Đào tạo - QHDN - QLTB</v>
          </cell>
          <cell r="I65">
            <v>28</v>
          </cell>
          <cell r="J65">
            <v>1400000</v>
          </cell>
          <cell r="K65">
            <v>56</v>
          </cell>
        </row>
        <row r="66">
          <cell r="G66" t="str">
            <v>Lương Thị Thắm</v>
          </cell>
          <cell r="I66">
            <v>26</v>
          </cell>
          <cell r="J66">
            <v>1300000</v>
          </cell>
          <cell r="K66">
            <v>57</v>
          </cell>
        </row>
        <row r="67">
          <cell r="G67" t="str">
            <v>Nguyễn Xuân Lợi</v>
          </cell>
          <cell r="I67">
            <v>24</v>
          </cell>
          <cell r="J67">
            <v>1200000</v>
          </cell>
          <cell r="K67">
            <v>58</v>
          </cell>
        </row>
        <row r="68">
          <cell r="G68" t="str">
            <v>Nguyễn Đan Trường</v>
          </cell>
          <cell r="I68">
            <v>23</v>
          </cell>
          <cell r="J68">
            <v>1150000</v>
          </cell>
          <cell r="K68">
            <v>59</v>
          </cell>
        </row>
        <row r="69">
          <cell r="G69" t="str">
            <v>Lưu Hoàng Bảo Châu</v>
          </cell>
          <cell r="I69">
            <v>0</v>
          </cell>
          <cell r="J69">
            <v>0</v>
          </cell>
          <cell r="K69">
            <v>60</v>
          </cell>
          <cell r="L69" t="str">
            <v>Nghỉ hộ sản hưởng chế độ BHXH từ 29/4/2025</v>
          </cell>
        </row>
        <row r="70">
          <cell r="G70" t="str">
            <v>Nguyễn Hoàng Hải</v>
          </cell>
          <cell r="I70">
            <v>24</v>
          </cell>
          <cell r="J70">
            <v>1200000</v>
          </cell>
          <cell r="K70">
            <v>61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Đinh Văn Đệ</v>
          </cell>
          <cell r="C11" t="str">
            <v>01001006</v>
          </cell>
          <cell r="D11" t="str">
            <v>A1</v>
          </cell>
          <cell r="E11" t="str">
            <v>A1</v>
          </cell>
        </row>
        <row r="12">
          <cell r="B12" t="str">
            <v>Đinh Hồng Minh</v>
          </cell>
          <cell r="C12" t="str">
            <v>01002001</v>
          </cell>
          <cell r="D12" t="str">
            <v>A1</v>
          </cell>
          <cell r="E12" t="str">
            <v>A1</v>
          </cell>
        </row>
        <row r="13">
          <cell r="B13" t="str">
            <v>Châu Văn Bảo</v>
          </cell>
          <cell r="C13" t="str">
            <v>01014037</v>
          </cell>
          <cell r="D13" t="str">
            <v>A1</v>
          </cell>
          <cell r="E13" t="str">
            <v>A1</v>
          </cell>
        </row>
        <row r="14">
          <cell r="B14" t="str">
            <v>PHÒNG KẾ HOẠCH - TÀI CHÍNH</v>
          </cell>
          <cell r="C14">
            <v>0</v>
          </cell>
          <cell r="D14">
            <v>0</v>
          </cell>
          <cell r="E14">
            <v>8</v>
          </cell>
        </row>
        <row r="15">
          <cell r="B15" t="str">
            <v>Viên chức</v>
          </cell>
          <cell r="C15">
            <v>0</v>
          </cell>
          <cell r="D15">
            <v>0</v>
          </cell>
          <cell r="E15">
            <v>5</v>
          </cell>
        </row>
        <row r="16">
          <cell r="B16" t="str">
            <v>Nguyễn Kính</v>
          </cell>
          <cell r="C16" t="str">
            <v>01002024</v>
          </cell>
          <cell r="D16" t="str">
            <v>A1</v>
          </cell>
          <cell r="E16" t="str">
            <v>A1</v>
          </cell>
        </row>
        <row r="17">
          <cell r="B17" t="str">
            <v>Hồng Mộng Tuyết Dung</v>
          </cell>
          <cell r="C17" t="str">
            <v>01003009</v>
          </cell>
          <cell r="D17" t="str">
            <v>A1</v>
          </cell>
          <cell r="E17" t="str">
            <v>A1</v>
          </cell>
        </row>
        <row r="18">
          <cell r="B18" t="str">
            <v>Trần Thị Minh Thoa</v>
          </cell>
          <cell r="C18" t="str">
            <v>01003005</v>
          </cell>
          <cell r="D18" t="str">
            <v>A3</v>
          </cell>
          <cell r="E18" t="str">
            <v>A3</v>
          </cell>
        </row>
        <row r="19">
          <cell r="B19" t="str">
            <v>Võ Thị Lệ Trân</v>
          </cell>
          <cell r="C19" t="str">
            <v>01023004</v>
          </cell>
          <cell r="D19" t="str">
            <v>A1</v>
          </cell>
          <cell r="E19" t="str">
            <v>A1</v>
          </cell>
        </row>
        <row r="20">
          <cell r="B20" t="str">
            <v>Nguyễn Thị Hồng Thắm</v>
          </cell>
          <cell r="C20" t="str">
            <v>01003007</v>
          </cell>
          <cell r="D20" t="str">
            <v>A2</v>
          </cell>
          <cell r="E20" t="str">
            <v>A2</v>
          </cell>
        </row>
        <row r="21">
          <cell r="B21" t="str">
            <v>Hợp đồng trường</v>
          </cell>
          <cell r="C21">
            <v>0</v>
          </cell>
          <cell r="D21">
            <v>0</v>
          </cell>
          <cell r="E21">
            <v>3</v>
          </cell>
        </row>
        <row r="22">
          <cell r="B22" t="str">
            <v>Trần Thị Thảo Vân</v>
          </cell>
          <cell r="C22" t="str">
            <v>01003008</v>
          </cell>
          <cell r="D22" t="str">
            <v>A2</v>
          </cell>
          <cell r="E22" t="str">
            <v>A2</v>
          </cell>
        </row>
        <row r="23">
          <cell r="B23" t="str">
            <v>Huỳnh Như Ý</v>
          </cell>
          <cell r="C23" t="str">
            <v>01003015</v>
          </cell>
          <cell r="D23" t="str">
            <v>A2</v>
          </cell>
          <cell r="E23" t="str">
            <v>A2</v>
          </cell>
        </row>
        <row r="24">
          <cell r="B24" t="str">
            <v>Nguyễn Chiến Thắng</v>
          </cell>
          <cell r="C24" t="str">
            <v>01003016</v>
          </cell>
          <cell r="D24" t="str">
            <v>A3</v>
          </cell>
          <cell r="E24" t="str">
            <v>A2</v>
          </cell>
        </row>
        <row r="25">
          <cell r="B25" t="str">
            <v>PHÒNG TUYỂN SINH - ĐÀO TẠO</v>
          </cell>
          <cell r="C25">
            <v>0</v>
          </cell>
          <cell r="D25">
            <v>0</v>
          </cell>
          <cell r="E25">
            <v>18</v>
          </cell>
        </row>
        <row r="26">
          <cell r="B26" t="str">
            <v>Viên chức</v>
          </cell>
          <cell r="C26">
            <v>0</v>
          </cell>
          <cell r="D26">
            <v>0</v>
          </cell>
          <cell r="E26">
            <v>12</v>
          </cell>
        </row>
        <row r="27">
          <cell r="B27" t="str">
            <v>Nguyễn Thành Nam</v>
          </cell>
          <cell r="C27" t="str">
            <v>01005007</v>
          </cell>
          <cell r="D27" t="str">
            <v>A1</v>
          </cell>
          <cell r="E27" t="str">
            <v>A1</v>
          </cell>
        </row>
        <row r="28">
          <cell r="B28" t="str">
            <v>Quách Minh Thử</v>
          </cell>
          <cell r="C28" t="str">
            <v>01014007</v>
          </cell>
          <cell r="D28" t="str">
            <v>A1</v>
          </cell>
          <cell r="E28" t="str">
            <v>A1</v>
          </cell>
        </row>
        <row r="29">
          <cell r="B29" t="str">
            <v>Nguyễn Thị Thùy</v>
          </cell>
          <cell r="C29" t="str">
            <v>01022013</v>
          </cell>
          <cell r="D29" t="str">
            <v>A1</v>
          </cell>
          <cell r="E29" t="str">
            <v>A1</v>
          </cell>
        </row>
        <row r="30">
          <cell r="B30" t="str">
            <v>Võ Thị Xuân Thơ</v>
          </cell>
          <cell r="C30" t="str">
            <v>01004003</v>
          </cell>
          <cell r="D30" t="str">
            <v>A1</v>
          </cell>
          <cell r="E30" t="str">
            <v>A1</v>
          </cell>
        </row>
        <row r="31">
          <cell r="B31" t="str">
            <v>Nguyễn Thị Thanh Thảo</v>
          </cell>
          <cell r="C31" t="str">
            <v>01004008</v>
          </cell>
          <cell r="D31" t="str">
            <v>A1</v>
          </cell>
          <cell r="E31" t="str">
            <v>A1</v>
          </cell>
        </row>
        <row r="32">
          <cell r="B32" t="str">
            <v>Huỳnh Thị Cẩm Hoa</v>
          </cell>
          <cell r="C32" t="str">
            <v>01005009</v>
          </cell>
          <cell r="D32" t="str">
            <v>A3</v>
          </cell>
          <cell r="E32" t="str">
            <v>A2</v>
          </cell>
        </row>
        <row r="33">
          <cell r="B33" t="str">
            <v>Giáp Thị Vượng</v>
          </cell>
          <cell r="C33" t="str">
            <v>01004009</v>
          </cell>
          <cell r="D33" t="str">
            <v>A3</v>
          </cell>
          <cell r="E33" t="str">
            <v>A3</v>
          </cell>
        </row>
        <row r="34">
          <cell r="B34" t="str">
            <v>Thái Thị My Sa</v>
          </cell>
          <cell r="C34" t="str">
            <v>01002020</v>
          </cell>
          <cell r="D34" t="str">
            <v>A1</v>
          </cell>
          <cell r="E34" t="str">
            <v>A1</v>
          </cell>
        </row>
        <row r="35">
          <cell r="B35" t="str">
            <v>Nguyễn Thị Hải Hà</v>
          </cell>
          <cell r="C35" t="str">
            <v>01012026</v>
          </cell>
          <cell r="D35" t="str">
            <v>A3</v>
          </cell>
          <cell r="E35" t="str">
            <v>A3</v>
          </cell>
        </row>
        <row r="36">
          <cell r="B36" t="str">
            <v>Nguyễn Thị Ngọc Anh</v>
          </cell>
          <cell r="C36" t="str">
            <v>01022058</v>
          </cell>
          <cell r="D36" t="str">
            <v>A3</v>
          </cell>
          <cell r="E36" t="str">
            <v>A3</v>
          </cell>
        </row>
        <row r="37">
          <cell r="B37" t="str">
            <v>Lê Minh Phong</v>
          </cell>
          <cell r="C37" t="str">
            <v>01022048</v>
          </cell>
          <cell r="D37" t="str">
            <v>A3</v>
          </cell>
          <cell r="E37" t="str">
            <v>A3</v>
          </cell>
        </row>
        <row r="38">
          <cell r="B38" t="str">
            <v>Trịnh Khắc Vũ</v>
          </cell>
          <cell r="C38" t="str">
            <v>01010026</v>
          </cell>
          <cell r="D38" t="str">
            <v>A3</v>
          </cell>
          <cell r="E38" t="str">
            <v>A3</v>
          </cell>
        </row>
        <row r="39">
          <cell r="B39" t="str">
            <v>Hợp đồng trường</v>
          </cell>
          <cell r="C39">
            <v>0</v>
          </cell>
          <cell r="D39">
            <v>0</v>
          </cell>
          <cell r="E39">
            <v>6</v>
          </cell>
        </row>
        <row r="40">
          <cell r="B40" t="str">
            <v>Trần Nhật Thịnh</v>
          </cell>
          <cell r="C40" t="str">
            <v>01004020</v>
          </cell>
          <cell r="D40" t="str">
            <v>A2</v>
          </cell>
          <cell r="E40" t="str">
            <v>A2</v>
          </cell>
        </row>
        <row r="41">
          <cell r="B41" t="str">
            <v>Sỹ Thị Chung</v>
          </cell>
          <cell r="C41" t="str">
            <v>01011017</v>
          </cell>
          <cell r="D41" t="str">
            <v>A3</v>
          </cell>
          <cell r="E41" t="str">
            <v>A2</v>
          </cell>
        </row>
        <row r="42">
          <cell r="B42" t="str">
            <v>Nguyễn Thị Tất</v>
          </cell>
          <cell r="C42" t="str">
            <v>01022059</v>
          </cell>
          <cell r="D42" t="str">
            <v>A2</v>
          </cell>
          <cell r="E42" t="str">
            <v>A2</v>
          </cell>
        </row>
        <row r="43">
          <cell r="B43" t="str">
            <v>Nguyễn Thị Nhung</v>
          </cell>
          <cell r="C43" t="str">
            <v>01018006</v>
          </cell>
          <cell r="D43" t="str">
            <v>A3</v>
          </cell>
          <cell r="E43" t="str">
            <v>A3</v>
          </cell>
        </row>
        <row r="44">
          <cell r="B44" t="str">
            <v>Võ Thị Mỹ Ngọc</v>
          </cell>
          <cell r="C44" t="str">
            <v>01004021</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12</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A1</v>
          </cell>
        </row>
        <row r="54">
          <cell r="B54" t="str">
            <v>Nguyễn Văn Chì</v>
          </cell>
          <cell r="C54" t="str">
            <v>01023001</v>
          </cell>
          <cell r="D54" t="str">
            <v>A3</v>
          </cell>
          <cell r="E54" t="str">
            <v>A2</v>
          </cell>
        </row>
        <row r="55">
          <cell r="B55" t="str">
            <v>Trần Thị Ánh Phượng</v>
          </cell>
          <cell r="C55" t="str">
            <v>01017006</v>
          </cell>
          <cell r="D55" t="str">
            <v>A1</v>
          </cell>
          <cell r="E55" t="str">
            <v>A1</v>
          </cell>
        </row>
        <row r="56">
          <cell r="B56" t="str">
            <v>Nguyễn Thị Vân</v>
          </cell>
          <cell r="C56" t="str">
            <v>01002032</v>
          </cell>
          <cell r="D56" t="str">
            <v>A1</v>
          </cell>
          <cell r="E56" t="str">
            <v>A1</v>
          </cell>
        </row>
        <row r="57">
          <cell r="B57" t="str">
            <v>Trần Thị Phương Oanh</v>
          </cell>
          <cell r="C57" t="str">
            <v>01007007</v>
          </cell>
          <cell r="D57" t="str">
            <v>A2</v>
          </cell>
          <cell r="E57" t="str">
            <v>A2</v>
          </cell>
        </row>
        <row r="58">
          <cell r="B58" t="str">
            <v>Thân Thị Nhung</v>
          </cell>
          <cell r="C58" t="str">
            <v>01007005</v>
          </cell>
          <cell r="D58" t="str">
            <v>A2</v>
          </cell>
          <cell r="E58" t="str">
            <v>A1</v>
          </cell>
        </row>
        <row r="59">
          <cell r="B59" t="str">
            <v>Lê Văn Bình</v>
          </cell>
          <cell r="C59" t="str">
            <v>01004012</v>
          </cell>
          <cell r="D59" t="str">
            <v>A3</v>
          </cell>
          <cell r="E59" t="str">
            <v>A3</v>
          </cell>
        </row>
        <row r="60">
          <cell r="B60" t="str">
            <v>Hợp đồng trường</v>
          </cell>
          <cell r="C60">
            <v>0</v>
          </cell>
          <cell r="D60">
            <v>0</v>
          </cell>
          <cell r="E60">
            <v>14</v>
          </cell>
        </row>
        <row r="61">
          <cell r="B61" t="str">
            <v>Huỳnh Thị Xuân Mai</v>
          </cell>
          <cell r="C61" t="str">
            <v>01007006</v>
          </cell>
          <cell r="D61" t="str">
            <v>A3</v>
          </cell>
          <cell r="E61" t="str">
            <v>A3</v>
          </cell>
        </row>
        <row r="62">
          <cell r="B62" t="str">
            <v>Phạm Hữu Tấn</v>
          </cell>
          <cell r="C62" t="str">
            <v>01002023</v>
          </cell>
          <cell r="D62" t="str">
            <v>A3</v>
          </cell>
          <cell r="E62" t="str">
            <v>A3</v>
          </cell>
        </row>
        <row r="63">
          <cell r="B63" t="str">
            <v>Trần Văn Cu Anh</v>
          </cell>
          <cell r="C63" t="str">
            <v>01002007</v>
          </cell>
          <cell r="D63" t="str">
            <v>A3</v>
          </cell>
          <cell r="E63" t="str">
            <v>A3</v>
          </cell>
        </row>
        <row r="64">
          <cell r="B64" t="str">
            <v>Nguyễn Hữu Xuân Vũ</v>
          </cell>
          <cell r="C64" t="str">
            <v>01002010</v>
          </cell>
          <cell r="D64" t="str">
            <v>A3</v>
          </cell>
          <cell r="E64" t="str">
            <v>A2</v>
          </cell>
        </row>
        <row r="65">
          <cell r="B65" t="str">
            <v>Lê Hồng Phúc</v>
          </cell>
          <cell r="C65" t="str">
            <v>01002012</v>
          </cell>
          <cell r="D65" t="str">
            <v>A3</v>
          </cell>
          <cell r="E65" t="str">
            <v>A3</v>
          </cell>
        </row>
        <row r="66">
          <cell r="B66" t="str">
            <v>Phạm Hữu Thành Phú</v>
          </cell>
          <cell r="C66" t="str">
            <v>01002028</v>
          </cell>
          <cell r="D66" t="str">
            <v>A3</v>
          </cell>
          <cell r="E66" t="str">
            <v>A3</v>
          </cell>
        </row>
        <row r="67">
          <cell r="B67" t="str">
            <v>Huỳnh Thanh Nhàn</v>
          </cell>
          <cell r="C67" t="str">
            <v>01002027</v>
          </cell>
          <cell r="D67" t="str">
            <v>A3</v>
          </cell>
          <cell r="E67" t="str">
            <v>A3</v>
          </cell>
        </row>
        <row r="68">
          <cell r="B68" t="str">
            <v>Đồng Anh Tuấn</v>
          </cell>
          <cell r="C68" t="str">
            <v>01002013</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A2</v>
          </cell>
          <cell r="E74" t="str">
            <v>A2</v>
          </cell>
        </row>
        <row r="75">
          <cell r="B75" t="str">
            <v>PHÒNG TTGD-QHDN</v>
          </cell>
          <cell r="C75">
            <v>0</v>
          </cell>
          <cell r="D75">
            <v>0</v>
          </cell>
          <cell r="E75">
            <v>17</v>
          </cell>
        </row>
        <row r="76">
          <cell r="B76" t="str">
            <v>Viên chức</v>
          </cell>
          <cell r="C76">
            <v>0</v>
          </cell>
          <cell r="D76">
            <v>0</v>
          </cell>
          <cell r="E76">
            <v>9</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A2</v>
          </cell>
          <cell r="E79" t="str">
            <v>A2</v>
          </cell>
        </row>
        <row r="80">
          <cell r="B80" t="str">
            <v>Phạm Thị Lê Chi</v>
          </cell>
          <cell r="C80" t="str">
            <v>01009010</v>
          </cell>
          <cell r="D80" t="str">
            <v>A2</v>
          </cell>
          <cell r="E80" t="str">
            <v>A2</v>
          </cell>
        </row>
        <row r="81">
          <cell r="B81" t="str">
            <v>Trần Thị Thu Hà</v>
          </cell>
          <cell r="C81" t="str">
            <v>01002004</v>
          </cell>
          <cell r="D81" t="str">
            <v>A1</v>
          </cell>
          <cell r="E81" t="str">
            <v>A1</v>
          </cell>
        </row>
        <row r="82">
          <cell r="B82" t="str">
            <v>Nguyễn Tất Thắng</v>
          </cell>
          <cell r="C82" t="str">
            <v>01009008</v>
          </cell>
          <cell r="D82" t="str">
            <v>A3</v>
          </cell>
          <cell r="E82" t="str">
            <v>A3</v>
          </cell>
        </row>
        <row r="83">
          <cell r="B83" t="str">
            <v>Mai Thu Hương</v>
          </cell>
          <cell r="C83" t="str">
            <v>01007004</v>
          </cell>
          <cell r="D83" t="str">
            <v>A2</v>
          </cell>
          <cell r="E83" t="str">
            <v>A2</v>
          </cell>
        </row>
        <row r="84">
          <cell r="B84" t="str">
            <v>Nguyễn Thùy Dương</v>
          </cell>
          <cell r="C84" t="str">
            <v>01014012</v>
          </cell>
          <cell r="D84" t="str">
            <v>A3</v>
          </cell>
          <cell r="E84" t="str">
            <v>A3</v>
          </cell>
        </row>
        <row r="85">
          <cell r="B85" t="str">
            <v>Nguyễn Phương Hà</v>
          </cell>
          <cell r="C85" t="str">
            <v>01010023</v>
          </cell>
          <cell r="D85" t="str">
            <v>A3</v>
          </cell>
          <cell r="E85" t="str">
            <v>A3</v>
          </cell>
        </row>
        <row r="86">
          <cell r="B86" t="str">
            <v>Hợp đồng trường</v>
          </cell>
          <cell r="C86">
            <v>0</v>
          </cell>
          <cell r="D86">
            <v>0</v>
          </cell>
          <cell r="E86">
            <v>8</v>
          </cell>
        </row>
        <row r="87">
          <cell r="B87" t="str">
            <v>Nguyễn Trung Dũng</v>
          </cell>
          <cell r="C87" t="str">
            <v>01002008</v>
          </cell>
          <cell r="D87" t="str">
            <v>A2</v>
          </cell>
          <cell r="E87" t="str">
            <v>A2</v>
          </cell>
        </row>
        <row r="88">
          <cell r="B88" t="str">
            <v>Huỳnh Văn Hiếu</v>
          </cell>
          <cell r="C88" t="str">
            <v>01009019</v>
          </cell>
          <cell r="D88" t="str">
            <v>A3</v>
          </cell>
          <cell r="E88" t="str">
            <v>A3</v>
          </cell>
        </row>
        <row r="89">
          <cell r="B89" t="str">
            <v>Phạm Huy Hoàng</v>
          </cell>
          <cell r="C89" t="str">
            <v>01009011</v>
          </cell>
          <cell r="D89" t="str">
            <v>A2</v>
          </cell>
          <cell r="E89" t="str">
            <v>A2</v>
          </cell>
        </row>
        <row r="90">
          <cell r="B90" t="str">
            <v>Trần Anh Mỹ</v>
          </cell>
          <cell r="C90" t="str">
            <v>01009028</v>
          </cell>
          <cell r="D90" t="str">
            <v>A2</v>
          </cell>
          <cell r="E90" t="str">
            <v>A2</v>
          </cell>
        </row>
        <row r="91">
          <cell r="B91" t="str">
            <v>Bùi Đức Phước</v>
          </cell>
          <cell r="C91" t="str">
            <v>01009026</v>
          </cell>
          <cell r="D91" t="str">
            <v>A1</v>
          </cell>
          <cell r="E91" t="str">
            <v>A1</v>
          </cell>
        </row>
        <row r="92">
          <cell r="B92" t="str">
            <v>Nguyễn Thị Thảo</v>
          </cell>
          <cell r="C92" t="str">
            <v>01007003</v>
          </cell>
          <cell r="D92" t="str">
            <v>A3</v>
          </cell>
          <cell r="E92" t="str">
            <v>A3</v>
          </cell>
        </row>
        <row r="93">
          <cell r="B93" t="str">
            <v>Lưu Hoàng Bảo Châu</v>
          </cell>
          <cell r="C93" t="str">
            <v>01009029</v>
          </cell>
          <cell r="D93" t="str">
            <v>A3</v>
          </cell>
          <cell r="E93" t="str">
            <v>A3</v>
          </cell>
        </row>
        <row r="94">
          <cell r="B94" t="str">
            <v>Trần Việt Anh</v>
          </cell>
          <cell r="C94" t="str">
            <v>01002038</v>
          </cell>
          <cell r="D94" t="str">
            <v>A3</v>
          </cell>
          <cell r="E94" t="str">
            <v>A3</v>
          </cell>
        </row>
        <row r="95">
          <cell r="B95" t="str">
            <v>PHÒNG KHẢO THÍ VÀ ĐBCL</v>
          </cell>
          <cell r="C95">
            <v>0</v>
          </cell>
          <cell r="D95">
            <v>0</v>
          </cell>
          <cell r="E95">
            <v>8</v>
          </cell>
        </row>
        <row r="96">
          <cell r="B96" t="str">
            <v>Viên chức</v>
          </cell>
          <cell r="C96">
            <v>0</v>
          </cell>
          <cell r="D96">
            <v>0</v>
          </cell>
          <cell r="E96">
            <v>7</v>
          </cell>
        </row>
        <row r="97">
          <cell r="B97" t="str">
            <v>Nguyễn Chí Nhân</v>
          </cell>
          <cell r="C97" t="str">
            <v>01009009</v>
          </cell>
          <cell r="D97" t="str">
            <v>A3</v>
          </cell>
          <cell r="E97" t="str">
            <v>A2</v>
          </cell>
        </row>
        <row r="98">
          <cell r="B98" t="str">
            <v>Nguyễn Thị Kim Dung</v>
          </cell>
          <cell r="C98" t="str">
            <v>01003002</v>
          </cell>
          <cell r="D98" t="str">
            <v>A2</v>
          </cell>
          <cell r="E98" t="str">
            <v>A2</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A2</v>
          </cell>
          <cell r="E101" t="str">
            <v>A1</v>
          </cell>
        </row>
        <row r="102">
          <cell r="B102" t="str">
            <v>Mai Nguyễn Hoàng Yến</v>
          </cell>
          <cell r="C102" t="str">
            <v>01010038</v>
          </cell>
          <cell r="D102" t="str">
            <v>A3</v>
          </cell>
          <cell r="E102" t="str">
            <v>A3</v>
          </cell>
        </row>
        <row r="103">
          <cell r="B103" t="str">
            <v>Nguyễn Thị Huyền Nga</v>
          </cell>
          <cell r="C103" t="str">
            <v>01010006</v>
          </cell>
          <cell r="D103" t="str">
            <v>A3</v>
          </cell>
          <cell r="E103" t="str">
            <v>A3</v>
          </cell>
        </row>
        <row r="104">
          <cell r="B104" t="str">
            <v>Hợp đồng trường</v>
          </cell>
          <cell r="C104">
            <v>0</v>
          </cell>
          <cell r="D104">
            <v>0</v>
          </cell>
          <cell r="E104">
            <v>1</v>
          </cell>
        </row>
        <row r="105">
          <cell r="B105" t="str">
            <v>Nguyễn Yến Nhi</v>
          </cell>
          <cell r="C105" t="str">
            <v>01006006</v>
          </cell>
          <cell r="D105" t="str">
            <v>A DN</v>
          </cell>
          <cell r="E105" t="str">
            <v>A DN</v>
          </cell>
        </row>
        <row r="106">
          <cell r="B106" t="str">
            <v>PHÒNG QLKH-HTQT</v>
          </cell>
          <cell r="C106">
            <v>0</v>
          </cell>
          <cell r="D106">
            <v>0</v>
          </cell>
          <cell r="E106">
            <v>4</v>
          </cell>
        </row>
        <row r="107">
          <cell r="B107" t="str">
            <v>Viên chức</v>
          </cell>
          <cell r="C107">
            <v>0</v>
          </cell>
          <cell r="D107">
            <v>0</v>
          </cell>
          <cell r="E107">
            <v>2</v>
          </cell>
        </row>
        <row r="108">
          <cell r="B108" t="str">
            <v>Nguyễn Trọng Nghĩa</v>
          </cell>
          <cell r="C108" t="str">
            <v>01025001</v>
          </cell>
          <cell r="D108" t="str">
            <v>A1</v>
          </cell>
          <cell r="E108" t="str">
            <v>A1</v>
          </cell>
        </row>
        <row r="109">
          <cell r="B109" t="str">
            <v>Lê Thị Hải Đăng</v>
          </cell>
          <cell r="C109" t="str">
            <v>01002039</v>
          </cell>
          <cell r="D109" t="str">
            <v>A3</v>
          </cell>
          <cell r="E109" t="str">
            <v>A2</v>
          </cell>
        </row>
        <row r="110">
          <cell r="B110" t="str">
            <v>Hợp đồng trường</v>
          </cell>
          <cell r="C110">
            <v>0</v>
          </cell>
          <cell r="D110">
            <v>0</v>
          </cell>
          <cell r="E110">
            <v>2</v>
          </cell>
        </row>
        <row r="111">
          <cell r="B111" t="str">
            <v>Lê Tiến Dũng</v>
          </cell>
          <cell r="C111" t="str">
            <v>01005003</v>
          </cell>
          <cell r="D111" t="str">
            <v>A2</v>
          </cell>
          <cell r="E111" t="str">
            <v>A1</v>
          </cell>
        </row>
        <row r="112">
          <cell r="B112" t="str">
            <v>Lê Trần Thanh Nga</v>
          </cell>
          <cell r="C112" t="str">
            <v>01005011</v>
          </cell>
          <cell r="D112" t="str">
            <v>A3</v>
          </cell>
          <cell r="E112" t="str">
            <v>A3</v>
          </cell>
        </row>
        <row r="113">
          <cell r="B113" t="str">
            <v>PHÒNG QUẢN TRỊ - DỊCH VỤ</v>
          </cell>
          <cell r="C113">
            <v>0</v>
          </cell>
          <cell r="D113">
            <v>0</v>
          </cell>
          <cell r="E113">
            <v>28</v>
          </cell>
        </row>
        <row r="114">
          <cell r="B114" t="str">
            <v>Viên chức</v>
          </cell>
          <cell r="C114">
            <v>0</v>
          </cell>
          <cell r="D114">
            <v>0</v>
          </cell>
          <cell r="E114">
            <v>10</v>
          </cell>
        </row>
        <row r="115">
          <cell r="B115" t="str">
            <v>Lê Quang Liêm</v>
          </cell>
          <cell r="C115" t="str">
            <v>01008028</v>
          </cell>
          <cell r="D115" t="str">
            <v>A1</v>
          </cell>
          <cell r="E115" t="str">
            <v>A1</v>
          </cell>
        </row>
        <row r="116">
          <cell r="B116" t="str">
            <v>Nguyễn Văn Thành</v>
          </cell>
          <cell r="C116" t="str">
            <v>01008002</v>
          </cell>
          <cell r="D116" t="str">
            <v>A1</v>
          </cell>
          <cell r="E116" t="str">
            <v>A1</v>
          </cell>
        </row>
        <row r="117">
          <cell r="B117" t="str">
            <v>Phan Hữu Tước</v>
          </cell>
          <cell r="C117" t="str">
            <v>01008049</v>
          </cell>
          <cell r="D117" t="str">
            <v>A1</v>
          </cell>
          <cell r="E117" t="str">
            <v>A1</v>
          </cell>
        </row>
        <row r="118">
          <cell r="B118" t="str">
            <v>Nguyễn Trọng Phú</v>
          </cell>
          <cell r="C118" t="str">
            <v>01008004</v>
          </cell>
          <cell r="D118" t="str">
            <v>A1</v>
          </cell>
          <cell r="E118" t="str">
            <v>A1</v>
          </cell>
        </row>
        <row r="119">
          <cell r="B119" t="str">
            <v>Phan Đức Long</v>
          </cell>
          <cell r="C119" t="str">
            <v>01009007</v>
          </cell>
          <cell r="D119" t="str">
            <v>A2</v>
          </cell>
          <cell r="E119" t="str">
            <v>A2</v>
          </cell>
        </row>
        <row r="120">
          <cell r="B120" t="str">
            <v>Giáp Văn Thịnh</v>
          </cell>
          <cell r="C120" t="str">
            <v>01008008</v>
          </cell>
          <cell r="D120" t="str">
            <v>A2</v>
          </cell>
          <cell r="E120" t="str">
            <v>A2</v>
          </cell>
        </row>
        <row r="121">
          <cell r="B121" t="str">
            <v>Vũ Ngọc Quang</v>
          </cell>
          <cell r="C121" t="str">
            <v>01008006</v>
          </cell>
          <cell r="D121" t="str">
            <v>A1</v>
          </cell>
          <cell r="E121" t="str">
            <v>A1</v>
          </cell>
        </row>
        <row r="122">
          <cell r="B122" t="str">
            <v>Ninh Đỗ Hiệp</v>
          </cell>
          <cell r="C122" t="str">
            <v>01017009</v>
          </cell>
          <cell r="D122" t="str">
            <v>A DN</v>
          </cell>
          <cell r="E122" t="str">
            <v>A DN</v>
          </cell>
        </row>
        <row r="123">
          <cell r="B123" t="str">
            <v>Lê Hồng Anh Tuấn</v>
          </cell>
          <cell r="C123" t="str">
            <v>01008005</v>
          </cell>
          <cell r="D123" t="str">
            <v>A2</v>
          </cell>
          <cell r="E123" t="str">
            <v>A2</v>
          </cell>
        </row>
        <row r="124">
          <cell r="B124" t="str">
            <v>Bùi Thị Dương</v>
          </cell>
          <cell r="C124" t="str">
            <v>01009014</v>
          </cell>
          <cell r="D124" t="str">
            <v>A3</v>
          </cell>
          <cell r="E124" t="str">
            <v>A3</v>
          </cell>
        </row>
        <row r="125">
          <cell r="B125" t="str">
            <v>Hợp đồng trường</v>
          </cell>
          <cell r="C125">
            <v>0</v>
          </cell>
          <cell r="D125">
            <v>0</v>
          </cell>
          <cell r="E125">
            <v>18</v>
          </cell>
        </row>
        <row r="126">
          <cell r="B126" t="str">
            <v>Trần Thị Thu</v>
          </cell>
          <cell r="C126" t="str">
            <v>01008021</v>
          </cell>
          <cell r="D126" t="str">
            <v>A2</v>
          </cell>
          <cell r="E126" t="str">
            <v>A2</v>
          </cell>
        </row>
        <row r="127">
          <cell r="B127" t="str">
            <v>Dương Thị Thủy</v>
          </cell>
          <cell r="C127" t="str">
            <v>01008009</v>
          </cell>
          <cell r="D127" t="str">
            <v>A DN</v>
          </cell>
          <cell r="E127" t="str">
            <v>A DN</v>
          </cell>
        </row>
        <row r="128">
          <cell r="B128" t="str">
            <v>Đỗ Thị Bích Thủy</v>
          </cell>
          <cell r="C128" t="str">
            <v>01008031</v>
          </cell>
          <cell r="D128" t="str">
            <v>A2</v>
          </cell>
          <cell r="E128" t="str">
            <v>A2</v>
          </cell>
        </row>
        <row r="129">
          <cell r="B129" t="str">
            <v>Trần Kim Tươi</v>
          </cell>
          <cell r="C129" t="str">
            <v>01008039</v>
          </cell>
          <cell r="D129" t="str">
            <v>A2</v>
          </cell>
          <cell r="E129" t="str">
            <v>A2</v>
          </cell>
        </row>
        <row r="130">
          <cell r="B130" t="str">
            <v>Trương Thị Bắc</v>
          </cell>
          <cell r="C130" t="str">
            <v>01008040</v>
          </cell>
          <cell r="D130" t="str">
            <v>A2</v>
          </cell>
          <cell r="E130" t="str">
            <v>A2</v>
          </cell>
        </row>
        <row r="131">
          <cell r="B131" t="str">
            <v>Trương Thị Định</v>
          </cell>
          <cell r="C131" t="str">
            <v>01008041</v>
          </cell>
          <cell r="D131" t="str">
            <v>A2</v>
          </cell>
          <cell r="E131" t="str">
            <v>A2</v>
          </cell>
        </row>
        <row r="132">
          <cell r="B132" t="str">
            <v>Giáp Đức Nhận</v>
          </cell>
          <cell r="C132" t="str">
            <v>01012027</v>
          </cell>
          <cell r="D132" t="str">
            <v>A3</v>
          </cell>
          <cell r="E132" t="str">
            <v>A3</v>
          </cell>
        </row>
        <row r="133">
          <cell r="B133" t="str">
            <v>Tạ Quốc Tấn</v>
          </cell>
          <cell r="C133" t="str">
            <v>01008012</v>
          </cell>
          <cell r="D133" t="str">
            <v>A1</v>
          </cell>
          <cell r="E133" t="str">
            <v>A1</v>
          </cell>
        </row>
        <row r="134">
          <cell r="B134" t="str">
            <v>Huỳnh Bá Triết</v>
          </cell>
          <cell r="C134" t="str">
            <v>01008033</v>
          </cell>
          <cell r="D134" t="str">
            <v>A1</v>
          </cell>
          <cell r="E134" t="str">
            <v>A1</v>
          </cell>
        </row>
        <row r="135">
          <cell r="B135" t="str">
            <v>Võ Thị Tuyết</v>
          </cell>
          <cell r="C135" t="str">
            <v>01013033</v>
          </cell>
          <cell r="D135" t="str">
            <v>A2</v>
          </cell>
          <cell r="E135" t="str">
            <v>A2</v>
          </cell>
        </row>
        <row r="136">
          <cell r="B136" t="str">
            <v>Trịnh Tuấn Vũ</v>
          </cell>
          <cell r="C136" t="str">
            <v>01009015</v>
          </cell>
          <cell r="D136" t="str">
            <v>A3</v>
          </cell>
          <cell r="E136" t="str">
            <v>A3</v>
          </cell>
        </row>
        <row r="137">
          <cell r="B137" t="str">
            <v>Võ Tấn Đức</v>
          </cell>
          <cell r="C137" t="str">
            <v>01008042</v>
          </cell>
          <cell r="D137" t="str">
            <v>A3</v>
          </cell>
          <cell r="E137" t="str">
            <v>A3</v>
          </cell>
        </row>
        <row r="138">
          <cell r="B138" t="str">
            <v>Ngô Ngọc Của</v>
          </cell>
          <cell r="C138" t="str">
            <v>01008044</v>
          </cell>
          <cell r="D138" t="str">
            <v>A3</v>
          </cell>
          <cell r="E138" t="str">
            <v>A3</v>
          </cell>
        </row>
        <row r="139">
          <cell r="B139" t="str">
            <v>Phạm Thị Hoàng Diễm</v>
          </cell>
          <cell r="C139" t="str">
            <v>01008045</v>
          </cell>
          <cell r="D139" t="str">
            <v>A3</v>
          </cell>
          <cell r="E139" t="str">
            <v>A3</v>
          </cell>
        </row>
        <row r="140">
          <cell r="B140" t="str">
            <v>Nguyễn Văn Hiển</v>
          </cell>
          <cell r="C140" t="str">
            <v>01008048</v>
          </cell>
          <cell r="D140" t="str">
            <v>A1</v>
          </cell>
          <cell r="E140" t="str">
            <v>A1</v>
          </cell>
        </row>
        <row r="141">
          <cell r="B141" t="str">
            <v>Trần Thanh Phương</v>
          </cell>
          <cell r="C141" t="str">
            <v>01002034</v>
          </cell>
          <cell r="D141" t="str">
            <v>A1</v>
          </cell>
          <cell r="E141" t="str">
            <v>A1</v>
          </cell>
        </row>
        <row r="142">
          <cell r="B142" t="str">
            <v>Lâm Võ Hữu Duy</v>
          </cell>
          <cell r="C142" t="str">
            <v>01008050</v>
          </cell>
          <cell r="D142" t="str">
            <v>A2</v>
          </cell>
          <cell r="E142" t="str">
            <v>A1</v>
          </cell>
        </row>
        <row r="143">
          <cell r="B143" t="str">
            <v>Võ Lạc Tân</v>
          </cell>
          <cell r="C143" t="str">
            <v>01008051</v>
          </cell>
          <cell r="D143" t="str">
            <v>A4</v>
          </cell>
          <cell r="E143" t="str">
            <v>A4</v>
          </cell>
        </row>
        <row r="144">
          <cell r="B144" t="str">
            <v>KHOA KHOA HỌC CƠ BẢN</v>
          </cell>
          <cell r="C144">
            <v>0</v>
          </cell>
          <cell r="D144">
            <v>0</v>
          </cell>
          <cell r="E144">
            <v>16</v>
          </cell>
        </row>
        <row r="145">
          <cell r="B145" t="str">
            <v>Viên chức</v>
          </cell>
          <cell r="C145">
            <v>0</v>
          </cell>
          <cell r="D145">
            <v>0</v>
          </cell>
          <cell r="E145">
            <v>16</v>
          </cell>
        </row>
        <row r="146">
          <cell r="B146" t="str">
            <v>Nguyễn Thị Nhuận</v>
          </cell>
          <cell r="C146" t="str">
            <v>01022003</v>
          </cell>
          <cell r="D146" t="str">
            <v>A3</v>
          </cell>
          <cell r="E146" t="str">
            <v>A2</v>
          </cell>
        </row>
        <row r="147">
          <cell r="B147" t="str">
            <v>Phạm Thị Thu Nga</v>
          </cell>
          <cell r="C147" t="str">
            <v>01010007</v>
          </cell>
          <cell r="D147" t="str">
            <v>A4</v>
          </cell>
          <cell r="E147" t="str">
            <v>A4</v>
          </cell>
        </row>
        <row r="148">
          <cell r="B148" t="str">
            <v>Nguyễn Văn Hậu</v>
          </cell>
          <cell r="C148" t="str">
            <v>01010033</v>
          </cell>
          <cell r="D148" t="str">
            <v>A4</v>
          </cell>
          <cell r="E148" t="str">
            <v>A4</v>
          </cell>
        </row>
        <row r="149">
          <cell r="B149" t="str">
            <v>Dương Đức Kiên</v>
          </cell>
          <cell r="C149" t="str">
            <v>01010037</v>
          </cell>
          <cell r="D149" t="str">
            <v>A4</v>
          </cell>
          <cell r="E149" t="str">
            <v>A4</v>
          </cell>
        </row>
        <row r="150">
          <cell r="B150" t="str">
            <v>Hà Như Mai</v>
          </cell>
          <cell r="C150" t="str">
            <v>01010031</v>
          </cell>
          <cell r="D150" t="str">
            <v>A4</v>
          </cell>
          <cell r="E150" t="str">
            <v>A4</v>
          </cell>
        </row>
        <row r="151">
          <cell r="B151" t="str">
            <v>Nguyễn Thị Cẩm Thạch</v>
          </cell>
          <cell r="C151" t="str">
            <v>01010016</v>
          </cell>
          <cell r="D151" t="str">
            <v>A4</v>
          </cell>
          <cell r="E151" t="str">
            <v>A4</v>
          </cell>
        </row>
        <row r="152">
          <cell r="B152" t="str">
            <v>Nguyễn Thị Thủy</v>
          </cell>
          <cell r="C152" t="str">
            <v>01010028</v>
          </cell>
          <cell r="D152" t="str">
            <v>A4</v>
          </cell>
          <cell r="E152" t="str">
            <v>A4</v>
          </cell>
        </row>
        <row r="153">
          <cell r="B153" t="str">
            <v>Nguyễn Văn Đông</v>
          </cell>
          <cell r="C153" t="str">
            <v>01010017</v>
          </cell>
          <cell r="D153" t="str">
            <v>A3</v>
          </cell>
          <cell r="E153" t="str">
            <v>A3</v>
          </cell>
        </row>
        <row r="154">
          <cell r="B154" t="str">
            <v>Nguyễn Thanh Tú</v>
          </cell>
          <cell r="C154" t="str">
            <v>01010012</v>
          </cell>
          <cell r="D154" t="str">
            <v>A4</v>
          </cell>
          <cell r="E154" t="str">
            <v>A4</v>
          </cell>
        </row>
        <row r="155">
          <cell r="B155" t="str">
            <v>Trần Thị Ánh Tuyết</v>
          </cell>
          <cell r="C155" t="str">
            <v>01010029</v>
          </cell>
          <cell r="D155" t="str">
            <v>A4</v>
          </cell>
          <cell r="E155" t="str">
            <v>A4</v>
          </cell>
        </row>
        <row r="156">
          <cell r="B156" t="str">
            <v>Đặng Thị Kiến Trúc</v>
          </cell>
          <cell r="C156" t="str">
            <v>01010024</v>
          </cell>
          <cell r="D156" t="str">
            <v>A4</v>
          </cell>
          <cell r="E156" t="str">
            <v>A4</v>
          </cell>
        </row>
        <row r="157">
          <cell r="B157" t="str">
            <v>Lê Thái Hùng</v>
          </cell>
          <cell r="C157" t="str">
            <v>01010021</v>
          </cell>
          <cell r="D157" t="str">
            <v>A2</v>
          </cell>
          <cell r="E157" t="str">
            <v>A2</v>
          </cell>
        </row>
        <row r="158">
          <cell r="B158" t="str">
            <v>Giang Phi Hùng</v>
          </cell>
          <cell r="C158" t="str">
            <v>01010030</v>
          </cell>
          <cell r="D158" t="str">
            <v>A1</v>
          </cell>
          <cell r="E158" t="str">
            <v>A1</v>
          </cell>
        </row>
        <row r="159">
          <cell r="B159" t="str">
            <v>Ngô Thanh Điền</v>
          </cell>
          <cell r="C159" t="str">
            <v>01022005</v>
          </cell>
          <cell r="D159" t="str">
            <v>A3</v>
          </cell>
          <cell r="E159" t="str">
            <v>A3</v>
          </cell>
        </row>
        <row r="160">
          <cell r="B160" t="str">
            <v>Nguyễn Phú Tân</v>
          </cell>
          <cell r="C160" t="str">
            <v>01010022</v>
          </cell>
          <cell r="D160" t="str">
            <v>A3</v>
          </cell>
          <cell r="E160" t="str">
            <v>A3</v>
          </cell>
        </row>
        <row r="161">
          <cell r="B161" t="str">
            <v>Nguyễn Mạnh Phương</v>
          </cell>
          <cell r="C161" t="str">
            <v>01010032</v>
          </cell>
          <cell r="D161" t="str">
            <v>A2</v>
          </cell>
          <cell r="E161" t="str">
            <v>A1</v>
          </cell>
        </row>
        <row r="162">
          <cell r="B162" t="str">
            <v>KHOA NGOẠI NGỮ</v>
          </cell>
          <cell r="C162">
            <v>0</v>
          </cell>
          <cell r="D162">
            <v>0</v>
          </cell>
          <cell r="E162">
            <v>16</v>
          </cell>
        </row>
        <row r="163">
          <cell r="B163" t="str">
            <v>Viên chức</v>
          </cell>
          <cell r="C163">
            <v>0</v>
          </cell>
          <cell r="D163">
            <v>0</v>
          </cell>
          <cell r="E163">
            <v>16</v>
          </cell>
        </row>
        <row r="164">
          <cell r="B164" t="str">
            <v>Nguyễn Thị Thu Hà</v>
          </cell>
          <cell r="C164" t="str">
            <v>01010039</v>
          </cell>
          <cell r="D164" t="str">
            <v>A3</v>
          </cell>
          <cell r="E164" t="str">
            <v>A2</v>
          </cell>
        </row>
        <row r="165">
          <cell r="B165" t="str">
            <v>Phạm Thị Thu Hiền</v>
          </cell>
          <cell r="C165" t="str">
            <v>01010040</v>
          </cell>
          <cell r="D165" t="str">
            <v>A4</v>
          </cell>
          <cell r="E165" t="str">
            <v>A4</v>
          </cell>
        </row>
        <row r="166">
          <cell r="B166" t="str">
            <v>Lê Nguyễn Mỹ Trâm</v>
          </cell>
          <cell r="C166" t="str">
            <v>01010009</v>
          </cell>
          <cell r="D166" t="str">
            <v>A3</v>
          </cell>
          <cell r="E166" t="str">
            <v>A3</v>
          </cell>
        </row>
        <row r="167">
          <cell r="B167" t="str">
            <v>Nguyễn Thị Bảo Trân</v>
          </cell>
          <cell r="C167" t="str">
            <v>01010020</v>
          </cell>
          <cell r="D167" t="str">
            <v>A3</v>
          </cell>
          <cell r="E167" t="str">
            <v>A3</v>
          </cell>
        </row>
        <row r="168">
          <cell r="B168" t="str">
            <v>Vương Thanh Thủy</v>
          </cell>
          <cell r="C168" t="str">
            <v>01010018</v>
          </cell>
          <cell r="D168" t="str">
            <v>A3</v>
          </cell>
          <cell r="E168" t="str">
            <v>A3</v>
          </cell>
        </row>
        <row r="169">
          <cell r="B169" t="str">
            <v>Nguyễn Thị Thu Tâm</v>
          </cell>
          <cell r="C169" t="str">
            <v>01010019</v>
          </cell>
          <cell r="D169" t="str">
            <v>A4</v>
          </cell>
          <cell r="E169" t="str">
            <v>A4</v>
          </cell>
        </row>
        <row r="170">
          <cell r="B170" t="str">
            <v>Võ Thị Hồng Lan</v>
          </cell>
          <cell r="C170" t="str">
            <v>01010015</v>
          </cell>
          <cell r="D170" t="str">
            <v>A3</v>
          </cell>
          <cell r="E170" t="str">
            <v>A3</v>
          </cell>
        </row>
        <row r="171">
          <cell r="B171" t="str">
            <v>Nguyễn Thị Thanh Tú</v>
          </cell>
          <cell r="C171" t="str">
            <v>01010027</v>
          </cell>
          <cell r="D171" t="str">
            <v>A3</v>
          </cell>
          <cell r="E171" t="str">
            <v>A3</v>
          </cell>
        </row>
        <row r="172">
          <cell r="B172" t="str">
            <v>Trần Thanh Trúc</v>
          </cell>
          <cell r="C172" t="str">
            <v>01002025</v>
          </cell>
          <cell r="D172" t="str">
            <v>A3</v>
          </cell>
          <cell r="E172" t="str">
            <v>A3</v>
          </cell>
        </row>
        <row r="173">
          <cell r="B173" t="str">
            <v>Nguyễn Thiện Bình</v>
          </cell>
          <cell r="C173" t="str">
            <v>01010162</v>
          </cell>
          <cell r="D173" t="str">
            <v>A4</v>
          </cell>
          <cell r="E173" t="str">
            <v>A4</v>
          </cell>
        </row>
        <row r="174">
          <cell r="B174" t="str">
            <v>Lâm Thị Phương Thảo</v>
          </cell>
          <cell r="C174" t="str">
            <v>01010141</v>
          </cell>
          <cell r="D174" t="str">
            <v>A3</v>
          </cell>
          <cell r="E174" t="str">
            <v>A3</v>
          </cell>
        </row>
        <row r="175">
          <cell r="B175" t="str">
            <v>Trần Hà Trang</v>
          </cell>
          <cell r="C175" t="str">
            <v>01010254</v>
          </cell>
          <cell r="D175" t="str">
            <v>A4</v>
          </cell>
          <cell r="E175" t="str">
            <v>A4</v>
          </cell>
        </row>
        <row r="176">
          <cell r="B176" t="str">
            <v>Lê Thu Hà</v>
          </cell>
          <cell r="C176" t="str">
            <v>01010260</v>
          </cell>
          <cell r="D176" t="str">
            <v>A3</v>
          </cell>
          <cell r="E176" t="str">
            <v>A3</v>
          </cell>
        </row>
        <row r="177">
          <cell r="B177" t="str">
            <v>Ôn Thị Ngọc Thảo</v>
          </cell>
          <cell r="C177" t="str">
            <v>01010288</v>
          </cell>
          <cell r="D177" t="str">
            <v>A3</v>
          </cell>
          <cell r="E177" t="str">
            <v>A3</v>
          </cell>
        </row>
        <row r="178">
          <cell r="B178" t="str">
            <v>Nguyễn Huỳnh Khánh Vy</v>
          </cell>
          <cell r="C178" t="str">
            <v>01027013</v>
          </cell>
          <cell r="D178" t="str">
            <v>A4</v>
          </cell>
          <cell r="E178" t="str">
            <v>A4</v>
          </cell>
        </row>
        <row r="179">
          <cell r="B179" t="str">
            <v>Đoàn Thanh Long</v>
          </cell>
          <cell r="C179" t="str">
            <v>01027003</v>
          </cell>
          <cell r="D179" t="str">
            <v>A3</v>
          </cell>
          <cell r="E179" t="str">
            <v>A3</v>
          </cell>
        </row>
        <row r="180">
          <cell r="B180" t="str">
            <v>KHOA LÝ LUẬN CHÍNH TRỊ</v>
          </cell>
          <cell r="C180">
            <v>0</v>
          </cell>
          <cell r="D180">
            <v>0</v>
          </cell>
          <cell r="E180">
            <v>15</v>
          </cell>
        </row>
        <row r="181">
          <cell r="B181" t="str">
            <v>Viên chức</v>
          </cell>
          <cell r="C181">
            <v>0</v>
          </cell>
          <cell r="D181">
            <v>0</v>
          </cell>
          <cell r="E181">
            <v>15</v>
          </cell>
        </row>
        <row r="182">
          <cell r="B182" t="str">
            <v>Lê Thị Hồng Vân</v>
          </cell>
          <cell r="C182" t="str">
            <v>01011002</v>
          </cell>
          <cell r="D182" t="str">
            <v>A3</v>
          </cell>
          <cell r="E182" t="str">
            <v>A2</v>
          </cell>
        </row>
        <row r="183">
          <cell r="B183" t="str">
            <v>Nguyễn Ngọc Quỳnh</v>
          </cell>
          <cell r="C183" t="str">
            <v>01011012</v>
          </cell>
          <cell r="D183" t="str">
            <v>A4</v>
          </cell>
          <cell r="E183" t="str">
            <v>A4</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A4</v>
          </cell>
          <cell r="E190" t="str">
            <v>A4</v>
          </cell>
        </row>
        <row r="191">
          <cell r="B191" t="str">
            <v>Cao Thị Hồng Thắm</v>
          </cell>
          <cell r="C191" t="str">
            <v>01011007</v>
          </cell>
          <cell r="D191" t="str">
            <v>A4</v>
          </cell>
          <cell r="E191" t="str">
            <v>A4</v>
          </cell>
        </row>
        <row r="192">
          <cell r="B192" t="str">
            <v>Đỗ Thị Thơm</v>
          </cell>
          <cell r="C192" t="str">
            <v>01011008</v>
          </cell>
          <cell r="D192" t="str">
            <v>A4</v>
          </cell>
          <cell r="E192" t="str">
            <v>A4</v>
          </cell>
        </row>
        <row r="193">
          <cell r="B193" t="str">
            <v>Trần Thị Hồng Thu</v>
          </cell>
          <cell r="C193" t="str">
            <v>01011015</v>
          </cell>
          <cell r="D193" t="str">
            <v>A3</v>
          </cell>
          <cell r="E193" t="str">
            <v>A3</v>
          </cell>
        </row>
        <row r="194">
          <cell r="B194" t="str">
            <v>Phan Thị Thùy Trang</v>
          </cell>
          <cell r="C194" t="str">
            <v>01011010</v>
          </cell>
          <cell r="D194" t="str">
            <v>A3</v>
          </cell>
          <cell r="E194" t="str">
            <v>A3</v>
          </cell>
        </row>
        <row r="195">
          <cell r="B195" t="str">
            <v>Hoàng Thị Trang</v>
          </cell>
          <cell r="C195" t="str">
            <v>01011018</v>
          </cell>
          <cell r="D195" t="str">
            <v>A1</v>
          </cell>
          <cell r="E195" t="str">
            <v>A1</v>
          </cell>
        </row>
        <row r="196">
          <cell r="B196" t="str">
            <v>Phạm Thị Vinh</v>
          </cell>
          <cell r="C196" t="str">
            <v>01011006</v>
          </cell>
          <cell r="D196" t="str">
            <v>A3</v>
          </cell>
          <cell r="E196" t="str">
            <v>A3</v>
          </cell>
        </row>
        <row r="197">
          <cell r="B197" t="str">
            <v>KHOA CƠ KHÍ</v>
          </cell>
          <cell r="C197">
            <v>0</v>
          </cell>
          <cell r="D197">
            <v>0</v>
          </cell>
          <cell r="E197">
            <v>28</v>
          </cell>
        </row>
        <row r="198">
          <cell r="B198" t="str">
            <v>Viên chức</v>
          </cell>
          <cell r="C198">
            <v>0</v>
          </cell>
          <cell r="D198">
            <v>0</v>
          </cell>
          <cell r="E198">
            <v>28</v>
          </cell>
        </row>
        <row r="199">
          <cell r="B199" t="str">
            <v>Chung Trần Thế Vinh</v>
          </cell>
          <cell r="C199" t="str">
            <v>01012003</v>
          </cell>
          <cell r="D199" t="str">
            <v>A3</v>
          </cell>
          <cell r="E199" t="str">
            <v>A2</v>
          </cell>
        </row>
        <row r="200">
          <cell r="B200" t="str">
            <v>Trần Đình Khải</v>
          </cell>
          <cell r="C200" t="str">
            <v>01012008</v>
          </cell>
          <cell r="D200" t="str">
            <v>A2</v>
          </cell>
          <cell r="E200" t="str">
            <v>A2</v>
          </cell>
        </row>
        <row r="201">
          <cell r="B201" t="str">
            <v>Vũ Quang Khải</v>
          </cell>
          <cell r="C201" t="str">
            <v>01012007</v>
          </cell>
          <cell r="D201" t="str">
            <v>A3</v>
          </cell>
          <cell r="E201" t="str">
            <v>A3</v>
          </cell>
        </row>
        <row r="202">
          <cell r="B202" t="str">
            <v>Vũ Đức Pháp</v>
          </cell>
          <cell r="C202" t="str">
            <v>01012013</v>
          </cell>
          <cell r="D202" t="str">
            <v>A3</v>
          </cell>
          <cell r="E202" t="str">
            <v>A2</v>
          </cell>
        </row>
        <row r="203">
          <cell r="B203" t="str">
            <v>Bùi Anh Tuấn</v>
          </cell>
          <cell r="C203" t="str">
            <v>01012023</v>
          </cell>
          <cell r="D203" t="str">
            <v>A3</v>
          </cell>
          <cell r="E203" t="str">
            <v>A2</v>
          </cell>
        </row>
        <row r="204">
          <cell r="B204" t="str">
            <v>Dương Minh Chung</v>
          </cell>
          <cell r="C204" t="str">
            <v>01012014</v>
          </cell>
          <cell r="D204" t="str">
            <v>A4</v>
          </cell>
          <cell r="E204" t="str">
            <v>A4</v>
          </cell>
        </row>
        <row r="205">
          <cell r="B205" t="str">
            <v>Đỗ Thị Phương Khanh</v>
          </cell>
          <cell r="C205" t="str">
            <v>01012005</v>
          </cell>
          <cell r="D205" t="str">
            <v>A3</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A4</v>
          </cell>
          <cell r="E209" t="str">
            <v>A4</v>
          </cell>
        </row>
        <row r="210">
          <cell r="B210" t="str">
            <v>Nguyễn Thanh Vũ</v>
          </cell>
          <cell r="C210" t="str">
            <v>01012015</v>
          </cell>
          <cell r="D210" t="str">
            <v>A4</v>
          </cell>
          <cell r="E210" t="str">
            <v>A4</v>
          </cell>
        </row>
        <row r="211">
          <cell r="B211" t="str">
            <v>Nguyễn Tiến Dũng</v>
          </cell>
          <cell r="C211" t="str">
            <v>01012019</v>
          </cell>
          <cell r="D211" t="str">
            <v>A3</v>
          </cell>
          <cell r="E211" t="str">
            <v>A3</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A3</v>
          </cell>
          <cell r="E215" t="str">
            <v>A2</v>
          </cell>
        </row>
        <row r="216">
          <cell r="B216" t="str">
            <v>Trần Thị Hương</v>
          </cell>
          <cell r="C216" t="str">
            <v>01012021</v>
          </cell>
          <cell r="D216" t="str">
            <v>B1</v>
          </cell>
          <cell r="E216" t="str">
            <v>B1</v>
          </cell>
        </row>
        <row r="217">
          <cell r="B217" t="str">
            <v>Nguyễn Thanh Vĩnh Phúc</v>
          </cell>
          <cell r="C217" t="str">
            <v>01012011</v>
          </cell>
          <cell r="D217" t="str">
            <v>A3</v>
          </cell>
          <cell r="E217" t="str">
            <v>A3</v>
          </cell>
        </row>
        <row r="218">
          <cell r="B218" t="str">
            <v>Dương Thị Hồng</v>
          </cell>
          <cell r="C218" t="str">
            <v>01012028</v>
          </cell>
          <cell r="D218" t="str">
            <v>A3</v>
          </cell>
          <cell r="E218" t="str">
            <v>A3</v>
          </cell>
        </row>
        <row r="219">
          <cell r="B219" t="str">
            <v>Nguyễn Thanh Giang</v>
          </cell>
          <cell r="C219" t="str">
            <v>01012032</v>
          </cell>
          <cell r="D219" t="str">
            <v>A3</v>
          </cell>
          <cell r="E219" t="str">
            <v>A3</v>
          </cell>
        </row>
        <row r="220">
          <cell r="B220" t="str">
            <v>Nguyễn Hồng Phúc</v>
          </cell>
          <cell r="C220" t="str">
            <v>01025017</v>
          </cell>
          <cell r="D220" t="str">
            <v>A3</v>
          </cell>
          <cell r="E220" t="str">
            <v>A3</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A3</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v>0</v>
          </cell>
          <cell r="D227">
            <v>0</v>
          </cell>
          <cell r="E227">
            <v>19</v>
          </cell>
        </row>
        <row r="228">
          <cell r="B228" t="str">
            <v>Viên chức</v>
          </cell>
          <cell r="C228">
            <v>0</v>
          </cell>
          <cell r="D228">
            <v>0</v>
          </cell>
          <cell r="E228">
            <v>19</v>
          </cell>
        </row>
        <row r="229">
          <cell r="B229" t="str">
            <v>Trần Việt Khánh</v>
          </cell>
          <cell r="C229" t="str">
            <v>01015019</v>
          </cell>
          <cell r="D229" t="str">
            <v>A3</v>
          </cell>
          <cell r="E229" t="str">
            <v>A2</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A3</v>
          </cell>
          <cell r="E232" t="str">
            <v>A3</v>
          </cell>
        </row>
        <row r="233">
          <cell r="B233" t="str">
            <v>Huỳnh Quốc Dũng</v>
          </cell>
          <cell r="C233" t="str">
            <v>01015041</v>
          </cell>
          <cell r="D233" t="str">
            <v>A3</v>
          </cell>
          <cell r="E233" t="str">
            <v>A3</v>
          </cell>
        </row>
        <row r="234">
          <cell r="B234" t="str">
            <v>Vũ Thị Thái Linh</v>
          </cell>
          <cell r="C234" t="str">
            <v>01015013</v>
          </cell>
          <cell r="D234" t="str">
            <v>A4</v>
          </cell>
          <cell r="E234" t="str">
            <v>A4</v>
          </cell>
        </row>
        <row r="235">
          <cell r="B235" t="str">
            <v>Nguyễn Văn Minh</v>
          </cell>
          <cell r="C235" t="str">
            <v>01015006</v>
          </cell>
          <cell r="D235" t="str">
            <v>A3</v>
          </cell>
          <cell r="E235" t="str">
            <v>A3</v>
          </cell>
        </row>
        <row r="236">
          <cell r="B236" t="str">
            <v>Nguyễn Cao Phong</v>
          </cell>
          <cell r="C236" t="str">
            <v>01018001</v>
          </cell>
          <cell r="D236" t="str">
            <v>A4</v>
          </cell>
          <cell r="E236" t="str">
            <v>A4</v>
          </cell>
        </row>
        <row r="237">
          <cell r="B237" t="str">
            <v>Lê Quý Hưng Quốc</v>
          </cell>
          <cell r="C237" t="str">
            <v>01015004</v>
          </cell>
          <cell r="D237" t="str">
            <v>A3</v>
          </cell>
          <cell r="E237" t="str">
            <v>A3</v>
          </cell>
        </row>
        <row r="238">
          <cell r="B238" t="str">
            <v>Lê Hồng Thái</v>
          </cell>
          <cell r="C238" t="str">
            <v>01015017</v>
          </cell>
          <cell r="D238" t="str">
            <v>A3</v>
          </cell>
          <cell r="E238" t="str">
            <v>A3</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A4</v>
          </cell>
          <cell r="E241" t="str">
            <v>A4</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A3</v>
          </cell>
        </row>
        <row r="244">
          <cell r="B244" t="str">
            <v>Trần Vĩnh Xuyên</v>
          </cell>
          <cell r="C244" t="str">
            <v>01015008</v>
          </cell>
          <cell r="D244" t="str">
            <v>A3</v>
          </cell>
          <cell r="E244" t="str">
            <v>A3</v>
          </cell>
        </row>
        <row r="245">
          <cell r="B245" t="str">
            <v>Đỗ Thị Hải Yến</v>
          </cell>
          <cell r="C245" t="str">
            <v>01015021</v>
          </cell>
          <cell r="D245" t="str">
            <v>A3</v>
          </cell>
          <cell r="E245" t="str">
            <v>A3</v>
          </cell>
        </row>
        <row r="246">
          <cell r="B246" t="str">
            <v>Đào Lê Phương Anh</v>
          </cell>
          <cell r="C246" t="str">
            <v>01015108</v>
          </cell>
          <cell r="D246" t="str">
            <v>A3</v>
          </cell>
          <cell r="E246" t="str">
            <v>A3</v>
          </cell>
        </row>
        <row r="247">
          <cell r="B247" t="str">
            <v>Nguyễn Duy Lộc</v>
          </cell>
          <cell r="C247" t="str">
            <v>01015142</v>
          </cell>
          <cell r="D247" t="str">
            <v>A3</v>
          </cell>
          <cell r="E247" t="str">
            <v>A3</v>
          </cell>
        </row>
        <row r="248">
          <cell r="B248" t="str">
            <v>KHOA ĐỘNG LỰC</v>
          </cell>
          <cell r="C248">
            <v>0</v>
          </cell>
          <cell r="D248">
            <v>0</v>
          </cell>
          <cell r="E248">
            <v>25</v>
          </cell>
        </row>
        <row r="249">
          <cell r="B249" t="str">
            <v>Viên chức</v>
          </cell>
          <cell r="C249">
            <v>0</v>
          </cell>
          <cell r="D249">
            <v>0</v>
          </cell>
          <cell r="E249">
            <v>24</v>
          </cell>
        </row>
        <row r="250">
          <cell r="B250" t="str">
            <v>Nguyễn Anh Tuấn</v>
          </cell>
          <cell r="C250" t="str">
            <v>01013003</v>
          </cell>
          <cell r="D250" t="str">
            <v>A1</v>
          </cell>
          <cell r="E250" t="str">
            <v>A1</v>
          </cell>
        </row>
        <row r="251">
          <cell r="B251" t="str">
            <v>Võ Đắc Thịnh</v>
          </cell>
          <cell r="C251" t="str">
            <v>01013002</v>
          </cell>
          <cell r="D251" t="str">
            <v>A2</v>
          </cell>
          <cell r="E251" t="str">
            <v>A2</v>
          </cell>
        </row>
        <row r="252">
          <cell r="B252" t="str">
            <v>Nguyễn Hữu Mạnh</v>
          </cell>
          <cell r="C252" t="str">
            <v>01013004</v>
          </cell>
          <cell r="D252" t="str">
            <v>A4</v>
          </cell>
          <cell r="E252" t="str">
            <v>A4</v>
          </cell>
        </row>
        <row r="253">
          <cell r="B253" t="str">
            <v>Hà Quốc Bảo</v>
          </cell>
          <cell r="C253" t="str">
            <v>01013021</v>
          </cell>
          <cell r="D253" t="str">
            <v>A4</v>
          </cell>
          <cell r="E253" t="str">
            <v>A4</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A4</v>
          </cell>
          <cell r="E259" t="str">
            <v>A4</v>
          </cell>
        </row>
        <row r="260">
          <cell r="B260" t="str">
            <v>Trần Quốc Duy</v>
          </cell>
          <cell r="C260" t="str">
            <v>01013026</v>
          </cell>
          <cell r="D260" t="str">
            <v>A4</v>
          </cell>
          <cell r="E260" t="str">
            <v>A4</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A4</v>
          </cell>
          <cell r="E266" t="str">
            <v>A4</v>
          </cell>
        </row>
        <row r="267">
          <cell r="B267" t="str">
            <v>Trần Văn Đông</v>
          </cell>
          <cell r="C267" t="str">
            <v>01014047</v>
          </cell>
          <cell r="D267" t="str">
            <v>A4</v>
          </cell>
          <cell r="E267" t="str">
            <v>A4</v>
          </cell>
        </row>
        <row r="268">
          <cell r="B268" t="str">
            <v>Lý Văn Trung</v>
          </cell>
          <cell r="C268" t="str">
            <v>01013079</v>
          </cell>
          <cell r="D268" t="str">
            <v>A3</v>
          </cell>
          <cell r="E268" t="str">
            <v>A3</v>
          </cell>
        </row>
        <row r="269">
          <cell r="B269" t="str">
            <v>Nguyễn Hoàng Vinh</v>
          </cell>
          <cell r="C269" t="str">
            <v>01013087</v>
          </cell>
          <cell r="D269" t="str">
            <v>A4</v>
          </cell>
          <cell r="E269" t="str">
            <v>A4</v>
          </cell>
        </row>
        <row r="270">
          <cell r="B270" t="str">
            <v>Bùi Trọng Tân</v>
          </cell>
          <cell r="C270" t="str">
            <v>01013094</v>
          </cell>
          <cell r="D270" t="str">
            <v>A4</v>
          </cell>
          <cell r="E270" t="str">
            <v>A4</v>
          </cell>
        </row>
        <row r="271">
          <cell r="B271" t="str">
            <v>Giang Văn Tiến</v>
          </cell>
          <cell r="C271" t="str">
            <v>01013117</v>
          </cell>
          <cell r="D271" t="str">
            <v>A4</v>
          </cell>
          <cell r="E271" t="str">
            <v>A4</v>
          </cell>
        </row>
        <row r="272">
          <cell r="B272" t="str">
            <v>Nguyễn Hữu Lương</v>
          </cell>
          <cell r="C272" t="str">
            <v>01013116</v>
          </cell>
          <cell r="D272" t="str">
            <v>A4</v>
          </cell>
          <cell r="E272" t="str">
            <v>A4</v>
          </cell>
        </row>
        <row r="273">
          <cell r="B273" t="str">
            <v>Huỳnh Đình Văn</v>
          </cell>
          <cell r="C273" t="str">
            <v>01013128</v>
          </cell>
          <cell r="D273" t="str">
            <v>A4</v>
          </cell>
          <cell r="E273" t="str">
            <v>A4</v>
          </cell>
        </row>
        <row r="274">
          <cell r="B274" t="str">
            <v>Hợp đồng trường</v>
          </cell>
          <cell r="C274">
            <v>0</v>
          </cell>
          <cell r="D274">
            <v>0</v>
          </cell>
          <cell r="E274">
            <v>1</v>
          </cell>
        </row>
        <row r="275">
          <cell r="B275" t="str">
            <v>Nguyễn Khắc Huân</v>
          </cell>
          <cell r="C275" t="str">
            <v>01013096</v>
          </cell>
          <cell r="D275" t="str">
            <v>A3</v>
          </cell>
          <cell r="E275" t="str">
            <v>A3</v>
          </cell>
        </row>
        <row r="276">
          <cell r="B276" t="str">
            <v>KHOA ĐIỆN - ĐIỆN TỬ</v>
          </cell>
          <cell r="C276">
            <v>0</v>
          </cell>
          <cell r="D276">
            <v>0</v>
          </cell>
          <cell r="E276">
            <v>30</v>
          </cell>
        </row>
        <row r="277">
          <cell r="B277" t="str">
            <v>Viên chức</v>
          </cell>
          <cell r="C277">
            <v>0</v>
          </cell>
          <cell r="D277">
            <v>0</v>
          </cell>
          <cell r="E277">
            <v>30</v>
          </cell>
        </row>
        <row r="278">
          <cell r="B278" t="str">
            <v>Tạ Minh Cường</v>
          </cell>
          <cell r="C278" t="str">
            <v>01014002</v>
          </cell>
          <cell r="D278" t="str">
            <v>A1</v>
          </cell>
          <cell r="E278" t="str">
            <v>A1</v>
          </cell>
        </row>
        <row r="279">
          <cell r="B279" t="str">
            <v>Huỳnh Ngọc Mai</v>
          </cell>
          <cell r="C279" t="str">
            <v>01014004</v>
          </cell>
          <cell r="D279" t="str">
            <v>A1</v>
          </cell>
          <cell r="E279" t="str">
            <v>A1</v>
          </cell>
        </row>
        <row r="280">
          <cell r="B280" t="str">
            <v>Phạm Minh Nghĩa</v>
          </cell>
          <cell r="C280" t="str">
            <v>01023003</v>
          </cell>
          <cell r="D280" t="str">
            <v>A1</v>
          </cell>
          <cell r="E280" t="str">
            <v>A1</v>
          </cell>
        </row>
        <row r="281">
          <cell r="B281" t="str">
            <v>Trần Nguyên Bảo Trân</v>
          </cell>
          <cell r="C281" t="str">
            <v>01014038</v>
          </cell>
          <cell r="D281" t="str">
            <v>A1</v>
          </cell>
          <cell r="E281" t="str">
            <v>A1</v>
          </cell>
        </row>
        <row r="282">
          <cell r="B282" t="str">
            <v>Huỳnh Duy An</v>
          </cell>
          <cell r="C282" t="str">
            <v>01014051</v>
          </cell>
          <cell r="D282" t="str">
            <v>A3</v>
          </cell>
          <cell r="E282" t="str">
            <v>A3</v>
          </cell>
        </row>
        <row r="283">
          <cell r="B283" t="str">
            <v>Ngô Hoàng Anh</v>
          </cell>
          <cell r="C283" t="str">
            <v>01014005</v>
          </cell>
          <cell r="D283" t="str">
            <v>A3</v>
          </cell>
          <cell r="E283" t="str">
            <v>A3</v>
          </cell>
        </row>
        <row r="284">
          <cell r="B284" t="str">
            <v>Trần Nam Anh</v>
          </cell>
          <cell r="C284" t="str">
            <v>01014046</v>
          </cell>
          <cell r="D284" t="str">
            <v>A1</v>
          </cell>
          <cell r="E284" t="str">
            <v>A1</v>
          </cell>
        </row>
        <row r="285">
          <cell r="B285" t="str">
            <v>Vũ Hạnh Chiêu</v>
          </cell>
          <cell r="C285" t="str">
            <v>01014026</v>
          </cell>
          <cell r="D285" t="str">
            <v>A3</v>
          </cell>
          <cell r="E285" t="str">
            <v>A3</v>
          </cell>
        </row>
        <row r="286">
          <cell r="B286" t="str">
            <v>Ngô Phong Cường</v>
          </cell>
          <cell r="C286" t="str">
            <v>01014029</v>
          </cell>
          <cell r="D286" t="str">
            <v>A3</v>
          </cell>
          <cell r="E286" t="str">
            <v>A3</v>
          </cell>
        </row>
        <row r="287">
          <cell r="B287" t="str">
            <v>Nguyễn Minh Đức Cường</v>
          </cell>
          <cell r="C287" t="str">
            <v>01014033</v>
          </cell>
          <cell r="D287" t="str">
            <v>A1</v>
          </cell>
          <cell r="E287" t="str">
            <v>A1</v>
          </cell>
        </row>
        <row r="288">
          <cell r="B288" t="str">
            <v>Nguyễn Hồng Đức</v>
          </cell>
          <cell r="C288" t="str">
            <v>01014013</v>
          </cell>
          <cell r="D288" t="str">
            <v>A4</v>
          </cell>
          <cell r="E288" t="str">
            <v>A4</v>
          </cell>
        </row>
        <row r="289">
          <cell r="B289" t="str">
            <v>Nguyễn Minh Đức</v>
          </cell>
          <cell r="C289" t="str">
            <v>01014017</v>
          </cell>
          <cell r="D289" t="str">
            <v>A3</v>
          </cell>
          <cell r="E289" t="str">
            <v>A3</v>
          </cell>
        </row>
        <row r="290">
          <cell r="B290" t="str">
            <v>Nguyễn Thị Ngọc Hiền</v>
          </cell>
          <cell r="C290" t="str">
            <v>01014034</v>
          </cell>
          <cell r="D290" t="str">
            <v>A3</v>
          </cell>
          <cell r="E290" t="str">
            <v>A3</v>
          </cell>
        </row>
        <row r="291">
          <cell r="B291" t="str">
            <v>Trần Trung Hiếu</v>
          </cell>
          <cell r="C291" t="str">
            <v>01014020</v>
          </cell>
          <cell r="D291" t="str">
            <v>A3</v>
          </cell>
          <cell r="E291" t="str">
            <v>A3</v>
          </cell>
        </row>
        <row r="292">
          <cell r="B292" t="str">
            <v>Mạnh Lê Hoàn</v>
          </cell>
          <cell r="C292" t="str">
            <v>01014018</v>
          </cell>
          <cell r="D292" t="str">
            <v>A3</v>
          </cell>
          <cell r="E292" t="str">
            <v>A3</v>
          </cell>
        </row>
        <row r="293">
          <cell r="B293" t="str">
            <v>Phan Thanh Hoàng</v>
          </cell>
          <cell r="C293" t="str">
            <v>01014042</v>
          </cell>
          <cell r="D293" t="str">
            <v>A3</v>
          </cell>
          <cell r="E293" t="str">
            <v>A3</v>
          </cell>
        </row>
        <row r="294">
          <cell r="B294" t="str">
            <v>Lê Thế Huân</v>
          </cell>
          <cell r="C294" t="str">
            <v>01014019</v>
          </cell>
          <cell r="D294" t="str">
            <v>A3</v>
          </cell>
          <cell r="E294" t="str">
            <v>A3</v>
          </cell>
        </row>
        <row r="295">
          <cell r="B295" t="str">
            <v>Tăng Cẩm Huê</v>
          </cell>
          <cell r="C295" t="str">
            <v>01014010</v>
          </cell>
          <cell r="D295" t="str">
            <v>A3</v>
          </cell>
          <cell r="E295" t="str">
            <v>A3</v>
          </cell>
        </row>
        <row r="296">
          <cell r="B296" t="str">
            <v>Nguyễn Thùy Linh</v>
          </cell>
          <cell r="C296" t="str">
            <v>01014030</v>
          </cell>
          <cell r="D296" t="str">
            <v>A3</v>
          </cell>
          <cell r="E296" t="str">
            <v>A3</v>
          </cell>
        </row>
        <row r="297">
          <cell r="B297" t="str">
            <v>Đặng Đức Minh</v>
          </cell>
          <cell r="C297" t="str">
            <v>01014024</v>
          </cell>
          <cell r="D297" t="str">
            <v>A3</v>
          </cell>
          <cell r="E297" t="str">
            <v>A3</v>
          </cell>
        </row>
        <row r="298">
          <cell r="B298" t="str">
            <v>Trần Giang Nam</v>
          </cell>
          <cell r="C298" t="str">
            <v>01014048</v>
          </cell>
          <cell r="D298" t="str">
            <v>A1</v>
          </cell>
          <cell r="E298" t="str">
            <v>A1</v>
          </cell>
        </row>
        <row r="299">
          <cell r="B299" t="str">
            <v>Nguyễn Thị Tố Nga</v>
          </cell>
          <cell r="C299" t="str">
            <v>01014022</v>
          </cell>
          <cell r="D299" t="str">
            <v>A3</v>
          </cell>
          <cell r="E299" t="str">
            <v>A3</v>
          </cell>
        </row>
        <row r="300">
          <cell r="B300" t="str">
            <v>Nguyễn Trần Thanh Nhàn</v>
          </cell>
          <cell r="C300" t="str">
            <v>01014025</v>
          </cell>
          <cell r="D300" t="str">
            <v>A4</v>
          </cell>
          <cell r="E300" t="str">
            <v>A4</v>
          </cell>
        </row>
        <row r="301">
          <cell r="B301" t="str">
            <v>Đỗ Huỳnh Thanh Phong</v>
          </cell>
          <cell r="C301" t="str">
            <v>01014032</v>
          </cell>
          <cell r="D301" t="str">
            <v>A3</v>
          </cell>
          <cell r="E301" t="str">
            <v>A3</v>
          </cell>
        </row>
        <row r="302">
          <cell r="B302" t="str">
            <v>Nguyễn Anh Tăng</v>
          </cell>
          <cell r="C302" t="str">
            <v>01014006</v>
          </cell>
          <cell r="D302" t="str">
            <v>A3</v>
          </cell>
          <cell r="E302" t="str">
            <v>A3</v>
          </cell>
        </row>
        <row r="303">
          <cell r="B303" t="str">
            <v>Nguyễn Khương Thành</v>
          </cell>
          <cell r="C303" t="str">
            <v>01014052</v>
          </cell>
          <cell r="D303" t="str">
            <v>A3</v>
          </cell>
          <cell r="E303" t="str">
            <v>A3</v>
          </cell>
        </row>
        <row r="304">
          <cell r="B304" t="str">
            <v>Trần Công Tiến</v>
          </cell>
          <cell r="C304" t="str">
            <v>01014009</v>
          </cell>
          <cell r="D304" t="str">
            <v>A3</v>
          </cell>
          <cell r="E304" t="str">
            <v>A3</v>
          </cell>
        </row>
        <row r="305">
          <cell r="B305" t="str">
            <v>Cao Văn Tuấn</v>
          </cell>
          <cell r="C305" t="str">
            <v>01014045</v>
          </cell>
          <cell r="D305" t="str">
            <v>A1</v>
          </cell>
          <cell r="E305" t="str">
            <v>A1</v>
          </cell>
        </row>
        <row r="306">
          <cell r="B306" t="str">
            <v>Trần Hiếu Trinh</v>
          </cell>
          <cell r="C306" t="str">
            <v>01014021</v>
          </cell>
          <cell r="D306" t="str">
            <v>A3</v>
          </cell>
          <cell r="E306" t="str">
            <v>A3</v>
          </cell>
        </row>
        <row r="307">
          <cell r="B307" t="str">
            <v>Nguyễn Văn Yên</v>
          </cell>
          <cell r="C307" t="str">
            <v>01014016</v>
          </cell>
          <cell r="D307" t="str">
            <v>A3</v>
          </cell>
          <cell r="E307" t="str">
            <v>A3</v>
          </cell>
        </row>
        <row r="308">
          <cell r="B308" t="str">
            <v>KHOA MAY - THỜI TRANG</v>
          </cell>
          <cell r="C308">
            <v>0</v>
          </cell>
          <cell r="D308">
            <v>0</v>
          </cell>
          <cell r="E308">
            <v>8</v>
          </cell>
        </row>
        <row r="309">
          <cell r="B309" t="str">
            <v>Viên chức</v>
          </cell>
          <cell r="C309">
            <v>0</v>
          </cell>
          <cell r="D309">
            <v>0</v>
          </cell>
          <cell r="E309">
            <v>8</v>
          </cell>
        </row>
        <row r="310">
          <cell r="B310" t="str">
            <v>Nguyễn Ngọc Thọ</v>
          </cell>
          <cell r="C310" t="str">
            <v>01016008</v>
          </cell>
          <cell r="D310" t="str">
            <v>A3</v>
          </cell>
          <cell r="E310" t="str">
            <v>A2</v>
          </cell>
        </row>
        <row r="311">
          <cell r="B311" t="str">
            <v>Chế Vân Cầm</v>
          </cell>
          <cell r="C311" t="str">
            <v>01016004</v>
          </cell>
          <cell r="D311" t="str">
            <v>A DN</v>
          </cell>
          <cell r="E311" t="str">
            <v>A DN</v>
          </cell>
        </row>
        <row r="312">
          <cell r="B312" t="str">
            <v>Nguyễn Bạch Cẩm Dung</v>
          </cell>
          <cell r="C312" t="str">
            <v>01016002</v>
          </cell>
          <cell r="D312" t="str">
            <v>A4</v>
          </cell>
          <cell r="E312" t="str">
            <v>A4</v>
          </cell>
        </row>
        <row r="313">
          <cell r="B313" t="str">
            <v>Nguyễn Thị Hiền</v>
          </cell>
          <cell r="C313" t="str">
            <v>01016006</v>
          </cell>
          <cell r="D313" t="str">
            <v>A3</v>
          </cell>
          <cell r="E313" t="str">
            <v>A3</v>
          </cell>
        </row>
        <row r="314">
          <cell r="B314" t="str">
            <v>Bùi Thị Ngọc Sương</v>
          </cell>
          <cell r="C314" t="str">
            <v>01016005</v>
          </cell>
          <cell r="D314" t="str">
            <v>A4</v>
          </cell>
          <cell r="E314" t="str">
            <v>A4</v>
          </cell>
        </row>
        <row r="315">
          <cell r="B315" t="str">
            <v>Lê Thị Phương Thảo</v>
          </cell>
          <cell r="C315" t="str">
            <v>01016012</v>
          </cell>
          <cell r="D315" t="str">
            <v>A4</v>
          </cell>
          <cell r="E315" t="str">
            <v>A4</v>
          </cell>
        </row>
        <row r="316">
          <cell r="B316" t="str">
            <v>Trần Hồng Thảo</v>
          </cell>
          <cell r="C316" t="str">
            <v>01016010</v>
          </cell>
          <cell r="D316" t="str">
            <v>A3</v>
          </cell>
          <cell r="E316" t="str">
            <v>A3</v>
          </cell>
        </row>
        <row r="317">
          <cell r="B317" t="str">
            <v>Lâm Thị Phương Thùy</v>
          </cell>
          <cell r="C317" t="str">
            <v>01016007</v>
          </cell>
          <cell r="D317" t="str">
            <v>A4</v>
          </cell>
          <cell r="E317" t="str">
            <v>A4</v>
          </cell>
        </row>
        <row r="318">
          <cell r="B318" t="str">
            <v>KHOA XÂY DỰNG - NHIỆT LẠNH</v>
          </cell>
          <cell r="C318">
            <v>0</v>
          </cell>
          <cell r="D318">
            <v>0</v>
          </cell>
          <cell r="E318">
            <v>12</v>
          </cell>
        </row>
        <row r="319">
          <cell r="B319" t="str">
            <v>Viên chức</v>
          </cell>
          <cell r="C319">
            <v>0</v>
          </cell>
          <cell r="D319">
            <v>0</v>
          </cell>
          <cell r="E319">
            <v>12</v>
          </cell>
        </row>
        <row r="320">
          <cell r="B320" t="str">
            <v>Phạm Quang Vũ</v>
          </cell>
          <cell r="C320" t="str">
            <v>01004014</v>
          </cell>
          <cell r="D320" t="str">
            <v>A3</v>
          </cell>
          <cell r="E320" t="str">
            <v>A2</v>
          </cell>
        </row>
        <row r="321">
          <cell r="B321" t="str">
            <v>Hoàng Văn Viết</v>
          </cell>
          <cell r="C321" t="str">
            <v>01029001</v>
          </cell>
          <cell r="D321" t="str">
            <v>A3</v>
          </cell>
          <cell r="E321" t="str">
            <v>A2</v>
          </cell>
        </row>
        <row r="322">
          <cell r="B322" t="str">
            <v>Đinh Đồng Hiệp</v>
          </cell>
          <cell r="C322" t="str">
            <v>01013020</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A4</v>
          </cell>
          <cell r="E326" t="str">
            <v>A4</v>
          </cell>
        </row>
        <row r="327">
          <cell r="B327" t="str">
            <v>Trần Đình Khoa</v>
          </cell>
          <cell r="C327" t="str">
            <v>01013023</v>
          </cell>
          <cell r="D327" t="str">
            <v>A3</v>
          </cell>
          <cell r="E327" t="str">
            <v>A3</v>
          </cell>
        </row>
        <row r="328">
          <cell r="B328" t="str">
            <v>Phan Văn Hòa</v>
          </cell>
          <cell r="C328" t="str">
            <v>01013015</v>
          </cell>
          <cell r="D328" t="str">
            <v>A3</v>
          </cell>
          <cell r="E328" t="str">
            <v>A3</v>
          </cell>
        </row>
        <row r="329">
          <cell r="B329" t="str">
            <v>Nguyễn Thanh Dũng</v>
          </cell>
          <cell r="C329" t="str">
            <v>01029016</v>
          </cell>
          <cell r="D329" t="str">
            <v>A2</v>
          </cell>
          <cell r="E329" t="str">
            <v>A2</v>
          </cell>
        </row>
        <row r="330">
          <cell r="B330" t="str">
            <v>Trình Minh Phong</v>
          </cell>
          <cell r="C330" t="str">
            <v>01028013</v>
          </cell>
          <cell r="D330" t="str">
            <v>A4</v>
          </cell>
          <cell r="E330" t="str">
            <v>A4</v>
          </cell>
        </row>
        <row r="331">
          <cell r="B331" t="str">
            <v>Trần Ngọc Tuấn</v>
          </cell>
          <cell r="C331" t="str">
            <v>01028017</v>
          </cell>
          <cell r="D331" t="str">
            <v>A3</v>
          </cell>
          <cell r="E331" t="str">
            <v>A3</v>
          </cell>
        </row>
        <row r="332">
          <cell r="B332" t="str">
            <v>KHOA KINH TẾ</v>
          </cell>
          <cell r="C332">
            <v>0</v>
          </cell>
          <cell r="D332">
            <v>0</v>
          </cell>
          <cell r="E332">
            <v>13</v>
          </cell>
        </row>
        <row r="333">
          <cell r="B333" t="str">
            <v>Viên chức</v>
          </cell>
          <cell r="C333">
            <v>0</v>
          </cell>
          <cell r="D333">
            <v>0</v>
          </cell>
          <cell r="E333">
            <v>13</v>
          </cell>
        </row>
        <row r="334">
          <cell r="B334" t="str">
            <v>Trịnh Hoàng Hiệp</v>
          </cell>
          <cell r="C334" t="str">
            <v>01025007</v>
          </cell>
          <cell r="D334" t="str">
            <v>A3</v>
          </cell>
          <cell r="E334" t="str">
            <v>A2</v>
          </cell>
        </row>
        <row r="335">
          <cell r="B335" t="str">
            <v>Phạm Quỳnh Như</v>
          </cell>
          <cell r="C335" t="str">
            <v>01025004</v>
          </cell>
          <cell r="D335" t="str">
            <v>A3</v>
          </cell>
          <cell r="E335" t="str">
            <v>A2</v>
          </cell>
        </row>
        <row r="336">
          <cell r="B336" t="str">
            <v>Lưu Thị Thúy</v>
          </cell>
          <cell r="C336" t="str">
            <v>01025002</v>
          </cell>
          <cell r="D336" t="str">
            <v>A3</v>
          </cell>
          <cell r="E336" t="str">
            <v>A3</v>
          </cell>
        </row>
        <row r="337">
          <cell r="B337" t="str">
            <v>Trần Thị Ngọc Dung</v>
          </cell>
          <cell r="C337" t="str">
            <v>01025016</v>
          </cell>
          <cell r="D337" t="str">
            <v>A3</v>
          </cell>
          <cell r="E337" t="str">
            <v>A3</v>
          </cell>
        </row>
        <row r="338">
          <cell r="B338" t="str">
            <v>Cao Xuân Giang</v>
          </cell>
          <cell r="C338" t="str">
            <v>01025018</v>
          </cell>
          <cell r="D338" t="str">
            <v>A3</v>
          </cell>
          <cell r="E338" t="str">
            <v>A3</v>
          </cell>
        </row>
        <row r="339">
          <cell r="B339" t="str">
            <v>Nguyễn Thị Thanh Hòa</v>
          </cell>
          <cell r="C339" t="str">
            <v>01009027</v>
          </cell>
          <cell r="D339" t="str">
            <v>A3</v>
          </cell>
          <cell r="E339" t="str">
            <v>A2</v>
          </cell>
        </row>
        <row r="340">
          <cell r="B340" t="str">
            <v>Huỳnh Kim Liên</v>
          </cell>
          <cell r="C340" t="str">
            <v>01025052</v>
          </cell>
          <cell r="D340" t="str">
            <v>A4</v>
          </cell>
          <cell r="E340" t="str">
            <v>A4</v>
          </cell>
        </row>
        <row r="341">
          <cell r="B341" t="str">
            <v>Lê Hồng Ngọc My</v>
          </cell>
          <cell r="C341" t="str">
            <v>01015053</v>
          </cell>
          <cell r="D341" t="str">
            <v>A3</v>
          </cell>
          <cell r="E341" t="str">
            <v>A3</v>
          </cell>
        </row>
        <row r="342">
          <cell r="B342" t="str">
            <v>Lê Thị Thu Thảo</v>
          </cell>
          <cell r="C342" t="str">
            <v>01025008</v>
          </cell>
          <cell r="D342" t="str">
            <v>A3</v>
          </cell>
          <cell r="E342" t="str">
            <v>A3</v>
          </cell>
        </row>
        <row r="343">
          <cell r="B343" t="str">
            <v>Nguyễn Thị Minh Thùy</v>
          </cell>
          <cell r="C343" t="str">
            <v>01003013</v>
          </cell>
          <cell r="D343" t="str">
            <v>A2</v>
          </cell>
          <cell r="E343" t="str">
            <v>A2</v>
          </cell>
        </row>
        <row r="344">
          <cell r="B344" t="str">
            <v>Nguyễn Mỹ Tiên</v>
          </cell>
          <cell r="C344" t="str">
            <v>01025015</v>
          </cell>
          <cell r="D344" t="str">
            <v>A3</v>
          </cell>
          <cell r="E344" t="str">
            <v>A3</v>
          </cell>
        </row>
        <row r="345">
          <cell r="B345" t="str">
            <v>Nguyễn Huỳnh Lưu Phương</v>
          </cell>
          <cell r="C345" t="str">
            <v>01025101</v>
          </cell>
          <cell r="D345" t="str">
            <v>A4</v>
          </cell>
          <cell r="E345" t="str">
            <v>A4</v>
          </cell>
        </row>
        <row r="346">
          <cell r="B346" t="str">
            <v>Nguyễn Thụy Nghiêm</v>
          </cell>
          <cell r="C346" t="str">
            <v>01003014</v>
          </cell>
          <cell r="D346" t="str">
            <v>A3</v>
          </cell>
          <cell r="E346" t="str">
            <v>A3</v>
          </cell>
        </row>
        <row r="347">
          <cell r="B347" t="str">
            <v>KHOA DU LỊCH - KHÁCH SẠN</v>
          </cell>
          <cell r="C347">
            <v>0</v>
          </cell>
          <cell r="D347">
            <v>0</v>
          </cell>
          <cell r="E347">
            <v>7</v>
          </cell>
        </row>
        <row r="348">
          <cell r="B348" t="str">
            <v>Viên chức</v>
          </cell>
          <cell r="C348">
            <v>0</v>
          </cell>
          <cell r="D348">
            <v>0</v>
          </cell>
          <cell r="E348">
            <v>7</v>
          </cell>
        </row>
        <row r="349">
          <cell r="B349" t="str">
            <v>Hồ Gia Bảo</v>
          </cell>
          <cell r="C349" t="str">
            <v>01025029</v>
          </cell>
          <cell r="D349" t="str">
            <v>A1</v>
          </cell>
          <cell r="E349" t="str">
            <v>A1</v>
          </cell>
        </row>
        <row r="350">
          <cell r="B350" t="str">
            <v>Lữ Xuân Trang</v>
          </cell>
          <cell r="C350" t="str">
            <v>01025009</v>
          </cell>
          <cell r="D350" t="str">
            <v>A4</v>
          </cell>
          <cell r="E350" t="str">
            <v>A4</v>
          </cell>
        </row>
        <row r="351">
          <cell r="B351" t="str">
            <v>Phạm Thị Thanh Thúy</v>
          </cell>
          <cell r="C351" t="str">
            <v>01016003</v>
          </cell>
          <cell r="D351" t="str">
            <v>A3</v>
          </cell>
          <cell r="E351" t="str">
            <v>A3</v>
          </cell>
        </row>
        <row r="352">
          <cell r="B352" t="str">
            <v>Đinh Thị Trâm</v>
          </cell>
          <cell r="C352" t="str">
            <v>01025033</v>
          </cell>
          <cell r="D352" t="str">
            <v>A3</v>
          </cell>
          <cell r="E352" t="str">
            <v>A2</v>
          </cell>
        </row>
        <row r="353">
          <cell r="B353" t="str">
            <v>Lê Thị Thúy Oanh</v>
          </cell>
          <cell r="C353" t="str">
            <v>01025020</v>
          </cell>
          <cell r="D353" t="str">
            <v>A4</v>
          </cell>
          <cell r="E353" t="str">
            <v>A4</v>
          </cell>
        </row>
        <row r="354">
          <cell r="B354" t="str">
            <v>Võ Thị Kim Thư</v>
          </cell>
          <cell r="C354" t="str">
            <v>01025012</v>
          </cell>
          <cell r="D354" t="str">
            <v>A4</v>
          </cell>
          <cell r="E354" t="str">
            <v>A4</v>
          </cell>
        </row>
        <row r="355">
          <cell r="B355" t="str">
            <v>Nguyễn Hoàng Thanh Ngân</v>
          </cell>
          <cell r="C355" t="str">
            <v>01025027</v>
          </cell>
          <cell r="D355" t="str">
            <v>A DN</v>
          </cell>
          <cell r="E355" t="str">
            <v>A DN</v>
          </cell>
        </row>
        <row r="356">
          <cell r="B356" t="str">
            <v>TRUNG TÂM THƯ VIỆN</v>
          </cell>
          <cell r="C356">
            <v>0</v>
          </cell>
          <cell r="D356">
            <v>0</v>
          </cell>
          <cell r="E356">
            <v>7</v>
          </cell>
        </row>
        <row r="357">
          <cell r="B357" t="str">
            <v>Viên chức</v>
          </cell>
          <cell r="C357">
            <v>0</v>
          </cell>
          <cell r="D357">
            <v>0</v>
          </cell>
          <cell r="E357">
            <v>4</v>
          </cell>
        </row>
        <row r="358">
          <cell r="B358" t="str">
            <v>Hồ Ngọc Chi</v>
          </cell>
          <cell r="C358" t="str">
            <v>01015042</v>
          </cell>
          <cell r="D358" t="str">
            <v>A1</v>
          </cell>
          <cell r="E358" t="str">
            <v>A1</v>
          </cell>
        </row>
        <row r="359">
          <cell r="B359" t="str">
            <v>Nguyễn Tứ Cảnh</v>
          </cell>
          <cell r="C359" t="str">
            <v>01018003</v>
          </cell>
          <cell r="D359" t="str">
            <v>A4</v>
          </cell>
          <cell r="E359" t="str">
            <v>A4</v>
          </cell>
        </row>
        <row r="360">
          <cell r="B360" t="str">
            <v>Đặng Thu Hà</v>
          </cell>
          <cell r="C360" t="str">
            <v>01018002</v>
          </cell>
          <cell r="D360" t="str">
            <v>A3</v>
          </cell>
          <cell r="E360" t="str">
            <v>A3</v>
          </cell>
        </row>
        <row r="361">
          <cell r="B361" t="str">
            <v>Trần Thị Diễm Thúy</v>
          </cell>
          <cell r="C361" t="str">
            <v>01018005</v>
          </cell>
          <cell r="D361" t="str">
            <v>A3</v>
          </cell>
          <cell r="E361" t="str">
            <v>A3</v>
          </cell>
        </row>
        <row r="362">
          <cell r="B362" t="str">
            <v>Hợp đồng trường</v>
          </cell>
          <cell r="C362">
            <v>0</v>
          </cell>
          <cell r="D362">
            <v>0</v>
          </cell>
          <cell r="E362">
            <v>3</v>
          </cell>
        </row>
        <row r="363">
          <cell r="B363" t="str">
            <v>Nguyễn Thị Trang</v>
          </cell>
          <cell r="C363" t="str">
            <v>01018008</v>
          </cell>
          <cell r="D363" t="str">
            <v>A3</v>
          </cell>
          <cell r="E363" t="str">
            <v>A3</v>
          </cell>
        </row>
        <row r="364">
          <cell r="B364" t="str">
            <v>Hà Thị Hậu</v>
          </cell>
          <cell r="C364" t="str">
            <v>01018007</v>
          </cell>
          <cell r="D364" t="str">
            <v>A3</v>
          </cell>
          <cell r="E364" t="str">
            <v>A3</v>
          </cell>
        </row>
        <row r="365">
          <cell r="B365" t="str">
            <v>Lư Diễm Phúc</v>
          </cell>
          <cell r="C365" t="str">
            <v>01018009</v>
          </cell>
          <cell r="D365" t="str">
            <v>A3</v>
          </cell>
          <cell r="E365" t="str">
            <v>A3</v>
          </cell>
        </row>
        <row r="366">
          <cell r="B366" t="str">
            <v>TRUNG TÂM ĐÀO TẠO VÀ QUẢN LÝ VẬT TƯ THIẾT BỊ</v>
          </cell>
          <cell r="C366">
            <v>0</v>
          </cell>
          <cell r="D366">
            <v>0</v>
          </cell>
          <cell r="E366">
            <v>10</v>
          </cell>
        </row>
        <row r="367">
          <cell r="B367" t="str">
            <v>Viên chức</v>
          </cell>
          <cell r="C367">
            <v>0</v>
          </cell>
          <cell r="D367">
            <v>0</v>
          </cell>
          <cell r="E367">
            <v>6</v>
          </cell>
        </row>
        <row r="368">
          <cell r="B368" t="str">
            <v>Lương Xuân Thịnh</v>
          </cell>
          <cell r="C368" t="str">
            <v>01004005</v>
          </cell>
          <cell r="D368" t="str">
            <v>A1</v>
          </cell>
          <cell r="E368" t="str">
            <v>A1</v>
          </cell>
        </row>
        <row r="369">
          <cell r="B369" t="str">
            <v>Nguyễn Cao Thắng</v>
          </cell>
          <cell r="C369" t="str">
            <v>01002021</v>
          </cell>
          <cell r="D369" t="str">
            <v>A1</v>
          </cell>
          <cell r="E369" t="str">
            <v>A1</v>
          </cell>
        </row>
        <row r="370">
          <cell r="B370" t="str">
            <v>Đỗ Thị Tâm</v>
          </cell>
          <cell r="C370" t="str">
            <v>01019002</v>
          </cell>
          <cell r="D370" t="str">
            <v>A4</v>
          </cell>
          <cell r="E370" t="str">
            <v>A4</v>
          </cell>
        </row>
        <row r="371">
          <cell r="B371" t="str">
            <v>Bùi Đặng Hoàng Tuấn</v>
          </cell>
          <cell r="C371" t="str">
            <v>01015028</v>
          </cell>
          <cell r="D371" t="str">
            <v>A2</v>
          </cell>
          <cell r="E371" t="str">
            <v>A2</v>
          </cell>
        </row>
        <row r="372">
          <cell r="B372" t="str">
            <v>Võ Tấn Kiệt</v>
          </cell>
          <cell r="C372" t="str">
            <v>01008034</v>
          </cell>
          <cell r="D372" t="str">
            <v>A2</v>
          </cell>
          <cell r="E372" t="str">
            <v>A2</v>
          </cell>
        </row>
        <row r="373">
          <cell r="B373" t="str">
            <v>Nguyễn Tiến Việt Dũng</v>
          </cell>
          <cell r="C373" t="str">
            <v>01015026</v>
          </cell>
          <cell r="D373" t="str">
            <v>A1</v>
          </cell>
          <cell r="E373" t="str">
            <v>A1</v>
          </cell>
        </row>
        <row r="374">
          <cell r="B374" t="str">
            <v>Hợp đồng trường</v>
          </cell>
          <cell r="C374">
            <v>0</v>
          </cell>
          <cell r="D374">
            <v>0</v>
          </cell>
          <cell r="E374">
            <v>4</v>
          </cell>
        </row>
        <row r="375">
          <cell r="B375" t="str">
            <v>Lương Thị Thắm</v>
          </cell>
          <cell r="C375" t="str">
            <v>01019001</v>
          </cell>
          <cell r="D375" t="str">
            <v>A4</v>
          </cell>
          <cell r="E375" t="str">
            <v>A4</v>
          </cell>
        </row>
        <row r="376">
          <cell r="B376" t="str">
            <v>Đỗ Công Thành</v>
          </cell>
          <cell r="C376" t="str">
            <v>01005005</v>
          </cell>
          <cell r="D376" t="str">
            <v>A1</v>
          </cell>
          <cell r="E376" t="str">
            <v>A1</v>
          </cell>
        </row>
        <row r="377">
          <cell r="B377" t="str">
            <v>Nguyễn Xuân Lợi</v>
          </cell>
          <cell r="C377" t="str">
            <v>01017008</v>
          </cell>
          <cell r="D377" t="str">
            <v>A2</v>
          </cell>
          <cell r="E377" t="str">
            <v>A2</v>
          </cell>
        </row>
        <row r="378">
          <cell r="B378" t="str">
            <v>Nguyễn Hoàng Hải</v>
          </cell>
          <cell r="C378" t="str">
            <v>01019003</v>
          </cell>
          <cell r="D378" t="str">
            <v>A2</v>
          </cell>
          <cell r="E378" t="str">
            <v>A2</v>
          </cell>
        </row>
        <row r="379">
          <cell r="B379" t="str">
            <v>TRUNG TÂM Y TẾ</v>
          </cell>
          <cell r="C379">
            <v>0</v>
          </cell>
          <cell r="D379">
            <v>0</v>
          </cell>
          <cell r="E379">
            <v>3</v>
          </cell>
        </row>
        <row r="380">
          <cell r="B380" t="str">
            <v>Viên chức</v>
          </cell>
          <cell r="C380">
            <v>0</v>
          </cell>
          <cell r="D380">
            <v>0</v>
          </cell>
          <cell r="E380">
            <v>2</v>
          </cell>
        </row>
        <row r="381">
          <cell r="B381" t="str">
            <v>Trang Thị Xuân Uyên</v>
          </cell>
          <cell r="C381" t="str">
            <v>01021001</v>
          </cell>
          <cell r="D381" t="str">
            <v>B1</v>
          </cell>
          <cell r="E381" t="str">
            <v>A1</v>
          </cell>
        </row>
        <row r="382">
          <cell r="B382" t="str">
            <v>Bùi Thị Lan Anh</v>
          </cell>
          <cell r="C382" t="str">
            <v>01021003</v>
          </cell>
          <cell r="D382" t="str">
            <v>A2</v>
          </cell>
          <cell r="E382" t="str">
            <v>A2</v>
          </cell>
        </row>
        <row r="383">
          <cell r="B383" t="str">
            <v>Hợp đồng trường</v>
          </cell>
          <cell r="C383">
            <v>0</v>
          </cell>
          <cell r="D383">
            <v>0</v>
          </cell>
          <cell r="E383">
            <v>1</v>
          </cell>
        </row>
        <row r="384">
          <cell r="B384" t="str">
            <v>Lê Thị Huyền</v>
          </cell>
          <cell r="C384" t="str">
            <v>01021004</v>
          </cell>
          <cell r="D384" t="str">
            <v>A3</v>
          </cell>
          <cell r="E384" t="str">
            <v>A3</v>
          </cell>
        </row>
        <row r="385">
          <cell r="B385" t="str">
            <v>TRUNG TÂM ĐIỀU HÀNH VÀ QLDL</v>
          </cell>
          <cell r="C385">
            <v>0</v>
          </cell>
          <cell r="D385">
            <v>0</v>
          </cell>
          <cell r="E385">
            <v>7</v>
          </cell>
        </row>
        <row r="386">
          <cell r="B386" t="str">
            <v>Viên chức</v>
          </cell>
          <cell r="C386">
            <v>0</v>
          </cell>
          <cell r="D386">
            <v>0</v>
          </cell>
          <cell r="E386">
            <v>4</v>
          </cell>
        </row>
        <row r="387">
          <cell r="B387" t="str">
            <v>Nguyễn Hữu Thiện</v>
          </cell>
          <cell r="C387" t="str">
            <v>01017003</v>
          </cell>
          <cell r="D387" t="str">
            <v>A1</v>
          </cell>
          <cell r="E387" t="str">
            <v>A1</v>
          </cell>
        </row>
        <row r="388">
          <cell r="B388" t="str">
            <v>Trương Thị Hồng</v>
          </cell>
          <cell r="C388" t="str">
            <v>01023002</v>
          </cell>
          <cell r="D388" t="str">
            <v>A1</v>
          </cell>
          <cell r="E388" t="str">
            <v>A1</v>
          </cell>
        </row>
        <row r="389">
          <cell r="B389" t="str">
            <v>Vương Hội Khánh</v>
          </cell>
          <cell r="C389" t="str">
            <v>01017010</v>
          </cell>
          <cell r="D389" t="str">
            <v>A2</v>
          </cell>
          <cell r="E389" t="str">
            <v>A1</v>
          </cell>
        </row>
        <row r="390">
          <cell r="B390" t="str">
            <v>Trương Hữu Lộc</v>
          </cell>
          <cell r="C390" t="str">
            <v>01018004</v>
          </cell>
          <cell r="D390" t="str">
            <v>A1</v>
          </cell>
          <cell r="E390" t="str">
            <v>A1</v>
          </cell>
        </row>
        <row r="391">
          <cell r="B391" t="str">
            <v>Hợp đồng trường</v>
          </cell>
          <cell r="C391">
            <v>0</v>
          </cell>
          <cell r="D391">
            <v>0</v>
          </cell>
          <cell r="E391">
            <v>3</v>
          </cell>
        </row>
        <row r="392">
          <cell r="B392" t="str">
            <v>Phạm Huỳnh Kim Ngân</v>
          </cell>
          <cell r="C392" t="str">
            <v>01025013</v>
          </cell>
          <cell r="D392" t="str">
            <v>A4</v>
          </cell>
          <cell r="E392" t="str">
            <v>A4</v>
          </cell>
        </row>
        <row r="393">
          <cell r="B393" t="str">
            <v>Nguyễn Đan Trường</v>
          </cell>
          <cell r="C393" t="str">
            <v>01031001</v>
          </cell>
          <cell r="D393" t="str">
            <v>A2</v>
          </cell>
          <cell r="E393" t="str">
            <v>A1</v>
          </cell>
        </row>
        <row r="394">
          <cell r="B394" t="str">
            <v>Lương Công Phi</v>
          </cell>
          <cell r="C394" t="str">
            <v>01031002</v>
          </cell>
          <cell r="D394" t="str">
            <v>A4</v>
          </cell>
          <cell r="E394" t="str">
            <v>A4</v>
          </cell>
        </row>
        <row r="395">
          <cell r="B395">
            <v>0</v>
          </cell>
          <cell r="C395">
            <v>0</v>
          </cell>
          <cell r="D395">
            <v>0</v>
          </cell>
          <cell r="E395">
            <v>0</v>
          </cell>
        </row>
        <row r="396">
          <cell r="B396">
            <v>0</v>
          </cell>
          <cell r="C396">
            <v>0</v>
          </cell>
          <cell r="D396">
            <v>0</v>
          </cell>
          <cell r="E396">
            <v>0</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Đinh Văn Đệ</v>
          </cell>
          <cell r="I10" t="str">
            <v>Phó Hiệu Trưởng PT</v>
          </cell>
          <cell r="J10">
            <v>27</v>
          </cell>
          <cell r="M10">
            <v>0</v>
          </cell>
        </row>
        <row r="11">
          <cell r="H11" t="str">
            <v>Đinh Hồng Minh</v>
          </cell>
          <cell r="I11" t="str">
            <v xml:space="preserve">Phó Hiệu Trưởng </v>
          </cell>
          <cell r="J11">
            <v>29</v>
          </cell>
          <cell r="M11">
            <v>0</v>
          </cell>
        </row>
        <row r="12">
          <cell r="H12" t="str">
            <v>Châu Văn Bảo</v>
          </cell>
          <cell r="I12" t="str">
            <v xml:space="preserve">Phó Hiệu Trưởng </v>
          </cell>
          <cell r="J12">
            <v>28</v>
          </cell>
          <cell r="M12">
            <v>0</v>
          </cell>
        </row>
        <row r="13">
          <cell r="H13" t="str">
            <v>Lâm Viết Dũng</v>
          </cell>
          <cell r="I13" t="str">
            <v>Phòng TC-HC-TH</v>
          </cell>
          <cell r="J13">
            <v>28</v>
          </cell>
          <cell r="M13">
            <v>0</v>
          </cell>
        </row>
        <row r="14">
          <cell r="H14" t="str">
            <v>Lưu Hoàng Hải Yến</v>
          </cell>
          <cell r="I14"/>
          <cell r="J14">
            <v>24</v>
          </cell>
          <cell r="M14">
            <v>0</v>
          </cell>
        </row>
        <row r="15">
          <cell r="H15" t="str">
            <v>Huỳnh Thị Minh Ly</v>
          </cell>
          <cell r="I15" t="str">
            <v xml:space="preserve"> </v>
          </cell>
          <cell r="J15">
            <v>27</v>
          </cell>
          <cell r="M15">
            <v>0</v>
          </cell>
        </row>
        <row r="16">
          <cell r="H16" t="str">
            <v>Nguyễn Văn Chì</v>
          </cell>
          <cell r="I16"/>
          <cell r="J16">
            <v>21.5</v>
          </cell>
          <cell r="M16">
            <v>0</v>
          </cell>
        </row>
        <row r="17">
          <cell r="H17" t="str">
            <v>Nguyễn Thị Vân</v>
          </cell>
          <cell r="I17"/>
          <cell r="J17">
            <v>24</v>
          </cell>
          <cell r="M17">
            <v>0</v>
          </cell>
        </row>
        <row r="18">
          <cell r="H18" t="str">
            <v>Phan Thị Ngọc Phượng</v>
          </cell>
          <cell r="I18"/>
          <cell r="J18">
            <v>23</v>
          </cell>
          <cell r="M18">
            <v>0</v>
          </cell>
        </row>
        <row r="19">
          <cell r="H19" t="str">
            <v>Trần Thị Ánh Phượng</v>
          </cell>
          <cell r="I19"/>
          <cell r="J19">
            <v>22.5</v>
          </cell>
          <cell r="M19">
            <v>0</v>
          </cell>
        </row>
        <row r="20">
          <cell r="H20" t="str">
            <v>Thân Thị Nhung</v>
          </cell>
          <cell r="I20"/>
          <cell r="J20">
            <v>22</v>
          </cell>
          <cell r="M20">
            <v>0</v>
          </cell>
        </row>
        <row r="21">
          <cell r="H21" t="str">
            <v>Trần Thị Phương Oanh</v>
          </cell>
          <cell r="I21"/>
          <cell r="J21">
            <v>22.5</v>
          </cell>
          <cell r="M21">
            <v>0</v>
          </cell>
        </row>
        <row r="22">
          <cell r="H22" t="str">
            <v>Vũ Như Quỳnh</v>
          </cell>
          <cell r="I22"/>
          <cell r="J22">
            <v>24</v>
          </cell>
          <cell r="M22">
            <v>0</v>
          </cell>
        </row>
        <row r="23">
          <cell r="H23" t="str">
            <v>Nguyễn Thị Bích Liễu</v>
          </cell>
          <cell r="I23"/>
          <cell r="J23">
            <v>24</v>
          </cell>
          <cell r="M23">
            <v>0</v>
          </cell>
        </row>
        <row r="24">
          <cell r="H24" t="str">
            <v>Lê Văn Bình</v>
          </cell>
          <cell r="I24"/>
          <cell r="J24">
            <v>21</v>
          </cell>
          <cell r="M24">
            <v>0</v>
          </cell>
        </row>
        <row r="25">
          <cell r="H25" t="str">
            <v>Lê Quang Liêm</v>
          </cell>
          <cell r="I25" t="str">
            <v>Phòng QT - DV</v>
          </cell>
          <cell r="J25">
            <v>27</v>
          </cell>
          <cell r="M25">
            <v>0</v>
          </cell>
        </row>
        <row r="26">
          <cell r="H26" t="str">
            <v>Nguyễn Văn Thành</v>
          </cell>
          <cell r="I26"/>
          <cell r="J26">
            <v>22</v>
          </cell>
          <cell r="M26">
            <v>0</v>
          </cell>
        </row>
        <row r="27">
          <cell r="H27" t="str">
            <v>Phan Đức Long</v>
          </cell>
          <cell r="I27"/>
          <cell r="J27">
            <v>26</v>
          </cell>
          <cell r="M27">
            <v>0</v>
          </cell>
        </row>
        <row r="28">
          <cell r="H28" t="str">
            <v>Ninh Đỗ Hiệp</v>
          </cell>
          <cell r="I28"/>
          <cell r="J28">
            <v>3</v>
          </cell>
          <cell r="M28" t="str">
            <v>Nghỉ bệnh hưởng chế độ BHXH từ ngày 3/11 đến hết 27/11</v>
          </cell>
        </row>
        <row r="29">
          <cell r="H29" t="str">
            <v>Nguyễn Trọng Phú</v>
          </cell>
          <cell r="I29"/>
          <cell r="J29">
            <v>21</v>
          </cell>
          <cell r="M29">
            <v>0</v>
          </cell>
        </row>
        <row r="30">
          <cell r="H30" t="str">
            <v>Lê Hồng Anh Tuấn</v>
          </cell>
          <cell r="I30"/>
          <cell r="J30">
            <v>22</v>
          </cell>
          <cell r="M30">
            <v>0</v>
          </cell>
        </row>
        <row r="31">
          <cell r="H31" t="str">
            <v>Giáp Văn Thịnh</v>
          </cell>
          <cell r="I31"/>
          <cell r="J31">
            <v>21</v>
          </cell>
          <cell r="M31">
            <v>0</v>
          </cell>
        </row>
        <row r="32">
          <cell r="H32" t="str">
            <v>Vũ Ngọc Quang</v>
          </cell>
          <cell r="I32"/>
          <cell r="J32">
            <v>22</v>
          </cell>
          <cell r="M32">
            <v>0</v>
          </cell>
        </row>
        <row r="33">
          <cell r="H33" t="str">
            <v>Bùi Thị Dương</v>
          </cell>
          <cell r="I33"/>
          <cell r="J33">
            <v>26</v>
          </cell>
          <cell r="M33">
            <v>0</v>
          </cell>
        </row>
        <row r="34">
          <cell r="H34" t="str">
            <v>Phan Hữu Tước</v>
          </cell>
          <cell r="I34"/>
          <cell r="J34">
            <v>26</v>
          </cell>
          <cell r="M34">
            <v>0</v>
          </cell>
        </row>
        <row r="35">
          <cell r="H35" t="str">
            <v>Trang Thị Xuân Uyên</v>
          </cell>
          <cell r="I35" t="str">
            <v>Trung tâm Y tế</v>
          </cell>
          <cell r="J35">
            <v>19</v>
          </cell>
          <cell r="M35" t="str">
            <v>Trừ 4 ngày nghỉ phép từ 6 đến 11/11</v>
          </cell>
        </row>
        <row r="36">
          <cell r="H36" t="str">
            <v>Bùi Thị Lan Anh</v>
          </cell>
          <cell r="I36"/>
          <cell r="J36">
            <v>25</v>
          </cell>
          <cell r="M36">
            <v>0</v>
          </cell>
        </row>
        <row r="37">
          <cell r="H37" t="str">
            <v>Nguyễn Kính</v>
          </cell>
          <cell r="I37" t="str">
            <v xml:space="preserve">Phòng KH - TC </v>
          </cell>
          <cell r="J37">
            <v>28</v>
          </cell>
          <cell r="M37">
            <v>0</v>
          </cell>
        </row>
        <row r="38">
          <cell r="H38" t="str">
            <v>Võ Thị Lệ Trân</v>
          </cell>
          <cell r="I38"/>
          <cell r="J38">
            <v>26</v>
          </cell>
          <cell r="M38">
            <v>0</v>
          </cell>
        </row>
        <row r="39">
          <cell r="H39" t="str">
            <v>Trần Thị Minh Thoa</v>
          </cell>
          <cell r="I39"/>
          <cell r="J39">
            <v>26</v>
          </cell>
          <cell r="M39">
            <v>0</v>
          </cell>
        </row>
        <row r="40">
          <cell r="H40" t="str">
            <v>Hồng Mộng Tuyết Dung</v>
          </cell>
          <cell r="I40"/>
          <cell r="J40">
            <v>25</v>
          </cell>
          <cell r="M40">
            <v>0</v>
          </cell>
        </row>
        <row r="41">
          <cell r="H41" t="str">
            <v>Nguyễn Thị Hồng Thắm</v>
          </cell>
          <cell r="I41"/>
          <cell r="J41">
            <v>25</v>
          </cell>
          <cell r="M41">
            <v>0</v>
          </cell>
        </row>
        <row r="42">
          <cell r="H42" t="str">
            <v>Nguyễn Văn Chiến</v>
          </cell>
          <cell r="I42" t="str">
            <v>Phòng Thanh tra GD - QHDN</v>
          </cell>
          <cell r="J42">
            <v>26</v>
          </cell>
          <cell r="M42">
            <v>0</v>
          </cell>
        </row>
        <row r="43">
          <cell r="H43" t="str">
            <v>Lê Xuân Thiện</v>
          </cell>
          <cell r="I43"/>
          <cell r="J43">
            <v>23</v>
          </cell>
          <cell r="M43">
            <v>0</v>
          </cell>
        </row>
        <row r="44">
          <cell r="H44" t="str">
            <v>Nguyễn Tất Thắng</v>
          </cell>
          <cell r="I44"/>
          <cell r="J44">
            <v>23</v>
          </cell>
          <cell r="M44">
            <v>0</v>
          </cell>
        </row>
        <row r="45">
          <cell r="H45" t="str">
            <v>Trần Thị Thu Hà</v>
          </cell>
          <cell r="I45"/>
          <cell r="J45">
            <v>22</v>
          </cell>
          <cell r="M45">
            <v>0</v>
          </cell>
        </row>
        <row r="46">
          <cell r="H46" t="str">
            <v>Phạm Thị Lê Chi</v>
          </cell>
          <cell r="I46"/>
          <cell r="J46">
            <v>23</v>
          </cell>
          <cell r="M46">
            <v>0</v>
          </cell>
        </row>
        <row r="47">
          <cell r="H47" t="str">
            <v>Nguyễn Thùy Dương</v>
          </cell>
          <cell r="I47"/>
          <cell r="J47">
            <v>22</v>
          </cell>
          <cell r="M47">
            <v>0</v>
          </cell>
        </row>
        <row r="48">
          <cell r="H48" t="str">
            <v>Nguyễn Thị Kim Anh</v>
          </cell>
          <cell r="I48"/>
          <cell r="J48">
            <v>24</v>
          </cell>
          <cell r="M48">
            <v>0</v>
          </cell>
        </row>
        <row r="49">
          <cell r="H49" t="str">
            <v>Mai Thu Hương</v>
          </cell>
          <cell r="I49"/>
          <cell r="J49">
            <v>22</v>
          </cell>
          <cell r="M49">
            <v>0</v>
          </cell>
        </row>
        <row r="50">
          <cell r="H50" t="str">
            <v>Nguyễn Phương Hà</v>
          </cell>
          <cell r="I50"/>
          <cell r="J50">
            <v>22</v>
          </cell>
          <cell r="M50">
            <v>0</v>
          </cell>
        </row>
        <row r="51">
          <cell r="H51" t="str">
            <v>Nguyễn Thành Nam</v>
          </cell>
          <cell r="I51" t="str">
            <v>Phòng TS-ĐT</v>
          </cell>
          <cell r="J51">
            <v>23</v>
          </cell>
          <cell r="M51">
            <v>0</v>
          </cell>
        </row>
        <row r="52">
          <cell r="H52" t="str">
            <v>Quách Minh Thử</v>
          </cell>
          <cell r="I52"/>
          <cell r="J52">
            <v>21.5</v>
          </cell>
          <cell r="M52">
            <v>0</v>
          </cell>
        </row>
        <row r="53">
          <cell r="H53" t="str">
            <v>Võ Thị Xuân Thơ</v>
          </cell>
          <cell r="I53"/>
          <cell r="J53">
            <v>23.5</v>
          </cell>
          <cell r="M53">
            <v>0</v>
          </cell>
        </row>
        <row r="54">
          <cell r="H54" t="str">
            <v>Nguyễn Thị Hải Hà</v>
          </cell>
          <cell r="I54"/>
          <cell r="J54">
            <v>22.5</v>
          </cell>
          <cell r="M54">
            <v>0</v>
          </cell>
        </row>
        <row r="55">
          <cell r="H55" t="str">
            <v>Nguyễn Thị Thanh Thảo</v>
          </cell>
          <cell r="I55"/>
          <cell r="J55">
            <v>22</v>
          </cell>
          <cell r="M55">
            <v>0</v>
          </cell>
        </row>
        <row r="56">
          <cell r="H56" t="str">
            <v>Thái Thị My Sa</v>
          </cell>
          <cell r="I56"/>
          <cell r="J56">
            <v>23</v>
          </cell>
          <cell r="M56">
            <v>0</v>
          </cell>
        </row>
        <row r="57">
          <cell r="H57" t="str">
            <v>Giáp Thị Vượng</v>
          </cell>
          <cell r="I57"/>
          <cell r="J57">
            <v>22.5</v>
          </cell>
          <cell r="M57">
            <v>0</v>
          </cell>
        </row>
        <row r="58">
          <cell r="H58" t="str">
            <v>Huỳnh Thị Cẩm Hoa</v>
          </cell>
          <cell r="I58"/>
          <cell r="J58">
            <v>21</v>
          </cell>
          <cell r="M58">
            <v>0</v>
          </cell>
        </row>
        <row r="59">
          <cell r="H59" t="str">
            <v>Nguyễn Thị Thùy</v>
          </cell>
          <cell r="I59"/>
          <cell r="J59">
            <v>22.5</v>
          </cell>
          <cell r="M59">
            <v>0</v>
          </cell>
        </row>
        <row r="60">
          <cell r="H60" t="str">
            <v>Nguyễn Thị Ngọc Anh</v>
          </cell>
          <cell r="I60"/>
          <cell r="J60">
            <v>22</v>
          </cell>
          <cell r="M60">
            <v>0</v>
          </cell>
        </row>
        <row r="61">
          <cell r="H61" t="str">
            <v>Trịnh Khắc Vũ</v>
          </cell>
          <cell r="I61"/>
          <cell r="J61">
            <v>21.5</v>
          </cell>
          <cell r="M61">
            <v>0</v>
          </cell>
        </row>
        <row r="62">
          <cell r="H62" t="str">
            <v>Lê Minh Phong</v>
          </cell>
          <cell r="I62"/>
          <cell r="J62">
            <v>21.5</v>
          </cell>
          <cell r="M62">
            <v>0</v>
          </cell>
        </row>
        <row r="63">
          <cell r="H63" t="str">
            <v>Nguyễn Chí Nhân</v>
          </cell>
          <cell r="I63" t="str">
            <v>Phòng Khảo thí và ĐBCL</v>
          </cell>
          <cell r="J63">
            <v>22</v>
          </cell>
          <cell r="M63">
            <v>0</v>
          </cell>
        </row>
        <row r="64">
          <cell r="H64" t="str">
            <v>Nguyễn Thị Kim Dung</v>
          </cell>
          <cell r="I64"/>
          <cell r="J64">
            <v>24</v>
          </cell>
          <cell r="M64">
            <v>0</v>
          </cell>
        </row>
        <row r="65">
          <cell r="H65" t="str">
            <v>Lương Minh Dũng</v>
          </cell>
          <cell r="I65"/>
          <cell r="J65">
            <v>23</v>
          </cell>
          <cell r="M65">
            <v>0</v>
          </cell>
        </row>
        <row r="66">
          <cell r="H66" t="str">
            <v>Nguyễn Thị Tuyết</v>
          </cell>
          <cell r="I66"/>
          <cell r="J66">
            <v>23</v>
          </cell>
          <cell r="M66">
            <v>0</v>
          </cell>
        </row>
        <row r="67">
          <cell r="H67" t="str">
            <v>Vũ Thị Thu Thủy</v>
          </cell>
          <cell r="I67"/>
          <cell r="J67">
            <v>23</v>
          </cell>
          <cell r="M67">
            <v>0</v>
          </cell>
        </row>
        <row r="68">
          <cell r="H68" t="str">
            <v>Mai Nguyễn Hoàng Yến</v>
          </cell>
          <cell r="I68"/>
          <cell r="J68">
            <v>23</v>
          </cell>
          <cell r="M68">
            <v>0</v>
          </cell>
        </row>
        <row r="69">
          <cell r="H69" t="str">
            <v>Nguyễn Thị Huyền Nga</v>
          </cell>
          <cell r="I69"/>
          <cell r="J69">
            <v>21</v>
          </cell>
          <cell r="M69">
            <v>0</v>
          </cell>
        </row>
        <row r="70">
          <cell r="H70" t="str">
            <v>Nguyễn Trọng Nghĩa</v>
          </cell>
          <cell r="I70" t="str">
            <v>Phòng KHCN &amp; QHQT</v>
          </cell>
          <cell r="J70">
            <v>20</v>
          </cell>
          <cell r="M70">
            <v>0</v>
          </cell>
        </row>
        <row r="71">
          <cell r="H71" t="str">
            <v>Lê Thị Hải Đăng</v>
          </cell>
          <cell r="I71"/>
          <cell r="J71">
            <v>20</v>
          </cell>
          <cell r="M71">
            <v>0</v>
          </cell>
        </row>
        <row r="72">
          <cell r="H72" t="str">
            <v>Nguyễn Hữu Thiện</v>
          </cell>
          <cell r="I72" t="str">
            <v>TT. Điều hành &amp; QLDL</v>
          </cell>
          <cell r="J72">
            <v>26</v>
          </cell>
          <cell r="M72">
            <v>0</v>
          </cell>
        </row>
        <row r="73">
          <cell r="H73" t="str">
            <v>Vương Hội Khánh</v>
          </cell>
          <cell r="I73"/>
          <cell r="J73">
            <v>23</v>
          </cell>
          <cell r="M73">
            <v>0</v>
          </cell>
        </row>
        <row r="74">
          <cell r="H74" t="str">
            <v>Trương Hữu Lộc</v>
          </cell>
          <cell r="I74"/>
          <cell r="J74">
            <v>24</v>
          </cell>
          <cell r="M74">
            <v>0</v>
          </cell>
        </row>
        <row r="75">
          <cell r="H75" t="str">
            <v>Trương Thị Hồng</v>
          </cell>
          <cell r="I75"/>
          <cell r="J75">
            <v>25</v>
          </cell>
          <cell r="M75">
            <v>0</v>
          </cell>
        </row>
        <row r="76">
          <cell r="H76" t="str">
            <v>Lương Xuân Thịnh</v>
          </cell>
          <cell r="I76" t="str">
            <v>TT Đào tạo và QLTB</v>
          </cell>
          <cell r="J76">
            <v>30</v>
          </cell>
          <cell r="M76">
            <v>0</v>
          </cell>
        </row>
        <row r="77">
          <cell r="H77" t="str">
            <v>Nguyễn Cao Thắng</v>
          </cell>
          <cell r="I77"/>
          <cell r="J77">
            <v>30</v>
          </cell>
          <cell r="M77">
            <v>0</v>
          </cell>
        </row>
        <row r="78">
          <cell r="H78" t="str">
            <v>Đỗ Thị Tâm</v>
          </cell>
          <cell r="I78"/>
          <cell r="J78">
            <v>26</v>
          </cell>
          <cell r="M78">
            <v>0</v>
          </cell>
        </row>
        <row r="79">
          <cell r="H79" t="str">
            <v>Nguyễn Tiến Việt Dũng</v>
          </cell>
          <cell r="I79"/>
          <cell r="J79">
            <v>23</v>
          </cell>
          <cell r="M79">
            <v>0</v>
          </cell>
        </row>
        <row r="80">
          <cell r="H80" t="str">
            <v>Bùi Đặng Hoàng Tuấn</v>
          </cell>
          <cell r="I80"/>
          <cell r="J80">
            <v>18</v>
          </cell>
          <cell r="M80" t="str">
            <v>Trừ 4 ngày nghỉ chế độ vợ sinh từ ngày 12 đến 15/11</v>
          </cell>
        </row>
        <row r="81">
          <cell r="H81" t="str">
            <v>Võ Tấn Kiệt</v>
          </cell>
          <cell r="I81"/>
          <cell r="J81">
            <v>23</v>
          </cell>
          <cell r="M81">
            <v>0</v>
          </cell>
        </row>
        <row r="82">
          <cell r="H82" t="str">
            <v>Hồ Ngọc Chi</v>
          </cell>
          <cell r="I82" t="str">
            <v>TT. Thư viện</v>
          </cell>
          <cell r="J82">
            <v>19</v>
          </cell>
          <cell r="M82" t="str">
            <v>Trừ 1 ngày nghỉ phép 19/11</v>
          </cell>
        </row>
        <row r="83">
          <cell r="H83" t="str">
            <v>Nguyễn Tứ Cảnh</v>
          </cell>
          <cell r="I83"/>
          <cell r="J83">
            <v>20</v>
          </cell>
          <cell r="M83">
            <v>0</v>
          </cell>
        </row>
        <row r="84">
          <cell r="H84" t="str">
            <v>Đặng Thu Hà</v>
          </cell>
          <cell r="I84"/>
          <cell r="J84">
            <v>20</v>
          </cell>
          <cell r="M84">
            <v>0</v>
          </cell>
        </row>
        <row r="85">
          <cell r="H85" t="str">
            <v>Trần Thị Diễm Thúy</v>
          </cell>
          <cell r="I85"/>
          <cell r="J85">
            <v>20</v>
          </cell>
          <cell r="M85">
            <v>0</v>
          </cell>
        </row>
        <row r="86">
          <cell r="H86" t="str">
            <v>Trịnh Hoàng Hiệp</v>
          </cell>
          <cell r="I86" t="str">
            <v>Khoa Kinh tế</v>
          </cell>
          <cell r="J86">
            <v>20</v>
          </cell>
          <cell r="M86">
            <v>0</v>
          </cell>
        </row>
        <row r="87">
          <cell r="H87" t="str">
            <v>Phạm Quỳnh Như</v>
          </cell>
          <cell r="I87"/>
          <cell r="J87">
            <v>20</v>
          </cell>
          <cell r="M87">
            <v>0</v>
          </cell>
        </row>
        <row r="88">
          <cell r="H88" t="str">
            <v>Lê Thị Thu Thảo</v>
          </cell>
          <cell r="I88"/>
          <cell r="J88">
            <v>20</v>
          </cell>
          <cell r="M88">
            <v>0</v>
          </cell>
        </row>
        <row r="89">
          <cell r="H89" t="str">
            <v>Lưu Thị Thúy</v>
          </cell>
          <cell r="I89"/>
          <cell r="J89">
            <v>20</v>
          </cell>
          <cell r="M89">
            <v>0</v>
          </cell>
        </row>
        <row r="90">
          <cell r="H90" t="str">
            <v>Nguyễn Thị Minh Thùy</v>
          </cell>
          <cell r="I90"/>
          <cell r="J90">
            <v>25</v>
          </cell>
          <cell r="M90" t="str">
            <v>Hỗ trợ phòng KHTC</v>
          </cell>
        </row>
        <row r="91">
          <cell r="H91" t="str">
            <v>Nguyễn Mỹ Tiên</v>
          </cell>
          <cell r="I91"/>
          <cell r="J91">
            <v>20</v>
          </cell>
          <cell r="M91">
            <v>0</v>
          </cell>
        </row>
        <row r="92">
          <cell r="H92" t="str">
            <v>Trần Thị Ngọc Dung</v>
          </cell>
          <cell r="I92"/>
          <cell r="J92">
            <v>20</v>
          </cell>
          <cell r="M92">
            <v>0</v>
          </cell>
        </row>
        <row r="93">
          <cell r="H93" t="str">
            <v>Cao Xuân Giang</v>
          </cell>
          <cell r="I93"/>
          <cell r="J93">
            <v>20</v>
          </cell>
          <cell r="M93">
            <v>0</v>
          </cell>
        </row>
        <row r="94">
          <cell r="H94" t="str">
            <v>Lê Hồng Ngọc My</v>
          </cell>
          <cell r="I94"/>
          <cell r="J94">
            <v>20</v>
          </cell>
          <cell r="M94">
            <v>0</v>
          </cell>
        </row>
        <row r="95">
          <cell r="H95" t="str">
            <v>Nguyễn Thị Thanh Hòa</v>
          </cell>
          <cell r="I95"/>
          <cell r="J95">
            <v>20</v>
          </cell>
          <cell r="M95">
            <v>0</v>
          </cell>
        </row>
        <row r="96">
          <cell r="H96" t="str">
            <v>Huỳnh Kim Liên</v>
          </cell>
          <cell r="I96"/>
          <cell r="J96">
            <v>20</v>
          </cell>
          <cell r="M96">
            <v>0</v>
          </cell>
        </row>
        <row r="97">
          <cell r="H97" t="str">
            <v>Nguyễn Huỳnh Lưu Phương</v>
          </cell>
          <cell r="I97"/>
          <cell r="J97">
            <v>20</v>
          </cell>
          <cell r="M97" t="str">
            <v>Nghỉ không hưởng lương từ 01/9/2024 đến hết ngày 31/10/24</v>
          </cell>
        </row>
        <row r="98">
          <cell r="H98" t="str">
            <v>Nguyễn Thụy Nghiêm</v>
          </cell>
          <cell r="I98"/>
          <cell r="J98">
            <v>24</v>
          </cell>
          <cell r="M98" t="str">
            <v>Hỗ trợ công việc phòng KHTC</v>
          </cell>
        </row>
        <row r="99">
          <cell r="H99" t="str">
            <v>Hồ Gia Bảo</v>
          </cell>
          <cell r="I99" t="str">
            <v>Khoa Du lịch -
 Khách sạn</v>
          </cell>
          <cell r="J99">
            <v>22</v>
          </cell>
          <cell r="M99">
            <v>0</v>
          </cell>
        </row>
        <row r="100">
          <cell r="H100" t="str">
            <v>Lữ Xuân Trang</v>
          </cell>
          <cell r="I100"/>
          <cell r="J100">
            <v>21</v>
          </cell>
          <cell r="M100">
            <v>0</v>
          </cell>
        </row>
        <row r="101">
          <cell r="H101" t="str">
            <v>Phạm Thị Thanh Thúy</v>
          </cell>
          <cell r="I101"/>
          <cell r="J101">
            <v>22</v>
          </cell>
          <cell r="M101">
            <v>0</v>
          </cell>
        </row>
        <row r="102">
          <cell r="H102" t="str">
            <v>Đinh Thị Trâm</v>
          </cell>
          <cell r="I102"/>
          <cell r="J102">
            <v>22</v>
          </cell>
          <cell r="M102">
            <v>0</v>
          </cell>
        </row>
        <row r="103">
          <cell r="H103" t="str">
            <v>Lê Thị Thúy Oanh</v>
          </cell>
          <cell r="I103"/>
          <cell r="J103">
            <v>20</v>
          </cell>
          <cell r="M103">
            <v>0</v>
          </cell>
        </row>
        <row r="104">
          <cell r="H104" t="str">
            <v>Võ Thị Kim Thư</v>
          </cell>
          <cell r="I104"/>
          <cell r="J104">
            <v>21</v>
          </cell>
          <cell r="M104">
            <v>0</v>
          </cell>
        </row>
        <row r="105">
          <cell r="H105" t="str">
            <v>Nguyễn Hoàng Thanh Ngân</v>
          </cell>
          <cell r="I105"/>
          <cell r="J105">
            <v>0</v>
          </cell>
          <cell r="M105" t="str">
            <v>Đi du học nước ngoài từ 28/2/2023</v>
          </cell>
        </row>
        <row r="106">
          <cell r="H106" t="str">
            <v>Nguyễn Ngọc Thọ</v>
          </cell>
          <cell r="I106" t="str">
            <v>Khoa May -  TT</v>
          </cell>
          <cell r="J106">
            <v>20</v>
          </cell>
          <cell r="M106">
            <v>0</v>
          </cell>
        </row>
        <row r="107">
          <cell r="H107" t="str">
            <v>Nguyễn Bạch Cẩm Dung</v>
          </cell>
          <cell r="I107"/>
          <cell r="J107">
            <v>20</v>
          </cell>
          <cell r="M107">
            <v>0</v>
          </cell>
        </row>
        <row r="108">
          <cell r="H108" t="str">
            <v>Lâm Thị Phương Thùy</v>
          </cell>
          <cell r="I108"/>
          <cell r="J108">
            <v>20</v>
          </cell>
          <cell r="M108">
            <v>0</v>
          </cell>
        </row>
        <row r="109">
          <cell r="H109" t="str">
            <v>Nguyễn Thị Hiền</v>
          </cell>
          <cell r="I109"/>
          <cell r="J109">
            <v>20</v>
          </cell>
          <cell r="M109">
            <v>0</v>
          </cell>
        </row>
        <row r="110">
          <cell r="H110" t="str">
            <v>Chế Vân Cầm</v>
          </cell>
          <cell r="I110"/>
          <cell r="J110">
            <v>0</v>
          </cell>
          <cell r="M110" t="str">
            <v>Nghỉ hộ sản hưởng chế độ BHXH từ 28/10/2023</v>
          </cell>
        </row>
        <row r="111">
          <cell r="H111" t="str">
            <v>Trần Hồng Thảo</v>
          </cell>
          <cell r="I111"/>
          <cell r="J111">
            <v>20</v>
          </cell>
          <cell r="M111">
            <v>0</v>
          </cell>
        </row>
        <row r="112">
          <cell r="H112" t="str">
            <v>Lê Thị Phương Thảo</v>
          </cell>
          <cell r="I112"/>
          <cell r="J112">
            <v>20</v>
          </cell>
          <cell r="M112">
            <v>0</v>
          </cell>
        </row>
        <row r="113">
          <cell r="H113" t="str">
            <v>Bùi Thị Ngọc Sương</v>
          </cell>
          <cell r="I113"/>
          <cell r="J113">
            <v>20</v>
          </cell>
          <cell r="M113">
            <v>0</v>
          </cell>
        </row>
        <row r="114">
          <cell r="H114" t="str">
            <v>Nguyễn Thị Nhuận</v>
          </cell>
          <cell r="I114" t="str">
            <v>Khoa KH Cơ bản</v>
          </cell>
          <cell r="J114">
            <v>21</v>
          </cell>
          <cell r="M114">
            <v>0</v>
          </cell>
        </row>
        <row r="115">
          <cell r="H115" t="str">
            <v>Nguyễn Văn Đông</v>
          </cell>
          <cell r="I115" t="str">
            <v>Tổ Lý</v>
          </cell>
          <cell r="J115">
            <v>21</v>
          </cell>
          <cell r="M115">
            <v>0</v>
          </cell>
        </row>
        <row r="116">
          <cell r="H116" t="str">
            <v>Đặng Thị Kiến Trúc</v>
          </cell>
          <cell r="I116"/>
          <cell r="J116">
            <v>21</v>
          </cell>
          <cell r="M116">
            <v>0</v>
          </cell>
        </row>
        <row r="117">
          <cell r="H117" t="str">
            <v>Nguyễn Thanh Tú</v>
          </cell>
          <cell r="I117"/>
          <cell r="J117">
            <v>21</v>
          </cell>
          <cell r="M117">
            <v>0</v>
          </cell>
        </row>
        <row r="118">
          <cell r="H118" t="str">
            <v>Trần Thị Ánh Tuyết</v>
          </cell>
          <cell r="I118"/>
          <cell r="J118">
            <v>20</v>
          </cell>
          <cell r="M118">
            <v>0</v>
          </cell>
        </row>
        <row r="119">
          <cell r="H119" t="str">
            <v>Phạm Thị Thu Nga</v>
          </cell>
          <cell r="I119" t="str">
            <v>Tổ Toán</v>
          </cell>
          <cell r="J119">
            <v>21</v>
          </cell>
          <cell r="M119">
            <v>0</v>
          </cell>
        </row>
        <row r="120">
          <cell r="H120" t="str">
            <v>Nguyễn Thị Cẩm Thạch</v>
          </cell>
          <cell r="I120"/>
          <cell r="J120">
            <v>21</v>
          </cell>
          <cell r="M120">
            <v>0</v>
          </cell>
        </row>
        <row r="121">
          <cell r="H121" t="str">
            <v>Hà Như Mai</v>
          </cell>
          <cell r="I121"/>
          <cell r="J121">
            <v>21</v>
          </cell>
          <cell r="M121">
            <v>0</v>
          </cell>
        </row>
        <row r="122">
          <cell r="H122" t="str">
            <v>Nguyễn Thị Thủy</v>
          </cell>
          <cell r="I122"/>
          <cell r="J122">
            <v>21</v>
          </cell>
          <cell r="M122">
            <v>0</v>
          </cell>
        </row>
        <row r="123">
          <cell r="H123" t="str">
            <v>Dương Đức Kiên</v>
          </cell>
          <cell r="I123"/>
          <cell r="J123">
            <v>21</v>
          </cell>
          <cell r="M123">
            <v>0</v>
          </cell>
        </row>
        <row r="124">
          <cell r="H124" t="str">
            <v>Nguyễn Văn Hậu</v>
          </cell>
          <cell r="I124"/>
          <cell r="J124">
            <v>21</v>
          </cell>
          <cell r="M124">
            <v>0</v>
          </cell>
        </row>
        <row r="125">
          <cell r="H125" t="str">
            <v>Lê Thái Hùng</v>
          </cell>
          <cell r="I125" t="str">
            <v xml:space="preserve">Tổ  Thể chất </v>
          </cell>
          <cell r="J125">
            <v>20</v>
          </cell>
          <cell r="M125">
            <v>0</v>
          </cell>
        </row>
        <row r="126">
          <cell r="H126" t="str">
            <v>Nguyễn Phú Tân</v>
          </cell>
          <cell r="I126"/>
          <cell r="J126">
            <v>21</v>
          </cell>
          <cell r="M126">
            <v>0</v>
          </cell>
        </row>
        <row r="127">
          <cell r="H127" t="str">
            <v>Nguyễn Mạnh Phương</v>
          </cell>
          <cell r="I127"/>
          <cell r="J127">
            <v>20</v>
          </cell>
          <cell r="M127">
            <v>0</v>
          </cell>
        </row>
        <row r="128">
          <cell r="H128" t="str">
            <v>Giang Phi Hùng</v>
          </cell>
          <cell r="I128"/>
          <cell r="J128">
            <v>21</v>
          </cell>
          <cell r="M128">
            <v>0</v>
          </cell>
        </row>
        <row r="129">
          <cell r="H129" t="str">
            <v>Ngô Thanh Điền</v>
          </cell>
          <cell r="I129"/>
          <cell r="J129">
            <v>21</v>
          </cell>
          <cell r="M129">
            <v>0</v>
          </cell>
        </row>
        <row r="130">
          <cell r="H130" t="str">
            <v>Nguyễn Thị Thu Hà</v>
          </cell>
          <cell r="I130" t="str">
            <v>Khoa Ngoại ngữ</v>
          </cell>
          <cell r="J130">
            <v>20</v>
          </cell>
          <cell r="M130">
            <v>0</v>
          </cell>
        </row>
        <row r="131">
          <cell r="H131" t="str">
            <v>Vương Thanh Thủy</v>
          </cell>
          <cell r="I131"/>
          <cell r="J131">
            <v>20</v>
          </cell>
          <cell r="M131">
            <v>0</v>
          </cell>
        </row>
        <row r="132">
          <cell r="H132" t="str">
            <v>Nguyễn Thị Bảo Trân</v>
          </cell>
          <cell r="I132"/>
          <cell r="J132">
            <v>20</v>
          </cell>
          <cell r="M132">
            <v>0</v>
          </cell>
        </row>
        <row r="133">
          <cell r="H133" t="str">
            <v>Nguyễn Thị Thu Tâm</v>
          </cell>
          <cell r="I133"/>
          <cell r="J133">
            <v>20</v>
          </cell>
          <cell r="M133">
            <v>0</v>
          </cell>
        </row>
        <row r="134">
          <cell r="H134" t="str">
            <v>Nguyễn Thị Thanh Tú</v>
          </cell>
          <cell r="I134"/>
          <cell r="J134">
            <v>20</v>
          </cell>
          <cell r="M134">
            <v>0</v>
          </cell>
        </row>
        <row r="135">
          <cell r="H135" t="str">
            <v>Võ Thị Hồng Lan</v>
          </cell>
          <cell r="I135"/>
          <cell r="J135">
            <v>20</v>
          </cell>
          <cell r="M135">
            <v>0</v>
          </cell>
        </row>
        <row r="136">
          <cell r="H136" t="str">
            <v>Lê Nguyễn Mỹ Trâm</v>
          </cell>
          <cell r="I136"/>
          <cell r="J136">
            <v>20</v>
          </cell>
          <cell r="M136">
            <v>0</v>
          </cell>
        </row>
        <row r="137">
          <cell r="H137" t="str">
            <v>Phạm Thị Thu Hiền</v>
          </cell>
          <cell r="I137"/>
          <cell r="J137">
            <v>20</v>
          </cell>
          <cell r="M137">
            <v>0</v>
          </cell>
        </row>
        <row r="138">
          <cell r="H138" t="str">
            <v>Nguyễn Thiện Bình</v>
          </cell>
          <cell r="I138"/>
          <cell r="J138">
            <v>20</v>
          </cell>
          <cell r="M138">
            <v>0</v>
          </cell>
        </row>
        <row r="139">
          <cell r="H139" t="str">
            <v>Trần Thanh Trúc</v>
          </cell>
          <cell r="I139"/>
          <cell r="J139">
            <v>20</v>
          </cell>
          <cell r="M139">
            <v>0</v>
          </cell>
        </row>
        <row r="140">
          <cell r="H140" t="str">
            <v>Lâm Thị Phương Thảo</v>
          </cell>
          <cell r="I140"/>
          <cell r="J140">
            <v>20</v>
          </cell>
          <cell r="M140">
            <v>0</v>
          </cell>
        </row>
        <row r="141">
          <cell r="H141" t="str">
            <v>Trần Hà Trang</v>
          </cell>
          <cell r="I141"/>
          <cell r="J141">
            <v>10</v>
          </cell>
          <cell r="M141" t="str">
            <v>Nghỉ hộ sản hưởng chế độ BHXH từ 18/11/2024</v>
          </cell>
        </row>
        <row r="142">
          <cell r="H142" t="str">
            <v>Lê Thu Hà</v>
          </cell>
          <cell r="I142"/>
          <cell r="J142">
            <v>20</v>
          </cell>
          <cell r="M142">
            <v>0</v>
          </cell>
        </row>
        <row r="143">
          <cell r="H143" t="str">
            <v>Ôn Thị Ngọc Thảo</v>
          </cell>
          <cell r="I143"/>
          <cell r="J143">
            <v>20</v>
          </cell>
          <cell r="M143">
            <v>0</v>
          </cell>
        </row>
        <row r="144">
          <cell r="H144" t="str">
            <v>Nguyễn Huỳnh Khánh Vy</v>
          </cell>
          <cell r="I144"/>
          <cell r="J144">
            <v>20</v>
          </cell>
          <cell r="M144">
            <v>0</v>
          </cell>
        </row>
        <row r="145">
          <cell r="H145" t="str">
            <v>Đoàn Thanh Long</v>
          </cell>
          <cell r="I145"/>
          <cell r="J145">
            <v>20</v>
          </cell>
          <cell r="M145">
            <v>0</v>
          </cell>
        </row>
        <row r="146">
          <cell r="H146" t="str">
            <v>Lê Thị Hồng Vân</v>
          </cell>
          <cell r="I146" t="str">
            <v xml:space="preserve">Khoa Lý luận chính trị </v>
          </cell>
          <cell r="J146">
            <v>21</v>
          </cell>
          <cell r="M146">
            <v>0</v>
          </cell>
        </row>
        <row r="147">
          <cell r="H147" t="str">
            <v>Nguyễn Ngọc Quỳnh</v>
          </cell>
          <cell r="I147"/>
          <cell r="J147">
            <v>21</v>
          </cell>
          <cell r="M147">
            <v>0</v>
          </cell>
        </row>
        <row r="148">
          <cell r="H148" t="str">
            <v>Phan Thị Thùy Trang</v>
          </cell>
          <cell r="I148"/>
          <cell r="J148">
            <v>21</v>
          </cell>
          <cell r="M148">
            <v>0</v>
          </cell>
        </row>
        <row r="149">
          <cell r="H149" t="str">
            <v>Lê Thị Mai Hường</v>
          </cell>
          <cell r="I149"/>
          <cell r="J149">
            <v>21</v>
          </cell>
          <cell r="M149">
            <v>0</v>
          </cell>
        </row>
        <row r="150">
          <cell r="H150" t="str">
            <v>Nguyễn Thị Dinh</v>
          </cell>
          <cell r="I150"/>
          <cell r="J150">
            <v>21</v>
          </cell>
          <cell r="M150">
            <v>0</v>
          </cell>
        </row>
        <row r="151">
          <cell r="H151" t="str">
            <v>Đỗ Thị Ngát</v>
          </cell>
          <cell r="I151"/>
          <cell r="J151">
            <v>20</v>
          </cell>
          <cell r="M151">
            <v>0</v>
          </cell>
        </row>
        <row r="152">
          <cell r="H152" t="str">
            <v>Nguyễn Anh Kiệt</v>
          </cell>
          <cell r="I152"/>
          <cell r="J152">
            <v>20</v>
          </cell>
          <cell r="M152">
            <v>0</v>
          </cell>
        </row>
        <row r="153">
          <cell r="H153" t="str">
            <v>Trần Thị Hồng Thu</v>
          </cell>
          <cell r="I153"/>
          <cell r="J153">
            <v>21</v>
          </cell>
          <cell r="M153">
            <v>0</v>
          </cell>
        </row>
        <row r="154">
          <cell r="H154" t="str">
            <v>Đinh Thị Huyên</v>
          </cell>
          <cell r="I154"/>
          <cell r="J154">
            <v>21</v>
          </cell>
          <cell r="M154">
            <v>0</v>
          </cell>
        </row>
        <row r="155">
          <cell r="H155" t="str">
            <v>Cao Thị Hồng Thắm</v>
          </cell>
          <cell r="I155"/>
          <cell r="J155">
            <v>21</v>
          </cell>
          <cell r="M155">
            <v>0</v>
          </cell>
        </row>
        <row r="156">
          <cell r="H156" t="str">
            <v>Đỗ Thị Thơm</v>
          </cell>
          <cell r="I156"/>
          <cell r="J156">
            <v>21</v>
          </cell>
          <cell r="M156">
            <v>0</v>
          </cell>
        </row>
        <row r="157">
          <cell r="H157" t="str">
            <v>Phạm Thị Vinh</v>
          </cell>
          <cell r="I157"/>
          <cell r="J157">
            <v>21</v>
          </cell>
          <cell r="M157">
            <v>0</v>
          </cell>
        </row>
        <row r="158">
          <cell r="H158" t="str">
            <v>Hoàng Thị Trang</v>
          </cell>
          <cell r="I158"/>
          <cell r="J158">
            <v>21</v>
          </cell>
          <cell r="M158">
            <v>0</v>
          </cell>
        </row>
        <row r="159">
          <cell r="H159" t="str">
            <v>Bùi Thành Dũng</v>
          </cell>
          <cell r="I159" t="str">
            <v>Tổ Pháp luật</v>
          </cell>
          <cell r="J159">
            <v>20</v>
          </cell>
          <cell r="M159">
            <v>0</v>
          </cell>
        </row>
        <row r="160">
          <cell r="H160" t="str">
            <v>Trần Văn Lượng</v>
          </cell>
          <cell r="I160"/>
          <cell r="J160">
            <v>20</v>
          </cell>
          <cell r="M160">
            <v>0</v>
          </cell>
        </row>
        <row r="161">
          <cell r="H161" t="str">
            <v>Trần Việt Khánh</v>
          </cell>
          <cell r="I161" t="str">
            <v>Khoa CNTT</v>
          </cell>
          <cell r="J161">
            <v>20</v>
          </cell>
          <cell r="M161">
            <v>0</v>
          </cell>
        </row>
        <row r="162">
          <cell r="H162" t="str">
            <v>Vũ Thị Thái Linh</v>
          </cell>
          <cell r="I162"/>
          <cell r="J162">
            <v>20</v>
          </cell>
          <cell r="M162">
            <v>0</v>
          </cell>
        </row>
        <row r="163">
          <cell r="H163" t="str">
            <v>Nguyễn Sanh Cường</v>
          </cell>
          <cell r="I163"/>
          <cell r="J163">
            <v>20</v>
          </cell>
          <cell r="M163">
            <v>0</v>
          </cell>
        </row>
        <row r="164">
          <cell r="H164" t="str">
            <v>Lê Quý Hưng Quốc</v>
          </cell>
          <cell r="I164"/>
          <cell r="J164">
            <v>20</v>
          </cell>
          <cell r="M164">
            <v>0</v>
          </cell>
        </row>
        <row r="165">
          <cell r="H165" t="str">
            <v>Nguyễn Văn Minh</v>
          </cell>
          <cell r="I165"/>
          <cell r="J165">
            <v>20</v>
          </cell>
          <cell r="M165">
            <v>0</v>
          </cell>
        </row>
        <row r="166">
          <cell r="H166" t="str">
            <v>Nguyễn Thị Khánh Thư</v>
          </cell>
          <cell r="I166"/>
          <cell r="J166">
            <v>20</v>
          </cell>
          <cell r="M166">
            <v>0</v>
          </cell>
        </row>
        <row r="167">
          <cell r="H167" t="str">
            <v>Đỗ Thị Hải Yến</v>
          </cell>
          <cell r="I167"/>
          <cell r="J167">
            <v>20</v>
          </cell>
          <cell r="M167">
            <v>0</v>
          </cell>
        </row>
        <row r="168">
          <cell r="H168" t="str">
            <v>Lê Hồng Thái</v>
          </cell>
          <cell r="I168"/>
          <cell r="J168">
            <v>20</v>
          </cell>
          <cell r="M168">
            <v>0</v>
          </cell>
        </row>
        <row r="169">
          <cell r="H169" t="str">
            <v>Đặng Ngọc Đoàn</v>
          </cell>
          <cell r="I169"/>
          <cell r="J169">
            <v>20</v>
          </cell>
          <cell r="M169">
            <v>0</v>
          </cell>
        </row>
        <row r="170">
          <cell r="H170" t="str">
            <v>Nguyễn Văn Đôn</v>
          </cell>
          <cell r="I170"/>
          <cell r="J170">
            <v>20</v>
          </cell>
          <cell r="M170">
            <v>0</v>
          </cell>
        </row>
        <row r="171">
          <cell r="H171" t="str">
            <v>Huỳnh Quốc Dũng</v>
          </cell>
          <cell r="I171"/>
          <cell r="J171">
            <v>20</v>
          </cell>
          <cell r="M171">
            <v>0</v>
          </cell>
        </row>
        <row r="172">
          <cell r="H172" t="str">
            <v>Dương Ngọc Vọng</v>
          </cell>
          <cell r="I172"/>
          <cell r="J172">
            <v>20</v>
          </cell>
          <cell r="M172">
            <v>0</v>
          </cell>
        </row>
        <row r="173">
          <cell r="H173" t="str">
            <v>Nguyễn Ngọc Tuyên</v>
          </cell>
          <cell r="I173"/>
          <cell r="J173">
            <v>20</v>
          </cell>
          <cell r="M173">
            <v>0</v>
          </cell>
        </row>
        <row r="174">
          <cell r="H174" t="str">
            <v>Nguyễn Cao Phong</v>
          </cell>
          <cell r="I174"/>
          <cell r="J174">
            <v>20</v>
          </cell>
          <cell r="M174">
            <v>0</v>
          </cell>
        </row>
        <row r="175">
          <cell r="H175" t="str">
            <v>Mai Chiếm Tuấn</v>
          </cell>
          <cell r="I175"/>
          <cell r="J175">
            <v>20</v>
          </cell>
          <cell r="M175">
            <v>0</v>
          </cell>
        </row>
        <row r="176">
          <cell r="H176" t="str">
            <v>Đỗ Tuấn Việt</v>
          </cell>
          <cell r="I176"/>
          <cell r="J176">
            <v>20</v>
          </cell>
          <cell r="M176">
            <v>0</v>
          </cell>
        </row>
        <row r="177">
          <cell r="H177" t="str">
            <v>Trần Vĩnh Xuyên</v>
          </cell>
          <cell r="I177"/>
          <cell r="J177">
            <v>20</v>
          </cell>
          <cell r="M177">
            <v>0</v>
          </cell>
        </row>
        <row r="178">
          <cell r="H178" t="str">
            <v>Đào Lê Phương Anh</v>
          </cell>
          <cell r="I178"/>
          <cell r="J178">
            <v>20</v>
          </cell>
          <cell r="M178">
            <v>0</v>
          </cell>
        </row>
        <row r="179">
          <cell r="H179" t="str">
            <v>Nguyễn Duy Lộc</v>
          </cell>
          <cell r="I179"/>
          <cell r="J179">
            <v>20</v>
          </cell>
          <cell r="M179">
            <v>0</v>
          </cell>
        </row>
        <row r="180">
          <cell r="H180" t="str">
            <v>Chung Trần Thế Vinh</v>
          </cell>
          <cell r="I180" t="str">
            <v>Khoa Cơ khí</v>
          </cell>
          <cell r="J180">
            <v>25</v>
          </cell>
          <cell r="M180">
            <v>0</v>
          </cell>
        </row>
        <row r="181">
          <cell r="H181" t="str">
            <v>Đỗ Thị Phương Khanh</v>
          </cell>
          <cell r="I181"/>
          <cell r="J181">
            <v>22</v>
          </cell>
          <cell r="M181" t="str">
            <v>Cộng 1 ngày tham gia ẩm thực 3 miền 17/11</v>
          </cell>
        </row>
        <row r="182">
          <cell r="H182" t="str">
            <v>Trương Thị Phương Hồng</v>
          </cell>
          <cell r="I182"/>
          <cell r="J182">
            <v>20</v>
          </cell>
          <cell r="M182">
            <v>0</v>
          </cell>
        </row>
        <row r="183">
          <cell r="H183" t="str">
            <v>Dương Minh Chung</v>
          </cell>
          <cell r="I183"/>
          <cell r="J183">
            <v>20</v>
          </cell>
          <cell r="M183">
            <v>0</v>
          </cell>
        </row>
        <row r="184">
          <cell r="H184" t="str">
            <v>Phan Văn Thành</v>
          </cell>
          <cell r="I184"/>
          <cell r="J184">
            <v>20</v>
          </cell>
          <cell r="M184">
            <v>0</v>
          </cell>
        </row>
        <row r="185">
          <cell r="H185" t="str">
            <v>Vũ Đức Pháp</v>
          </cell>
          <cell r="I185"/>
          <cell r="J185">
            <v>20</v>
          </cell>
          <cell r="M185">
            <v>0</v>
          </cell>
        </row>
        <row r="186">
          <cell r="H186" t="str">
            <v>Vũ Quang Khải</v>
          </cell>
          <cell r="I186"/>
          <cell r="J186">
            <v>20</v>
          </cell>
          <cell r="M186">
            <v>0</v>
          </cell>
        </row>
        <row r="187">
          <cell r="H187" t="str">
            <v>Nguyễn Thanh Vũ</v>
          </cell>
          <cell r="I187"/>
          <cell r="J187">
            <v>20</v>
          </cell>
          <cell r="M187">
            <v>0</v>
          </cell>
        </row>
        <row r="188">
          <cell r="H188" t="str">
            <v>Phan Thị Xuân Trang</v>
          </cell>
          <cell r="I188"/>
          <cell r="J188">
            <v>20</v>
          </cell>
          <cell r="M188">
            <v>0</v>
          </cell>
        </row>
        <row r="189">
          <cell r="H189" t="str">
            <v>Trần Đình Khải</v>
          </cell>
          <cell r="I189"/>
          <cell r="J189">
            <v>20</v>
          </cell>
          <cell r="M189">
            <v>0</v>
          </cell>
        </row>
        <row r="190">
          <cell r="H190" t="str">
            <v>Lư Thị Yến Vũ</v>
          </cell>
          <cell r="I190"/>
          <cell r="J190">
            <v>20</v>
          </cell>
          <cell r="M190">
            <v>0</v>
          </cell>
        </row>
        <row r="191">
          <cell r="H191" t="str">
            <v>Nguyễn Tiến Dũng</v>
          </cell>
          <cell r="I191"/>
          <cell r="J191">
            <v>20</v>
          </cell>
          <cell r="M191">
            <v>0</v>
          </cell>
        </row>
        <row r="192">
          <cell r="H192" t="str">
            <v>Nguyễn Thành Long</v>
          </cell>
          <cell r="I192"/>
          <cell r="J192">
            <v>20</v>
          </cell>
          <cell r="M192">
            <v>0</v>
          </cell>
        </row>
        <row r="193">
          <cell r="H193" t="str">
            <v>Nguyễn Ngọc Quỳnh.</v>
          </cell>
          <cell r="I193"/>
          <cell r="J193">
            <v>21</v>
          </cell>
          <cell r="M193">
            <v>0</v>
          </cell>
        </row>
        <row r="194">
          <cell r="H194" t="str">
            <v>Nguyễn Duy Hải</v>
          </cell>
          <cell r="I194"/>
          <cell r="J194">
            <v>21</v>
          </cell>
          <cell r="M194">
            <v>0</v>
          </cell>
        </row>
        <row r="195">
          <cell r="H195" t="str">
            <v>Bùi Anh Tuấn</v>
          </cell>
          <cell r="I195"/>
          <cell r="J195">
            <v>20</v>
          </cell>
          <cell r="M195">
            <v>0</v>
          </cell>
        </row>
        <row r="196">
          <cell r="H196" t="str">
            <v>Trần Thị Hương</v>
          </cell>
          <cell r="I196"/>
          <cell r="J196">
            <v>20</v>
          </cell>
          <cell r="M196">
            <v>0</v>
          </cell>
        </row>
        <row r="197">
          <cell r="H197" t="str">
            <v>Trần Minh Thông</v>
          </cell>
          <cell r="I197"/>
          <cell r="J197">
            <v>21</v>
          </cell>
          <cell r="M197">
            <v>0</v>
          </cell>
        </row>
        <row r="198">
          <cell r="H198" t="str">
            <v>Nguyễn Thanh Vĩnh Phúc</v>
          </cell>
          <cell r="I198"/>
          <cell r="J198">
            <v>21</v>
          </cell>
          <cell r="M198">
            <v>0</v>
          </cell>
        </row>
        <row r="199">
          <cell r="H199" t="str">
            <v>Dương Thị Hồng</v>
          </cell>
          <cell r="I199"/>
          <cell r="J199">
            <v>21</v>
          </cell>
          <cell r="M199">
            <v>0</v>
          </cell>
        </row>
        <row r="200">
          <cell r="H200" t="str">
            <v>Nguyễn Thanh Giang</v>
          </cell>
          <cell r="I200"/>
          <cell r="J200">
            <v>21</v>
          </cell>
          <cell r="M200">
            <v>0</v>
          </cell>
        </row>
        <row r="201">
          <cell r="H201" t="str">
            <v>Nguyễn Hồng Phúc</v>
          </cell>
          <cell r="I201"/>
          <cell r="J201">
            <v>20</v>
          </cell>
          <cell r="M201">
            <v>0</v>
          </cell>
        </row>
        <row r="202">
          <cell r="H202" t="str">
            <v>Nguyễn Văn Sơn</v>
          </cell>
          <cell r="I202"/>
          <cell r="J202">
            <v>20</v>
          </cell>
          <cell r="M202">
            <v>0</v>
          </cell>
        </row>
        <row r="203">
          <cell r="H203" t="str">
            <v>Nguyễn Khắc Huy</v>
          </cell>
          <cell r="I203"/>
          <cell r="J203">
            <v>20</v>
          </cell>
          <cell r="M203">
            <v>0</v>
          </cell>
        </row>
        <row r="204">
          <cell r="H204" t="str">
            <v>Võ Hoài Sơn</v>
          </cell>
          <cell r="I204"/>
          <cell r="J204">
            <v>21</v>
          </cell>
          <cell r="M204">
            <v>0</v>
          </cell>
        </row>
        <row r="205">
          <cell r="H205" t="str">
            <v>Nguyễn Thị Xuân Chinh</v>
          </cell>
          <cell r="I205"/>
          <cell r="J205">
            <v>21</v>
          </cell>
          <cell r="M205">
            <v>0</v>
          </cell>
        </row>
        <row r="206">
          <cell r="H206" t="str">
            <v>Nguyễn Duy Tân</v>
          </cell>
          <cell r="I206"/>
          <cell r="J206">
            <v>21</v>
          </cell>
          <cell r="M206">
            <v>0</v>
          </cell>
        </row>
        <row r="207">
          <cell r="H207" t="str">
            <v>Nguyễn Ngọc Hiệp</v>
          </cell>
          <cell r="I207"/>
          <cell r="J207">
            <v>20</v>
          </cell>
          <cell r="M207">
            <v>0</v>
          </cell>
        </row>
        <row r="208">
          <cell r="H208" t="str">
            <v>Tạ Minh Cường</v>
          </cell>
          <cell r="I208" t="str">
            <v>Khoa Điện-
Điện tử</v>
          </cell>
          <cell r="J208">
            <v>20</v>
          </cell>
          <cell r="M208">
            <v>0</v>
          </cell>
        </row>
        <row r="209">
          <cell r="H209" t="str">
            <v>Phạm Minh Nghĩa</v>
          </cell>
          <cell r="I209"/>
          <cell r="J209">
            <v>20</v>
          </cell>
          <cell r="M209">
            <v>0</v>
          </cell>
        </row>
        <row r="210">
          <cell r="H210" t="str">
            <v>Nguyễn Văn Yên</v>
          </cell>
          <cell r="I210"/>
          <cell r="J210">
            <v>20</v>
          </cell>
          <cell r="M210">
            <v>0</v>
          </cell>
        </row>
        <row r="211">
          <cell r="H211" t="str">
            <v>Nguyễn Minh Đức</v>
          </cell>
          <cell r="I211"/>
          <cell r="J211">
            <v>20</v>
          </cell>
          <cell r="M211">
            <v>0</v>
          </cell>
        </row>
        <row r="212">
          <cell r="H212" t="str">
            <v>Nguyễn Anh Tăng</v>
          </cell>
          <cell r="I212"/>
          <cell r="J212">
            <v>20</v>
          </cell>
          <cell r="M212">
            <v>0</v>
          </cell>
        </row>
        <row r="213">
          <cell r="H213" t="str">
            <v>Lê Thế Huân</v>
          </cell>
          <cell r="I213"/>
          <cell r="J213">
            <v>20</v>
          </cell>
          <cell r="M213">
            <v>0</v>
          </cell>
        </row>
        <row r="214">
          <cell r="H214" t="str">
            <v>Trần Trung Hiếu</v>
          </cell>
          <cell r="I214"/>
          <cell r="J214">
            <v>20</v>
          </cell>
          <cell r="M214">
            <v>0</v>
          </cell>
        </row>
        <row r="215">
          <cell r="H215" t="str">
            <v>Trần Nguyên Bảo Trân</v>
          </cell>
          <cell r="I215"/>
          <cell r="J215">
            <v>20</v>
          </cell>
          <cell r="M215">
            <v>0</v>
          </cell>
        </row>
        <row r="216">
          <cell r="H216" t="str">
            <v>Mạnh Lê Hoàn</v>
          </cell>
          <cell r="I216"/>
          <cell r="J216">
            <v>20</v>
          </cell>
          <cell r="M216">
            <v>0</v>
          </cell>
        </row>
        <row r="217">
          <cell r="H217" t="str">
            <v>Ngô Hoàng Anh</v>
          </cell>
          <cell r="I217"/>
          <cell r="J217">
            <v>20</v>
          </cell>
          <cell r="M217">
            <v>0</v>
          </cell>
        </row>
        <row r="218">
          <cell r="H218" t="str">
            <v>Nguyễn Thùy Linh</v>
          </cell>
          <cell r="I218"/>
          <cell r="J218">
            <v>20</v>
          </cell>
          <cell r="M218">
            <v>0</v>
          </cell>
        </row>
        <row r="219">
          <cell r="H219" t="str">
            <v>Vũ Hạnh Chiêu</v>
          </cell>
          <cell r="I219"/>
          <cell r="J219">
            <v>20</v>
          </cell>
          <cell r="M219">
            <v>0</v>
          </cell>
        </row>
        <row r="220">
          <cell r="H220" t="str">
            <v>Đỗ Huỳnh Thanh Phong</v>
          </cell>
          <cell r="I220"/>
          <cell r="J220">
            <v>20</v>
          </cell>
          <cell r="M220">
            <v>0</v>
          </cell>
        </row>
        <row r="221">
          <cell r="H221" t="str">
            <v>Nguyễn Minh Đức Cường</v>
          </cell>
          <cell r="I221"/>
          <cell r="J221">
            <v>20</v>
          </cell>
          <cell r="M221">
            <v>0</v>
          </cell>
        </row>
        <row r="222">
          <cell r="H222" t="str">
            <v>Huỳnh Ngọc Mai</v>
          </cell>
          <cell r="I222"/>
          <cell r="J222">
            <v>20</v>
          </cell>
          <cell r="M222">
            <v>0</v>
          </cell>
        </row>
        <row r="223">
          <cell r="H223" t="str">
            <v>Nguyễn Hồng Đức</v>
          </cell>
          <cell r="I223"/>
          <cell r="J223">
            <v>20</v>
          </cell>
          <cell r="M223">
            <v>0</v>
          </cell>
        </row>
        <row r="224">
          <cell r="H224" t="str">
            <v>Trần Công Tiến</v>
          </cell>
          <cell r="I224"/>
          <cell r="J224">
            <v>20</v>
          </cell>
          <cell r="M224">
            <v>0</v>
          </cell>
        </row>
        <row r="225">
          <cell r="H225" t="str">
            <v>Nguyễn Trần Thanh Nhàn</v>
          </cell>
          <cell r="I225"/>
          <cell r="J225">
            <v>20</v>
          </cell>
          <cell r="M225">
            <v>0</v>
          </cell>
        </row>
        <row r="226">
          <cell r="H226" t="str">
            <v>Tăng Cẩm Huê</v>
          </cell>
          <cell r="I226"/>
          <cell r="J226">
            <v>20</v>
          </cell>
          <cell r="M226">
            <v>0</v>
          </cell>
        </row>
        <row r="227">
          <cell r="H227" t="str">
            <v>Trần Hiếu Trinh</v>
          </cell>
          <cell r="I227"/>
          <cell r="J227">
            <v>20</v>
          </cell>
          <cell r="M227">
            <v>0</v>
          </cell>
        </row>
        <row r="228">
          <cell r="H228" t="str">
            <v>Nguyễn Thị Tố Nga</v>
          </cell>
          <cell r="I228"/>
          <cell r="J228">
            <v>20</v>
          </cell>
          <cell r="M228">
            <v>0</v>
          </cell>
        </row>
        <row r="229">
          <cell r="H229" t="str">
            <v>Đặng Đức Minh</v>
          </cell>
          <cell r="I229"/>
          <cell r="J229">
            <v>20</v>
          </cell>
          <cell r="M229">
            <v>0</v>
          </cell>
        </row>
        <row r="230">
          <cell r="H230" t="str">
            <v>Nguyễn Thị Ngọc Hiền</v>
          </cell>
          <cell r="I230"/>
          <cell r="J230">
            <v>20</v>
          </cell>
          <cell r="M230">
            <v>0</v>
          </cell>
        </row>
        <row r="231">
          <cell r="H231" t="str">
            <v>Ngô Phong Cường</v>
          </cell>
          <cell r="I231"/>
          <cell r="J231">
            <v>20</v>
          </cell>
          <cell r="M231">
            <v>0</v>
          </cell>
        </row>
        <row r="232">
          <cell r="H232" t="str">
            <v>Cao Văn Tuấn</v>
          </cell>
          <cell r="I232"/>
          <cell r="J232">
            <v>20</v>
          </cell>
          <cell r="M232">
            <v>0</v>
          </cell>
        </row>
        <row r="233">
          <cell r="H233" t="str">
            <v>Trần Nam Anh</v>
          </cell>
          <cell r="I233"/>
          <cell r="J233">
            <v>20</v>
          </cell>
          <cell r="M233">
            <v>0</v>
          </cell>
        </row>
        <row r="234">
          <cell r="H234" t="str">
            <v>Trần Giang Nam</v>
          </cell>
          <cell r="I234"/>
          <cell r="J234">
            <v>20</v>
          </cell>
          <cell r="M234">
            <v>0</v>
          </cell>
        </row>
        <row r="235">
          <cell r="H235" t="str">
            <v>Phan Thanh Hoàng</v>
          </cell>
          <cell r="I235"/>
          <cell r="J235">
            <v>20</v>
          </cell>
          <cell r="M235">
            <v>0</v>
          </cell>
        </row>
        <row r="236">
          <cell r="H236" t="str">
            <v>Huỳnh Duy An</v>
          </cell>
          <cell r="I236"/>
          <cell r="J236">
            <v>20</v>
          </cell>
          <cell r="M236">
            <v>0</v>
          </cell>
        </row>
        <row r="237">
          <cell r="H237" t="str">
            <v>Nguyễn Khương Thành</v>
          </cell>
          <cell r="I237"/>
          <cell r="J237">
            <v>20</v>
          </cell>
          <cell r="M237">
            <v>0</v>
          </cell>
        </row>
        <row r="238">
          <cell r="H238" t="str">
            <v>Nguyễn Anh Tuấn</v>
          </cell>
          <cell r="I238" t="str">
            <v>Khoa Động Lực</v>
          </cell>
          <cell r="J238">
            <v>20</v>
          </cell>
          <cell r="M238">
            <v>0</v>
          </cell>
        </row>
        <row r="239">
          <cell r="H239" t="str">
            <v>Võ Đắc Thịnh</v>
          </cell>
          <cell r="I239"/>
          <cell r="J239">
            <v>20</v>
          </cell>
          <cell r="M239">
            <v>0</v>
          </cell>
        </row>
        <row r="240">
          <cell r="H240" t="str">
            <v>Nguyễn Hữu Mạnh</v>
          </cell>
          <cell r="I240"/>
          <cell r="J240">
            <v>20</v>
          </cell>
          <cell r="M240">
            <v>0</v>
          </cell>
        </row>
        <row r="241">
          <cell r="H241" t="str">
            <v>Phan Anh Tuấn Kiệt</v>
          </cell>
          <cell r="I241"/>
          <cell r="J241">
            <v>20</v>
          </cell>
          <cell r="M241">
            <v>0</v>
          </cell>
        </row>
        <row r="242">
          <cell r="H242" t="str">
            <v>Triệu Phú Nguyên</v>
          </cell>
          <cell r="I242"/>
          <cell r="J242">
            <v>20</v>
          </cell>
          <cell r="M242">
            <v>0</v>
          </cell>
        </row>
        <row r="243">
          <cell r="H243" t="str">
            <v>Nguyễn Thành Đức</v>
          </cell>
          <cell r="I243"/>
          <cell r="J243">
            <v>20</v>
          </cell>
          <cell r="M243">
            <v>0</v>
          </cell>
        </row>
        <row r="244">
          <cell r="H244" t="str">
            <v>Nguyễn Minh Thái</v>
          </cell>
          <cell r="I244"/>
          <cell r="J244">
            <v>20</v>
          </cell>
          <cell r="M244">
            <v>0</v>
          </cell>
        </row>
        <row r="245">
          <cell r="H245" t="str">
            <v>Đặng Thái Sơn</v>
          </cell>
          <cell r="I245"/>
          <cell r="J245">
            <v>20</v>
          </cell>
          <cell r="M245">
            <v>0</v>
          </cell>
        </row>
        <row r="246">
          <cell r="H246" t="str">
            <v>Nguyễn Thái Bình</v>
          </cell>
          <cell r="I246"/>
          <cell r="J246">
            <v>20</v>
          </cell>
          <cell r="M246">
            <v>0</v>
          </cell>
        </row>
        <row r="247">
          <cell r="H247" t="str">
            <v>Kiều Trung Tín</v>
          </cell>
          <cell r="I247"/>
          <cell r="J247">
            <v>20</v>
          </cell>
          <cell r="M247">
            <v>0</v>
          </cell>
        </row>
        <row r="248">
          <cell r="H248" t="str">
            <v>Trần Quốc Duy</v>
          </cell>
          <cell r="I248"/>
          <cell r="J248">
            <v>20</v>
          </cell>
          <cell r="M248">
            <v>0</v>
          </cell>
        </row>
        <row r="249">
          <cell r="H249" t="str">
            <v>Hồ Văn Hóa</v>
          </cell>
          <cell r="I249"/>
          <cell r="J249">
            <v>20</v>
          </cell>
          <cell r="M249">
            <v>0</v>
          </cell>
        </row>
        <row r="250">
          <cell r="H250" t="str">
            <v>Nguyễn Thanh Hùng</v>
          </cell>
          <cell r="I250"/>
          <cell r="J250">
            <v>20</v>
          </cell>
          <cell r="M250">
            <v>0</v>
          </cell>
        </row>
        <row r="251">
          <cell r="H251" t="str">
            <v>Hà Quốc Bảo</v>
          </cell>
          <cell r="I251"/>
          <cell r="J251">
            <v>20</v>
          </cell>
          <cell r="M251">
            <v>0</v>
          </cell>
        </row>
        <row r="252">
          <cell r="H252" t="str">
            <v>Hoàng Phúc Bảo</v>
          </cell>
          <cell r="I252"/>
          <cell r="J252">
            <v>20</v>
          </cell>
          <cell r="M252">
            <v>0</v>
          </cell>
        </row>
        <row r="253">
          <cell r="H253" t="str">
            <v>Nguyễn Lương Tâm</v>
          </cell>
          <cell r="I253"/>
          <cell r="J253">
            <v>20</v>
          </cell>
          <cell r="M253">
            <v>0</v>
          </cell>
        </row>
        <row r="254">
          <cell r="H254" t="str">
            <v>Trần Thế Sơn</v>
          </cell>
          <cell r="I254"/>
          <cell r="J254">
            <v>20</v>
          </cell>
          <cell r="M254">
            <v>0</v>
          </cell>
        </row>
        <row r="255">
          <cell r="H255" t="str">
            <v>Trần Văn Đông</v>
          </cell>
          <cell r="I255"/>
          <cell r="J255">
            <v>20</v>
          </cell>
          <cell r="M255">
            <v>0</v>
          </cell>
        </row>
        <row r="256">
          <cell r="H256" t="str">
            <v>Lý Văn Trung</v>
          </cell>
          <cell r="I256"/>
          <cell r="J256">
            <v>21</v>
          </cell>
          <cell r="M256" t="str">
            <v>Cộng 1 ngày tham gia ẩm thực 3 miền 17/11</v>
          </cell>
        </row>
        <row r="257">
          <cell r="H257" t="str">
            <v>Nguyễn Hoàng Vinh</v>
          </cell>
          <cell r="I257"/>
          <cell r="J257">
            <v>20</v>
          </cell>
          <cell r="M257">
            <v>0</v>
          </cell>
        </row>
        <row r="258">
          <cell r="H258" t="str">
            <v>Bùi Trọng Tân</v>
          </cell>
          <cell r="I258"/>
          <cell r="J258">
            <v>20</v>
          </cell>
          <cell r="M258">
            <v>0</v>
          </cell>
        </row>
        <row r="259">
          <cell r="H259" t="str">
            <v>Giang Văn Tiến</v>
          </cell>
          <cell r="I259"/>
          <cell r="J259">
            <v>20</v>
          </cell>
          <cell r="M259">
            <v>0</v>
          </cell>
        </row>
        <row r="260">
          <cell r="H260" t="str">
            <v>Nguyễn Hữu Lương</v>
          </cell>
          <cell r="I260"/>
          <cell r="J260">
            <v>20</v>
          </cell>
          <cell r="M260">
            <v>0</v>
          </cell>
        </row>
        <row r="261">
          <cell r="H261" t="str">
            <v>Huỳnh Đình Văn</v>
          </cell>
          <cell r="I261"/>
          <cell r="J261">
            <v>20</v>
          </cell>
          <cell r="M261">
            <v>0</v>
          </cell>
        </row>
        <row r="262">
          <cell r="H262" t="str">
            <v>Phạm Quang Vũ</v>
          </cell>
          <cell r="I262" t="str">
            <v>Khoa Xây dựng - Nhiệt lạnh</v>
          </cell>
          <cell r="J262">
            <v>20</v>
          </cell>
          <cell r="M262">
            <v>0</v>
          </cell>
        </row>
        <row r="263">
          <cell r="H263" t="str">
            <v>Trình Minh Phong</v>
          </cell>
          <cell r="I263"/>
          <cell r="J263">
            <v>20</v>
          </cell>
          <cell r="M263">
            <v>0</v>
          </cell>
        </row>
        <row r="264">
          <cell r="H264" t="str">
            <v>Trần Ngọc Tuấn</v>
          </cell>
          <cell r="I264"/>
          <cell r="J264">
            <v>20</v>
          </cell>
          <cell r="M264">
            <v>0</v>
          </cell>
        </row>
        <row r="265">
          <cell r="H265" t="str">
            <v>Đinh Đồng Hiệp</v>
          </cell>
          <cell r="I265"/>
          <cell r="J265">
            <v>20</v>
          </cell>
          <cell r="M265">
            <v>0</v>
          </cell>
        </row>
        <row r="266">
          <cell r="H266" t="str">
            <v>Đặng Thế Huân</v>
          </cell>
          <cell r="I266"/>
          <cell r="J266">
            <v>20</v>
          </cell>
          <cell r="M266">
            <v>0</v>
          </cell>
        </row>
        <row r="267">
          <cell r="H267" t="str">
            <v>Võ Anh Hào</v>
          </cell>
          <cell r="I267"/>
          <cell r="J267">
            <v>20</v>
          </cell>
          <cell r="M267">
            <v>0</v>
          </cell>
        </row>
        <row r="268">
          <cell r="H268" t="str">
            <v>Phan Văn Hòa</v>
          </cell>
          <cell r="I268"/>
          <cell r="J268">
            <v>20</v>
          </cell>
          <cell r="M268">
            <v>0</v>
          </cell>
        </row>
        <row r="269">
          <cell r="H269" t="str">
            <v>Trần Đình Khoa</v>
          </cell>
          <cell r="I269"/>
          <cell r="J269">
            <v>20</v>
          </cell>
          <cell r="M269">
            <v>0</v>
          </cell>
        </row>
        <row r="270">
          <cell r="H270" t="str">
            <v>Đỗ Trọng Quý</v>
          </cell>
          <cell r="I270"/>
          <cell r="J270">
            <v>20</v>
          </cell>
          <cell r="M270">
            <v>0</v>
          </cell>
        </row>
        <row r="271">
          <cell r="H271" t="str">
            <v>Nguyễn Vũ Xuân Thì</v>
          </cell>
          <cell r="I271"/>
          <cell r="J271">
            <v>20</v>
          </cell>
          <cell r="M271">
            <v>0</v>
          </cell>
        </row>
        <row r="272">
          <cell r="H272" t="str">
            <v>Hoàng Văn Viết</v>
          </cell>
          <cell r="I272"/>
          <cell r="J272">
            <v>20</v>
          </cell>
          <cell r="M272">
            <v>0</v>
          </cell>
        </row>
        <row r="273">
          <cell r="H273" t="str">
            <v>Nguyễn Thanh Dũng</v>
          </cell>
          <cell r="I273"/>
          <cell r="J273">
            <v>20</v>
          </cell>
          <cell r="M273">
            <v>0</v>
          </cell>
        </row>
        <row r="274">
          <cell r="H274">
            <v>0</v>
          </cell>
          <cell r="I274">
            <v>0</v>
          </cell>
          <cell r="J274">
            <v>5525</v>
          </cell>
          <cell r="M274">
            <v>0</v>
          </cell>
        </row>
        <row r="275">
          <cell r="H275">
            <v>0</v>
          </cell>
          <cell r="I275">
            <v>0</v>
          </cell>
          <cell r="J275">
            <v>0</v>
          </cell>
          <cell r="M275">
            <v>0</v>
          </cell>
        </row>
        <row r="276">
          <cell r="H276">
            <v>0</v>
          </cell>
        </row>
      </sheetData>
      <sheetData sheetId="1"/>
      <sheetData sheetId="2">
        <row r="10">
          <cell r="H10" t="str">
            <v>Đồng Anh Tuấn</v>
          </cell>
          <cell r="I10" t="str">
            <v>P. TC-HC-TH</v>
          </cell>
          <cell r="J10">
            <v>27</v>
          </cell>
          <cell r="K10">
            <v>1350000</v>
          </cell>
          <cell r="L10">
            <v>1</v>
          </cell>
          <cell r="M10">
            <v>0</v>
          </cell>
        </row>
        <row r="11">
          <cell r="H11" t="str">
            <v>Nguyễn Thanh Hiền</v>
          </cell>
          <cell r="I11">
            <v>0</v>
          </cell>
          <cell r="J11">
            <v>25</v>
          </cell>
          <cell r="K11">
            <v>1250000</v>
          </cell>
          <cell r="L11">
            <v>2</v>
          </cell>
          <cell r="M11" t="str">
            <v>Trừ 1 ngày nghỉ phép 7/11</v>
          </cell>
        </row>
        <row r="12">
          <cell r="H12" t="str">
            <v>Lê Hồng Phúc</v>
          </cell>
          <cell r="I12">
            <v>0</v>
          </cell>
          <cell r="J12">
            <v>26</v>
          </cell>
          <cell r="K12">
            <v>1300000</v>
          </cell>
          <cell r="L12">
            <v>3</v>
          </cell>
          <cell r="M12">
            <v>0</v>
          </cell>
        </row>
        <row r="13">
          <cell r="H13" t="str">
            <v>Phạm Hữu Tấn</v>
          </cell>
          <cell r="I13">
            <v>0</v>
          </cell>
          <cell r="J13">
            <v>27</v>
          </cell>
          <cell r="K13">
            <v>1350000</v>
          </cell>
          <cell r="L13">
            <v>4</v>
          </cell>
          <cell r="M13">
            <v>0</v>
          </cell>
        </row>
        <row r="14">
          <cell r="H14" t="str">
            <v>Nguyễn Hữu Xuân Vũ</v>
          </cell>
          <cell r="I14">
            <v>0</v>
          </cell>
          <cell r="J14">
            <v>26</v>
          </cell>
          <cell r="K14">
            <v>1300000</v>
          </cell>
          <cell r="L14">
            <v>5</v>
          </cell>
          <cell r="M14">
            <v>0</v>
          </cell>
        </row>
        <row r="15">
          <cell r="H15" t="str">
            <v>Phạm Hữu Thành Phú</v>
          </cell>
          <cell r="I15">
            <v>0</v>
          </cell>
          <cell r="J15">
            <v>26</v>
          </cell>
          <cell r="K15">
            <v>1300000</v>
          </cell>
          <cell r="L15">
            <v>6</v>
          </cell>
          <cell r="M15">
            <v>0</v>
          </cell>
        </row>
        <row r="16">
          <cell r="H16" t="str">
            <v>Huỳnh Thanh Nhàn</v>
          </cell>
          <cell r="I16">
            <v>0</v>
          </cell>
          <cell r="J16">
            <v>26</v>
          </cell>
          <cell r="K16">
            <v>1300000</v>
          </cell>
          <cell r="L16">
            <v>7</v>
          </cell>
          <cell r="M16">
            <v>0</v>
          </cell>
        </row>
        <row r="17">
          <cell r="H17" t="str">
            <v>Phạm Quang Tùng</v>
          </cell>
          <cell r="I17">
            <v>0</v>
          </cell>
          <cell r="J17">
            <v>26</v>
          </cell>
          <cell r="K17">
            <v>1300000</v>
          </cell>
          <cell r="L17">
            <v>8</v>
          </cell>
          <cell r="M17">
            <v>0</v>
          </cell>
        </row>
        <row r="18">
          <cell r="H18" t="str">
            <v>Trần Thanh Cường</v>
          </cell>
          <cell r="I18">
            <v>0</v>
          </cell>
          <cell r="J18">
            <v>26</v>
          </cell>
          <cell r="K18">
            <v>1300000</v>
          </cell>
          <cell r="L18">
            <v>9</v>
          </cell>
          <cell r="M18">
            <v>0</v>
          </cell>
        </row>
        <row r="19">
          <cell r="H19" t="str">
            <v>Dương Văn Tâm</v>
          </cell>
          <cell r="I19">
            <v>0</v>
          </cell>
          <cell r="J19">
            <v>26</v>
          </cell>
          <cell r="K19">
            <v>1300000</v>
          </cell>
          <cell r="L19">
            <v>10</v>
          </cell>
          <cell r="M19">
            <v>0</v>
          </cell>
        </row>
        <row r="20">
          <cell r="H20" t="str">
            <v>Huỳnh Ngọc Liên</v>
          </cell>
          <cell r="I20">
            <v>0</v>
          </cell>
          <cell r="J20">
            <v>26</v>
          </cell>
          <cell r="K20">
            <v>1300000</v>
          </cell>
          <cell r="L20">
            <v>11</v>
          </cell>
          <cell r="M20">
            <v>0</v>
          </cell>
        </row>
        <row r="21">
          <cell r="H21" t="str">
            <v>Huỳnh Thị Xuân Mai</v>
          </cell>
          <cell r="I21">
            <v>0</v>
          </cell>
          <cell r="J21">
            <v>26</v>
          </cell>
          <cell r="K21">
            <v>1300000</v>
          </cell>
          <cell r="L21">
            <v>12</v>
          </cell>
          <cell r="M21">
            <v>0</v>
          </cell>
        </row>
        <row r="22">
          <cell r="H22" t="str">
            <v>Trần Văn Cu Anh</v>
          </cell>
          <cell r="I22">
            <v>0</v>
          </cell>
          <cell r="J22">
            <v>24</v>
          </cell>
          <cell r="K22">
            <v>1200000</v>
          </cell>
          <cell r="L22">
            <v>13</v>
          </cell>
          <cell r="M22" t="str">
            <v>Trừ 2 ngày nghỉ phép 25+26/11</v>
          </cell>
        </row>
        <row r="23">
          <cell r="H23" t="str">
            <v>Vũ Anh Hiếu</v>
          </cell>
          <cell r="I23">
            <v>0</v>
          </cell>
          <cell r="J23">
            <v>25</v>
          </cell>
          <cell r="K23">
            <v>1250000</v>
          </cell>
          <cell r="L23">
            <v>14</v>
          </cell>
          <cell r="M23" t="str">
            <v>Trừ 1 ngày nghỉ phép 8/11</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v>0</v>
          </cell>
          <cell r="J25">
            <v>26</v>
          </cell>
          <cell r="K25">
            <v>1300000</v>
          </cell>
          <cell r="L25">
            <v>16</v>
          </cell>
          <cell r="M25">
            <v>0</v>
          </cell>
        </row>
        <row r="26">
          <cell r="H26" t="str">
            <v>Huỳnh Bá Triết</v>
          </cell>
          <cell r="I26">
            <v>0</v>
          </cell>
          <cell r="J26">
            <v>25</v>
          </cell>
          <cell r="K26">
            <v>1250000</v>
          </cell>
          <cell r="L26">
            <v>17</v>
          </cell>
          <cell r="M26">
            <v>0</v>
          </cell>
        </row>
        <row r="27">
          <cell r="H27" t="str">
            <v>Giáp Đức Nhận</v>
          </cell>
          <cell r="I27">
            <v>0</v>
          </cell>
          <cell r="J27">
            <v>26</v>
          </cell>
          <cell r="K27">
            <v>1300000</v>
          </cell>
          <cell r="L27">
            <v>18</v>
          </cell>
          <cell r="M27">
            <v>0</v>
          </cell>
        </row>
        <row r="28">
          <cell r="H28" t="str">
            <v>Trần Thị Thu</v>
          </cell>
          <cell r="I28">
            <v>0</v>
          </cell>
          <cell r="J28">
            <v>26</v>
          </cell>
          <cell r="K28">
            <v>1300000</v>
          </cell>
          <cell r="L28">
            <v>19</v>
          </cell>
          <cell r="M28">
            <v>0</v>
          </cell>
        </row>
        <row r="29">
          <cell r="H29" t="str">
            <v>Đỗ Thị Bích Thủy</v>
          </cell>
          <cell r="I29">
            <v>0</v>
          </cell>
          <cell r="J29">
            <v>27</v>
          </cell>
          <cell r="K29">
            <v>1350000</v>
          </cell>
          <cell r="L29">
            <v>20</v>
          </cell>
          <cell r="M29">
            <v>0</v>
          </cell>
        </row>
        <row r="30">
          <cell r="H30" t="str">
            <v>Trịnh Tuấn Vũ</v>
          </cell>
          <cell r="I30">
            <v>0</v>
          </cell>
          <cell r="J30">
            <v>26</v>
          </cell>
          <cell r="K30">
            <v>1300000</v>
          </cell>
          <cell r="L30">
            <v>21</v>
          </cell>
          <cell r="M30">
            <v>0</v>
          </cell>
        </row>
        <row r="31">
          <cell r="H31" t="str">
            <v>Võ Thị Tuyết</v>
          </cell>
          <cell r="I31">
            <v>0</v>
          </cell>
          <cell r="J31">
            <v>26</v>
          </cell>
          <cell r="K31">
            <v>1300000</v>
          </cell>
          <cell r="L31">
            <v>22</v>
          </cell>
          <cell r="M31">
            <v>0</v>
          </cell>
        </row>
        <row r="32">
          <cell r="H32" t="str">
            <v>Trần Kim Tươi</v>
          </cell>
          <cell r="I32">
            <v>0</v>
          </cell>
          <cell r="J32">
            <v>27</v>
          </cell>
          <cell r="K32">
            <v>1350000</v>
          </cell>
          <cell r="L32">
            <v>23</v>
          </cell>
          <cell r="M32">
            <v>0</v>
          </cell>
        </row>
        <row r="33">
          <cell r="H33" t="str">
            <v>Trương Thị Định</v>
          </cell>
          <cell r="I33">
            <v>0</v>
          </cell>
          <cell r="J33">
            <v>26</v>
          </cell>
          <cell r="K33">
            <v>1300000</v>
          </cell>
          <cell r="L33">
            <v>24</v>
          </cell>
          <cell r="M33">
            <v>0</v>
          </cell>
        </row>
        <row r="34">
          <cell r="H34" t="str">
            <v>Trương Thị Bắc</v>
          </cell>
          <cell r="I34">
            <v>0</v>
          </cell>
          <cell r="J34">
            <v>26</v>
          </cell>
          <cell r="K34">
            <v>1300000</v>
          </cell>
          <cell r="L34">
            <v>25</v>
          </cell>
          <cell r="M34">
            <v>0</v>
          </cell>
        </row>
        <row r="35">
          <cell r="H35" t="str">
            <v>Võ Tấn Đức</v>
          </cell>
          <cell r="I35">
            <v>0</v>
          </cell>
          <cell r="J35">
            <v>26</v>
          </cell>
          <cell r="K35">
            <v>1300000</v>
          </cell>
          <cell r="L35">
            <v>26</v>
          </cell>
          <cell r="M35">
            <v>0</v>
          </cell>
        </row>
        <row r="36">
          <cell r="H36" t="str">
            <v>Ngô Ngọc Của</v>
          </cell>
          <cell r="I36">
            <v>0</v>
          </cell>
          <cell r="J36">
            <v>26</v>
          </cell>
          <cell r="K36">
            <v>1300000</v>
          </cell>
          <cell r="L36">
            <v>27</v>
          </cell>
          <cell r="M36">
            <v>0</v>
          </cell>
        </row>
        <row r="37">
          <cell r="H37" t="str">
            <v>Phạm Thị Hoàng Diễm</v>
          </cell>
          <cell r="I37">
            <v>0</v>
          </cell>
          <cell r="J37">
            <v>25</v>
          </cell>
          <cell r="K37">
            <v>1250000</v>
          </cell>
          <cell r="L37">
            <v>28</v>
          </cell>
          <cell r="M37">
            <v>0</v>
          </cell>
        </row>
        <row r="38">
          <cell r="H38" t="str">
            <v>Nguyễn Văn Hiển</v>
          </cell>
          <cell r="I38">
            <v>0</v>
          </cell>
          <cell r="J38">
            <v>26</v>
          </cell>
          <cell r="K38">
            <v>1300000</v>
          </cell>
          <cell r="L38">
            <v>29</v>
          </cell>
          <cell r="M38">
            <v>0</v>
          </cell>
        </row>
        <row r="39">
          <cell r="H39" t="str">
            <v>Trần Thanh Phương</v>
          </cell>
          <cell r="I39">
            <v>0</v>
          </cell>
          <cell r="J39">
            <v>26</v>
          </cell>
          <cell r="K39">
            <v>1300000</v>
          </cell>
          <cell r="L39">
            <v>30</v>
          </cell>
          <cell r="M39">
            <v>0</v>
          </cell>
        </row>
        <row r="40">
          <cell r="H40" t="str">
            <v>Lâm Võ Hữu Duy</v>
          </cell>
          <cell r="I40">
            <v>0</v>
          </cell>
          <cell r="J40">
            <v>26</v>
          </cell>
          <cell r="K40">
            <v>1300000</v>
          </cell>
          <cell r="L40">
            <v>31</v>
          </cell>
          <cell r="M40">
            <v>0</v>
          </cell>
        </row>
        <row r="41">
          <cell r="H41" t="str">
            <v>Võ Lạc Tân</v>
          </cell>
          <cell r="I41">
            <v>0</v>
          </cell>
          <cell r="J41">
            <v>26</v>
          </cell>
          <cell r="K41">
            <v>1300000</v>
          </cell>
          <cell r="L41">
            <v>0</v>
          </cell>
          <cell r="M41">
            <v>0</v>
          </cell>
        </row>
        <row r="42">
          <cell r="H42" t="str">
            <v>Lê Thị Huyền</v>
          </cell>
          <cell r="I42" t="str">
            <v>Trạm Y tế</v>
          </cell>
          <cell r="J42">
            <v>25</v>
          </cell>
          <cell r="K42">
            <v>1250000</v>
          </cell>
          <cell r="L42">
            <v>33</v>
          </cell>
          <cell r="M42">
            <v>0</v>
          </cell>
        </row>
        <row r="43">
          <cell r="H43" t="str">
            <v>Trần Thị Thảo Vân</v>
          </cell>
          <cell r="I43" t="str">
            <v xml:space="preserve">Phòng KH - TC </v>
          </cell>
          <cell r="J43">
            <v>26</v>
          </cell>
          <cell r="K43">
            <v>1300000</v>
          </cell>
          <cell r="L43">
            <v>34</v>
          </cell>
          <cell r="M43">
            <v>0</v>
          </cell>
        </row>
        <row r="44">
          <cell r="H44" t="str">
            <v>Huỳnh Như Ý</v>
          </cell>
          <cell r="I44">
            <v>0</v>
          </cell>
          <cell r="J44">
            <v>26</v>
          </cell>
          <cell r="K44">
            <v>1300000</v>
          </cell>
          <cell r="L44">
            <v>35</v>
          </cell>
          <cell r="M44">
            <v>0</v>
          </cell>
        </row>
        <row r="45">
          <cell r="H45" t="str">
            <v>Nguyễn Chiến Thắng</v>
          </cell>
          <cell r="I45">
            <v>0</v>
          </cell>
          <cell r="J45">
            <v>25</v>
          </cell>
          <cell r="K45">
            <v>1250000</v>
          </cell>
          <cell r="L45">
            <v>36</v>
          </cell>
          <cell r="M45">
            <v>0</v>
          </cell>
        </row>
        <row r="46">
          <cell r="H46" t="str">
            <v>Huỳnh Văn Hiếu</v>
          </cell>
          <cell r="I46" t="str">
            <v>Phòng TTGD - QHDN</v>
          </cell>
          <cell r="J46">
            <v>26</v>
          </cell>
          <cell r="K46">
            <v>1300000</v>
          </cell>
          <cell r="L46">
            <v>37</v>
          </cell>
          <cell r="M46">
            <v>0</v>
          </cell>
        </row>
        <row r="47">
          <cell r="H47" t="str">
            <v>Trần Anh Mỹ</v>
          </cell>
          <cell r="I47">
            <v>0</v>
          </cell>
          <cell r="J47">
            <v>25</v>
          </cell>
          <cell r="K47">
            <v>1250000</v>
          </cell>
          <cell r="L47">
            <v>38</v>
          </cell>
          <cell r="M47" t="str">
            <v>Trừ 2 ngày nghỉ phép 18+25/11</v>
          </cell>
        </row>
        <row r="48">
          <cell r="H48" t="str">
            <v>Nguyễn Trung Dũng</v>
          </cell>
          <cell r="I48">
            <v>0</v>
          </cell>
          <cell r="J48">
            <v>27</v>
          </cell>
          <cell r="K48">
            <v>1350000</v>
          </cell>
          <cell r="L48">
            <v>39</v>
          </cell>
          <cell r="M48">
            <v>0</v>
          </cell>
        </row>
        <row r="49">
          <cell r="H49" t="str">
            <v>Phạm Huy Hoàng</v>
          </cell>
          <cell r="I49">
            <v>0</v>
          </cell>
          <cell r="J49">
            <v>26</v>
          </cell>
          <cell r="K49">
            <v>1300000</v>
          </cell>
          <cell r="L49">
            <v>40</v>
          </cell>
          <cell r="M49">
            <v>0</v>
          </cell>
        </row>
        <row r="50">
          <cell r="H50" t="str">
            <v>Bùi Đức Phước</v>
          </cell>
          <cell r="I50">
            <v>0</v>
          </cell>
          <cell r="J50">
            <v>27</v>
          </cell>
          <cell r="K50">
            <v>1350000</v>
          </cell>
          <cell r="L50">
            <v>41</v>
          </cell>
          <cell r="M50">
            <v>0</v>
          </cell>
        </row>
        <row r="51">
          <cell r="H51" t="str">
            <v>Nguyễn Thị Thảo</v>
          </cell>
          <cell r="I51">
            <v>0</v>
          </cell>
          <cell r="J51">
            <v>26</v>
          </cell>
          <cell r="K51">
            <v>1300000</v>
          </cell>
          <cell r="L51">
            <v>42</v>
          </cell>
          <cell r="M51">
            <v>0</v>
          </cell>
        </row>
        <row r="52">
          <cell r="H52" t="str">
            <v>Lưu Hoàng Bảo Châu</v>
          </cell>
          <cell r="I52">
            <v>0</v>
          </cell>
          <cell r="J52">
            <v>25</v>
          </cell>
          <cell r="K52">
            <v>1250000</v>
          </cell>
          <cell r="L52">
            <v>43</v>
          </cell>
          <cell r="M52" t="str">
            <v>Trừ 1 ngày nghỉ phép 16/11</v>
          </cell>
        </row>
        <row r="53">
          <cell r="H53" t="str">
            <v>Trần Việt Anh</v>
          </cell>
          <cell r="I53">
            <v>0</v>
          </cell>
          <cell r="J53">
            <v>27</v>
          </cell>
          <cell r="K53">
            <v>1350000</v>
          </cell>
          <cell r="L53">
            <v>44</v>
          </cell>
          <cell r="M53">
            <v>0</v>
          </cell>
        </row>
        <row r="54">
          <cell r="H54" t="str">
            <v>Phạm Huỳnh Kim Ngân</v>
          </cell>
          <cell r="I54" t="str">
            <v>TT Điều hành và QL dữ liệu</v>
          </cell>
          <cell r="J54">
            <v>20</v>
          </cell>
          <cell r="K54">
            <v>1000000</v>
          </cell>
          <cell r="L54">
            <v>45</v>
          </cell>
          <cell r="M54" t="str">
            <v>Trừ 5 ngày nghỉ phép 8+11+13+23+26/11</v>
          </cell>
        </row>
        <row r="55">
          <cell r="H55" t="str">
            <v>Nguyễn Đan Trường</v>
          </cell>
          <cell r="I55">
            <v>0</v>
          </cell>
          <cell r="J55">
            <v>26</v>
          </cell>
          <cell r="K55">
            <v>1300000</v>
          </cell>
          <cell r="L55">
            <v>46</v>
          </cell>
          <cell r="M55">
            <v>0</v>
          </cell>
        </row>
        <row r="56">
          <cell r="H56" t="str">
            <v>Lương Công Phi</v>
          </cell>
          <cell r="I56">
            <v>0</v>
          </cell>
          <cell r="J56">
            <v>25</v>
          </cell>
          <cell r="K56">
            <v>1250000</v>
          </cell>
          <cell r="L56">
            <v>47</v>
          </cell>
          <cell r="M56">
            <v>0</v>
          </cell>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25</v>
          </cell>
          <cell r="K58">
            <v>1250000</v>
          </cell>
          <cell r="L58">
            <v>49</v>
          </cell>
          <cell r="M58">
            <v>0</v>
          </cell>
        </row>
        <row r="59">
          <cell r="H59" t="str">
            <v>Nguyễn Thị Trang</v>
          </cell>
          <cell r="I59" t="str">
            <v>TT. Thư viện</v>
          </cell>
          <cell r="J59">
            <v>25</v>
          </cell>
          <cell r="K59">
            <v>1250000</v>
          </cell>
          <cell r="L59">
            <v>50</v>
          </cell>
          <cell r="M59">
            <v>0</v>
          </cell>
        </row>
        <row r="60">
          <cell r="H60" t="str">
            <v>Lư Diễm Phúc</v>
          </cell>
          <cell r="I60">
            <v>0</v>
          </cell>
          <cell r="J60">
            <v>23</v>
          </cell>
          <cell r="K60">
            <v>1150000</v>
          </cell>
          <cell r="L60">
            <v>51</v>
          </cell>
          <cell r="M60" t="str">
            <v>Trừ 2 ngày nghỉ phép 12+26/11</v>
          </cell>
        </row>
        <row r="61">
          <cell r="H61" t="str">
            <v>Hà Thị Hậu</v>
          </cell>
          <cell r="I61">
            <v>0</v>
          </cell>
          <cell r="J61">
            <v>24.5</v>
          </cell>
          <cell r="K61">
            <v>1225000</v>
          </cell>
          <cell r="L61">
            <v>52</v>
          </cell>
          <cell r="M61">
            <v>0</v>
          </cell>
        </row>
        <row r="62">
          <cell r="H62" t="str">
            <v>Lê Tiến Dũng</v>
          </cell>
          <cell r="I62" t="str">
            <v>P. KHCN và QHQT</v>
          </cell>
          <cell r="J62">
            <v>25</v>
          </cell>
          <cell r="K62">
            <v>1250000</v>
          </cell>
          <cell r="L62">
            <v>53</v>
          </cell>
          <cell r="M62">
            <v>0</v>
          </cell>
        </row>
        <row r="63">
          <cell r="H63" t="str">
            <v>Lê Trần Thanh Nga</v>
          </cell>
          <cell r="I63">
            <v>0</v>
          </cell>
          <cell r="J63">
            <v>25</v>
          </cell>
          <cell r="K63">
            <v>1250000</v>
          </cell>
          <cell r="L63">
            <v>54</v>
          </cell>
          <cell r="M63">
            <v>0</v>
          </cell>
        </row>
        <row r="64">
          <cell r="H64" t="str">
            <v>Nguyễn Việt Tiến</v>
          </cell>
          <cell r="I64" t="str">
            <v xml:space="preserve">P. Tuyển sinh - Đào tạo </v>
          </cell>
          <cell r="J64">
            <v>25.5</v>
          </cell>
          <cell r="K64">
            <v>1275000</v>
          </cell>
          <cell r="L64">
            <v>55</v>
          </cell>
          <cell r="M64">
            <v>0</v>
          </cell>
        </row>
        <row r="65">
          <cell r="H65" t="str">
            <v>Nguyễn Thị Tất</v>
          </cell>
          <cell r="I65">
            <v>0</v>
          </cell>
          <cell r="J65">
            <v>26</v>
          </cell>
          <cell r="K65">
            <v>1300000</v>
          </cell>
          <cell r="L65">
            <v>56</v>
          </cell>
          <cell r="M65">
            <v>0</v>
          </cell>
        </row>
        <row r="66">
          <cell r="H66" t="str">
            <v>Sỹ Thị Chung</v>
          </cell>
          <cell r="I66">
            <v>0</v>
          </cell>
          <cell r="J66">
            <v>26</v>
          </cell>
          <cell r="K66">
            <v>1300000</v>
          </cell>
          <cell r="L66">
            <v>57</v>
          </cell>
          <cell r="M66">
            <v>0</v>
          </cell>
        </row>
        <row r="67">
          <cell r="H67" t="str">
            <v>Nguyễn Thị Nhung</v>
          </cell>
          <cell r="I67">
            <v>0</v>
          </cell>
          <cell r="J67">
            <v>26</v>
          </cell>
          <cell r="K67">
            <v>1300000</v>
          </cell>
          <cell r="L67">
            <v>58</v>
          </cell>
          <cell r="M67">
            <v>0</v>
          </cell>
        </row>
        <row r="68">
          <cell r="H68" t="str">
            <v>Trần Nhật Thịnh</v>
          </cell>
          <cell r="I68">
            <v>0</v>
          </cell>
          <cell r="J68">
            <v>25</v>
          </cell>
          <cell r="K68">
            <v>1250000</v>
          </cell>
          <cell r="L68">
            <v>59</v>
          </cell>
          <cell r="M68" t="str">
            <v>Trừ 1 ngày nghỉ phép 23/11</v>
          </cell>
        </row>
        <row r="69">
          <cell r="H69" t="str">
            <v>Võ Thị Mỹ Ngọc</v>
          </cell>
          <cell r="I69">
            <v>0</v>
          </cell>
          <cell r="J69">
            <v>25.5</v>
          </cell>
          <cell r="K69">
            <v>1275000</v>
          </cell>
          <cell r="L69">
            <v>60</v>
          </cell>
          <cell r="M69">
            <v>0</v>
          </cell>
        </row>
        <row r="70">
          <cell r="H70" t="str">
            <v>Đỗ Công Thành</v>
          </cell>
          <cell r="I70" t="str">
            <v>TT Đào tạo và QLTB</v>
          </cell>
          <cell r="J70">
            <v>29</v>
          </cell>
          <cell r="K70">
            <v>1450000</v>
          </cell>
          <cell r="L70">
            <v>61</v>
          </cell>
          <cell r="M70">
            <v>0</v>
          </cell>
        </row>
        <row r="71">
          <cell r="H71" t="str">
            <v>Lương Thị Thắm</v>
          </cell>
          <cell r="I71">
            <v>0</v>
          </cell>
          <cell r="J71">
            <v>26</v>
          </cell>
          <cell r="K71">
            <v>1300000</v>
          </cell>
          <cell r="L71">
            <v>62</v>
          </cell>
          <cell r="M71">
            <v>0</v>
          </cell>
        </row>
        <row r="72">
          <cell r="H72" t="str">
            <v>Nguyễn Xuân Lợi</v>
          </cell>
          <cell r="I72">
            <v>0</v>
          </cell>
          <cell r="J72">
            <v>26</v>
          </cell>
          <cell r="K72">
            <v>1300000</v>
          </cell>
          <cell r="L72">
            <v>63</v>
          </cell>
          <cell r="M72">
            <v>0</v>
          </cell>
        </row>
        <row r="73">
          <cell r="H73" t="str">
            <v>Nguyễn Hoàng Hải</v>
          </cell>
          <cell r="I73">
            <v>0</v>
          </cell>
          <cell r="J73">
            <v>25</v>
          </cell>
          <cell r="K73">
            <v>1250000</v>
          </cell>
          <cell r="L73">
            <v>64</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TVExcel"/>
    </sheetNames>
    <definedNames>
      <definedName name="DocSoUniH"/>
    </definedNames>
    <sheetDataSet>
      <sheetData sheetId="0"/>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434"/>
  <sheetViews>
    <sheetView topLeftCell="A358" zoomScale="120" zoomScaleNormal="120" workbookViewId="0">
      <selection activeCell="A367" sqref="A367:XFD376"/>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09" hidden="1" customWidth="1"/>
    <col min="8" max="8" width="11.28515625" style="2" hidden="1" customWidth="1"/>
    <col min="9" max="9" width="5.28515625" style="2" hidden="1" customWidth="1"/>
    <col min="10" max="10" width="19.42578125" style="2" customWidth="1"/>
    <col min="11" max="11" width="9.5703125" style="79" hidden="1" customWidth="1"/>
    <col min="12" max="12" width="14.85546875" style="354"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59" hidden="1" customWidth="1"/>
    <col min="19" max="19" width="11.85546875" style="2" hidden="1" customWidth="1"/>
    <col min="20" max="20" width="5.28515625" style="389" hidden="1" customWidth="1"/>
    <col min="21" max="21" width="11.28515625" style="2" hidden="1" customWidth="1"/>
    <col min="22" max="23" width="11.85546875" style="589" hidden="1" customWidth="1"/>
    <col min="24" max="24" width="17.5703125" style="2" hidden="1" customWidth="1"/>
    <col min="25" max="26" width="13" style="2" customWidth="1"/>
    <col min="27" max="27" width="16.140625" style="2" customWidth="1"/>
    <col min="28" max="28" width="3.85546875" style="2" customWidth="1"/>
    <col min="29" max="29" width="19.85546875" style="96" customWidth="1"/>
    <col min="30" max="30" width="23.5703125" style="219" bestFit="1" customWidth="1"/>
    <col min="31" max="31" width="12.7109375" style="2" customWidth="1"/>
    <col min="32" max="32" width="17.85546875" style="2" customWidth="1"/>
    <col min="33" max="33" width="10.42578125" style="151" bestFit="1" customWidth="1"/>
    <col min="34" max="16384" width="9.140625" style="2"/>
  </cols>
  <sheetData>
    <row r="1" spans="1:35" s="670" customFormat="1">
      <c r="A1" s="1557" t="s">
        <v>492</v>
      </c>
      <c r="B1" s="1557"/>
      <c r="C1" s="1557"/>
      <c r="D1" s="1557"/>
      <c r="E1" s="1557"/>
      <c r="F1" s="1557"/>
      <c r="G1" s="1557"/>
      <c r="H1" s="1557"/>
      <c r="I1" s="1557"/>
      <c r="J1" s="1557"/>
      <c r="K1" s="669"/>
      <c r="L1" s="669"/>
      <c r="M1" s="669"/>
      <c r="O1" s="671"/>
      <c r="P1" s="671"/>
      <c r="Q1" s="671"/>
      <c r="R1" s="671"/>
      <c r="S1" s="671"/>
      <c r="T1" s="672"/>
      <c r="U1" s="1555" t="s">
        <v>849</v>
      </c>
      <c r="V1" s="1555"/>
      <c r="W1" s="1555"/>
      <c r="X1" s="1555"/>
      <c r="Y1" s="1555"/>
      <c r="Z1" s="1555"/>
      <c r="AA1" s="1555"/>
      <c r="AB1" s="1555"/>
      <c r="AC1" s="1555"/>
      <c r="AD1" s="671"/>
      <c r="AE1" s="671"/>
      <c r="AF1" s="671"/>
    </row>
    <row r="2" spans="1:35" s="670" customFormat="1" ht="14.25">
      <c r="A2" s="1555" t="s">
        <v>1563</v>
      </c>
      <c r="B2" s="1555"/>
      <c r="C2" s="1555"/>
      <c r="D2" s="1555"/>
      <c r="E2" s="1555"/>
      <c r="F2" s="1555"/>
      <c r="G2" s="1555"/>
      <c r="H2" s="1555"/>
      <c r="I2" s="1555"/>
      <c r="J2" s="1555"/>
      <c r="K2" s="673"/>
      <c r="L2" s="673"/>
      <c r="M2" s="673"/>
      <c r="O2" s="671"/>
      <c r="P2" s="671"/>
      <c r="Q2" s="671"/>
      <c r="R2" s="671"/>
      <c r="S2" s="671"/>
      <c r="T2" s="671"/>
      <c r="U2" s="671"/>
      <c r="V2" s="671"/>
      <c r="W2" s="671"/>
      <c r="X2" s="671"/>
      <c r="Y2" s="1555" t="s">
        <v>2179</v>
      </c>
      <c r="Z2" s="1555"/>
      <c r="AA2" s="1555"/>
      <c r="AB2" s="1555"/>
      <c r="AC2" s="1555"/>
      <c r="AF2" s="671"/>
    </row>
    <row r="3" spans="1:35" s="670" customFormat="1" ht="15" customHeight="1">
      <c r="A3" s="1555" t="s">
        <v>1564</v>
      </c>
      <c r="B3" s="1555"/>
      <c r="C3" s="1555"/>
      <c r="D3" s="1555"/>
      <c r="E3" s="1555"/>
      <c r="F3" s="1555"/>
      <c r="G3" s="1555"/>
      <c r="H3" s="1555"/>
      <c r="I3" s="1555"/>
      <c r="J3" s="1555"/>
      <c r="K3" s="1555"/>
      <c r="L3" s="1555"/>
      <c r="M3" s="1555"/>
      <c r="O3" s="671"/>
      <c r="P3" s="671"/>
      <c r="Q3" s="671"/>
      <c r="R3" s="671"/>
      <c r="S3" s="671"/>
      <c r="T3" s="671"/>
      <c r="U3" s="671"/>
      <c r="V3" s="671"/>
      <c r="W3" s="671"/>
      <c r="X3" s="671"/>
      <c r="Y3" s="671"/>
      <c r="Z3" s="671"/>
      <c r="AA3" s="1555" t="s">
        <v>2180</v>
      </c>
      <c r="AB3" s="1555"/>
      <c r="AC3" s="1555"/>
      <c r="AD3" s="671"/>
      <c r="AE3" s="671"/>
      <c r="AF3" s="671"/>
    </row>
    <row r="4" spans="1:35" s="670" customFormat="1" ht="16.5" customHeight="1">
      <c r="A4" s="1555"/>
      <c r="B4" s="1555"/>
      <c r="C4" s="1555"/>
      <c r="D4" s="1555"/>
      <c r="E4" s="1555"/>
      <c r="F4" s="1555"/>
      <c r="G4" s="1555"/>
      <c r="H4" s="1555"/>
      <c r="I4" s="1555"/>
      <c r="J4" s="1555"/>
      <c r="K4" s="1555"/>
      <c r="L4" s="1555"/>
      <c r="M4" s="1555"/>
      <c r="N4" s="674"/>
      <c r="O4" s="675"/>
      <c r="P4" s="669"/>
      <c r="Q4" s="669"/>
      <c r="R4" s="669"/>
      <c r="S4" s="675"/>
      <c r="T4" s="676"/>
      <c r="U4" s="675"/>
      <c r="V4" s="677"/>
      <c r="W4" s="677"/>
      <c r="X4" s="675"/>
      <c r="Y4" s="675"/>
      <c r="Z4" s="675"/>
      <c r="AA4" s="1556" t="s">
        <v>2181</v>
      </c>
      <c r="AB4" s="1556"/>
      <c r="AC4" s="1556"/>
      <c r="AD4" s="680"/>
      <c r="AE4" s="680"/>
      <c r="AF4" s="680"/>
    </row>
    <row r="5" spans="1:35" s="670" customFormat="1" ht="16.5" customHeight="1">
      <c r="A5" s="678"/>
      <c r="B5" s="679"/>
      <c r="C5" s="679"/>
      <c r="D5" s="679"/>
      <c r="E5" s="679"/>
      <c r="F5" s="679"/>
      <c r="G5" s="679"/>
      <c r="H5" s="679"/>
      <c r="I5" s="679"/>
      <c r="J5" s="679"/>
      <c r="K5" s="678"/>
      <c r="L5" s="678"/>
      <c r="M5" s="678"/>
      <c r="N5" s="674"/>
      <c r="O5" s="675"/>
      <c r="P5" s="669"/>
      <c r="Q5" s="669"/>
      <c r="R5" s="669"/>
      <c r="S5" s="675"/>
      <c r="T5" s="676"/>
      <c r="U5" s="675"/>
      <c r="V5" s="677"/>
      <c r="W5" s="677"/>
      <c r="X5" s="675"/>
      <c r="Y5" s="675"/>
      <c r="Z5" s="675"/>
      <c r="AA5" s="1557" t="s">
        <v>2182</v>
      </c>
      <c r="AB5" s="1557"/>
      <c r="AC5" s="1557"/>
      <c r="AD5" s="680"/>
      <c r="AE5" s="680"/>
      <c r="AF5" s="680"/>
    </row>
    <row r="6" spans="1:35" s="670" customFormat="1" ht="18.75" customHeight="1">
      <c r="A6" s="1554" t="s">
        <v>2183</v>
      </c>
      <c r="B6" s="1554"/>
      <c r="C6" s="1554"/>
      <c r="D6" s="1554"/>
      <c r="E6" s="1554"/>
      <c r="F6" s="1554"/>
      <c r="G6" s="1554"/>
      <c r="H6" s="1554"/>
      <c r="I6" s="1554"/>
      <c r="J6" s="1554"/>
      <c r="K6" s="1554"/>
      <c r="L6" s="1554"/>
      <c r="M6" s="1554"/>
      <c r="N6" s="1554"/>
      <c r="O6" s="1554"/>
      <c r="P6" s="1554"/>
      <c r="Q6" s="1554"/>
      <c r="R6" s="1554"/>
      <c r="S6" s="1554"/>
      <c r="T6" s="1554"/>
      <c r="U6" s="1554"/>
      <c r="V6" s="1554"/>
      <c r="W6" s="1554"/>
      <c r="X6" s="1554"/>
      <c r="Y6" s="1554"/>
      <c r="Z6" s="1554"/>
      <c r="AA6" s="1554"/>
      <c r="AB6" s="1554"/>
      <c r="AC6" s="1554"/>
      <c r="AD6" s="681"/>
      <c r="AE6" s="681"/>
      <c r="AF6" s="681"/>
    </row>
    <row r="7" spans="1:35" s="670" customFormat="1" ht="18.75" customHeight="1">
      <c r="A7" s="1554" t="s">
        <v>2207</v>
      </c>
      <c r="B7" s="1554"/>
      <c r="C7" s="1554"/>
      <c r="D7" s="1554"/>
      <c r="E7" s="1554"/>
      <c r="F7" s="1554"/>
      <c r="G7" s="1554"/>
      <c r="H7" s="1554"/>
      <c r="I7" s="1554"/>
      <c r="J7" s="1554"/>
      <c r="K7" s="1554"/>
      <c r="L7" s="1554"/>
      <c r="M7" s="1554"/>
      <c r="N7" s="1554"/>
      <c r="O7" s="1554"/>
      <c r="P7" s="1554"/>
      <c r="Q7" s="1554"/>
      <c r="R7" s="1554"/>
      <c r="S7" s="1554"/>
      <c r="T7" s="1554"/>
      <c r="U7" s="1554"/>
      <c r="V7" s="1554"/>
      <c r="W7" s="1554"/>
      <c r="X7" s="1554"/>
      <c r="Y7" s="1554"/>
      <c r="Z7" s="1554"/>
      <c r="AA7" s="1554"/>
      <c r="AB7" s="1554"/>
      <c r="AC7" s="1554"/>
      <c r="AD7" s="681"/>
      <c r="AE7" s="681"/>
      <c r="AF7" s="681"/>
    </row>
    <row r="8" spans="1:35" hidden="1">
      <c r="A8" s="1544" t="s">
        <v>492</v>
      </c>
      <c r="B8" s="1544"/>
      <c r="C8" s="1544"/>
      <c r="D8" s="1544"/>
      <c r="E8" s="1544"/>
      <c r="F8" s="1544"/>
      <c r="G8" s="1544"/>
      <c r="H8" s="1544"/>
      <c r="I8" s="1544"/>
      <c r="J8" s="1544"/>
      <c r="K8" s="1544"/>
      <c r="L8" s="1544"/>
      <c r="M8" s="1544"/>
      <c r="O8" s="14"/>
      <c r="P8" s="14"/>
      <c r="Q8" s="14"/>
      <c r="R8" s="449"/>
      <c r="S8" s="1543" t="s">
        <v>849</v>
      </c>
      <c r="T8" s="1543"/>
      <c r="U8" s="1543"/>
      <c r="V8" s="1543"/>
      <c r="W8" s="1543"/>
      <c r="X8" s="1543"/>
      <c r="Y8" s="1543"/>
      <c r="Z8" s="1543"/>
      <c r="AA8" s="1543"/>
      <c r="AB8" s="1543"/>
      <c r="AC8" s="1543"/>
      <c r="AD8" s="1543"/>
      <c r="AE8" s="1543"/>
      <c r="AF8" s="219"/>
      <c r="AG8" s="2"/>
      <c r="AI8" s="151"/>
    </row>
    <row r="9" spans="1:35" ht="15" hidden="1" customHeight="1">
      <c r="A9" s="1543" t="s">
        <v>1563</v>
      </c>
      <c r="B9" s="1543"/>
      <c r="C9" s="1543"/>
      <c r="D9" s="1543"/>
      <c r="E9" s="1543"/>
      <c r="F9" s="1543"/>
      <c r="G9" s="1543"/>
      <c r="H9" s="1543"/>
      <c r="I9" s="1543"/>
      <c r="J9" s="1543"/>
      <c r="K9" s="1543"/>
      <c r="L9" s="1543"/>
      <c r="M9" s="1543"/>
      <c r="O9" s="14"/>
      <c r="P9" s="14"/>
      <c r="Q9" s="14"/>
      <c r="R9" s="449"/>
      <c r="S9" s="1543" t="s">
        <v>851</v>
      </c>
      <c r="T9" s="1543"/>
      <c r="U9" s="1543"/>
      <c r="V9" s="1543"/>
      <c r="W9" s="1543"/>
      <c r="X9" s="1543"/>
      <c r="Y9" s="1543"/>
      <c r="Z9" s="1543"/>
      <c r="AA9" s="1543"/>
      <c r="AB9" s="1543"/>
      <c r="AC9" s="1543"/>
      <c r="AD9" s="1543"/>
      <c r="AE9" s="1543"/>
      <c r="AF9" s="219"/>
      <c r="AG9" s="2"/>
      <c r="AI9" s="151"/>
    </row>
    <row r="10" spans="1:35" ht="16.5" hidden="1" customHeight="1">
      <c r="A10" s="1543" t="s">
        <v>1564</v>
      </c>
      <c r="B10" s="1543"/>
      <c r="C10" s="1543"/>
      <c r="D10" s="1543"/>
      <c r="E10" s="1543"/>
      <c r="F10" s="1543"/>
      <c r="G10" s="1543"/>
      <c r="H10" s="1543"/>
      <c r="I10" s="1543"/>
      <c r="J10" s="1543"/>
      <c r="K10" s="1543"/>
      <c r="L10" s="1543"/>
      <c r="M10" s="1543"/>
      <c r="N10" s="99"/>
      <c r="O10" s="18"/>
      <c r="P10" s="18"/>
      <c r="Q10" s="17"/>
      <c r="R10" s="450"/>
      <c r="S10" s="17"/>
      <c r="T10" s="381"/>
      <c r="U10" s="17"/>
      <c r="V10" s="579"/>
      <c r="W10" s="579"/>
      <c r="X10" s="17"/>
      <c r="Y10" s="17"/>
      <c r="Z10" s="17"/>
      <c r="AA10" s="17"/>
      <c r="AB10" s="17"/>
      <c r="AC10" s="17"/>
      <c r="AD10" s="16"/>
      <c r="AE10" s="96"/>
      <c r="AF10" s="219"/>
      <c r="AG10" s="2"/>
      <c r="AI10" s="151"/>
    </row>
    <row r="11" spans="1:35" ht="9" hidden="1" customHeight="1">
      <c r="A11" s="187"/>
      <c r="B11" s="187"/>
      <c r="C11" s="187"/>
      <c r="D11" s="187"/>
      <c r="E11" s="187"/>
      <c r="F11" s="187"/>
      <c r="G11" s="187"/>
      <c r="H11" s="187"/>
      <c r="I11" s="187"/>
      <c r="J11" s="187"/>
      <c r="K11" s="187"/>
      <c r="L11" s="187"/>
      <c r="M11" s="187"/>
      <c r="N11" s="99"/>
      <c r="O11" s="18"/>
      <c r="P11" s="18"/>
      <c r="Q11" s="17"/>
      <c r="R11" s="450"/>
      <c r="S11" s="17"/>
      <c r="T11" s="381"/>
      <c r="U11" s="17"/>
      <c r="V11" s="579"/>
      <c r="W11" s="579"/>
      <c r="X11" s="17"/>
      <c r="Y11" s="17"/>
      <c r="Z11" s="17"/>
      <c r="AA11" s="17"/>
      <c r="AB11" s="17"/>
      <c r="AC11" s="17"/>
      <c r="AD11" s="16"/>
      <c r="AE11" s="96"/>
      <c r="AF11" s="219"/>
      <c r="AG11" s="2"/>
      <c r="AI11" s="151"/>
    </row>
    <row r="12" spans="1:35" ht="18.75" hidden="1" customHeight="1">
      <c r="A12" s="1547" t="s">
        <v>2159</v>
      </c>
      <c r="B12" s="1547"/>
      <c r="C12" s="1547"/>
      <c r="D12" s="1547"/>
      <c r="E12" s="1547"/>
      <c r="F12" s="1547"/>
      <c r="G12" s="1547"/>
      <c r="H12" s="1547"/>
      <c r="I12" s="1547"/>
      <c r="J12" s="1547"/>
      <c r="K12" s="1547"/>
      <c r="L12" s="1547"/>
      <c r="M12" s="1547"/>
      <c r="N12" s="1547"/>
      <c r="O12" s="1547"/>
      <c r="P12" s="1547"/>
      <c r="Q12" s="1547"/>
      <c r="R12" s="1547"/>
      <c r="S12" s="1547"/>
      <c r="T12" s="1547"/>
      <c r="U12" s="1547"/>
      <c r="V12" s="1547"/>
      <c r="W12" s="1547"/>
      <c r="X12" s="1547"/>
      <c r="Y12" s="1547"/>
      <c r="Z12" s="1547"/>
      <c r="AA12" s="1547"/>
      <c r="AB12" s="1547"/>
      <c r="AC12" s="1547"/>
      <c r="AD12" s="1547"/>
      <c r="AE12" s="1547"/>
      <c r="AF12" s="219"/>
      <c r="AG12" s="2"/>
      <c r="AI12" s="151"/>
    </row>
    <row r="13" spans="1:35" ht="18.75" hidden="1" customHeight="1">
      <c r="A13" s="1547" t="s">
        <v>1600</v>
      </c>
      <c r="B13" s="1547"/>
      <c r="C13" s="1547"/>
      <c r="D13" s="1547"/>
      <c r="E13" s="1547"/>
      <c r="F13" s="1547"/>
      <c r="G13" s="1547"/>
      <c r="H13" s="1547"/>
      <c r="I13" s="1547"/>
      <c r="J13" s="1547"/>
      <c r="K13" s="1547"/>
      <c r="L13" s="1547"/>
      <c r="M13" s="1547"/>
      <c r="N13" s="1547"/>
      <c r="O13" s="1547"/>
      <c r="P13" s="1547"/>
      <c r="Q13" s="1547"/>
      <c r="R13" s="1547"/>
      <c r="S13" s="1547"/>
      <c r="T13" s="1547"/>
      <c r="U13" s="1547"/>
      <c r="V13" s="1547"/>
      <c r="W13" s="1547"/>
      <c r="X13" s="1547"/>
      <c r="Y13" s="1547"/>
      <c r="Z13" s="1547"/>
      <c r="AA13" s="1547"/>
      <c r="AB13" s="1547"/>
      <c r="AC13" s="1547"/>
      <c r="AD13" s="1547"/>
      <c r="AE13" s="1547"/>
      <c r="AF13" s="219"/>
      <c r="AG13" s="2"/>
      <c r="AI13" s="151"/>
    </row>
    <row r="14" spans="1:35" ht="54" hidden="1" customHeight="1">
      <c r="A14" s="1548" t="s">
        <v>2007</v>
      </c>
      <c r="B14" s="1548"/>
      <c r="C14" s="1548"/>
      <c r="D14" s="1548"/>
      <c r="E14" s="1548"/>
      <c r="F14" s="1548"/>
      <c r="G14" s="1548"/>
      <c r="H14" s="1548"/>
      <c r="I14" s="1548"/>
      <c r="J14" s="1548"/>
      <c r="K14" s="1548"/>
      <c r="L14" s="1548"/>
      <c r="M14" s="1548"/>
      <c r="N14" s="1548"/>
      <c r="O14" s="1548"/>
      <c r="P14" s="1548"/>
      <c r="Q14" s="1548"/>
      <c r="R14" s="1548"/>
      <c r="S14" s="1548"/>
      <c r="T14" s="1548"/>
      <c r="U14" s="1548"/>
      <c r="V14" s="1548"/>
      <c r="W14" s="1548"/>
      <c r="X14" s="1548"/>
      <c r="Y14" s="1548"/>
      <c r="Z14" s="1548"/>
      <c r="AA14" s="1548"/>
      <c r="AB14" s="1548"/>
      <c r="AC14" s="1548"/>
      <c r="AD14" s="1548"/>
      <c r="AE14" s="1548"/>
      <c r="AF14" s="219"/>
      <c r="AG14" s="2"/>
      <c r="AI14" s="151"/>
    </row>
    <row r="15" spans="1:35" s="500" customFormat="1" ht="16.5" hidden="1" customHeight="1">
      <c r="A15" s="499" t="s">
        <v>2013</v>
      </c>
      <c r="C15" s="501">
        <v>1490000</v>
      </c>
      <c r="D15" s="502"/>
      <c r="E15" s="502"/>
      <c r="F15" s="503"/>
      <c r="G15" s="504">
        <v>1800000</v>
      </c>
      <c r="H15" s="504"/>
      <c r="I15" s="505"/>
      <c r="J15" s="505"/>
      <c r="K15" s="506"/>
      <c r="L15" s="507"/>
      <c r="M15" s="505"/>
      <c r="N15" s="508"/>
      <c r="O15" s="1549"/>
      <c r="P15" s="1549"/>
      <c r="Q15" s="1549"/>
      <c r="R15" s="1549"/>
      <c r="S15" s="1549"/>
      <c r="T15" s="509"/>
      <c r="U15" s="510"/>
      <c r="V15" s="580"/>
      <c r="W15" s="580"/>
      <c r="X15" s="651" t="s">
        <v>1181</v>
      </c>
      <c r="Y15" s="651"/>
      <c r="Z15" s="651"/>
      <c r="AA15" s="651"/>
      <c r="AB15" s="651"/>
      <c r="AC15" s="651"/>
      <c r="AD15" s="505"/>
      <c r="AE15" s="511"/>
      <c r="AF15" s="512"/>
      <c r="AI15" s="513"/>
    </row>
    <row r="16" spans="1:35" ht="10.5" hidden="1" customHeight="1">
      <c r="A16" s="1"/>
      <c r="B16" s="7"/>
      <c r="C16" s="7"/>
      <c r="D16" s="7"/>
      <c r="E16" s="14"/>
      <c r="F16" s="188"/>
      <c r="G16" s="222"/>
      <c r="H16" s="1"/>
      <c r="I16" s="1"/>
      <c r="J16" s="1"/>
      <c r="K16" s="73"/>
      <c r="L16" s="356"/>
      <c r="M16" s="1"/>
      <c r="N16" s="3"/>
      <c r="O16" s="1"/>
      <c r="P16" s="1"/>
      <c r="Q16" s="3"/>
      <c r="R16" s="451"/>
      <c r="S16" s="3"/>
      <c r="T16" s="382"/>
      <c r="U16" s="3"/>
      <c r="V16" s="581"/>
      <c r="W16" s="581"/>
      <c r="X16" s="27"/>
      <c r="Y16" s="27"/>
      <c r="Z16" s="27"/>
      <c r="AA16" s="27"/>
      <c r="AB16" s="27"/>
      <c r="AC16" s="27"/>
      <c r="AD16" s="1"/>
      <c r="AE16" s="96"/>
      <c r="AF16" s="219"/>
      <c r="AG16" s="2"/>
      <c r="AI16" s="151"/>
    </row>
    <row r="17" spans="1:43" ht="10.5" customHeight="1">
      <c r="A17" s="1"/>
      <c r="B17" s="7"/>
      <c r="C17" s="7"/>
      <c r="D17" s="7"/>
      <c r="E17" s="14"/>
      <c r="F17" s="188"/>
      <c r="G17" s="222"/>
      <c r="H17" s="1"/>
      <c r="I17" s="1"/>
      <c r="J17" s="1"/>
      <c r="K17" s="73"/>
      <c r="L17" s="356"/>
      <c r="M17" s="1"/>
      <c r="N17" s="3"/>
      <c r="O17" s="1"/>
      <c r="P17" s="1"/>
      <c r="Q17" s="3"/>
      <c r="R17" s="451"/>
      <c r="S17" s="3"/>
      <c r="T17" s="382"/>
      <c r="U17" s="3"/>
      <c r="V17" s="581"/>
      <c r="W17" s="581"/>
      <c r="X17" s="27"/>
      <c r="Y17" s="27"/>
      <c r="Z17" s="27"/>
      <c r="AA17" s="27"/>
      <c r="AB17" s="27"/>
      <c r="AC17" s="27"/>
      <c r="AD17" s="1"/>
      <c r="AE17" s="96"/>
      <c r="AF17" s="219"/>
      <c r="AG17" s="2"/>
      <c r="AI17" s="151"/>
    </row>
    <row r="18" spans="1:43" s="111" customFormat="1" ht="26.25" customHeight="1">
      <c r="A18" s="28" t="s">
        <v>853</v>
      </c>
      <c r="B18" s="1550" t="s">
        <v>854</v>
      </c>
      <c r="C18" s="1550"/>
      <c r="D18" s="88" t="s">
        <v>1598</v>
      </c>
      <c r="E18" s="420" t="s">
        <v>50</v>
      </c>
      <c r="F18" s="40" t="s">
        <v>1137</v>
      </c>
      <c r="G18" s="220" t="s">
        <v>1138</v>
      </c>
      <c r="H18" s="40" t="s">
        <v>1139</v>
      </c>
      <c r="I18" s="40" t="s">
        <v>1140</v>
      </c>
      <c r="J18" s="667" t="s">
        <v>2176</v>
      </c>
      <c r="K18" s="78" t="s">
        <v>855</v>
      </c>
      <c r="L18" s="350" t="s">
        <v>1141</v>
      </c>
      <c r="M18" s="28" t="s">
        <v>860</v>
      </c>
      <c r="N18" s="28" t="s">
        <v>1186</v>
      </c>
      <c r="O18" s="28" t="s">
        <v>861</v>
      </c>
      <c r="P18" s="28" t="s">
        <v>857</v>
      </c>
      <c r="Q18" s="28" t="s">
        <v>1187</v>
      </c>
      <c r="R18" s="452" t="s">
        <v>1247</v>
      </c>
      <c r="S18" s="93" t="s">
        <v>1188</v>
      </c>
      <c r="T18" s="383" t="s">
        <v>1184</v>
      </c>
      <c r="U18" s="28" t="s">
        <v>1189</v>
      </c>
      <c r="V18" s="582" t="s">
        <v>1190</v>
      </c>
      <c r="W18" s="582" t="s">
        <v>2209</v>
      </c>
      <c r="X18" s="28" t="s">
        <v>1100</v>
      </c>
      <c r="Y18" s="666" t="s">
        <v>2172</v>
      </c>
      <c r="Z18" s="666" t="s">
        <v>2173</v>
      </c>
      <c r="AA18" s="666" t="s">
        <v>2174</v>
      </c>
      <c r="AB18" s="1545" t="s">
        <v>2175</v>
      </c>
      <c r="AC18" s="1546"/>
      <c r="AD18" s="1551"/>
      <c r="AE18" s="1551"/>
      <c r="AF18" s="437"/>
      <c r="AI18" s="153"/>
    </row>
    <row r="19" spans="1:43" s="108" customFormat="1" ht="15" customHeight="1">
      <c r="A19" s="29" t="s">
        <v>858</v>
      </c>
      <c r="B19" s="1558" t="s">
        <v>525</v>
      </c>
      <c r="C19" s="1558"/>
      <c r="D19" s="29"/>
      <c r="E19" s="421"/>
      <c r="F19" s="29" t="s">
        <v>1112</v>
      </c>
      <c r="G19" s="29" t="s">
        <v>1113</v>
      </c>
      <c r="H19" s="29" t="s">
        <v>1114</v>
      </c>
      <c r="I19" s="29" t="s">
        <v>1115</v>
      </c>
      <c r="J19" s="652" t="s">
        <v>786</v>
      </c>
      <c r="K19" s="652">
        <v>2</v>
      </c>
      <c r="L19" s="652" t="s">
        <v>2177</v>
      </c>
      <c r="M19" s="668"/>
      <c r="N19" s="658" t="s">
        <v>2178</v>
      </c>
      <c r="O19" s="29" t="s">
        <v>1115</v>
      </c>
      <c r="P19" s="29" t="s">
        <v>1116</v>
      </c>
      <c r="Q19" s="29" t="s">
        <v>1117</v>
      </c>
      <c r="R19" s="453" t="s">
        <v>1125</v>
      </c>
      <c r="S19" s="29" t="s">
        <v>1118</v>
      </c>
      <c r="T19" s="384" t="s">
        <v>1127</v>
      </c>
      <c r="U19" s="29">
        <v>10</v>
      </c>
      <c r="V19" s="583" t="s">
        <v>2022</v>
      </c>
      <c r="W19" s="583"/>
      <c r="X19" s="29">
        <v>11</v>
      </c>
      <c r="Y19" s="652">
        <v>1</v>
      </c>
      <c r="Z19" s="652">
        <v>2</v>
      </c>
      <c r="AA19" s="652" t="s">
        <v>2177</v>
      </c>
      <c r="AB19" s="668"/>
      <c r="AC19" s="658" t="s">
        <v>2178</v>
      </c>
      <c r="AD19" s="848"/>
      <c r="AE19" s="849"/>
      <c r="AF19" s="141"/>
      <c r="AI19" s="154"/>
    </row>
    <row r="20" spans="1:43" s="108" customFormat="1" ht="21" customHeight="1">
      <c r="A20" s="852"/>
      <c r="B20" s="853" t="s">
        <v>2187</v>
      </c>
      <c r="C20" s="854"/>
      <c r="D20" s="852"/>
      <c r="E20" s="855"/>
      <c r="F20" s="852"/>
      <c r="G20" s="852"/>
      <c r="H20" s="852"/>
      <c r="I20" s="852"/>
      <c r="J20" s="856"/>
      <c r="K20" s="856"/>
      <c r="L20" s="856"/>
      <c r="M20" s="857"/>
      <c r="N20" s="854"/>
      <c r="O20" s="852"/>
      <c r="P20" s="852"/>
      <c r="Q20" s="852"/>
      <c r="R20" s="858"/>
      <c r="S20" s="852"/>
      <c r="T20" s="859"/>
      <c r="U20" s="852"/>
      <c r="V20" s="852"/>
      <c r="W20" s="852"/>
      <c r="X20" s="852"/>
      <c r="Y20" s="856"/>
      <c r="Z20" s="856"/>
      <c r="AA20" s="856"/>
      <c r="AB20" s="856"/>
      <c r="AC20" s="854"/>
      <c r="AD20" s="850"/>
      <c r="AE20" s="851"/>
      <c r="AF20" s="141"/>
      <c r="AI20" s="154"/>
    </row>
    <row r="21" spans="1:43" ht="16.5" hidden="1" customHeight="1">
      <c r="A21" s="1543" t="s">
        <v>1564</v>
      </c>
      <c r="B21" s="1543"/>
      <c r="C21" s="1543"/>
      <c r="D21" s="1543"/>
      <c r="E21" s="1543"/>
      <c r="F21" s="1543"/>
      <c r="G21" s="1543"/>
      <c r="H21" s="1543"/>
      <c r="I21" s="1543"/>
      <c r="J21" s="1543"/>
      <c r="K21" s="1543"/>
      <c r="L21" s="1543"/>
      <c r="M21" s="1543"/>
      <c r="N21" s="99"/>
      <c r="O21" s="18"/>
      <c r="P21" s="18"/>
      <c r="Q21" s="17"/>
      <c r="R21" s="450"/>
      <c r="S21" s="17"/>
      <c r="T21" s="381"/>
      <c r="U21" s="17"/>
      <c r="V21" s="579"/>
      <c r="W21" s="579"/>
      <c r="X21" s="17"/>
      <c r="Y21" s="17"/>
      <c r="Z21" s="17"/>
      <c r="AA21" s="17"/>
      <c r="AB21" s="16"/>
    </row>
    <row r="22" spans="1:43" ht="9" hidden="1" customHeight="1">
      <c r="A22" s="187"/>
      <c r="B22" s="187"/>
      <c r="C22" s="187"/>
      <c r="D22" s="187"/>
      <c r="E22" s="187"/>
      <c r="F22" s="187"/>
      <c r="G22" s="187"/>
      <c r="H22" s="187"/>
      <c r="I22" s="187"/>
      <c r="J22" s="187"/>
      <c r="K22" s="187"/>
      <c r="L22" s="187"/>
      <c r="M22" s="187"/>
      <c r="N22" s="99"/>
      <c r="O22" s="18"/>
      <c r="P22" s="18"/>
      <c r="Q22" s="17"/>
      <c r="R22" s="450"/>
      <c r="S22" s="17"/>
      <c r="T22" s="381"/>
      <c r="U22" s="17"/>
      <c r="V22" s="579"/>
      <c r="W22" s="579"/>
      <c r="X22" s="17"/>
      <c r="Y22" s="17"/>
      <c r="Z22" s="17"/>
      <c r="AA22" s="17"/>
      <c r="AB22" s="16"/>
    </row>
    <row r="23" spans="1:43" ht="18.75" hidden="1" customHeight="1">
      <c r="A23" s="1547" t="s">
        <v>2198</v>
      </c>
      <c r="B23" s="1547"/>
      <c r="C23" s="1547"/>
      <c r="D23" s="1547"/>
      <c r="E23" s="1547"/>
      <c r="F23" s="1547"/>
      <c r="G23" s="1547"/>
      <c r="H23" s="1547"/>
      <c r="I23" s="1547"/>
      <c r="J23" s="1547"/>
      <c r="K23" s="1547"/>
      <c r="L23" s="1547"/>
      <c r="M23" s="1547"/>
      <c r="N23" s="1547"/>
      <c r="O23" s="1547"/>
      <c r="P23" s="1547"/>
      <c r="Q23" s="1547"/>
      <c r="R23" s="1547"/>
      <c r="S23" s="1547"/>
      <c r="T23" s="1547"/>
      <c r="U23" s="1547"/>
      <c r="V23" s="1547"/>
      <c r="W23" s="1547"/>
      <c r="X23" s="1547"/>
      <c r="Y23" s="1547"/>
      <c r="Z23" s="1547"/>
      <c r="AA23" s="1547"/>
      <c r="AB23" s="1547"/>
      <c r="AC23" s="1547"/>
    </row>
    <row r="24" spans="1:43" ht="18.75" hidden="1" customHeight="1">
      <c r="A24" s="1547" t="s">
        <v>1600</v>
      </c>
      <c r="B24" s="1547"/>
      <c r="C24" s="1547"/>
      <c r="D24" s="1547"/>
      <c r="E24" s="1547"/>
      <c r="F24" s="1547"/>
      <c r="G24" s="1547"/>
      <c r="H24" s="1547"/>
      <c r="I24" s="1547"/>
      <c r="J24" s="1547"/>
      <c r="K24" s="1547"/>
      <c r="L24" s="1547"/>
      <c r="M24" s="1547"/>
      <c r="N24" s="1547"/>
      <c r="O24" s="1547"/>
      <c r="P24" s="1547"/>
      <c r="Q24" s="1547"/>
      <c r="R24" s="1547"/>
      <c r="S24" s="1547"/>
      <c r="T24" s="1547"/>
      <c r="U24" s="1547"/>
      <c r="V24" s="1547"/>
      <c r="W24" s="1547"/>
      <c r="X24" s="1547"/>
      <c r="Y24" s="1547"/>
      <c r="Z24" s="1547"/>
      <c r="AA24" s="1547"/>
      <c r="AB24" s="1547"/>
      <c r="AC24" s="1547"/>
    </row>
    <row r="25" spans="1:43" ht="54" hidden="1" customHeight="1">
      <c r="A25" s="1548" t="s">
        <v>2007</v>
      </c>
      <c r="B25" s="1548"/>
      <c r="C25" s="1548"/>
      <c r="D25" s="1548"/>
      <c r="E25" s="1548"/>
      <c r="F25" s="1548"/>
      <c r="G25" s="1548"/>
      <c r="H25" s="1548"/>
      <c r="I25" s="1548"/>
      <c r="J25" s="1548"/>
      <c r="K25" s="1548"/>
      <c r="L25" s="1548"/>
      <c r="M25" s="1548"/>
      <c r="N25" s="1548"/>
      <c r="O25" s="1548"/>
      <c r="P25" s="1548"/>
      <c r="Q25" s="1548"/>
      <c r="R25" s="1548"/>
      <c r="S25" s="1548"/>
      <c r="T25" s="1548"/>
      <c r="U25" s="1548"/>
      <c r="V25" s="1548"/>
      <c r="W25" s="1548"/>
      <c r="X25" s="1548"/>
      <c r="Y25" s="1548"/>
      <c r="Z25" s="1548"/>
      <c r="AA25" s="1548"/>
      <c r="AB25" s="1548"/>
      <c r="AC25" s="1548"/>
    </row>
    <row r="26" spans="1:43" s="500" customFormat="1" ht="16.5" hidden="1" customHeight="1">
      <c r="A26" s="499" t="s">
        <v>2013</v>
      </c>
      <c r="C26" s="501">
        <v>1490000</v>
      </c>
      <c r="D26" s="502"/>
      <c r="E26" s="502"/>
      <c r="F26" s="503"/>
      <c r="G26" s="504">
        <v>1800000</v>
      </c>
      <c r="H26" s="504"/>
      <c r="I26" s="505"/>
      <c r="J26" s="505"/>
      <c r="K26" s="506"/>
      <c r="L26" s="507"/>
      <c r="M26" s="505"/>
      <c r="N26" s="508"/>
      <c r="O26" s="1549"/>
      <c r="P26" s="1549"/>
      <c r="Q26" s="1549"/>
      <c r="R26" s="1549"/>
      <c r="S26" s="1549"/>
      <c r="T26" s="509"/>
      <c r="U26" s="510"/>
      <c r="V26" s="580"/>
      <c r="W26" s="580"/>
      <c r="X26" s="651" t="s">
        <v>1181</v>
      </c>
      <c r="Y26" s="651"/>
      <c r="Z26" s="651"/>
      <c r="AA26" s="651"/>
      <c r="AB26" s="505"/>
      <c r="AC26" s="511"/>
      <c r="AD26" s="512"/>
      <c r="AG26" s="513"/>
    </row>
    <row r="27" spans="1:43" ht="10.5" hidden="1" customHeight="1">
      <c r="A27" s="1"/>
      <c r="B27" s="7"/>
      <c r="C27" s="7"/>
      <c r="D27" s="7"/>
      <c r="E27" s="14"/>
      <c r="F27" s="188"/>
      <c r="G27" s="222"/>
      <c r="H27" s="1"/>
      <c r="I27" s="1"/>
      <c r="J27" s="1"/>
      <c r="K27" s="73"/>
      <c r="L27" s="356"/>
      <c r="M27" s="1"/>
      <c r="N27" s="3"/>
      <c r="O27" s="1"/>
      <c r="P27" s="1"/>
      <c r="Q27" s="3"/>
      <c r="R27" s="451"/>
      <c r="S27" s="3"/>
      <c r="T27" s="382"/>
      <c r="U27" s="3"/>
      <c r="V27" s="581"/>
      <c r="W27" s="581"/>
      <c r="X27" s="27"/>
      <c r="Y27" s="27"/>
      <c r="Z27" s="27"/>
      <c r="AA27" s="27"/>
      <c r="AB27" s="1"/>
    </row>
    <row r="28" spans="1:43" s="111" customFormat="1" ht="63.75" hidden="1" customHeight="1">
      <c r="A28" s="28" t="s">
        <v>853</v>
      </c>
      <c r="B28" s="1550" t="s">
        <v>854</v>
      </c>
      <c r="C28" s="1550"/>
      <c r="D28" s="88" t="s">
        <v>1598</v>
      </c>
      <c r="E28" s="420" t="s">
        <v>50</v>
      </c>
      <c r="F28" s="40" t="s">
        <v>1137</v>
      </c>
      <c r="G28" s="220" t="s">
        <v>1138</v>
      </c>
      <c r="H28" s="40" t="s">
        <v>1139</v>
      </c>
      <c r="I28" s="40" t="s">
        <v>1140</v>
      </c>
      <c r="J28" s="40"/>
      <c r="K28" s="78" t="s">
        <v>855</v>
      </c>
      <c r="L28" s="350" t="s">
        <v>1141</v>
      </c>
      <c r="M28" s="28" t="s">
        <v>860</v>
      </c>
      <c r="N28" s="28" t="s">
        <v>1186</v>
      </c>
      <c r="O28" s="28" t="s">
        <v>861</v>
      </c>
      <c r="P28" s="28" t="s">
        <v>857</v>
      </c>
      <c r="Q28" s="28" t="s">
        <v>1187</v>
      </c>
      <c r="R28" s="452" t="s">
        <v>1247</v>
      </c>
      <c r="S28" s="93" t="s">
        <v>1188</v>
      </c>
      <c r="T28" s="383" t="s">
        <v>1184</v>
      </c>
      <c r="U28" s="28" t="s">
        <v>1189</v>
      </c>
      <c r="V28" s="582" t="s">
        <v>1190</v>
      </c>
      <c r="W28" s="582"/>
      <c r="X28" s="28" t="s">
        <v>1100</v>
      </c>
      <c r="Y28" s="441"/>
      <c r="Z28" s="441"/>
      <c r="AA28" s="441"/>
      <c r="AB28" s="1560" t="s">
        <v>40</v>
      </c>
      <c r="AC28" s="1561"/>
      <c r="AD28" s="437"/>
      <c r="AG28" s="153"/>
    </row>
    <row r="29" spans="1:43" s="108" customFormat="1" ht="15" hidden="1" customHeight="1">
      <c r="A29" s="29" t="s">
        <v>1110</v>
      </c>
      <c r="B29" s="1558" t="s">
        <v>1111</v>
      </c>
      <c r="C29" s="1558"/>
      <c r="D29" s="29"/>
      <c r="E29" s="421"/>
      <c r="F29" s="29" t="s">
        <v>1112</v>
      </c>
      <c r="G29" s="29" t="s">
        <v>1113</v>
      </c>
      <c r="H29" s="29" t="s">
        <v>1114</v>
      </c>
      <c r="I29" s="29" t="s">
        <v>1115</v>
      </c>
      <c r="J29" s="29"/>
      <c r="K29" s="72" t="s">
        <v>1112</v>
      </c>
      <c r="L29" s="351" t="s">
        <v>1117</v>
      </c>
      <c r="M29" s="29" t="s">
        <v>1113</v>
      </c>
      <c r="N29" s="29" t="s">
        <v>1114</v>
      </c>
      <c r="O29" s="29" t="s">
        <v>1115</v>
      </c>
      <c r="P29" s="29" t="s">
        <v>1116</v>
      </c>
      <c r="Q29" s="29" t="s">
        <v>1117</v>
      </c>
      <c r="R29" s="453" t="s">
        <v>1125</v>
      </c>
      <c r="S29" s="29" t="s">
        <v>1118</v>
      </c>
      <c r="T29" s="384" t="s">
        <v>1127</v>
      </c>
      <c r="U29" s="29">
        <v>10</v>
      </c>
      <c r="V29" s="583" t="s">
        <v>2022</v>
      </c>
      <c r="W29" s="583"/>
      <c r="X29" s="29">
        <v>11</v>
      </c>
      <c r="Y29" s="652"/>
      <c r="Z29" s="652"/>
      <c r="AA29" s="652"/>
      <c r="AB29" s="1562">
        <v>12</v>
      </c>
      <c r="AC29" s="1563"/>
      <c r="AD29" s="141"/>
      <c r="AG29" s="154"/>
    </row>
    <row r="30" spans="1:43" s="372" customFormat="1" ht="24.75" customHeight="1">
      <c r="A30" s="379">
        <f>_xlfn.AGGREGATE(4,7,A$29:A29)+1</f>
        <v>1</v>
      </c>
      <c r="B30" s="363" t="s">
        <v>1433</v>
      </c>
      <c r="C30" s="375" t="s">
        <v>1434</v>
      </c>
      <c r="D30" s="394" t="s">
        <v>1613</v>
      </c>
      <c r="E30" s="478" t="s">
        <v>1435</v>
      </c>
      <c r="F30" s="366">
        <v>5.76</v>
      </c>
      <c r="G30" s="367">
        <v>0</v>
      </c>
      <c r="H30" s="368">
        <f t="shared" ref="H30:H93" si="0">F30+(F30*G30)</f>
        <v>5.76</v>
      </c>
      <c r="I30" s="368">
        <v>0.9</v>
      </c>
      <c r="J30" s="368" t="str">
        <f>VLOOKUP(B30,TH!B21:J353,9,FALSE)</f>
        <v>Hiệu trưởng</v>
      </c>
      <c r="K30" s="369">
        <f t="shared" ref="K30:K93" si="1">H30+I30</f>
        <v>6.66</v>
      </c>
      <c r="L30" s="362">
        <f t="shared" ref="L30:L93" si="2">K30*$G$26</f>
        <v>11988000</v>
      </c>
      <c r="M30" s="366" t="str">
        <f>VLOOKUP(B30,'[1]Gui chi Quynh'!$B$11:$E$400,4,FALSE)</f>
        <v>A1</v>
      </c>
      <c r="N30" s="494">
        <f t="shared" ref="N30:N93" si="3">IF(M30="A1",L30*1.6,IF(M30="A2",L30*1.4,IF(M30="A3",L30*1.2,IF(M30="A4",L30*1,IF(M30="B1",L30*0.7,IF(M30="B2",L30*0.5,IF(M30="C1",L30*0.3,IF(M30="C2",L30*0.2,0))))))))</f>
        <v>19180800</v>
      </c>
      <c r="O30" s="657">
        <v>21</v>
      </c>
      <c r="P30" s="440">
        <f>IFERROR(INDEX('[2]CN BC'!$J$10:$J$276,MATCH(B30,'[2]CN BC'!$H$10:$H$276,0)),"")</f>
        <v>30</v>
      </c>
      <c r="Q30" s="494">
        <f t="shared" ref="Q30:Q93" si="4">IF(P30&gt;=O30,N30,N30/O30*P30)</f>
        <v>19180800</v>
      </c>
      <c r="R30" s="460"/>
      <c r="S30" s="362">
        <f>R30*$G$26*1.6</f>
        <v>0</v>
      </c>
      <c r="T30" s="370"/>
      <c r="U30" s="362">
        <f t="shared" ref="U30:U93" si="5">T30*$G$26*1</f>
        <v>0</v>
      </c>
      <c r="V30" s="584">
        <f t="shared" ref="V30:V93" si="6">IF(OR(M30="A DN",M30="KXL", M30=""),"0",ROUND(K30*0.01*$G$26+R30*1%*$G$26+T30*1%*$G$26,))</f>
        <v>119880</v>
      </c>
      <c r="W30" s="584"/>
      <c r="X30" s="371">
        <f>(Q30+S30+U30)+W30</f>
        <v>19180800</v>
      </c>
      <c r="Y30" s="845">
        <f>X30/Z30</f>
        <v>10.656000000000001</v>
      </c>
      <c r="Z30" s="662">
        <v>1800000</v>
      </c>
      <c r="AA30" s="662">
        <f>Y30*Z30</f>
        <v>19180800</v>
      </c>
      <c r="AB30" s="568">
        <f>A30</f>
        <v>1</v>
      </c>
      <c r="AC30" s="493">
        <f>IFERROR(INDEX('[2]CN BC'!$M$10:$M$276,MATCH(B30,'[2]CN BC'!$H$10:$H$276,0)),"")</f>
        <v>0</v>
      </c>
      <c r="AD30" s="141" t="s">
        <v>2014</v>
      </c>
      <c r="AE30" s="495"/>
      <c r="AF30" s="108"/>
      <c r="AG30" s="155"/>
      <c r="AH30" s="108"/>
      <c r="AI30" s="108"/>
      <c r="AJ30" s="108"/>
      <c r="AK30" s="108"/>
      <c r="AL30" s="108"/>
      <c r="AM30" s="108"/>
      <c r="AN30" s="108"/>
      <c r="AO30" s="108"/>
      <c r="AP30" s="108"/>
      <c r="AQ30" s="108"/>
    </row>
    <row r="31" spans="1:43" s="372" customFormat="1" ht="27.75" customHeight="1">
      <c r="A31" s="379">
        <f>_xlfn.AGGREGATE(4,7,A$29:A30)+1</f>
        <v>2</v>
      </c>
      <c r="B31" s="363" t="s">
        <v>1447</v>
      </c>
      <c r="C31" s="375" t="s">
        <v>1439</v>
      </c>
      <c r="D31" s="406" t="s">
        <v>1614</v>
      </c>
      <c r="E31" s="422" t="s">
        <v>1442</v>
      </c>
      <c r="F31" s="366">
        <v>4.9800000000000004</v>
      </c>
      <c r="G31" s="367">
        <v>7.0000000000000007E-2</v>
      </c>
      <c r="H31" s="368">
        <f t="shared" si="0"/>
        <v>5.3286000000000007</v>
      </c>
      <c r="I31" s="368">
        <v>0.7</v>
      </c>
      <c r="J31" s="368" t="str">
        <f>VLOOKUP(B31,TH!B22:J354,9,FALSE)</f>
        <v>Phó Hiệu trưởng</v>
      </c>
      <c r="K31" s="369">
        <f t="shared" si="1"/>
        <v>6.0286000000000008</v>
      </c>
      <c r="L31" s="362">
        <f t="shared" si="2"/>
        <v>10851480.000000002</v>
      </c>
      <c r="M31" s="366" t="str">
        <f>VLOOKUP(B31,'[1]Gui chi Quynh'!$B$11:$E$400,4,FALSE)</f>
        <v>A1</v>
      </c>
      <c r="N31" s="494">
        <f t="shared" si="3"/>
        <v>17362368.000000004</v>
      </c>
      <c r="O31" s="366">
        <v>21</v>
      </c>
      <c r="P31" s="440">
        <f>IFERROR(INDEX('[2]CN BC'!$J$10:$J$276,MATCH(B31,'[2]CN BC'!$H$10:$H$276,0)),"")</f>
        <v>28</v>
      </c>
      <c r="Q31" s="494">
        <f t="shared" si="4"/>
        <v>17362368.000000004</v>
      </c>
      <c r="R31" s="460"/>
      <c r="S31" s="362">
        <f>R31*$G$26*1.6</f>
        <v>0</v>
      </c>
      <c r="T31" s="385"/>
      <c r="U31" s="362">
        <f t="shared" si="5"/>
        <v>0</v>
      </c>
      <c r="V31" s="584">
        <f t="shared" si="6"/>
        <v>108515</v>
      </c>
      <c r="W31" s="584"/>
      <c r="X31" s="371">
        <f t="shared" ref="X31:X94" si="7">(Q31+S31+U31)+W31</f>
        <v>17362368.000000004</v>
      </c>
      <c r="Y31" s="846">
        <f t="shared" ref="Y31:Y94" si="8">X31/Z31</f>
        <v>9.6457600000000028</v>
      </c>
      <c r="Z31" s="491">
        <v>1800000</v>
      </c>
      <c r="AA31" s="662">
        <f t="shared" ref="AA31:AA94" si="9">Y31*Z31</f>
        <v>17362368.000000004</v>
      </c>
      <c r="AB31" s="568">
        <f t="shared" ref="AB31:AB94" si="10">A31</f>
        <v>2</v>
      </c>
      <c r="AC31" s="493">
        <f>IFERROR(INDEX('[2]CN BC'!$M$10:$M$276,MATCH(B31,'[2]CN BC'!$H$10:$H$276,0)),"")</f>
        <v>0</v>
      </c>
      <c r="AD31" s="141" t="s">
        <v>2014</v>
      </c>
      <c r="AE31" s="496"/>
      <c r="AF31" s="465"/>
      <c r="AG31" s="155"/>
      <c r="AH31" s="108"/>
      <c r="AI31" s="108"/>
      <c r="AJ31" s="108"/>
      <c r="AK31" s="108"/>
      <c r="AL31" s="108"/>
      <c r="AM31" s="108"/>
      <c r="AN31" s="108"/>
      <c r="AO31" s="108"/>
      <c r="AP31" s="108"/>
      <c r="AQ31" s="108"/>
    </row>
    <row r="32" spans="1:43" s="372" customFormat="1" ht="27" customHeight="1">
      <c r="A32" s="379">
        <f>_xlfn.AGGREGATE(4,7,A$29:A31)+1</f>
        <v>3</v>
      </c>
      <c r="B32" s="363" t="s">
        <v>1845</v>
      </c>
      <c r="C32" s="375" t="s">
        <v>867</v>
      </c>
      <c r="D32" s="434" t="s">
        <v>1615</v>
      </c>
      <c r="E32" s="423" t="s">
        <v>1255</v>
      </c>
      <c r="F32" s="366">
        <v>4.9800000000000004</v>
      </c>
      <c r="G32" s="367">
        <v>0.08</v>
      </c>
      <c r="H32" s="368">
        <f t="shared" si="0"/>
        <v>5.3784000000000001</v>
      </c>
      <c r="I32" s="368">
        <v>0.7</v>
      </c>
      <c r="J32" s="368" t="str">
        <f>VLOOKUP(B32,TH!B23:J355,9,FALSE)</f>
        <v>Phó Hiệu trưởng</v>
      </c>
      <c r="K32" s="369">
        <f t="shared" si="1"/>
        <v>6.0784000000000002</v>
      </c>
      <c r="L32" s="362">
        <f t="shared" si="2"/>
        <v>10941120</v>
      </c>
      <c r="M32" s="366" t="str">
        <f>VLOOKUP(B32,'[1]Gui chi Quynh'!$B$11:$E$400,4,FALSE)</f>
        <v>A1</v>
      </c>
      <c r="N32" s="494">
        <f t="shared" si="3"/>
        <v>17505792</v>
      </c>
      <c r="O32" s="366">
        <v>21</v>
      </c>
      <c r="P32" s="440">
        <f>IFERROR(INDEX('[2]CN BC'!$J$10:$J$276,MATCH(B32,'[2]CN BC'!$H$10:$H$276,0)),"")</f>
        <v>28</v>
      </c>
      <c r="Q32" s="494">
        <f t="shared" si="4"/>
        <v>17505792</v>
      </c>
      <c r="R32" s="460"/>
      <c r="S32" s="362">
        <f>R32*$G$26*1.6</f>
        <v>0</v>
      </c>
      <c r="T32" s="370"/>
      <c r="U32" s="362">
        <f t="shared" si="5"/>
        <v>0</v>
      </c>
      <c r="V32" s="362">
        <f t="shared" si="6"/>
        <v>109411</v>
      </c>
      <c r="W32" s="362"/>
      <c r="X32" s="371">
        <f t="shared" si="7"/>
        <v>17505792</v>
      </c>
      <c r="Y32" s="846">
        <f t="shared" si="8"/>
        <v>9.7254400000000008</v>
      </c>
      <c r="Z32" s="491">
        <v>1800000</v>
      </c>
      <c r="AA32" s="662">
        <f t="shared" si="9"/>
        <v>17505792</v>
      </c>
      <c r="AB32" s="568">
        <f t="shared" si="10"/>
        <v>3</v>
      </c>
      <c r="AC32" s="493">
        <f>IFERROR(INDEX('[2]CN BC'!$M$10:$M$276,MATCH(B32,'[2]CN BC'!$H$10:$H$276,0)),"")</f>
        <v>0</v>
      </c>
      <c r="AD32" s="536" t="s">
        <v>2014</v>
      </c>
      <c r="AE32" s="590"/>
      <c r="AF32" s="591"/>
      <c r="AG32" s="487"/>
    </row>
    <row r="33" spans="1:43" s="372" customFormat="1" ht="24.75" customHeight="1">
      <c r="A33" s="379">
        <f>_xlfn.AGGREGATE(4,7,A$29:A32)+1</f>
        <v>4</v>
      </c>
      <c r="B33" s="363" t="s">
        <v>1533</v>
      </c>
      <c r="C33" s="375"/>
      <c r="D33" s="434" t="s">
        <v>1954</v>
      </c>
      <c r="E33" s="102" t="s">
        <v>1937</v>
      </c>
      <c r="F33" s="373">
        <v>4.6500000000000004</v>
      </c>
      <c r="G33" s="367"/>
      <c r="H33" s="368">
        <f t="shared" si="0"/>
        <v>4.6500000000000004</v>
      </c>
      <c r="I33" s="368">
        <v>0.7</v>
      </c>
      <c r="J33" s="368" t="str">
        <f>VLOOKUP(B33,TH!B24:J356,9,FALSE)</f>
        <v>Phó Hiệu trưởng</v>
      </c>
      <c r="K33" s="369">
        <f t="shared" si="1"/>
        <v>5.3500000000000005</v>
      </c>
      <c r="L33" s="362">
        <f t="shared" si="2"/>
        <v>9630000.0000000019</v>
      </c>
      <c r="M33" s="366" t="str">
        <f>VLOOKUP(B33,'[1]Gui chi Quynh'!$B$11:$E$400,4,FALSE)</f>
        <v>A1</v>
      </c>
      <c r="N33" s="494">
        <f t="shared" si="3"/>
        <v>15408000.000000004</v>
      </c>
      <c r="O33" s="366">
        <v>21</v>
      </c>
      <c r="P33" s="440">
        <f>IFERROR(INDEX('[2]CN BC'!$J$10:$J$276,MATCH(B33,'[2]CN BC'!$H$10:$H$276,0)),"")</f>
        <v>29</v>
      </c>
      <c r="Q33" s="494">
        <f t="shared" si="4"/>
        <v>15408000.000000004</v>
      </c>
      <c r="R33" s="460"/>
      <c r="S33" s="362">
        <f t="shared" ref="S33:S41" si="11">R33*$G$26*1</f>
        <v>0</v>
      </c>
      <c r="T33" s="370"/>
      <c r="U33" s="362">
        <f t="shared" si="5"/>
        <v>0</v>
      </c>
      <c r="V33" s="584">
        <f t="shared" si="6"/>
        <v>96300</v>
      </c>
      <c r="W33" s="584"/>
      <c r="X33" s="371">
        <f t="shared" si="7"/>
        <v>15408000.000000004</v>
      </c>
      <c r="Y33" s="846">
        <f t="shared" si="8"/>
        <v>8.5600000000000023</v>
      </c>
      <c r="Z33" s="491">
        <v>1800000</v>
      </c>
      <c r="AA33" s="662">
        <f t="shared" si="9"/>
        <v>15408000.000000004</v>
      </c>
      <c r="AB33" s="568">
        <f t="shared" si="10"/>
        <v>4</v>
      </c>
      <c r="AC33" s="493">
        <f>IFERROR(INDEX('[2]CN BC'!$M$10:$M$276,MATCH(B33,'[2]CN BC'!$H$10:$H$276,0)),"")</f>
        <v>0</v>
      </c>
      <c r="AD33" s="141" t="s">
        <v>2014</v>
      </c>
      <c r="AE33" s="497"/>
      <c r="AF33" s="497"/>
      <c r="AG33" s="155"/>
      <c r="AH33" s="108"/>
      <c r="AI33" s="108"/>
      <c r="AJ33" s="108"/>
      <c r="AK33" s="108"/>
      <c r="AL33" s="108"/>
      <c r="AM33" s="108"/>
    </row>
    <row r="34" spans="1:43" s="372" customFormat="1" ht="27.75" customHeight="1">
      <c r="A34" s="379">
        <f>_xlfn.AGGREGATE(4,7,A$29:A33)+1</f>
        <v>5</v>
      </c>
      <c r="B34" s="363" t="s">
        <v>1458</v>
      </c>
      <c r="C34" s="375" t="s">
        <v>891</v>
      </c>
      <c r="D34" s="30" t="s">
        <v>1995</v>
      </c>
      <c r="E34" s="432" t="s">
        <v>1577</v>
      </c>
      <c r="F34" s="366">
        <v>4.9800000000000004</v>
      </c>
      <c r="G34" s="367">
        <v>0.05</v>
      </c>
      <c r="H34" s="368">
        <f t="shared" si="0"/>
        <v>5.2290000000000001</v>
      </c>
      <c r="I34" s="368">
        <v>0.45</v>
      </c>
      <c r="J34" s="368" t="str">
        <f>VLOOKUP(B34,TH!B25:J357,9,FALSE)</f>
        <v>Trưởng phòng TC - HC - TH</v>
      </c>
      <c r="K34" s="369">
        <f t="shared" si="1"/>
        <v>5.6790000000000003</v>
      </c>
      <c r="L34" s="362">
        <f t="shared" si="2"/>
        <v>10222200</v>
      </c>
      <c r="M34" s="366" t="str">
        <f>VLOOKUP(B34,'[1]Gui chi Quynh'!$B$11:$E$400,4,FALSE)</f>
        <v>A1</v>
      </c>
      <c r="N34" s="494">
        <f t="shared" si="3"/>
        <v>16355520</v>
      </c>
      <c r="O34" s="366">
        <v>21</v>
      </c>
      <c r="P34" s="440">
        <f>IFERROR(INDEX('[2]CN BC'!$J$10:$J$276,MATCH(B34,'[2]CN BC'!$H$10:$H$276,0)),"")</f>
        <v>29</v>
      </c>
      <c r="Q34" s="494">
        <f t="shared" si="4"/>
        <v>16355520</v>
      </c>
      <c r="R34" s="392"/>
      <c r="S34" s="362">
        <f t="shared" si="11"/>
        <v>0</v>
      </c>
      <c r="T34" s="385"/>
      <c r="U34" s="362">
        <f t="shared" si="5"/>
        <v>0</v>
      </c>
      <c r="V34" s="584">
        <f t="shared" si="6"/>
        <v>102222</v>
      </c>
      <c r="W34" s="584"/>
      <c r="X34" s="371">
        <f t="shared" si="7"/>
        <v>16355520</v>
      </c>
      <c r="Y34" s="846">
        <f t="shared" si="8"/>
        <v>9.0863999999999994</v>
      </c>
      <c r="Z34" s="491">
        <v>1800000</v>
      </c>
      <c r="AA34" s="662">
        <f t="shared" si="9"/>
        <v>16355519.999999998</v>
      </c>
      <c r="AB34" s="568">
        <f t="shared" si="10"/>
        <v>5</v>
      </c>
      <c r="AC34" s="493">
        <f>IFERROR(INDEX('[2]CN BC'!$M$10:$M$276,MATCH(B34,'[2]CN BC'!$H$10:$H$276,0)),"")</f>
        <v>0</v>
      </c>
      <c r="AD34" s="141" t="s">
        <v>2015</v>
      </c>
      <c r="AE34" s="497"/>
      <c r="AF34" s="497"/>
      <c r="AG34" s="155"/>
      <c r="AH34" s="108"/>
      <c r="AI34" s="108"/>
      <c r="AJ34" s="108"/>
      <c r="AK34" s="108"/>
      <c r="AL34" s="108"/>
      <c r="AM34" s="108"/>
      <c r="AN34" s="108"/>
      <c r="AO34" s="108"/>
      <c r="AP34" s="108"/>
      <c r="AQ34" s="108"/>
    </row>
    <row r="35" spans="1:43" s="372" customFormat="1" ht="31.5" customHeight="1">
      <c r="A35" s="379">
        <f>_xlfn.AGGREGATE(4,7,A$29:A34)+1</f>
        <v>6</v>
      </c>
      <c r="B35" s="444" t="s">
        <v>1596</v>
      </c>
      <c r="C35" s="419" t="s">
        <v>979</v>
      </c>
      <c r="D35" s="418" t="s">
        <v>1623</v>
      </c>
      <c r="E35" s="426">
        <v>1603205353720</v>
      </c>
      <c r="F35" s="373">
        <v>3.33</v>
      </c>
      <c r="G35" s="367"/>
      <c r="H35" s="445">
        <f t="shared" si="0"/>
        <v>3.33</v>
      </c>
      <c r="I35" s="368">
        <v>0.35</v>
      </c>
      <c r="J35" s="368" t="str">
        <f>VLOOKUP(B35,TH!B26:J358,9,FALSE)</f>
        <v>Phó Trưởng phòng Tổ chức - Hành chính - TH</v>
      </c>
      <c r="K35" s="369">
        <f t="shared" si="1"/>
        <v>3.68</v>
      </c>
      <c r="L35" s="362">
        <f t="shared" si="2"/>
        <v>6624000</v>
      </c>
      <c r="M35" s="366" t="str">
        <f>VLOOKUP(B35,'[1]Gui chi Quynh'!$B$11:$E$400,4,FALSE)</f>
        <v>A2</v>
      </c>
      <c r="N35" s="494">
        <f t="shared" si="3"/>
        <v>9273600</v>
      </c>
      <c r="O35" s="366">
        <v>21</v>
      </c>
      <c r="P35" s="440">
        <f>IFERROR(INDEX('[2]CN BC'!$J$10:$J$276,MATCH(B35,'[2]CN BC'!$H$10:$H$276,0)),"")</f>
        <v>22.5</v>
      </c>
      <c r="Q35" s="494">
        <f t="shared" si="4"/>
        <v>9273600</v>
      </c>
      <c r="R35" s="392"/>
      <c r="S35" s="362">
        <f t="shared" si="11"/>
        <v>0</v>
      </c>
      <c r="T35" s="370"/>
      <c r="U35" s="362">
        <f t="shared" si="5"/>
        <v>0</v>
      </c>
      <c r="V35" s="584">
        <f t="shared" si="6"/>
        <v>66240</v>
      </c>
      <c r="W35" s="584"/>
      <c r="X35" s="371">
        <f t="shared" si="7"/>
        <v>9273600</v>
      </c>
      <c r="Y35" s="846">
        <f t="shared" si="8"/>
        <v>5.1520000000000001</v>
      </c>
      <c r="Z35" s="491">
        <v>1800000</v>
      </c>
      <c r="AA35" s="662">
        <f t="shared" si="9"/>
        <v>9273600</v>
      </c>
      <c r="AB35" s="568">
        <f t="shared" si="10"/>
        <v>6</v>
      </c>
      <c r="AC35" s="493" t="str">
        <f>IFERROR(INDEX('[2]CN BC'!$M$10:$M$276,MATCH(B35,'[2]CN BC'!$H$10:$H$276,0)),"")</f>
        <v>Trừ 1 ngày nghỉ phép 28/3</v>
      </c>
      <c r="AD35" s="141" t="s">
        <v>2015</v>
      </c>
      <c r="AE35" s="471"/>
      <c r="AF35" s="497"/>
      <c r="AG35" s="155"/>
      <c r="AH35" s="108"/>
      <c r="AI35" s="108"/>
      <c r="AJ35" s="108"/>
      <c r="AK35" s="108"/>
      <c r="AL35" s="108"/>
      <c r="AM35" s="108"/>
    </row>
    <row r="36" spans="1:43" s="372" customFormat="1" ht="31.5" customHeight="1">
      <c r="A36" s="379">
        <f>_xlfn.AGGREGATE(4,7,A$29:A35)+1</f>
        <v>7</v>
      </c>
      <c r="B36" s="363" t="s">
        <v>1464</v>
      </c>
      <c r="C36" s="375" t="s">
        <v>266</v>
      </c>
      <c r="D36" s="434" t="s">
        <v>1660</v>
      </c>
      <c r="E36" s="428">
        <v>1603205185719</v>
      </c>
      <c r="F36" s="373">
        <v>3</v>
      </c>
      <c r="G36" s="367"/>
      <c r="H36" s="368">
        <f t="shared" si="0"/>
        <v>3</v>
      </c>
      <c r="I36" s="368">
        <v>0.35</v>
      </c>
      <c r="J36" s="368" t="str">
        <f>VLOOKUP(B36,TH!B27:J359,9,FALSE)</f>
        <v>Phó Trưởng phòng Tổ chức - Hành chính - TH</v>
      </c>
      <c r="K36" s="369">
        <f t="shared" si="1"/>
        <v>3.35</v>
      </c>
      <c r="L36" s="362">
        <f t="shared" si="2"/>
        <v>6030000</v>
      </c>
      <c r="M36" s="366" t="str">
        <f>VLOOKUP(B36,'[1]Gui chi Quynh'!$B$11:$E$400,4,FALSE)</f>
        <v>A1</v>
      </c>
      <c r="N36" s="494">
        <f t="shared" si="3"/>
        <v>9648000</v>
      </c>
      <c r="O36" s="366">
        <v>21</v>
      </c>
      <c r="P36" s="440">
        <f>IFERROR(INDEX('[2]CN BC'!$J$10:$J$276,MATCH(B36,'[2]CN BC'!$H$10:$H$276,0)),"")</f>
        <v>28</v>
      </c>
      <c r="Q36" s="494">
        <f t="shared" si="4"/>
        <v>9648000</v>
      </c>
      <c r="R36" s="460"/>
      <c r="S36" s="362">
        <f t="shared" si="11"/>
        <v>0</v>
      </c>
      <c r="T36" s="370"/>
      <c r="U36" s="362">
        <f t="shared" si="5"/>
        <v>0</v>
      </c>
      <c r="V36" s="584">
        <f t="shared" si="6"/>
        <v>60300</v>
      </c>
      <c r="W36" s="584"/>
      <c r="X36" s="371">
        <f t="shared" si="7"/>
        <v>9648000</v>
      </c>
      <c r="Y36" s="846">
        <f t="shared" si="8"/>
        <v>5.36</v>
      </c>
      <c r="Z36" s="491">
        <v>1800000</v>
      </c>
      <c r="AA36" s="662">
        <f t="shared" si="9"/>
        <v>9648000</v>
      </c>
      <c r="AB36" s="568">
        <f t="shared" si="10"/>
        <v>7</v>
      </c>
      <c r="AC36" s="493">
        <f>IFERROR(INDEX('[2]CN BC'!$M$10:$M$276,MATCH(B36,'[2]CN BC'!$H$10:$H$276,0)),"")</f>
        <v>0</v>
      </c>
      <c r="AD36" s="141" t="s">
        <v>2015</v>
      </c>
      <c r="AE36" s="108">
        <f>52+50+124+99</f>
        <v>325</v>
      </c>
      <c r="AF36" s="497"/>
      <c r="AG36" s="155"/>
      <c r="AH36" s="108"/>
      <c r="AI36" s="108"/>
      <c r="AJ36" s="108"/>
      <c r="AK36" s="108"/>
      <c r="AL36" s="108"/>
      <c r="AM36" s="108"/>
    </row>
    <row r="37" spans="1:43" s="372" customFormat="1" ht="31.5" customHeight="1">
      <c r="A37" s="379">
        <f>_xlfn.AGGREGATE(4,7,A$29:A36)+1</f>
        <v>8</v>
      </c>
      <c r="B37" s="363" t="s">
        <v>1846</v>
      </c>
      <c r="C37" s="375" t="s">
        <v>996</v>
      </c>
      <c r="D37" s="434" t="s">
        <v>1618</v>
      </c>
      <c r="E37" s="423" t="s">
        <v>1264</v>
      </c>
      <c r="F37" s="366">
        <v>3.66</v>
      </c>
      <c r="G37" s="367"/>
      <c r="H37" s="368">
        <f t="shared" si="0"/>
        <v>3.66</v>
      </c>
      <c r="I37" s="368"/>
      <c r="J37" s="368" t="str">
        <f>VLOOKUP(B37,TH!B28:J360,9,FALSE)</f>
        <v>NV Phòng Tổ chức - Hành chính - Tổng hợp</v>
      </c>
      <c r="K37" s="369">
        <f t="shared" si="1"/>
        <v>3.66</v>
      </c>
      <c r="L37" s="362">
        <f t="shared" si="2"/>
        <v>6588000</v>
      </c>
      <c r="M37" s="366" t="str">
        <f>VLOOKUP(B37,'[1]Gui chi Quynh'!$B$11:$E$400,4,FALSE)</f>
        <v>A1</v>
      </c>
      <c r="N37" s="494">
        <f t="shared" si="3"/>
        <v>10540800</v>
      </c>
      <c r="O37" s="366">
        <v>21</v>
      </c>
      <c r="P37" s="440">
        <f>IFERROR(INDEX('[2]CN BC'!$J$10:$J$276,MATCH(B37,'[2]CN BC'!$H$10:$H$276,0)),"")</f>
        <v>24</v>
      </c>
      <c r="Q37" s="494">
        <f t="shared" si="4"/>
        <v>10540800</v>
      </c>
      <c r="R37" s="460"/>
      <c r="S37" s="362">
        <f t="shared" si="11"/>
        <v>0</v>
      </c>
      <c r="T37" s="370"/>
      <c r="U37" s="362">
        <f t="shared" si="5"/>
        <v>0</v>
      </c>
      <c r="V37" s="584">
        <f t="shared" si="6"/>
        <v>65880</v>
      </c>
      <c r="W37" s="584"/>
      <c r="X37" s="371">
        <f t="shared" si="7"/>
        <v>10540800</v>
      </c>
      <c r="Y37" s="846">
        <f t="shared" si="8"/>
        <v>5.8559999999999999</v>
      </c>
      <c r="Z37" s="491">
        <v>1800000</v>
      </c>
      <c r="AA37" s="662">
        <f t="shared" si="9"/>
        <v>10540800</v>
      </c>
      <c r="AB37" s="568">
        <f t="shared" si="10"/>
        <v>8</v>
      </c>
      <c r="AC37" s="493">
        <f>IFERROR(INDEX('[2]CN BC'!$M$10:$M$276,MATCH(B37,'[2]CN BC'!$H$10:$H$276,0)),"")</f>
        <v>0</v>
      </c>
      <c r="AD37" s="141" t="s">
        <v>2015</v>
      </c>
      <c r="AE37" s="497"/>
      <c r="AF37" s="497"/>
      <c r="AG37" s="155"/>
      <c r="AH37" s="108"/>
      <c r="AI37" s="108"/>
      <c r="AJ37" s="108"/>
      <c r="AK37" s="108"/>
      <c r="AL37" s="108"/>
      <c r="AM37" s="108"/>
    </row>
    <row r="38" spans="1:43" s="372" customFormat="1" ht="31.5" customHeight="1">
      <c r="A38" s="379">
        <f>_xlfn.AGGREGATE(4,7,A$29:A37)+1</f>
        <v>9</v>
      </c>
      <c r="B38" s="363" t="s">
        <v>1827</v>
      </c>
      <c r="C38" s="375" t="s">
        <v>1169</v>
      </c>
      <c r="D38" s="434" t="s">
        <v>1619</v>
      </c>
      <c r="E38" s="423" t="s">
        <v>1265</v>
      </c>
      <c r="F38" s="373">
        <v>3.99</v>
      </c>
      <c r="G38" s="367"/>
      <c r="H38" s="368">
        <f t="shared" si="0"/>
        <v>3.99</v>
      </c>
      <c r="I38" s="368"/>
      <c r="J38" s="368" t="str">
        <f>VLOOKUP(B38,TH!B29:J361,9,FALSE)</f>
        <v>NV Phòng Tổ chức - Hành chính - Tổng hợp</v>
      </c>
      <c r="K38" s="369">
        <f t="shared" si="1"/>
        <v>3.99</v>
      </c>
      <c r="L38" s="362">
        <f t="shared" si="2"/>
        <v>7182000</v>
      </c>
      <c r="M38" s="366" t="str">
        <f>VLOOKUP(B38,'[1]Gui chi Quynh'!$B$11:$E$400,4,FALSE)</f>
        <v>A2</v>
      </c>
      <c r="N38" s="494">
        <f t="shared" si="3"/>
        <v>10054800</v>
      </c>
      <c r="O38" s="366">
        <v>21</v>
      </c>
      <c r="P38" s="440">
        <f>IFERROR(INDEX('[2]CN BC'!$J$10:$J$276,MATCH(B38,'[2]CN BC'!$H$10:$H$276,0)),"")</f>
        <v>23</v>
      </c>
      <c r="Q38" s="494">
        <f t="shared" si="4"/>
        <v>10054800</v>
      </c>
      <c r="R38" s="460"/>
      <c r="S38" s="362">
        <f t="shared" si="11"/>
        <v>0</v>
      </c>
      <c r="T38" s="370"/>
      <c r="U38" s="362">
        <f t="shared" si="5"/>
        <v>0</v>
      </c>
      <c r="V38" s="584">
        <f t="shared" si="6"/>
        <v>71820</v>
      </c>
      <c r="W38" s="584"/>
      <c r="X38" s="371">
        <f t="shared" si="7"/>
        <v>10054800</v>
      </c>
      <c r="Y38" s="846">
        <f t="shared" si="8"/>
        <v>5.5860000000000003</v>
      </c>
      <c r="Z38" s="491">
        <v>1800000</v>
      </c>
      <c r="AA38" s="662">
        <f t="shared" si="9"/>
        <v>10054800</v>
      </c>
      <c r="AB38" s="568">
        <f t="shared" si="10"/>
        <v>9</v>
      </c>
      <c r="AC38" s="493">
        <f>IFERROR(INDEX('[2]CN BC'!$M$10:$M$276,MATCH(B38,'[2]CN BC'!$H$10:$H$276,0)),"")</f>
        <v>0</v>
      </c>
      <c r="AD38" s="141" t="s">
        <v>2015</v>
      </c>
      <c r="AE38" s="497"/>
      <c r="AF38" s="497"/>
      <c r="AG38" s="155"/>
      <c r="AH38" s="108"/>
      <c r="AI38" s="108"/>
      <c r="AJ38" s="108"/>
      <c r="AK38" s="108"/>
      <c r="AL38" s="108"/>
      <c r="AM38" s="108"/>
    </row>
    <row r="39" spans="1:43" s="372" customFormat="1" ht="31.5" customHeight="1">
      <c r="A39" s="379">
        <f>_xlfn.AGGREGATE(4,7,A$29:A38)+1</f>
        <v>10</v>
      </c>
      <c r="B39" s="363" t="s">
        <v>1448</v>
      </c>
      <c r="C39" s="375" t="s">
        <v>951</v>
      </c>
      <c r="D39" s="434" t="s">
        <v>1620</v>
      </c>
      <c r="E39" s="426" t="s">
        <v>1574</v>
      </c>
      <c r="F39" s="366">
        <v>3.46</v>
      </c>
      <c r="G39" s="367"/>
      <c r="H39" s="368">
        <f t="shared" si="0"/>
        <v>3.46</v>
      </c>
      <c r="I39" s="368"/>
      <c r="J39" s="368" t="str">
        <f>VLOOKUP(B39,TH!B30:J362,9,FALSE)</f>
        <v>NV Phòng Tổ chức - Hành chính - Tổng hợp</v>
      </c>
      <c r="K39" s="369">
        <f t="shared" si="1"/>
        <v>3.46</v>
      </c>
      <c r="L39" s="362">
        <f t="shared" si="2"/>
        <v>6228000</v>
      </c>
      <c r="M39" s="366" t="str">
        <f>VLOOKUP(B39,'[1]Gui chi Quynh'!$B$11:$E$400,4,FALSE)</f>
        <v>A2</v>
      </c>
      <c r="N39" s="494">
        <f t="shared" si="3"/>
        <v>8719200</v>
      </c>
      <c r="O39" s="366">
        <v>21</v>
      </c>
      <c r="P39" s="440">
        <f>IFERROR(INDEX('[2]CN BC'!$J$10:$J$276,MATCH(B39,'[2]CN BC'!$H$10:$H$276,0)),"")</f>
        <v>23</v>
      </c>
      <c r="Q39" s="494">
        <f t="shared" si="4"/>
        <v>8719200</v>
      </c>
      <c r="R39" s="460"/>
      <c r="S39" s="362">
        <f t="shared" si="11"/>
        <v>0</v>
      </c>
      <c r="T39" s="370"/>
      <c r="U39" s="362">
        <f t="shared" si="5"/>
        <v>0</v>
      </c>
      <c r="V39" s="584">
        <f t="shared" si="6"/>
        <v>62280</v>
      </c>
      <c r="W39" s="584"/>
      <c r="X39" s="371">
        <f t="shared" si="7"/>
        <v>8719200</v>
      </c>
      <c r="Y39" s="846">
        <f t="shared" si="8"/>
        <v>4.8440000000000003</v>
      </c>
      <c r="Z39" s="491">
        <v>1800000</v>
      </c>
      <c r="AA39" s="662">
        <f t="shared" si="9"/>
        <v>8719200</v>
      </c>
      <c r="AB39" s="568">
        <f t="shared" si="10"/>
        <v>10</v>
      </c>
      <c r="AC39" s="493">
        <f>IFERROR(INDEX('[2]CN BC'!$M$10:$M$276,MATCH(B39,'[2]CN BC'!$H$10:$H$276,0)),"")</f>
        <v>0</v>
      </c>
      <c r="AD39" s="141" t="s">
        <v>2015</v>
      </c>
      <c r="AE39" s="108"/>
      <c r="AF39" s="497"/>
      <c r="AG39" s="155"/>
      <c r="AH39" s="108"/>
      <c r="AI39" s="108"/>
      <c r="AJ39" s="108"/>
      <c r="AK39" s="108"/>
      <c r="AL39" s="108"/>
      <c r="AM39" s="108"/>
    </row>
    <row r="40" spans="1:43" s="372" customFormat="1" ht="31.5" customHeight="1">
      <c r="A40" s="379">
        <f>_xlfn.AGGREGATE(4,7,A$29:A39)+1</f>
        <v>11</v>
      </c>
      <c r="B40" s="363" t="s">
        <v>1449</v>
      </c>
      <c r="C40" s="375" t="s">
        <v>1436</v>
      </c>
      <c r="D40" s="406" t="s">
        <v>1621</v>
      </c>
      <c r="E40" s="427">
        <v>1603205280047</v>
      </c>
      <c r="F40" s="373">
        <v>3.66</v>
      </c>
      <c r="G40" s="378"/>
      <c r="H40" s="368">
        <f t="shared" si="0"/>
        <v>3.66</v>
      </c>
      <c r="I40" s="368"/>
      <c r="J40" s="368" t="str">
        <f>VLOOKUP(B40,TH!B31:J363,9,FALSE)</f>
        <v>NV Phòng Tổ chức - Hành chính - Tổng hợp</v>
      </c>
      <c r="K40" s="369">
        <f t="shared" si="1"/>
        <v>3.66</v>
      </c>
      <c r="L40" s="362">
        <f t="shared" si="2"/>
        <v>6588000</v>
      </c>
      <c r="M40" s="366" t="str">
        <f>VLOOKUP(B40,'[1]Gui chi Quynh'!$B$11:$E$400,4,FALSE)</f>
        <v>A3</v>
      </c>
      <c r="N40" s="494">
        <f t="shared" si="3"/>
        <v>7905600</v>
      </c>
      <c r="O40" s="366">
        <v>21</v>
      </c>
      <c r="P40" s="440">
        <f>IFERROR(INDEX('[2]CN BC'!$J$10:$J$276,MATCH(B40,'[2]CN BC'!$H$10:$H$276,0)),"")</f>
        <v>22</v>
      </c>
      <c r="Q40" s="494">
        <f t="shared" si="4"/>
        <v>7905600</v>
      </c>
      <c r="R40" s="392"/>
      <c r="S40" s="362">
        <f t="shared" si="11"/>
        <v>0</v>
      </c>
      <c r="T40" s="385"/>
      <c r="U40" s="362">
        <f t="shared" si="5"/>
        <v>0</v>
      </c>
      <c r="V40" s="584">
        <f t="shared" si="6"/>
        <v>65880</v>
      </c>
      <c r="W40" s="584"/>
      <c r="X40" s="371">
        <f t="shared" si="7"/>
        <v>7905600</v>
      </c>
      <c r="Y40" s="846">
        <f t="shared" si="8"/>
        <v>4.3920000000000003</v>
      </c>
      <c r="Z40" s="491">
        <v>1800000</v>
      </c>
      <c r="AA40" s="662">
        <f t="shared" si="9"/>
        <v>7905600.0000000009</v>
      </c>
      <c r="AB40" s="568">
        <f t="shared" si="10"/>
        <v>11</v>
      </c>
      <c r="AC40" s="493">
        <f>IFERROR(INDEX('[2]CN BC'!$M$10:$M$276,MATCH(B40,'[2]CN BC'!$H$10:$H$276,0)),"")</f>
        <v>0</v>
      </c>
      <c r="AD40" s="141" t="s">
        <v>2015</v>
      </c>
      <c r="AE40" s="108"/>
      <c r="AF40" s="108"/>
      <c r="AG40" s="155"/>
      <c r="AH40" s="108"/>
      <c r="AI40" s="108"/>
      <c r="AJ40" s="108"/>
      <c r="AK40" s="108"/>
      <c r="AL40" s="108"/>
      <c r="AM40" s="108"/>
      <c r="AN40" s="108"/>
      <c r="AO40" s="108"/>
      <c r="AP40" s="108"/>
      <c r="AQ40" s="108"/>
    </row>
    <row r="41" spans="1:43" s="372" customFormat="1" ht="31.5" customHeight="1">
      <c r="A41" s="379">
        <f>_xlfn.AGGREGATE(4,7,A$29:A40)+1</f>
        <v>12</v>
      </c>
      <c r="B41" s="363" t="s">
        <v>1828</v>
      </c>
      <c r="C41" s="375" t="s">
        <v>996</v>
      </c>
      <c r="D41" s="434" t="s">
        <v>1622</v>
      </c>
      <c r="E41" s="428" t="s">
        <v>385</v>
      </c>
      <c r="F41" s="366">
        <v>3.66</v>
      </c>
      <c r="G41" s="367"/>
      <c r="H41" s="368">
        <f t="shared" si="0"/>
        <v>3.66</v>
      </c>
      <c r="I41" s="368"/>
      <c r="J41" s="368" t="str">
        <f>VLOOKUP(B41,TH!B32:J364,9,FALSE)</f>
        <v>NV Phòng Tổ chức - Hành chính - Tổng hợp</v>
      </c>
      <c r="K41" s="369">
        <f t="shared" si="1"/>
        <v>3.66</v>
      </c>
      <c r="L41" s="362">
        <f t="shared" si="2"/>
        <v>6588000</v>
      </c>
      <c r="M41" s="366" t="str">
        <f>VLOOKUP(B41,'[1]Gui chi Quynh'!$B$11:$E$400,4,FALSE)</f>
        <v>A2</v>
      </c>
      <c r="N41" s="494">
        <f t="shared" si="3"/>
        <v>9223200</v>
      </c>
      <c r="O41" s="366">
        <v>21</v>
      </c>
      <c r="P41" s="440">
        <f>IFERROR(INDEX('[2]CN BC'!$J$10:$J$276,MATCH(B41,'[2]CN BC'!$H$10:$H$276,0)),"")</f>
        <v>21.5</v>
      </c>
      <c r="Q41" s="494">
        <f t="shared" si="4"/>
        <v>9223200</v>
      </c>
      <c r="R41" s="460"/>
      <c r="S41" s="362">
        <f t="shared" si="11"/>
        <v>0</v>
      </c>
      <c r="T41" s="370"/>
      <c r="U41" s="362">
        <f t="shared" si="5"/>
        <v>0</v>
      </c>
      <c r="V41" s="584">
        <f t="shared" si="6"/>
        <v>65880</v>
      </c>
      <c r="W41" s="584">
        <v>8053980.0000000019</v>
      </c>
      <c r="X41" s="371">
        <f t="shared" si="7"/>
        <v>17277180</v>
      </c>
      <c r="Y41" s="846">
        <f t="shared" si="8"/>
        <v>9.5984333333333325</v>
      </c>
      <c r="Z41" s="491">
        <v>1800000</v>
      </c>
      <c r="AA41" s="662">
        <f t="shared" si="9"/>
        <v>17277180</v>
      </c>
      <c r="AB41" s="568">
        <f t="shared" si="10"/>
        <v>12</v>
      </c>
      <c r="AC41" s="493" t="str">
        <f>IFERROR(INDEX('[2]CN BC'!$M$10:$M$276,MATCH(B41,'[2]CN BC'!$H$10:$H$276,0)),"")</f>
        <v>Trừ 1 ngày nghỉ phép 1/3</v>
      </c>
      <c r="AD41" s="141" t="s">
        <v>2015</v>
      </c>
      <c r="AE41" s="108"/>
      <c r="AF41" s="108"/>
      <c r="AG41" s="155"/>
      <c r="AH41" s="108"/>
      <c r="AI41" s="108"/>
      <c r="AJ41" s="108"/>
      <c r="AK41" s="108"/>
      <c r="AL41" s="108"/>
      <c r="AM41" s="108"/>
    </row>
    <row r="42" spans="1:43" s="372" customFormat="1" ht="31.5" customHeight="1">
      <c r="A42" s="379">
        <f>_xlfn.AGGREGATE(4,7,A$29:A41)+1</f>
        <v>13</v>
      </c>
      <c r="B42" s="363" t="s">
        <v>1847</v>
      </c>
      <c r="C42" s="375" t="s">
        <v>1094</v>
      </c>
      <c r="D42" s="406" t="s">
        <v>1643</v>
      </c>
      <c r="E42" s="423" t="s">
        <v>8</v>
      </c>
      <c r="F42" s="366">
        <v>3.66</v>
      </c>
      <c r="G42" s="367"/>
      <c r="H42" s="368">
        <f t="shared" si="0"/>
        <v>3.66</v>
      </c>
      <c r="I42" s="368"/>
      <c r="J42" s="368" t="str">
        <f>VLOOKUP(B42,TH!B33:J365,9,FALSE)</f>
        <v>NV Phòng Tổ chức - Hành chính - Tổng hợp</v>
      </c>
      <c r="K42" s="369">
        <f t="shared" si="1"/>
        <v>3.66</v>
      </c>
      <c r="L42" s="362">
        <f t="shared" si="2"/>
        <v>6588000</v>
      </c>
      <c r="M42" s="366" t="str">
        <f>VLOOKUP(B42,'[1]Gui chi Quynh'!$B$11:$E$400,4,FALSE)</f>
        <v>A2</v>
      </c>
      <c r="N42" s="494">
        <f t="shared" si="3"/>
        <v>9223200</v>
      </c>
      <c r="O42" s="366">
        <v>21</v>
      </c>
      <c r="P42" s="440">
        <f>IFERROR(INDEX('[2]CN BC'!$J$10:$J$276,MATCH(B42,'[2]CN BC'!$H$10:$H$276,0)),"")</f>
        <v>21.5</v>
      </c>
      <c r="Q42" s="494">
        <f t="shared" si="4"/>
        <v>9223200</v>
      </c>
      <c r="R42" s="460"/>
      <c r="S42" s="362">
        <f>R42*$G$26*1.4</f>
        <v>0</v>
      </c>
      <c r="T42" s="370"/>
      <c r="U42" s="362">
        <f t="shared" si="5"/>
        <v>0</v>
      </c>
      <c r="V42" s="584">
        <f t="shared" si="6"/>
        <v>65880</v>
      </c>
      <c r="W42" s="584"/>
      <c r="X42" s="371">
        <f t="shared" si="7"/>
        <v>9223200</v>
      </c>
      <c r="Y42" s="846">
        <f t="shared" si="8"/>
        <v>5.1239999999999997</v>
      </c>
      <c r="Z42" s="491">
        <v>1800000</v>
      </c>
      <c r="AA42" s="662">
        <f t="shared" si="9"/>
        <v>9223200</v>
      </c>
      <c r="AB42" s="568">
        <f t="shared" si="10"/>
        <v>13</v>
      </c>
      <c r="AC42" s="493">
        <f>IFERROR(INDEX('[2]CN BC'!$M$10:$M$276,MATCH(B42,'[2]CN BC'!$H$10:$H$276,0)),"")</f>
        <v>0</v>
      </c>
      <c r="AD42" s="141" t="s">
        <v>2015</v>
      </c>
      <c r="AE42" s="108"/>
      <c r="AF42" s="108"/>
      <c r="AG42" s="155"/>
      <c r="AH42" s="108"/>
      <c r="AI42" s="108"/>
      <c r="AJ42" s="108"/>
      <c r="AK42" s="108"/>
      <c r="AL42" s="108"/>
      <c r="AM42" s="108"/>
      <c r="AN42" s="108"/>
      <c r="AO42" s="108"/>
      <c r="AP42" s="108"/>
      <c r="AQ42" s="108"/>
    </row>
    <row r="43" spans="1:43" s="372" customFormat="1" ht="31.5" customHeight="1">
      <c r="A43" s="379">
        <f>_xlfn.AGGREGATE(4,7,A$29:A42)+1</f>
        <v>14</v>
      </c>
      <c r="B43" s="363" t="s">
        <v>1848</v>
      </c>
      <c r="C43" s="375" t="s">
        <v>1431</v>
      </c>
      <c r="D43" s="434" t="s">
        <v>1644</v>
      </c>
      <c r="E43" s="426">
        <v>1603205360856</v>
      </c>
      <c r="F43" s="373">
        <v>3.33</v>
      </c>
      <c r="G43" s="367"/>
      <c r="H43" s="445">
        <f t="shared" si="0"/>
        <v>3.33</v>
      </c>
      <c r="I43" s="368"/>
      <c r="J43" s="368" t="str">
        <f>VLOOKUP(B43,TH!B34:J366,9,FALSE)</f>
        <v>NV Phòng Tổ chức - Hành chính - Tổng hợp</v>
      </c>
      <c r="K43" s="369">
        <f t="shared" si="1"/>
        <v>3.33</v>
      </c>
      <c r="L43" s="362">
        <f t="shared" si="2"/>
        <v>5994000</v>
      </c>
      <c r="M43" s="366" t="str">
        <f>VLOOKUP(B43,'[1]Gui chi Quynh'!$B$11:$E$400,4,FALSE)</f>
        <v>A2</v>
      </c>
      <c r="N43" s="494">
        <f t="shared" si="3"/>
        <v>8391600</v>
      </c>
      <c r="O43" s="366">
        <v>21</v>
      </c>
      <c r="P43" s="440">
        <f>IFERROR(INDEX('[2]CN BC'!$J$10:$J$276,MATCH(B43,'[2]CN BC'!$H$10:$H$276,0)),"")</f>
        <v>21.5</v>
      </c>
      <c r="Q43" s="494">
        <f t="shared" si="4"/>
        <v>8391600</v>
      </c>
      <c r="R43" s="460"/>
      <c r="S43" s="362">
        <f t="shared" ref="S43:S54" si="12">R43*$G$26*1</f>
        <v>0</v>
      </c>
      <c r="T43" s="370"/>
      <c r="U43" s="362">
        <f t="shared" si="5"/>
        <v>0</v>
      </c>
      <c r="V43" s="584">
        <f t="shared" si="6"/>
        <v>59940</v>
      </c>
      <c r="W43" s="584"/>
      <c r="X43" s="371">
        <f t="shared" si="7"/>
        <v>8391600</v>
      </c>
      <c r="Y43" s="846">
        <f t="shared" si="8"/>
        <v>4.6619999999999999</v>
      </c>
      <c r="Z43" s="491">
        <v>1800000</v>
      </c>
      <c r="AA43" s="662">
        <f t="shared" si="9"/>
        <v>8391600</v>
      </c>
      <c r="AB43" s="568">
        <f t="shared" si="10"/>
        <v>14</v>
      </c>
      <c r="AC43" s="493">
        <f>IFERROR(INDEX('[2]CN BC'!$M$10:$M$276,MATCH(B43,'[2]CN BC'!$H$10:$H$276,0)),"")</f>
        <v>0</v>
      </c>
      <c r="AD43" s="536" t="s">
        <v>2015</v>
      </c>
      <c r="AG43" s="487"/>
    </row>
    <row r="44" spans="1:43" s="372" customFormat="1" ht="31.5" customHeight="1">
      <c r="A44" s="379">
        <f>_xlfn.AGGREGATE(4,7,A$29:A43)+1</f>
        <v>15</v>
      </c>
      <c r="B44" s="444" t="s">
        <v>1603</v>
      </c>
      <c r="C44" s="419" t="s">
        <v>1602</v>
      </c>
      <c r="D44" s="418" t="s">
        <v>1624</v>
      </c>
      <c r="E44" s="426">
        <v>1603205545491</v>
      </c>
      <c r="F44" s="373">
        <f>2.46+0.15</f>
        <v>2.61</v>
      </c>
      <c r="G44" s="367"/>
      <c r="H44" s="368">
        <f t="shared" si="0"/>
        <v>2.61</v>
      </c>
      <c r="I44" s="368"/>
      <c r="J44" s="368" t="str">
        <f>VLOOKUP(B44,TH!B35:J367,9,FALSE)</f>
        <v>NV Phòng Tổ chức - Hành chính - Tổng hợp</v>
      </c>
      <c r="K44" s="369">
        <f t="shared" si="1"/>
        <v>2.61</v>
      </c>
      <c r="L44" s="362">
        <f t="shared" si="2"/>
        <v>4698000</v>
      </c>
      <c r="M44" s="366" t="str">
        <f>VLOOKUP(B44,'[1]Gui chi Quynh'!$B$11:$E$400,4,FALSE)</f>
        <v>A2</v>
      </c>
      <c r="N44" s="494">
        <f t="shared" si="3"/>
        <v>6577200</v>
      </c>
      <c r="O44" s="366">
        <v>21</v>
      </c>
      <c r="P44" s="440">
        <f>IFERROR(INDEX('[2]CN BC'!$J$10:$J$276,MATCH(B44,'[2]CN BC'!$H$10:$H$276,0)),"")</f>
        <v>24</v>
      </c>
      <c r="Q44" s="494">
        <f t="shared" si="4"/>
        <v>6577200</v>
      </c>
      <c r="R44" s="460"/>
      <c r="S44" s="362">
        <f t="shared" si="12"/>
        <v>0</v>
      </c>
      <c r="T44" s="370"/>
      <c r="U44" s="362">
        <f t="shared" si="5"/>
        <v>0</v>
      </c>
      <c r="V44" s="584">
        <f t="shared" si="6"/>
        <v>46980</v>
      </c>
      <c r="W44" s="584">
        <v>5616000.0000000037</v>
      </c>
      <c r="X44" s="371">
        <f t="shared" si="7"/>
        <v>12193200.000000004</v>
      </c>
      <c r="Y44" s="846">
        <f t="shared" si="8"/>
        <v>6.7740000000000018</v>
      </c>
      <c r="Z44" s="491">
        <v>1800000</v>
      </c>
      <c r="AA44" s="662">
        <f t="shared" si="9"/>
        <v>12193200.000000004</v>
      </c>
      <c r="AB44" s="568">
        <f t="shared" si="10"/>
        <v>15</v>
      </c>
      <c r="AC44" s="493">
        <f>IFERROR(INDEX('[2]CN BC'!$M$10:$M$276,MATCH(B44,'[2]CN BC'!$H$10:$H$276,0)),"")</f>
        <v>0</v>
      </c>
      <c r="AD44" s="141"/>
      <c r="AE44" s="108"/>
      <c r="AF44" s="108"/>
      <c r="AG44" s="155"/>
      <c r="AH44" s="108"/>
      <c r="AI44" s="108"/>
      <c r="AJ44" s="108"/>
      <c r="AK44" s="108"/>
      <c r="AL44" s="108"/>
      <c r="AM44" s="108"/>
    </row>
    <row r="45" spans="1:43" s="372" customFormat="1" ht="31.5" customHeight="1">
      <c r="A45" s="379">
        <f>_xlfn.AGGREGATE(4,7,A$29:A44)+1</f>
        <v>16</v>
      </c>
      <c r="B45" s="444" t="s">
        <v>2009</v>
      </c>
      <c r="C45" s="419"/>
      <c r="D45" s="418"/>
      <c r="E45" s="426"/>
      <c r="F45" s="373">
        <v>3.66</v>
      </c>
      <c r="G45" s="367"/>
      <c r="H45" s="368">
        <f t="shared" si="0"/>
        <v>3.66</v>
      </c>
      <c r="I45" s="368"/>
      <c r="J45" s="368" t="str">
        <f>VLOOKUP(B45,TH!B36:J368,9,FALSE)</f>
        <v>NV Phòng Tổ chức - Hành chính - Tổng hợp</v>
      </c>
      <c r="K45" s="369">
        <f t="shared" si="1"/>
        <v>3.66</v>
      </c>
      <c r="L45" s="362">
        <f t="shared" si="2"/>
        <v>6588000</v>
      </c>
      <c r="M45" s="366" t="str">
        <f>VLOOKUP(B45,'[1]Gui chi Quynh'!$B$11:$E$400,4,FALSE)</f>
        <v>A2</v>
      </c>
      <c r="N45" s="494">
        <f t="shared" si="3"/>
        <v>9223200</v>
      </c>
      <c r="O45" s="366">
        <v>21</v>
      </c>
      <c r="P45" s="440">
        <f>IFERROR(INDEX('[2]CN BC'!$J$10:$J$276,MATCH(B45,'[2]CN BC'!$H$10:$H$276,0)),"")</f>
        <v>22</v>
      </c>
      <c r="Q45" s="494">
        <f t="shared" si="4"/>
        <v>9223200</v>
      </c>
      <c r="R45" s="460"/>
      <c r="S45" s="362">
        <f t="shared" si="12"/>
        <v>0</v>
      </c>
      <c r="T45" s="370"/>
      <c r="U45" s="362">
        <f t="shared" si="5"/>
        <v>0</v>
      </c>
      <c r="V45" s="584">
        <f t="shared" si="6"/>
        <v>65880</v>
      </c>
      <c r="W45" s="584"/>
      <c r="X45" s="371">
        <f t="shared" si="7"/>
        <v>9223200</v>
      </c>
      <c r="Y45" s="846">
        <f t="shared" si="8"/>
        <v>5.1239999999999997</v>
      </c>
      <c r="Z45" s="491">
        <v>1800000</v>
      </c>
      <c r="AA45" s="662">
        <f t="shared" si="9"/>
        <v>9223200</v>
      </c>
      <c r="AB45" s="568">
        <f t="shared" si="10"/>
        <v>16</v>
      </c>
      <c r="AC45" s="493">
        <f>IFERROR(INDEX('[2]CN BC'!$M$10:$M$276,MATCH(B45,'[2]CN BC'!$H$10:$H$276,0)),"")</f>
        <v>0</v>
      </c>
      <c r="AD45" s="536"/>
      <c r="AG45" s="487"/>
    </row>
    <row r="46" spans="1:43" s="372" customFormat="1" ht="31.5" customHeight="1">
      <c r="A46" s="379">
        <f>_xlfn.AGGREGATE(4,7,A$29:A45)+1</f>
        <v>17</v>
      </c>
      <c r="B46" s="363" t="s">
        <v>1450</v>
      </c>
      <c r="C46" s="375" t="s">
        <v>1440</v>
      </c>
      <c r="D46" s="406" t="s">
        <v>1625</v>
      </c>
      <c r="E46" s="422" t="s">
        <v>1441</v>
      </c>
      <c r="F46" s="366">
        <v>4.9800000000000004</v>
      </c>
      <c r="G46" s="367">
        <v>0.05</v>
      </c>
      <c r="H46" s="368">
        <f t="shared" si="0"/>
        <v>5.2290000000000001</v>
      </c>
      <c r="I46" s="368">
        <v>0.45</v>
      </c>
      <c r="J46" s="368" t="str">
        <f>VLOOKUP(B46,TH!B37:J369,9,FALSE)</f>
        <v>Trưởng phòng Quản trị - Dịch vụ</v>
      </c>
      <c r="K46" s="369">
        <f t="shared" si="1"/>
        <v>5.6790000000000003</v>
      </c>
      <c r="L46" s="362">
        <f t="shared" si="2"/>
        <v>10222200</v>
      </c>
      <c r="M46" s="366" t="str">
        <f>VLOOKUP(B46,'[1]Gui chi Quynh'!$B$11:$E$400,4,FALSE)</f>
        <v>A1</v>
      </c>
      <c r="N46" s="494">
        <f t="shared" si="3"/>
        <v>16355520</v>
      </c>
      <c r="O46" s="366">
        <v>21</v>
      </c>
      <c r="P46" s="440">
        <f>IFERROR(INDEX('[2]CN BC'!$J$10:$J$276,MATCH(B46,'[2]CN BC'!$H$10:$H$276,0)),"")</f>
        <v>26</v>
      </c>
      <c r="Q46" s="494">
        <f t="shared" si="4"/>
        <v>16355520</v>
      </c>
      <c r="R46" s="392"/>
      <c r="S46" s="362">
        <f t="shared" si="12"/>
        <v>0</v>
      </c>
      <c r="T46" s="385"/>
      <c r="U46" s="362">
        <f t="shared" si="5"/>
        <v>0</v>
      </c>
      <c r="V46" s="584">
        <f t="shared" si="6"/>
        <v>102222</v>
      </c>
      <c r="W46" s="584"/>
      <c r="X46" s="371">
        <f t="shared" si="7"/>
        <v>16355520</v>
      </c>
      <c r="Y46" s="846">
        <f t="shared" si="8"/>
        <v>9.0863999999999994</v>
      </c>
      <c r="Z46" s="491">
        <v>1800000</v>
      </c>
      <c r="AA46" s="662">
        <f t="shared" si="9"/>
        <v>16355519.999999998</v>
      </c>
      <c r="AB46" s="568">
        <f t="shared" si="10"/>
        <v>17</v>
      </c>
      <c r="AC46" s="493">
        <f>IFERROR(INDEX('[2]CN BC'!$M$10:$M$276,MATCH(B46,'[2]CN BC'!$H$10:$H$276,0)),"")</f>
        <v>0</v>
      </c>
      <c r="AD46" s="141"/>
      <c r="AE46" s="108"/>
      <c r="AF46" s="108"/>
      <c r="AG46" s="155"/>
      <c r="AH46" s="108"/>
      <c r="AI46" s="108"/>
      <c r="AJ46" s="108"/>
      <c r="AK46" s="108"/>
      <c r="AL46" s="108"/>
      <c r="AM46" s="108"/>
      <c r="AN46" s="108"/>
      <c r="AO46" s="108"/>
      <c r="AP46" s="108"/>
      <c r="AQ46" s="108"/>
    </row>
    <row r="47" spans="1:43" s="372" customFormat="1" ht="31.5" customHeight="1">
      <c r="A47" s="379">
        <f>_xlfn.AGGREGATE(4,7,A$29:A46)+1</f>
        <v>18</v>
      </c>
      <c r="B47" s="363" t="s">
        <v>1996</v>
      </c>
      <c r="C47" s="375" t="s">
        <v>1028</v>
      </c>
      <c r="D47" s="406" t="s">
        <v>1626</v>
      </c>
      <c r="E47" s="423" t="s">
        <v>1393</v>
      </c>
      <c r="F47" s="366">
        <v>4.9800000000000004</v>
      </c>
      <c r="G47" s="367">
        <v>7.0000000000000007E-2</v>
      </c>
      <c r="H47" s="368">
        <f t="shared" si="0"/>
        <v>5.3286000000000007</v>
      </c>
      <c r="I47" s="368">
        <v>0.35</v>
      </c>
      <c r="J47" s="368" t="str">
        <f>VLOOKUP(B47,TH!B38:J370,9,FALSE)</f>
        <v>Phó TP. Quản trị - 
Dịch vụ</v>
      </c>
      <c r="K47" s="369">
        <f t="shared" si="1"/>
        <v>5.6786000000000003</v>
      </c>
      <c r="L47" s="362">
        <f t="shared" si="2"/>
        <v>10221480</v>
      </c>
      <c r="M47" s="366" t="str">
        <f>VLOOKUP(B47,'[1]Gui chi Quynh'!$B$11:$E$400,4,FALSE)</f>
        <v>A1</v>
      </c>
      <c r="N47" s="494">
        <f t="shared" si="3"/>
        <v>16354368</v>
      </c>
      <c r="O47" s="366">
        <v>21</v>
      </c>
      <c r="P47" s="440">
        <f>IFERROR(INDEX('[2]CN BC'!$J$10:$J$276,MATCH(B47,'[2]CN BC'!$H$10:$H$276,0)),"")</f>
        <v>26</v>
      </c>
      <c r="Q47" s="494">
        <f t="shared" si="4"/>
        <v>16354368</v>
      </c>
      <c r="R47" s="392"/>
      <c r="S47" s="362">
        <f t="shared" si="12"/>
        <v>0</v>
      </c>
      <c r="T47" s="385"/>
      <c r="U47" s="362">
        <f t="shared" si="5"/>
        <v>0</v>
      </c>
      <c r="V47" s="584">
        <f t="shared" si="6"/>
        <v>102215</v>
      </c>
      <c r="W47" s="584"/>
      <c r="X47" s="371">
        <f t="shared" si="7"/>
        <v>16354368</v>
      </c>
      <c r="Y47" s="846">
        <f t="shared" si="8"/>
        <v>9.0857600000000005</v>
      </c>
      <c r="Z47" s="491">
        <v>1800000</v>
      </c>
      <c r="AA47" s="662">
        <f t="shared" si="9"/>
        <v>16354368</v>
      </c>
      <c r="AB47" s="568">
        <f t="shared" si="10"/>
        <v>18</v>
      </c>
      <c r="AC47" s="493">
        <f>IFERROR(INDEX('[2]CN BC'!$M$10:$M$276,MATCH(B47,'[2]CN BC'!$H$10:$H$276,0)),"")</f>
        <v>0</v>
      </c>
      <c r="AD47" s="141"/>
      <c r="AE47" s="108"/>
      <c r="AF47" s="108"/>
      <c r="AG47" s="155"/>
      <c r="AH47" s="108"/>
      <c r="AI47" s="108"/>
      <c r="AJ47" s="108"/>
      <c r="AK47" s="108"/>
      <c r="AL47" s="108"/>
      <c r="AM47" s="108"/>
      <c r="AN47" s="108"/>
      <c r="AO47" s="108"/>
      <c r="AP47" s="108"/>
      <c r="AQ47" s="108"/>
    </row>
    <row r="48" spans="1:43" s="108" customFormat="1" ht="31.5" customHeight="1">
      <c r="A48" s="379">
        <f>_xlfn.AGGREGATE(4,7,A$29:A47)+1</f>
        <v>19</v>
      </c>
      <c r="B48" s="33" t="s">
        <v>1849</v>
      </c>
      <c r="C48" s="149" t="s">
        <v>1172</v>
      </c>
      <c r="D48" s="406" t="s">
        <v>1627</v>
      </c>
      <c r="E48" s="424" t="s">
        <v>1267</v>
      </c>
      <c r="F48" s="10">
        <v>3.65</v>
      </c>
      <c r="G48" s="157"/>
      <c r="H48" s="368">
        <f t="shared" si="0"/>
        <v>3.65</v>
      </c>
      <c r="I48" s="81">
        <v>0.25</v>
      </c>
      <c r="J48" s="368" t="str">
        <f>VLOOKUP(B48,TH!B39:J371,9,FALSE)</f>
        <v>NV Phòng Quản trị - Dịch vụ</v>
      </c>
      <c r="K48" s="369">
        <f t="shared" si="1"/>
        <v>3.9</v>
      </c>
      <c r="L48" s="362">
        <f t="shared" si="2"/>
        <v>7020000</v>
      </c>
      <c r="M48" s="366" t="str">
        <f>VLOOKUP(B48,'[1]Gui chi Quynh'!$B$11:$E$400,4,FALSE)</f>
        <v>A1</v>
      </c>
      <c r="N48" s="494">
        <f t="shared" si="3"/>
        <v>11232000</v>
      </c>
      <c r="O48" s="366">
        <v>21</v>
      </c>
      <c r="P48" s="440">
        <f>IFERROR(INDEX('[2]CN BC'!$J$10:$J$276,MATCH(B48,'[2]CN BC'!$H$10:$H$276,0)),"")</f>
        <v>26</v>
      </c>
      <c r="Q48" s="494">
        <f t="shared" si="4"/>
        <v>11232000</v>
      </c>
      <c r="R48" s="392"/>
      <c r="S48" s="362">
        <f t="shared" si="12"/>
        <v>0</v>
      </c>
      <c r="T48" s="385"/>
      <c r="U48" s="362">
        <f t="shared" si="5"/>
        <v>0</v>
      </c>
      <c r="V48" s="584">
        <f t="shared" si="6"/>
        <v>70200</v>
      </c>
      <c r="W48" s="584"/>
      <c r="X48" s="371">
        <f t="shared" si="7"/>
        <v>11232000</v>
      </c>
      <c r="Y48" s="846">
        <f t="shared" si="8"/>
        <v>6.24</v>
      </c>
      <c r="Z48" s="491">
        <v>1800000</v>
      </c>
      <c r="AA48" s="662">
        <f t="shared" si="9"/>
        <v>11232000</v>
      </c>
      <c r="AB48" s="568">
        <f t="shared" si="10"/>
        <v>19</v>
      </c>
      <c r="AC48" s="493">
        <f>IFERROR(INDEX('[2]CN BC'!$M$10:$M$276,MATCH(B48,'[2]CN BC'!$H$10:$H$276,0)),"")</f>
        <v>0</v>
      </c>
      <c r="AD48" s="141"/>
      <c r="AG48" s="155"/>
    </row>
    <row r="49" spans="1:43" s="372" customFormat="1" ht="31.5" customHeight="1">
      <c r="A49" s="379">
        <f>_xlfn.AGGREGATE(4,7,A$29:A48)+1</f>
        <v>20</v>
      </c>
      <c r="B49" s="363" t="s">
        <v>1850</v>
      </c>
      <c r="C49" s="375" t="s">
        <v>1035</v>
      </c>
      <c r="D49" s="434" t="s">
        <v>1628</v>
      </c>
      <c r="E49" s="423" t="s">
        <v>1268</v>
      </c>
      <c r="F49" s="366">
        <v>3.46</v>
      </c>
      <c r="G49" s="367"/>
      <c r="H49" s="368">
        <f t="shared" si="0"/>
        <v>3.46</v>
      </c>
      <c r="I49" s="368"/>
      <c r="J49" s="368" t="str">
        <f>VLOOKUP(B49,TH!B40:J372,9,FALSE)</f>
        <v>NV Phòng Quản trị - Dịch vụ</v>
      </c>
      <c r="K49" s="369">
        <f t="shared" si="1"/>
        <v>3.46</v>
      </c>
      <c r="L49" s="362">
        <f t="shared" si="2"/>
        <v>6228000</v>
      </c>
      <c r="M49" s="366" t="str">
        <f>VLOOKUP(B49,'[1]Gui chi Quynh'!$B$11:$E$400,4,FALSE)</f>
        <v>A2</v>
      </c>
      <c r="N49" s="494">
        <f t="shared" si="3"/>
        <v>8719200</v>
      </c>
      <c r="O49" s="366">
        <v>21</v>
      </c>
      <c r="P49" s="440">
        <f>IFERROR(INDEX('[2]CN BC'!$J$10:$J$276,MATCH(B49,'[2]CN BC'!$H$10:$H$276,0)),"")</f>
        <v>21</v>
      </c>
      <c r="Q49" s="494">
        <f t="shared" si="4"/>
        <v>8719200</v>
      </c>
      <c r="R49" s="460"/>
      <c r="S49" s="362">
        <f t="shared" si="12"/>
        <v>0</v>
      </c>
      <c r="T49" s="370"/>
      <c r="U49" s="362">
        <f t="shared" si="5"/>
        <v>0</v>
      </c>
      <c r="V49" s="584">
        <f t="shared" si="6"/>
        <v>62280</v>
      </c>
      <c r="W49" s="584"/>
      <c r="X49" s="371">
        <f t="shared" si="7"/>
        <v>8719200</v>
      </c>
      <c r="Y49" s="846">
        <f t="shared" si="8"/>
        <v>4.8440000000000003</v>
      </c>
      <c r="Z49" s="491">
        <v>1800000</v>
      </c>
      <c r="AA49" s="662">
        <f t="shared" si="9"/>
        <v>8719200</v>
      </c>
      <c r="AB49" s="568">
        <f t="shared" si="10"/>
        <v>20</v>
      </c>
      <c r="AC49" s="493">
        <f>IFERROR(INDEX('[2]CN BC'!$M$10:$M$276,MATCH(B49,'[2]CN BC'!$H$10:$H$276,0)),"")</f>
        <v>0</v>
      </c>
      <c r="AD49" s="141"/>
      <c r="AE49" s="108"/>
      <c r="AF49" s="108"/>
      <c r="AG49" s="155"/>
      <c r="AH49" s="108"/>
      <c r="AI49" s="108"/>
      <c r="AJ49" s="108"/>
      <c r="AK49" s="108"/>
      <c r="AL49" s="108"/>
      <c r="AM49" s="108"/>
    </row>
    <row r="50" spans="1:43" s="108" customFormat="1" ht="31.5" customHeight="1">
      <c r="A50" s="379">
        <f>_xlfn.AGGREGATE(4,7,A$29:A49)+1</f>
        <v>21</v>
      </c>
      <c r="B50" s="33" t="s">
        <v>1451</v>
      </c>
      <c r="C50" s="149" t="s">
        <v>1087</v>
      </c>
      <c r="D50" s="406" t="s">
        <v>1629</v>
      </c>
      <c r="E50" s="431" t="s">
        <v>367</v>
      </c>
      <c r="F50" s="10">
        <v>3.46</v>
      </c>
      <c r="G50" s="157"/>
      <c r="H50" s="368">
        <f t="shared" si="0"/>
        <v>3.46</v>
      </c>
      <c r="I50" s="81"/>
      <c r="J50" s="368" t="str">
        <f>VLOOKUP(B50,TH!B41:J373,9,FALSE)</f>
        <v>Nhân viên phòng Quản trị - Dịch vụ</v>
      </c>
      <c r="K50" s="369">
        <f t="shared" si="1"/>
        <v>3.46</v>
      </c>
      <c r="L50" s="362">
        <f t="shared" si="2"/>
        <v>6228000</v>
      </c>
      <c r="M50" s="366" t="str">
        <f>VLOOKUP(B50,'[1]Gui chi Quynh'!$B$11:$E$400,4,FALSE)</f>
        <v>A1</v>
      </c>
      <c r="N50" s="494">
        <f t="shared" si="3"/>
        <v>9964800</v>
      </c>
      <c r="O50" s="366">
        <v>21</v>
      </c>
      <c r="P50" s="440">
        <f>IFERROR(INDEX('[2]CN BC'!$J$10:$J$276,MATCH(B50,'[2]CN BC'!$H$10:$H$276,0)),"")</f>
        <v>21</v>
      </c>
      <c r="Q50" s="494">
        <f t="shared" si="4"/>
        <v>9964800</v>
      </c>
      <c r="R50" s="392"/>
      <c r="S50" s="362">
        <f t="shared" si="12"/>
        <v>0</v>
      </c>
      <c r="T50" s="385"/>
      <c r="U50" s="362">
        <f t="shared" si="5"/>
        <v>0</v>
      </c>
      <c r="V50" s="584">
        <f t="shared" si="6"/>
        <v>62280</v>
      </c>
      <c r="W50" s="584"/>
      <c r="X50" s="371">
        <f t="shared" si="7"/>
        <v>9964800</v>
      </c>
      <c r="Y50" s="846">
        <f t="shared" si="8"/>
        <v>5.5359999999999996</v>
      </c>
      <c r="Z50" s="491">
        <v>1800000</v>
      </c>
      <c r="AA50" s="662">
        <f t="shared" si="9"/>
        <v>9964800</v>
      </c>
      <c r="AB50" s="568">
        <f t="shared" si="10"/>
        <v>21</v>
      </c>
      <c r="AC50" s="493">
        <f>IFERROR(INDEX('[2]CN BC'!$M$10:$M$276,MATCH(B50,'[2]CN BC'!$H$10:$H$276,0)),"")</f>
        <v>0</v>
      </c>
      <c r="AD50" s="141"/>
      <c r="AE50" s="471"/>
      <c r="AG50" s="155"/>
    </row>
    <row r="51" spans="1:43" s="372" customFormat="1" ht="31.5" customHeight="1">
      <c r="A51" s="379">
        <f>_xlfn.AGGREGATE(4,7,A$29:A50)+1</f>
        <v>22</v>
      </c>
      <c r="B51" s="363" t="s">
        <v>1452</v>
      </c>
      <c r="C51" s="375" t="s">
        <v>876</v>
      </c>
      <c r="D51" s="434" t="s">
        <v>1630</v>
      </c>
      <c r="E51" s="426">
        <v>1603205348129</v>
      </c>
      <c r="F51" s="366">
        <v>3.34</v>
      </c>
      <c r="G51" s="367"/>
      <c r="H51" s="368">
        <f t="shared" si="0"/>
        <v>3.34</v>
      </c>
      <c r="I51" s="368"/>
      <c r="J51" s="368" t="str">
        <f>VLOOKUP(B51,TH!B42:J374,9,FALSE)</f>
        <v>Nhân viên phòng Quản trị - Dịch vụ</v>
      </c>
      <c r="K51" s="369">
        <f t="shared" si="1"/>
        <v>3.34</v>
      </c>
      <c r="L51" s="362">
        <f t="shared" si="2"/>
        <v>6012000</v>
      </c>
      <c r="M51" s="366" t="str">
        <f>VLOOKUP(B51,'[1]Gui chi Quynh'!$B$11:$E$400,4,FALSE)</f>
        <v>A2</v>
      </c>
      <c r="N51" s="494">
        <f t="shared" si="3"/>
        <v>8416800</v>
      </c>
      <c r="O51" s="366">
        <v>21</v>
      </c>
      <c r="P51" s="440">
        <f>IFERROR(INDEX('[2]CN BC'!$J$10:$J$276,MATCH(B51,'[2]CN BC'!$H$10:$H$276,0)),"")</f>
        <v>22</v>
      </c>
      <c r="Q51" s="494">
        <f t="shared" si="4"/>
        <v>8416800</v>
      </c>
      <c r="R51" s="460"/>
      <c r="S51" s="362">
        <f t="shared" si="12"/>
        <v>0</v>
      </c>
      <c r="T51" s="370"/>
      <c r="U51" s="362">
        <f t="shared" si="5"/>
        <v>0</v>
      </c>
      <c r="V51" s="584">
        <f t="shared" si="6"/>
        <v>60120</v>
      </c>
      <c r="W51" s="584"/>
      <c r="X51" s="371">
        <f t="shared" si="7"/>
        <v>8416800</v>
      </c>
      <c r="Y51" s="846">
        <f t="shared" si="8"/>
        <v>4.6760000000000002</v>
      </c>
      <c r="Z51" s="491">
        <v>1800000</v>
      </c>
      <c r="AA51" s="662">
        <f t="shared" si="9"/>
        <v>8416800</v>
      </c>
      <c r="AB51" s="568">
        <f t="shared" si="10"/>
        <v>22</v>
      </c>
      <c r="AC51" s="493">
        <f>IFERROR(INDEX('[2]CN BC'!$M$10:$M$276,MATCH(B51,'[2]CN BC'!$H$10:$H$276,0)),"")</f>
        <v>0</v>
      </c>
      <c r="AD51" s="141"/>
      <c r="AE51" s="108"/>
      <c r="AF51" s="108"/>
      <c r="AG51" s="155"/>
      <c r="AH51" s="108"/>
      <c r="AI51" s="108"/>
      <c r="AJ51" s="108"/>
      <c r="AK51" s="108"/>
      <c r="AL51" s="108"/>
      <c r="AM51" s="108"/>
    </row>
    <row r="52" spans="1:43" s="108" customFormat="1" ht="31.5" customHeight="1">
      <c r="A52" s="379">
        <f>_xlfn.AGGREGATE(4,7,A$29:A51)+1</f>
        <v>23</v>
      </c>
      <c r="B52" s="33" t="s">
        <v>1453</v>
      </c>
      <c r="C52" s="149" t="s">
        <v>939</v>
      </c>
      <c r="D52" s="406" t="s">
        <v>1631</v>
      </c>
      <c r="E52" s="431" t="s">
        <v>384</v>
      </c>
      <c r="F52" s="83">
        <v>3.66</v>
      </c>
      <c r="G52" s="157"/>
      <c r="H52" s="445">
        <f t="shared" si="0"/>
        <v>3.66</v>
      </c>
      <c r="I52" s="81"/>
      <c r="J52" s="368" t="str">
        <f>VLOOKUP(B52,TH!B43:J375,9,FALSE)</f>
        <v>Nhân viên phòng Quản trị - Dịch vụ</v>
      </c>
      <c r="K52" s="369">
        <f t="shared" si="1"/>
        <v>3.66</v>
      </c>
      <c r="L52" s="362">
        <f t="shared" si="2"/>
        <v>6588000</v>
      </c>
      <c r="M52" s="366" t="str">
        <f>VLOOKUP(B52,'[1]Gui chi Quynh'!$B$11:$E$400,4,FALSE)</f>
        <v>A3</v>
      </c>
      <c r="N52" s="494">
        <f t="shared" si="3"/>
        <v>7905600</v>
      </c>
      <c r="O52" s="366">
        <v>21</v>
      </c>
      <c r="P52" s="440">
        <f>IFERROR(INDEX('[2]CN BC'!$J$10:$J$276,MATCH(B52,'[2]CN BC'!$H$10:$H$276,0)),"")</f>
        <v>21</v>
      </c>
      <c r="Q52" s="494">
        <f t="shared" si="4"/>
        <v>7905600</v>
      </c>
      <c r="R52" s="392"/>
      <c r="S52" s="362">
        <f t="shared" si="12"/>
        <v>0</v>
      </c>
      <c r="T52" s="385"/>
      <c r="U52" s="362">
        <f t="shared" si="5"/>
        <v>0</v>
      </c>
      <c r="V52" s="584">
        <f t="shared" si="6"/>
        <v>65880</v>
      </c>
      <c r="W52" s="584"/>
      <c r="X52" s="371">
        <f t="shared" si="7"/>
        <v>7905600</v>
      </c>
      <c r="Y52" s="846">
        <f t="shared" si="8"/>
        <v>4.3920000000000003</v>
      </c>
      <c r="Z52" s="491">
        <v>1800000</v>
      </c>
      <c r="AA52" s="662">
        <f t="shared" si="9"/>
        <v>7905600.0000000009</v>
      </c>
      <c r="AB52" s="568">
        <f t="shared" si="10"/>
        <v>23</v>
      </c>
      <c r="AC52" s="493">
        <f>IFERROR(INDEX('[2]CN BC'!$M$10:$M$276,MATCH(B52,'[2]CN BC'!$H$10:$H$276,0)),"")</f>
        <v>0</v>
      </c>
      <c r="AD52" s="141"/>
      <c r="AG52" s="155"/>
    </row>
    <row r="53" spans="1:43" s="372" customFormat="1" ht="25.5" customHeight="1">
      <c r="A53" s="379">
        <f>_xlfn.AGGREGATE(4,7,A$29:A52)+1</f>
        <v>24</v>
      </c>
      <c r="B53" s="363" t="s">
        <v>1522</v>
      </c>
      <c r="C53" s="380" t="s">
        <v>891</v>
      </c>
      <c r="D53" s="434" t="s">
        <v>1633</v>
      </c>
      <c r="E53" s="430">
        <v>1603205357238</v>
      </c>
      <c r="F53" s="366">
        <v>3.03</v>
      </c>
      <c r="G53" s="367"/>
      <c r="H53" s="368">
        <f t="shared" si="0"/>
        <v>3.03</v>
      </c>
      <c r="I53" s="368"/>
      <c r="J53" s="368" t="str">
        <f>VLOOKUP(B53,TH!B44:J376,9,FALSE)</f>
        <v>Nhân viên P. QT-DV</v>
      </c>
      <c r="K53" s="369">
        <f t="shared" si="1"/>
        <v>3.03</v>
      </c>
      <c r="L53" s="362">
        <f t="shared" si="2"/>
        <v>5454000</v>
      </c>
      <c r="M53" s="366" t="str">
        <f>VLOOKUP(B53,'[1]Gui chi Quynh'!$B$11:$E$400,4,FALSE)</f>
        <v>A2</v>
      </c>
      <c r="N53" s="494">
        <f t="shared" si="3"/>
        <v>7635599.9999999991</v>
      </c>
      <c r="O53" s="366">
        <v>21</v>
      </c>
      <c r="P53" s="440">
        <f>IFERROR(INDEX('[2]CN BC'!$J$10:$J$276,MATCH(B53,'[2]CN BC'!$H$10:$H$276,0)),"")</f>
        <v>25</v>
      </c>
      <c r="Q53" s="494">
        <f t="shared" si="4"/>
        <v>7635599.9999999991</v>
      </c>
      <c r="R53" s="460"/>
      <c r="S53" s="362">
        <f t="shared" si="12"/>
        <v>0</v>
      </c>
      <c r="T53" s="370"/>
      <c r="U53" s="362">
        <f t="shared" si="5"/>
        <v>0</v>
      </c>
      <c r="V53" s="584">
        <f t="shared" si="6"/>
        <v>54540</v>
      </c>
      <c r="W53" s="584"/>
      <c r="X53" s="371">
        <f t="shared" si="7"/>
        <v>7635599.9999999991</v>
      </c>
      <c r="Y53" s="846">
        <f t="shared" si="8"/>
        <v>4.2419999999999991</v>
      </c>
      <c r="Z53" s="491">
        <v>1800000</v>
      </c>
      <c r="AA53" s="662">
        <f t="shared" si="9"/>
        <v>7635599.9999999981</v>
      </c>
      <c r="AB53" s="568">
        <f t="shared" si="10"/>
        <v>24</v>
      </c>
      <c r="AC53" s="493">
        <f>IFERROR(INDEX('[2]CN BC'!$M$10:$M$276,MATCH(B53,'[2]CN BC'!$H$10:$H$276,0)),"")</f>
        <v>0</v>
      </c>
      <c r="AD53" s="141"/>
      <c r="AE53" s="108"/>
      <c r="AF53" s="108"/>
      <c r="AG53" s="155"/>
      <c r="AH53" s="108"/>
      <c r="AI53" s="108"/>
      <c r="AJ53" s="108"/>
      <c r="AK53" s="108"/>
      <c r="AL53" s="108"/>
      <c r="AM53" s="108"/>
    </row>
    <row r="54" spans="1:43" s="372" customFormat="1" ht="29.25" customHeight="1">
      <c r="A54" s="379">
        <f>_xlfn.AGGREGATE(4,7,A$29:A53)+1</f>
        <v>25</v>
      </c>
      <c r="B54" s="363" t="s">
        <v>1523</v>
      </c>
      <c r="C54" s="380" t="s">
        <v>876</v>
      </c>
      <c r="D54" s="434" t="s">
        <v>1634</v>
      </c>
      <c r="E54" s="426">
        <v>1603205302590</v>
      </c>
      <c r="F54" s="366">
        <v>3.34</v>
      </c>
      <c r="G54" s="367"/>
      <c r="H54" s="368">
        <f t="shared" si="0"/>
        <v>3.34</v>
      </c>
      <c r="I54" s="368"/>
      <c r="J54" s="368" t="str">
        <f>VLOOKUP(B54,TH!B45:J377,9,FALSE)</f>
        <v>Nhân viên P. QT-DV</v>
      </c>
      <c r="K54" s="369">
        <f t="shared" si="1"/>
        <v>3.34</v>
      </c>
      <c r="L54" s="362">
        <f t="shared" si="2"/>
        <v>6012000</v>
      </c>
      <c r="M54" s="366" t="str">
        <f>VLOOKUP(B54,'[1]Gui chi Quynh'!$B$11:$E$400,4,FALSE)</f>
        <v>A2</v>
      </c>
      <c r="N54" s="494">
        <f t="shared" si="3"/>
        <v>8416800</v>
      </c>
      <c r="O54" s="366">
        <v>21</v>
      </c>
      <c r="P54" s="440">
        <f>IFERROR(INDEX('[2]CN BC'!$J$10:$J$276,MATCH(B54,'[2]CN BC'!$H$10:$H$276,0)),"")</f>
        <v>28</v>
      </c>
      <c r="Q54" s="494">
        <f t="shared" si="4"/>
        <v>8416800</v>
      </c>
      <c r="R54" s="460"/>
      <c r="S54" s="362">
        <f t="shared" si="12"/>
        <v>0</v>
      </c>
      <c r="T54" s="370"/>
      <c r="U54" s="362">
        <f t="shared" si="5"/>
        <v>0</v>
      </c>
      <c r="V54" s="584">
        <f t="shared" si="6"/>
        <v>60120</v>
      </c>
      <c r="W54" s="584"/>
      <c r="X54" s="371">
        <f t="shared" si="7"/>
        <v>8416800</v>
      </c>
      <c r="Y54" s="846">
        <f t="shared" si="8"/>
        <v>4.6760000000000002</v>
      </c>
      <c r="Z54" s="491">
        <v>1800000</v>
      </c>
      <c r="AA54" s="662">
        <f t="shared" si="9"/>
        <v>8416800</v>
      </c>
      <c r="AB54" s="568">
        <f t="shared" si="10"/>
        <v>25</v>
      </c>
      <c r="AC54" s="493">
        <f>IFERROR(INDEX('[2]CN BC'!$M$10:$M$276,MATCH(B54,'[2]CN BC'!$H$10:$H$276,0)),"")</f>
        <v>0</v>
      </c>
      <c r="AD54" s="141"/>
      <c r="AE54" s="108"/>
      <c r="AF54" s="108"/>
      <c r="AG54" s="155"/>
      <c r="AH54" s="108"/>
      <c r="AI54" s="108"/>
      <c r="AJ54" s="108"/>
      <c r="AK54" s="108"/>
      <c r="AL54" s="108"/>
      <c r="AM54" s="108"/>
    </row>
    <row r="55" spans="1:43" s="372" customFormat="1" ht="26.25" customHeight="1">
      <c r="A55" s="379">
        <f>_xlfn.AGGREGATE(4,7,A$29:A54)+1</f>
        <v>26</v>
      </c>
      <c r="B55" s="444" t="s">
        <v>1606</v>
      </c>
      <c r="C55" s="419" t="s">
        <v>1605</v>
      </c>
      <c r="D55" s="418" t="s">
        <v>1635</v>
      </c>
      <c r="E55" s="488" t="s">
        <v>1604</v>
      </c>
      <c r="F55" s="373">
        <v>3</v>
      </c>
      <c r="G55" s="367"/>
      <c r="H55" s="445">
        <f t="shared" si="0"/>
        <v>3</v>
      </c>
      <c r="I55" s="368">
        <v>0.35</v>
      </c>
      <c r="J55" s="368" t="str">
        <f>VLOOKUP(B55,TH!B46:J378,9,FALSE)</f>
        <v>NV P. QT 
Dịch vụ</v>
      </c>
      <c r="K55" s="369">
        <f t="shared" si="1"/>
        <v>3.35</v>
      </c>
      <c r="L55" s="362">
        <f t="shared" si="2"/>
        <v>6030000</v>
      </c>
      <c r="M55" s="366" t="str">
        <f>VLOOKUP(B55,'[1]Gui chi Quynh'!$B$11:$E$400,4,FALSE)</f>
        <v>A1</v>
      </c>
      <c r="N55" s="494">
        <f t="shared" si="3"/>
        <v>9648000</v>
      </c>
      <c r="O55" s="366">
        <v>21</v>
      </c>
      <c r="P55" s="440">
        <f>IFERROR(INDEX('[2]CN BC'!$J$10:$J$276,MATCH(B55,'[2]CN BC'!$H$10:$H$276,0)),"")</f>
        <v>31</v>
      </c>
      <c r="Q55" s="494">
        <f t="shared" si="4"/>
        <v>9648000</v>
      </c>
      <c r="R55" s="460"/>
      <c r="S55" s="362">
        <f>R55*$G$26*1.6</f>
        <v>0</v>
      </c>
      <c r="T55" s="370"/>
      <c r="U55" s="362">
        <f t="shared" si="5"/>
        <v>0</v>
      </c>
      <c r="V55" s="584">
        <f t="shared" si="6"/>
        <v>60300</v>
      </c>
      <c r="W55" s="584"/>
      <c r="X55" s="371">
        <f t="shared" si="7"/>
        <v>9648000</v>
      </c>
      <c r="Y55" s="846">
        <f t="shared" si="8"/>
        <v>5.36</v>
      </c>
      <c r="Z55" s="491">
        <v>1800000</v>
      </c>
      <c r="AA55" s="662">
        <f t="shared" si="9"/>
        <v>9648000</v>
      </c>
      <c r="AB55" s="568">
        <f t="shared" si="10"/>
        <v>26</v>
      </c>
      <c r="AC55" s="493">
        <f>IFERROR(INDEX('[2]CN BC'!$M$10:$M$276,MATCH(B55,'[2]CN BC'!$H$10:$H$276,0)),"")</f>
        <v>0</v>
      </c>
      <c r="AD55" s="141"/>
      <c r="AE55" s="108"/>
      <c r="AF55" s="108"/>
      <c r="AG55" s="155"/>
    </row>
    <row r="56" spans="1:43" s="372" customFormat="1" ht="26.25" customHeight="1">
      <c r="A56" s="379">
        <f>_xlfn.AGGREGATE(4,7,A$29:A55)+1</f>
        <v>27</v>
      </c>
      <c r="B56" s="444" t="s">
        <v>1843</v>
      </c>
      <c r="C56" s="419"/>
      <c r="D56" s="418" t="s">
        <v>1955</v>
      </c>
      <c r="E56" s="479" t="s">
        <v>1936</v>
      </c>
      <c r="F56" s="366">
        <v>2.67</v>
      </c>
      <c r="G56" s="367"/>
      <c r="H56" s="368">
        <f t="shared" si="0"/>
        <v>2.67</v>
      </c>
      <c r="I56" s="368"/>
      <c r="J56" s="368" t="str">
        <f>VLOOKUP(B56,TH!B47:J379,9,FALSE)</f>
        <v>NV P. QT 
Dịch vụ</v>
      </c>
      <c r="K56" s="369">
        <f t="shared" si="1"/>
        <v>2.67</v>
      </c>
      <c r="L56" s="362">
        <f t="shared" si="2"/>
        <v>4806000</v>
      </c>
      <c r="M56" s="366" t="str">
        <f>VLOOKUP(B56,'[1]Gui chi Quynh'!$B$11:$E$400,4,FALSE)</f>
        <v>A1</v>
      </c>
      <c r="N56" s="494">
        <f t="shared" si="3"/>
        <v>7689600</v>
      </c>
      <c r="O56" s="366">
        <v>21</v>
      </c>
      <c r="P56" s="440">
        <f>IFERROR(INDEX('[2]CN BC'!$J$10:$J$276,MATCH(B56,'[2]CN BC'!$H$10:$H$276,0)),"")</f>
        <v>28</v>
      </c>
      <c r="Q56" s="494">
        <f t="shared" si="4"/>
        <v>7689600</v>
      </c>
      <c r="R56" s="460"/>
      <c r="S56" s="362">
        <f>R56*$G$26*1</f>
        <v>0</v>
      </c>
      <c r="T56" s="370"/>
      <c r="U56" s="362">
        <f t="shared" si="5"/>
        <v>0</v>
      </c>
      <c r="V56" s="584">
        <f t="shared" si="6"/>
        <v>48060</v>
      </c>
      <c r="W56" s="584"/>
      <c r="X56" s="371">
        <f t="shared" si="7"/>
        <v>7689600</v>
      </c>
      <c r="Y56" s="846">
        <f t="shared" si="8"/>
        <v>4.2720000000000002</v>
      </c>
      <c r="Z56" s="491">
        <v>1800000</v>
      </c>
      <c r="AA56" s="662">
        <f t="shared" si="9"/>
        <v>7689600</v>
      </c>
      <c r="AB56" s="568">
        <f t="shared" si="10"/>
        <v>27</v>
      </c>
      <c r="AC56" s="493">
        <f>IFERROR(INDEX('[2]CN BC'!$M$10:$M$276,MATCH(B56,'[2]CN BC'!$H$10:$H$276,0)),"")</f>
        <v>0</v>
      </c>
      <c r="AD56" s="141"/>
      <c r="AE56" s="108"/>
      <c r="AF56" s="108"/>
      <c r="AG56" s="155"/>
      <c r="AH56" s="108"/>
      <c r="AI56" s="108"/>
      <c r="AJ56" s="108"/>
      <c r="AK56" s="108"/>
      <c r="AL56" s="108"/>
      <c r="AM56" s="108"/>
    </row>
    <row r="57" spans="1:43" s="108" customFormat="1" ht="27" customHeight="1">
      <c r="A57" s="379">
        <f>_xlfn.AGGREGATE(4,7,A$29:A56)+1</f>
        <v>28</v>
      </c>
      <c r="B57" s="33" t="s">
        <v>1856</v>
      </c>
      <c r="C57" s="149" t="s">
        <v>880</v>
      </c>
      <c r="D57" s="406" t="s">
        <v>1652</v>
      </c>
      <c r="E57" s="424" t="s">
        <v>1293</v>
      </c>
      <c r="F57" s="10">
        <v>4.9800000000000004</v>
      </c>
      <c r="G57" s="157">
        <v>0.05</v>
      </c>
      <c r="H57" s="368">
        <f t="shared" si="0"/>
        <v>5.2290000000000001</v>
      </c>
      <c r="I57" s="368">
        <v>0.25</v>
      </c>
      <c r="J57" s="368" t="str">
        <f>VLOOKUP(B57,TH!B48:J380,9,FALSE)</f>
        <v>Nhân viên phòng Quản trị - Dịch vụ</v>
      </c>
      <c r="K57" s="369">
        <f t="shared" si="1"/>
        <v>5.4790000000000001</v>
      </c>
      <c r="L57" s="362">
        <f t="shared" si="2"/>
        <v>9862200</v>
      </c>
      <c r="M57" s="366" t="str">
        <f>VLOOKUP(B57,'[1]Gui chi Quynh'!$B$11:$E$400,4,FALSE)</f>
        <v>A2</v>
      </c>
      <c r="N57" s="494">
        <f t="shared" si="3"/>
        <v>13807080</v>
      </c>
      <c r="O57" s="366">
        <v>21</v>
      </c>
      <c r="P57" s="440">
        <f>IFERROR(INDEX('[2]CN BC'!$J$10:$J$276,MATCH(B57,'[2]CN BC'!$H$10:$H$276,0)),"")</f>
        <v>26</v>
      </c>
      <c r="Q57" s="494">
        <f t="shared" si="4"/>
        <v>13807080</v>
      </c>
      <c r="R57" s="392"/>
      <c r="S57" s="362">
        <f>R57*$G$26*1</f>
        <v>0</v>
      </c>
      <c r="T57" s="385"/>
      <c r="U57" s="362">
        <f t="shared" si="5"/>
        <v>0</v>
      </c>
      <c r="V57" s="584">
        <f t="shared" si="6"/>
        <v>98622</v>
      </c>
      <c r="W57" s="584"/>
      <c r="X57" s="371">
        <f t="shared" si="7"/>
        <v>13807080</v>
      </c>
      <c r="Y57" s="846">
        <f t="shared" si="8"/>
        <v>7.6706000000000003</v>
      </c>
      <c r="Z57" s="491">
        <v>1800000</v>
      </c>
      <c r="AA57" s="662">
        <f t="shared" si="9"/>
        <v>13807080</v>
      </c>
      <c r="AB57" s="568">
        <f t="shared" si="10"/>
        <v>28</v>
      </c>
      <c r="AC57" s="493">
        <f>IFERROR(INDEX('[2]CN BC'!$M$10:$M$276,MATCH(B57,'[2]CN BC'!$H$10:$H$276,0)),"")</f>
        <v>0</v>
      </c>
      <c r="AD57" s="141"/>
      <c r="AG57" s="155"/>
    </row>
    <row r="58" spans="1:43" s="372" customFormat="1" ht="56.25" customHeight="1">
      <c r="A58" s="379">
        <f>_xlfn.AGGREGATE(4,7,A$29:A57)+1</f>
        <v>29</v>
      </c>
      <c r="B58" s="575" t="s">
        <v>1462</v>
      </c>
      <c r="C58" s="650" t="s">
        <v>962</v>
      </c>
      <c r="D58" s="576" t="s">
        <v>1654</v>
      </c>
      <c r="E58" s="835">
        <v>1603205182619</v>
      </c>
      <c r="F58" s="548">
        <v>3.66</v>
      </c>
      <c r="G58" s="528"/>
      <c r="H58" s="472">
        <f t="shared" si="0"/>
        <v>3.66</v>
      </c>
      <c r="I58" s="472"/>
      <c r="J58" s="472" t="str">
        <f>VLOOKUP(B58,TH!B49:J381,9,FALSE)</f>
        <v>Nhân viên phòng Quản trị - Dịch vụ</v>
      </c>
      <c r="K58" s="529">
        <f t="shared" si="1"/>
        <v>3.66</v>
      </c>
      <c r="L58" s="530">
        <f t="shared" si="2"/>
        <v>6588000</v>
      </c>
      <c r="M58" s="548" t="str">
        <f>VLOOKUP(B58,'[1]Gui chi Quynh'!$B$11:$E$400,4,FALSE)</f>
        <v>B2</v>
      </c>
      <c r="N58" s="531">
        <f t="shared" si="3"/>
        <v>3294000</v>
      </c>
      <c r="O58" s="548">
        <v>21</v>
      </c>
      <c r="P58" s="532">
        <f>IFERROR(INDEX('[2]CN BC'!$J$10:$J$276,MATCH(B58,'[2]CN BC'!$H$10:$H$276,0)),"")</f>
        <v>25</v>
      </c>
      <c r="Q58" s="531">
        <f t="shared" si="4"/>
        <v>3294000</v>
      </c>
      <c r="R58" s="533"/>
      <c r="S58" s="530">
        <f>R58*$G$26*0.8</f>
        <v>0</v>
      </c>
      <c r="T58" s="534"/>
      <c r="U58" s="530">
        <f t="shared" si="5"/>
        <v>0</v>
      </c>
      <c r="V58" s="530">
        <f t="shared" si="6"/>
        <v>65880</v>
      </c>
      <c r="W58" s="530"/>
      <c r="X58" s="371">
        <f t="shared" si="7"/>
        <v>3294000</v>
      </c>
      <c r="Y58" s="894">
        <f t="shared" si="8"/>
        <v>1.83</v>
      </c>
      <c r="Z58" s="843">
        <v>1800000</v>
      </c>
      <c r="AA58" s="708">
        <f t="shared" si="9"/>
        <v>3294000</v>
      </c>
      <c r="AB58" s="568">
        <f t="shared" si="10"/>
        <v>29</v>
      </c>
      <c r="AC58" s="550" t="s">
        <v>2193</v>
      </c>
      <c r="AD58" s="542"/>
      <c r="AG58" s="487"/>
    </row>
    <row r="59" spans="1:43" s="372" customFormat="1" ht="27" customHeight="1">
      <c r="A59" s="379">
        <f>_xlfn.AGGREGATE(4,7,A$29:A58)+1</f>
        <v>30</v>
      </c>
      <c r="B59" s="363" t="s">
        <v>2012</v>
      </c>
      <c r="C59" s="375"/>
      <c r="D59" s="434"/>
      <c r="E59" s="428"/>
      <c r="F59" s="366">
        <v>4.0599999999999996</v>
      </c>
      <c r="G59" s="367">
        <v>0.1</v>
      </c>
      <c r="H59" s="368">
        <f t="shared" si="0"/>
        <v>4.4659999999999993</v>
      </c>
      <c r="I59" s="368">
        <v>0.35</v>
      </c>
      <c r="J59" s="368" t="str">
        <f>VLOOKUP(B59,TH!B50:J382,9,FALSE)</f>
        <v>Nhân viên phòng Quản trị - Dịch vụ</v>
      </c>
      <c r="K59" s="369">
        <f t="shared" si="1"/>
        <v>4.8159999999999989</v>
      </c>
      <c r="L59" s="362">
        <f t="shared" si="2"/>
        <v>8668799.9999999981</v>
      </c>
      <c r="M59" s="366" t="str">
        <f>VLOOKUP(B59,'[1]Gui chi Quynh'!$B$11:$E$400,4,FALSE)</f>
        <v>A1</v>
      </c>
      <c r="N59" s="494">
        <f t="shared" si="3"/>
        <v>13870079.999999998</v>
      </c>
      <c r="O59" s="366">
        <v>21</v>
      </c>
      <c r="P59" s="440">
        <f>IFERROR(INDEX('[2]CN BC'!$J$10:$J$276,MATCH(B59,'[2]CN BC'!$H$10:$H$276,0)),"")</f>
        <v>25</v>
      </c>
      <c r="Q59" s="494">
        <f t="shared" si="4"/>
        <v>13870079.999999998</v>
      </c>
      <c r="R59" s="460"/>
      <c r="S59" s="362">
        <f>R59*$G$26*0.8</f>
        <v>0</v>
      </c>
      <c r="T59" s="370"/>
      <c r="U59" s="362">
        <f t="shared" si="5"/>
        <v>0</v>
      </c>
      <c r="V59" s="584">
        <f t="shared" si="6"/>
        <v>86688</v>
      </c>
      <c r="W59" s="584"/>
      <c r="X59" s="371">
        <f t="shared" si="7"/>
        <v>13870079.999999998</v>
      </c>
      <c r="Y59" s="846">
        <f t="shared" si="8"/>
        <v>7.7055999999999987</v>
      </c>
      <c r="Z59" s="491">
        <v>1800000</v>
      </c>
      <c r="AA59" s="662">
        <f t="shared" si="9"/>
        <v>13870079.999999998</v>
      </c>
      <c r="AB59" s="568">
        <f t="shared" si="10"/>
        <v>30</v>
      </c>
      <c r="AC59" s="493">
        <f>IFERROR(INDEX('[2]CN BC'!$M$10:$M$276,MATCH(B59,'[2]CN BC'!$H$10:$H$276,0)),"")</f>
        <v>0</v>
      </c>
      <c r="AD59" s="542"/>
      <c r="AG59" s="487"/>
    </row>
    <row r="60" spans="1:43" s="108" customFormat="1" ht="27" customHeight="1">
      <c r="A60" s="379">
        <f>_xlfn.AGGREGATE(4,7,A$29:A59)+1</f>
        <v>31</v>
      </c>
      <c r="B60" s="33" t="s">
        <v>1852</v>
      </c>
      <c r="C60" s="149" t="s">
        <v>900</v>
      </c>
      <c r="D60" s="406" t="s">
        <v>1636</v>
      </c>
      <c r="E60" s="424" t="s">
        <v>1258</v>
      </c>
      <c r="F60" s="83">
        <v>4.6500000000000004</v>
      </c>
      <c r="G60" s="161"/>
      <c r="H60" s="368">
        <f t="shared" si="0"/>
        <v>4.6500000000000004</v>
      </c>
      <c r="I60" s="81">
        <v>0.45</v>
      </c>
      <c r="J60" s="368" t="str">
        <f>VLOOKUP(B60,TH!B51:J383,9,FALSE)</f>
        <v>Trưởng TT Y tế</v>
      </c>
      <c r="K60" s="369">
        <f t="shared" si="1"/>
        <v>5.1000000000000005</v>
      </c>
      <c r="L60" s="362">
        <f t="shared" si="2"/>
        <v>9180000.0000000019</v>
      </c>
      <c r="M60" s="366" t="str">
        <f>VLOOKUP(B60,'[1]Gui chi Quynh'!$B$11:$E$400,4,FALSE)</f>
        <v>A1</v>
      </c>
      <c r="N60" s="494">
        <f t="shared" si="3"/>
        <v>14688000.000000004</v>
      </c>
      <c r="O60" s="366">
        <v>21</v>
      </c>
      <c r="P60" s="440">
        <f>IFERROR(INDEX('[2]CN BC'!$J$10:$J$276,MATCH(B60,'[2]CN BC'!$H$10:$H$276,0)),"")</f>
        <v>26</v>
      </c>
      <c r="Q60" s="494">
        <f t="shared" si="4"/>
        <v>14688000.000000004</v>
      </c>
      <c r="R60" s="392"/>
      <c r="S60" s="362">
        <f>R60*$G$26*1</f>
        <v>0</v>
      </c>
      <c r="T60" s="385"/>
      <c r="U60" s="362">
        <f t="shared" si="5"/>
        <v>0</v>
      </c>
      <c r="V60" s="584">
        <f t="shared" si="6"/>
        <v>91800</v>
      </c>
      <c r="W60" s="584"/>
      <c r="X60" s="371">
        <f t="shared" si="7"/>
        <v>14688000.000000004</v>
      </c>
      <c r="Y60" s="846">
        <f t="shared" si="8"/>
        <v>8.1600000000000019</v>
      </c>
      <c r="Z60" s="491">
        <v>1800000</v>
      </c>
      <c r="AA60" s="662">
        <f t="shared" si="9"/>
        <v>14688000.000000004</v>
      </c>
      <c r="AB60" s="568">
        <f t="shared" si="10"/>
        <v>31</v>
      </c>
      <c r="AC60" s="493">
        <f>IFERROR(INDEX('[2]CN BC'!$M$10:$M$276,MATCH(B60,'[2]CN BC'!$H$10:$H$276,0)),"")</f>
        <v>0</v>
      </c>
      <c r="AD60" s="141"/>
      <c r="AG60" s="155"/>
    </row>
    <row r="61" spans="1:43" s="108" customFormat="1" ht="27" customHeight="1">
      <c r="A61" s="379">
        <f>_xlfn.AGGREGATE(4,7,A$29:A60)+1</f>
        <v>32</v>
      </c>
      <c r="B61" s="33" t="s">
        <v>1454</v>
      </c>
      <c r="C61" s="149" t="s">
        <v>885</v>
      </c>
      <c r="D61" s="406" t="s">
        <v>1637</v>
      </c>
      <c r="E61" s="431">
        <v>1603205247426</v>
      </c>
      <c r="F61" s="10">
        <v>3.66</v>
      </c>
      <c r="G61" s="157"/>
      <c r="H61" s="368">
        <f t="shared" si="0"/>
        <v>3.66</v>
      </c>
      <c r="I61" s="81"/>
      <c r="J61" s="368" t="str">
        <f>VLOOKUP(B61,TH!B52:J384,9,FALSE)</f>
        <v>Nhân viên Trung tâm Y tế</v>
      </c>
      <c r="K61" s="369">
        <f t="shared" si="1"/>
        <v>3.66</v>
      </c>
      <c r="L61" s="362">
        <f t="shared" si="2"/>
        <v>6588000</v>
      </c>
      <c r="M61" s="366" t="str">
        <f>VLOOKUP(B61,'[1]Gui chi Quynh'!$B$11:$E$400,4,FALSE)</f>
        <v>A2</v>
      </c>
      <c r="N61" s="494">
        <f t="shared" si="3"/>
        <v>9223200</v>
      </c>
      <c r="O61" s="366">
        <v>21</v>
      </c>
      <c r="P61" s="440">
        <f>IFERROR(INDEX('[2]CN BC'!$J$10:$J$276,MATCH(B61,'[2]CN BC'!$H$10:$H$276,0)),"")</f>
        <v>26</v>
      </c>
      <c r="Q61" s="494">
        <f t="shared" si="4"/>
        <v>9223200</v>
      </c>
      <c r="R61" s="392"/>
      <c r="S61" s="362">
        <f>R61*$G$26*1</f>
        <v>0</v>
      </c>
      <c r="T61" s="385"/>
      <c r="U61" s="362">
        <f t="shared" si="5"/>
        <v>0</v>
      </c>
      <c r="V61" s="584">
        <f t="shared" si="6"/>
        <v>65880</v>
      </c>
      <c r="W61" s="584"/>
      <c r="X61" s="371">
        <f t="shared" si="7"/>
        <v>9223200</v>
      </c>
      <c r="Y61" s="846">
        <f t="shared" si="8"/>
        <v>5.1239999999999997</v>
      </c>
      <c r="Z61" s="491">
        <v>1800000</v>
      </c>
      <c r="AA61" s="662">
        <f t="shared" si="9"/>
        <v>9223200</v>
      </c>
      <c r="AB61" s="568">
        <f t="shared" si="10"/>
        <v>32</v>
      </c>
      <c r="AC61" s="493">
        <f>IFERROR(INDEX('[2]CN BC'!$M$10:$M$276,MATCH(B61,'[2]CN BC'!$H$10:$H$276,0)),"")</f>
        <v>0</v>
      </c>
      <c r="AD61" s="141"/>
      <c r="AG61" s="155"/>
    </row>
    <row r="62" spans="1:43" s="372" customFormat="1" ht="27" customHeight="1">
      <c r="A62" s="379">
        <f>_xlfn.AGGREGATE(4,7,A$29:A61)+1</f>
        <v>33</v>
      </c>
      <c r="B62" s="363" t="s">
        <v>1445</v>
      </c>
      <c r="C62" s="375" t="s">
        <v>1443</v>
      </c>
      <c r="D62" s="406" t="s">
        <v>1638</v>
      </c>
      <c r="E62" s="422" t="s">
        <v>1576</v>
      </c>
      <c r="F62" s="373">
        <v>4.9800000000000004</v>
      </c>
      <c r="G62" s="367">
        <v>0.37</v>
      </c>
      <c r="H62" s="368">
        <f t="shared" si="0"/>
        <v>6.8226000000000004</v>
      </c>
      <c r="I62" s="368">
        <v>0.45</v>
      </c>
      <c r="J62" s="368" t="str">
        <f>VLOOKUP(B62,TH!B53:J385,9,FALSE)</f>
        <v>TP. Kế hoạch - Tài chính</v>
      </c>
      <c r="K62" s="369">
        <f t="shared" si="1"/>
        <v>7.2726000000000006</v>
      </c>
      <c r="L62" s="362">
        <f t="shared" si="2"/>
        <v>13090680.000000002</v>
      </c>
      <c r="M62" s="366" t="str">
        <f>VLOOKUP(B62,'[1]Gui chi Quynh'!$B$11:$E$400,4,FALSE)</f>
        <v>A1</v>
      </c>
      <c r="N62" s="494">
        <f t="shared" si="3"/>
        <v>20945088.000000004</v>
      </c>
      <c r="O62" s="366">
        <v>21</v>
      </c>
      <c r="P62" s="440">
        <f>IFERROR(INDEX('[2]CN BC'!$J$10:$J$276,MATCH(B62,'[2]CN BC'!$H$10:$H$276,0)),"")</f>
        <v>27</v>
      </c>
      <c r="Q62" s="494">
        <f t="shared" si="4"/>
        <v>20945088.000000004</v>
      </c>
      <c r="R62" s="392"/>
      <c r="S62" s="362">
        <f>R62*$G$26*1</f>
        <v>0</v>
      </c>
      <c r="T62" s="385"/>
      <c r="U62" s="362">
        <f t="shared" si="5"/>
        <v>0</v>
      </c>
      <c r="V62" s="584">
        <f t="shared" si="6"/>
        <v>130907</v>
      </c>
      <c r="W62" s="584"/>
      <c r="X62" s="371">
        <f t="shared" si="7"/>
        <v>20945088.000000004</v>
      </c>
      <c r="Y62" s="846">
        <f t="shared" si="8"/>
        <v>11.636160000000002</v>
      </c>
      <c r="Z62" s="491">
        <v>1800000</v>
      </c>
      <c r="AA62" s="662">
        <f t="shared" si="9"/>
        <v>20945088.000000004</v>
      </c>
      <c r="AB62" s="568">
        <f t="shared" si="10"/>
        <v>33</v>
      </c>
      <c r="AC62" s="493">
        <f>IFERROR(INDEX('[2]CN BC'!$M$10:$M$276,MATCH(B62,'[2]CN BC'!$H$10:$H$276,0)),"")</f>
        <v>0</v>
      </c>
      <c r="AD62" s="141"/>
      <c r="AE62" s="108"/>
      <c r="AF62" s="108"/>
      <c r="AG62" s="155"/>
      <c r="AH62" s="108"/>
      <c r="AI62" s="108"/>
      <c r="AJ62" s="108"/>
      <c r="AK62" s="108"/>
      <c r="AL62" s="108"/>
      <c r="AM62" s="108"/>
      <c r="AN62" s="108"/>
      <c r="AO62" s="108"/>
      <c r="AP62" s="108"/>
      <c r="AQ62" s="108"/>
    </row>
    <row r="63" spans="1:43" s="108" customFormat="1" ht="26.25" customHeight="1">
      <c r="A63" s="379">
        <f>_xlfn.AGGREGATE(4,7,A$29:A62)+1</f>
        <v>34</v>
      </c>
      <c r="B63" s="33" t="s">
        <v>1455</v>
      </c>
      <c r="C63" s="149" t="s">
        <v>912</v>
      </c>
      <c r="D63" s="406" t="s">
        <v>1640</v>
      </c>
      <c r="E63" s="424" t="s">
        <v>368</v>
      </c>
      <c r="F63" s="10">
        <v>3.99</v>
      </c>
      <c r="G63" s="157"/>
      <c r="H63" s="368">
        <f t="shared" si="0"/>
        <v>3.99</v>
      </c>
      <c r="I63" s="81"/>
      <c r="J63" s="368" t="str">
        <f>VLOOKUP(B63,TH!B54:J386,9,FALSE)</f>
        <v>NV phòng KH-TC</v>
      </c>
      <c r="K63" s="369">
        <f t="shared" si="1"/>
        <v>3.99</v>
      </c>
      <c r="L63" s="362">
        <f t="shared" si="2"/>
        <v>7182000</v>
      </c>
      <c r="M63" s="366" t="str">
        <f>VLOOKUP(B63,'[1]Gui chi Quynh'!$B$11:$E$400,4,FALSE)</f>
        <v>A1</v>
      </c>
      <c r="N63" s="494">
        <f t="shared" si="3"/>
        <v>11491200</v>
      </c>
      <c r="O63" s="366">
        <v>21</v>
      </c>
      <c r="P63" s="440">
        <f>IFERROR(INDEX('[2]CN BC'!$J$10:$J$276,MATCH(B63,'[2]CN BC'!$H$10:$H$276,0)),"")</f>
        <v>25</v>
      </c>
      <c r="Q63" s="494">
        <f t="shared" si="4"/>
        <v>11491200</v>
      </c>
      <c r="R63" s="392"/>
      <c r="S63" s="362">
        <f>R63*$G$26*1</f>
        <v>0</v>
      </c>
      <c r="T63" s="385"/>
      <c r="U63" s="362">
        <f t="shared" si="5"/>
        <v>0</v>
      </c>
      <c r="V63" s="584">
        <f t="shared" si="6"/>
        <v>71820</v>
      </c>
      <c r="W63" s="584"/>
      <c r="X63" s="371">
        <f t="shared" si="7"/>
        <v>11491200</v>
      </c>
      <c r="Y63" s="846">
        <f t="shared" si="8"/>
        <v>6.3840000000000003</v>
      </c>
      <c r="Z63" s="491">
        <v>1800000</v>
      </c>
      <c r="AA63" s="662">
        <f t="shared" si="9"/>
        <v>11491200</v>
      </c>
      <c r="AB63" s="568">
        <f t="shared" si="10"/>
        <v>34</v>
      </c>
      <c r="AC63" s="493">
        <f>IFERROR(INDEX('[2]CN BC'!$M$10:$M$276,MATCH(B63,'[2]CN BC'!$H$10:$H$276,0)),"")</f>
        <v>0</v>
      </c>
      <c r="AD63" s="141"/>
      <c r="AG63" s="155"/>
    </row>
    <row r="64" spans="1:43" s="372" customFormat="1" ht="27" customHeight="1">
      <c r="A64" s="379">
        <f>_xlfn.AGGREGATE(4,7,A$29:A63)+1</f>
        <v>35</v>
      </c>
      <c r="B64" s="363" t="s">
        <v>1456</v>
      </c>
      <c r="C64" s="375" t="s">
        <v>494</v>
      </c>
      <c r="D64" s="434" t="s">
        <v>1641</v>
      </c>
      <c r="E64" s="428">
        <v>1603205178873</v>
      </c>
      <c r="F64" s="366">
        <v>3.66</v>
      </c>
      <c r="G64" s="367"/>
      <c r="H64" s="368">
        <f t="shared" si="0"/>
        <v>3.66</v>
      </c>
      <c r="I64" s="368"/>
      <c r="J64" s="368" t="str">
        <f>VLOOKUP(B64,TH!B55:J387,9,FALSE)</f>
        <v>NV phòng KH-TC</v>
      </c>
      <c r="K64" s="369">
        <f t="shared" si="1"/>
        <v>3.66</v>
      </c>
      <c r="L64" s="362">
        <f t="shared" si="2"/>
        <v>6588000</v>
      </c>
      <c r="M64" s="366" t="str">
        <f>VLOOKUP(B64,'[1]Gui chi Quynh'!$B$11:$E$400,4,FALSE)</f>
        <v>A1</v>
      </c>
      <c r="N64" s="494">
        <f t="shared" si="3"/>
        <v>10540800</v>
      </c>
      <c r="O64" s="366">
        <v>21</v>
      </c>
      <c r="P64" s="440">
        <f>IFERROR(INDEX('[2]CN BC'!$J$10:$J$276,MATCH(B64,'[2]CN BC'!$H$10:$H$276,0)),"")</f>
        <v>25</v>
      </c>
      <c r="Q64" s="494">
        <f t="shared" si="4"/>
        <v>10540800</v>
      </c>
      <c r="R64" s="460"/>
      <c r="S64" s="362">
        <f>R64*$G$26*1.6</f>
        <v>0</v>
      </c>
      <c r="T64" s="370"/>
      <c r="U64" s="362">
        <f t="shared" si="5"/>
        <v>0</v>
      </c>
      <c r="V64" s="584">
        <f t="shared" si="6"/>
        <v>65880</v>
      </c>
      <c r="W64" s="584"/>
      <c r="X64" s="371">
        <f t="shared" si="7"/>
        <v>10540800</v>
      </c>
      <c r="Y64" s="846">
        <f t="shared" si="8"/>
        <v>5.8559999999999999</v>
      </c>
      <c r="Z64" s="491">
        <v>1800000</v>
      </c>
      <c r="AA64" s="662">
        <f t="shared" si="9"/>
        <v>10540800</v>
      </c>
      <c r="AB64" s="568">
        <f t="shared" si="10"/>
        <v>35</v>
      </c>
      <c r="AC64" s="493">
        <f>IFERROR(INDEX('[2]CN BC'!$M$10:$M$276,MATCH(B64,'[2]CN BC'!$H$10:$H$276,0)),"")</f>
        <v>0</v>
      </c>
      <c r="AD64" s="141"/>
      <c r="AE64" s="108"/>
      <c r="AF64" s="108"/>
      <c r="AG64" s="155"/>
      <c r="AH64" s="108"/>
      <c r="AI64" s="108"/>
      <c r="AJ64" s="108"/>
      <c r="AK64" s="108"/>
      <c r="AL64" s="108"/>
      <c r="AM64" s="108"/>
    </row>
    <row r="65" spans="1:43" s="372" customFormat="1" ht="27" customHeight="1">
      <c r="A65" s="379">
        <f>_xlfn.AGGREGATE(4,7,A$29:A64)+1</f>
        <v>36</v>
      </c>
      <c r="B65" s="363" t="s">
        <v>1457</v>
      </c>
      <c r="C65" s="375" t="s">
        <v>1178</v>
      </c>
      <c r="D65" s="434" t="s">
        <v>1642</v>
      </c>
      <c r="E65" s="426">
        <v>1603205372861</v>
      </c>
      <c r="F65" s="366">
        <v>2.67</v>
      </c>
      <c r="G65" s="367"/>
      <c r="H65" s="368">
        <f t="shared" si="0"/>
        <v>2.67</v>
      </c>
      <c r="I65" s="368"/>
      <c r="J65" s="368" t="str">
        <f>VLOOKUP(B65,TH!B56:J388,9,FALSE)</f>
        <v>NV phòng KH-TC</v>
      </c>
      <c r="K65" s="369">
        <f t="shared" si="1"/>
        <v>2.67</v>
      </c>
      <c r="L65" s="362">
        <f t="shared" si="2"/>
        <v>4806000</v>
      </c>
      <c r="M65" s="366" t="str">
        <f>VLOOKUP(B65,'[1]Gui chi Quynh'!$B$11:$E$400,4,FALSE)</f>
        <v>A2</v>
      </c>
      <c r="N65" s="494">
        <f t="shared" si="3"/>
        <v>6728400</v>
      </c>
      <c r="O65" s="366">
        <v>21</v>
      </c>
      <c r="P65" s="440">
        <f>IFERROR(INDEX('[2]CN BC'!$J$10:$J$276,MATCH(B65,'[2]CN BC'!$H$10:$H$276,0)),"")</f>
        <v>26</v>
      </c>
      <c r="Q65" s="494">
        <f t="shared" si="4"/>
        <v>6728400</v>
      </c>
      <c r="R65" s="460"/>
      <c r="S65" s="362">
        <f>R65*$G$26*1</f>
        <v>0</v>
      </c>
      <c r="T65" s="370"/>
      <c r="U65" s="362">
        <f t="shared" si="5"/>
        <v>0</v>
      </c>
      <c r="V65" s="584">
        <f t="shared" si="6"/>
        <v>48060</v>
      </c>
      <c r="W65" s="584"/>
      <c r="X65" s="371">
        <f t="shared" si="7"/>
        <v>6728400</v>
      </c>
      <c r="Y65" s="846">
        <f t="shared" si="8"/>
        <v>3.738</v>
      </c>
      <c r="Z65" s="491">
        <v>1800000</v>
      </c>
      <c r="AA65" s="662">
        <f t="shared" si="9"/>
        <v>6728400</v>
      </c>
      <c r="AB65" s="568">
        <f t="shared" si="10"/>
        <v>36</v>
      </c>
      <c r="AC65" s="493">
        <f>IFERROR(INDEX('[2]CN BC'!$M$10:$M$276,MATCH(B65,'[2]CN BC'!$H$10:$H$276,0)),"")</f>
        <v>0</v>
      </c>
      <c r="AD65" s="141"/>
      <c r="AE65" s="108"/>
      <c r="AF65" s="108"/>
      <c r="AG65" s="155"/>
      <c r="AH65" s="108"/>
      <c r="AI65" s="108"/>
      <c r="AJ65" s="108"/>
      <c r="AK65" s="108"/>
      <c r="AL65" s="108"/>
      <c r="AM65" s="108"/>
    </row>
    <row r="66" spans="1:43" s="372" customFormat="1" ht="27" customHeight="1">
      <c r="A66" s="379">
        <f>_xlfn.AGGREGATE(4,7,A$29:A65)+1</f>
        <v>37</v>
      </c>
      <c r="B66" s="363" t="s">
        <v>1859</v>
      </c>
      <c r="C66" s="375" t="s">
        <v>986</v>
      </c>
      <c r="D66" s="434" t="s">
        <v>1665</v>
      </c>
      <c r="E66" s="430">
        <v>1603205185357</v>
      </c>
      <c r="F66" s="373">
        <v>3.66</v>
      </c>
      <c r="G66" s="367"/>
      <c r="H66" s="368">
        <f t="shared" si="0"/>
        <v>3.66</v>
      </c>
      <c r="I66" s="368"/>
      <c r="J66" s="368" t="str">
        <f>VLOOKUP(B66,TH!B57:J389,9,FALSE)</f>
        <v>NV Phòng KH-TC</v>
      </c>
      <c r="K66" s="369">
        <f t="shared" si="1"/>
        <v>3.66</v>
      </c>
      <c r="L66" s="362">
        <f t="shared" si="2"/>
        <v>6588000</v>
      </c>
      <c r="M66" s="366" t="str">
        <f>VLOOKUP(B66,'[1]Gui chi Quynh'!$B$11:$E$400,4,FALSE)</f>
        <v>A1</v>
      </c>
      <c r="N66" s="494">
        <f t="shared" si="3"/>
        <v>10540800</v>
      </c>
      <c r="O66" s="366">
        <v>21</v>
      </c>
      <c r="P66" s="440">
        <f>IFERROR(INDEX('[2]CN BC'!$J$10:$J$276,MATCH(B66,'[2]CN BC'!$H$10:$H$276,0)),"")</f>
        <v>25</v>
      </c>
      <c r="Q66" s="494">
        <f t="shared" si="4"/>
        <v>10540800</v>
      </c>
      <c r="R66" s="460"/>
      <c r="S66" s="362">
        <f>R66*$G$26*1</f>
        <v>0</v>
      </c>
      <c r="T66" s="537"/>
      <c r="U66" s="362">
        <f t="shared" si="5"/>
        <v>0</v>
      </c>
      <c r="V66" s="584">
        <f t="shared" si="6"/>
        <v>65880</v>
      </c>
      <c r="W66" s="584"/>
      <c r="X66" s="371">
        <f t="shared" si="7"/>
        <v>10540800</v>
      </c>
      <c r="Y66" s="846">
        <f t="shared" si="8"/>
        <v>5.8559999999999999</v>
      </c>
      <c r="Z66" s="491">
        <v>1800000</v>
      </c>
      <c r="AA66" s="662">
        <f t="shared" si="9"/>
        <v>10540800</v>
      </c>
      <c r="AB66" s="568">
        <f t="shared" si="10"/>
        <v>37</v>
      </c>
      <c r="AC66" s="493">
        <f>IFERROR(INDEX('[2]CN BC'!$M$10:$M$276,MATCH(B66,'[2]CN BC'!$H$10:$H$276,0)),"")</f>
        <v>0</v>
      </c>
      <c r="AD66" s="536"/>
      <c r="AG66" s="487"/>
    </row>
    <row r="67" spans="1:43" s="372" customFormat="1" ht="32.25" customHeight="1">
      <c r="A67" s="379">
        <f>_xlfn.AGGREGATE(4,7,A$29:A66)+1</f>
        <v>38</v>
      </c>
      <c r="B67" s="363" t="s">
        <v>1459</v>
      </c>
      <c r="C67" s="375" t="s">
        <v>1437</v>
      </c>
      <c r="D67" s="434" t="s">
        <v>1645</v>
      </c>
      <c r="E67" s="426" t="s">
        <v>1578</v>
      </c>
      <c r="F67" s="366">
        <v>4.32</v>
      </c>
      <c r="G67" s="367"/>
      <c r="H67" s="368">
        <f t="shared" si="0"/>
        <v>4.32</v>
      </c>
      <c r="I67" s="368">
        <v>0.45</v>
      </c>
      <c r="J67" s="368" t="s">
        <v>2205</v>
      </c>
      <c r="K67" s="369">
        <f t="shared" si="1"/>
        <v>4.7700000000000005</v>
      </c>
      <c r="L67" s="362">
        <f t="shared" si="2"/>
        <v>8586000</v>
      </c>
      <c r="M67" s="366" t="str">
        <f>VLOOKUP(B67,'[1]Gui chi Quynh'!$B$11:$E$400,4,FALSE)</f>
        <v>A1</v>
      </c>
      <c r="N67" s="494">
        <f t="shared" si="3"/>
        <v>13737600</v>
      </c>
      <c r="O67" s="366">
        <v>21</v>
      </c>
      <c r="P67" s="440">
        <f>IFERROR(INDEX('[2]CN BC'!$J$10:$J$276,MATCH(B67,'[2]CN BC'!$H$10:$H$276,0)),"")</f>
        <v>27</v>
      </c>
      <c r="Q67" s="494">
        <f t="shared" si="4"/>
        <v>13737600</v>
      </c>
      <c r="R67" s="460"/>
      <c r="S67" s="362">
        <v>0</v>
      </c>
      <c r="T67" s="370"/>
      <c r="U67" s="362">
        <f t="shared" si="5"/>
        <v>0</v>
      </c>
      <c r="V67" s="584">
        <f t="shared" si="6"/>
        <v>85860</v>
      </c>
      <c r="W67" s="584"/>
      <c r="X67" s="371">
        <f t="shared" si="7"/>
        <v>13737600</v>
      </c>
      <c r="Y67" s="846">
        <f t="shared" si="8"/>
        <v>7.6319999999999997</v>
      </c>
      <c r="Z67" s="491">
        <v>1800000</v>
      </c>
      <c r="AA67" s="662">
        <f t="shared" si="9"/>
        <v>13737600</v>
      </c>
      <c r="AB67" s="568">
        <f t="shared" si="10"/>
        <v>38</v>
      </c>
      <c r="AC67" s="493">
        <f>IFERROR(INDEX('[2]CN BC'!$M$10:$M$276,MATCH(B67,'[2]CN BC'!$H$10:$H$276,0)),"")</f>
        <v>0</v>
      </c>
      <c r="AD67" s="141"/>
      <c r="AE67" s="108"/>
      <c r="AF67" s="108"/>
      <c r="AG67" s="155"/>
    </row>
    <row r="68" spans="1:43" s="372" customFormat="1" ht="32.25" customHeight="1">
      <c r="A68" s="379">
        <f>_xlfn.AGGREGATE(4,7,A$29:A67)+1</f>
        <v>39</v>
      </c>
      <c r="B68" s="363" t="s">
        <v>1541</v>
      </c>
      <c r="C68" s="364" t="s">
        <v>962</v>
      </c>
      <c r="D68" s="434" t="s">
        <v>1802</v>
      </c>
      <c r="E68" s="426">
        <v>1603205356140</v>
      </c>
      <c r="F68" s="366">
        <v>3.99</v>
      </c>
      <c r="G68" s="367"/>
      <c r="H68" s="368">
        <f t="shared" si="0"/>
        <v>3.99</v>
      </c>
      <c r="I68" s="368"/>
      <c r="J68" s="368" t="s">
        <v>2206</v>
      </c>
      <c r="K68" s="369">
        <f t="shared" si="1"/>
        <v>3.99</v>
      </c>
      <c r="L68" s="362">
        <f t="shared" si="2"/>
        <v>7182000</v>
      </c>
      <c r="M68" s="366" t="str">
        <f>VLOOKUP(B68,'[1]Gui chi Quynh'!$B$11:$E$400,4,FALSE)</f>
        <v>A4</v>
      </c>
      <c r="N68" s="494">
        <f t="shared" si="3"/>
        <v>7182000</v>
      </c>
      <c r="O68" s="366">
        <v>21</v>
      </c>
      <c r="P68" s="440">
        <f>IFERROR(INDEX('[2]CN BC'!$J$10:$J$276,MATCH(B68,'[2]CN BC'!$H$10:$H$276,0)),"")</f>
        <v>22</v>
      </c>
      <c r="Q68" s="494">
        <f t="shared" si="4"/>
        <v>7182000</v>
      </c>
      <c r="R68" s="460"/>
      <c r="S68" s="362">
        <f t="shared" ref="S68:S82" si="13">R68*$G$26*1</f>
        <v>0</v>
      </c>
      <c r="T68" s="370"/>
      <c r="U68" s="362">
        <f t="shared" si="5"/>
        <v>0</v>
      </c>
      <c r="V68" s="584">
        <f t="shared" si="6"/>
        <v>71820</v>
      </c>
      <c r="W68" s="584"/>
      <c r="X68" s="371">
        <f t="shared" si="7"/>
        <v>7182000</v>
      </c>
      <c r="Y68" s="846">
        <f t="shared" si="8"/>
        <v>3.99</v>
      </c>
      <c r="Z68" s="491">
        <v>1800000</v>
      </c>
      <c r="AA68" s="662">
        <f t="shared" si="9"/>
        <v>7182000</v>
      </c>
      <c r="AB68" s="568">
        <f t="shared" si="10"/>
        <v>39</v>
      </c>
      <c r="AC68" s="493">
        <f>IFERROR(INDEX('[2]CN BC'!$M$10:$M$276,MATCH(B68,'[2]CN BC'!$H$10:$H$276,0)),"")</f>
        <v>0</v>
      </c>
      <c r="AD68" s="536"/>
      <c r="AG68" s="487"/>
    </row>
    <row r="69" spans="1:43" s="372" customFormat="1" ht="32.25" customHeight="1">
      <c r="A69" s="379">
        <f>_xlfn.AGGREGATE(4,7,A$29:A68)+1</f>
        <v>40</v>
      </c>
      <c r="B69" s="377" t="s">
        <v>1556</v>
      </c>
      <c r="C69" s="364" t="s">
        <v>885</v>
      </c>
      <c r="D69" s="434" t="s">
        <v>1648</v>
      </c>
      <c r="E69" s="430">
        <v>1603205182727</v>
      </c>
      <c r="F69" s="373">
        <v>4.6500000000000004</v>
      </c>
      <c r="G69" s="374"/>
      <c r="H69" s="368">
        <f t="shared" si="0"/>
        <v>4.6500000000000004</v>
      </c>
      <c r="I69" s="366"/>
      <c r="J69" s="368" t="s">
        <v>2206</v>
      </c>
      <c r="K69" s="369">
        <f t="shared" si="1"/>
        <v>4.6500000000000004</v>
      </c>
      <c r="L69" s="362">
        <f t="shared" si="2"/>
        <v>8370000.0000000009</v>
      </c>
      <c r="M69" s="366" t="str">
        <f>VLOOKUP(B69,'[1]Gui chi Quynh'!$B$11:$E$400,4,FALSE)</f>
        <v>A3</v>
      </c>
      <c r="N69" s="494">
        <f t="shared" si="3"/>
        <v>10044000</v>
      </c>
      <c r="O69" s="366">
        <v>21</v>
      </c>
      <c r="P69" s="440">
        <f>IFERROR(INDEX('[2]CN BC'!$J$10:$J$276,MATCH(B69,'[2]CN BC'!$H$10:$H$276,0)),"")</f>
        <v>24.5</v>
      </c>
      <c r="Q69" s="494">
        <f t="shared" si="4"/>
        <v>10044000</v>
      </c>
      <c r="R69" s="476">
        <v>0</v>
      </c>
      <c r="S69" s="362">
        <f t="shared" si="13"/>
        <v>0</v>
      </c>
      <c r="T69" s="370"/>
      <c r="U69" s="362">
        <f t="shared" si="5"/>
        <v>0</v>
      </c>
      <c r="V69" s="584">
        <f t="shared" si="6"/>
        <v>83700</v>
      </c>
      <c r="W69" s="584"/>
      <c r="X69" s="371">
        <f t="shared" si="7"/>
        <v>10044000</v>
      </c>
      <c r="Y69" s="846">
        <f t="shared" si="8"/>
        <v>5.58</v>
      </c>
      <c r="Z69" s="491">
        <v>1800000</v>
      </c>
      <c r="AA69" s="662">
        <f t="shared" si="9"/>
        <v>10044000</v>
      </c>
      <c r="AB69" s="568">
        <f t="shared" si="10"/>
        <v>40</v>
      </c>
      <c r="AC69" s="493" t="str">
        <f>IFERROR(INDEX('[2]CN BC'!$M$10:$M$276,MATCH(B69,'[2]CN BC'!$H$10:$H$276,0)),"")</f>
        <v>Trừ 1 ngày nghỉ phép 1/3</v>
      </c>
      <c r="AD69" s="141"/>
      <c r="AE69" s="108"/>
      <c r="AF69" s="108"/>
      <c r="AG69" s="155"/>
      <c r="AH69" s="108"/>
      <c r="AI69" s="108"/>
      <c r="AJ69" s="108"/>
      <c r="AK69" s="108"/>
      <c r="AL69" s="108"/>
      <c r="AM69" s="108"/>
    </row>
    <row r="70" spans="1:43" s="372" customFormat="1" ht="32.25" customHeight="1">
      <c r="A70" s="379">
        <f>_xlfn.AGGREGATE(4,7,A$29:A69)+1</f>
        <v>41</v>
      </c>
      <c r="B70" s="363" t="s">
        <v>1854</v>
      </c>
      <c r="C70" s="375" t="s">
        <v>903</v>
      </c>
      <c r="D70" s="406" t="s">
        <v>1616</v>
      </c>
      <c r="E70" s="423" t="s">
        <v>1260</v>
      </c>
      <c r="F70" s="366">
        <v>4.9800000000000004</v>
      </c>
      <c r="G70" s="367">
        <v>7.0000000000000007E-2</v>
      </c>
      <c r="H70" s="368">
        <f t="shared" si="0"/>
        <v>5.3286000000000007</v>
      </c>
      <c r="I70" s="368">
        <v>0.45</v>
      </c>
      <c r="J70" s="368" t="s">
        <v>2206</v>
      </c>
      <c r="K70" s="369">
        <f t="shared" si="1"/>
        <v>5.7786000000000008</v>
      </c>
      <c r="L70" s="362">
        <f t="shared" si="2"/>
        <v>10401480.000000002</v>
      </c>
      <c r="M70" s="366" t="str">
        <f>VLOOKUP(B70,'[1]Gui chi Quynh'!$B$11:$E$400,4,FALSE)</f>
        <v>A1</v>
      </c>
      <c r="N70" s="494">
        <f t="shared" si="3"/>
        <v>16642368.000000004</v>
      </c>
      <c r="O70" s="366">
        <v>21</v>
      </c>
      <c r="P70" s="440">
        <f>IFERROR(INDEX('[2]CN BC'!$J$10:$J$276,MATCH(B70,'[2]CN BC'!$H$10:$H$276,0)),"")</f>
        <v>24</v>
      </c>
      <c r="Q70" s="494">
        <f t="shared" si="4"/>
        <v>16642368.000000004</v>
      </c>
      <c r="R70" s="392"/>
      <c r="S70" s="362">
        <f t="shared" si="13"/>
        <v>0</v>
      </c>
      <c r="T70" s="385"/>
      <c r="U70" s="362">
        <f t="shared" si="5"/>
        <v>0</v>
      </c>
      <c r="V70" s="584">
        <f t="shared" si="6"/>
        <v>104015</v>
      </c>
      <c r="W70" s="584"/>
      <c r="X70" s="371">
        <f t="shared" si="7"/>
        <v>16642368.000000004</v>
      </c>
      <c r="Y70" s="846">
        <f t="shared" si="8"/>
        <v>9.2457600000000024</v>
      </c>
      <c r="Z70" s="491">
        <v>1800000</v>
      </c>
      <c r="AA70" s="662">
        <f t="shared" si="9"/>
        <v>16642368.000000004</v>
      </c>
      <c r="AB70" s="568">
        <f t="shared" si="10"/>
        <v>41</v>
      </c>
      <c r="AC70" s="493">
        <f>IFERROR(INDEX('[2]CN BC'!$M$10:$M$276,MATCH(B70,'[2]CN BC'!$H$10:$H$276,0)),"")</f>
        <v>0</v>
      </c>
      <c r="AD70" s="141"/>
      <c r="AE70" s="154"/>
      <c r="AF70" s="155"/>
      <c r="AG70" s="155">
        <v>5000000</v>
      </c>
      <c r="AH70" s="108"/>
      <c r="AI70" s="108"/>
      <c r="AJ70" s="108"/>
      <c r="AK70" s="108"/>
      <c r="AL70" s="108"/>
      <c r="AM70" s="108"/>
      <c r="AN70" s="108"/>
      <c r="AO70" s="108"/>
      <c r="AP70" s="108"/>
      <c r="AQ70" s="108"/>
    </row>
    <row r="71" spans="1:43" s="372" customFormat="1" ht="32.25" customHeight="1">
      <c r="A71" s="379">
        <f>_xlfn.AGGREGATE(4,7,A$29:A70)+1</f>
        <v>42</v>
      </c>
      <c r="B71" s="363" t="s">
        <v>1460</v>
      </c>
      <c r="C71" s="375" t="s">
        <v>885</v>
      </c>
      <c r="D71" s="434" t="s">
        <v>1650</v>
      </c>
      <c r="E71" s="428">
        <v>1603205189653</v>
      </c>
      <c r="F71" s="366">
        <v>3.99</v>
      </c>
      <c r="G71" s="367"/>
      <c r="H71" s="368">
        <f t="shared" si="0"/>
        <v>3.99</v>
      </c>
      <c r="I71" s="368"/>
      <c r="J71" s="368" t="s">
        <v>2206</v>
      </c>
      <c r="K71" s="369">
        <f t="shared" si="1"/>
        <v>3.99</v>
      </c>
      <c r="L71" s="362">
        <f t="shared" si="2"/>
        <v>7182000</v>
      </c>
      <c r="M71" s="366" t="str">
        <f>VLOOKUP(B71,'[1]Gui chi Quynh'!$B$11:$E$400,4,FALSE)</f>
        <v>A4</v>
      </c>
      <c r="N71" s="494">
        <f t="shared" si="3"/>
        <v>7182000</v>
      </c>
      <c r="O71" s="366">
        <v>21</v>
      </c>
      <c r="P71" s="440">
        <f>IFERROR(INDEX('[2]CN BC'!$J$10:$J$276,MATCH(B71,'[2]CN BC'!$H$10:$H$276,0)),"")</f>
        <v>22</v>
      </c>
      <c r="Q71" s="494">
        <f t="shared" si="4"/>
        <v>7182000</v>
      </c>
      <c r="R71" s="460"/>
      <c r="S71" s="362">
        <f t="shared" si="13"/>
        <v>0</v>
      </c>
      <c r="T71" s="370"/>
      <c r="U71" s="362">
        <f t="shared" si="5"/>
        <v>0</v>
      </c>
      <c r="V71" s="584">
        <f t="shared" si="6"/>
        <v>71820</v>
      </c>
      <c r="W71" s="584"/>
      <c r="X71" s="371">
        <f t="shared" si="7"/>
        <v>7182000</v>
      </c>
      <c r="Y71" s="846">
        <f t="shared" si="8"/>
        <v>3.99</v>
      </c>
      <c r="Z71" s="491">
        <v>1800000</v>
      </c>
      <c r="AA71" s="662">
        <f t="shared" si="9"/>
        <v>7182000</v>
      </c>
      <c r="AB71" s="568">
        <f t="shared" si="10"/>
        <v>42</v>
      </c>
      <c r="AC71" s="493">
        <f>IFERROR(INDEX('[2]CN BC'!$M$10:$M$276,MATCH(B71,'[2]CN BC'!$H$10:$H$276,0)),"")</f>
        <v>0</v>
      </c>
      <c r="AD71" s="536"/>
      <c r="AG71" s="487"/>
    </row>
    <row r="72" spans="1:43" s="372" customFormat="1" ht="32.25" customHeight="1">
      <c r="A72" s="379">
        <f>_xlfn.AGGREGATE(4,7,A$29:A71)+1</f>
        <v>43</v>
      </c>
      <c r="B72" s="363" t="s">
        <v>1461</v>
      </c>
      <c r="C72" s="375" t="s">
        <v>270</v>
      </c>
      <c r="D72" s="434" t="s">
        <v>1653</v>
      </c>
      <c r="E72" s="423" t="s">
        <v>370</v>
      </c>
      <c r="F72" s="373">
        <v>3.66</v>
      </c>
      <c r="G72" s="367"/>
      <c r="H72" s="368">
        <f t="shared" si="0"/>
        <v>3.66</v>
      </c>
      <c r="I72" s="368"/>
      <c r="J72" s="368" t="s">
        <v>2206</v>
      </c>
      <c r="K72" s="369">
        <f t="shared" si="1"/>
        <v>3.66</v>
      </c>
      <c r="L72" s="362">
        <f t="shared" si="2"/>
        <v>6588000</v>
      </c>
      <c r="M72" s="366" t="str">
        <f>VLOOKUP(B72,'[1]Gui chi Quynh'!$B$11:$E$400,4,FALSE)</f>
        <v>A4</v>
      </c>
      <c r="N72" s="494">
        <f t="shared" si="3"/>
        <v>6588000</v>
      </c>
      <c r="O72" s="366">
        <v>21</v>
      </c>
      <c r="P72" s="440">
        <f>IFERROR(INDEX('[2]CN BC'!$J$10:$J$276,MATCH(B72,'[2]CN BC'!$H$10:$H$276,0)),"")</f>
        <v>22</v>
      </c>
      <c r="Q72" s="494">
        <f t="shared" si="4"/>
        <v>6588000</v>
      </c>
      <c r="R72" s="460"/>
      <c r="S72" s="362">
        <f t="shared" si="13"/>
        <v>0</v>
      </c>
      <c r="T72" s="370"/>
      <c r="U72" s="362">
        <f t="shared" si="5"/>
        <v>0</v>
      </c>
      <c r="V72" s="584">
        <f t="shared" si="6"/>
        <v>65880</v>
      </c>
      <c r="W72" s="584"/>
      <c r="X72" s="371">
        <f t="shared" si="7"/>
        <v>6588000</v>
      </c>
      <c r="Y72" s="846">
        <f t="shared" si="8"/>
        <v>3.66</v>
      </c>
      <c r="Z72" s="491">
        <v>1800000</v>
      </c>
      <c r="AA72" s="662">
        <f t="shared" si="9"/>
        <v>6588000</v>
      </c>
      <c r="AB72" s="568">
        <f t="shared" si="10"/>
        <v>43</v>
      </c>
      <c r="AC72" s="493">
        <f>IFERROR(INDEX('[2]CN BC'!$M$10:$M$276,MATCH(B72,'[2]CN BC'!$H$10:$H$276,0)),"")</f>
        <v>0</v>
      </c>
      <c r="AD72" s="469"/>
      <c r="AE72" s="108"/>
      <c r="AF72" s="108"/>
      <c r="AG72" s="155"/>
      <c r="AH72" s="108"/>
      <c r="AI72" s="108"/>
      <c r="AJ72" s="108"/>
      <c r="AK72" s="108"/>
      <c r="AL72" s="108"/>
      <c r="AM72" s="108"/>
    </row>
    <row r="73" spans="1:43" s="372" customFormat="1" ht="32.25" customHeight="1">
      <c r="A73" s="379">
        <f>_xlfn.AGGREGATE(4,7,A$29:A72)+1</f>
        <v>44</v>
      </c>
      <c r="B73" s="363" t="s">
        <v>848</v>
      </c>
      <c r="C73" s="375" t="s">
        <v>883</v>
      </c>
      <c r="D73" s="434" t="s">
        <v>1655</v>
      </c>
      <c r="E73" s="423" t="s">
        <v>1263</v>
      </c>
      <c r="F73" s="366">
        <v>4.32</v>
      </c>
      <c r="G73" s="367"/>
      <c r="H73" s="368">
        <f t="shared" si="0"/>
        <v>4.32</v>
      </c>
      <c r="I73" s="368"/>
      <c r="J73" s="368" t="s">
        <v>2206</v>
      </c>
      <c r="K73" s="369">
        <f t="shared" si="1"/>
        <v>4.32</v>
      </c>
      <c r="L73" s="362">
        <f t="shared" si="2"/>
        <v>7776000.0000000009</v>
      </c>
      <c r="M73" s="366" t="str">
        <f>VLOOKUP(B73,'[1]Gui chi Quynh'!$B$11:$E$400,4,FALSE)</f>
        <v>A2</v>
      </c>
      <c r="N73" s="494">
        <f t="shared" si="3"/>
        <v>10886400</v>
      </c>
      <c r="O73" s="366">
        <v>21</v>
      </c>
      <c r="P73" s="440">
        <f>IFERROR(INDEX('[2]CN BC'!$J$10:$J$276,MATCH(B73,'[2]CN BC'!$H$10:$H$276,0)),"")</f>
        <v>24</v>
      </c>
      <c r="Q73" s="494">
        <f t="shared" si="4"/>
        <v>10886400</v>
      </c>
      <c r="R73" s="460"/>
      <c r="S73" s="362">
        <f t="shared" si="13"/>
        <v>0</v>
      </c>
      <c r="T73" s="370"/>
      <c r="U73" s="362">
        <f t="shared" si="5"/>
        <v>0</v>
      </c>
      <c r="V73" s="584">
        <f t="shared" si="6"/>
        <v>77760</v>
      </c>
      <c r="W73" s="584"/>
      <c r="X73" s="371">
        <f t="shared" si="7"/>
        <v>10886400</v>
      </c>
      <c r="Y73" s="846">
        <f t="shared" si="8"/>
        <v>6.048</v>
      </c>
      <c r="Z73" s="491">
        <v>1800000</v>
      </c>
      <c r="AA73" s="662">
        <f t="shared" si="9"/>
        <v>10886400</v>
      </c>
      <c r="AB73" s="568">
        <f t="shared" si="10"/>
        <v>44</v>
      </c>
      <c r="AC73" s="493">
        <f>IFERROR(INDEX('[2]CN BC'!$M$10:$M$276,MATCH(B73,'[2]CN BC'!$H$10:$H$276,0)),"")</f>
        <v>0</v>
      </c>
      <c r="AD73" s="141"/>
      <c r="AE73" s="108"/>
      <c r="AF73" s="108"/>
      <c r="AG73" s="155"/>
      <c r="AH73" s="108"/>
      <c r="AI73" s="108"/>
      <c r="AJ73" s="108"/>
      <c r="AK73" s="108"/>
      <c r="AL73" s="108"/>
      <c r="AM73" s="108"/>
    </row>
    <row r="74" spans="1:43" s="372" customFormat="1" ht="32.25" customHeight="1">
      <c r="A74" s="379">
        <f>_xlfn.AGGREGATE(4,7,A$29:A73)+1</f>
        <v>45</v>
      </c>
      <c r="B74" s="363" t="s">
        <v>1857</v>
      </c>
      <c r="C74" s="375" t="s">
        <v>942</v>
      </c>
      <c r="D74" s="434" t="s">
        <v>1656</v>
      </c>
      <c r="E74" s="428" t="s">
        <v>1358</v>
      </c>
      <c r="F74" s="366">
        <v>4.32</v>
      </c>
      <c r="G74" s="367"/>
      <c r="H74" s="368">
        <f t="shared" si="0"/>
        <v>4.32</v>
      </c>
      <c r="I74" s="368"/>
      <c r="J74" s="368" t="s">
        <v>2206</v>
      </c>
      <c r="K74" s="369">
        <f t="shared" si="1"/>
        <v>4.32</v>
      </c>
      <c r="L74" s="362">
        <f t="shared" si="2"/>
        <v>7776000.0000000009</v>
      </c>
      <c r="M74" s="366" t="str">
        <f>VLOOKUP(B74,'[1]Gui chi Quynh'!$B$11:$E$400,4,FALSE)</f>
        <v>A4</v>
      </c>
      <c r="N74" s="494">
        <f t="shared" si="3"/>
        <v>7776000.0000000009</v>
      </c>
      <c r="O74" s="366">
        <v>21</v>
      </c>
      <c r="P74" s="440">
        <f>IFERROR(INDEX('[2]CN BC'!$J$10:$J$276,MATCH(B74,'[2]CN BC'!$H$10:$H$276,0)),"")</f>
        <v>21</v>
      </c>
      <c r="Q74" s="494">
        <f t="shared" si="4"/>
        <v>7776000.0000000009</v>
      </c>
      <c r="R74" s="460"/>
      <c r="S74" s="362">
        <f t="shared" si="13"/>
        <v>0</v>
      </c>
      <c r="T74" s="370"/>
      <c r="U74" s="362">
        <f t="shared" si="5"/>
        <v>0</v>
      </c>
      <c r="V74" s="584">
        <f t="shared" si="6"/>
        <v>77760</v>
      </c>
      <c r="W74" s="584"/>
      <c r="X74" s="371">
        <f t="shared" si="7"/>
        <v>7776000.0000000009</v>
      </c>
      <c r="Y74" s="846">
        <f t="shared" si="8"/>
        <v>4.32</v>
      </c>
      <c r="Z74" s="491">
        <v>1800000</v>
      </c>
      <c r="AA74" s="662">
        <f t="shared" si="9"/>
        <v>7776000.0000000009</v>
      </c>
      <c r="AB74" s="568">
        <f t="shared" si="10"/>
        <v>45</v>
      </c>
      <c r="AC74" s="493">
        <f>IFERROR(INDEX('[2]CN BC'!$M$10:$M$276,MATCH(B74,'[2]CN BC'!$H$10:$H$276,0)),"")</f>
        <v>0</v>
      </c>
      <c r="AD74" s="141"/>
      <c r="AE74" s="108"/>
      <c r="AF74" s="108"/>
      <c r="AG74" s="155"/>
      <c r="AH74" s="108"/>
      <c r="AI74" s="108"/>
      <c r="AJ74" s="108"/>
      <c r="AK74" s="108"/>
      <c r="AL74" s="108"/>
      <c r="AM74" s="108"/>
    </row>
    <row r="75" spans="1:43" s="372" customFormat="1" ht="32.25" customHeight="1">
      <c r="A75" s="379">
        <f>_xlfn.AGGREGATE(4,7,A$29:A74)+1</f>
        <v>46</v>
      </c>
      <c r="B75" s="363" t="s">
        <v>1851</v>
      </c>
      <c r="C75" s="375" t="s">
        <v>886</v>
      </c>
      <c r="D75" s="406" t="s">
        <v>1632</v>
      </c>
      <c r="E75" s="429" t="s">
        <v>1575</v>
      </c>
      <c r="F75" s="373">
        <v>3.66</v>
      </c>
      <c r="G75" s="367"/>
      <c r="H75" s="445">
        <f t="shared" si="0"/>
        <v>3.66</v>
      </c>
      <c r="I75" s="368"/>
      <c r="J75" s="368" t="s">
        <v>2206</v>
      </c>
      <c r="K75" s="369">
        <f t="shared" si="1"/>
        <v>3.66</v>
      </c>
      <c r="L75" s="362">
        <f t="shared" si="2"/>
        <v>6588000</v>
      </c>
      <c r="M75" s="366" t="str">
        <f>VLOOKUP(B75,'[1]Gui chi Quynh'!$B$11:$E$400,4,FALSE)</f>
        <v>A4</v>
      </c>
      <c r="N75" s="494">
        <f t="shared" si="3"/>
        <v>6588000</v>
      </c>
      <c r="O75" s="366">
        <v>21</v>
      </c>
      <c r="P75" s="440">
        <f>IFERROR(INDEX('[2]CN BC'!$J$10:$J$276,MATCH(B75,'[2]CN BC'!$H$10:$H$276,0)),"")</f>
        <v>22</v>
      </c>
      <c r="Q75" s="494">
        <f t="shared" si="4"/>
        <v>6588000</v>
      </c>
      <c r="R75" s="392"/>
      <c r="S75" s="362">
        <f t="shared" si="13"/>
        <v>0</v>
      </c>
      <c r="T75" s="370"/>
      <c r="U75" s="362">
        <f t="shared" si="5"/>
        <v>0</v>
      </c>
      <c r="V75" s="584">
        <f t="shared" si="6"/>
        <v>65880</v>
      </c>
      <c r="W75" s="584"/>
      <c r="X75" s="371">
        <f t="shared" si="7"/>
        <v>6588000</v>
      </c>
      <c r="Y75" s="846">
        <f t="shared" si="8"/>
        <v>3.66</v>
      </c>
      <c r="Z75" s="491">
        <v>1800000</v>
      </c>
      <c r="AA75" s="662">
        <f t="shared" si="9"/>
        <v>6588000</v>
      </c>
      <c r="AB75" s="568">
        <f t="shared" si="10"/>
        <v>46</v>
      </c>
      <c r="AC75" s="493">
        <f>IFERROR(INDEX('[2]CN BC'!$M$10:$M$276,MATCH(B75,'[2]CN BC'!$H$10:$H$276,0)),"")</f>
        <v>0</v>
      </c>
      <c r="AD75" s="141"/>
      <c r="AE75" s="108"/>
      <c r="AF75" s="108"/>
      <c r="AG75" s="155"/>
      <c r="AH75" s="108"/>
      <c r="AI75" s="108"/>
      <c r="AJ75" s="108"/>
      <c r="AK75" s="108"/>
      <c r="AL75" s="108"/>
      <c r="AM75" s="108"/>
      <c r="AN75" s="108"/>
      <c r="AO75" s="108"/>
      <c r="AP75" s="108"/>
      <c r="AQ75" s="108"/>
    </row>
    <row r="76" spans="1:43" s="372" customFormat="1" ht="32.25" customHeight="1">
      <c r="A76" s="379">
        <f>_xlfn.AGGREGATE(4,7,A$29:A75)+1</f>
        <v>47</v>
      </c>
      <c r="B76" s="363" t="s">
        <v>1561</v>
      </c>
      <c r="C76" s="375" t="s">
        <v>915</v>
      </c>
      <c r="D76" s="434" t="s">
        <v>1657</v>
      </c>
      <c r="E76" s="422" t="s">
        <v>1562</v>
      </c>
      <c r="F76" s="373">
        <v>3.66</v>
      </c>
      <c r="G76" s="367"/>
      <c r="H76" s="368">
        <f t="shared" si="0"/>
        <v>3.66</v>
      </c>
      <c r="I76" s="368"/>
      <c r="J76" s="368" t="str">
        <f>VLOOKUP(B76,TH!B67:J399,9,FALSE)</f>
        <v>Nhân viên phòng Tuyển sinh - Đào tạo</v>
      </c>
      <c r="K76" s="369">
        <f t="shared" si="1"/>
        <v>3.66</v>
      </c>
      <c r="L76" s="362">
        <f t="shared" si="2"/>
        <v>6588000</v>
      </c>
      <c r="M76" s="366" t="str">
        <f>VLOOKUP(B76,'[1]Gui chi Quynh'!$B$11:$E$400,4,FALSE)</f>
        <v>A3</v>
      </c>
      <c r="N76" s="494">
        <f t="shared" si="3"/>
        <v>7905600</v>
      </c>
      <c r="O76" s="366">
        <v>21</v>
      </c>
      <c r="P76" s="440">
        <f>IFERROR(INDEX('[2]CN BC'!$J$10:$J$276,MATCH(B76,'[2]CN BC'!$H$10:$H$276,0)),"")</f>
        <v>23.5</v>
      </c>
      <c r="Q76" s="494">
        <f t="shared" si="4"/>
        <v>7905600</v>
      </c>
      <c r="R76" s="460"/>
      <c r="S76" s="362">
        <f t="shared" si="13"/>
        <v>0</v>
      </c>
      <c r="T76" s="370"/>
      <c r="U76" s="362">
        <f t="shared" si="5"/>
        <v>0</v>
      </c>
      <c r="V76" s="584">
        <f t="shared" si="6"/>
        <v>65880</v>
      </c>
      <c r="W76" s="584"/>
      <c r="X76" s="371">
        <f t="shared" si="7"/>
        <v>7905600</v>
      </c>
      <c r="Y76" s="846">
        <f t="shared" si="8"/>
        <v>4.3920000000000003</v>
      </c>
      <c r="Z76" s="491">
        <v>1800000</v>
      </c>
      <c r="AA76" s="662">
        <f t="shared" si="9"/>
        <v>7905600.0000000009</v>
      </c>
      <c r="AB76" s="568">
        <f t="shared" si="10"/>
        <v>47</v>
      </c>
      <c r="AC76" s="493">
        <f>IFERROR(INDEX('[2]CN BC'!$M$10:$M$276,MATCH(B76,'[2]CN BC'!$H$10:$H$276,0)),"")</f>
        <v>0</v>
      </c>
      <c r="AD76" s="141"/>
      <c r="AE76" s="108"/>
      <c r="AF76" s="108"/>
      <c r="AG76" s="487"/>
    </row>
    <row r="77" spans="1:43" s="372" customFormat="1" ht="32.25" customHeight="1">
      <c r="A77" s="379">
        <f>_xlfn.AGGREGATE(4,7,A$29:A76)+1</f>
        <v>48</v>
      </c>
      <c r="B77" s="363" t="s">
        <v>1463</v>
      </c>
      <c r="C77" s="375" t="s">
        <v>1030</v>
      </c>
      <c r="D77" s="434" t="s">
        <v>1617</v>
      </c>
      <c r="E77" s="423" t="s">
        <v>1573</v>
      </c>
      <c r="F77" s="373">
        <v>4.74</v>
      </c>
      <c r="G77" s="367"/>
      <c r="H77" s="368">
        <f t="shared" si="0"/>
        <v>4.74</v>
      </c>
      <c r="I77" s="368">
        <v>0.45</v>
      </c>
      <c r="J77" s="368" t="str">
        <f>VLOOKUP(B77,TH!B68:J400,9,FALSE)</f>
        <v>Trưởng phòng Tuyển sinh - Đào tạo</v>
      </c>
      <c r="K77" s="369">
        <f t="shared" si="1"/>
        <v>5.19</v>
      </c>
      <c r="L77" s="362">
        <f t="shared" si="2"/>
        <v>9342000</v>
      </c>
      <c r="M77" s="366" t="str">
        <f>VLOOKUP(B77,'[1]Gui chi Quynh'!$B$11:$E$400,4,FALSE)</f>
        <v>A1</v>
      </c>
      <c r="N77" s="494">
        <f t="shared" si="3"/>
        <v>14947200</v>
      </c>
      <c r="O77" s="366">
        <v>21</v>
      </c>
      <c r="P77" s="440">
        <f>IFERROR(INDEX('[2]CN BC'!$J$10:$J$276,MATCH(B77,'[2]CN BC'!$H$10:$H$276,0)),"")</f>
        <v>26.5</v>
      </c>
      <c r="Q77" s="494">
        <f t="shared" si="4"/>
        <v>14947200</v>
      </c>
      <c r="R77" s="460"/>
      <c r="S77" s="362">
        <f>R77*$G$26*1.6</f>
        <v>0</v>
      </c>
      <c r="T77" s="370"/>
      <c r="U77" s="362">
        <f t="shared" si="5"/>
        <v>0</v>
      </c>
      <c r="V77" s="584">
        <f t="shared" si="6"/>
        <v>93420</v>
      </c>
      <c r="W77" s="584">
        <v>3671999.9999999986</v>
      </c>
      <c r="X77" s="371">
        <f t="shared" si="7"/>
        <v>18619200</v>
      </c>
      <c r="Y77" s="846">
        <f t="shared" si="8"/>
        <v>10.343999999999999</v>
      </c>
      <c r="Z77" s="491">
        <v>1800000</v>
      </c>
      <c r="AA77" s="662">
        <f t="shared" si="9"/>
        <v>18619200</v>
      </c>
      <c r="AB77" s="568">
        <f t="shared" si="10"/>
        <v>48</v>
      </c>
      <c r="AC77" s="493">
        <f>IFERROR(INDEX('[2]CN BC'!$M$10:$M$276,MATCH(B77,'[2]CN BC'!$H$10:$H$276,0)),"")</f>
        <v>0</v>
      </c>
      <c r="AD77" s="141"/>
      <c r="AE77" s="154"/>
      <c r="AF77" s="108"/>
      <c r="AG77" s="155"/>
      <c r="AH77" s="108"/>
      <c r="AI77" s="108"/>
      <c r="AJ77" s="108"/>
      <c r="AK77" s="108"/>
      <c r="AL77" s="108"/>
      <c r="AM77" s="108"/>
    </row>
    <row r="78" spans="1:43" s="108" customFormat="1" ht="32.25" customHeight="1">
      <c r="A78" s="379">
        <f>_xlfn.AGGREGATE(4,7,A$29:A77)+1</f>
        <v>49</v>
      </c>
      <c r="B78" s="33" t="s">
        <v>1902</v>
      </c>
      <c r="C78" s="34" t="s">
        <v>1056</v>
      </c>
      <c r="D78" s="406" t="s">
        <v>1785</v>
      </c>
      <c r="E78" s="424" t="s">
        <v>1391</v>
      </c>
      <c r="F78" s="10">
        <v>4.32</v>
      </c>
      <c r="G78" s="157"/>
      <c r="H78" s="368">
        <f>F78+(F78*G78)</f>
        <v>4.32</v>
      </c>
      <c r="I78" s="81">
        <v>0.35</v>
      </c>
      <c r="J78" s="368" t="str">
        <f>VLOOKUP(B78,TH!B69:J401,9,FALSE)</f>
        <v>Phó TP. Tuyể sinh - Đào tạo</v>
      </c>
      <c r="K78" s="369">
        <f>H78+I78</f>
        <v>4.67</v>
      </c>
      <c r="L78" s="362">
        <f>K78*$G$26</f>
        <v>8406000</v>
      </c>
      <c r="M78" s="366" t="str">
        <f>VLOOKUP(B78,'[1]Gui chi Quynh'!$B$11:$E$400,4,FALSE)</f>
        <v>A1</v>
      </c>
      <c r="N78" s="494">
        <f>IF(M78="A1",L78*1.6,IF(M78="A2",L78*1.4,IF(M78="A3",L78*1.2,IF(M78="A4",L78*1,IF(M78="B1",L78*0.7,IF(M78="B2",L78*0.5,IF(M78="C1",L78*0.3,IF(M78="C2",L78*0.2,0))))))))</f>
        <v>13449600</v>
      </c>
      <c r="O78" s="366">
        <v>21</v>
      </c>
      <c r="P78" s="440">
        <f>IFERROR(INDEX('[2]CN BC'!$J$10:$J$276,MATCH(B78,'[2]CN BC'!$H$10:$H$276,0)),"")</f>
        <v>31</v>
      </c>
      <c r="Q78" s="494">
        <f>IF(P78&gt;=O78,N78,N78/O78*P78)</f>
        <v>13449600</v>
      </c>
      <c r="R78" s="392"/>
      <c r="S78" s="362">
        <f>R78*$G$26*1</f>
        <v>0</v>
      </c>
      <c r="T78" s="385"/>
      <c r="U78" s="362">
        <f>T78*$G$26*1</f>
        <v>0</v>
      </c>
      <c r="V78" s="584">
        <f>IF(OR(M78="A DN",M78="KXL", M78=""),"0",ROUND(K78*0.01*$G$26+R78*1%*$G$26+T78*1%*$G$26,))</f>
        <v>84060</v>
      </c>
      <c r="W78" s="584"/>
      <c r="X78" s="371">
        <f t="shared" si="7"/>
        <v>13449600</v>
      </c>
      <c r="Y78" s="846">
        <f t="shared" si="8"/>
        <v>7.4720000000000004</v>
      </c>
      <c r="Z78" s="491">
        <v>1800000</v>
      </c>
      <c r="AA78" s="662">
        <f t="shared" si="9"/>
        <v>13449600</v>
      </c>
      <c r="AB78" s="568">
        <f t="shared" si="10"/>
        <v>49</v>
      </c>
      <c r="AC78" s="493">
        <f>IFERROR(INDEX('[2]CN BC'!$M$10:$M$276,MATCH(B78,'[2]CN BC'!$H$10:$H$276,0)),"")</f>
        <v>0</v>
      </c>
      <c r="AD78" s="522"/>
      <c r="AG78" s="155"/>
    </row>
    <row r="79" spans="1:43" s="372" customFormat="1" ht="32.25" customHeight="1">
      <c r="A79" s="379">
        <f>_xlfn.AGGREGATE(4,7,A$29:A78)+1</f>
        <v>50</v>
      </c>
      <c r="B79" s="363" t="s">
        <v>1858</v>
      </c>
      <c r="C79" s="375" t="s">
        <v>929</v>
      </c>
      <c r="D79" s="434" t="s">
        <v>1659</v>
      </c>
      <c r="E79" s="423" t="s">
        <v>1285</v>
      </c>
      <c r="F79" s="366">
        <v>4.6500000000000004</v>
      </c>
      <c r="G79" s="367"/>
      <c r="H79" s="368">
        <f t="shared" si="0"/>
        <v>4.6500000000000004</v>
      </c>
      <c r="I79" s="368"/>
      <c r="J79" s="368" t="str">
        <f>VLOOKUP(B79,TH!B70:J402,9,FALSE)</f>
        <v>Nhân viên phòng TS - Đào tạo</v>
      </c>
      <c r="K79" s="369">
        <f t="shared" si="1"/>
        <v>4.6500000000000004</v>
      </c>
      <c r="L79" s="362">
        <f t="shared" si="2"/>
        <v>8370000.0000000009</v>
      </c>
      <c r="M79" s="366" t="str">
        <f>VLOOKUP(B79,'[1]Gui chi Quynh'!$B$11:$E$400,4,FALSE)</f>
        <v>A2</v>
      </c>
      <c r="N79" s="494">
        <f t="shared" si="3"/>
        <v>11718000</v>
      </c>
      <c r="O79" s="366">
        <v>21</v>
      </c>
      <c r="P79" s="440">
        <f>IFERROR(INDEX('[2]CN BC'!$J$10:$J$276,MATCH(B79,'[2]CN BC'!$H$10:$H$276,0)),"")</f>
        <v>26.5</v>
      </c>
      <c r="Q79" s="494">
        <f t="shared" si="4"/>
        <v>11718000</v>
      </c>
      <c r="R79" s="460"/>
      <c r="S79" s="362">
        <f t="shared" si="13"/>
        <v>0</v>
      </c>
      <c r="T79" s="370"/>
      <c r="U79" s="362">
        <f t="shared" si="5"/>
        <v>0</v>
      </c>
      <c r="V79" s="584">
        <f t="shared" si="6"/>
        <v>83700</v>
      </c>
      <c r="W79" s="584"/>
      <c r="X79" s="371">
        <f t="shared" si="7"/>
        <v>11718000</v>
      </c>
      <c r="Y79" s="846">
        <f t="shared" si="8"/>
        <v>6.51</v>
      </c>
      <c r="Z79" s="491">
        <v>1800000</v>
      </c>
      <c r="AA79" s="662">
        <f t="shared" si="9"/>
        <v>11718000</v>
      </c>
      <c r="AB79" s="568">
        <f t="shared" si="10"/>
        <v>50</v>
      </c>
      <c r="AC79" s="493">
        <f>IFERROR(INDEX('[2]CN BC'!$M$10:$M$276,MATCH(B79,'[2]CN BC'!$H$10:$H$276,0)),"")</f>
        <v>0</v>
      </c>
      <c r="AD79" s="141"/>
      <c r="AE79" s="108"/>
      <c r="AF79" s="108"/>
      <c r="AG79" s="155"/>
      <c r="AH79" s="108"/>
      <c r="AI79" s="108"/>
      <c r="AJ79" s="108"/>
      <c r="AK79" s="108"/>
      <c r="AL79" s="108"/>
      <c r="AM79" s="108"/>
    </row>
    <row r="80" spans="1:43" s="372" customFormat="1" ht="32.25" customHeight="1">
      <c r="A80" s="379">
        <f>_xlfn.AGGREGATE(4,7,A$29:A79)+1</f>
        <v>51</v>
      </c>
      <c r="B80" s="363" t="s">
        <v>1465</v>
      </c>
      <c r="C80" s="375" t="s">
        <v>1103</v>
      </c>
      <c r="D80" s="434" t="s">
        <v>1661</v>
      </c>
      <c r="E80" s="428">
        <v>1603205182394</v>
      </c>
      <c r="F80" s="366">
        <v>3.99</v>
      </c>
      <c r="G80" s="367"/>
      <c r="H80" s="368">
        <f t="shared" si="0"/>
        <v>3.99</v>
      </c>
      <c r="I80" s="368"/>
      <c r="J80" s="368" t="str">
        <f>VLOOKUP(B80,TH!B71:J403,9,FALSE)</f>
        <v>Nhân viên phòng TS - Đào tạo</v>
      </c>
      <c r="K80" s="369">
        <f t="shared" si="1"/>
        <v>3.99</v>
      </c>
      <c r="L80" s="362">
        <f t="shared" si="2"/>
        <v>7182000</v>
      </c>
      <c r="M80" s="366" t="str">
        <f>VLOOKUP(B80,'[1]Gui chi Quynh'!$B$11:$E$400,4,FALSE)</f>
        <v>A1</v>
      </c>
      <c r="N80" s="494">
        <f t="shared" si="3"/>
        <v>11491200</v>
      </c>
      <c r="O80" s="366">
        <v>21</v>
      </c>
      <c r="P80" s="440">
        <f>IFERROR(INDEX('[2]CN BC'!$J$10:$J$276,MATCH(B80,'[2]CN BC'!$H$10:$H$276,0)),"")</f>
        <v>25</v>
      </c>
      <c r="Q80" s="494">
        <f t="shared" si="4"/>
        <v>11491200</v>
      </c>
      <c r="R80" s="460"/>
      <c r="S80" s="362">
        <f t="shared" si="13"/>
        <v>0</v>
      </c>
      <c r="T80" s="370"/>
      <c r="U80" s="362">
        <f t="shared" si="5"/>
        <v>0</v>
      </c>
      <c r="V80" s="584">
        <f t="shared" si="6"/>
        <v>71820</v>
      </c>
      <c r="W80" s="584"/>
      <c r="X80" s="371">
        <f t="shared" si="7"/>
        <v>11491200</v>
      </c>
      <c r="Y80" s="846">
        <f t="shared" si="8"/>
        <v>6.3840000000000003</v>
      </c>
      <c r="Z80" s="491">
        <v>1800000</v>
      </c>
      <c r="AA80" s="662">
        <f t="shared" si="9"/>
        <v>11491200</v>
      </c>
      <c r="AB80" s="568">
        <f t="shared" si="10"/>
        <v>51</v>
      </c>
      <c r="AC80" s="493">
        <f>IFERROR(INDEX('[2]CN BC'!$M$10:$M$276,MATCH(B80,'[2]CN BC'!$H$10:$H$276,0)),"")</f>
        <v>0</v>
      </c>
      <c r="AD80" s="141"/>
      <c r="AE80" s="108"/>
      <c r="AF80" s="108"/>
      <c r="AG80" s="155"/>
      <c r="AH80" s="108"/>
      <c r="AI80" s="108"/>
      <c r="AJ80" s="108"/>
      <c r="AK80" s="108"/>
      <c r="AL80" s="108"/>
      <c r="AM80" s="108"/>
    </row>
    <row r="81" spans="1:43" s="372" customFormat="1" ht="32.25" customHeight="1">
      <c r="A81" s="379">
        <f>_xlfn.AGGREGATE(4,7,A$29:A80)+1</f>
        <v>52</v>
      </c>
      <c r="B81" s="363" t="s">
        <v>844</v>
      </c>
      <c r="C81" s="375" t="s">
        <v>267</v>
      </c>
      <c r="D81" s="434" t="s">
        <v>1662</v>
      </c>
      <c r="E81" s="428" t="s">
        <v>369</v>
      </c>
      <c r="F81" s="366">
        <v>3.33</v>
      </c>
      <c r="G81" s="367"/>
      <c r="H81" s="368">
        <f t="shared" si="0"/>
        <v>3.33</v>
      </c>
      <c r="I81" s="368"/>
      <c r="J81" s="368" t="str">
        <f>VLOOKUP(B81,TH!B72:J404,9,FALSE)</f>
        <v>Nhân viên phòng TS - Đào tạo</v>
      </c>
      <c r="K81" s="369">
        <f t="shared" si="1"/>
        <v>3.33</v>
      </c>
      <c r="L81" s="362">
        <f t="shared" si="2"/>
        <v>5994000</v>
      </c>
      <c r="M81" s="366" t="str">
        <f>VLOOKUP(B81,'[1]Gui chi Quynh'!$B$11:$E$400,4,FALSE)</f>
        <v>A3</v>
      </c>
      <c r="N81" s="494">
        <f t="shared" si="3"/>
        <v>7192800</v>
      </c>
      <c r="O81" s="366">
        <v>21</v>
      </c>
      <c r="P81" s="440">
        <f>IFERROR(INDEX('[2]CN BC'!$J$10:$J$276,MATCH(B81,'[2]CN BC'!$H$10:$H$276,0)),"")</f>
        <v>27</v>
      </c>
      <c r="Q81" s="494">
        <f t="shared" si="4"/>
        <v>7192800</v>
      </c>
      <c r="R81" s="460">
        <v>0</v>
      </c>
      <c r="S81" s="362">
        <f t="shared" si="13"/>
        <v>0</v>
      </c>
      <c r="T81" s="370"/>
      <c r="U81" s="362">
        <f t="shared" si="5"/>
        <v>0</v>
      </c>
      <c r="V81" s="584">
        <f t="shared" si="6"/>
        <v>59940</v>
      </c>
      <c r="W81" s="584"/>
      <c r="X81" s="371">
        <f t="shared" si="7"/>
        <v>7192800</v>
      </c>
      <c r="Y81" s="846">
        <f t="shared" si="8"/>
        <v>3.996</v>
      </c>
      <c r="Z81" s="491">
        <v>1800000</v>
      </c>
      <c r="AA81" s="662">
        <f t="shared" si="9"/>
        <v>7192800</v>
      </c>
      <c r="AB81" s="568">
        <f t="shared" si="10"/>
        <v>52</v>
      </c>
      <c r="AC81" s="493">
        <f>IFERROR(INDEX('[2]CN BC'!$M$10:$M$276,MATCH(B81,'[2]CN BC'!$H$10:$H$276,0)),"")</f>
        <v>0</v>
      </c>
      <c r="AD81" s="141"/>
      <c r="AE81" s="108"/>
      <c r="AF81" s="108"/>
      <c r="AG81" s="155"/>
      <c r="AH81" s="108"/>
      <c r="AI81" s="108"/>
      <c r="AJ81" s="108"/>
      <c r="AK81" s="108"/>
      <c r="AL81" s="108"/>
      <c r="AM81" s="108"/>
    </row>
    <row r="82" spans="1:43" s="372" customFormat="1" ht="32.25" customHeight="1">
      <c r="A82" s="379">
        <f>_xlfn.AGGREGATE(4,7,A$29:A81)+1</f>
        <v>53</v>
      </c>
      <c r="B82" s="377" t="s">
        <v>1557</v>
      </c>
      <c r="C82" s="364" t="s">
        <v>272</v>
      </c>
      <c r="D82" s="434" t="s">
        <v>1664</v>
      </c>
      <c r="E82" s="430">
        <v>1603205182762</v>
      </c>
      <c r="F82" s="373">
        <v>3.96</v>
      </c>
      <c r="G82" s="374"/>
      <c r="H82" s="368">
        <f t="shared" si="0"/>
        <v>3.96</v>
      </c>
      <c r="I82" s="366"/>
      <c r="J82" s="368" t="str">
        <f>VLOOKUP(B82,TH!B73:J405,9,FALSE)</f>
        <v>Nhân viên phòng TS - Đào tạo</v>
      </c>
      <c r="K82" s="369">
        <f t="shared" si="1"/>
        <v>3.96</v>
      </c>
      <c r="L82" s="362">
        <f t="shared" si="2"/>
        <v>7128000</v>
      </c>
      <c r="M82" s="366" t="str">
        <f>VLOOKUP(B82,'[1]Gui chi Quynh'!$B$11:$E$400,4,FALSE)</f>
        <v>A1</v>
      </c>
      <c r="N82" s="494">
        <f t="shared" si="3"/>
        <v>11404800</v>
      </c>
      <c r="O82" s="366">
        <v>21</v>
      </c>
      <c r="P82" s="440">
        <f>IFERROR(INDEX('[2]CN BC'!$J$10:$J$276,MATCH(B82,'[2]CN BC'!$H$10:$H$276,0)),"")</f>
        <v>26.5</v>
      </c>
      <c r="Q82" s="494">
        <f t="shared" si="4"/>
        <v>11404800</v>
      </c>
      <c r="R82" s="476"/>
      <c r="S82" s="362">
        <f t="shared" si="13"/>
        <v>0</v>
      </c>
      <c r="T82" s="370"/>
      <c r="U82" s="362">
        <f t="shared" si="5"/>
        <v>0</v>
      </c>
      <c r="V82" s="584">
        <f t="shared" si="6"/>
        <v>71280</v>
      </c>
      <c r="W82" s="584"/>
      <c r="X82" s="371">
        <f t="shared" si="7"/>
        <v>11404800</v>
      </c>
      <c r="Y82" s="846">
        <f t="shared" si="8"/>
        <v>6.3360000000000003</v>
      </c>
      <c r="Z82" s="491">
        <v>1800000</v>
      </c>
      <c r="AA82" s="662">
        <f t="shared" si="9"/>
        <v>11404800</v>
      </c>
      <c r="AB82" s="568">
        <f t="shared" si="10"/>
        <v>53</v>
      </c>
      <c r="AC82" s="493">
        <f>IFERROR(INDEX('[2]CN BC'!$M$10:$M$276,MATCH(B82,'[2]CN BC'!$H$10:$H$276,0)),"")</f>
        <v>0</v>
      </c>
      <c r="AD82" s="141"/>
      <c r="AE82" s="108"/>
      <c r="AF82" s="108"/>
      <c r="AG82" s="155"/>
      <c r="AH82" s="108"/>
      <c r="AI82" s="108"/>
      <c r="AJ82" s="108"/>
      <c r="AK82" s="108"/>
      <c r="AL82" s="108"/>
      <c r="AM82" s="108"/>
    </row>
    <row r="83" spans="1:43" s="372" customFormat="1" ht="32.25" customHeight="1">
      <c r="A83" s="379">
        <f>_xlfn.AGGREGATE(4,7,A$29:A82)+1</f>
        <v>54</v>
      </c>
      <c r="B83" s="363" t="s">
        <v>1524</v>
      </c>
      <c r="C83" s="375" t="s">
        <v>883</v>
      </c>
      <c r="D83" s="434" t="s">
        <v>1666</v>
      </c>
      <c r="E83" s="428">
        <v>1603205182178</v>
      </c>
      <c r="F83" s="366">
        <v>3.66</v>
      </c>
      <c r="G83" s="367"/>
      <c r="H83" s="368">
        <f t="shared" si="0"/>
        <v>3.66</v>
      </c>
      <c r="I83" s="368"/>
      <c r="J83" s="368" t="str">
        <f>VLOOKUP(B83,TH!B74:J406,9,FALSE)</f>
        <v>Nhân viên phòng TS - Đào tạo</v>
      </c>
      <c r="K83" s="369">
        <f t="shared" si="1"/>
        <v>3.66</v>
      </c>
      <c r="L83" s="362">
        <f t="shared" si="2"/>
        <v>6588000</v>
      </c>
      <c r="M83" s="366" t="str">
        <f>VLOOKUP(B83,'[1]Gui chi Quynh'!$B$11:$E$400,4,FALSE)</f>
        <v>A2</v>
      </c>
      <c r="N83" s="494">
        <f t="shared" si="3"/>
        <v>9223200</v>
      </c>
      <c r="O83" s="366">
        <v>21</v>
      </c>
      <c r="P83" s="440">
        <f>IFERROR(INDEX('[2]CN BC'!$J$10:$J$276,MATCH(B83,'[2]CN BC'!$H$10:$H$276,0)),"")</f>
        <v>26</v>
      </c>
      <c r="Q83" s="494">
        <f t="shared" si="4"/>
        <v>9223200</v>
      </c>
      <c r="R83" s="460"/>
      <c r="S83" s="362">
        <f>R83*$G$26*1.6</f>
        <v>0</v>
      </c>
      <c r="T83" s="370"/>
      <c r="U83" s="362">
        <f t="shared" si="5"/>
        <v>0</v>
      </c>
      <c r="V83" s="584">
        <f t="shared" si="6"/>
        <v>65880</v>
      </c>
      <c r="W83" s="584"/>
      <c r="X83" s="371">
        <f t="shared" si="7"/>
        <v>9223200</v>
      </c>
      <c r="Y83" s="846">
        <f t="shared" si="8"/>
        <v>5.1239999999999997</v>
      </c>
      <c r="Z83" s="491">
        <v>1800000</v>
      </c>
      <c r="AA83" s="662">
        <f t="shared" si="9"/>
        <v>9223200</v>
      </c>
      <c r="AB83" s="568">
        <f t="shared" si="10"/>
        <v>54</v>
      </c>
      <c r="AC83" s="493">
        <f>IFERROR(INDEX('[2]CN BC'!$M$10:$M$276,MATCH(B83,'[2]CN BC'!$H$10:$H$276,0)),"")</f>
        <v>0</v>
      </c>
      <c r="AD83" s="141"/>
      <c r="AE83" s="108"/>
      <c r="AF83" s="108"/>
      <c r="AG83" s="155"/>
    </row>
    <row r="84" spans="1:43" s="372" customFormat="1" ht="32.25" customHeight="1">
      <c r="A84" s="379">
        <f>_xlfn.AGGREGATE(4,7,A$29:A83)+1</f>
        <v>55</v>
      </c>
      <c r="B84" s="444" t="s">
        <v>1860</v>
      </c>
      <c r="C84" s="419" t="s">
        <v>1601</v>
      </c>
      <c r="D84" s="418" t="s">
        <v>1667</v>
      </c>
      <c r="E84" s="426">
        <v>1603205351697</v>
      </c>
      <c r="F84" s="373">
        <v>3.33</v>
      </c>
      <c r="G84" s="367"/>
      <c r="H84" s="445">
        <f t="shared" si="0"/>
        <v>3.33</v>
      </c>
      <c r="I84" s="368"/>
      <c r="J84" s="368" t="str">
        <f>VLOOKUP(B84,TH!B75:J407,9,FALSE)</f>
        <v>Nhân viên phòng TS - Đào tạo</v>
      </c>
      <c r="K84" s="369">
        <f t="shared" si="1"/>
        <v>3.33</v>
      </c>
      <c r="L84" s="362">
        <f t="shared" si="2"/>
        <v>5994000</v>
      </c>
      <c r="M84" s="366" t="str">
        <f>VLOOKUP(B84,'[1]Gui chi Quynh'!$B$11:$E$400,4,FALSE)</f>
        <v>A1</v>
      </c>
      <c r="N84" s="494">
        <f t="shared" si="3"/>
        <v>9590400</v>
      </c>
      <c r="O84" s="366">
        <v>21</v>
      </c>
      <c r="P84" s="440">
        <f>IFERROR(INDEX('[2]CN BC'!$J$10:$J$276,MATCH(B84,'[2]CN BC'!$H$10:$H$276,0)),"")</f>
        <v>26.5</v>
      </c>
      <c r="Q84" s="494">
        <f t="shared" si="4"/>
        <v>9590400</v>
      </c>
      <c r="R84" s="460"/>
      <c r="S84" s="362">
        <f>R84*$G$26*1</f>
        <v>0</v>
      </c>
      <c r="T84" s="370"/>
      <c r="U84" s="362">
        <f t="shared" si="5"/>
        <v>0</v>
      </c>
      <c r="V84" s="584">
        <f t="shared" si="6"/>
        <v>59940</v>
      </c>
      <c r="W84" s="584"/>
      <c r="X84" s="371">
        <f t="shared" si="7"/>
        <v>9590400</v>
      </c>
      <c r="Y84" s="846">
        <f t="shared" si="8"/>
        <v>5.3280000000000003</v>
      </c>
      <c r="Z84" s="491">
        <v>1800000</v>
      </c>
      <c r="AA84" s="662">
        <f t="shared" si="9"/>
        <v>9590400</v>
      </c>
      <c r="AB84" s="568">
        <f t="shared" si="10"/>
        <v>55</v>
      </c>
      <c r="AC84" s="493">
        <f>IFERROR(INDEX('[2]CN BC'!$M$10:$M$276,MATCH(B84,'[2]CN BC'!$H$10:$H$276,0)),"")</f>
        <v>0</v>
      </c>
      <c r="AD84" s="141"/>
      <c r="AE84" s="471"/>
      <c r="AF84" s="108"/>
      <c r="AG84" s="155"/>
      <c r="AH84" s="108"/>
      <c r="AI84" s="108"/>
      <c r="AJ84" s="108"/>
      <c r="AK84" s="108"/>
      <c r="AL84" s="108"/>
      <c r="AM84" s="108"/>
    </row>
    <row r="85" spans="1:43" s="372" customFormat="1" ht="32.25" customHeight="1">
      <c r="A85" s="379">
        <f>_xlfn.AGGREGATE(4,7,A$29:A84)+1</f>
        <v>56</v>
      </c>
      <c r="B85" s="363" t="s">
        <v>1484</v>
      </c>
      <c r="C85" s="380" t="s">
        <v>979</v>
      </c>
      <c r="D85" s="434" t="s">
        <v>1649</v>
      </c>
      <c r="E85" s="426">
        <v>1603205357194</v>
      </c>
      <c r="F85" s="489">
        <v>3.33</v>
      </c>
      <c r="G85" s="367"/>
      <c r="H85" s="445">
        <f t="shared" si="0"/>
        <v>3.33</v>
      </c>
      <c r="I85" s="368"/>
      <c r="J85" s="368" t="str">
        <f>VLOOKUP(B85,TH!B76:J408,9,FALSE)</f>
        <v>Nhân viên phòng Tuyển sinh - Đào tạo</v>
      </c>
      <c r="K85" s="369">
        <f t="shared" si="1"/>
        <v>3.33</v>
      </c>
      <c r="L85" s="362">
        <f t="shared" si="2"/>
        <v>5994000</v>
      </c>
      <c r="M85" s="366" t="str">
        <f>VLOOKUP(B85,'[1]Gui chi Quynh'!$B$11:$E$400,4,FALSE)</f>
        <v>A3</v>
      </c>
      <c r="N85" s="494">
        <f t="shared" si="3"/>
        <v>7192800</v>
      </c>
      <c r="O85" s="366">
        <v>21</v>
      </c>
      <c r="P85" s="440">
        <f>IFERROR(INDEX('[2]CN BC'!$J$10:$J$276,MATCH(B85,'[2]CN BC'!$H$10:$H$276,0)),"")</f>
        <v>27</v>
      </c>
      <c r="Q85" s="494">
        <f t="shared" si="4"/>
        <v>7192800</v>
      </c>
      <c r="R85" s="460"/>
      <c r="S85" s="362">
        <f>R85*$G$26*1</f>
        <v>0</v>
      </c>
      <c r="T85" s="370"/>
      <c r="U85" s="362">
        <f t="shared" si="5"/>
        <v>0</v>
      </c>
      <c r="V85" s="584">
        <f t="shared" si="6"/>
        <v>59940</v>
      </c>
      <c r="W85" s="584"/>
      <c r="X85" s="371">
        <f t="shared" si="7"/>
        <v>7192800</v>
      </c>
      <c r="Y85" s="846">
        <f t="shared" si="8"/>
        <v>3.996</v>
      </c>
      <c r="Z85" s="491">
        <v>1800000</v>
      </c>
      <c r="AA85" s="662">
        <f t="shared" si="9"/>
        <v>7192800</v>
      </c>
      <c r="AB85" s="568">
        <f t="shared" si="10"/>
        <v>56</v>
      </c>
      <c r="AC85" s="493">
        <f>IFERROR(INDEX('[2]CN BC'!$M$10:$M$276,MATCH(B85,'[2]CN BC'!$H$10:$H$276,0)),"")</f>
        <v>0</v>
      </c>
      <c r="AD85" s="141"/>
      <c r="AE85" s="108"/>
      <c r="AF85" s="108"/>
      <c r="AG85" s="155"/>
    </row>
    <row r="86" spans="1:43" s="108" customFormat="1" ht="32.25" customHeight="1">
      <c r="A86" s="379">
        <f>_xlfn.AGGREGATE(4,7,A$29:A85)+1</f>
        <v>57</v>
      </c>
      <c r="B86" s="33" t="s">
        <v>1861</v>
      </c>
      <c r="C86" s="149" t="s">
        <v>1026</v>
      </c>
      <c r="D86" s="406" t="s">
        <v>1668</v>
      </c>
      <c r="E86" s="424" t="s">
        <v>1361</v>
      </c>
      <c r="F86" s="10">
        <v>4.6500000000000004</v>
      </c>
      <c r="G86" s="157"/>
      <c r="H86" s="368">
        <f t="shared" si="0"/>
        <v>4.6500000000000004</v>
      </c>
      <c r="I86" s="368">
        <v>0.45</v>
      </c>
      <c r="J86" s="368" t="str">
        <f>VLOOKUP(B86,TH!B77:J409,9,FALSE)</f>
        <v>Trưởng phòng Khảo thí và ĐBCL</v>
      </c>
      <c r="K86" s="369">
        <f t="shared" si="1"/>
        <v>5.1000000000000005</v>
      </c>
      <c r="L86" s="362">
        <f t="shared" si="2"/>
        <v>9180000.0000000019</v>
      </c>
      <c r="M86" s="366" t="str">
        <f>VLOOKUP(B86,'[1]Gui chi Quynh'!$B$11:$E$400,4,FALSE)</f>
        <v>A2</v>
      </c>
      <c r="N86" s="494">
        <f t="shared" si="3"/>
        <v>12852000.000000002</v>
      </c>
      <c r="O86" s="366">
        <v>21</v>
      </c>
      <c r="P86" s="440">
        <f>IFERROR(INDEX('[2]CN BC'!$J$10:$J$276,MATCH(B86,'[2]CN BC'!$H$10:$H$276,0)),"")</f>
        <v>25</v>
      </c>
      <c r="Q86" s="494">
        <f t="shared" si="4"/>
        <v>12852000.000000002</v>
      </c>
      <c r="R86" s="392"/>
      <c r="S86" s="362">
        <f>R86*$G$26*1</f>
        <v>0</v>
      </c>
      <c r="T86" s="385"/>
      <c r="U86" s="362">
        <f t="shared" si="5"/>
        <v>0</v>
      </c>
      <c r="V86" s="584">
        <f t="shared" si="6"/>
        <v>91800</v>
      </c>
      <c r="W86" s="584"/>
      <c r="X86" s="371">
        <f t="shared" si="7"/>
        <v>12852000.000000002</v>
      </c>
      <c r="Y86" s="846">
        <f t="shared" si="8"/>
        <v>7.1400000000000015</v>
      </c>
      <c r="Z86" s="491">
        <v>1800000</v>
      </c>
      <c r="AA86" s="662">
        <f t="shared" si="9"/>
        <v>12852000.000000002</v>
      </c>
      <c r="AB86" s="568">
        <f t="shared" si="10"/>
        <v>57</v>
      </c>
      <c r="AC86" s="493">
        <f>IFERROR(INDEX('[2]CN BC'!$M$10:$M$276,MATCH(B86,'[2]CN BC'!$H$10:$H$276,0)),"")</f>
        <v>0</v>
      </c>
      <c r="AD86" s="141"/>
      <c r="AG86" s="155"/>
    </row>
    <row r="87" spans="1:43" s="108" customFormat="1" ht="32.25" customHeight="1">
      <c r="A87" s="379">
        <f>_xlfn.AGGREGATE(4,7,A$29:A86)+1</f>
        <v>58</v>
      </c>
      <c r="B87" s="33" t="s">
        <v>1853</v>
      </c>
      <c r="C87" s="149" t="s">
        <v>912</v>
      </c>
      <c r="D87" s="406" t="s">
        <v>1639</v>
      </c>
      <c r="E87" s="424" t="s">
        <v>1271</v>
      </c>
      <c r="F87" s="366">
        <v>4.32</v>
      </c>
      <c r="G87" s="157"/>
      <c r="H87" s="368">
        <f>F87+(F87*G87)</f>
        <v>4.32</v>
      </c>
      <c r="I87" s="81">
        <v>0.35</v>
      </c>
      <c r="J87" s="368" t="str">
        <f>VLOOKUP(B87,TH!B78:J410,9,FALSE)</f>
        <v>Phó TP. Kế hoạch - Tài chính</v>
      </c>
      <c r="K87" s="369">
        <f>H87+I87</f>
        <v>4.67</v>
      </c>
      <c r="L87" s="362">
        <f>K87*$G$26</f>
        <v>8406000</v>
      </c>
      <c r="M87" s="366" t="str">
        <f>VLOOKUP(B87,'[1]Gui chi Quynh'!$B$11:$E$400,4,FALSE)</f>
        <v>A1</v>
      </c>
      <c r="N87" s="494">
        <f>IF(M87="A1",L87*1.6,IF(M87="A2",L87*1.4,IF(M87="A3",L87*1.2,IF(M87="A4",L87*1,IF(M87="B1",L87*0.7,IF(M87="B2",L87*0.5,IF(M87="C1",L87*0.3,IF(M87="C2",L87*0.2,0))))))))</f>
        <v>13449600</v>
      </c>
      <c r="O87" s="366">
        <v>21</v>
      </c>
      <c r="P87" s="440">
        <f>IFERROR(INDEX('[2]CN BC'!$J$10:$J$276,MATCH(B87,'[2]CN BC'!$H$10:$H$276,0)),"")</f>
        <v>22</v>
      </c>
      <c r="Q87" s="494">
        <f>IF(P87&gt;=O87,N87,N87/O87*P87)</f>
        <v>13449600</v>
      </c>
      <c r="R87" s="392"/>
      <c r="S87" s="362">
        <f>R87*$G$26*1</f>
        <v>0</v>
      </c>
      <c r="T87" s="385"/>
      <c r="U87" s="362">
        <f>T87*$G$26*1</f>
        <v>0</v>
      </c>
      <c r="V87" s="584">
        <f>IF(OR(M87="A DN",M87="KXL", M87=""),"0",ROUND(K87*0.01*$G$26+R87*1%*$G$26+T87*1%*$G$26,))</f>
        <v>84060</v>
      </c>
      <c r="W87" s="584"/>
      <c r="X87" s="371">
        <f t="shared" si="7"/>
        <v>13449600</v>
      </c>
      <c r="Y87" s="846">
        <f t="shared" si="8"/>
        <v>7.4720000000000004</v>
      </c>
      <c r="Z87" s="491">
        <v>1800000</v>
      </c>
      <c r="AA87" s="662">
        <f t="shared" si="9"/>
        <v>13449600</v>
      </c>
      <c r="AB87" s="568">
        <f t="shared" si="10"/>
        <v>58</v>
      </c>
      <c r="AC87" s="493">
        <f>IFERROR(INDEX('[2]CN BC'!$M$10:$M$276,MATCH(B87,'[2]CN BC'!$H$10:$H$276,0)),"")</f>
        <v>0</v>
      </c>
      <c r="AD87" s="141"/>
      <c r="AE87" s="141"/>
      <c r="AG87" s="155"/>
    </row>
    <row r="88" spans="1:43" s="372" customFormat="1" ht="32.25" customHeight="1">
      <c r="A88" s="379">
        <f>_xlfn.AGGREGATE(4,7,A$29:A87)+1</f>
        <v>59</v>
      </c>
      <c r="B88" s="363" t="s">
        <v>1862</v>
      </c>
      <c r="C88" s="375" t="s">
        <v>499</v>
      </c>
      <c r="D88" s="434" t="s">
        <v>1669</v>
      </c>
      <c r="E88" s="423" t="s">
        <v>497</v>
      </c>
      <c r="F88" s="366">
        <v>4.9800000000000004</v>
      </c>
      <c r="G88" s="378">
        <v>0.2</v>
      </c>
      <c r="H88" s="368">
        <f t="shared" si="0"/>
        <v>5.9760000000000009</v>
      </c>
      <c r="I88" s="368"/>
      <c r="J88" s="368" t="str">
        <f>VLOOKUP(B88,TH!B79:J411,9,FALSE)</f>
        <v>Nhân viên phòng Khảo thí và ĐBCL</v>
      </c>
      <c r="K88" s="369">
        <f t="shared" si="1"/>
        <v>5.9760000000000009</v>
      </c>
      <c r="L88" s="362">
        <f t="shared" si="2"/>
        <v>10756800.000000002</v>
      </c>
      <c r="M88" s="366" t="str">
        <f>VLOOKUP(B88,'[1]Gui chi Quynh'!$B$11:$E$400,4,FALSE)</f>
        <v>A3</v>
      </c>
      <c r="N88" s="494">
        <f t="shared" si="3"/>
        <v>12908160.000000002</v>
      </c>
      <c r="O88" s="366">
        <v>21</v>
      </c>
      <c r="P88" s="440">
        <f>IFERROR(INDEX('[2]CN BC'!$J$10:$J$276,MATCH(B88,'[2]CN BC'!$H$10:$H$276,0)),"")</f>
        <v>21</v>
      </c>
      <c r="Q88" s="494">
        <f t="shared" si="4"/>
        <v>12908160.000000002</v>
      </c>
      <c r="R88" s="460"/>
      <c r="S88" s="362">
        <f>R88*$G$26*1</f>
        <v>0</v>
      </c>
      <c r="T88" s="370"/>
      <c r="U88" s="362">
        <f t="shared" si="5"/>
        <v>0</v>
      </c>
      <c r="V88" s="584">
        <f t="shared" si="6"/>
        <v>107568</v>
      </c>
      <c r="W88" s="584"/>
      <c r="X88" s="371">
        <f t="shared" si="7"/>
        <v>12908160.000000002</v>
      </c>
      <c r="Y88" s="846">
        <f t="shared" si="8"/>
        <v>7.1712000000000007</v>
      </c>
      <c r="Z88" s="491">
        <v>1800000</v>
      </c>
      <c r="AA88" s="662">
        <f t="shared" si="9"/>
        <v>12908160.000000002</v>
      </c>
      <c r="AB88" s="568">
        <f t="shared" si="10"/>
        <v>59</v>
      </c>
      <c r="AC88" s="493">
        <f>IFERROR(INDEX('[2]CN BC'!$M$10:$M$276,MATCH(B88,'[2]CN BC'!$H$10:$H$276,0)),"")</f>
        <v>0</v>
      </c>
      <c r="AD88" s="536"/>
      <c r="AG88" s="487"/>
    </row>
    <row r="89" spans="1:43" s="372" customFormat="1" ht="32.25" customHeight="1">
      <c r="A89" s="379">
        <f>_xlfn.AGGREGATE(4,7,A$29:A88)+1</f>
        <v>60</v>
      </c>
      <c r="B89" s="363" t="s">
        <v>842</v>
      </c>
      <c r="C89" s="375" t="s">
        <v>874</v>
      </c>
      <c r="D89" s="434" t="s">
        <v>1671</v>
      </c>
      <c r="E89" s="423" t="s">
        <v>396</v>
      </c>
      <c r="F89" s="366">
        <v>3.66</v>
      </c>
      <c r="G89" s="367"/>
      <c r="H89" s="368">
        <f t="shared" si="0"/>
        <v>3.66</v>
      </c>
      <c r="I89" s="368"/>
      <c r="J89" s="368" t="str">
        <f>VLOOKUP(B89,TH!B80:J412,9,FALSE)</f>
        <v>Nhân viên phòng Khảo thí và ĐBCL</v>
      </c>
      <c r="K89" s="369">
        <f t="shared" si="1"/>
        <v>3.66</v>
      </c>
      <c r="L89" s="362">
        <f t="shared" si="2"/>
        <v>6588000</v>
      </c>
      <c r="M89" s="366" t="str">
        <f>VLOOKUP(B89,'[1]Gui chi Quynh'!$B$11:$E$400,4,FALSE)</f>
        <v>A3</v>
      </c>
      <c r="N89" s="494">
        <f t="shared" si="3"/>
        <v>7905600</v>
      </c>
      <c r="O89" s="366">
        <v>21</v>
      </c>
      <c r="P89" s="440">
        <f>IFERROR(INDEX('[2]CN BC'!$J$10:$J$276,MATCH(B89,'[2]CN BC'!$H$10:$H$276,0)),"")</f>
        <v>21</v>
      </c>
      <c r="Q89" s="494">
        <f t="shared" si="4"/>
        <v>7905600</v>
      </c>
      <c r="R89" s="460"/>
      <c r="S89" s="362">
        <f>R89*$G$26*0.8</f>
        <v>0</v>
      </c>
      <c r="T89" s="370"/>
      <c r="U89" s="362">
        <f t="shared" si="5"/>
        <v>0</v>
      </c>
      <c r="V89" s="584">
        <f t="shared" si="6"/>
        <v>65880</v>
      </c>
      <c r="W89" s="584"/>
      <c r="X89" s="371">
        <f t="shared" si="7"/>
        <v>7905600</v>
      </c>
      <c r="Y89" s="846">
        <f t="shared" si="8"/>
        <v>4.3920000000000003</v>
      </c>
      <c r="Z89" s="491">
        <v>1800000</v>
      </c>
      <c r="AA89" s="662">
        <f t="shared" si="9"/>
        <v>7905600.0000000009</v>
      </c>
      <c r="AB89" s="568">
        <f t="shared" si="10"/>
        <v>60</v>
      </c>
      <c r="AC89" s="493">
        <f>IFERROR(INDEX('[2]CN BC'!$M$10:$M$276,MATCH(B89,'[2]CN BC'!$H$10:$H$276,0)),"")</f>
        <v>0</v>
      </c>
      <c r="AD89" s="141"/>
      <c r="AE89" s="108"/>
      <c r="AF89" s="108"/>
      <c r="AG89" s="155"/>
      <c r="AH89" s="108"/>
      <c r="AI89" s="108"/>
      <c r="AJ89" s="108"/>
      <c r="AK89" s="108"/>
      <c r="AL89" s="108"/>
      <c r="AM89" s="108"/>
    </row>
    <row r="90" spans="1:43" s="372" customFormat="1" ht="32.25" customHeight="1">
      <c r="A90" s="379">
        <f>_xlfn.AGGREGATE(4,7,A$29:A89)+1</f>
        <v>61</v>
      </c>
      <c r="B90" s="363" t="s">
        <v>1551</v>
      </c>
      <c r="C90" s="375" t="s">
        <v>896</v>
      </c>
      <c r="D90" s="406" t="s">
        <v>1672</v>
      </c>
      <c r="E90" s="430">
        <v>1603205182756</v>
      </c>
      <c r="F90" s="366">
        <v>3.66</v>
      </c>
      <c r="G90" s="367"/>
      <c r="H90" s="368">
        <f t="shared" si="0"/>
        <v>3.66</v>
      </c>
      <c r="I90" s="368"/>
      <c r="J90" s="368" t="str">
        <f>VLOOKUP(B90,TH!B81:J413,9,FALSE)</f>
        <v>Nhân viên phòng Khảo thí và ĐBCL</v>
      </c>
      <c r="K90" s="369">
        <f t="shared" si="1"/>
        <v>3.66</v>
      </c>
      <c r="L90" s="362">
        <f t="shared" si="2"/>
        <v>6588000</v>
      </c>
      <c r="M90" s="366" t="str">
        <f>VLOOKUP(B90,'[1]Gui chi Quynh'!$B$11:$E$400,4,FALSE)</f>
        <v>A3</v>
      </c>
      <c r="N90" s="494">
        <f t="shared" si="3"/>
        <v>7905600</v>
      </c>
      <c r="O90" s="366">
        <v>21</v>
      </c>
      <c r="P90" s="440">
        <f>IFERROR(INDEX('[2]CN BC'!$J$10:$J$276,MATCH(B90,'[2]CN BC'!$H$10:$H$276,0)),"")</f>
        <v>21</v>
      </c>
      <c r="Q90" s="494">
        <f t="shared" si="4"/>
        <v>7905600</v>
      </c>
      <c r="R90" s="460"/>
      <c r="S90" s="362">
        <f>R90*$G$26*0.8</f>
        <v>0</v>
      </c>
      <c r="T90" s="370"/>
      <c r="U90" s="362">
        <f t="shared" si="5"/>
        <v>0</v>
      </c>
      <c r="V90" s="584">
        <f t="shared" si="6"/>
        <v>65880</v>
      </c>
      <c r="W90" s="584"/>
      <c r="X90" s="371">
        <f t="shared" si="7"/>
        <v>7905600</v>
      </c>
      <c r="Y90" s="846">
        <f t="shared" si="8"/>
        <v>4.3920000000000003</v>
      </c>
      <c r="Z90" s="491">
        <v>1800000</v>
      </c>
      <c r="AA90" s="662">
        <f t="shared" si="9"/>
        <v>7905600.0000000009</v>
      </c>
      <c r="AB90" s="568">
        <f t="shared" si="10"/>
        <v>61</v>
      </c>
      <c r="AC90" s="493">
        <f>IFERROR(INDEX('[2]CN BC'!$M$10:$M$276,MATCH(B90,'[2]CN BC'!$H$10:$H$276,0)),"")</f>
        <v>0</v>
      </c>
      <c r="AD90" s="141"/>
      <c r="AE90" s="108"/>
      <c r="AF90" s="659"/>
      <c r="AG90" s="155"/>
      <c r="AH90" s="108"/>
      <c r="AI90" s="108"/>
      <c r="AJ90" s="108"/>
      <c r="AK90" s="108"/>
      <c r="AL90" s="108"/>
      <c r="AM90" s="108"/>
      <c r="AN90" s="108"/>
      <c r="AO90" s="108"/>
      <c r="AP90" s="108"/>
      <c r="AQ90" s="108"/>
    </row>
    <row r="91" spans="1:43" s="372" customFormat="1" ht="32.25" customHeight="1">
      <c r="A91" s="379">
        <f>_xlfn.AGGREGATE(4,7,A$29:A90)+1</f>
        <v>62</v>
      </c>
      <c r="B91" s="363" t="s">
        <v>1521</v>
      </c>
      <c r="C91" s="380" t="s">
        <v>891</v>
      </c>
      <c r="D91" s="406" t="s">
        <v>1673</v>
      </c>
      <c r="E91" s="429">
        <v>1603205286752</v>
      </c>
      <c r="F91" s="373">
        <v>3.66</v>
      </c>
      <c r="G91" s="367"/>
      <c r="H91" s="445">
        <f t="shared" si="0"/>
        <v>3.66</v>
      </c>
      <c r="I91" s="368"/>
      <c r="J91" s="368" t="str">
        <f>VLOOKUP(B91,TH!B82:J414,9,FALSE)</f>
        <v>Nhân viên phòng Khảo thí và ĐBCL</v>
      </c>
      <c r="K91" s="369">
        <f t="shared" si="1"/>
        <v>3.66</v>
      </c>
      <c r="L91" s="362">
        <f t="shared" si="2"/>
        <v>6588000</v>
      </c>
      <c r="M91" s="366" t="str">
        <f>VLOOKUP(B91,'[1]Gui chi Quynh'!$B$11:$E$400,4,FALSE)</f>
        <v>A2</v>
      </c>
      <c r="N91" s="494">
        <f t="shared" si="3"/>
        <v>9223200</v>
      </c>
      <c r="O91" s="366">
        <v>21</v>
      </c>
      <c r="P91" s="440">
        <f>IFERROR(INDEX('[2]CN BC'!$J$10:$J$276,MATCH(B91,'[2]CN BC'!$H$10:$H$276,0)),"")</f>
        <v>22</v>
      </c>
      <c r="Q91" s="494">
        <f t="shared" si="4"/>
        <v>9223200</v>
      </c>
      <c r="R91" s="392"/>
      <c r="S91" s="362">
        <f>R91*$G$26*0.8</f>
        <v>0</v>
      </c>
      <c r="T91" s="385"/>
      <c r="U91" s="362">
        <f t="shared" si="5"/>
        <v>0</v>
      </c>
      <c r="V91" s="584">
        <f t="shared" si="6"/>
        <v>65880</v>
      </c>
      <c r="W91" s="584"/>
      <c r="X91" s="371">
        <f t="shared" si="7"/>
        <v>9223200</v>
      </c>
      <c r="Y91" s="846">
        <f t="shared" si="8"/>
        <v>5.1239999999999997</v>
      </c>
      <c r="Z91" s="491">
        <v>1800000</v>
      </c>
      <c r="AA91" s="662">
        <f t="shared" si="9"/>
        <v>9223200</v>
      </c>
      <c r="AB91" s="568">
        <f t="shared" si="10"/>
        <v>62</v>
      </c>
      <c r="AC91" s="493">
        <f>IFERROR(INDEX('[2]CN BC'!$M$10:$M$276,MATCH(B91,'[2]CN BC'!$H$10:$H$276,0)),"")</f>
        <v>0</v>
      </c>
      <c r="AD91" s="141"/>
      <c r="AE91" s="108"/>
      <c r="AF91" s="108"/>
      <c r="AG91" s="461"/>
      <c r="AH91" s="108"/>
      <c r="AI91" s="108"/>
      <c r="AJ91" s="108"/>
      <c r="AK91" s="108"/>
      <c r="AL91" s="108"/>
      <c r="AM91" s="108"/>
      <c r="AN91" s="108"/>
      <c r="AO91" s="108"/>
      <c r="AP91" s="108"/>
      <c r="AQ91" s="108"/>
    </row>
    <row r="92" spans="1:43" s="372" customFormat="1" ht="32.25" customHeight="1">
      <c r="A92" s="379">
        <f>_xlfn.AGGREGATE(4,7,A$29:A91)+1</f>
        <v>63</v>
      </c>
      <c r="B92" s="363" t="s">
        <v>1841</v>
      </c>
      <c r="C92" s="364"/>
      <c r="D92" s="434" t="s">
        <v>1956</v>
      </c>
      <c r="E92" s="480" t="s">
        <v>1931</v>
      </c>
      <c r="F92" s="373">
        <v>3</v>
      </c>
      <c r="G92" s="367"/>
      <c r="H92" s="445">
        <f t="shared" si="0"/>
        <v>3</v>
      </c>
      <c r="I92" s="368">
        <v>0.35</v>
      </c>
      <c r="J92" s="368" t="str">
        <f>VLOOKUP(B92,TH!B83:J415,9,FALSE)</f>
        <v>Nhân viên phòng Khảo thí và ĐBCL</v>
      </c>
      <c r="K92" s="369">
        <f t="shared" si="1"/>
        <v>3.35</v>
      </c>
      <c r="L92" s="362">
        <f t="shared" si="2"/>
        <v>6030000</v>
      </c>
      <c r="M92" s="366" t="str">
        <f>VLOOKUP(B92,'[1]Gui chi Quynh'!$B$11:$E$400,4,FALSE)</f>
        <v>A1</v>
      </c>
      <c r="N92" s="494">
        <f t="shared" si="3"/>
        <v>9648000</v>
      </c>
      <c r="O92" s="366">
        <v>21</v>
      </c>
      <c r="P92" s="440">
        <f>IFERROR(INDEX('[2]CN BC'!$J$10:$J$276,MATCH(B92,'[2]CN BC'!$H$10:$H$276,0)),"")</f>
        <v>26</v>
      </c>
      <c r="Q92" s="494">
        <f t="shared" si="4"/>
        <v>9648000</v>
      </c>
      <c r="R92" s="460"/>
      <c r="S92" s="362">
        <f>R92*$G$26*1</f>
        <v>0</v>
      </c>
      <c r="T92" s="370"/>
      <c r="U92" s="362">
        <f t="shared" si="5"/>
        <v>0</v>
      </c>
      <c r="V92" s="584">
        <f t="shared" si="6"/>
        <v>60300</v>
      </c>
      <c r="W92" s="584"/>
      <c r="X92" s="371">
        <f t="shared" si="7"/>
        <v>9648000</v>
      </c>
      <c r="Y92" s="846">
        <f t="shared" si="8"/>
        <v>5.36</v>
      </c>
      <c r="Z92" s="491">
        <v>1800000</v>
      </c>
      <c r="AA92" s="662">
        <f t="shared" si="9"/>
        <v>9648000</v>
      </c>
      <c r="AB92" s="568">
        <f t="shared" si="10"/>
        <v>63</v>
      </c>
      <c r="AC92" s="493">
        <f>IFERROR(INDEX('[2]CN BC'!$M$10:$M$276,MATCH(B92,'[2]CN BC'!$H$10:$H$276,0)),"")</f>
        <v>0</v>
      </c>
      <c r="AD92" s="141"/>
      <c r="AE92" s="108"/>
      <c r="AF92" s="108"/>
      <c r="AG92" s="155"/>
      <c r="AH92" s="108"/>
      <c r="AI92" s="108"/>
      <c r="AJ92" s="108"/>
      <c r="AK92" s="108"/>
      <c r="AL92" s="108"/>
      <c r="AM92" s="108"/>
    </row>
    <row r="93" spans="1:43" s="108" customFormat="1" ht="32.25" customHeight="1">
      <c r="A93" s="379">
        <f>_xlfn.AGGREGATE(4,7,A$29:A92)+1</f>
        <v>64</v>
      </c>
      <c r="B93" s="33" t="s">
        <v>1863</v>
      </c>
      <c r="C93" s="149" t="s">
        <v>903</v>
      </c>
      <c r="D93" s="406" t="s">
        <v>1675</v>
      </c>
      <c r="E93" s="424" t="s">
        <v>1357</v>
      </c>
      <c r="F93" s="83">
        <v>3.66</v>
      </c>
      <c r="G93" s="157"/>
      <c r="H93" s="368">
        <f t="shared" si="0"/>
        <v>3.66</v>
      </c>
      <c r="I93" s="81">
        <v>0.45</v>
      </c>
      <c r="J93" s="368" t="str">
        <f>VLOOKUP(B93,TH!B84:J416,9,FALSE)</f>
        <v>Trưởng TT Điều hành và QLDL</v>
      </c>
      <c r="K93" s="369">
        <f t="shared" si="1"/>
        <v>4.1100000000000003</v>
      </c>
      <c r="L93" s="362">
        <f t="shared" si="2"/>
        <v>7398000.0000000009</v>
      </c>
      <c r="M93" s="366" t="str">
        <f>VLOOKUP(B93,'[1]Gui chi Quynh'!$B$11:$E$400,4,FALSE)</f>
        <v>A1</v>
      </c>
      <c r="N93" s="494">
        <f t="shared" si="3"/>
        <v>11836800.000000002</v>
      </c>
      <c r="O93" s="366">
        <v>21</v>
      </c>
      <c r="P93" s="440">
        <f>IFERROR(INDEX('[2]CN BC'!$J$10:$J$276,MATCH(B93,'[2]CN BC'!$H$10:$H$276,0)),"")</f>
        <v>27</v>
      </c>
      <c r="Q93" s="494">
        <f t="shared" si="4"/>
        <v>11836800.000000002</v>
      </c>
      <c r="R93" s="392"/>
      <c r="S93" s="362">
        <f>R93*$G$26*1</f>
        <v>0</v>
      </c>
      <c r="T93" s="385"/>
      <c r="U93" s="362">
        <f t="shared" si="5"/>
        <v>0</v>
      </c>
      <c r="V93" s="584">
        <f t="shared" si="6"/>
        <v>73980</v>
      </c>
      <c r="W93" s="584"/>
      <c r="X93" s="371">
        <f t="shared" si="7"/>
        <v>11836800.000000002</v>
      </c>
      <c r="Y93" s="846">
        <f t="shared" si="8"/>
        <v>6.5760000000000014</v>
      </c>
      <c r="Z93" s="491">
        <v>1800000</v>
      </c>
      <c r="AA93" s="662">
        <f t="shared" si="9"/>
        <v>11836800.000000002</v>
      </c>
      <c r="AB93" s="568">
        <f t="shared" si="10"/>
        <v>64</v>
      </c>
      <c r="AC93" s="493">
        <f>IFERROR(INDEX('[2]CN BC'!$M$10:$M$276,MATCH(B93,'[2]CN BC'!$H$10:$H$276,0)),"")</f>
        <v>0</v>
      </c>
      <c r="AD93" s="141"/>
      <c r="AG93" s="155"/>
    </row>
    <row r="94" spans="1:43" s="372" customFormat="1" ht="32.25" customHeight="1">
      <c r="A94" s="379">
        <f>_xlfn.AGGREGATE(4,7,A$29:A93)+1</f>
        <v>65</v>
      </c>
      <c r="B94" s="363" t="s">
        <v>1470</v>
      </c>
      <c r="C94" s="380" t="s">
        <v>1434</v>
      </c>
      <c r="D94" s="406" t="s">
        <v>1679</v>
      </c>
      <c r="E94" s="426" t="s">
        <v>1438</v>
      </c>
      <c r="F94" s="366">
        <v>3.66</v>
      </c>
      <c r="G94" s="367"/>
      <c r="H94" s="368">
        <f t="shared" ref="H94:H123" si="14">F94+(F94*G94)</f>
        <v>3.66</v>
      </c>
      <c r="I94" s="368"/>
      <c r="J94" s="368" t="str">
        <f>VLOOKUP(B94,TH!B85:J417,9,FALSE)</f>
        <v>NV Trung tâm ĐH và QLDL</v>
      </c>
      <c r="K94" s="369">
        <f t="shared" ref="K94:K123" si="15">H94+I94</f>
        <v>3.66</v>
      </c>
      <c r="L94" s="362">
        <f t="shared" ref="L94:L120" si="16">K94*$G$26</f>
        <v>6588000</v>
      </c>
      <c r="M94" s="366" t="str">
        <f>VLOOKUP(B94,'[1]Gui chi Quynh'!$B$11:$E$400,4,FALSE)</f>
        <v>A2</v>
      </c>
      <c r="N94" s="494">
        <f t="shared" ref="N94:N154" si="17">IF(M94="A1",L94*1.6,IF(M94="A2",L94*1.4,IF(M94="A3",L94*1.2,IF(M94="A4",L94*1,IF(M94="B1",L94*0.7,IF(M94="B2",L94*0.5,IF(M94="C1",L94*0.3,IF(M94="C2",L94*0.2,0))))))))</f>
        <v>9223200</v>
      </c>
      <c r="O94" s="366">
        <v>21</v>
      </c>
      <c r="P94" s="440">
        <f>IFERROR(INDEX('[2]CN BC'!$J$10:$J$276,MATCH(B94,'[2]CN BC'!$H$10:$H$276,0)),"")</f>
        <v>25</v>
      </c>
      <c r="Q94" s="494">
        <f t="shared" ref="Q94:Q154" si="18">IF(P94&gt;=O94,N94,N94/O94*P94)</f>
        <v>9223200</v>
      </c>
      <c r="R94" s="392"/>
      <c r="S94" s="362">
        <f>R94*$G$26*1</f>
        <v>0</v>
      </c>
      <c r="T94" s="385"/>
      <c r="U94" s="362">
        <f t="shared" ref="U94:U154" si="19">T94*$G$26*1</f>
        <v>0</v>
      </c>
      <c r="V94" s="584">
        <f t="shared" ref="V94:V154" si="20">IF(OR(M94="A DN",M94="KXL", M94=""),"0",ROUND(K94*0.01*$G$26+R94*1%*$G$26+T94*1%*$G$26,))</f>
        <v>65880</v>
      </c>
      <c r="W94" s="584"/>
      <c r="X94" s="371">
        <f t="shared" si="7"/>
        <v>9223200</v>
      </c>
      <c r="Y94" s="846">
        <f t="shared" si="8"/>
        <v>5.1239999999999997</v>
      </c>
      <c r="Z94" s="491">
        <v>1800000</v>
      </c>
      <c r="AA94" s="662">
        <f t="shared" si="9"/>
        <v>9223200</v>
      </c>
      <c r="AB94" s="568">
        <f t="shared" si="10"/>
        <v>65</v>
      </c>
      <c r="AC94" s="493">
        <f>IFERROR(INDEX('[2]CN BC'!$M$10:$M$276,MATCH(B94,'[2]CN BC'!$H$10:$H$276,0)),"")</f>
        <v>0</v>
      </c>
      <c r="AD94" s="141"/>
      <c r="AE94" s="141"/>
      <c r="AF94" s="108"/>
      <c r="AG94" s="461"/>
      <c r="AH94" s="108"/>
      <c r="AI94" s="108"/>
      <c r="AJ94" s="108"/>
      <c r="AK94" s="108"/>
      <c r="AL94" s="108"/>
      <c r="AM94" s="108"/>
      <c r="AN94" s="108"/>
      <c r="AO94" s="108"/>
      <c r="AP94" s="108"/>
      <c r="AQ94" s="108"/>
    </row>
    <row r="95" spans="1:43" s="372" customFormat="1" ht="32.25" customHeight="1">
      <c r="A95" s="379">
        <f>_xlfn.AGGREGATE(4,7,A$29:A94)+1</f>
        <v>66</v>
      </c>
      <c r="B95" s="363" t="s">
        <v>1466</v>
      </c>
      <c r="C95" s="375" t="s">
        <v>1211</v>
      </c>
      <c r="D95" s="434" t="s">
        <v>1663</v>
      </c>
      <c r="E95" s="426" t="s">
        <v>1579</v>
      </c>
      <c r="F95" s="366">
        <v>3.26</v>
      </c>
      <c r="G95" s="367"/>
      <c r="H95" s="368">
        <f t="shared" si="14"/>
        <v>3.26</v>
      </c>
      <c r="I95" s="368"/>
      <c r="J95" s="368" t="str">
        <f>VLOOKUP(B95,TH!B86:J418,9,FALSE)</f>
        <v>Nhân viên TT Điều hành và QLDL</v>
      </c>
      <c r="K95" s="369">
        <f t="shared" si="15"/>
        <v>3.26</v>
      </c>
      <c r="L95" s="362">
        <f t="shared" si="16"/>
        <v>5868000</v>
      </c>
      <c r="M95" s="366" t="str">
        <f>VLOOKUP(B95,'[1]Gui chi Quynh'!$B$11:$E$400,4,FALSE)</f>
        <v>A2</v>
      </c>
      <c r="N95" s="494">
        <f t="shared" si="17"/>
        <v>8215199.9999999991</v>
      </c>
      <c r="O95" s="366">
        <v>21</v>
      </c>
      <c r="P95" s="440">
        <f>IFERROR(INDEX('[2]CN BC'!$J$10:$J$276,MATCH(B95,'[2]CN BC'!$H$10:$H$276,0)),"")</f>
        <v>26</v>
      </c>
      <c r="Q95" s="494">
        <f t="shared" si="18"/>
        <v>8215199.9999999991</v>
      </c>
      <c r="R95" s="460"/>
      <c r="S95" s="362">
        <f>R95*$G$26*1.2</f>
        <v>0</v>
      </c>
      <c r="T95" s="370"/>
      <c r="U95" s="362">
        <f t="shared" si="19"/>
        <v>0</v>
      </c>
      <c r="V95" s="584">
        <f t="shared" si="20"/>
        <v>58680</v>
      </c>
      <c r="W95" s="584"/>
      <c r="X95" s="371">
        <f t="shared" ref="X95:X158" si="21">(Q95+S95+U95)+W95</f>
        <v>8215199.9999999991</v>
      </c>
      <c r="Y95" s="846">
        <f t="shared" ref="Y95:Y155" si="22">X95/Z95</f>
        <v>4.5639999999999992</v>
      </c>
      <c r="Z95" s="491">
        <v>1800000</v>
      </c>
      <c r="AA95" s="662">
        <f t="shared" ref="AA95:AA155" si="23">Y95*Z95</f>
        <v>8215199.9999999981</v>
      </c>
      <c r="AB95" s="568">
        <f t="shared" ref="AB95:AB158" si="24">A95</f>
        <v>66</v>
      </c>
      <c r="AC95" s="493">
        <f>IFERROR(INDEX('[2]CN BC'!$M$10:$M$276,MATCH(B95,'[2]CN BC'!$H$10:$H$276,0)),"")</f>
        <v>0</v>
      </c>
      <c r="AD95" s="141"/>
      <c r="AE95" s="108"/>
      <c r="AF95" s="108"/>
      <c r="AG95" s="155"/>
      <c r="AH95" s="108"/>
      <c r="AI95" s="108"/>
      <c r="AJ95" s="108"/>
      <c r="AK95" s="108"/>
      <c r="AL95" s="108"/>
      <c r="AM95" s="108"/>
    </row>
    <row r="96" spans="1:43" s="372" customFormat="1" ht="23.25" customHeight="1">
      <c r="A96" s="379">
        <f>_xlfn.AGGREGATE(4,7,A$29:A95)+1</f>
        <v>67</v>
      </c>
      <c r="B96" s="363" t="s">
        <v>1834</v>
      </c>
      <c r="C96" s="364"/>
      <c r="D96" s="434" t="s">
        <v>1967</v>
      </c>
      <c r="E96" s="480">
        <v>1603215005599</v>
      </c>
      <c r="F96" s="373">
        <v>3.66</v>
      </c>
      <c r="G96" s="367"/>
      <c r="H96" s="368">
        <f t="shared" si="14"/>
        <v>3.66</v>
      </c>
      <c r="I96" s="368">
        <v>0.45</v>
      </c>
      <c r="J96" s="368" t="str">
        <f>VLOOKUP(B96,TH!B87:J419,9,FALSE)</f>
        <v>Phụ trách TT Thư viện</v>
      </c>
      <c r="K96" s="369">
        <f t="shared" si="15"/>
        <v>4.1100000000000003</v>
      </c>
      <c r="L96" s="362">
        <f t="shared" si="16"/>
        <v>7398000.0000000009</v>
      </c>
      <c r="M96" s="366" t="str">
        <f>VLOOKUP(B96,'[1]Gui chi Quynh'!$B$11:$E$400,4,FALSE)</f>
        <v>A3</v>
      </c>
      <c r="N96" s="494">
        <f t="shared" si="17"/>
        <v>8877600</v>
      </c>
      <c r="O96" s="366">
        <v>21</v>
      </c>
      <c r="P96" s="440">
        <f>IFERROR(INDEX('[2]CN BC'!$J$10:$J$276,MATCH(B96,'[2]CN BC'!$H$10:$H$276,0)),"")</f>
        <v>21.5</v>
      </c>
      <c r="Q96" s="494">
        <f t="shared" si="18"/>
        <v>8877600</v>
      </c>
      <c r="R96" s="460"/>
      <c r="S96" s="362">
        <f t="shared" ref="S96:S146" si="25">R96*$G$26*1</f>
        <v>0</v>
      </c>
      <c r="T96" s="370"/>
      <c r="U96" s="362">
        <f t="shared" si="19"/>
        <v>0</v>
      </c>
      <c r="V96" s="584">
        <f t="shared" si="20"/>
        <v>73980</v>
      </c>
      <c r="W96" s="584"/>
      <c r="X96" s="371">
        <f t="shared" si="21"/>
        <v>8877600</v>
      </c>
      <c r="Y96" s="846">
        <f t="shared" si="22"/>
        <v>4.9320000000000004</v>
      </c>
      <c r="Z96" s="491">
        <v>1800000</v>
      </c>
      <c r="AA96" s="662">
        <f t="shared" si="23"/>
        <v>8877600</v>
      </c>
      <c r="AB96" s="568">
        <f t="shared" si="24"/>
        <v>67</v>
      </c>
      <c r="AC96" s="493">
        <f>IFERROR(INDEX('[2]CN BC'!$M$10:$M$276,MATCH(B96,'[2]CN BC'!$H$10:$H$276,0)),"")</f>
        <v>0</v>
      </c>
      <c r="AD96" s="141"/>
      <c r="AE96" s="108"/>
      <c r="AF96" s="108"/>
      <c r="AG96" s="155"/>
      <c r="AH96" s="108"/>
      <c r="AI96" s="108"/>
      <c r="AJ96" s="108"/>
      <c r="AK96" s="108"/>
      <c r="AL96" s="108"/>
      <c r="AM96" s="108"/>
    </row>
    <row r="97" spans="1:43" s="372" customFormat="1" ht="27" customHeight="1">
      <c r="A97" s="379">
        <f>_xlfn.AGGREGATE(4,7,A$29:A96)+1</f>
        <v>68</v>
      </c>
      <c r="B97" s="363" t="s">
        <v>1468</v>
      </c>
      <c r="C97" s="375" t="s">
        <v>883</v>
      </c>
      <c r="D97" s="434" t="s">
        <v>1676</v>
      </c>
      <c r="E97" s="426" t="s">
        <v>1580</v>
      </c>
      <c r="F97" s="373">
        <v>3.33</v>
      </c>
      <c r="G97" s="367"/>
      <c r="H97" s="445">
        <f t="shared" si="14"/>
        <v>3.33</v>
      </c>
      <c r="I97" s="368"/>
      <c r="J97" s="368" t="str">
        <f>VLOOKUP(B97,TH!B88:J420,9,FALSE)</f>
        <v>Nhân viên TT Thư viện</v>
      </c>
      <c r="K97" s="369">
        <f t="shared" si="15"/>
        <v>3.33</v>
      </c>
      <c r="L97" s="362">
        <f t="shared" si="16"/>
        <v>5994000</v>
      </c>
      <c r="M97" s="366" t="str">
        <f>VLOOKUP(B97,'[1]Gui chi Quynh'!$B$11:$E$400,4,FALSE)</f>
        <v>A3</v>
      </c>
      <c r="N97" s="494">
        <f t="shared" si="17"/>
        <v>7192800</v>
      </c>
      <c r="O97" s="366">
        <v>21</v>
      </c>
      <c r="P97" s="440">
        <f>IFERROR(INDEX('[2]CN BC'!$J$10:$J$276,MATCH(B97,'[2]CN BC'!$H$10:$H$276,0)),"")</f>
        <v>22.5</v>
      </c>
      <c r="Q97" s="494">
        <f t="shared" si="18"/>
        <v>7192800</v>
      </c>
      <c r="R97" s="392"/>
      <c r="S97" s="362">
        <f t="shared" si="25"/>
        <v>0</v>
      </c>
      <c r="T97" s="370"/>
      <c r="U97" s="362">
        <f t="shared" si="19"/>
        <v>0</v>
      </c>
      <c r="V97" s="584">
        <f t="shared" si="20"/>
        <v>59940</v>
      </c>
      <c r="W97" s="584"/>
      <c r="X97" s="371">
        <f t="shared" si="21"/>
        <v>7192800</v>
      </c>
      <c r="Y97" s="846">
        <f t="shared" si="22"/>
        <v>3.996</v>
      </c>
      <c r="Z97" s="491">
        <v>1800000</v>
      </c>
      <c r="AA97" s="662">
        <f t="shared" si="23"/>
        <v>7192800</v>
      </c>
      <c r="AB97" s="568">
        <f t="shared" si="24"/>
        <v>68</v>
      </c>
      <c r="AC97" s="493">
        <f>IFERROR(INDEX('[2]CN BC'!$M$10:$M$276,MATCH(B97,'[2]CN BC'!$H$10:$H$276,0)),"")</f>
        <v>0</v>
      </c>
      <c r="AD97" s="141"/>
      <c r="AE97" s="108"/>
      <c r="AF97" s="108"/>
      <c r="AG97" s="155"/>
      <c r="AH97" s="108"/>
      <c r="AI97" s="108"/>
      <c r="AJ97" s="108"/>
      <c r="AK97" s="108"/>
      <c r="AL97" s="108"/>
      <c r="AM97" s="108"/>
    </row>
    <row r="98" spans="1:43" s="372" customFormat="1" ht="27" customHeight="1">
      <c r="A98" s="379">
        <f>_xlfn.AGGREGATE(4,7,A$29:A97)+1</f>
        <v>69</v>
      </c>
      <c r="B98" s="363" t="s">
        <v>1469</v>
      </c>
      <c r="C98" s="375" t="s">
        <v>49</v>
      </c>
      <c r="D98" s="434" t="s">
        <v>1677</v>
      </c>
      <c r="E98" s="430">
        <v>1603205185623</v>
      </c>
      <c r="F98" s="373">
        <v>3.33</v>
      </c>
      <c r="G98" s="367"/>
      <c r="H98" s="445">
        <f t="shared" si="14"/>
        <v>3.33</v>
      </c>
      <c r="I98" s="368"/>
      <c r="J98" s="368" t="str">
        <f>VLOOKUP(B98,TH!B89:J421,9,FALSE)</f>
        <v>Nhân viên TT Thư viện</v>
      </c>
      <c r="K98" s="369">
        <f t="shared" si="15"/>
        <v>3.33</v>
      </c>
      <c r="L98" s="362">
        <f t="shared" si="16"/>
        <v>5994000</v>
      </c>
      <c r="M98" s="366" t="str">
        <f>VLOOKUP(B98,'[1]Gui chi Quynh'!$B$11:$E$400,4,FALSE)</f>
        <v>A3</v>
      </c>
      <c r="N98" s="494">
        <f t="shared" si="17"/>
        <v>7192800</v>
      </c>
      <c r="O98" s="366">
        <v>21</v>
      </c>
      <c r="P98" s="440">
        <f>IFERROR(INDEX('[2]CN BC'!$J$10:$J$276,MATCH(B98,'[2]CN BC'!$H$10:$H$276,0)),"")</f>
        <v>21.5</v>
      </c>
      <c r="Q98" s="494">
        <f t="shared" si="18"/>
        <v>7192800</v>
      </c>
      <c r="R98" s="460"/>
      <c r="S98" s="362">
        <f t="shared" si="25"/>
        <v>0</v>
      </c>
      <c r="T98" s="370"/>
      <c r="U98" s="362">
        <f t="shared" si="19"/>
        <v>0</v>
      </c>
      <c r="V98" s="584">
        <f t="shared" si="20"/>
        <v>59940</v>
      </c>
      <c r="W98" s="584"/>
      <c r="X98" s="371">
        <f t="shared" si="21"/>
        <v>7192800</v>
      </c>
      <c r="Y98" s="846">
        <f t="shared" si="22"/>
        <v>3.996</v>
      </c>
      <c r="Z98" s="491">
        <v>1800000</v>
      </c>
      <c r="AA98" s="662">
        <f t="shared" si="23"/>
        <v>7192800</v>
      </c>
      <c r="AB98" s="568">
        <f t="shared" si="24"/>
        <v>69</v>
      </c>
      <c r="AC98" s="493">
        <f>IFERROR(INDEX('[2]CN BC'!$M$10:$M$276,MATCH(B98,'[2]CN BC'!$H$10:$H$276,0)),"")</f>
        <v>0</v>
      </c>
      <c r="AD98" s="470"/>
      <c r="AE98" s="108"/>
      <c r="AF98" s="108"/>
      <c r="AG98" s="155"/>
      <c r="AH98" s="108"/>
      <c r="AI98" s="108"/>
      <c r="AJ98" s="108"/>
      <c r="AK98" s="108"/>
      <c r="AL98" s="108"/>
      <c r="AM98" s="108"/>
    </row>
    <row r="99" spans="1:43" s="372" customFormat="1" ht="27" customHeight="1">
      <c r="A99" s="379">
        <f>_xlfn.AGGREGATE(4,7,A$29:A98)+1</f>
        <v>70</v>
      </c>
      <c r="B99" s="363" t="s">
        <v>1864</v>
      </c>
      <c r="C99" s="380" t="s">
        <v>1066</v>
      </c>
      <c r="D99" s="434" t="s">
        <v>1678</v>
      </c>
      <c r="E99" s="423" t="s">
        <v>1402</v>
      </c>
      <c r="F99" s="366">
        <v>4.9800000000000004</v>
      </c>
      <c r="G99" s="367">
        <v>0.05</v>
      </c>
      <c r="H99" s="368">
        <f t="shared" si="14"/>
        <v>5.2290000000000001</v>
      </c>
      <c r="I99" s="368"/>
      <c r="J99" s="368" t="str">
        <f>VLOOKUP(B99,TH!B90:J422,9,FALSE)</f>
        <v>Nhân viên TT Thư viện</v>
      </c>
      <c r="K99" s="369">
        <f t="shared" si="15"/>
        <v>5.2290000000000001</v>
      </c>
      <c r="L99" s="362">
        <f t="shared" si="16"/>
        <v>9412200</v>
      </c>
      <c r="M99" s="366" t="str">
        <f>VLOOKUP(B99,'[1]Gui chi Quynh'!$B$11:$E$400,4,FALSE)</f>
        <v>A4</v>
      </c>
      <c r="N99" s="494">
        <f t="shared" si="17"/>
        <v>9412200</v>
      </c>
      <c r="O99" s="366">
        <v>21</v>
      </c>
      <c r="P99" s="440">
        <f>IFERROR(INDEX('[2]CN BC'!$J$10:$J$276,MATCH(B99,'[2]CN BC'!$H$10:$H$276,0)),"")</f>
        <v>21</v>
      </c>
      <c r="Q99" s="494">
        <f t="shared" si="18"/>
        <v>9412200</v>
      </c>
      <c r="R99" s="460"/>
      <c r="S99" s="362">
        <f t="shared" si="25"/>
        <v>0</v>
      </c>
      <c r="T99" s="370"/>
      <c r="U99" s="362">
        <f t="shared" si="19"/>
        <v>0</v>
      </c>
      <c r="V99" s="584">
        <f t="shared" si="20"/>
        <v>94122</v>
      </c>
      <c r="W99" s="584"/>
      <c r="X99" s="371">
        <f t="shared" si="21"/>
        <v>9412200</v>
      </c>
      <c r="Y99" s="846">
        <f t="shared" si="22"/>
        <v>5.2290000000000001</v>
      </c>
      <c r="Z99" s="491">
        <v>1800000</v>
      </c>
      <c r="AA99" s="662">
        <f t="shared" si="23"/>
        <v>9412200</v>
      </c>
      <c r="AB99" s="568">
        <f t="shared" si="24"/>
        <v>70</v>
      </c>
      <c r="AC99" s="493">
        <f>IFERROR(INDEX('[2]CN BC'!$M$10:$M$276,MATCH(B99,'[2]CN BC'!$H$10:$H$276,0)),"")</f>
        <v>0</v>
      </c>
      <c r="AD99" s="141"/>
      <c r="AE99" s="108"/>
      <c r="AF99" s="108"/>
      <c r="AG99" s="487"/>
    </row>
    <row r="100" spans="1:43" s="372" customFormat="1" ht="31.5" customHeight="1">
      <c r="A100" s="379">
        <f>_xlfn.AGGREGATE(4,7,A$29:A99)+1</f>
        <v>71</v>
      </c>
      <c r="B100" s="363" t="s">
        <v>1471</v>
      </c>
      <c r="C100" s="364" t="s">
        <v>1060</v>
      </c>
      <c r="D100" s="434" t="s">
        <v>1680</v>
      </c>
      <c r="E100" s="426" t="s">
        <v>1581</v>
      </c>
      <c r="F100" s="366">
        <v>4.9800000000000004</v>
      </c>
      <c r="G100" s="367"/>
      <c r="H100" s="368">
        <f t="shared" si="14"/>
        <v>4.9800000000000004</v>
      </c>
      <c r="I100" s="368">
        <v>0.45</v>
      </c>
      <c r="J100" s="368" t="str">
        <f>VLOOKUP(B100,TH!B91:J423,9,FALSE)</f>
        <v>Trưởng phòng KHCN &amp; HTQT</v>
      </c>
      <c r="K100" s="369">
        <f t="shared" si="15"/>
        <v>5.4300000000000006</v>
      </c>
      <c r="L100" s="362">
        <f t="shared" si="16"/>
        <v>9774000.0000000019</v>
      </c>
      <c r="M100" s="366" t="str">
        <f>VLOOKUP(B100,'[1]Gui chi Quynh'!$B$11:$E$400,4,FALSE)</f>
        <v>A2</v>
      </c>
      <c r="N100" s="494">
        <f t="shared" si="17"/>
        <v>13683600.000000002</v>
      </c>
      <c r="O100" s="366">
        <v>21</v>
      </c>
      <c r="P100" s="440">
        <f>IFERROR(INDEX('[2]CN BC'!$J$10:$J$276,MATCH(B100,'[2]CN BC'!$H$10:$H$276,0)),"")</f>
        <v>21</v>
      </c>
      <c r="Q100" s="494">
        <f t="shared" si="18"/>
        <v>13683600.000000002</v>
      </c>
      <c r="R100" s="460"/>
      <c r="S100" s="362">
        <f t="shared" si="25"/>
        <v>0</v>
      </c>
      <c r="T100" s="370"/>
      <c r="U100" s="362">
        <f t="shared" si="19"/>
        <v>0</v>
      </c>
      <c r="V100" s="584">
        <f t="shared" si="20"/>
        <v>97740</v>
      </c>
      <c r="W100" s="584"/>
      <c r="X100" s="371">
        <f t="shared" si="21"/>
        <v>13683600.000000002</v>
      </c>
      <c r="Y100" s="846">
        <f t="shared" si="22"/>
        <v>7.6020000000000012</v>
      </c>
      <c r="Z100" s="491">
        <v>1800000</v>
      </c>
      <c r="AA100" s="662">
        <f t="shared" si="23"/>
        <v>13683600.000000002</v>
      </c>
      <c r="AB100" s="568">
        <f t="shared" si="24"/>
        <v>71</v>
      </c>
      <c r="AC100" s="493">
        <f>IFERROR(INDEX('[2]CN BC'!$M$10:$M$276,MATCH(B100,'[2]CN BC'!$H$10:$H$276,0)),"")</f>
        <v>0</v>
      </c>
      <c r="AD100" s="536"/>
      <c r="AG100" s="487"/>
    </row>
    <row r="101" spans="1:43" s="372" customFormat="1" ht="28.5" customHeight="1">
      <c r="A101" s="379">
        <f>_xlfn.AGGREGATE(4,7,A$29:A100)+1</f>
        <v>72</v>
      </c>
      <c r="B101" s="444" t="s">
        <v>1830</v>
      </c>
      <c r="C101" s="419" t="s">
        <v>1087</v>
      </c>
      <c r="D101" s="418" t="s">
        <v>1829</v>
      </c>
      <c r="E101" s="446">
        <v>1603205354978</v>
      </c>
      <c r="F101" s="366">
        <v>2.67</v>
      </c>
      <c r="G101" s="367"/>
      <c r="H101" s="368">
        <f>F101+(F101*G101)</f>
        <v>2.67</v>
      </c>
      <c r="I101" s="368">
        <v>0.45</v>
      </c>
      <c r="J101" s="368" t="str">
        <f>VLOOKUP(B101,TH!B92:J424,9,FALSE)</f>
        <v>Giám đốc TT Đào tạo Lý Tự Trọng</v>
      </c>
      <c r="K101" s="369">
        <f>H101+I101</f>
        <v>3.12</v>
      </c>
      <c r="L101" s="362">
        <f>K101*TH.T3!$G$26</f>
        <v>5616000</v>
      </c>
      <c r="M101" s="366" t="str">
        <f>VLOOKUP(B101,'[1]Gui chi Quynh'!$B$11:$E$400,4,FALSE)</f>
        <v>A1</v>
      </c>
      <c r="N101" s="494">
        <f t="shared" si="17"/>
        <v>8985600</v>
      </c>
      <c r="O101" s="366">
        <v>21</v>
      </c>
      <c r="P101" s="440">
        <f>IFERROR(INDEX('[2]CN BC'!$J$10:$J$276,MATCH(B101,'[2]CN BC'!$H$10:$H$276,0)),"")</f>
        <v>31</v>
      </c>
      <c r="Q101" s="362">
        <f>IF(P101&gt;=O101,N101,N101/O101*P101)</f>
        <v>8985600</v>
      </c>
      <c r="R101" s="392"/>
      <c r="S101" s="362">
        <f>R101*TH.T3!$G$26*1</f>
        <v>0</v>
      </c>
      <c r="T101" s="370"/>
      <c r="U101" s="362">
        <f>T101*[3]CN!$G$8*0.65</f>
        <v>0</v>
      </c>
      <c r="V101" s="584">
        <f>IF(OR(M101="A DN",M101="KXL", M101=""),"0",ROUND(K101*0.01*TH.T3!$G$26+R101*1%*TH.T3!$G$26+T101*1%*TH.T3!$G$26,))</f>
        <v>56160</v>
      </c>
      <c r="W101" s="584"/>
      <c r="X101" s="371">
        <f t="shared" si="21"/>
        <v>8985600</v>
      </c>
      <c r="Y101" s="846">
        <f t="shared" si="22"/>
        <v>4.992</v>
      </c>
      <c r="Z101" s="491">
        <v>1800000</v>
      </c>
      <c r="AA101" s="662">
        <f t="shared" si="23"/>
        <v>8985600</v>
      </c>
      <c r="AB101" s="568">
        <f t="shared" si="24"/>
        <v>72</v>
      </c>
      <c r="AC101" s="493">
        <f>IFERROR(INDEX('[2]CN BC'!$M$10:$M$276,MATCH(B101,'[2]CN BC'!$H$10:$H$276,0)),"")</f>
        <v>0</v>
      </c>
      <c r="AD101" s="108"/>
      <c r="AE101" s="155"/>
      <c r="AF101" s="108"/>
      <c r="AG101" s="108"/>
      <c r="AH101" s="108"/>
      <c r="AI101" s="108"/>
      <c r="AJ101" s="108"/>
      <c r="AK101" s="108"/>
      <c r="AL101" s="108"/>
      <c r="AM101" s="108"/>
    </row>
    <row r="102" spans="1:43" s="108" customFormat="1" ht="28.5" customHeight="1">
      <c r="A102" s="379">
        <f>_xlfn.AGGREGATE(4,7,A$29:A101)+1</f>
        <v>73</v>
      </c>
      <c r="B102" s="33" t="s">
        <v>2005</v>
      </c>
      <c r="C102" s="149" t="s">
        <v>987</v>
      </c>
      <c r="D102" s="62" t="s">
        <v>1826</v>
      </c>
      <c r="E102" s="75" t="s">
        <v>12</v>
      </c>
      <c r="F102" s="81">
        <v>3.34</v>
      </c>
      <c r="G102" s="172"/>
      <c r="H102" s="81">
        <f>F102+(F102*G102)</f>
        <v>3.34</v>
      </c>
      <c r="I102" s="172">
        <v>0</v>
      </c>
      <c r="J102" s="368" t="str">
        <f>VLOOKUP(B102,TH!B93:J425,9,FALSE)</f>
        <v>Nhân viên Trung tâm Lý Tự Trọng</v>
      </c>
      <c r="K102" s="10">
        <f>I102+H102</f>
        <v>3.34</v>
      </c>
      <c r="L102" s="362">
        <f>K102*TH.T3!$G$26</f>
        <v>6012000</v>
      </c>
      <c r="M102" s="366" t="str">
        <f>VLOOKUP(B102,'[1]Gui chi Quynh'!$B$11:$E$400,4,FALSE)</f>
        <v>A4</v>
      </c>
      <c r="N102" s="494">
        <f t="shared" si="17"/>
        <v>6012000</v>
      </c>
      <c r="O102" s="366">
        <v>21</v>
      </c>
      <c r="P102" s="440">
        <f>IFERROR(INDEX('[2]CN BC'!$J$10:$J$276,MATCH(B102,'[2]CN BC'!$H$10:$H$276,0)),"")</f>
        <v>28</v>
      </c>
      <c r="Q102" s="31">
        <f>IF(P102&gt;=O102,N102,N102/O102*P102)</f>
        <v>6012000</v>
      </c>
      <c r="R102" s="517"/>
      <c r="S102" s="31">
        <f>R102*$H$27*0.65</f>
        <v>0</v>
      </c>
      <c r="T102" s="74"/>
      <c r="U102" s="31">
        <f>T102*$H$27*0.65</f>
        <v>0</v>
      </c>
      <c r="V102" s="585">
        <f>L102*1%</f>
        <v>60120</v>
      </c>
      <c r="W102" s="585"/>
      <c r="X102" s="371">
        <f t="shared" si="21"/>
        <v>6012000</v>
      </c>
      <c r="Y102" s="846">
        <f t="shared" si="22"/>
        <v>3.34</v>
      </c>
      <c r="Z102" s="491">
        <v>1800000</v>
      </c>
      <c r="AA102" s="662">
        <f t="shared" si="23"/>
        <v>6012000</v>
      </c>
      <c r="AB102" s="568">
        <f t="shared" si="24"/>
        <v>73</v>
      </c>
      <c r="AC102" s="493">
        <f>IFERROR(INDEX('[2]CN BC'!$M$10:$M$276,MATCH(B102,'[2]CN BC'!$H$10:$H$276,0)),"")</f>
        <v>0</v>
      </c>
    </row>
    <row r="103" spans="1:43" s="372" customFormat="1" ht="32.25" customHeight="1">
      <c r="A103" s="379">
        <f>_xlfn.AGGREGATE(4,7,A$29:A102)+1</f>
        <v>74</v>
      </c>
      <c r="B103" s="363" t="s">
        <v>1472</v>
      </c>
      <c r="C103" s="364" t="s">
        <v>939</v>
      </c>
      <c r="D103" s="406" t="s">
        <v>1682</v>
      </c>
      <c r="E103" s="426" t="s">
        <v>1582</v>
      </c>
      <c r="F103" s="373">
        <v>3.99</v>
      </c>
      <c r="G103" s="367"/>
      <c r="H103" s="368">
        <f t="shared" si="14"/>
        <v>3.99</v>
      </c>
      <c r="I103" s="368">
        <v>0.45</v>
      </c>
      <c r="J103" s="368" t="s">
        <v>2204</v>
      </c>
      <c r="K103" s="369">
        <f t="shared" si="15"/>
        <v>4.4400000000000004</v>
      </c>
      <c r="L103" s="362">
        <f t="shared" si="16"/>
        <v>7992000.0000000009</v>
      </c>
      <c r="M103" s="366" t="str">
        <f>VLOOKUP(B103,'[1]Gui chi Quynh'!$B$11:$E$400,4,FALSE)</f>
        <v>A1</v>
      </c>
      <c r="N103" s="494">
        <f t="shared" si="17"/>
        <v>12787200.000000002</v>
      </c>
      <c r="O103" s="376">
        <v>21</v>
      </c>
      <c r="P103" s="440">
        <f>IFERROR(INDEX('[2]CN BC'!$J$10:$J$276,MATCH(B103,'[2]CN BC'!$H$10:$H$276,0)),"")</f>
        <v>21</v>
      </c>
      <c r="Q103" s="494">
        <f t="shared" si="18"/>
        <v>12787200.000000002</v>
      </c>
      <c r="R103" s="392"/>
      <c r="S103" s="362">
        <f t="shared" si="25"/>
        <v>0</v>
      </c>
      <c r="T103" s="370"/>
      <c r="U103" s="362">
        <f t="shared" si="19"/>
        <v>0</v>
      </c>
      <c r="V103" s="584">
        <f t="shared" si="20"/>
        <v>79920</v>
      </c>
      <c r="W103" s="584"/>
      <c r="X103" s="371">
        <f t="shared" si="21"/>
        <v>12787200.000000002</v>
      </c>
      <c r="Y103" s="846">
        <f t="shared" si="22"/>
        <v>7.104000000000001</v>
      </c>
      <c r="Z103" s="491">
        <v>1800000</v>
      </c>
      <c r="AA103" s="662">
        <f t="shared" si="23"/>
        <v>12787200.000000002</v>
      </c>
      <c r="AB103" s="568">
        <f t="shared" si="24"/>
        <v>74</v>
      </c>
      <c r="AC103" s="493">
        <f>IFERROR(INDEX('[2]CN BC'!$M$10:$M$276,MATCH(B103,'[2]CN BC'!$H$10:$H$276,0)),"")</f>
        <v>0</v>
      </c>
      <c r="AD103" s="522" t="s">
        <v>812</v>
      </c>
      <c r="AE103" s="108"/>
      <c r="AF103" s="108"/>
      <c r="AG103" s="155"/>
      <c r="AH103" s="108"/>
      <c r="AI103" s="108"/>
      <c r="AJ103" s="108"/>
      <c r="AK103" s="108"/>
      <c r="AL103" s="108"/>
      <c r="AM103" s="108"/>
      <c r="AN103" s="108"/>
      <c r="AO103" s="108"/>
      <c r="AP103" s="108"/>
      <c r="AQ103" s="108"/>
    </row>
    <row r="104" spans="1:43" s="372" customFormat="1" ht="25.15" customHeight="1">
      <c r="A104" s="379">
        <f>_xlfn.AGGREGATE(4,7,A$29:A103)+1</f>
        <v>75</v>
      </c>
      <c r="B104" s="363" t="s">
        <v>1566</v>
      </c>
      <c r="C104" s="364"/>
      <c r="D104" s="434" t="s">
        <v>1681</v>
      </c>
      <c r="E104" s="435" t="s">
        <v>1567</v>
      </c>
      <c r="F104" s="369">
        <v>3</v>
      </c>
      <c r="G104" s="367"/>
      <c r="H104" s="445">
        <f t="shared" si="14"/>
        <v>3</v>
      </c>
      <c r="I104" s="368"/>
      <c r="J104" s="368" t="str">
        <f>VLOOKUP(B104,TH!B98:J430,9,FALSE)</f>
        <v>Giảng viên khoa Kinh tế</v>
      </c>
      <c r="K104" s="369">
        <f t="shared" si="15"/>
        <v>3</v>
      </c>
      <c r="L104" s="362">
        <f t="shared" si="16"/>
        <v>5400000</v>
      </c>
      <c r="M104" s="366" t="str">
        <f>VLOOKUP(B104,'[1]Gui chi Quynh'!$B$11:$E$400,4,FALSE)</f>
        <v>A3</v>
      </c>
      <c r="N104" s="494">
        <f t="shared" si="17"/>
        <v>6480000</v>
      </c>
      <c r="O104" s="376">
        <v>21</v>
      </c>
      <c r="P104" s="440">
        <f>IFERROR(INDEX('[2]CN BC'!$J$10:$J$276,MATCH(B104,'[2]CN BC'!$H$10:$H$276,0)),"")</f>
        <v>21</v>
      </c>
      <c r="Q104" s="494">
        <f t="shared" si="18"/>
        <v>6480000</v>
      </c>
      <c r="R104" s="460"/>
      <c r="S104" s="362">
        <f t="shared" si="25"/>
        <v>0</v>
      </c>
      <c r="T104" s="370"/>
      <c r="U104" s="362">
        <f t="shared" si="19"/>
        <v>0</v>
      </c>
      <c r="V104" s="584">
        <f t="shared" si="20"/>
        <v>54000</v>
      </c>
      <c r="W104" s="584"/>
      <c r="X104" s="371">
        <f t="shared" si="21"/>
        <v>6480000</v>
      </c>
      <c r="Y104" s="846">
        <f t="shared" si="22"/>
        <v>3.6</v>
      </c>
      <c r="Z104" s="491">
        <v>1800000</v>
      </c>
      <c r="AA104" s="662">
        <f t="shared" si="23"/>
        <v>6480000</v>
      </c>
      <c r="AB104" s="568">
        <f t="shared" si="24"/>
        <v>75</v>
      </c>
      <c r="AC104" s="493">
        <f>IFERROR(INDEX('[2]CN BC'!$M$10:$M$276,MATCH(B104,'[2]CN BC'!$H$10:$H$276,0)),"")</f>
        <v>0</v>
      </c>
      <c r="AD104" s="522" t="s">
        <v>813</v>
      </c>
      <c r="AE104" s="108"/>
      <c r="AF104" s="108"/>
      <c r="AG104" s="155"/>
    </row>
    <row r="105" spans="1:43" s="372" customFormat="1" ht="25.15" customHeight="1">
      <c r="A105" s="379">
        <f>_xlfn.AGGREGATE(4,7,A$29:A104)+1</f>
        <v>76</v>
      </c>
      <c r="B105" s="363" t="s">
        <v>1831</v>
      </c>
      <c r="C105" s="364"/>
      <c r="D105" s="434" t="s">
        <v>1960</v>
      </c>
      <c r="E105" s="481">
        <v>1603215005603</v>
      </c>
      <c r="F105" s="369">
        <v>3</v>
      </c>
      <c r="G105" s="367"/>
      <c r="H105" s="445">
        <f t="shared" si="14"/>
        <v>3</v>
      </c>
      <c r="I105" s="368"/>
      <c r="J105" s="368" t="str">
        <f>VLOOKUP(B105,TH!B99:J431,9,FALSE)</f>
        <v>Giảng viên khoa 
Kinh tế</v>
      </c>
      <c r="K105" s="369">
        <f t="shared" si="15"/>
        <v>3</v>
      </c>
      <c r="L105" s="362">
        <f t="shared" si="16"/>
        <v>5400000</v>
      </c>
      <c r="M105" s="366" t="str">
        <f>VLOOKUP(B105,'[1]Gui chi Quynh'!$B$11:$E$400,4,FALSE)</f>
        <v>A4</v>
      </c>
      <c r="N105" s="494">
        <f t="shared" si="17"/>
        <v>5400000</v>
      </c>
      <c r="O105" s="376">
        <v>21</v>
      </c>
      <c r="P105" s="440">
        <f>IFERROR(INDEX('[2]CN BC'!$J$10:$J$276,MATCH(B105,'[2]CN BC'!$H$10:$H$276,0)),"")</f>
        <v>21</v>
      </c>
      <c r="Q105" s="494">
        <f t="shared" si="18"/>
        <v>5400000</v>
      </c>
      <c r="R105" s="460"/>
      <c r="S105" s="362">
        <f t="shared" si="25"/>
        <v>0</v>
      </c>
      <c r="T105" s="370"/>
      <c r="U105" s="362">
        <f t="shared" si="19"/>
        <v>0</v>
      </c>
      <c r="V105" s="584">
        <f t="shared" si="20"/>
        <v>54000</v>
      </c>
      <c r="W105" s="584"/>
      <c r="X105" s="371">
        <f t="shared" si="21"/>
        <v>5400000</v>
      </c>
      <c r="Y105" s="846">
        <f t="shared" si="22"/>
        <v>3</v>
      </c>
      <c r="Z105" s="491">
        <v>1800000</v>
      </c>
      <c r="AA105" s="662">
        <f t="shared" si="23"/>
        <v>5400000</v>
      </c>
      <c r="AB105" s="568">
        <f t="shared" si="24"/>
        <v>76</v>
      </c>
      <c r="AC105" s="493">
        <f>IFERROR(INDEX('[2]CN BC'!$M$10:$M$276,MATCH(B105,'[2]CN BC'!$H$10:$H$276,0)),"")</f>
        <v>0</v>
      </c>
      <c r="AD105" s="522" t="s">
        <v>814</v>
      </c>
      <c r="AE105" s="108"/>
      <c r="AF105" s="108"/>
      <c r="AG105" s="155"/>
      <c r="AH105" s="108"/>
      <c r="AI105" s="108"/>
      <c r="AJ105" s="108"/>
      <c r="AK105" s="108"/>
      <c r="AL105" s="108"/>
      <c r="AM105" s="108"/>
    </row>
    <row r="106" spans="1:43" s="372" customFormat="1" ht="26.25" customHeight="1">
      <c r="A106" s="379">
        <f>_xlfn.AGGREGATE(4,7,A$29:A105)+1</f>
        <v>77</v>
      </c>
      <c r="B106" s="363" t="s">
        <v>1473</v>
      </c>
      <c r="C106" s="364" t="s">
        <v>1444</v>
      </c>
      <c r="D106" s="434" t="s">
        <v>1683</v>
      </c>
      <c r="E106" s="426" t="s">
        <v>1583</v>
      </c>
      <c r="F106" s="373">
        <v>3.66</v>
      </c>
      <c r="G106" s="367"/>
      <c r="H106" s="368">
        <f t="shared" si="14"/>
        <v>3.66</v>
      </c>
      <c r="I106" s="368">
        <v>0.35</v>
      </c>
      <c r="J106" s="368" t="str">
        <f>VLOOKUP(B106,TH!B100:J432,9,FALSE)</f>
        <v>Phó Trưởng khoa Kinh tế</v>
      </c>
      <c r="K106" s="369">
        <f t="shared" si="15"/>
        <v>4.01</v>
      </c>
      <c r="L106" s="362">
        <f t="shared" si="16"/>
        <v>7218000</v>
      </c>
      <c r="M106" s="366" t="str">
        <f>VLOOKUP(B106,'[1]Gui chi Quynh'!$B$11:$E$400,4,FALSE)</f>
        <v>A1</v>
      </c>
      <c r="N106" s="494">
        <f t="shared" si="17"/>
        <v>11548800</v>
      </c>
      <c r="O106" s="376">
        <v>21</v>
      </c>
      <c r="P106" s="440">
        <f>IFERROR(INDEX('[2]CN BC'!$J$10:$J$276,MATCH(B106,'[2]CN BC'!$H$10:$H$276,0)),"")</f>
        <v>21</v>
      </c>
      <c r="Q106" s="494">
        <f t="shared" si="18"/>
        <v>11548800</v>
      </c>
      <c r="R106" s="460"/>
      <c r="S106" s="362">
        <f t="shared" si="25"/>
        <v>0</v>
      </c>
      <c r="T106" s="370"/>
      <c r="U106" s="362">
        <f t="shared" si="19"/>
        <v>0</v>
      </c>
      <c r="V106" s="584">
        <f t="shared" si="20"/>
        <v>72180</v>
      </c>
      <c r="W106" s="584"/>
      <c r="X106" s="371">
        <f t="shared" si="21"/>
        <v>11548800</v>
      </c>
      <c r="Y106" s="846">
        <f t="shared" si="22"/>
        <v>6.4160000000000004</v>
      </c>
      <c r="Z106" s="491">
        <v>1800000</v>
      </c>
      <c r="AA106" s="662">
        <f t="shared" si="23"/>
        <v>11548800</v>
      </c>
      <c r="AB106" s="568">
        <f t="shared" si="24"/>
        <v>77</v>
      </c>
      <c r="AC106" s="493">
        <f>IFERROR(INDEX('[2]CN BC'!$M$10:$M$276,MATCH(B106,'[2]CN BC'!$H$10:$H$276,0)),"")</f>
        <v>0</v>
      </c>
      <c r="AD106" s="540" t="s">
        <v>815</v>
      </c>
      <c r="AG106" s="487"/>
    </row>
    <row r="107" spans="1:43" s="372" customFormat="1" ht="26.25" customHeight="1">
      <c r="A107" s="379">
        <f>_xlfn.AGGREGATE(4,7,A$29:A106)+1</f>
        <v>78</v>
      </c>
      <c r="B107" s="462" t="s">
        <v>1928</v>
      </c>
      <c r="C107" s="364"/>
      <c r="D107" s="434" t="s">
        <v>1961</v>
      </c>
      <c r="E107" s="479" t="s">
        <v>1934</v>
      </c>
      <c r="F107" s="369">
        <v>2.34</v>
      </c>
      <c r="G107" s="367"/>
      <c r="H107" s="368">
        <f t="shared" si="14"/>
        <v>2.34</v>
      </c>
      <c r="I107" s="368"/>
      <c r="J107" s="368" t="str">
        <f>VLOOKUP(B107,TH!B101:J433,9,FALSE)</f>
        <v>Giảng viên khoa Kinh tế</v>
      </c>
      <c r="K107" s="369">
        <f t="shared" si="15"/>
        <v>2.34</v>
      </c>
      <c r="L107" s="362">
        <f t="shared" si="16"/>
        <v>4212000</v>
      </c>
      <c r="M107" s="366" t="str">
        <f>VLOOKUP(B107,'[1]Gui chi Quynh'!$B$11:$E$400,4,FALSE)</f>
        <v>A3</v>
      </c>
      <c r="N107" s="494">
        <f t="shared" si="17"/>
        <v>5054400</v>
      </c>
      <c r="O107" s="376">
        <v>21</v>
      </c>
      <c r="P107" s="440">
        <f>IFERROR(INDEX('[2]CN BC'!$J$10:$J$276,MATCH(B107,'[2]CN BC'!$H$10:$H$276,0)),"")</f>
        <v>21</v>
      </c>
      <c r="Q107" s="494">
        <f t="shared" si="18"/>
        <v>5054400</v>
      </c>
      <c r="R107" s="460"/>
      <c r="S107" s="362">
        <f t="shared" si="25"/>
        <v>0</v>
      </c>
      <c r="T107" s="370"/>
      <c r="U107" s="362">
        <f t="shared" si="19"/>
        <v>0</v>
      </c>
      <c r="V107" s="584">
        <f t="shared" si="20"/>
        <v>42120</v>
      </c>
      <c r="W107" s="584"/>
      <c r="X107" s="371">
        <f t="shared" si="21"/>
        <v>5054400</v>
      </c>
      <c r="Y107" s="846">
        <f t="shared" si="22"/>
        <v>2.8079999999999998</v>
      </c>
      <c r="Z107" s="491">
        <v>1800000</v>
      </c>
      <c r="AA107" s="662">
        <f t="shared" si="23"/>
        <v>5054400</v>
      </c>
      <c r="AB107" s="568">
        <f t="shared" si="24"/>
        <v>78</v>
      </c>
      <c r="AC107" s="493">
        <f>IFERROR(INDEX('[2]CN BC'!$M$10:$M$276,MATCH(B107,'[2]CN BC'!$H$10:$H$276,0)),"")</f>
        <v>0</v>
      </c>
      <c r="AD107" s="540" t="s">
        <v>816</v>
      </c>
      <c r="AG107" s="487"/>
    </row>
    <row r="108" spans="1:43" s="372" customFormat="1" ht="32.25" customHeight="1">
      <c r="A108" s="379">
        <f>_xlfn.AGGREGATE(4,7,A$29:A107)+1</f>
        <v>79</v>
      </c>
      <c r="B108" s="363" t="s">
        <v>1474</v>
      </c>
      <c r="C108" s="364" t="s">
        <v>1103</v>
      </c>
      <c r="D108" s="434" t="s">
        <v>1684</v>
      </c>
      <c r="E108" s="426" t="s">
        <v>1584</v>
      </c>
      <c r="F108" s="373">
        <v>3.33</v>
      </c>
      <c r="G108" s="367"/>
      <c r="H108" s="445">
        <f t="shared" si="14"/>
        <v>3.33</v>
      </c>
      <c r="I108" s="368"/>
      <c r="J108" s="368" t="str">
        <f>VLOOKUP(B108,TH!B102:J434,9,FALSE)</f>
        <v>Giảng viên khoa Kinh tế</v>
      </c>
      <c r="K108" s="369">
        <f t="shared" si="15"/>
        <v>3.33</v>
      </c>
      <c r="L108" s="362">
        <f t="shared" si="16"/>
        <v>5994000</v>
      </c>
      <c r="M108" s="366" t="str">
        <f>VLOOKUP(B108,'[1]Gui chi Quynh'!$B$11:$E$400,4,FALSE)</f>
        <v>A3</v>
      </c>
      <c r="N108" s="494">
        <f t="shared" si="17"/>
        <v>7192800</v>
      </c>
      <c r="O108" s="376">
        <v>21</v>
      </c>
      <c r="P108" s="440">
        <f>IFERROR(INDEX('[2]CN BC'!$J$10:$J$276,MATCH(B108,'[2]CN BC'!$H$10:$H$276,0)),"")</f>
        <v>21</v>
      </c>
      <c r="Q108" s="494">
        <f t="shared" si="18"/>
        <v>7192800</v>
      </c>
      <c r="R108" s="460"/>
      <c r="S108" s="362">
        <f t="shared" si="25"/>
        <v>0</v>
      </c>
      <c r="T108" s="370"/>
      <c r="U108" s="362">
        <f t="shared" si="19"/>
        <v>0</v>
      </c>
      <c r="V108" s="584">
        <f t="shared" si="20"/>
        <v>59940</v>
      </c>
      <c r="W108" s="584"/>
      <c r="X108" s="371">
        <f t="shared" si="21"/>
        <v>7192800</v>
      </c>
      <c r="Y108" s="846">
        <f t="shared" si="22"/>
        <v>3.996</v>
      </c>
      <c r="Z108" s="491">
        <v>1800000</v>
      </c>
      <c r="AA108" s="662">
        <f t="shared" si="23"/>
        <v>7192800</v>
      </c>
      <c r="AB108" s="568">
        <f t="shared" si="24"/>
        <v>79</v>
      </c>
      <c r="AC108" s="493">
        <f>IFERROR(INDEX('[2]CN BC'!$M$10:$M$276,MATCH(B108,'[2]CN BC'!$H$10:$H$276,0)),"")</f>
        <v>0</v>
      </c>
      <c r="AD108" s="540" t="s">
        <v>818</v>
      </c>
      <c r="AG108" s="487"/>
    </row>
    <row r="109" spans="1:43" s="372" customFormat="1" ht="28.5" customHeight="1">
      <c r="A109" s="379">
        <f>_xlfn.AGGREGATE(4,7,A$29:A108)+1</f>
        <v>80</v>
      </c>
      <c r="B109" s="363" t="s">
        <v>1571</v>
      </c>
      <c r="C109" s="364"/>
      <c r="D109" s="434" t="s">
        <v>1685</v>
      </c>
      <c r="E109" s="435" t="s">
        <v>1572</v>
      </c>
      <c r="F109" s="369">
        <v>3</v>
      </c>
      <c r="G109" s="367"/>
      <c r="H109" s="445">
        <f t="shared" si="14"/>
        <v>3</v>
      </c>
      <c r="I109" s="368"/>
      <c r="J109" s="368" t="str">
        <f>VLOOKUP(B109,TH!B103:J435,9,FALSE)</f>
        <v>Giảng viên khoa Kinh tế</v>
      </c>
      <c r="K109" s="369">
        <f t="shared" si="15"/>
        <v>3</v>
      </c>
      <c r="L109" s="362">
        <f t="shared" si="16"/>
        <v>5400000</v>
      </c>
      <c r="M109" s="366" t="str">
        <f>VLOOKUP(B109,'[1]Gui chi Quynh'!$B$11:$E$400,4,FALSE)</f>
        <v>A4</v>
      </c>
      <c r="N109" s="494">
        <f t="shared" si="17"/>
        <v>5400000</v>
      </c>
      <c r="O109" s="376">
        <v>21</v>
      </c>
      <c r="P109" s="440">
        <f>IFERROR(INDEX('[2]CN BC'!$J$10:$J$276,MATCH(B109,'[2]CN BC'!$H$10:$H$276,0)),"")</f>
        <v>21</v>
      </c>
      <c r="Q109" s="494">
        <f t="shared" si="18"/>
        <v>5400000</v>
      </c>
      <c r="R109" s="392"/>
      <c r="S109" s="362">
        <f t="shared" si="25"/>
        <v>0</v>
      </c>
      <c r="T109" s="370"/>
      <c r="U109" s="362">
        <f t="shared" si="19"/>
        <v>0</v>
      </c>
      <c r="V109" s="584">
        <f t="shared" si="20"/>
        <v>54000</v>
      </c>
      <c r="W109" s="584"/>
      <c r="X109" s="371">
        <f t="shared" si="21"/>
        <v>5400000</v>
      </c>
      <c r="Y109" s="846">
        <f t="shared" si="22"/>
        <v>3</v>
      </c>
      <c r="Z109" s="491">
        <v>1800000</v>
      </c>
      <c r="AA109" s="662">
        <f t="shared" si="23"/>
        <v>5400000</v>
      </c>
      <c r="AB109" s="568">
        <f t="shared" si="24"/>
        <v>80</v>
      </c>
      <c r="AC109" s="493">
        <f>IFERROR(INDEX('[2]CN BC'!$M$10:$M$276,MATCH(B109,'[2]CN BC'!$H$10:$H$276,0)),"")</f>
        <v>0</v>
      </c>
      <c r="AD109" s="522" t="s">
        <v>819</v>
      </c>
      <c r="AE109" s="108"/>
      <c r="AF109" s="108"/>
      <c r="AG109" s="155"/>
      <c r="AH109" s="108"/>
      <c r="AI109" s="108"/>
      <c r="AJ109" s="108"/>
      <c r="AK109" s="108"/>
      <c r="AL109" s="108"/>
      <c r="AM109" s="108"/>
    </row>
    <row r="110" spans="1:43" s="372" customFormat="1" ht="28.5" customHeight="1">
      <c r="A110" s="379">
        <f>_xlfn.AGGREGATE(4,7,A$29:A109)+1</f>
        <v>81</v>
      </c>
      <c r="B110" s="363" t="s">
        <v>1475</v>
      </c>
      <c r="C110" s="364" t="s">
        <v>49</v>
      </c>
      <c r="D110" s="434" t="s">
        <v>1686</v>
      </c>
      <c r="E110" s="426" t="s">
        <v>1585</v>
      </c>
      <c r="F110" s="373">
        <v>3.66</v>
      </c>
      <c r="G110" s="367"/>
      <c r="H110" s="445">
        <f t="shared" si="14"/>
        <v>3.66</v>
      </c>
      <c r="I110" s="368"/>
      <c r="J110" s="368" t="str">
        <f>VLOOKUP(B110,TH!B104:J436,9,FALSE)</f>
        <v>Giảng viên khoa Kinh tế</v>
      </c>
      <c r="K110" s="369">
        <f t="shared" si="15"/>
        <v>3.66</v>
      </c>
      <c r="L110" s="362">
        <f t="shared" si="16"/>
        <v>6588000</v>
      </c>
      <c r="M110" s="366" t="str">
        <f>VLOOKUP(B110,'[1]Gui chi Quynh'!$B$11:$E$400,4,FALSE)</f>
        <v>A3</v>
      </c>
      <c r="N110" s="494">
        <f t="shared" si="17"/>
        <v>7905600</v>
      </c>
      <c r="O110" s="376">
        <v>21</v>
      </c>
      <c r="P110" s="440">
        <f>IFERROR(INDEX('[2]CN BC'!$J$10:$J$276,MATCH(B110,'[2]CN BC'!$H$10:$H$276,0)),"")</f>
        <v>21</v>
      </c>
      <c r="Q110" s="494">
        <f t="shared" si="18"/>
        <v>7905600</v>
      </c>
      <c r="R110" s="460"/>
      <c r="S110" s="362">
        <f t="shared" si="25"/>
        <v>0</v>
      </c>
      <c r="T110" s="370"/>
      <c r="U110" s="362">
        <f t="shared" si="19"/>
        <v>0</v>
      </c>
      <c r="V110" s="584">
        <f t="shared" si="20"/>
        <v>65880</v>
      </c>
      <c r="W110" s="584"/>
      <c r="X110" s="371">
        <f t="shared" si="21"/>
        <v>7905600</v>
      </c>
      <c r="Y110" s="846">
        <f t="shared" si="22"/>
        <v>4.3920000000000003</v>
      </c>
      <c r="Z110" s="491">
        <v>1800000</v>
      </c>
      <c r="AA110" s="662">
        <f t="shared" si="23"/>
        <v>7905600.0000000009</v>
      </c>
      <c r="AB110" s="568">
        <f t="shared" si="24"/>
        <v>81</v>
      </c>
      <c r="AC110" s="493">
        <f>IFERROR(INDEX('[2]CN BC'!$M$10:$M$276,MATCH(B110,'[2]CN BC'!$H$10:$H$276,0)),"")</f>
        <v>0</v>
      </c>
      <c r="AD110" s="522" t="s">
        <v>820</v>
      </c>
      <c r="AE110" s="471"/>
      <c r="AF110" s="108"/>
      <c r="AG110" s="155"/>
    </row>
    <row r="111" spans="1:43" s="372" customFormat="1" ht="28.5" customHeight="1">
      <c r="A111" s="379">
        <f>_xlfn.AGGREGATE(4,7,A$29:A110)+1</f>
        <v>82</v>
      </c>
      <c r="B111" s="363" t="s">
        <v>1476</v>
      </c>
      <c r="C111" s="364" t="s">
        <v>1209</v>
      </c>
      <c r="D111" s="434" t="s">
        <v>1687</v>
      </c>
      <c r="E111" s="426" t="s">
        <v>1586</v>
      </c>
      <c r="F111" s="373">
        <v>3</v>
      </c>
      <c r="G111" s="367"/>
      <c r="H111" s="445">
        <f t="shared" si="14"/>
        <v>3</v>
      </c>
      <c r="I111" s="368"/>
      <c r="J111" s="368" t="str">
        <f>VLOOKUP(B111,TH!B105:J437,9,FALSE)</f>
        <v>Giảng viên khoa Du lịch - Khách sạn</v>
      </c>
      <c r="K111" s="369">
        <f t="shared" si="15"/>
        <v>3</v>
      </c>
      <c r="L111" s="362">
        <f t="shared" si="16"/>
        <v>5400000</v>
      </c>
      <c r="M111" s="366" t="str">
        <f>VLOOKUP(B111,'[1]Gui chi Quynh'!$B$11:$E$400,4,FALSE)</f>
        <v>A4</v>
      </c>
      <c r="N111" s="494">
        <f t="shared" si="17"/>
        <v>5400000</v>
      </c>
      <c r="O111" s="376">
        <v>21</v>
      </c>
      <c r="P111" s="440">
        <f>IFERROR(INDEX('[2]CN BC'!$J$10:$J$276,MATCH(B111,'[2]CN BC'!$H$10:$H$276,0)),"")</f>
        <v>21</v>
      </c>
      <c r="Q111" s="494">
        <f t="shared" si="18"/>
        <v>5400000</v>
      </c>
      <c r="R111" s="392"/>
      <c r="S111" s="362">
        <f t="shared" si="25"/>
        <v>0</v>
      </c>
      <c r="T111" s="370"/>
      <c r="U111" s="362">
        <f t="shared" si="19"/>
        <v>0</v>
      </c>
      <c r="V111" s="584">
        <f t="shared" si="20"/>
        <v>54000</v>
      </c>
      <c r="W111" s="584"/>
      <c r="X111" s="371">
        <f t="shared" si="21"/>
        <v>5400000</v>
      </c>
      <c r="Y111" s="846">
        <f t="shared" si="22"/>
        <v>3</v>
      </c>
      <c r="Z111" s="491">
        <v>1800000</v>
      </c>
      <c r="AA111" s="662">
        <f t="shared" si="23"/>
        <v>5400000</v>
      </c>
      <c r="AB111" s="568">
        <f t="shared" si="24"/>
        <v>82</v>
      </c>
      <c r="AC111" s="493">
        <f>IFERROR(INDEX('[2]CN BC'!$M$10:$M$276,MATCH(B111,'[2]CN BC'!$H$10:$H$276,0)),"")</f>
        <v>0</v>
      </c>
      <c r="AD111" s="522" t="s">
        <v>1119</v>
      </c>
      <c r="AE111" s="108"/>
      <c r="AF111" s="108"/>
      <c r="AG111" s="155"/>
      <c r="AH111" s="108"/>
      <c r="AI111" s="108"/>
      <c r="AJ111" s="108"/>
      <c r="AK111" s="108"/>
      <c r="AL111" s="108"/>
      <c r="AM111" s="108"/>
    </row>
    <row r="112" spans="1:43" s="372" customFormat="1" ht="28.5" customHeight="1">
      <c r="A112" s="379">
        <f>_xlfn.AGGREGATE(4,7,A$29:A111)+1</f>
        <v>83</v>
      </c>
      <c r="B112" s="363" t="s">
        <v>1477</v>
      </c>
      <c r="C112" s="364" t="s">
        <v>920</v>
      </c>
      <c r="D112" s="434" t="s">
        <v>1688</v>
      </c>
      <c r="E112" s="426" t="s">
        <v>1587</v>
      </c>
      <c r="F112" s="373">
        <v>3.66</v>
      </c>
      <c r="G112" s="367"/>
      <c r="H112" s="445">
        <f t="shared" si="14"/>
        <v>3.66</v>
      </c>
      <c r="I112" s="368">
        <v>0.25</v>
      </c>
      <c r="J112" s="368" t="str">
        <f>VLOOKUP(B112,TH!B106:J438,9,FALSE)</f>
        <v>Giảng viên khoa Du lịch - Khách sạn</v>
      </c>
      <c r="K112" s="369">
        <f t="shared" si="15"/>
        <v>3.91</v>
      </c>
      <c r="L112" s="362">
        <f t="shared" si="16"/>
        <v>7038000</v>
      </c>
      <c r="M112" s="366" t="str">
        <f>VLOOKUP(B112,'[1]Gui chi Quynh'!$B$11:$E$400,4,FALSE)</f>
        <v>A3</v>
      </c>
      <c r="N112" s="494">
        <f t="shared" si="17"/>
        <v>8445600</v>
      </c>
      <c r="O112" s="376">
        <v>21</v>
      </c>
      <c r="P112" s="440">
        <f>IFERROR(INDEX('[2]CN BC'!$J$10:$J$276,MATCH(B112,'[2]CN BC'!$H$10:$H$276,0)),"")</f>
        <v>21</v>
      </c>
      <c r="Q112" s="494">
        <f t="shared" si="18"/>
        <v>8445600</v>
      </c>
      <c r="R112" s="460"/>
      <c r="S112" s="362">
        <f t="shared" si="25"/>
        <v>0</v>
      </c>
      <c r="T112" s="370"/>
      <c r="U112" s="362">
        <f t="shared" si="19"/>
        <v>0</v>
      </c>
      <c r="V112" s="584">
        <f t="shared" si="20"/>
        <v>70380</v>
      </c>
      <c r="W112" s="584"/>
      <c r="X112" s="371">
        <f t="shared" si="21"/>
        <v>8445600</v>
      </c>
      <c r="Y112" s="846">
        <f t="shared" si="22"/>
        <v>4.6920000000000002</v>
      </c>
      <c r="Z112" s="491">
        <v>1800000</v>
      </c>
      <c r="AA112" s="662">
        <f t="shared" si="23"/>
        <v>8445600</v>
      </c>
      <c r="AB112" s="568">
        <f t="shared" si="24"/>
        <v>83</v>
      </c>
      <c r="AC112" s="493">
        <f>IFERROR(INDEX('[2]CN BC'!$M$10:$M$276,MATCH(B112,'[2]CN BC'!$H$10:$H$276,0)),"")</f>
        <v>0</v>
      </c>
      <c r="AD112" s="522" t="s">
        <v>1120</v>
      </c>
      <c r="AE112" s="108"/>
      <c r="AF112" s="108"/>
      <c r="AG112" s="155"/>
      <c r="AH112" s="108"/>
      <c r="AI112" s="108"/>
      <c r="AJ112" s="108"/>
      <c r="AK112" s="108"/>
      <c r="AL112" s="108"/>
      <c r="AM112" s="108"/>
    </row>
    <row r="113" spans="1:43" s="372" customFormat="1" ht="28.5" customHeight="1">
      <c r="A113" s="379">
        <f>_xlfn.AGGREGATE(4,7,A$29:A112)+1</f>
        <v>84</v>
      </c>
      <c r="B113" s="462" t="s">
        <v>1842</v>
      </c>
      <c r="C113" s="364"/>
      <c r="D113" s="434" t="s">
        <v>1962</v>
      </c>
      <c r="E113" s="479" t="s">
        <v>1933</v>
      </c>
      <c r="F113" s="373">
        <v>3</v>
      </c>
      <c r="G113" s="367"/>
      <c r="H113" s="445">
        <f t="shared" si="14"/>
        <v>3</v>
      </c>
      <c r="I113" s="368"/>
      <c r="J113" s="368" t="str">
        <f>VLOOKUP(B113,TH!B107:J439,9,FALSE)</f>
        <v>Giảng viên khoa Kinh tế</v>
      </c>
      <c r="K113" s="369">
        <f t="shared" si="15"/>
        <v>3</v>
      </c>
      <c r="L113" s="362">
        <f t="shared" si="16"/>
        <v>5400000</v>
      </c>
      <c r="M113" s="366" t="str">
        <f>VLOOKUP(B113,'[1]Gui chi Quynh'!$B$11:$E$400,4,FALSE)</f>
        <v>A2</v>
      </c>
      <c r="N113" s="494">
        <f t="shared" si="17"/>
        <v>7559999.9999999991</v>
      </c>
      <c r="O113" s="376">
        <v>21</v>
      </c>
      <c r="P113" s="440">
        <f>IFERROR(INDEX('[2]CN BC'!$J$10:$J$276,MATCH(B113,'[2]CN BC'!$H$10:$H$276,0)),"")</f>
        <v>26</v>
      </c>
      <c r="Q113" s="494">
        <f t="shared" si="18"/>
        <v>7559999.9999999991</v>
      </c>
      <c r="R113" s="460"/>
      <c r="S113" s="362">
        <f t="shared" si="25"/>
        <v>0</v>
      </c>
      <c r="T113" s="370"/>
      <c r="U113" s="362">
        <f t="shared" si="19"/>
        <v>0</v>
      </c>
      <c r="V113" s="584">
        <f t="shared" si="20"/>
        <v>54000</v>
      </c>
      <c r="W113" s="584"/>
      <c r="X113" s="371">
        <f t="shared" si="21"/>
        <v>7559999.9999999991</v>
      </c>
      <c r="Y113" s="846">
        <f t="shared" si="22"/>
        <v>4.1999999999999993</v>
      </c>
      <c r="Z113" s="491">
        <v>1800000</v>
      </c>
      <c r="AA113" s="662">
        <f t="shared" si="23"/>
        <v>7559999.9999999991</v>
      </c>
      <c r="AB113" s="568">
        <f t="shared" si="24"/>
        <v>84</v>
      </c>
      <c r="AC113" s="493" t="str">
        <f>IFERROR(INDEX('[2]CN BC'!$M$10:$M$276,MATCH(B113,'[2]CN BC'!$H$10:$H$276,0)),"")</f>
        <v>Hỗ trợ công việc phòng KHTC</v>
      </c>
      <c r="AD113" s="522" t="s">
        <v>1121</v>
      </c>
      <c r="AE113" s="108"/>
      <c r="AF113" s="108"/>
      <c r="AG113" s="155"/>
      <c r="AH113" s="108"/>
      <c r="AI113" s="108"/>
      <c r="AJ113" s="108"/>
      <c r="AK113" s="108"/>
      <c r="AL113" s="108"/>
      <c r="AM113" s="108"/>
    </row>
    <row r="114" spans="1:43" s="372" customFormat="1" ht="28.5" customHeight="1">
      <c r="A114" s="379">
        <f>_xlfn.AGGREGATE(4,7,A$29:A113)+1</f>
        <v>85</v>
      </c>
      <c r="B114" s="462" t="s">
        <v>1946</v>
      </c>
      <c r="C114" s="364"/>
      <c r="D114" s="379" t="s">
        <v>1950</v>
      </c>
      <c r="E114" s="479" t="s">
        <v>1951</v>
      </c>
      <c r="F114" s="369">
        <v>2.67</v>
      </c>
      <c r="G114" s="367"/>
      <c r="H114" s="445">
        <f t="shared" si="14"/>
        <v>2.67</v>
      </c>
      <c r="I114" s="368">
        <v>0.45</v>
      </c>
      <c r="J114" s="368" t="str">
        <f>VLOOKUP(B114,TH!B108:J440,9,FALSE)</f>
        <v>Trưởng khoa Du lịch - Khách sạn</v>
      </c>
      <c r="K114" s="369">
        <f t="shared" si="15"/>
        <v>3.12</v>
      </c>
      <c r="L114" s="362">
        <f t="shared" si="16"/>
        <v>5616000</v>
      </c>
      <c r="M114" s="366" t="str">
        <f>VLOOKUP(B114,'[1]Gui chi Quynh'!$B$11:$E$400,4,FALSE)</f>
        <v>A1</v>
      </c>
      <c r="N114" s="494">
        <f t="shared" si="17"/>
        <v>8985600</v>
      </c>
      <c r="O114" s="376">
        <v>21</v>
      </c>
      <c r="P114" s="440">
        <f>IFERROR(INDEX('[2]CN BC'!$J$10:$J$276,MATCH(B114,'[2]CN BC'!$H$10:$H$276,0)),"")</f>
        <v>21</v>
      </c>
      <c r="Q114" s="494">
        <f t="shared" si="18"/>
        <v>8985600</v>
      </c>
      <c r="R114" s="460"/>
      <c r="S114" s="362">
        <f t="shared" si="25"/>
        <v>0</v>
      </c>
      <c r="T114" s="370"/>
      <c r="U114" s="362">
        <f t="shared" si="19"/>
        <v>0</v>
      </c>
      <c r="V114" s="584">
        <f t="shared" si="20"/>
        <v>56160</v>
      </c>
      <c r="W114" s="584">
        <v>7771500.0000000009</v>
      </c>
      <c r="X114" s="371">
        <f t="shared" si="21"/>
        <v>16757100</v>
      </c>
      <c r="Y114" s="846">
        <f t="shared" si="22"/>
        <v>9.3094999999999999</v>
      </c>
      <c r="Z114" s="491">
        <v>1800000</v>
      </c>
      <c r="AA114" s="662">
        <f t="shared" si="23"/>
        <v>16757100</v>
      </c>
      <c r="AB114" s="568">
        <f t="shared" si="24"/>
        <v>85</v>
      </c>
      <c r="AC114" s="493">
        <f>IFERROR(INDEX('[2]CN BC'!$M$10:$M$276,MATCH(B114,'[2]CN BC'!$H$10:$H$276,0)),"")</f>
        <v>0</v>
      </c>
      <c r="AD114" s="522" t="s">
        <v>1122</v>
      </c>
      <c r="AE114" s="108"/>
      <c r="AF114" s="108"/>
      <c r="AG114" s="155"/>
      <c r="AH114" s="108"/>
      <c r="AI114" s="108"/>
      <c r="AJ114" s="108"/>
      <c r="AK114" s="108"/>
      <c r="AL114" s="108"/>
      <c r="AM114" s="108"/>
    </row>
    <row r="115" spans="1:43" s="372" customFormat="1" ht="36.75" customHeight="1">
      <c r="A115" s="379">
        <f>_xlfn.AGGREGATE(4,7,A$29:A114)+1</f>
        <v>86</v>
      </c>
      <c r="B115" s="544" t="s">
        <v>1947</v>
      </c>
      <c r="C115" s="527"/>
      <c r="D115" s="543" t="s">
        <v>1952</v>
      </c>
      <c r="E115" s="545" t="s">
        <v>1953</v>
      </c>
      <c r="F115" s="529">
        <v>2.34</v>
      </c>
      <c r="G115" s="528"/>
      <c r="H115" s="546">
        <f t="shared" si="14"/>
        <v>2.34</v>
      </c>
      <c r="I115" s="472"/>
      <c r="J115" s="472" t="str">
        <f>VLOOKUP(B115,TH!B109:J441,9,FALSE)</f>
        <v>Giảng viên khoa Du lịch - Khách sạn</v>
      </c>
      <c r="K115" s="529">
        <f t="shared" si="15"/>
        <v>2.34</v>
      </c>
      <c r="L115" s="530">
        <f t="shared" si="16"/>
        <v>4212000</v>
      </c>
      <c r="M115" s="548" t="str">
        <f>VLOOKUP(B115,'[1]Gui chi Quynh'!$B$11:$E$400,4,FALSE)</f>
        <v>A DN</v>
      </c>
      <c r="N115" s="531">
        <f t="shared" si="17"/>
        <v>0</v>
      </c>
      <c r="O115" s="549">
        <v>21</v>
      </c>
      <c r="P115" s="532">
        <f>IFERROR(INDEX('[2]CN BC'!$J$10:$J$276,MATCH(B115,'[2]CN BC'!$H$10:$H$276,0)),"")</f>
        <v>0</v>
      </c>
      <c r="Q115" s="531">
        <f t="shared" si="18"/>
        <v>0</v>
      </c>
      <c r="R115" s="533"/>
      <c r="S115" s="530">
        <f t="shared" si="25"/>
        <v>0</v>
      </c>
      <c r="T115" s="534"/>
      <c r="U115" s="530">
        <f t="shared" si="19"/>
        <v>0</v>
      </c>
      <c r="V115" s="530" t="str">
        <f t="shared" si="20"/>
        <v>0</v>
      </c>
      <c r="W115" s="530"/>
      <c r="X115" s="371">
        <f t="shared" si="21"/>
        <v>0</v>
      </c>
      <c r="Y115" s="894">
        <f t="shared" si="22"/>
        <v>0</v>
      </c>
      <c r="Z115" s="843">
        <v>1800000</v>
      </c>
      <c r="AA115" s="708">
        <f t="shared" si="23"/>
        <v>0</v>
      </c>
      <c r="AB115" s="568">
        <f t="shared" si="24"/>
        <v>86</v>
      </c>
      <c r="AC115" s="550" t="str">
        <f>IFERROR(INDEX('[2]CN BC'!$M$10:$M$276,MATCH(B115,'[2]CN BC'!$H$10:$H$276,0)),"")</f>
        <v>Đi du học nước ngoài từ 28/2/2023</v>
      </c>
      <c r="AD115" s="522" t="s">
        <v>1123</v>
      </c>
      <c r="AE115" s="108"/>
      <c r="AF115" s="108"/>
      <c r="AG115" s="155"/>
      <c r="AH115" s="108"/>
      <c r="AI115" s="108"/>
      <c r="AJ115" s="108"/>
      <c r="AK115" s="108"/>
      <c r="AL115" s="108"/>
      <c r="AM115" s="108"/>
    </row>
    <row r="116" spans="1:43" s="372" customFormat="1" ht="28.5" customHeight="1">
      <c r="A116" s="379">
        <f>_xlfn.AGGREGATE(4,7,A$29:A115)+1</f>
        <v>87</v>
      </c>
      <c r="B116" s="462" t="s">
        <v>1997</v>
      </c>
      <c r="C116" s="364"/>
      <c r="D116" s="379"/>
      <c r="E116" s="479"/>
      <c r="F116" s="369">
        <v>2.34</v>
      </c>
      <c r="G116" s="367"/>
      <c r="H116" s="445">
        <f t="shared" si="14"/>
        <v>2.34</v>
      </c>
      <c r="I116" s="368"/>
      <c r="J116" s="368" t="str">
        <f>VLOOKUP(B116,TH!B110:J442,9,FALSE)</f>
        <v>Giảng viên khoa Kinh tế</v>
      </c>
      <c r="K116" s="369">
        <f t="shared" si="15"/>
        <v>2.34</v>
      </c>
      <c r="L116" s="362">
        <f t="shared" si="16"/>
        <v>4212000</v>
      </c>
      <c r="M116" s="366" t="str">
        <f>VLOOKUP(B116,'[1]Gui chi Quynh'!$B$11:$E$400,4,FALSE)</f>
        <v>A4</v>
      </c>
      <c r="N116" s="494">
        <f t="shared" si="17"/>
        <v>4212000</v>
      </c>
      <c r="O116" s="376">
        <v>21</v>
      </c>
      <c r="P116" s="440">
        <f>IFERROR(INDEX('[2]CN BC'!$J$10:$J$276,MATCH(B116,'[2]CN BC'!$H$10:$H$276,0)),"")</f>
        <v>21</v>
      </c>
      <c r="Q116" s="494">
        <f t="shared" si="18"/>
        <v>4212000</v>
      </c>
      <c r="R116" s="460"/>
      <c r="S116" s="362">
        <f>R116*$G$26*1.4</f>
        <v>0</v>
      </c>
      <c r="T116" s="370"/>
      <c r="U116" s="362">
        <f t="shared" si="19"/>
        <v>0</v>
      </c>
      <c r="V116" s="584">
        <f t="shared" si="20"/>
        <v>42120</v>
      </c>
      <c r="W116" s="584"/>
      <c r="X116" s="371">
        <f t="shared" si="21"/>
        <v>4212000</v>
      </c>
      <c r="Y116" s="846">
        <f t="shared" si="22"/>
        <v>2.34</v>
      </c>
      <c r="Z116" s="491">
        <v>1800000</v>
      </c>
      <c r="AA116" s="662">
        <f t="shared" si="23"/>
        <v>4212000</v>
      </c>
      <c r="AB116" s="568">
        <f t="shared" si="24"/>
        <v>87</v>
      </c>
      <c r="AC116" s="493">
        <f>IFERROR(INDEX('[2]CN BC'!$M$10:$M$276,MATCH(B116,'[2]CN BC'!$H$10:$H$276,0)),"")</f>
        <v>0</v>
      </c>
      <c r="AD116" s="522" t="s">
        <v>1124</v>
      </c>
      <c r="AE116" s="108"/>
      <c r="AF116" s="108"/>
      <c r="AG116" s="487"/>
    </row>
    <row r="117" spans="1:43" s="372" customFormat="1" ht="28.5" customHeight="1">
      <c r="A117" s="379">
        <f>_xlfn.AGGREGATE(4,7,A$29:A116)+1</f>
        <v>88</v>
      </c>
      <c r="B117" s="462" t="s">
        <v>1998</v>
      </c>
      <c r="C117" s="364"/>
      <c r="D117" s="379"/>
      <c r="E117" s="479"/>
      <c r="F117" s="373">
        <v>3.33</v>
      </c>
      <c r="G117" s="367"/>
      <c r="H117" s="445">
        <f t="shared" si="14"/>
        <v>3.33</v>
      </c>
      <c r="I117" s="368"/>
      <c r="J117" s="368" t="str">
        <f>VLOOKUP(B117,TH!B111:J443,9,FALSE)</f>
        <v>Giảng viên khoa Du lịch - Khách sạn</v>
      </c>
      <c r="K117" s="369">
        <f t="shared" si="15"/>
        <v>3.33</v>
      </c>
      <c r="L117" s="362">
        <f t="shared" si="16"/>
        <v>5994000</v>
      </c>
      <c r="M117" s="366" t="str">
        <f>VLOOKUP(B117,'[1]Gui chi Quynh'!$B$11:$E$400,4,FALSE)</f>
        <v>A3</v>
      </c>
      <c r="N117" s="494">
        <f t="shared" si="17"/>
        <v>7192800</v>
      </c>
      <c r="O117" s="376">
        <v>21</v>
      </c>
      <c r="P117" s="440">
        <f>IFERROR(INDEX('[2]CN BC'!$J$10:$J$276,MATCH(B117,'[2]CN BC'!$H$10:$H$276,0)),"")</f>
        <v>21</v>
      </c>
      <c r="Q117" s="494">
        <f t="shared" si="18"/>
        <v>7192800</v>
      </c>
      <c r="R117" s="460"/>
      <c r="S117" s="362">
        <f t="shared" si="25"/>
        <v>0</v>
      </c>
      <c r="T117" s="370"/>
      <c r="U117" s="362">
        <f t="shared" si="19"/>
        <v>0</v>
      </c>
      <c r="V117" s="584">
        <f t="shared" si="20"/>
        <v>59940</v>
      </c>
      <c r="W117" s="584"/>
      <c r="X117" s="371">
        <f t="shared" si="21"/>
        <v>7192800</v>
      </c>
      <c r="Y117" s="846">
        <f t="shared" si="22"/>
        <v>3.996</v>
      </c>
      <c r="Z117" s="491">
        <v>1800000</v>
      </c>
      <c r="AA117" s="662">
        <f t="shared" si="23"/>
        <v>7192800</v>
      </c>
      <c r="AB117" s="568">
        <f t="shared" si="24"/>
        <v>88</v>
      </c>
      <c r="AC117" s="493">
        <f>IFERROR(INDEX('[2]CN BC'!$M$10:$M$276,MATCH(B117,'[2]CN BC'!$H$10:$H$276,0)),"")</f>
        <v>0</v>
      </c>
      <c r="AD117" s="522" t="s">
        <v>1125</v>
      </c>
      <c r="AE117" s="108"/>
      <c r="AF117" s="108"/>
      <c r="AG117" s="487"/>
    </row>
    <row r="118" spans="1:43" s="372" customFormat="1" ht="28.5" customHeight="1">
      <c r="A118" s="379">
        <f>_xlfn.AGGREGATE(4,7,A$29:A117)+1</f>
        <v>89</v>
      </c>
      <c r="B118" s="462" t="s">
        <v>1999</v>
      </c>
      <c r="C118" s="364"/>
      <c r="D118" s="379"/>
      <c r="E118" s="479"/>
      <c r="F118" s="373">
        <v>3.66</v>
      </c>
      <c r="G118" s="367"/>
      <c r="H118" s="445">
        <f t="shared" si="14"/>
        <v>3.66</v>
      </c>
      <c r="I118" s="368"/>
      <c r="J118" s="368" t="str">
        <f>VLOOKUP(B118,TH!B112:J444,9,FALSE)</f>
        <v>Giảng viên khoa Kinh tế</v>
      </c>
      <c r="K118" s="369">
        <f t="shared" si="15"/>
        <v>3.66</v>
      </c>
      <c r="L118" s="362">
        <f t="shared" si="16"/>
        <v>6588000</v>
      </c>
      <c r="M118" s="366" t="str">
        <f>VLOOKUP(B118,'[1]Gui chi Quynh'!$B$11:$E$400,4,FALSE)</f>
        <v>A4</v>
      </c>
      <c r="N118" s="494">
        <f t="shared" si="17"/>
        <v>6588000</v>
      </c>
      <c r="O118" s="376">
        <v>21</v>
      </c>
      <c r="P118" s="440">
        <f>IFERROR(INDEX('[2]CN BC'!$J$10:$J$276,MATCH(B118,'[2]CN BC'!$H$10:$H$276,0)),"")</f>
        <v>21</v>
      </c>
      <c r="Q118" s="494">
        <f t="shared" si="18"/>
        <v>6588000</v>
      </c>
      <c r="R118" s="460"/>
      <c r="S118" s="362">
        <f t="shared" si="25"/>
        <v>0</v>
      </c>
      <c r="T118" s="370"/>
      <c r="U118" s="362">
        <f t="shared" si="19"/>
        <v>0</v>
      </c>
      <c r="V118" s="584">
        <f t="shared" si="20"/>
        <v>65880</v>
      </c>
      <c r="W118" s="584"/>
      <c r="X118" s="371">
        <f t="shared" si="21"/>
        <v>6588000</v>
      </c>
      <c r="Y118" s="846">
        <f t="shared" si="22"/>
        <v>3.66</v>
      </c>
      <c r="Z118" s="491">
        <v>1800000</v>
      </c>
      <c r="AA118" s="662">
        <f t="shared" si="23"/>
        <v>6588000</v>
      </c>
      <c r="AB118" s="568">
        <f t="shared" si="24"/>
        <v>89</v>
      </c>
      <c r="AC118" s="493">
        <f>IFERROR(INDEX('[2]CN BC'!$M$10:$M$276,MATCH(B118,'[2]CN BC'!$H$10:$H$276,0)),"")</f>
        <v>0</v>
      </c>
      <c r="AD118" s="522" t="s">
        <v>1126</v>
      </c>
      <c r="AE118" s="108"/>
      <c r="AF118" s="108"/>
      <c r="AG118" s="487"/>
    </row>
    <row r="119" spans="1:43" s="372" customFormat="1" ht="28.5" customHeight="1">
      <c r="A119" s="379">
        <f>_xlfn.AGGREGATE(4,7,A$29:A118)+1</f>
        <v>90</v>
      </c>
      <c r="B119" s="462" t="s">
        <v>2001</v>
      </c>
      <c r="C119" s="364"/>
      <c r="D119" s="379"/>
      <c r="E119" s="479"/>
      <c r="F119" s="373">
        <v>3</v>
      </c>
      <c r="G119" s="367"/>
      <c r="H119" s="445">
        <f t="shared" si="14"/>
        <v>3</v>
      </c>
      <c r="I119" s="368"/>
      <c r="J119" s="368" t="str">
        <f>VLOOKUP(B119,TH!B113:J445,9,FALSE)</f>
        <v>Giảng viên khoa Du lịch - Khách sạn</v>
      </c>
      <c r="K119" s="369">
        <f t="shared" si="15"/>
        <v>3</v>
      </c>
      <c r="L119" s="362">
        <f t="shared" si="16"/>
        <v>5400000</v>
      </c>
      <c r="M119" s="366" t="str">
        <f>VLOOKUP(B119,'[1]Gui chi Quynh'!$B$11:$E$400,4,FALSE)</f>
        <v>A4</v>
      </c>
      <c r="N119" s="494">
        <f t="shared" si="17"/>
        <v>5400000</v>
      </c>
      <c r="O119" s="376">
        <v>21</v>
      </c>
      <c r="P119" s="440">
        <f>IFERROR(INDEX('[2]CN BC'!$J$10:$J$276,MATCH(B119,'[2]CN BC'!$H$10:$H$276,0)),"")</f>
        <v>21</v>
      </c>
      <c r="Q119" s="494">
        <f t="shared" si="18"/>
        <v>5400000</v>
      </c>
      <c r="R119" s="460"/>
      <c r="S119" s="362">
        <f t="shared" si="25"/>
        <v>0</v>
      </c>
      <c r="T119" s="370"/>
      <c r="U119" s="362">
        <f t="shared" si="19"/>
        <v>0</v>
      </c>
      <c r="V119" s="584">
        <f t="shared" si="20"/>
        <v>54000</v>
      </c>
      <c r="W119" s="584"/>
      <c r="X119" s="371">
        <f t="shared" si="21"/>
        <v>5400000</v>
      </c>
      <c r="Y119" s="846">
        <f t="shared" si="22"/>
        <v>3</v>
      </c>
      <c r="Z119" s="491">
        <v>1800000</v>
      </c>
      <c r="AA119" s="662">
        <f t="shared" si="23"/>
        <v>5400000</v>
      </c>
      <c r="AB119" s="568">
        <f t="shared" si="24"/>
        <v>90</v>
      </c>
      <c r="AC119" s="493">
        <f>IFERROR(INDEX('[2]CN BC'!$M$10:$M$276,MATCH(B119,'[2]CN BC'!$H$10:$H$276,0)),"")</f>
        <v>0</v>
      </c>
      <c r="AD119" s="522" t="s">
        <v>1127</v>
      </c>
      <c r="AE119" s="108"/>
      <c r="AF119" s="108"/>
      <c r="AG119" s="487"/>
    </row>
    <row r="120" spans="1:43" s="372" customFormat="1" ht="37.5" customHeight="1">
      <c r="A120" s="379">
        <f>_xlfn.AGGREGATE(4,7,A$29:A119)+1</f>
        <v>91</v>
      </c>
      <c r="B120" s="462" t="s">
        <v>2021</v>
      </c>
      <c r="C120" s="364"/>
      <c r="D120" s="379"/>
      <c r="E120" s="479"/>
      <c r="F120" s="373">
        <v>3.66</v>
      </c>
      <c r="G120" s="367"/>
      <c r="H120" s="445">
        <f t="shared" si="14"/>
        <v>3.66</v>
      </c>
      <c r="I120" s="368"/>
      <c r="J120" s="368" t="str">
        <f>VLOOKUP(B120,TH!B114:J446,9,FALSE)</f>
        <v>Giảng viên khoa Kinh tế</v>
      </c>
      <c r="K120" s="369">
        <f t="shared" si="15"/>
        <v>3.66</v>
      </c>
      <c r="L120" s="362">
        <f t="shared" si="16"/>
        <v>6588000</v>
      </c>
      <c r="M120" s="366" t="str">
        <f>VLOOKUP(B120,'[1]Gui chi Quynh'!$B$11:$E$400,4,FALSE)</f>
        <v>A4</v>
      </c>
      <c r="N120" s="494">
        <f t="shared" si="17"/>
        <v>6588000</v>
      </c>
      <c r="O120" s="376">
        <v>21</v>
      </c>
      <c r="P120" s="440">
        <f>IFERROR(INDEX('[2]CN BC'!$J$10:$J$276,MATCH(B120,'[2]CN BC'!$H$10:$H$276,0)),"")</f>
        <v>21</v>
      </c>
      <c r="Q120" s="494">
        <f t="shared" si="18"/>
        <v>6588000</v>
      </c>
      <c r="R120" s="460"/>
      <c r="S120" s="362">
        <f t="shared" si="25"/>
        <v>0</v>
      </c>
      <c r="T120" s="370"/>
      <c r="U120" s="362">
        <f t="shared" si="19"/>
        <v>0</v>
      </c>
      <c r="V120" s="584">
        <f t="shared" si="20"/>
        <v>65880</v>
      </c>
      <c r="W120" s="584"/>
      <c r="X120" s="371">
        <f t="shared" si="21"/>
        <v>6588000</v>
      </c>
      <c r="Y120" s="846">
        <f t="shared" si="22"/>
        <v>3.66</v>
      </c>
      <c r="Z120" s="491">
        <v>1800000</v>
      </c>
      <c r="AA120" s="662">
        <f t="shared" si="23"/>
        <v>6588000</v>
      </c>
      <c r="AB120" s="568">
        <f t="shared" si="24"/>
        <v>91</v>
      </c>
      <c r="AC120" s="493">
        <f>IFERROR(INDEX('[2]CN BC'!$M$10:$M$276,MATCH(B120,'[2]CN BC'!$H$10:$H$276,0)),"")</f>
        <v>0</v>
      </c>
      <c r="AD120" s="540"/>
      <c r="AG120" s="487"/>
    </row>
    <row r="121" spans="1:43" s="372" customFormat="1" ht="25.5" customHeight="1">
      <c r="A121" s="379">
        <f>_xlfn.AGGREGATE(4,7,A$29:A120)+1</f>
        <v>92</v>
      </c>
      <c r="B121" s="363" t="s">
        <v>1478</v>
      </c>
      <c r="C121" s="364" t="s">
        <v>272</v>
      </c>
      <c r="D121" s="434" t="s">
        <v>1689</v>
      </c>
      <c r="E121" s="423" t="s">
        <v>371</v>
      </c>
      <c r="F121" s="373">
        <v>3.66</v>
      </c>
      <c r="G121" s="367"/>
      <c r="H121" s="368">
        <f t="shared" si="14"/>
        <v>3.66</v>
      </c>
      <c r="I121" s="368"/>
      <c r="J121" s="368" t="str">
        <f>VLOOKUP(B121,TH!B115:J447,9,FALSE)</f>
        <v>Giảng viên khoa May - Thời trang</v>
      </c>
      <c r="K121" s="369">
        <f t="shared" si="15"/>
        <v>3.66</v>
      </c>
      <c r="L121" s="362">
        <f>K121*$G$26</f>
        <v>6588000</v>
      </c>
      <c r="M121" s="366" t="str">
        <f>VLOOKUP(B121,'[1]Gui chi Quynh'!$B$11:$E$400,4,FALSE)</f>
        <v>A4</v>
      </c>
      <c r="N121" s="494">
        <f t="shared" si="17"/>
        <v>6588000</v>
      </c>
      <c r="O121" s="376">
        <v>21</v>
      </c>
      <c r="P121" s="440">
        <f>IFERROR(INDEX('[2]CN BC'!$J$10:$J$276,MATCH(B121,'[2]CN BC'!$H$10:$H$276,0)),"")</f>
        <v>21</v>
      </c>
      <c r="Q121" s="494">
        <f t="shared" si="18"/>
        <v>6588000</v>
      </c>
      <c r="R121" s="460"/>
      <c r="S121" s="362">
        <f t="shared" si="25"/>
        <v>0</v>
      </c>
      <c r="T121" s="370"/>
      <c r="U121" s="362">
        <f t="shared" si="19"/>
        <v>0</v>
      </c>
      <c r="V121" s="584">
        <f t="shared" si="20"/>
        <v>65880</v>
      </c>
      <c r="W121" s="584"/>
      <c r="X121" s="371">
        <f t="shared" si="21"/>
        <v>6588000</v>
      </c>
      <c r="Y121" s="846">
        <f t="shared" si="22"/>
        <v>3.66</v>
      </c>
      <c r="Z121" s="491">
        <v>1800000</v>
      </c>
      <c r="AA121" s="662">
        <f t="shared" si="23"/>
        <v>6588000</v>
      </c>
      <c r="AB121" s="568">
        <f t="shared" si="24"/>
        <v>92</v>
      </c>
      <c r="AC121" s="493">
        <f>IFERROR(INDEX('[2]CN BC'!$M$10:$M$276,MATCH(B121,'[2]CN BC'!$H$10:$H$276,0)),"")</f>
        <v>0</v>
      </c>
      <c r="AD121" s="141"/>
      <c r="AE121" s="108"/>
      <c r="AF121" s="108"/>
      <c r="AG121" s="155"/>
      <c r="AH121" s="108"/>
      <c r="AI121" s="108"/>
      <c r="AJ121" s="108"/>
      <c r="AK121" s="108"/>
      <c r="AL121" s="108"/>
      <c r="AM121" s="108"/>
    </row>
    <row r="122" spans="1:43" s="372" customFormat="1" ht="29.25" customHeight="1">
      <c r="A122" s="379">
        <f>_xlfn.AGGREGATE(4,7,A$29:A121)+1</f>
        <v>93</v>
      </c>
      <c r="B122" s="33" t="s">
        <v>1479</v>
      </c>
      <c r="C122" s="34" t="s">
        <v>912</v>
      </c>
      <c r="D122" s="406" t="s">
        <v>1690</v>
      </c>
      <c r="E122" s="424" t="s">
        <v>372</v>
      </c>
      <c r="F122" s="83">
        <v>3.66</v>
      </c>
      <c r="G122" s="157"/>
      <c r="H122" s="368">
        <f t="shared" si="14"/>
        <v>3.66</v>
      </c>
      <c r="I122" s="81"/>
      <c r="J122" s="368" t="str">
        <f>VLOOKUP(B122,TH!B116:J448,9,FALSE)</f>
        <v>Giảng viên khoa May - Thời trang</v>
      </c>
      <c r="K122" s="369">
        <f t="shared" si="15"/>
        <v>3.66</v>
      </c>
      <c r="L122" s="362">
        <f>K122*$G$26</f>
        <v>6588000</v>
      </c>
      <c r="M122" s="366" t="str">
        <f>VLOOKUP(B122,'[1]Gui chi Quynh'!$B$11:$E$400,4,FALSE)</f>
        <v>A4</v>
      </c>
      <c r="N122" s="494">
        <f t="shared" si="17"/>
        <v>6588000</v>
      </c>
      <c r="O122" s="376">
        <v>21</v>
      </c>
      <c r="P122" s="440">
        <f>IFERROR(INDEX('[2]CN BC'!$J$10:$J$276,MATCH(B122,'[2]CN BC'!$H$10:$H$276,0)),"")</f>
        <v>21</v>
      </c>
      <c r="Q122" s="494">
        <f t="shared" si="18"/>
        <v>6588000</v>
      </c>
      <c r="R122" s="392"/>
      <c r="S122" s="362">
        <f t="shared" si="25"/>
        <v>0</v>
      </c>
      <c r="T122" s="74"/>
      <c r="U122" s="362">
        <f t="shared" si="19"/>
        <v>0</v>
      </c>
      <c r="V122" s="584">
        <f t="shared" si="20"/>
        <v>65880</v>
      </c>
      <c r="W122" s="584"/>
      <c r="X122" s="371">
        <f t="shared" si="21"/>
        <v>6588000</v>
      </c>
      <c r="Y122" s="846">
        <f t="shared" si="22"/>
        <v>3.66</v>
      </c>
      <c r="Z122" s="491">
        <v>1800000</v>
      </c>
      <c r="AA122" s="662">
        <f t="shared" si="23"/>
        <v>6588000</v>
      </c>
      <c r="AB122" s="568">
        <f t="shared" si="24"/>
        <v>93</v>
      </c>
      <c r="AC122" s="493">
        <f>IFERROR(INDEX('[2]CN BC'!$M$10:$M$276,MATCH(B122,'[2]CN BC'!$H$10:$H$276,0)),"")</f>
        <v>0</v>
      </c>
      <c r="AD122" s="141"/>
      <c r="AE122" s="108"/>
      <c r="AF122" s="108"/>
      <c r="AG122" s="155"/>
      <c r="AH122" s="108"/>
      <c r="AI122" s="108"/>
      <c r="AJ122" s="108"/>
      <c r="AK122" s="108"/>
      <c r="AL122" s="108"/>
      <c r="AM122" s="108"/>
      <c r="AN122" s="108"/>
      <c r="AO122" s="108"/>
      <c r="AP122" s="108"/>
      <c r="AQ122" s="108"/>
    </row>
    <row r="123" spans="1:43" s="372" customFormat="1" ht="30" customHeight="1">
      <c r="A123" s="379">
        <f>_xlfn.AGGREGATE(4,7,A$29:A122)+1</f>
        <v>94</v>
      </c>
      <c r="B123" s="363" t="s">
        <v>1480</v>
      </c>
      <c r="C123" s="364" t="s">
        <v>733</v>
      </c>
      <c r="D123" s="406" t="s">
        <v>1691</v>
      </c>
      <c r="E123" s="426" t="s">
        <v>735</v>
      </c>
      <c r="F123" s="373">
        <v>3.33</v>
      </c>
      <c r="G123" s="367"/>
      <c r="H123" s="445">
        <f t="shared" si="14"/>
        <v>3.33</v>
      </c>
      <c r="I123" s="368">
        <v>0.45</v>
      </c>
      <c r="J123" s="368" t="str">
        <f>VLOOKUP(B123,TH!B117:J449,9,FALSE)</f>
        <v>Phó Trưởng khoa May - Thời trang</v>
      </c>
      <c r="K123" s="369">
        <f t="shared" si="15"/>
        <v>3.7800000000000002</v>
      </c>
      <c r="L123" s="362">
        <f>K123*$G$26</f>
        <v>6804000</v>
      </c>
      <c r="M123" s="366" t="str">
        <f>VLOOKUP(B123,'[1]Gui chi Quynh'!$B$11:$E$400,4,FALSE)</f>
        <v>A2</v>
      </c>
      <c r="N123" s="494">
        <f t="shared" si="17"/>
        <v>9525600</v>
      </c>
      <c r="O123" s="376">
        <v>21</v>
      </c>
      <c r="P123" s="440">
        <f>IFERROR(INDEX('[2]CN BC'!$J$10:$J$276,MATCH(B123,'[2]CN BC'!$H$10:$H$276,0)),"")</f>
        <v>21</v>
      </c>
      <c r="Q123" s="494">
        <f t="shared" si="18"/>
        <v>9525600</v>
      </c>
      <c r="R123" s="392"/>
      <c r="S123" s="362">
        <f t="shared" si="25"/>
        <v>0</v>
      </c>
      <c r="T123" s="370"/>
      <c r="U123" s="362">
        <f t="shared" si="19"/>
        <v>0</v>
      </c>
      <c r="V123" s="584">
        <f t="shared" si="20"/>
        <v>68040</v>
      </c>
      <c r="W123" s="584"/>
      <c r="X123" s="371">
        <f t="shared" si="21"/>
        <v>9525600</v>
      </c>
      <c r="Y123" s="846">
        <f t="shared" si="22"/>
        <v>5.2919999999999998</v>
      </c>
      <c r="Z123" s="491">
        <v>1800000</v>
      </c>
      <c r="AA123" s="662">
        <f t="shared" si="23"/>
        <v>9525600</v>
      </c>
      <c r="AB123" s="568">
        <f t="shared" si="24"/>
        <v>94</v>
      </c>
      <c r="AC123" s="493">
        <f>IFERROR(INDEX('[2]CN BC'!$M$10:$M$276,MATCH(B123,'[2]CN BC'!$H$10:$H$276,0)),"")</f>
        <v>0</v>
      </c>
      <c r="AD123" s="141"/>
      <c r="AE123" s="108"/>
      <c r="AF123" s="108"/>
      <c r="AG123" s="155"/>
      <c r="AH123" s="108"/>
      <c r="AI123" s="108"/>
      <c r="AJ123" s="108"/>
      <c r="AK123" s="108"/>
      <c r="AL123" s="108"/>
      <c r="AM123" s="108"/>
      <c r="AN123" s="108"/>
      <c r="AO123" s="108"/>
      <c r="AP123" s="108"/>
      <c r="AQ123" s="108"/>
    </row>
    <row r="124" spans="1:43" s="372" customFormat="1" ht="30" customHeight="1">
      <c r="A124" s="379">
        <f>_xlfn.AGGREGATE(4,7,A$29:A123)+1</f>
        <v>95</v>
      </c>
      <c r="B124" s="363" t="s">
        <v>1481</v>
      </c>
      <c r="C124" s="364" t="s">
        <v>736</v>
      </c>
      <c r="D124" s="434" t="s">
        <v>1692</v>
      </c>
      <c r="E124" s="426">
        <v>1603205353742</v>
      </c>
      <c r="F124" s="373">
        <v>3.33</v>
      </c>
      <c r="G124" s="367"/>
      <c r="H124" s="445">
        <f>F124+(F124*G124)</f>
        <v>3.33</v>
      </c>
      <c r="I124" s="368"/>
      <c r="J124" s="368" t="str">
        <f>VLOOKUP(B124,TH!B118:J450,9,FALSE)</f>
        <v>Giảng viên khoa May - Thời trang</v>
      </c>
      <c r="K124" s="369">
        <f>H124+I124</f>
        <v>3.33</v>
      </c>
      <c r="L124" s="362">
        <f>K124*$G$26</f>
        <v>5994000</v>
      </c>
      <c r="M124" s="366" t="str">
        <f>VLOOKUP(B124,'[1]Gui chi Quynh'!$B$11:$E$400,4,FALSE)</f>
        <v>A4</v>
      </c>
      <c r="N124" s="494">
        <f t="shared" si="17"/>
        <v>5994000</v>
      </c>
      <c r="O124" s="376">
        <v>21</v>
      </c>
      <c r="P124" s="440">
        <f>IFERROR(INDEX('[2]CN BC'!$J$10:$J$276,MATCH(B124,'[2]CN BC'!$H$10:$H$276,0)),"")</f>
        <v>21</v>
      </c>
      <c r="Q124" s="494">
        <f t="shared" si="18"/>
        <v>5994000</v>
      </c>
      <c r="R124" s="460"/>
      <c r="S124" s="362">
        <f t="shared" si="25"/>
        <v>0</v>
      </c>
      <c r="T124" s="370"/>
      <c r="U124" s="362">
        <f t="shared" si="19"/>
        <v>0</v>
      </c>
      <c r="V124" s="584">
        <f t="shared" si="20"/>
        <v>59940</v>
      </c>
      <c r="W124" s="584"/>
      <c r="X124" s="371">
        <f t="shared" si="21"/>
        <v>5994000</v>
      </c>
      <c r="Y124" s="846">
        <f t="shared" si="22"/>
        <v>3.33</v>
      </c>
      <c r="Z124" s="491">
        <v>1800000</v>
      </c>
      <c r="AA124" s="662">
        <f t="shared" si="23"/>
        <v>5994000</v>
      </c>
      <c r="AB124" s="568">
        <f t="shared" si="24"/>
        <v>95</v>
      </c>
      <c r="AC124" s="493">
        <f>IFERROR(INDEX('[2]CN BC'!$M$10:$M$276,MATCH(B124,'[2]CN BC'!$H$10:$H$276,0)),"")</f>
        <v>0</v>
      </c>
      <c r="AD124" s="141"/>
      <c r="AE124" s="108"/>
      <c r="AF124" s="108"/>
      <c r="AG124" s="155"/>
      <c r="AH124" s="108"/>
      <c r="AI124" s="108"/>
      <c r="AJ124" s="108"/>
      <c r="AK124" s="108"/>
      <c r="AL124" s="108"/>
      <c r="AM124" s="108"/>
    </row>
    <row r="125" spans="1:43" s="372" customFormat="1" ht="30" customHeight="1">
      <c r="A125" s="379">
        <f>_xlfn.AGGREGATE(4,7,A$29:A124)+1</f>
        <v>96</v>
      </c>
      <c r="B125" s="363" t="s">
        <v>1865</v>
      </c>
      <c r="C125" s="364" t="s">
        <v>737</v>
      </c>
      <c r="D125" s="406" t="s">
        <v>1693</v>
      </c>
      <c r="E125" s="426">
        <v>1603205357136</v>
      </c>
      <c r="F125" s="373">
        <v>3.33</v>
      </c>
      <c r="G125" s="367"/>
      <c r="H125" s="445">
        <f t="shared" ref="H125:H188" si="26">F125+(F125*G125)</f>
        <v>3.33</v>
      </c>
      <c r="I125" s="368"/>
      <c r="J125" s="368" t="str">
        <f>VLOOKUP(B125,TH!B119:J451,9,FALSE)</f>
        <v>Giảng viên khoa May - Thời trang</v>
      </c>
      <c r="K125" s="369">
        <f t="shared" ref="K125:K188" si="27">H125+I125</f>
        <v>3.33</v>
      </c>
      <c r="L125" s="362">
        <f t="shared" ref="L125:L188" si="28">K125*$G$26</f>
        <v>5994000</v>
      </c>
      <c r="M125" s="366" t="str">
        <f>VLOOKUP(B125,'[1]Gui chi Quynh'!$B$11:$E$400,4,FALSE)</f>
        <v>A3</v>
      </c>
      <c r="N125" s="494">
        <f t="shared" si="17"/>
        <v>7192800</v>
      </c>
      <c r="O125" s="376">
        <v>21</v>
      </c>
      <c r="P125" s="440">
        <f>IFERROR(INDEX('[2]CN BC'!$J$10:$J$276,MATCH(B125,'[2]CN BC'!$H$10:$H$276,0)),"")</f>
        <v>21</v>
      </c>
      <c r="Q125" s="494">
        <f t="shared" si="18"/>
        <v>7192800</v>
      </c>
      <c r="R125" s="392"/>
      <c r="S125" s="362">
        <f t="shared" si="25"/>
        <v>0</v>
      </c>
      <c r="T125" s="370"/>
      <c r="U125" s="362">
        <f t="shared" si="19"/>
        <v>0</v>
      </c>
      <c r="V125" s="584">
        <f t="shared" si="20"/>
        <v>59940</v>
      </c>
      <c r="W125" s="584"/>
      <c r="X125" s="371">
        <f t="shared" si="21"/>
        <v>7192800</v>
      </c>
      <c r="Y125" s="846">
        <f t="shared" si="22"/>
        <v>3.996</v>
      </c>
      <c r="Z125" s="491">
        <v>1800000</v>
      </c>
      <c r="AA125" s="662">
        <f t="shared" si="23"/>
        <v>7192800</v>
      </c>
      <c r="AB125" s="568">
        <f t="shared" si="24"/>
        <v>96</v>
      </c>
      <c r="AC125" s="493">
        <f>IFERROR(INDEX('[2]CN BC'!$M$10:$M$276,MATCH(B125,'[2]CN BC'!$H$10:$H$276,0)),"")</f>
        <v>0</v>
      </c>
      <c r="AD125" s="141"/>
      <c r="AE125" s="108"/>
      <c r="AF125" s="108"/>
      <c r="AG125" s="155"/>
      <c r="AH125" s="108"/>
      <c r="AI125" s="108"/>
      <c r="AJ125" s="108"/>
      <c r="AK125" s="108"/>
      <c r="AL125" s="108"/>
      <c r="AM125" s="108"/>
      <c r="AN125" s="108"/>
      <c r="AO125" s="108"/>
      <c r="AP125" s="108"/>
      <c r="AQ125" s="108"/>
    </row>
    <row r="126" spans="1:43" s="372" customFormat="1" ht="30" customHeight="1">
      <c r="A126" s="379">
        <f>_xlfn.AGGREGATE(4,7,A$29:A125)+1</f>
        <v>97</v>
      </c>
      <c r="B126" s="363" t="s">
        <v>1482</v>
      </c>
      <c r="C126" s="364" t="s">
        <v>1421</v>
      </c>
      <c r="D126" s="406" t="s">
        <v>1694</v>
      </c>
      <c r="E126" s="422" t="s">
        <v>1422</v>
      </c>
      <c r="F126" s="373">
        <v>3.33</v>
      </c>
      <c r="G126" s="367"/>
      <c r="H126" s="445">
        <f t="shared" si="26"/>
        <v>3.33</v>
      </c>
      <c r="I126" s="368"/>
      <c r="J126" s="368" t="str">
        <f>VLOOKUP(B126,TH!B120:J452,9,FALSE)</f>
        <v>Giảng viên khoa May - Thời trang</v>
      </c>
      <c r="K126" s="369">
        <f t="shared" si="27"/>
        <v>3.33</v>
      </c>
      <c r="L126" s="362">
        <f t="shared" si="28"/>
        <v>5994000</v>
      </c>
      <c r="M126" s="366" t="str">
        <f>VLOOKUP(B126,'[1]Gui chi Quynh'!$B$11:$E$400,4,FALSE)</f>
        <v>A3</v>
      </c>
      <c r="N126" s="494">
        <f t="shared" si="17"/>
        <v>7192800</v>
      </c>
      <c r="O126" s="376">
        <v>21</v>
      </c>
      <c r="P126" s="440">
        <f>IFERROR(INDEX('[2]CN BC'!$J$10:$J$276,MATCH(B126,'[2]CN BC'!$H$10:$H$276,0)),"")</f>
        <v>21</v>
      </c>
      <c r="Q126" s="494">
        <f t="shared" si="18"/>
        <v>7192800</v>
      </c>
      <c r="R126" s="392"/>
      <c r="S126" s="362">
        <f t="shared" si="25"/>
        <v>0</v>
      </c>
      <c r="T126" s="385"/>
      <c r="U126" s="362">
        <f t="shared" si="19"/>
        <v>0</v>
      </c>
      <c r="V126" s="584">
        <f t="shared" si="20"/>
        <v>59940</v>
      </c>
      <c r="W126" s="584"/>
      <c r="X126" s="371">
        <f t="shared" si="21"/>
        <v>7192800</v>
      </c>
      <c r="Y126" s="846">
        <f t="shared" si="22"/>
        <v>3.996</v>
      </c>
      <c r="Z126" s="491">
        <v>1800000</v>
      </c>
      <c r="AA126" s="662">
        <f t="shared" si="23"/>
        <v>7192800</v>
      </c>
      <c r="AB126" s="568">
        <f t="shared" si="24"/>
        <v>97</v>
      </c>
      <c r="AC126" s="493">
        <f>IFERROR(INDEX('[2]CN BC'!$M$10:$M$276,MATCH(B126,'[2]CN BC'!$H$10:$H$276,0)),"")</f>
        <v>0</v>
      </c>
      <c r="AD126" s="141"/>
      <c r="AE126" s="108"/>
      <c r="AF126" s="108"/>
      <c r="AG126" s="155"/>
      <c r="AH126" s="108"/>
      <c r="AI126" s="108"/>
      <c r="AJ126" s="108"/>
      <c r="AK126" s="108"/>
      <c r="AL126" s="108"/>
      <c r="AM126" s="108"/>
      <c r="AN126" s="108"/>
      <c r="AO126" s="108"/>
      <c r="AP126" s="108"/>
      <c r="AQ126" s="108"/>
    </row>
    <row r="127" spans="1:43" s="372" customFormat="1" ht="30" customHeight="1">
      <c r="A127" s="379">
        <f>_xlfn.AGGREGATE(4,7,A$29:A126)+1</f>
        <v>98</v>
      </c>
      <c r="B127" s="363" t="s">
        <v>1483</v>
      </c>
      <c r="C127" s="364" t="s">
        <v>49</v>
      </c>
      <c r="D127" s="406" t="s">
        <v>1695</v>
      </c>
      <c r="E127" s="422" t="s">
        <v>1432</v>
      </c>
      <c r="F127" s="366">
        <v>4.9800000000000004</v>
      </c>
      <c r="G127" s="367">
        <v>0.05</v>
      </c>
      <c r="H127" s="368">
        <f t="shared" si="26"/>
        <v>5.2290000000000001</v>
      </c>
      <c r="I127" s="395">
        <v>0.25</v>
      </c>
      <c r="J127" s="368" t="str">
        <f>VLOOKUP(B127,TH!B121:J453,9,FALSE)</f>
        <v>Giảng viên khoa Du lịch - Khách sạn</v>
      </c>
      <c r="K127" s="369">
        <f t="shared" si="27"/>
        <v>5.4790000000000001</v>
      </c>
      <c r="L127" s="362">
        <f t="shared" si="28"/>
        <v>9862200</v>
      </c>
      <c r="M127" s="366" t="str">
        <f>VLOOKUP(B127,'[1]Gui chi Quynh'!$B$11:$E$400,4,FALSE)</f>
        <v>A3</v>
      </c>
      <c r="N127" s="494">
        <f t="shared" si="17"/>
        <v>11834640</v>
      </c>
      <c r="O127" s="376">
        <v>21</v>
      </c>
      <c r="P127" s="440">
        <f>IFERROR(INDEX('[2]CN BC'!$J$10:$J$276,MATCH(B127,'[2]CN BC'!$H$10:$H$276,0)),"")</f>
        <v>21</v>
      </c>
      <c r="Q127" s="494">
        <f t="shared" si="18"/>
        <v>11834640</v>
      </c>
      <c r="R127" s="392"/>
      <c r="S127" s="362">
        <f t="shared" si="25"/>
        <v>0</v>
      </c>
      <c r="T127" s="385"/>
      <c r="U127" s="362">
        <f t="shared" si="19"/>
        <v>0</v>
      </c>
      <c r="V127" s="584">
        <f t="shared" si="20"/>
        <v>98622</v>
      </c>
      <c r="W127" s="584"/>
      <c r="X127" s="371">
        <f t="shared" si="21"/>
        <v>11834640</v>
      </c>
      <c r="Y127" s="846">
        <f t="shared" si="22"/>
        <v>6.5747999999999998</v>
      </c>
      <c r="Z127" s="491">
        <v>1800000</v>
      </c>
      <c r="AA127" s="662">
        <f t="shared" si="23"/>
        <v>11834640</v>
      </c>
      <c r="AB127" s="568">
        <f t="shared" si="24"/>
        <v>98</v>
      </c>
      <c r="AC127" s="493">
        <f>IFERROR(INDEX('[2]CN BC'!$M$10:$M$276,MATCH(B127,'[2]CN BC'!$H$10:$H$276,0)),"")</f>
        <v>0</v>
      </c>
      <c r="AD127" s="141"/>
      <c r="AE127" s="108"/>
      <c r="AF127" s="108"/>
      <c r="AG127" s="155"/>
      <c r="AH127" s="108"/>
      <c r="AI127" s="108"/>
      <c r="AJ127" s="108"/>
      <c r="AK127" s="108"/>
      <c r="AL127" s="108"/>
      <c r="AM127" s="108"/>
      <c r="AN127" s="108"/>
      <c r="AO127" s="108"/>
      <c r="AP127" s="108"/>
      <c r="AQ127" s="108"/>
    </row>
    <row r="128" spans="1:43" s="372" customFormat="1" ht="30" customHeight="1">
      <c r="A128" s="379">
        <f>_xlfn.AGGREGATE(4,7,A$29:A127)+1</f>
        <v>99</v>
      </c>
      <c r="B128" s="33" t="s">
        <v>1568</v>
      </c>
      <c r="C128" s="34"/>
      <c r="D128" s="406" t="s">
        <v>1696</v>
      </c>
      <c r="E128" s="432" t="s">
        <v>1569</v>
      </c>
      <c r="F128" s="83">
        <v>3.33</v>
      </c>
      <c r="G128" s="157"/>
      <c r="H128" s="445">
        <f t="shared" si="26"/>
        <v>3.33</v>
      </c>
      <c r="I128" s="81"/>
      <c r="J128" s="368" t="str">
        <f>VLOOKUP(B128,TH!B122:J454,9,FALSE)</f>
        <v>Giảng viên khoa May - Thời trang</v>
      </c>
      <c r="K128" s="369">
        <f t="shared" si="27"/>
        <v>3.33</v>
      </c>
      <c r="L128" s="362">
        <f t="shared" si="28"/>
        <v>5994000</v>
      </c>
      <c r="M128" s="366" t="str">
        <f>VLOOKUP(B128,'[1]Gui chi Quynh'!$B$11:$E$400,4,FALSE)</f>
        <v>A4</v>
      </c>
      <c r="N128" s="494">
        <f t="shared" si="17"/>
        <v>5994000</v>
      </c>
      <c r="O128" s="376">
        <v>21</v>
      </c>
      <c r="P128" s="440">
        <f>IFERROR(INDEX('[2]CN BC'!$J$10:$J$276,MATCH(B128,'[2]CN BC'!$H$10:$H$276,0)),"")</f>
        <v>21</v>
      </c>
      <c r="Q128" s="494">
        <f t="shared" si="18"/>
        <v>5994000</v>
      </c>
      <c r="R128" s="392"/>
      <c r="S128" s="362">
        <f t="shared" si="25"/>
        <v>0</v>
      </c>
      <c r="T128" s="74"/>
      <c r="U128" s="362">
        <f t="shared" si="19"/>
        <v>0</v>
      </c>
      <c r="V128" s="584">
        <f t="shared" si="20"/>
        <v>59940</v>
      </c>
      <c r="W128" s="584">
        <v>3445200.0000000005</v>
      </c>
      <c r="X128" s="371">
        <f t="shared" si="21"/>
        <v>9439200</v>
      </c>
      <c r="Y128" s="846">
        <f t="shared" si="22"/>
        <v>5.2439999999999998</v>
      </c>
      <c r="Z128" s="491">
        <v>1800000</v>
      </c>
      <c r="AA128" s="662">
        <f t="shared" si="23"/>
        <v>9439200</v>
      </c>
      <c r="AB128" s="568">
        <f t="shared" si="24"/>
        <v>99</v>
      </c>
      <c r="AC128" s="493">
        <f>IFERROR(INDEX('[2]CN BC'!$M$10:$M$276,MATCH(B128,'[2]CN BC'!$H$10:$H$276,0)),"")</f>
        <v>0</v>
      </c>
      <c r="AD128" s="141"/>
      <c r="AE128" s="108"/>
      <c r="AF128" s="108"/>
      <c r="AG128" s="155"/>
      <c r="AH128" s="108"/>
      <c r="AI128" s="108"/>
      <c r="AJ128" s="108"/>
      <c r="AK128" s="108"/>
      <c r="AL128" s="108"/>
      <c r="AM128" s="108"/>
      <c r="AN128" s="108"/>
      <c r="AO128" s="108"/>
      <c r="AP128" s="108"/>
      <c r="AQ128" s="108"/>
    </row>
    <row r="129" spans="1:43" s="372" customFormat="1" ht="30" customHeight="1">
      <c r="A129" s="379">
        <f>_xlfn.AGGREGATE(4,7,A$29:A128)+1</f>
        <v>100</v>
      </c>
      <c r="B129" s="363" t="s">
        <v>1832</v>
      </c>
      <c r="C129" s="364"/>
      <c r="D129" s="434" t="s">
        <v>1963</v>
      </c>
      <c r="E129" s="195">
        <v>1603215005610</v>
      </c>
      <c r="F129" s="373">
        <v>3</v>
      </c>
      <c r="G129" s="367"/>
      <c r="H129" s="368">
        <f t="shared" si="26"/>
        <v>3</v>
      </c>
      <c r="I129" s="368"/>
      <c r="J129" s="368" t="str">
        <f>VLOOKUP(B129,TH!B123:J455,9,FALSE)</f>
        <v>Giảng viên khoa May - Thời trang</v>
      </c>
      <c r="K129" s="369">
        <f t="shared" si="27"/>
        <v>3</v>
      </c>
      <c r="L129" s="362">
        <f t="shared" si="28"/>
        <v>5400000</v>
      </c>
      <c r="M129" s="366" t="str">
        <f>VLOOKUP(B129,'[1]Gui chi Quynh'!$B$11:$E$400,4,FALSE)</f>
        <v>A4</v>
      </c>
      <c r="N129" s="494">
        <f t="shared" si="17"/>
        <v>5400000</v>
      </c>
      <c r="O129" s="376">
        <v>21</v>
      </c>
      <c r="P129" s="440">
        <f>IFERROR(INDEX('[2]CN BC'!$J$10:$J$276,MATCH(B129,'[2]CN BC'!$H$10:$H$276,0)),"")</f>
        <v>21</v>
      </c>
      <c r="Q129" s="494">
        <f t="shared" si="18"/>
        <v>5400000</v>
      </c>
      <c r="R129" s="392"/>
      <c r="S129" s="362">
        <f t="shared" si="25"/>
        <v>0</v>
      </c>
      <c r="T129" s="370"/>
      <c r="U129" s="362">
        <f t="shared" si="19"/>
        <v>0</v>
      </c>
      <c r="V129" s="584">
        <f t="shared" si="20"/>
        <v>54000</v>
      </c>
      <c r="W129" s="584"/>
      <c r="X129" s="371">
        <f t="shared" si="21"/>
        <v>5400000</v>
      </c>
      <c r="Y129" s="846">
        <f t="shared" si="22"/>
        <v>3</v>
      </c>
      <c r="Z129" s="491">
        <v>1800000</v>
      </c>
      <c r="AA129" s="662">
        <f t="shared" si="23"/>
        <v>5400000</v>
      </c>
      <c r="AB129" s="568">
        <f t="shared" si="24"/>
        <v>100</v>
      </c>
      <c r="AC129" s="493">
        <f>IFERROR(INDEX('[2]CN BC'!$M$10:$M$276,MATCH(B129,'[2]CN BC'!$H$10:$H$276,0)),"")</f>
        <v>0</v>
      </c>
      <c r="AD129" s="141"/>
      <c r="AE129" s="108"/>
      <c r="AF129" s="108"/>
      <c r="AG129" s="155"/>
      <c r="AH129" s="108"/>
      <c r="AI129" s="108"/>
      <c r="AJ129" s="108"/>
      <c r="AK129" s="108"/>
      <c r="AL129" s="108"/>
      <c r="AM129" s="108"/>
    </row>
    <row r="130" spans="1:43" s="108" customFormat="1" ht="27" customHeight="1">
      <c r="A130" s="379">
        <f>_xlfn.AGGREGATE(4,7,A$29:A129)+1</f>
        <v>101</v>
      </c>
      <c r="B130" s="33" t="s">
        <v>1555</v>
      </c>
      <c r="C130" s="149" t="s">
        <v>1105</v>
      </c>
      <c r="D130" s="406" t="s">
        <v>1658</v>
      </c>
      <c r="E130" s="424" t="s">
        <v>1278</v>
      </c>
      <c r="F130" s="10">
        <v>4.9800000000000004</v>
      </c>
      <c r="G130" s="45"/>
      <c r="H130" s="368">
        <f t="shared" si="26"/>
        <v>4.9800000000000004</v>
      </c>
      <c r="I130" s="464">
        <v>0.45</v>
      </c>
      <c r="J130" s="368" t="str">
        <f>VLOOKUP(B130,TH!B124:J456,9,FALSE)</f>
        <v>Trưởng khoa KHCB</v>
      </c>
      <c r="K130" s="369">
        <f t="shared" si="27"/>
        <v>5.4300000000000006</v>
      </c>
      <c r="L130" s="362">
        <f t="shared" si="28"/>
        <v>9774000.0000000019</v>
      </c>
      <c r="M130" s="366" t="str">
        <f>VLOOKUP(B130,'[1]Gui chi Quynh'!$B$11:$E$400,4,FALSE)</f>
        <v>A3</v>
      </c>
      <c r="N130" s="494">
        <f t="shared" si="17"/>
        <v>11728800.000000002</v>
      </c>
      <c r="O130" s="376">
        <v>21</v>
      </c>
      <c r="P130" s="440">
        <f>IFERROR(INDEX('[2]CN BC'!$J$10:$J$276,MATCH(B130,'[2]CN BC'!$H$10:$H$276,0)),"")</f>
        <v>21</v>
      </c>
      <c r="Q130" s="494">
        <f t="shared" si="18"/>
        <v>11728800.000000002</v>
      </c>
      <c r="R130" s="454"/>
      <c r="S130" s="362">
        <f t="shared" si="25"/>
        <v>0</v>
      </c>
      <c r="T130" s="74"/>
      <c r="U130" s="362">
        <f t="shared" si="19"/>
        <v>0</v>
      </c>
      <c r="V130" s="584">
        <f t="shared" si="20"/>
        <v>97740</v>
      </c>
      <c r="W130" s="584"/>
      <c r="X130" s="371">
        <f t="shared" si="21"/>
        <v>11728800.000000002</v>
      </c>
      <c r="Y130" s="846">
        <f t="shared" si="22"/>
        <v>6.5160000000000009</v>
      </c>
      <c r="Z130" s="491">
        <v>1800000</v>
      </c>
      <c r="AA130" s="662">
        <f t="shared" si="23"/>
        <v>11728800.000000002</v>
      </c>
      <c r="AB130" s="568">
        <f t="shared" si="24"/>
        <v>101</v>
      </c>
      <c r="AC130" s="493">
        <f>IFERROR(INDEX('[2]CN BC'!$M$10:$M$276,MATCH(B130,'[2]CN BC'!$H$10:$H$276,0)),"")</f>
        <v>0</v>
      </c>
      <c r="AD130" s="522" t="s">
        <v>812</v>
      </c>
      <c r="AG130" s="155"/>
    </row>
    <row r="131" spans="1:43" s="372" customFormat="1" ht="28.5" customHeight="1">
      <c r="A131" s="379">
        <f>_xlfn.AGGREGATE(4,7,A$29:A130)+1</f>
        <v>102</v>
      </c>
      <c r="B131" s="363" t="s">
        <v>1866</v>
      </c>
      <c r="C131" s="364" t="s">
        <v>873</v>
      </c>
      <c r="D131" s="434" t="s">
        <v>1697</v>
      </c>
      <c r="E131" s="423" t="s">
        <v>1300</v>
      </c>
      <c r="F131" s="366">
        <v>4.9800000000000004</v>
      </c>
      <c r="G131" s="367">
        <v>0.06</v>
      </c>
      <c r="H131" s="368">
        <f t="shared" si="26"/>
        <v>5.2788000000000004</v>
      </c>
      <c r="I131" s="368">
        <v>0.25</v>
      </c>
      <c r="J131" s="368" t="str">
        <f>VLOOKUP(B131,TH!B125:J457,9,FALSE)</f>
        <v>Giảng viên Khoa KHCB</v>
      </c>
      <c r="K131" s="369">
        <f t="shared" si="27"/>
        <v>5.5288000000000004</v>
      </c>
      <c r="L131" s="362">
        <f t="shared" si="28"/>
        <v>9951840</v>
      </c>
      <c r="M131" s="366" t="str">
        <f>VLOOKUP(B131,'[1]Gui chi Quynh'!$B$11:$E$400,4,FALSE)</f>
        <v>A4</v>
      </c>
      <c r="N131" s="494">
        <f t="shared" si="17"/>
        <v>9951840</v>
      </c>
      <c r="O131" s="376">
        <v>21</v>
      </c>
      <c r="P131" s="440">
        <f>IFERROR(INDEX('[2]CN BC'!$J$10:$J$276,MATCH(B131,'[2]CN BC'!$H$10:$H$276,0)),"")</f>
        <v>21</v>
      </c>
      <c r="Q131" s="494">
        <f t="shared" si="18"/>
        <v>9951840</v>
      </c>
      <c r="R131" s="460"/>
      <c r="S131" s="362">
        <f t="shared" si="25"/>
        <v>0</v>
      </c>
      <c r="T131" s="370"/>
      <c r="U131" s="362">
        <f t="shared" si="19"/>
        <v>0</v>
      </c>
      <c r="V131" s="584">
        <f t="shared" si="20"/>
        <v>99518</v>
      </c>
      <c r="W131" s="584"/>
      <c r="X131" s="371">
        <f t="shared" si="21"/>
        <v>9951840</v>
      </c>
      <c r="Y131" s="846">
        <f t="shared" si="22"/>
        <v>5.5288000000000004</v>
      </c>
      <c r="Z131" s="491">
        <v>1800000</v>
      </c>
      <c r="AA131" s="662">
        <f t="shared" si="23"/>
        <v>9951840</v>
      </c>
      <c r="AB131" s="568">
        <f t="shared" si="24"/>
        <v>102</v>
      </c>
      <c r="AC131" s="493">
        <f>IFERROR(INDEX('[2]CN BC'!$M$10:$M$276,MATCH(B131,'[2]CN BC'!$H$10:$H$276,0)),"")</f>
        <v>0</v>
      </c>
      <c r="AD131" s="522" t="s">
        <v>813</v>
      </c>
      <c r="AE131" s="108"/>
      <c r="AF131" s="108"/>
      <c r="AG131" s="487"/>
    </row>
    <row r="132" spans="1:43" s="108" customFormat="1" ht="30" customHeight="1">
      <c r="A132" s="379">
        <f>_xlfn.AGGREGATE(4,7,A$29:A131)+1</f>
        <v>103</v>
      </c>
      <c r="B132" s="33" t="s">
        <v>1867</v>
      </c>
      <c r="C132" s="34" t="s">
        <v>883</v>
      </c>
      <c r="D132" s="406" t="s">
        <v>1698</v>
      </c>
      <c r="E132" s="424" t="s">
        <v>1299</v>
      </c>
      <c r="F132" s="10">
        <v>4.32</v>
      </c>
      <c r="G132" s="157"/>
      <c r="H132" s="368">
        <f t="shared" si="26"/>
        <v>4.32</v>
      </c>
      <c r="I132" s="81"/>
      <c r="J132" s="368" t="str">
        <f>VLOOKUP(B132,TH!B126:J458,9,FALSE)</f>
        <v>Giảng viên Khoa KHCB</v>
      </c>
      <c r="K132" s="369">
        <f t="shared" si="27"/>
        <v>4.32</v>
      </c>
      <c r="L132" s="362">
        <f t="shared" si="28"/>
        <v>7776000.0000000009</v>
      </c>
      <c r="M132" s="366" t="str">
        <f>VLOOKUP(B132,'[1]Gui chi Quynh'!$B$11:$E$400,4,FALSE)</f>
        <v>A4</v>
      </c>
      <c r="N132" s="494">
        <f t="shared" si="17"/>
        <v>7776000.0000000009</v>
      </c>
      <c r="O132" s="376">
        <v>21</v>
      </c>
      <c r="P132" s="440">
        <f>IFERROR(INDEX('[2]CN BC'!$J$10:$J$276,MATCH(B132,'[2]CN BC'!$H$10:$H$276,0)),"")</f>
        <v>21</v>
      </c>
      <c r="Q132" s="494">
        <f t="shared" si="18"/>
        <v>7776000.0000000009</v>
      </c>
      <c r="R132" s="392"/>
      <c r="S132" s="362">
        <f t="shared" si="25"/>
        <v>0</v>
      </c>
      <c r="T132" s="385"/>
      <c r="U132" s="362">
        <f t="shared" si="19"/>
        <v>0</v>
      </c>
      <c r="V132" s="584">
        <f t="shared" si="20"/>
        <v>77760</v>
      </c>
      <c r="W132" s="584"/>
      <c r="X132" s="371">
        <f t="shared" si="21"/>
        <v>7776000.0000000009</v>
      </c>
      <c r="Y132" s="846">
        <f t="shared" si="22"/>
        <v>4.32</v>
      </c>
      <c r="Z132" s="491">
        <v>1800000</v>
      </c>
      <c r="AA132" s="662">
        <f t="shared" si="23"/>
        <v>7776000.0000000009</v>
      </c>
      <c r="AB132" s="568">
        <f t="shared" si="24"/>
        <v>103</v>
      </c>
      <c r="AC132" s="493">
        <f>IFERROR(INDEX('[2]CN BC'!$M$10:$M$276,MATCH(B132,'[2]CN BC'!$H$10:$H$276,0)),"")</f>
        <v>0</v>
      </c>
      <c r="AD132" s="522" t="s">
        <v>814</v>
      </c>
      <c r="AG132" s="155"/>
    </row>
    <row r="133" spans="1:43" s="372" customFormat="1" ht="30" customHeight="1">
      <c r="A133" s="379">
        <f>_xlfn.AGGREGATE(4,7,A$29:A132)+1</f>
        <v>104</v>
      </c>
      <c r="B133" s="363" t="s">
        <v>1485</v>
      </c>
      <c r="C133" s="364" t="s">
        <v>1009</v>
      </c>
      <c r="D133" s="406" t="s">
        <v>1699</v>
      </c>
      <c r="E133" s="423" t="s">
        <v>373</v>
      </c>
      <c r="F133" s="366">
        <v>3.99</v>
      </c>
      <c r="G133" s="367"/>
      <c r="H133" s="368">
        <f t="shared" si="26"/>
        <v>3.99</v>
      </c>
      <c r="I133" s="368"/>
      <c r="J133" s="368" t="str">
        <f>VLOOKUP(B133,TH!B127:J459,9,FALSE)</f>
        <v>Giảng viên khoa KHCB</v>
      </c>
      <c r="K133" s="369">
        <f t="shared" si="27"/>
        <v>3.99</v>
      </c>
      <c r="L133" s="362">
        <f t="shared" si="28"/>
        <v>7182000</v>
      </c>
      <c r="M133" s="366" t="str">
        <f>VLOOKUP(B133,'[1]Gui chi Quynh'!$B$11:$E$400,4,FALSE)</f>
        <v>A4</v>
      </c>
      <c r="N133" s="494">
        <f t="shared" si="17"/>
        <v>7182000</v>
      </c>
      <c r="O133" s="376">
        <v>21</v>
      </c>
      <c r="P133" s="440">
        <f>IFERROR(INDEX('[2]CN BC'!$J$10:$J$276,MATCH(B133,'[2]CN BC'!$H$10:$H$276,0)),"")</f>
        <v>21</v>
      </c>
      <c r="Q133" s="494">
        <f t="shared" si="18"/>
        <v>7182000</v>
      </c>
      <c r="R133" s="392"/>
      <c r="S133" s="362">
        <f t="shared" si="25"/>
        <v>0</v>
      </c>
      <c r="T133" s="385"/>
      <c r="U133" s="362">
        <f t="shared" si="19"/>
        <v>0</v>
      </c>
      <c r="V133" s="584">
        <f t="shared" si="20"/>
        <v>71820</v>
      </c>
      <c r="W133" s="584"/>
      <c r="X133" s="371">
        <f t="shared" si="21"/>
        <v>7182000</v>
      </c>
      <c r="Y133" s="846">
        <f t="shared" si="22"/>
        <v>3.99</v>
      </c>
      <c r="Z133" s="491">
        <v>1800000</v>
      </c>
      <c r="AA133" s="662">
        <f t="shared" si="23"/>
        <v>7182000</v>
      </c>
      <c r="AB133" s="568">
        <f t="shared" si="24"/>
        <v>104</v>
      </c>
      <c r="AC133" s="493">
        <f>IFERROR(INDEX('[2]CN BC'!$M$10:$M$276,MATCH(B133,'[2]CN BC'!$H$10:$H$276,0)),"")</f>
        <v>0</v>
      </c>
      <c r="AD133" s="522" t="s">
        <v>815</v>
      </c>
      <c r="AE133" s="108"/>
      <c r="AF133" s="108"/>
      <c r="AG133" s="155"/>
      <c r="AH133" s="108"/>
      <c r="AI133" s="108"/>
      <c r="AJ133" s="108"/>
      <c r="AK133" s="108"/>
      <c r="AL133" s="108"/>
      <c r="AM133" s="108"/>
      <c r="AN133" s="108"/>
      <c r="AO133" s="108"/>
      <c r="AP133" s="108"/>
      <c r="AQ133" s="108"/>
    </row>
    <row r="134" spans="1:43" s="372" customFormat="1" ht="30" customHeight="1">
      <c r="A134" s="379">
        <f>_xlfn.AGGREGATE(4,7,A$29:A133)+1</f>
        <v>105</v>
      </c>
      <c r="B134" s="363" t="s">
        <v>1559</v>
      </c>
      <c r="C134" s="375"/>
      <c r="D134" s="406" t="s">
        <v>1647</v>
      </c>
      <c r="E134" s="423" t="s">
        <v>406</v>
      </c>
      <c r="F134" s="373">
        <v>3.66</v>
      </c>
      <c r="G134" s="378"/>
      <c r="H134" s="368">
        <f t="shared" si="26"/>
        <v>3.66</v>
      </c>
      <c r="I134" s="368"/>
      <c r="J134" s="368" t="str">
        <f>VLOOKUP(B134,TH!B128:J460,9,FALSE)</f>
        <v>Giảng viên khoa KHCB</v>
      </c>
      <c r="K134" s="369">
        <f t="shared" si="27"/>
        <v>3.66</v>
      </c>
      <c r="L134" s="362">
        <f t="shared" si="28"/>
        <v>6588000</v>
      </c>
      <c r="M134" s="366" t="str">
        <f>VLOOKUP(B134,'[1]Gui chi Quynh'!$B$11:$E$400,4,FALSE)</f>
        <v>A4</v>
      </c>
      <c r="N134" s="494">
        <f t="shared" si="17"/>
        <v>6588000</v>
      </c>
      <c r="O134" s="376">
        <v>21</v>
      </c>
      <c r="P134" s="440">
        <f>IFERROR(INDEX('[2]CN BC'!$J$10:$J$276,MATCH(B134,'[2]CN BC'!$H$10:$H$276,0)),"")</f>
        <v>21</v>
      </c>
      <c r="Q134" s="494">
        <f t="shared" si="18"/>
        <v>6588000</v>
      </c>
      <c r="R134" s="392"/>
      <c r="S134" s="362">
        <f t="shared" si="25"/>
        <v>0</v>
      </c>
      <c r="T134" s="370"/>
      <c r="U134" s="362">
        <f t="shared" si="19"/>
        <v>0</v>
      </c>
      <c r="V134" s="584">
        <f t="shared" si="20"/>
        <v>65880</v>
      </c>
      <c r="W134" s="584"/>
      <c r="X134" s="371">
        <f t="shared" si="21"/>
        <v>6588000</v>
      </c>
      <c r="Y134" s="846">
        <f t="shared" si="22"/>
        <v>3.66</v>
      </c>
      <c r="Z134" s="491">
        <v>1800000</v>
      </c>
      <c r="AA134" s="662">
        <f t="shared" si="23"/>
        <v>6588000</v>
      </c>
      <c r="AB134" s="568">
        <f t="shared" si="24"/>
        <v>105</v>
      </c>
      <c r="AC134" s="493">
        <f>IFERROR(INDEX('[2]CN BC'!$M$10:$M$276,MATCH(B134,'[2]CN BC'!$H$10:$H$276,0)),"")</f>
        <v>0</v>
      </c>
      <c r="AD134" s="522" t="s">
        <v>816</v>
      </c>
      <c r="AE134" s="108"/>
      <c r="AF134" s="108"/>
      <c r="AG134" s="155"/>
      <c r="AH134" s="108"/>
      <c r="AI134" s="108"/>
      <c r="AJ134" s="108"/>
      <c r="AK134" s="108"/>
      <c r="AL134" s="108"/>
      <c r="AM134" s="108"/>
      <c r="AN134" s="108"/>
      <c r="AO134" s="108"/>
      <c r="AP134" s="108"/>
      <c r="AQ134" s="108"/>
    </row>
    <row r="135" spans="1:43" s="372" customFormat="1" ht="30" customHeight="1">
      <c r="A135" s="379">
        <f>_xlfn.AGGREGATE(4,7,A$29:A134)+1</f>
        <v>106</v>
      </c>
      <c r="B135" s="363" t="s">
        <v>1868</v>
      </c>
      <c r="C135" s="364" t="s">
        <v>956</v>
      </c>
      <c r="D135" s="434" t="s">
        <v>1700</v>
      </c>
      <c r="E135" s="423" t="s">
        <v>1303</v>
      </c>
      <c r="F135" s="366">
        <v>4.6500000000000004</v>
      </c>
      <c r="G135" s="367"/>
      <c r="H135" s="368">
        <f t="shared" si="26"/>
        <v>4.6500000000000004</v>
      </c>
      <c r="I135" s="368"/>
      <c r="J135" s="368" t="str">
        <f>VLOOKUP(B135,TH!B129:J461,9,FALSE)</f>
        <v>Giảng viên Khoa KHCB</v>
      </c>
      <c r="K135" s="369">
        <f t="shared" si="27"/>
        <v>4.6500000000000004</v>
      </c>
      <c r="L135" s="362">
        <f t="shared" si="28"/>
        <v>8370000.0000000009</v>
      </c>
      <c r="M135" s="366" t="str">
        <f>VLOOKUP(B135,'[1]Gui chi Quynh'!$B$11:$E$400,4,FALSE)</f>
        <v>A4</v>
      </c>
      <c r="N135" s="494">
        <f t="shared" si="17"/>
        <v>8370000.0000000009</v>
      </c>
      <c r="O135" s="376">
        <v>21</v>
      </c>
      <c r="P135" s="440">
        <f>IFERROR(INDEX('[2]CN BC'!$J$10:$J$276,MATCH(B135,'[2]CN BC'!$H$10:$H$276,0)),"")</f>
        <v>21</v>
      </c>
      <c r="Q135" s="494">
        <f t="shared" si="18"/>
        <v>8370000.0000000009</v>
      </c>
      <c r="R135" s="392"/>
      <c r="S135" s="362">
        <f t="shared" si="25"/>
        <v>0</v>
      </c>
      <c r="T135" s="370"/>
      <c r="U135" s="362">
        <f t="shared" si="19"/>
        <v>0</v>
      </c>
      <c r="V135" s="584">
        <f t="shared" si="20"/>
        <v>83700</v>
      </c>
      <c r="W135" s="584"/>
      <c r="X135" s="371">
        <f t="shared" si="21"/>
        <v>8370000.0000000009</v>
      </c>
      <c r="Y135" s="846">
        <f t="shared" si="22"/>
        <v>4.6500000000000004</v>
      </c>
      <c r="Z135" s="491">
        <v>1800000</v>
      </c>
      <c r="AA135" s="662">
        <f t="shared" si="23"/>
        <v>8370000.0000000009</v>
      </c>
      <c r="AB135" s="568">
        <f t="shared" si="24"/>
        <v>106</v>
      </c>
      <c r="AC135" s="493">
        <f>IFERROR(INDEX('[2]CN BC'!$M$10:$M$276,MATCH(B135,'[2]CN BC'!$H$10:$H$276,0)),"")</f>
        <v>0</v>
      </c>
      <c r="AD135" s="522" t="s">
        <v>817</v>
      </c>
      <c r="AE135" s="108"/>
      <c r="AF135" s="108"/>
      <c r="AG135" s="155"/>
      <c r="AH135" s="108"/>
      <c r="AI135" s="108"/>
      <c r="AJ135" s="108"/>
      <c r="AK135" s="108"/>
      <c r="AL135" s="108"/>
      <c r="AM135" s="108"/>
    </row>
    <row r="136" spans="1:43" s="372" customFormat="1" ht="30" customHeight="1">
      <c r="A136" s="379">
        <f>_xlfn.AGGREGATE(4,7,A$29:A135)+1</f>
        <v>107</v>
      </c>
      <c r="B136" s="363" t="s">
        <v>1869</v>
      </c>
      <c r="C136" s="364" t="s">
        <v>958</v>
      </c>
      <c r="D136" s="406" t="s">
        <v>1701</v>
      </c>
      <c r="E136" s="423" t="s">
        <v>1304</v>
      </c>
      <c r="F136" s="373">
        <v>4.32</v>
      </c>
      <c r="G136" s="367"/>
      <c r="H136" s="368">
        <f t="shared" si="26"/>
        <v>4.32</v>
      </c>
      <c r="I136" s="368"/>
      <c r="J136" s="368" t="str">
        <f>VLOOKUP(B136,TH!B130:J462,9,FALSE)</f>
        <v>Giảng viên Khoa KHCB</v>
      </c>
      <c r="K136" s="369">
        <f t="shared" si="27"/>
        <v>4.32</v>
      </c>
      <c r="L136" s="362">
        <f t="shared" si="28"/>
        <v>7776000.0000000009</v>
      </c>
      <c r="M136" s="366" t="str">
        <f>VLOOKUP(B136,'[1]Gui chi Quynh'!$B$11:$E$400,4,FALSE)</f>
        <v>A3</v>
      </c>
      <c r="N136" s="494">
        <f t="shared" si="17"/>
        <v>9331200</v>
      </c>
      <c r="O136" s="376">
        <v>21</v>
      </c>
      <c r="P136" s="440">
        <f>IFERROR(INDEX('[2]CN BC'!$J$10:$J$276,MATCH(B136,'[2]CN BC'!$H$10:$H$276,0)),"")</f>
        <v>21</v>
      </c>
      <c r="Q136" s="494">
        <f t="shared" si="18"/>
        <v>9331200</v>
      </c>
      <c r="R136" s="392"/>
      <c r="S136" s="362">
        <f t="shared" si="25"/>
        <v>0</v>
      </c>
      <c r="T136" s="385"/>
      <c r="U136" s="362">
        <f t="shared" si="19"/>
        <v>0</v>
      </c>
      <c r="V136" s="584">
        <f t="shared" si="20"/>
        <v>77760</v>
      </c>
      <c r="W136" s="584"/>
      <c r="X136" s="371">
        <f t="shared" si="21"/>
        <v>9331200</v>
      </c>
      <c r="Y136" s="846">
        <f t="shared" si="22"/>
        <v>5.1840000000000002</v>
      </c>
      <c r="Z136" s="491">
        <v>1800000</v>
      </c>
      <c r="AA136" s="440">
        <f t="shared" si="23"/>
        <v>9331200</v>
      </c>
      <c r="AB136" s="568">
        <f t="shared" si="24"/>
        <v>107</v>
      </c>
      <c r="AC136" s="493">
        <f>IFERROR(INDEX('[2]CN BC'!$M$10:$M$276,MATCH(B136,'[2]CN BC'!$H$10:$H$276,0)),"")</f>
        <v>0</v>
      </c>
      <c r="AD136" s="522" t="s">
        <v>818</v>
      </c>
      <c r="AE136" s="108"/>
      <c r="AF136" s="108"/>
      <c r="AG136" s="155"/>
      <c r="AH136" s="108"/>
      <c r="AI136" s="108"/>
      <c r="AJ136" s="108"/>
      <c r="AK136" s="108"/>
      <c r="AL136" s="108"/>
      <c r="AM136" s="108"/>
      <c r="AN136" s="108"/>
      <c r="AO136" s="108"/>
      <c r="AP136" s="108"/>
      <c r="AQ136" s="108"/>
    </row>
    <row r="137" spans="1:43" s="372" customFormat="1" ht="30" customHeight="1">
      <c r="A137" s="379">
        <f>_xlfn.AGGREGATE(4,7,A$29:A136)+1</f>
        <v>108</v>
      </c>
      <c r="B137" s="363" t="s">
        <v>1870</v>
      </c>
      <c r="C137" s="364" t="s">
        <v>967</v>
      </c>
      <c r="D137" s="434" t="s">
        <v>1702</v>
      </c>
      <c r="E137" s="423" t="s">
        <v>1306</v>
      </c>
      <c r="F137" s="366">
        <v>4.9800000000000004</v>
      </c>
      <c r="G137" s="367">
        <v>0.08</v>
      </c>
      <c r="H137" s="368">
        <f t="shared" si="26"/>
        <v>5.3784000000000001</v>
      </c>
      <c r="I137" s="368"/>
      <c r="J137" s="368" t="str">
        <f>VLOOKUP(B137,TH!B131:J463,9,FALSE)</f>
        <v>Giảng viên Khoa KHCB</v>
      </c>
      <c r="K137" s="369">
        <f t="shared" si="27"/>
        <v>5.3784000000000001</v>
      </c>
      <c r="L137" s="362">
        <f t="shared" si="28"/>
        <v>9681120</v>
      </c>
      <c r="M137" s="366" t="str">
        <f>VLOOKUP(B137,'[1]Gui chi Quynh'!$B$11:$E$400,4,FALSE)</f>
        <v>A3</v>
      </c>
      <c r="N137" s="494">
        <f t="shared" si="17"/>
        <v>11617344</v>
      </c>
      <c r="O137" s="376">
        <v>21</v>
      </c>
      <c r="P137" s="440">
        <f>IFERROR(INDEX('[2]CN BC'!$J$10:$J$276,MATCH(B137,'[2]CN BC'!$H$10:$H$276,0)),"")</f>
        <v>21</v>
      </c>
      <c r="Q137" s="494">
        <f t="shared" si="18"/>
        <v>11617344</v>
      </c>
      <c r="R137" s="460"/>
      <c r="S137" s="362">
        <f t="shared" si="25"/>
        <v>0</v>
      </c>
      <c r="T137" s="370"/>
      <c r="U137" s="362">
        <f t="shared" si="19"/>
        <v>0</v>
      </c>
      <c r="V137" s="584">
        <f t="shared" si="20"/>
        <v>96811</v>
      </c>
      <c r="W137" s="584"/>
      <c r="X137" s="371">
        <f t="shared" si="21"/>
        <v>11617344</v>
      </c>
      <c r="Y137" s="846">
        <f t="shared" si="22"/>
        <v>6.4540800000000003</v>
      </c>
      <c r="Z137" s="491">
        <v>1800000</v>
      </c>
      <c r="AA137" s="895">
        <f t="shared" si="23"/>
        <v>11617344</v>
      </c>
      <c r="AB137" s="568">
        <f t="shared" si="24"/>
        <v>108</v>
      </c>
      <c r="AC137" s="493">
        <f>IFERROR(INDEX('[2]CN BC'!$M$10:$M$276,MATCH(B137,'[2]CN BC'!$H$10:$H$276,0)),"")</f>
        <v>0</v>
      </c>
      <c r="AD137" s="522" t="s">
        <v>819</v>
      </c>
      <c r="AE137" s="108"/>
      <c r="AF137" s="108"/>
      <c r="AG137" s="487"/>
    </row>
    <row r="138" spans="1:43" s="372" customFormat="1" ht="26.25" customHeight="1">
      <c r="A138" s="379">
        <f>_xlfn.AGGREGATE(4,7,A$29:A137)+1</f>
        <v>109</v>
      </c>
      <c r="B138" s="363" t="s">
        <v>847</v>
      </c>
      <c r="C138" s="364" t="s">
        <v>896</v>
      </c>
      <c r="D138" s="434" t="s">
        <v>1703</v>
      </c>
      <c r="E138" s="423" t="s">
        <v>1307</v>
      </c>
      <c r="F138" s="373">
        <v>3.99</v>
      </c>
      <c r="G138" s="367"/>
      <c r="H138" s="368">
        <f t="shared" si="26"/>
        <v>3.99</v>
      </c>
      <c r="I138" s="368"/>
      <c r="J138" s="368" t="str">
        <f>VLOOKUP(B138,TH!B132:J464,9,FALSE)</f>
        <v>Giảng viên khoa KHCB</v>
      </c>
      <c r="K138" s="369">
        <f t="shared" si="27"/>
        <v>3.99</v>
      </c>
      <c r="L138" s="362">
        <f t="shared" si="28"/>
        <v>7182000</v>
      </c>
      <c r="M138" s="366" t="str">
        <f>VLOOKUP(B138,'[1]Gui chi Quynh'!$B$11:$E$400,4,FALSE)</f>
        <v>A2</v>
      </c>
      <c r="N138" s="494">
        <f t="shared" si="17"/>
        <v>10054800</v>
      </c>
      <c r="O138" s="376">
        <v>21</v>
      </c>
      <c r="P138" s="440">
        <f>IFERROR(INDEX('[2]CN BC'!$J$10:$J$276,MATCH(B138,'[2]CN BC'!$H$10:$H$276,0)),"")</f>
        <v>21</v>
      </c>
      <c r="Q138" s="494">
        <f t="shared" si="18"/>
        <v>10054800</v>
      </c>
      <c r="R138" s="460"/>
      <c r="S138" s="362">
        <f t="shared" si="25"/>
        <v>0</v>
      </c>
      <c r="T138" s="370"/>
      <c r="U138" s="362">
        <f t="shared" si="19"/>
        <v>0</v>
      </c>
      <c r="V138" s="362">
        <f t="shared" si="20"/>
        <v>71820</v>
      </c>
      <c r="W138" s="362"/>
      <c r="X138" s="371">
        <f t="shared" si="21"/>
        <v>10054800</v>
      </c>
      <c r="Y138" s="846">
        <f t="shared" si="22"/>
        <v>5.5860000000000003</v>
      </c>
      <c r="Z138" s="491">
        <v>1800000</v>
      </c>
      <c r="AA138" s="895">
        <f t="shared" si="23"/>
        <v>10054800</v>
      </c>
      <c r="AB138" s="568">
        <f t="shared" si="24"/>
        <v>109</v>
      </c>
      <c r="AC138" s="493">
        <f>IFERROR(INDEX('[2]CN BC'!$M$10:$M$276,MATCH(B138,'[2]CN BC'!$H$10:$H$276,0)),"")</f>
        <v>0</v>
      </c>
      <c r="AD138" s="540" t="s">
        <v>820</v>
      </c>
      <c r="AG138" s="487"/>
    </row>
    <row r="139" spans="1:43" s="372" customFormat="1" ht="30" customHeight="1">
      <c r="A139" s="379">
        <f>_xlfn.AGGREGATE(4,7,A$29:A138)+1</f>
        <v>110</v>
      </c>
      <c r="B139" s="363" t="s">
        <v>1486</v>
      </c>
      <c r="C139" s="364" t="s">
        <v>1218</v>
      </c>
      <c r="D139" s="406" t="s">
        <v>1704</v>
      </c>
      <c r="E139" s="426" t="s">
        <v>1588</v>
      </c>
      <c r="F139" s="373">
        <v>3.66</v>
      </c>
      <c r="G139" s="367"/>
      <c r="H139" s="368">
        <f t="shared" si="26"/>
        <v>3.66</v>
      </c>
      <c r="I139" s="368"/>
      <c r="J139" s="368" t="str">
        <f>VLOOKUP(B139,TH!B133:J465,9,FALSE)</f>
        <v>Giảng viên khoa KHCB</v>
      </c>
      <c r="K139" s="369">
        <f t="shared" si="27"/>
        <v>3.66</v>
      </c>
      <c r="L139" s="362">
        <f t="shared" si="28"/>
        <v>6588000</v>
      </c>
      <c r="M139" s="366" t="str">
        <f>VLOOKUP(B139,'[1]Gui chi Quynh'!$B$11:$E$400,4,FALSE)</f>
        <v>A4</v>
      </c>
      <c r="N139" s="494">
        <f t="shared" si="17"/>
        <v>6588000</v>
      </c>
      <c r="O139" s="376">
        <v>21</v>
      </c>
      <c r="P139" s="440">
        <f>IFERROR(INDEX('[2]CN BC'!$J$10:$J$276,MATCH(B139,'[2]CN BC'!$H$10:$H$276,0)),"")</f>
        <v>21</v>
      </c>
      <c r="Q139" s="494">
        <f t="shared" si="18"/>
        <v>6588000</v>
      </c>
      <c r="R139" s="392"/>
      <c r="S139" s="362">
        <f t="shared" si="25"/>
        <v>0</v>
      </c>
      <c r="T139" s="370"/>
      <c r="U139" s="362">
        <f t="shared" si="19"/>
        <v>0</v>
      </c>
      <c r="V139" s="584">
        <f t="shared" si="20"/>
        <v>65880</v>
      </c>
      <c r="W139" s="584"/>
      <c r="X139" s="371">
        <f t="shared" si="21"/>
        <v>6588000</v>
      </c>
      <c r="Y139" s="846">
        <f t="shared" si="22"/>
        <v>3.66</v>
      </c>
      <c r="Z139" s="491">
        <v>1800000</v>
      </c>
      <c r="AA139" s="895">
        <f t="shared" si="23"/>
        <v>6588000</v>
      </c>
      <c r="AB139" s="568">
        <f t="shared" si="24"/>
        <v>110</v>
      </c>
      <c r="AC139" s="493">
        <f>IFERROR(INDEX('[2]CN BC'!$M$10:$M$276,MATCH(B139,'[2]CN BC'!$H$10:$H$276,0)),"")</f>
        <v>0</v>
      </c>
      <c r="AD139" s="522" t="s">
        <v>1119</v>
      </c>
      <c r="AE139" s="108"/>
      <c r="AF139" s="108"/>
      <c r="AG139" s="155"/>
      <c r="AH139" s="108"/>
      <c r="AI139" s="108"/>
      <c r="AJ139" s="108"/>
      <c r="AK139" s="108"/>
      <c r="AL139" s="108"/>
      <c r="AM139" s="108"/>
      <c r="AN139" s="108"/>
      <c r="AO139" s="108"/>
      <c r="AP139" s="108"/>
      <c r="AQ139" s="108"/>
    </row>
    <row r="140" spans="1:43" s="108" customFormat="1" ht="30" customHeight="1">
      <c r="A140" s="379">
        <f>_xlfn.AGGREGATE(4,7,A$29:A139)+1</f>
        <v>111</v>
      </c>
      <c r="B140" s="363" t="s">
        <v>1871</v>
      </c>
      <c r="C140" s="364" t="s">
        <v>873</v>
      </c>
      <c r="D140" s="434" t="s">
        <v>1705</v>
      </c>
      <c r="E140" s="423" t="s">
        <v>1309</v>
      </c>
      <c r="F140" s="366">
        <v>4.9800000000000004</v>
      </c>
      <c r="G140" s="367"/>
      <c r="H140" s="368">
        <f t="shared" si="26"/>
        <v>4.9800000000000004</v>
      </c>
      <c r="I140" s="368">
        <v>0.35</v>
      </c>
      <c r="J140" s="368" t="str">
        <f>VLOOKUP(B140,TH!B134:J466,9,FALSE)</f>
        <v>Phó TK Khoa KHCB</v>
      </c>
      <c r="K140" s="369">
        <f t="shared" si="27"/>
        <v>5.33</v>
      </c>
      <c r="L140" s="362">
        <f t="shared" si="28"/>
        <v>9594000</v>
      </c>
      <c r="M140" s="366" t="str">
        <f>VLOOKUP(B140,'[1]Gui chi Quynh'!$B$11:$E$400,4,FALSE)</f>
        <v>A3</v>
      </c>
      <c r="N140" s="494">
        <f t="shared" si="17"/>
        <v>11512800</v>
      </c>
      <c r="O140" s="376">
        <v>21</v>
      </c>
      <c r="P140" s="440">
        <f>IFERROR(INDEX('[2]CN BC'!$J$10:$J$276,MATCH(B140,'[2]CN BC'!$H$10:$H$276,0)),"")</f>
        <v>21</v>
      </c>
      <c r="Q140" s="494">
        <f t="shared" si="18"/>
        <v>11512800</v>
      </c>
      <c r="R140" s="460"/>
      <c r="S140" s="362">
        <f t="shared" si="25"/>
        <v>0</v>
      </c>
      <c r="T140" s="370"/>
      <c r="U140" s="362">
        <f t="shared" si="19"/>
        <v>0</v>
      </c>
      <c r="V140" s="584">
        <f t="shared" si="20"/>
        <v>95940</v>
      </c>
      <c r="W140" s="584"/>
      <c r="X140" s="371">
        <f t="shared" si="21"/>
        <v>11512800</v>
      </c>
      <c r="Y140" s="846">
        <f t="shared" si="22"/>
        <v>6.3959999999999999</v>
      </c>
      <c r="Z140" s="491">
        <v>1800000</v>
      </c>
      <c r="AA140" s="895">
        <f t="shared" si="23"/>
        <v>11512800</v>
      </c>
      <c r="AB140" s="568">
        <f t="shared" si="24"/>
        <v>111</v>
      </c>
      <c r="AC140" s="493">
        <f>IFERROR(INDEX('[2]CN BC'!$M$10:$M$276,MATCH(B140,'[2]CN BC'!$H$10:$H$276,0)),"")</f>
        <v>0</v>
      </c>
      <c r="AD140" s="522" t="s">
        <v>1120</v>
      </c>
      <c r="AG140" s="155"/>
    </row>
    <row r="141" spans="1:43" s="372" customFormat="1" ht="30" customHeight="1">
      <c r="A141" s="379">
        <f>_xlfn.AGGREGATE(4,7,A$29:A140)+1</f>
        <v>112</v>
      </c>
      <c r="B141" s="363" t="s">
        <v>1872</v>
      </c>
      <c r="C141" s="364" t="s">
        <v>966</v>
      </c>
      <c r="D141" s="434" t="s">
        <v>1706</v>
      </c>
      <c r="E141" s="423" t="s">
        <v>1311</v>
      </c>
      <c r="F141" s="366">
        <v>4.9800000000000004</v>
      </c>
      <c r="G141" s="367">
        <v>0.05</v>
      </c>
      <c r="H141" s="368">
        <f t="shared" si="26"/>
        <v>5.2290000000000001</v>
      </c>
      <c r="I141" s="368"/>
      <c r="J141" s="368" t="str">
        <f>VLOOKUP(B141,TH!B135:J467,9,FALSE)</f>
        <v>Giảng viên Khoa KHCB</v>
      </c>
      <c r="K141" s="369">
        <f t="shared" si="27"/>
        <v>5.2290000000000001</v>
      </c>
      <c r="L141" s="362">
        <f t="shared" si="28"/>
        <v>9412200</v>
      </c>
      <c r="M141" s="366" t="str">
        <f>VLOOKUP(B141,'[1]Gui chi Quynh'!$B$11:$E$400,4,FALSE)</f>
        <v>A4</v>
      </c>
      <c r="N141" s="494">
        <f t="shared" si="17"/>
        <v>9412200</v>
      </c>
      <c r="O141" s="376">
        <v>21</v>
      </c>
      <c r="P141" s="440">
        <f>IFERROR(INDEX('[2]CN BC'!$J$10:$J$276,MATCH(B141,'[2]CN BC'!$H$10:$H$276,0)),"")</f>
        <v>21</v>
      </c>
      <c r="Q141" s="494">
        <f t="shared" si="18"/>
        <v>9412200</v>
      </c>
      <c r="R141" s="460"/>
      <c r="S141" s="362">
        <f t="shared" si="25"/>
        <v>0</v>
      </c>
      <c r="T141" s="370"/>
      <c r="U141" s="362">
        <f t="shared" si="19"/>
        <v>0</v>
      </c>
      <c r="V141" s="584">
        <f t="shared" si="20"/>
        <v>94122</v>
      </c>
      <c r="W141" s="584"/>
      <c r="X141" s="371">
        <f t="shared" si="21"/>
        <v>9412200</v>
      </c>
      <c r="Y141" s="846">
        <f t="shared" si="22"/>
        <v>5.2290000000000001</v>
      </c>
      <c r="Z141" s="491">
        <v>1800000</v>
      </c>
      <c r="AA141" s="895">
        <f t="shared" si="23"/>
        <v>9412200</v>
      </c>
      <c r="AB141" s="568">
        <f t="shared" si="24"/>
        <v>112</v>
      </c>
      <c r="AC141" s="493">
        <f>IFERROR(INDEX('[2]CN BC'!$M$10:$M$276,MATCH(B141,'[2]CN BC'!$H$10:$H$276,0)),"")</f>
        <v>0</v>
      </c>
      <c r="AD141" s="522" t="s">
        <v>1121</v>
      </c>
      <c r="AE141" s="108"/>
      <c r="AF141" s="108"/>
      <c r="AG141" s="487"/>
    </row>
    <row r="142" spans="1:43" s="372" customFormat="1" ht="32.25" customHeight="1">
      <c r="A142" s="379">
        <f>_xlfn.AGGREGATE(4,7,A$29:A141)+1</f>
        <v>113</v>
      </c>
      <c r="B142" s="363" t="s">
        <v>1487</v>
      </c>
      <c r="C142" s="364" t="s">
        <v>917</v>
      </c>
      <c r="D142" s="434" t="s">
        <v>1707</v>
      </c>
      <c r="E142" s="423" t="s">
        <v>1312</v>
      </c>
      <c r="F142" s="373">
        <v>3.99</v>
      </c>
      <c r="G142" s="367"/>
      <c r="H142" s="368">
        <f t="shared" si="26"/>
        <v>3.99</v>
      </c>
      <c r="I142" s="368"/>
      <c r="J142" s="368" t="str">
        <f>VLOOKUP(B142,TH!B136:J468,9,FALSE)</f>
        <v>Giảng viên khoa KHCB</v>
      </c>
      <c r="K142" s="369">
        <f t="shared" si="27"/>
        <v>3.99</v>
      </c>
      <c r="L142" s="362">
        <f t="shared" si="28"/>
        <v>7182000</v>
      </c>
      <c r="M142" s="366" t="str">
        <f>VLOOKUP(B142,'[1]Gui chi Quynh'!$B$11:$E$400,4,FALSE)</f>
        <v>A4</v>
      </c>
      <c r="N142" s="494">
        <f t="shared" si="17"/>
        <v>7182000</v>
      </c>
      <c r="O142" s="376">
        <v>21</v>
      </c>
      <c r="P142" s="440">
        <f>IFERROR(INDEX('[2]CN BC'!$J$10:$J$276,MATCH(B142,'[2]CN BC'!$H$10:$H$276,0)),"")</f>
        <v>21</v>
      </c>
      <c r="Q142" s="494">
        <f t="shared" si="18"/>
        <v>7182000</v>
      </c>
      <c r="R142" s="460"/>
      <c r="S142" s="362">
        <f t="shared" si="25"/>
        <v>0</v>
      </c>
      <c r="T142" s="370"/>
      <c r="U142" s="362">
        <f t="shared" si="19"/>
        <v>0</v>
      </c>
      <c r="V142" s="584">
        <f t="shared" si="20"/>
        <v>71820</v>
      </c>
      <c r="W142" s="584"/>
      <c r="X142" s="371">
        <f t="shared" si="21"/>
        <v>7182000</v>
      </c>
      <c r="Y142" s="846">
        <f t="shared" si="22"/>
        <v>3.99</v>
      </c>
      <c r="Z142" s="491">
        <v>1800000</v>
      </c>
      <c r="AA142" s="895">
        <f t="shared" si="23"/>
        <v>7182000</v>
      </c>
      <c r="AB142" s="568">
        <f t="shared" si="24"/>
        <v>113</v>
      </c>
      <c r="AC142" s="493">
        <f>IFERROR(INDEX('[2]CN BC'!$M$10:$M$276,MATCH(B142,'[2]CN BC'!$H$10:$H$276,0)),"")</f>
        <v>0</v>
      </c>
      <c r="AD142" s="522" t="s">
        <v>1122</v>
      </c>
      <c r="AE142" s="108"/>
      <c r="AF142" s="108"/>
      <c r="AG142" s="487"/>
    </row>
    <row r="143" spans="1:43" s="372" customFormat="1" ht="30" customHeight="1">
      <c r="A143" s="379">
        <f>_xlfn.AGGREGATE(4,7,A$29:A142)+1</f>
        <v>114</v>
      </c>
      <c r="B143" s="363" t="s">
        <v>1488</v>
      </c>
      <c r="C143" s="364" t="s">
        <v>874</v>
      </c>
      <c r="D143" s="434" t="s">
        <v>1708</v>
      </c>
      <c r="E143" s="423" t="s">
        <v>374</v>
      </c>
      <c r="F143" s="373">
        <v>3.66</v>
      </c>
      <c r="G143" s="367"/>
      <c r="H143" s="368">
        <f t="shared" si="26"/>
        <v>3.66</v>
      </c>
      <c r="I143" s="368"/>
      <c r="J143" s="368" t="str">
        <f>VLOOKUP(B143,TH!B137:J469,9,FALSE)</f>
        <v>Giảng viên khoa KHCB</v>
      </c>
      <c r="K143" s="369">
        <f t="shared" si="27"/>
        <v>3.66</v>
      </c>
      <c r="L143" s="362">
        <f t="shared" si="28"/>
        <v>6588000</v>
      </c>
      <c r="M143" s="366" t="str">
        <f>VLOOKUP(B143,'[1]Gui chi Quynh'!$B$11:$E$400,4,FALSE)</f>
        <v>A4</v>
      </c>
      <c r="N143" s="494">
        <f t="shared" si="17"/>
        <v>6588000</v>
      </c>
      <c r="O143" s="376">
        <v>21</v>
      </c>
      <c r="P143" s="440">
        <f>IFERROR(INDEX('[2]CN BC'!$J$10:$J$276,MATCH(B143,'[2]CN BC'!$H$10:$H$276,0)),"")</f>
        <v>21</v>
      </c>
      <c r="Q143" s="494">
        <f t="shared" si="18"/>
        <v>6588000</v>
      </c>
      <c r="R143" s="460"/>
      <c r="S143" s="362">
        <f t="shared" si="25"/>
        <v>0</v>
      </c>
      <c r="T143" s="370"/>
      <c r="U143" s="362">
        <f t="shared" si="19"/>
        <v>0</v>
      </c>
      <c r="V143" s="584">
        <f t="shared" si="20"/>
        <v>65880</v>
      </c>
      <c r="W143" s="584"/>
      <c r="X143" s="371">
        <f t="shared" si="21"/>
        <v>6588000</v>
      </c>
      <c r="Y143" s="846">
        <f t="shared" si="22"/>
        <v>3.66</v>
      </c>
      <c r="Z143" s="491">
        <v>1800000</v>
      </c>
      <c r="AA143" s="895">
        <f t="shared" si="23"/>
        <v>6588000</v>
      </c>
      <c r="AB143" s="568">
        <f t="shared" si="24"/>
        <v>114</v>
      </c>
      <c r="AC143" s="493">
        <f>IFERROR(INDEX('[2]CN BC'!$M$10:$M$276,MATCH(B143,'[2]CN BC'!$H$10:$H$276,0)),"")</f>
        <v>0</v>
      </c>
      <c r="AD143" s="522" t="s">
        <v>1123</v>
      </c>
      <c r="AE143" s="108"/>
      <c r="AF143" s="108"/>
      <c r="AG143" s="155"/>
      <c r="AH143" s="108"/>
      <c r="AI143" s="108"/>
      <c r="AJ143" s="108"/>
      <c r="AK143" s="108"/>
      <c r="AL143" s="108"/>
      <c r="AM143" s="108"/>
    </row>
    <row r="144" spans="1:43" s="372" customFormat="1" ht="30" customHeight="1">
      <c r="A144" s="379">
        <f>_xlfn.AGGREGATE(4,7,A$29:A143)+1</f>
        <v>115</v>
      </c>
      <c r="B144" s="363" t="s">
        <v>1489</v>
      </c>
      <c r="C144" s="364" t="s">
        <v>1423</v>
      </c>
      <c r="D144" s="434" t="s">
        <v>1709</v>
      </c>
      <c r="E144" s="422" t="s">
        <v>1424</v>
      </c>
      <c r="F144" s="373">
        <v>3.33</v>
      </c>
      <c r="G144" s="367"/>
      <c r="H144" s="445">
        <f t="shared" si="26"/>
        <v>3.33</v>
      </c>
      <c r="I144" s="368"/>
      <c r="J144" s="368" t="str">
        <f>VLOOKUP(B144,TH!B138:J470,9,FALSE)</f>
        <v>Giảng viên khoa KHCB</v>
      </c>
      <c r="K144" s="369">
        <f t="shared" si="27"/>
        <v>3.33</v>
      </c>
      <c r="L144" s="362">
        <f t="shared" si="28"/>
        <v>5994000</v>
      </c>
      <c r="M144" s="366" t="str">
        <f>VLOOKUP(B144,'[1]Gui chi Quynh'!$B$11:$E$400,4,FALSE)</f>
        <v>A4</v>
      </c>
      <c r="N144" s="494">
        <f t="shared" si="17"/>
        <v>5994000</v>
      </c>
      <c r="O144" s="376">
        <v>21</v>
      </c>
      <c r="P144" s="440">
        <f>IFERROR(INDEX('[2]CN BC'!$J$10:$J$276,MATCH(B144,'[2]CN BC'!$H$10:$H$276,0)),"")</f>
        <v>21</v>
      </c>
      <c r="Q144" s="494">
        <f t="shared" si="18"/>
        <v>5994000</v>
      </c>
      <c r="R144" s="460"/>
      <c r="S144" s="362">
        <f t="shared" si="25"/>
        <v>0</v>
      </c>
      <c r="T144" s="370"/>
      <c r="U144" s="362">
        <f t="shared" si="19"/>
        <v>0</v>
      </c>
      <c r="V144" s="584">
        <f t="shared" si="20"/>
        <v>59940</v>
      </c>
      <c r="W144" s="584"/>
      <c r="X144" s="371">
        <f t="shared" si="21"/>
        <v>5994000</v>
      </c>
      <c r="Y144" s="846">
        <f t="shared" si="22"/>
        <v>3.33</v>
      </c>
      <c r="Z144" s="491">
        <v>1800000</v>
      </c>
      <c r="AA144" s="662">
        <f t="shared" si="23"/>
        <v>5994000</v>
      </c>
      <c r="AB144" s="568">
        <f t="shared" si="24"/>
        <v>115</v>
      </c>
      <c r="AC144" s="493">
        <f>IFERROR(INDEX('[2]CN BC'!$M$10:$M$276,MATCH(B144,'[2]CN BC'!$H$10:$H$276,0)),"")</f>
        <v>0</v>
      </c>
      <c r="AD144" s="522" t="s">
        <v>1124</v>
      </c>
      <c r="AE144" s="108"/>
      <c r="AF144" s="108"/>
      <c r="AG144" s="155"/>
      <c r="AH144" s="108"/>
      <c r="AI144" s="108"/>
      <c r="AJ144" s="108"/>
      <c r="AK144" s="108"/>
      <c r="AL144" s="108"/>
      <c r="AM144" s="108"/>
    </row>
    <row r="145" spans="1:43" s="372" customFormat="1" ht="30" customHeight="1">
      <c r="A145" s="379">
        <f>_xlfn.AGGREGATE(4,7,A$29:A144)+1</f>
        <v>116</v>
      </c>
      <c r="B145" s="363" t="s">
        <v>1490</v>
      </c>
      <c r="C145" s="364" t="s">
        <v>960</v>
      </c>
      <c r="D145" s="434" t="s">
        <v>1710</v>
      </c>
      <c r="E145" s="422" t="s">
        <v>1425</v>
      </c>
      <c r="F145" s="373">
        <v>3.33</v>
      </c>
      <c r="G145" s="367"/>
      <c r="H145" s="445">
        <f t="shared" si="26"/>
        <v>3.33</v>
      </c>
      <c r="I145" s="368"/>
      <c r="J145" s="368" t="str">
        <f>VLOOKUP(B145,TH!B139:J471,9,FALSE)</f>
        <v>Giảng viên khoa KHCB</v>
      </c>
      <c r="K145" s="369">
        <f t="shared" si="27"/>
        <v>3.33</v>
      </c>
      <c r="L145" s="362">
        <f t="shared" si="28"/>
        <v>5994000</v>
      </c>
      <c r="M145" s="366" t="str">
        <f>VLOOKUP(B145,'[1]Gui chi Quynh'!$B$11:$E$400,4,FALSE)</f>
        <v>A4</v>
      </c>
      <c r="N145" s="494">
        <f t="shared" si="17"/>
        <v>5994000</v>
      </c>
      <c r="O145" s="376">
        <v>21</v>
      </c>
      <c r="P145" s="440">
        <f>IFERROR(INDEX('[2]CN BC'!$J$10:$J$276,MATCH(B145,'[2]CN BC'!$H$10:$H$276,0)),"")</f>
        <v>21</v>
      </c>
      <c r="Q145" s="494">
        <f t="shared" si="18"/>
        <v>5994000</v>
      </c>
      <c r="R145" s="460"/>
      <c r="S145" s="362">
        <f t="shared" si="25"/>
        <v>0</v>
      </c>
      <c r="T145" s="370"/>
      <c r="U145" s="362">
        <f t="shared" si="19"/>
        <v>0</v>
      </c>
      <c r="V145" s="584">
        <f t="shared" si="20"/>
        <v>59940</v>
      </c>
      <c r="W145" s="584"/>
      <c r="X145" s="371">
        <f t="shared" si="21"/>
        <v>5994000</v>
      </c>
      <c r="Y145" s="846">
        <f t="shared" si="22"/>
        <v>3.33</v>
      </c>
      <c r="Z145" s="491">
        <v>1800000</v>
      </c>
      <c r="AA145" s="662">
        <f t="shared" si="23"/>
        <v>5994000</v>
      </c>
      <c r="AB145" s="568">
        <f t="shared" si="24"/>
        <v>116</v>
      </c>
      <c r="AC145" s="493">
        <f>IFERROR(INDEX('[2]CN BC'!$M$10:$M$276,MATCH(B145,'[2]CN BC'!$H$10:$H$276,0)),"")</f>
        <v>0</v>
      </c>
      <c r="AD145" s="522" t="s">
        <v>1125</v>
      </c>
      <c r="AE145" s="108"/>
      <c r="AF145" s="108"/>
      <c r="AG145" s="155"/>
      <c r="AH145" s="108"/>
      <c r="AI145" s="108"/>
      <c r="AJ145" s="108"/>
      <c r="AK145" s="108"/>
      <c r="AL145" s="108"/>
      <c r="AM145" s="108"/>
    </row>
    <row r="146" spans="1:43" s="372" customFormat="1" ht="30" customHeight="1">
      <c r="A146" s="379">
        <f>_xlfn.AGGREGATE(4,7,A$29:A145)+1</f>
        <v>117</v>
      </c>
      <c r="B146" s="363" t="s">
        <v>1873</v>
      </c>
      <c r="C146" s="364" t="s">
        <v>889</v>
      </c>
      <c r="D146" s="406" t="s">
        <v>1711</v>
      </c>
      <c r="E146" s="423" t="s">
        <v>1322</v>
      </c>
      <c r="F146" s="373">
        <v>3.99</v>
      </c>
      <c r="G146" s="367"/>
      <c r="H146" s="368">
        <f t="shared" si="26"/>
        <v>3.99</v>
      </c>
      <c r="I146" s="368">
        <f>0.25</f>
        <v>0.25</v>
      </c>
      <c r="J146" s="368" t="str">
        <f>VLOOKUP(B146,TH!B140:J472,9,FALSE)</f>
        <v>Giảng viên Khoa KHCB</v>
      </c>
      <c r="K146" s="369">
        <f t="shared" si="27"/>
        <v>4.24</v>
      </c>
      <c r="L146" s="362">
        <f t="shared" si="28"/>
        <v>7632000</v>
      </c>
      <c r="M146" s="366" t="str">
        <f>VLOOKUP(B146,'[1]Gui chi Quynh'!$B$11:$E$400,4,FALSE)</f>
        <v>A3</v>
      </c>
      <c r="N146" s="494">
        <f t="shared" si="17"/>
        <v>9158400</v>
      </c>
      <c r="O146" s="376">
        <v>21</v>
      </c>
      <c r="P146" s="440">
        <f>IFERROR(INDEX('[2]CN BC'!$J$10:$J$276,MATCH(B146,'[2]CN BC'!$H$10:$H$276,0)),"")</f>
        <v>23</v>
      </c>
      <c r="Q146" s="494">
        <f t="shared" si="18"/>
        <v>9158400</v>
      </c>
      <c r="R146" s="392"/>
      <c r="S146" s="362">
        <f t="shared" si="25"/>
        <v>0</v>
      </c>
      <c r="T146" s="370"/>
      <c r="U146" s="362">
        <f t="shared" si="19"/>
        <v>0</v>
      </c>
      <c r="V146" s="584">
        <f t="shared" si="20"/>
        <v>76320</v>
      </c>
      <c r="W146" s="584"/>
      <c r="X146" s="371">
        <f t="shared" si="21"/>
        <v>9158400</v>
      </c>
      <c r="Y146" s="846">
        <f t="shared" si="22"/>
        <v>5.0880000000000001</v>
      </c>
      <c r="Z146" s="491">
        <v>1800000</v>
      </c>
      <c r="AA146" s="662">
        <f t="shared" si="23"/>
        <v>9158400</v>
      </c>
      <c r="AB146" s="568">
        <f t="shared" si="24"/>
        <v>117</v>
      </c>
      <c r="AC146" s="493">
        <f>IFERROR(INDEX('[2]CN BC'!$M$10:$M$276,MATCH(B146,'[2]CN BC'!$H$10:$H$276,0)),"")</f>
        <v>0</v>
      </c>
      <c r="AD146" s="522" t="s">
        <v>1126</v>
      </c>
      <c r="AE146" s="108"/>
      <c r="AF146" s="108"/>
      <c r="AG146" s="155"/>
      <c r="AH146" s="108"/>
      <c r="AI146" s="108"/>
      <c r="AJ146" s="108"/>
      <c r="AK146" s="108"/>
      <c r="AL146" s="108"/>
      <c r="AM146" s="108"/>
      <c r="AN146" s="108"/>
      <c r="AO146" s="108"/>
      <c r="AP146" s="108"/>
      <c r="AQ146" s="108"/>
    </row>
    <row r="147" spans="1:43" s="372" customFormat="1" ht="30" customHeight="1">
      <c r="A147" s="379">
        <f>_xlfn.AGGREGATE(4,7,A$29:A146)+1</f>
        <v>118</v>
      </c>
      <c r="B147" s="363" t="s">
        <v>1491</v>
      </c>
      <c r="C147" s="364" t="s">
        <v>1206</v>
      </c>
      <c r="D147" s="434" t="s">
        <v>1712</v>
      </c>
      <c r="E147" s="423" t="s">
        <v>1323</v>
      </c>
      <c r="F147" s="373">
        <v>4.32</v>
      </c>
      <c r="G147" s="367"/>
      <c r="H147" s="368">
        <f t="shared" si="26"/>
        <v>4.32</v>
      </c>
      <c r="I147" s="368"/>
      <c r="J147" s="368" t="str">
        <f>VLOOKUP(B147,TH!B141:J473,9,FALSE)</f>
        <v>Giảng viên khoa KHCB</v>
      </c>
      <c r="K147" s="369">
        <f t="shared" si="27"/>
        <v>4.32</v>
      </c>
      <c r="L147" s="362">
        <f t="shared" si="28"/>
        <v>7776000.0000000009</v>
      </c>
      <c r="M147" s="366" t="str">
        <f>VLOOKUP(B147,'[1]Gui chi Quynh'!$B$11:$E$400,4,FALSE)</f>
        <v>A3</v>
      </c>
      <c r="N147" s="494">
        <f t="shared" si="17"/>
        <v>9331200</v>
      </c>
      <c r="O147" s="376">
        <v>21</v>
      </c>
      <c r="P147" s="440">
        <f>IFERROR(INDEX('[2]CN BC'!$J$10:$J$276,MATCH(B147,'[2]CN BC'!$H$10:$H$276,0)),"")</f>
        <v>23</v>
      </c>
      <c r="Q147" s="494">
        <f t="shared" si="18"/>
        <v>9331200</v>
      </c>
      <c r="R147" s="460">
        <v>0</v>
      </c>
      <c r="S147" s="362">
        <f>R147*$G$26*0.8</f>
        <v>0</v>
      </c>
      <c r="T147" s="370"/>
      <c r="U147" s="362">
        <f t="shared" si="19"/>
        <v>0</v>
      </c>
      <c r="V147" s="584">
        <f t="shared" si="20"/>
        <v>77760</v>
      </c>
      <c r="W147" s="584"/>
      <c r="X147" s="371">
        <f t="shared" si="21"/>
        <v>9331200</v>
      </c>
      <c r="Y147" s="846">
        <f t="shared" si="22"/>
        <v>5.1840000000000002</v>
      </c>
      <c r="Z147" s="491">
        <v>1800000</v>
      </c>
      <c r="AA147" s="662">
        <f t="shared" si="23"/>
        <v>9331200</v>
      </c>
      <c r="AB147" s="568">
        <f t="shared" si="24"/>
        <v>118</v>
      </c>
      <c r="AC147" s="493">
        <f>IFERROR(INDEX('[2]CN BC'!$M$10:$M$276,MATCH(B147,'[2]CN BC'!$H$10:$H$276,0)),"")</f>
        <v>0</v>
      </c>
      <c r="AD147" s="522" t="s">
        <v>1127</v>
      </c>
      <c r="AE147" s="108"/>
      <c r="AF147" s="108"/>
      <c r="AG147" s="155"/>
      <c r="AH147" s="108"/>
      <c r="AI147" s="108"/>
      <c r="AJ147" s="108"/>
      <c r="AK147" s="108"/>
      <c r="AL147" s="108"/>
      <c r="AM147" s="108"/>
    </row>
    <row r="148" spans="1:43" s="372" customFormat="1" ht="30" customHeight="1">
      <c r="A148" s="379">
        <f>_xlfn.AGGREGATE(4,7,A$29:A147)+1</f>
        <v>119</v>
      </c>
      <c r="B148" s="363" t="s">
        <v>845</v>
      </c>
      <c r="C148" s="364" t="s">
        <v>992</v>
      </c>
      <c r="D148" s="434" t="s">
        <v>1713</v>
      </c>
      <c r="E148" s="423" t="s">
        <v>1324</v>
      </c>
      <c r="F148" s="373">
        <v>3.99</v>
      </c>
      <c r="G148" s="367"/>
      <c r="H148" s="368">
        <f t="shared" si="26"/>
        <v>3.99</v>
      </c>
      <c r="I148" s="368"/>
      <c r="J148" s="368" t="str">
        <f>VLOOKUP(B148,TH!B142:J474,9,FALSE)</f>
        <v>Giảng viên khoa KHCB</v>
      </c>
      <c r="K148" s="369">
        <f t="shared" si="27"/>
        <v>3.99</v>
      </c>
      <c r="L148" s="362">
        <f t="shared" si="28"/>
        <v>7182000</v>
      </c>
      <c r="M148" s="366" t="str">
        <f>VLOOKUP(B148,'[1]Gui chi Quynh'!$B$11:$E$400,4,FALSE)</f>
        <v>A1</v>
      </c>
      <c r="N148" s="494">
        <f t="shared" si="17"/>
        <v>11491200</v>
      </c>
      <c r="O148" s="376">
        <v>21</v>
      </c>
      <c r="P148" s="440">
        <f>IFERROR(INDEX('[2]CN BC'!$J$10:$J$276,MATCH(B148,'[2]CN BC'!$H$10:$H$276,0)),"")</f>
        <v>22</v>
      </c>
      <c r="Q148" s="494">
        <f t="shared" si="18"/>
        <v>11491200</v>
      </c>
      <c r="R148" s="392"/>
      <c r="S148" s="362">
        <f t="shared" ref="S148:S211" si="29">R148*$G$26*1</f>
        <v>0</v>
      </c>
      <c r="T148" s="370"/>
      <c r="U148" s="362">
        <f t="shared" si="19"/>
        <v>0</v>
      </c>
      <c r="V148" s="584">
        <f t="shared" si="20"/>
        <v>71820</v>
      </c>
      <c r="W148" s="584"/>
      <c r="X148" s="371">
        <f t="shared" si="21"/>
        <v>11491200</v>
      </c>
      <c r="Y148" s="846">
        <f t="shared" si="22"/>
        <v>6.3840000000000003</v>
      </c>
      <c r="Z148" s="491">
        <v>1800000</v>
      </c>
      <c r="AA148" s="662">
        <f t="shared" si="23"/>
        <v>11491200</v>
      </c>
      <c r="AB148" s="568">
        <f t="shared" si="24"/>
        <v>119</v>
      </c>
      <c r="AC148" s="493">
        <f>IFERROR(INDEX('[2]CN BC'!$M$10:$M$276,MATCH(B148,'[2]CN BC'!$H$10:$H$276,0)),"")</f>
        <v>0</v>
      </c>
      <c r="AD148" s="522" t="s">
        <v>1131</v>
      </c>
      <c r="AE148" s="108"/>
      <c r="AF148" s="108"/>
      <c r="AG148" s="155"/>
      <c r="AH148" s="108"/>
      <c r="AI148" s="108"/>
      <c r="AJ148" s="108"/>
      <c r="AK148" s="108"/>
      <c r="AL148" s="108"/>
      <c r="AM148" s="108"/>
    </row>
    <row r="149" spans="1:43" s="372" customFormat="1" ht="41.25" customHeight="1">
      <c r="A149" s="379">
        <f>_xlfn.AGGREGATE(4,7,A$29:A148)+1</f>
        <v>120</v>
      </c>
      <c r="B149" s="363" t="s">
        <v>1492</v>
      </c>
      <c r="C149" s="364" t="s">
        <v>889</v>
      </c>
      <c r="D149" s="406" t="s">
        <v>1714</v>
      </c>
      <c r="E149" s="194" t="s">
        <v>1938</v>
      </c>
      <c r="F149" s="373">
        <v>3.99</v>
      </c>
      <c r="G149" s="367"/>
      <c r="H149" s="368">
        <f t="shared" si="26"/>
        <v>3.99</v>
      </c>
      <c r="I149" s="368"/>
      <c r="J149" s="368" t="str">
        <f>VLOOKUP(B149,TH!B143:J475,9,FALSE)</f>
        <v>Giảng viên khoa KHCB</v>
      </c>
      <c r="K149" s="369">
        <f t="shared" si="27"/>
        <v>3.99</v>
      </c>
      <c r="L149" s="362">
        <f t="shared" si="28"/>
        <v>7182000</v>
      </c>
      <c r="M149" s="366" t="str">
        <f>VLOOKUP(B149,'[1]Gui chi Quynh'!$B$11:$E$400,4,FALSE)</f>
        <v>A2</v>
      </c>
      <c r="N149" s="494">
        <f t="shared" si="17"/>
        <v>10054800</v>
      </c>
      <c r="O149" s="376">
        <v>21</v>
      </c>
      <c r="P149" s="440">
        <f>IFERROR(INDEX('[2]CN BC'!$J$10:$J$276,MATCH(B149,'[2]CN BC'!$H$10:$H$276,0)),"")</f>
        <v>24</v>
      </c>
      <c r="Q149" s="494">
        <f t="shared" si="18"/>
        <v>10054800</v>
      </c>
      <c r="R149" s="392"/>
      <c r="S149" s="362">
        <f t="shared" si="29"/>
        <v>0</v>
      </c>
      <c r="T149" s="385"/>
      <c r="U149" s="362">
        <f t="shared" si="19"/>
        <v>0</v>
      </c>
      <c r="V149" s="584">
        <f t="shared" si="20"/>
        <v>71820</v>
      </c>
      <c r="W149" s="584"/>
      <c r="X149" s="371">
        <f t="shared" si="21"/>
        <v>10054800</v>
      </c>
      <c r="Y149" s="846">
        <f t="shared" si="22"/>
        <v>5.5860000000000003</v>
      </c>
      <c r="Z149" s="491">
        <v>1800000</v>
      </c>
      <c r="AA149" s="662">
        <f t="shared" si="23"/>
        <v>10054800</v>
      </c>
      <c r="AB149" s="568">
        <f t="shared" si="24"/>
        <v>120</v>
      </c>
      <c r="AC149" s="493" t="str">
        <f>IFERROR(INDEX('[2]CN BC'!$M$10:$M$276,MATCH(B149,'[2]CN BC'!$H$10:$H$276,0)),"")</f>
        <v>Hỗ trợ giải bóng đá do công đoàn ngành GD tổ chức</v>
      </c>
      <c r="AD149" s="522" t="s">
        <v>1132</v>
      </c>
      <c r="AE149" s="108"/>
      <c r="AF149" s="108"/>
      <c r="AG149" s="155"/>
      <c r="AH149" s="108"/>
      <c r="AI149" s="108"/>
      <c r="AJ149" s="108"/>
      <c r="AK149" s="108"/>
      <c r="AL149" s="108"/>
      <c r="AM149" s="108"/>
      <c r="AN149" s="108"/>
      <c r="AO149" s="108"/>
      <c r="AP149" s="108"/>
      <c r="AQ149" s="108"/>
    </row>
    <row r="150" spans="1:43" s="372" customFormat="1" ht="31.5" customHeight="1">
      <c r="A150" s="379">
        <f>_xlfn.AGGREGATE(4,7,A$29:A149)+1</f>
        <v>121</v>
      </c>
      <c r="B150" s="363" t="s">
        <v>1558</v>
      </c>
      <c r="C150" s="364"/>
      <c r="D150" s="434" t="s">
        <v>1715</v>
      </c>
      <c r="E150" s="423" t="s">
        <v>21</v>
      </c>
      <c r="F150" s="373">
        <v>4.32</v>
      </c>
      <c r="G150" s="367"/>
      <c r="H150" s="368">
        <f t="shared" si="26"/>
        <v>4.32</v>
      </c>
      <c r="I150" s="368"/>
      <c r="J150" s="368" t="str">
        <f>VLOOKUP(B150,TH!B144:J476,9,FALSE)</f>
        <v>Giảng viên khoa KHCB</v>
      </c>
      <c r="K150" s="369">
        <f t="shared" si="27"/>
        <v>4.32</v>
      </c>
      <c r="L150" s="362">
        <f t="shared" si="28"/>
        <v>7776000.0000000009</v>
      </c>
      <c r="M150" s="366" t="str">
        <f>VLOOKUP(B150,'[1]Gui chi Quynh'!$B$11:$E$400,4,FALSE)</f>
        <v>A3</v>
      </c>
      <c r="N150" s="494">
        <f t="shared" si="17"/>
        <v>9331200</v>
      </c>
      <c r="O150" s="376">
        <v>21</v>
      </c>
      <c r="P150" s="440">
        <f>IFERROR(INDEX('[2]CN BC'!$J$10:$J$276,MATCH(B150,'[2]CN BC'!$H$10:$H$276,0)),"")</f>
        <v>23</v>
      </c>
      <c r="Q150" s="494">
        <f t="shared" si="18"/>
        <v>9331200</v>
      </c>
      <c r="R150" s="392"/>
      <c r="S150" s="362">
        <f t="shared" si="29"/>
        <v>0</v>
      </c>
      <c r="T150" s="370"/>
      <c r="U150" s="362">
        <f t="shared" si="19"/>
        <v>0</v>
      </c>
      <c r="V150" s="584">
        <f t="shared" si="20"/>
        <v>77760</v>
      </c>
      <c r="W150" s="584"/>
      <c r="X150" s="371">
        <f t="shared" si="21"/>
        <v>9331200</v>
      </c>
      <c r="Y150" s="846">
        <f t="shared" si="22"/>
        <v>5.1840000000000002</v>
      </c>
      <c r="Z150" s="491">
        <v>1800000</v>
      </c>
      <c r="AA150" s="662">
        <f t="shared" si="23"/>
        <v>9331200</v>
      </c>
      <c r="AB150" s="568">
        <f t="shared" si="24"/>
        <v>121</v>
      </c>
      <c r="AC150" s="493">
        <f>IFERROR(INDEX('[2]CN BC'!$M$10:$M$276,MATCH(B150,'[2]CN BC'!$H$10:$H$276,0)),"")</f>
        <v>0</v>
      </c>
      <c r="AD150" s="522" t="s">
        <v>1133</v>
      </c>
      <c r="AE150" s="108"/>
      <c r="AF150" s="108"/>
      <c r="AG150" s="155"/>
      <c r="AH150" s="108"/>
      <c r="AI150" s="108"/>
      <c r="AJ150" s="108"/>
      <c r="AK150" s="108"/>
      <c r="AL150" s="108"/>
      <c r="AM150" s="108"/>
    </row>
    <row r="151" spans="1:43" s="372" customFormat="1" ht="31.5" customHeight="1">
      <c r="A151" s="379">
        <f>_xlfn.AGGREGATE(4,7,A$29:A150)+1</f>
        <v>122</v>
      </c>
      <c r="B151" s="363" t="s">
        <v>1493</v>
      </c>
      <c r="C151" s="364" t="s">
        <v>874</v>
      </c>
      <c r="D151" s="434" t="s">
        <v>1716</v>
      </c>
      <c r="E151" s="423" t="s">
        <v>1330</v>
      </c>
      <c r="F151" s="366">
        <v>4.6500000000000004</v>
      </c>
      <c r="G151" s="367"/>
      <c r="H151" s="368">
        <f t="shared" si="26"/>
        <v>4.6500000000000004</v>
      </c>
      <c r="I151" s="368"/>
      <c r="J151" s="368" t="str">
        <f>VLOOKUP(B151,TH!B145:J477,9,FALSE)</f>
        <v>Giảng viên khoa Ngoại ngữ</v>
      </c>
      <c r="K151" s="369">
        <f t="shared" si="27"/>
        <v>4.6500000000000004</v>
      </c>
      <c r="L151" s="362">
        <f t="shared" si="28"/>
        <v>8370000.0000000009</v>
      </c>
      <c r="M151" s="366" t="str">
        <f>VLOOKUP(B151,'[1]Gui chi Quynh'!$B$11:$E$400,4,FALSE)</f>
        <v>A2</v>
      </c>
      <c r="N151" s="494">
        <f t="shared" si="17"/>
        <v>11718000</v>
      </c>
      <c r="O151" s="376">
        <v>21</v>
      </c>
      <c r="P151" s="440">
        <f>IFERROR(INDEX('[2]CN BC'!$J$10:$J$276,MATCH(B151,'[2]CN BC'!$H$10:$H$276,0)),"")</f>
        <v>21</v>
      </c>
      <c r="Q151" s="494">
        <f t="shared" si="18"/>
        <v>11718000</v>
      </c>
      <c r="R151" s="460"/>
      <c r="S151" s="362">
        <f t="shared" si="29"/>
        <v>0</v>
      </c>
      <c r="T151" s="370"/>
      <c r="U151" s="362">
        <f t="shared" si="19"/>
        <v>0</v>
      </c>
      <c r="V151" s="584">
        <f t="shared" si="20"/>
        <v>83700</v>
      </c>
      <c r="W151" s="584"/>
      <c r="X151" s="371">
        <f t="shared" si="21"/>
        <v>11718000</v>
      </c>
      <c r="Y151" s="846">
        <f t="shared" si="22"/>
        <v>6.51</v>
      </c>
      <c r="Z151" s="491">
        <v>1800000</v>
      </c>
      <c r="AA151" s="662">
        <f t="shared" si="23"/>
        <v>11718000</v>
      </c>
      <c r="AB151" s="568">
        <f t="shared" si="24"/>
        <v>122</v>
      </c>
      <c r="AC151" s="493">
        <f>IFERROR(INDEX('[2]CN BC'!$M$10:$M$276,MATCH(B151,'[2]CN BC'!$H$10:$H$276,0)),"")</f>
        <v>0</v>
      </c>
      <c r="AD151" s="522" t="s">
        <v>1142</v>
      </c>
      <c r="AE151" s="108"/>
      <c r="AF151" s="108"/>
      <c r="AG151" s="155"/>
    </row>
    <row r="152" spans="1:43" s="372" customFormat="1" ht="31.5" customHeight="1">
      <c r="A152" s="379">
        <f>_xlfn.AGGREGATE(4,7,A$29:A151)+1</f>
        <v>123</v>
      </c>
      <c r="B152" s="363" t="s">
        <v>1874</v>
      </c>
      <c r="C152" s="364" t="s">
        <v>986</v>
      </c>
      <c r="D152" s="434" t="s">
        <v>1717</v>
      </c>
      <c r="E152" s="423" t="s">
        <v>1331</v>
      </c>
      <c r="F152" s="366">
        <v>4.6500000000000004</v>
      </c>
      <c r="G152" s="367"/>
      <c r="H152" s="368">
        <f t="shared" si="26"/>
        <v>4.6500000000000004</v>
      </c>
      <c r="I152" s="368"/>
      <c r="J152" s="368" t="str">
        <f>VLOOKUP(B152,TH!B146:J478,9,FALSE)</f>
        <v>Giảng viên khoa Ngoại ngữ</v>
      </c>
      <c r="K152" s="369">
        <f t="shared" si="27"/>
        <v>4.6500000000000004</v>
      </c>
      <c r="L152" s="362">
        <f t="shared" si="28"/>
        <v>8370000.0000000009</v>
      </c>
      <c r="M152" s="366" t="str">
        <f>VLOOKUP(B152,'[1]Gui chi Quynh'!$B$11:$E$400,4,FALSE)</f>
        <v>A3</v>
      </c>
      <c r="N152" s="494">
        <f t="shared" si="17"/>
        <v>10044000</v>
      </c>
      <c r="O152" s="376">
        <v>21</v>
      </c>
      <c r="P152" s="440">
        <f>IFERROR(INDEX('[2]CN BC'!$J$10:$J$276,MATCH(B152,'[2]CN BC'!$H$10:$H$276,0)),"")</f>
        <v>21</v>
      </c>
      <c r="Q152" s="494">
        <f t="shared" si="18"/>
        <v>10044000</v>
      </c>
      <c r="R152" s="460"/>
      <c r="S152" s="362">
        <f t="shared" si="29"/>
        <v>0</v>
      </c>
      <c r="T152" s="370"/>
      <c r="U152" s="362">
        <f t="shared" si="19"/>
        <v>0</v>
      </c>
      <c r="V152" s="584">
        <f t="shared" si="20"/>
        <v>83700</v>
      </c>
      <c r="W152" s="584"/>
      <c r="X152" s="371">
        <f t="shared" si="21"/>
        <v>10044000</v>
      </c>
      <c r="Y152" s="846">
        <f t="shared" si="22"/>
        <v>5.58</v>
      </c>
      <c r="Z152" s="491">
        <v>1800000</v>
      </c>
      <c r="AA152" s="662">
        <f t="shared" si="23"/>
        <v>10044000</v>
      </c>
      <c r="AB152" s="568">
        <f t="shared" si="24"/>
        <v>123</v>
      </c>
      <c r="AC152" s="493">
        <f>IFERROR(INDEX('[2]CN BC'!$M$10:$M$276,MATCH(B152,'[2]CN BC'!$H$10:$H$276,0)),"")</f>
        <v>0</v>
      </c>
      <c r="AD152" s="522" t="s">
        <v>1143</v>
      </c>
      <c r="AE152" s="108"/>
      <c r="AF152" s="108"/>
      <c r="AG152" s="155"/>
      <c r="AH152" s="108"/>
      <c r="AI152" s="108"/>
      <c r="AJ152" s="108"/>
      <c r="AK152" s="108"/>
      <c r="AL152" s="108"/>
      <c r="AM152" s="108"/>
    </row>
    <row r="153" spans="1:43" s="372" customFormat="1" ht="31.5" customHeight="1">
      <c r="A153" s="379">
        <f>_xlfn.AGGREGATE(4,7,A$29:A152)+1</f>
        <v>124</v>
      </c>
      <c r="B153" s="363" t="s">
        <v>1875</v>
      </c>
      <c r="C153" s="364" t="s">
        <v>987</v>
      </c>
      <c r="D153" s="434" t="s">
        <v>1718</v>
      </c>
      <c r="E153" s="423" t="s">
        <v>1332</v>
      </c>
      <c r="F153" s="366">
        <v>4.6500000000000004</v>
      </c>
      <c r="G153" s="367"/>
      <c r="H153" s="368">
        <f t="shared" si="26"/>
        <v>4.6500000000000004</v>
      </c>
      <c r="I153" s="368"/>
      <c r="J153" s="368" t="str">
        <f>VLOOKUP(B153,TH!B147:J479,9,FALSE)</f>
        <v>Giảng viên khoa Ngoại ngữ</v>
      </c>
      <c r="K153" s="369">
        <f t="shared" si="27"/>
        <v>4.6500000000000004</v>
      </c>
      <c r="L153" s="362">
        <f t="shared" si="28"/>
        <v>8370000.0000000009</v>
      </c>
      <c r="M153" s="366" t="str">
        <f>VLOOKUP(B153,'[1]Gui chi Quynh'!$B$11:$E$400,4,FALSE)</f>
        <v>A3</v>
      </c>
      <c r="N153" s="494">
        <f t="shared" si="17"/>
        <v>10044000</v>
      </c>
      <c r="O153" s="376">
        <v>21</v>
      </c>
      <c r="P153" s="440">
        <f>IFERROR(INDEX('[2]CN BC'!$J$10:$J$276,MATCH(B153,'[2]CN BC'!$H$10:$H$276,0)),"")</f>
        <v>21</v>
      </c>
      <c r="Q153" s="494">
        <f t="shared" si="18"/>
        <v>10044000</v>
      </c>
      <c r="R153" s="460"/>
      <c r="S153" s="362">
        <f t="shared" si="29"/>
        <v>0</v>
      </c>
      <c r="T153" s="370"/>
      <c r="U153" s="362">
        <f t="shared" si="19"/>
        <v>0</v>
      </c>
      <c r="V153" s="584">
        <f t="shared" si="20"/>
        <v>83700</v>
      </c>
      <c r="W153" s="584"/>
      <c r="X153" s="371">
        <f t="shared" si="21"/>
        <v>10044000</v>
      </c>
      <c r="Y153" s="846">
        <f t="shared" si="22"/>
        <v>5.58</v>
      </c>
      <c r="Z153" s="491">
        <v>1800000</v>
      </c>
      <c r="AA153" s="662">
        <f t="shared" si="23"/>
        <v>10044000</v>
      </c>
      <c r="AB153" s="568">
        <f t="shared" si="24"/>
        <v>124</v>
      </c>
      <c r="AC153" s="493">
        <f>IFERROR(INDEX('[2]CN BC'!$M$10:$M$276,MATCH(B153,'[2]CN BC'!$H$10:$H$276,0)),"")</f>
        <v>0</v>
      </c>
      <c r="AD153" s="522" t="s">
        <v>1144</v>
      </c>
      <c r="AE153" s="108"/>
      <c r="AF153" s="108"/>
      <c r="AG153" s="155"/>
    </row>
    <row r="154" spans="1:43" s="372" customFormat="1" ht="31.5" customHeight="1">
      <c r="A154" s="379">
        <f>_xlfn.AGGREGATE(4,7,A$29:A153)+1</f>
        <v>125</v>
      </c>
      <c r="B154" s="363" t="s">
        <v>1494</v>
      </c>
      <c r="C154" s="364" t="s">
        <v>967</v>
      </c>
      <c r="D154" s="434" t="s">
        <v>1719</v>
      </c>
      <c r="E154" s="423" t="s">
        <v>1333</v>
      </c>
      <c r="F154" s="373">
        <v>3.99</v>
      </c>
      <c r="G154" s="367"/>
      <c r="H154" s="368">
        <f t="shared" si="26"/>
        <v>3.99</v>
      </c>
      <c r="I154" s="368"/>
      <c r="J154" s="368" t="str">
        <f>VLOOKUP(B154,TH!B148:J480,9,FALSE)</f>
        <v>Giảng viên khoa Ngoại ngữ</v>
      </c>
      <c r="K154" s="369">
        <f t="shared" si="27"/>
        <v>3.99</v>
      </c>
      <c r="L154" s="362">
        <f t="shared" si="28"/>
        <v>7182000</v>
      </c>
      <c r="M154" s="366" t="str">
        <f>VLOOKUP(B154,'[1]Gui chi Quynh'!$B$11:$E$400,4,FALSE)</f>
        <v>A4</v>
      </c>
      <c r="N154" s="494">
        <f t="shared" si="17"/>
        <v>7182000</v>
      </c>
      <c r="O154" s="376">
        <v>21</v>
      </c>
      <c r="P154" s="440">
        <f>IFERROR(INDEX('[2]CN BC'!$J$10:$J$276,MATCH(B154,'[2]CN BC'!$H$10:$H$276,0)),"")</f>
        <v>21</v>
      </c>
      <c r="Q154" s="494">
        <f t="shared" si="18"/>
        <v>7182000</v>
      </c>
      <c r="R154" s="460"/>
      <c r="S154" s="362">
        <f t="shared" si="29"/>
        <v>0</v>
      </c>
      <c r="T154" s="370"/>
      <c r="U154" s="362">
        <f t="shared" si="19"/>
        <v>0</v>
      </c>
      <c r="V154" s="584">
        <f t="shared" si="20"/>
        <v>71820</v>
      </c>
      <c r="W154" s="584"/>
      <c r="X154" s="371">
        <f t="shared" si="21"/>
        <v>7182000</v>
      </c>
      <c r="Y154" s="846">
        <f t="shared" si="22"/>
        <v>3.99</v>
      </c>
      <c r="Z154" s="491">
        <v>1800000</v>
      </c>
      <c r="AA154" s="662">
        <f t="shared" si="23"/>
        <v>7182000</v>
      </c>
      <c r="AB154" s="568">
        <f t="shared" si="24"/>
        <v>125</v>
      </c>
      <c r="AC154" s="493">
        <f>IFERROR(INDEX('[2]CN BC'!$M$10:$M$276,MATCH(B154,'[2]CN BC'!$H$10:$H$276,0)),"")</f>
        <v>0</v>
      </c>
      <c r="AD154" s="522" t="s">
        <v>1145</v>
      </c>
      <c r="AE154" s="108"/>
      <c r="AF154" s="108"/>
      <c r="AG154" s="155"/>
      <c r="AH154" s="108"/>
      <c r="AI154" s="108"/>
      <c r="AJ154" s="108"/>
      <c r="AK154" s="108"/>
      <c r="AL154" s="108"/>
      <c r="AM154" s="108"/>
    </row>
    <row r="155" spans="1:43" s="372" customFormat="1" ht="31.5" customHeight="1">
      <c r="A155" s="379">
        <f>_xlfn.AGGREGATE(4,7,A$29:A154)+1</f>
        <v>126</v>
      </c>
      <c r="B155" s="363" t="s">
        <v>1495</v>
      </c>
      <c r="C155" s="364" t="s">
        <v>1200</v>
      </c>
      <c r="D155" s="434" t="s">
        <v>1720</v>
      </c>
      <c r="E155" s="423" t="s">
        <v>1335</v>
      </c>
      <c r="F155" s="366">
        <v>4.9800000000000004</v>
      </c>
      <c r="G155" s="367"/>
      <c r="H155" s="368">
        <f t="shared" si="26"/>
        <v>4.9800000000000004</v>
      </c>
      <c r="I155" s="368"/>
      <c r="J155" s="368" t="str">
        <f>VLOOKUP(B155,TH!B149:J481,9,FALSE)</f>
        <v>Giảng viên khoa Ngoại ngữ</v>
      </c>
      <c r="K155" s="369">
        <f t="shared" si="27"/>
        <v>4.9800000000000004</v>
      </c>
      <c r="L155" s="362">
        <f t="shared" si="28"/>
        <v>8964000</v>
      </c>
      <c r="M155" s="366" t="str">
        <f>VLOOKUP(B155,'[1]Gui chi Quynh'!$B$11:$E$400,4,FALSE)</f>
        <v>A4</v>
      </c>
      <c r="N155" s="494">
        <f t="shared" ref="N155:N218" si="30">IF(M155="A1",L155*1.6,IF(M155="A2",L155*1.4,IF(M155="A3",L155*1.2,IF(M155="A4",L155*1,IF(M155="B1",L155*0.7,IF(M155="B2",L155*0.5,IF(M155="C1",L155*0.3,IF(M155="C2",L155*0.2,0))))))))</f>
        <v>8964000</v>
      </c>
      <c r="O155" s="376">
        <v>21</v>
      </c>
      <c r="P155" s="440">
        <f>IFERROR(INDEX('[2]CN BC'!$J$10:$J$276,MATCH(B155,'[2]CN BC'!$H$10:$H$276,0)),"")</f>
        <v>21</v>
      </c>
      <c r="Q155" s="494">
        <f t="shared" ref="Q155" si="31">IF(P155&gt;=O155,N155,N155/O155*P155)</f>
        <v>8964000</v>
      </c>
      <c r="R155" s="460"/>
      <c r="S155" s="362">
        <f t="shared" si="29"/>
        <v>0</v>
      </c>
      <c r="T155" s="370"/>
      <c r="U155" s="362">
        <f t="shared" ref="U155" si="32">T155*$G$26*1</f>
        <v>0</v>
      </c>
      <c r="V155" s="584">
        <f t="shared" ref="V155:V218" si="33">IF(OR(M155="A DN",M155="KXL", M155=""),"0",ROUND(K155*0.01*$G$26+R155*1%*$G$26+T155*1%*$G$26,))</f>
        <v>89640</v>
      </c>
      <c r="W155" s="584"/>
      <c r="X155" s="371">
        <f t="shared" si="21"/>
        <v>8964000</v>
      </c>
      <c r="Y155" s="846">
        <f t="shared" si="22"/>
        <v>4.9800000000000004</v>
      </c>
      <c r="Z155" s="491">
        <v>1800000</v>
      </c>
      <c r="AA155" s="662">
        <f t="shared" si="23"/>
        <v>8964000</v>
      </c>
      <c r="AB155" s="568">
        <f t="shared" si="24"/>
        <v>126</v>
      </c>
      <c r="AC155" s="493">
        <f>IFERROR(INDEX('[2]CN BC'!$M$10:$M$276,MATCH(B155,'[2]CN BC'!$H$10:$H$276,0)),"")</f>
        <v>0</v>
      </c>
      <c r="AD155" s="522" t="s">
        <v>1146</v>
      </c>
      <c r="AE155" s="108"/>
      <c r="AF155" s="108"/>
      <c r="AG155" s="155"/>
      <c r="AH155" s="108"/>
      <c r="AI155" s="108"/>
      <c r="AJ155" s="108"/>
      <c r="AK155" s="108"/>
      <c r="AL155" s="108"/>
      <c r="AM155" s="108"/>
    </row>
    <row r="156" spans="1:43" s="372" customFormat="1" ht="31.5" customHeight="1">
      <c r="A156" s="379">
        <f>_xlfn.AGGREGATE(4,7,A$29:A155)+1</f>
        <v>127</v>
      </c>
      <c r="B156" s="363" t="s">
        <v>1876</v>
      </c>
      <c r="C156" s="364" t="s">
        <v>448</v>
      </c>
      <c r="D156" s="434" t="s">
        <v>1721</v>
      </c>
      <c r="E156" s="423" t="s">
        <v>504</v>
      </c>
      <c r="F156" s="373">
        <v>3.99</v>
      </c>
      <c r="G156" s="367"/>
      <c r="H156" s="368">
        <f t="shared" si="26"/>
        <v>3.99</v>
      </c>
      <c r="I156" s="368"/>
      <c r="J156" s="368" t="str">
        <f>VLOOKUP(B156,TH!B150:J482,9,FALSE)</f>
        <v>Giảng viên khoa Ngoại ngữ</v>
      </c>
      <c r="K156" s="369">
        <f t="shared" si="27"/>
        <v>3.99</v>
      </c>
      <c r="L156" s="362">
        <f t="shared" si="28"/>
        <v>7182000</v>
      </c>
      <c r="M156" s="366" t="str">
        <f>VLOOKUP(B156,'[1]Gui chi Quynh'!$B$11:$E$400,4,FALSE)</f>
        <v>A4</v>
      </c>
      <c r="N156" s="494">
        <f t="shared" si="30"/>
        <v>7182000</v>
      </c>
      <c r="O156" s="376">
        <v>21</v>
      </c>
      <c r="P156" s="440">
        <f>IFERROR(INDEX('[2]CN BC'!$J$10:$J$276,MATCH(B156,'[2]CN BC'!$H$10:$H$276,0)),"")</f>
        <v>21</v>
      </c>
      <c r="Q156" s="494">
        <f>IF(P156&gt;=O156,N156,N156/O156*P156)</f>
        <v>7182000</v>
      </c>
      <c r="R156" s="460"/>
      <c r="S156" s="362">
        <f t="shared" si="29"/>
        <v>0</v>
      </c>
      <c r="T156" s="370"/>
      <c r="U156" s="362">
        <f>T156*$G$26*1</f>
        <v>0</v>
      </c>
      <c r="V156" s="584">
        <f t="shared" si="33"/>
        <v>71820</v>
      </c>
      <c r="W156" s="584"/>
      <c r="X156" s="371">
        <f t="shared" si="21"/>
        <v>7182000</v>
      </c>
      <c r="Y156" s="846">
        <f t="shared" ref="Y156:Y219" si="34">X156/Z156</f>
        <v>3.99</v>
      </c>
      <c r="Z156" s="491">
        <v>1800000</v>
      </c>
      <c r="AA156" s="662">
        <f t="shared" ref="AA156:AA219" si="35">Y156*Z156</f>
        <v>7182000</v>
      </c>
      <c r="AB156" s="568">
        <f t="shared" si="24"/>
        <v>127</v>
      </c>
      <c r="AC156" s="493">
        <f>IFERROR(INDEX('[2]CN BC'!$M$10:$M$276,MATCH(B156,'[2]CN BC'!$H$10:$H$276,0)),"")</f>
        <v>0</v>
      </c>
      <c r="AD156" s="522" t="s">
        <v>1147</v>
      </c>
      <c r="AE156" s="108"/>
      <c r="AF156" s="108"/>
      <c r="AG156" s="155"/>
      <c r="AH156" s="108"/>
      <c r="AI156" s="108"/>
      <c r="AJ156" s="108"/>
      <c r="AK156" s="108"/>
      <c r="AL156" s="108"/>
      <c r="AM156" s="108"/>
    </row>
    <row r="157" spans="1:43" s="372" customFormat="1" ht="31.5" customHeight="1">
      <c r="A157" s="379">
        <f>_xlfn.AGGREGATE(4,7,A$29:A156)+1</f>
        <v>128</v>
      </c>
      <c r="B157" s="363" t="s">
        <v>1496</v>
      </c>
      <c r="C157" s="364" t="s">
        <v>883</v>
      </c>
      <c r="D157" s="434" t="s">
        <v>1722</v>
      </c>
      <c r="E157" s="422" t="s">
        <v>1589</v>
      </c>
      <c r="F157" s="373">
        <v>3.33</v>
      </c>
      <c r="G157" s="367"/>
      <c r="H157" s="445">
        <f t="shared" si="26"/>
        <v>3.33</v>
      </c>
      <c r="I157" s="368">
        <v>0.45</v>
      </c>
      <c r="J157" s="368" t="str">
        <f>VLOOKUP(B157,TH!B151:J483,9,FALSE)</f>
        <v>Giảng viên khoa Ngoại ngữ</v>
      </c>
      <c r="K157" s="369">
        <f t="shared" si="27"/>
        <v>3.7800000000000002</v>
      </c>
      <c r="L157" s="362">
        <f t="shared" si="28"/>
        <v>6804000</v>
      </c>
      <c r="M157" s="366" t="str">
        <f>VLOOKUP(B157,'[1]Gui chi Quynh'!$B$11:$E$400,4,FALSE)</f>
        <v>A2</v>
      </c>
      <c r="N157" s="494">
        <f t="shared" si="30"/>
        <v>9525600</v>
      </c>
      <c r="O157" s="376">
        <v>21</v>
      </c>
      <c r="P157" s="440">
        <f>IFERROR(INDEX('[2]CN BC'!$J$10:$J$276,MATCH(B157,'[2]CN BC'!$H$10:$H$276,0)),"")</f>
        <v>21</v>
      </c>
      <c r="Q157" s="494">
        <f>IF(P157&gt;=O157,N157,N157/O157*P157)</f>
        <v>9525600</v>
      </c>
      <c r="R157" s="392"/>
      <c r="S157" s="362">
        <f t="shared" si="29"/>
        <v>0</v>
      </c>
      <c r="T157" s="370"/>
      <c r="U157" s="362">
        <f>T157*$G$26*1</f>
        <v>0</v>
      </c>
      <c r="V157" s="584">
        <f t="shared" si="33"/>
        <v>68040</v>
      </c>
      <c r="W157" s="584"/>
      <c r="X157" s="371">
        <f t="shared" si="21"/>
        <v>9525600</v>
      </c>
      <c r="Y157" s="846">
        <f t="shared" si="34"/>
        <v>5.2919999999999998</v>
      </c>
      <c r="Z157" s="491">
        <v>1800000</v>
      </c>
      <c r="AA157" s="662">
        <f t="shared" si="35"/>
        <v>9525600</v>
      </c>
      <c r="AB157" s="568">
        <f t="shared" si="24"/>
        <v>128</v>
      </c>
      <c r="AC157" s="493">
        <f>IFERROR(INDEX('[2]CN BC'!$M$10:$M$276,MATCH(B157,'[2]CN BC'!$H$10:$H$276,0)),"")</f>
        <v>0</v>
      </c>
      <c r="AD157" s="522" t="s">
        <v>1148</v>
      </c>
      <c r="AE157" s="108"/>
      <c r="AF157" s="108"/>
      <c r="AG157" s="155"/>
      <c r="AH157" s="108"/>
      <c r="AI157" s="108"/>
      <c r="AJ157" s="108"/>
      <c r="AK157" s="108"/>
      <c r="AL157" s="108"/>
      <c r="AM157" s="108"/>
    </row>
    <row r="158" spans="1:43" s="372" customFormat="1" ht="31.5" customHeight="1">
      <c r="A158" s="379">
        <f>_xlfn.AGGREGATE(4,7,A$29:A157)+1</f>
        <v>129</v>
      </c>
      <c r="B158" s="363" t="s">
        <v>1497</v>
      </c>
      <c r="C158" s="364" t="s">
        <v>1078</v>
      </c>
      <c r="D158" s="434" t="s">
        <v>1723</v>
      </c>
      <c r="E158" s="422" t="s">
        <v>1590</v>
      </c>
      <c r="F158" s="373">
        <v>3</v>
      </c>
      <c r="G158" s="367"/>
      <c r="H158" s="445">
        <f t="shared" si="26"/>
        <v>3</v>
      </c>
      <c r="I158" s="368"/>
      <c r="J158" s="368" t="str">
        <f>VLOOKUP(B158,TH!B152:J484,9,FALSE)</f>
        <v>Giảng viên khoa Ngoại ngữ</v>
      </c>
      <c r="K158" s="369">
        <f t="shared" si="27"/>
        <v>3</v>
      </c>
      <c r="L158" s="362">
        <f t="shared" si="28"/>
        <v>5400000</v>
      </c>
      <c r="M158" s="366" t="str">
        <f>VLOOKUP(B158,'[1]Gui chi Quynh'!$B$11:$E$400,4,FALSE)</f>
        <v>A3</v>
      </c>
      <c r="N158" s="494">
        <f t="shared" si="30"/>
        <v>6480000</v>
      </c>
      <c r="O158" s="376">
        <v>21</v>
      </c>
      <c r="P158" s="440">
        <f>IFERROR(INDEX('[2]CN BC'!$J$10:$J$276,MATCH(B158,'[2]CN BC'!$H$10:$H$276,0)),"")</f>
        <v>21</v>
      </c>
      <c r="Q158" s="494">
        <f t="shared" ref="Q158:Q221" si="36">IF(P158&gt;=O158,N158,N158/O158*P158)</f>
        <v>6480000</v>
      </c>
      <c r="R158" s="460"/>
      <c r="S158" s="362">
        <f t="shared" si="29"/>
        <v>0</v>
      </c>
      <c r="T158" s="370"/>
      <c r="U158" s="362">
        <f>T158*$G$26*1</f>
        <v>0</v>
      </c>
      <c r="V158" s="584">
        <f t="shared" si="33"/>
        <v>54000</v>
      </c>
      <c r="W158" s="584"/>
      <c r="X158" s="371">
        <f t="shared" si="21"/>
        <v>6480000</v>
      </c>
      <c r="Y158" s="846">
        <f t="shared" si="34"/>
        <v>3.6</v>
      </c>
      <c r="Z158" s="491">
        <v>1800000</v>
      </c>
      <c r="AA158" s="662">
        <f t="shared" si="35"/>
        <v>6480000</v>
      </c>
      <c r="AB158" s="568">
        <f t="shared" si="24"/>
        <v>129</v>
      </c>
      <c r="AC158" s="493">
        <f>IFERROR(INDEX('[2]CN BC'!$M$10:$M$276,MATCH(B158,'[2]CN BC'!$H$10:$H$276,0)),"")</f>
        <v>0</v>
      </c>
      <c r="AD158" s="522" t="s">
        <v>1149</v>
      </c>
      <c r="AE158" s="108"/>
      <c r="AF158" s="108"/>
      <c r="AG158" s="155"/>
      <c r="AH158" s="108"/>
      <c r="AI158" s="108"/>
      <c r="AJ158" s="108"/>
      <c r="AK158" s="108"/>
      <c r="AL158" s="108"/>
      <c r="AM158" s="108"/>
    </row>
    <row r="159" spans="1:43" s="372" customFormat="1" ht="31.5" customHeight="1">
      <c r="A159" s="379">
        <f>_xlfn.AGGREGATE(4,7,A$29:A158)+1</f>
        <v>130</v>
      </c>
      <c r="B159" s="363" t="s">
        <v>1929</v>
      </c>
      <c r="C159" s="364"/>
      <c r="D159" s="434" t="s">
        <v>1964</v>
      </c>
      <c r="E159" s="480" t="s">
        <v>1932</v>
      </c>
      <c r="F159" s="366">
        <v>2.34</v>
      </c>
      <c r="G159" s="367"/>
      <c r="H159" s="368">
        <f t="shared" si="26"/>
        <v>2.34</v>
      </c>
      <c r="I159" s="368"/>
      <c r="J159" s="368" t="str">
        <f>VLOOKUP(B159,TH!B153:J485,9,FALSE)</f>
        <v>Giảng viên khoa Ngoại ngữ</v>
      </c>
      <c r="K159" s="369">
        <f t="shared" si="27"/>
        <v>2.34</v>
      </c>
      <c r="L159" s="362">
        <f t="shared" si="28"/>
        <v>4212000</v>
      </c>
      <c r="M159" s="366" t="str">
        <f>VLOOKUP(B159,'[1]Gui chi Quynh'!$B$11:$E$400,4,FALSE)</f>
        <v>A3</v>
      </c>
      <c r="N159" s="494">
        <f t="shared" si="30"/>
        <v>5054400</v>
      </c>
      <c r="O159" s="376">
        <v>21</v>
      </c>
      <c r="P159" s="440">
        <f>IFERROR(INDEX('[2]CN BC'!$J$10:$J$276,MATCH(B159,'[2]CN BC'!$H$10:$H$276,0)),"")</f>
        <v>21</v>
      </c>
      <c r="Q159" s="494">
        <f t="shared" si="36"/>
        <v>5054400</v>
      </c>
      <c r="R159" s="460"/>
      <c r="S159" s="362">
        <f t="shared" si="29"/>
        <v>0</v>
      </c>
      <c r="T159" s="370"/>
      <c r="U159" s="362">
        <f>T159*$G$26*1</f>
        <v>0</v>
      </c>
      <c r="V159" s="584">
        <f t="shared" si="33"/>
        <v>42120</v>
      </c>
      <c r="W159" s="584"/>
      <c r="X159" s="371">
        <f t="shared" ref="X159:X222" si="37">(Q159+S159+U159)+W159</f>
        <v>5054400</v>
      </c>
      <c r="Y159" s="846">
        <f t="shared" si="34"/>
        <v>2.8079999999999998</v>
      </c>
      <c r="Z159" s="491">
        <v>1800000</v>
      </c>
      <c r="AA159" s="662">
        <f t="shared" si="35"/>
        <v>5054400</v>
      </c>
      <c r="AB159" s="568">
        <f t="shared" ref="AB159:AB222" si="38">A159</f>
        <v>130</v>
      </c>
      <c r="AC159" s="493">
        <f>IFERROR(INDEX('[2]CN BC'!$M$10:$M$276,MATCH(B159,'[2]CN BC'!$H$10:$H$276,0)),"")</f>
        <v>0</v>
      </c>
      <c r="AD159" s="522" t="s">
        <v>1150</v>
      </c>
      <c r="AE159" s="108"/>
      <c r="AF159" s="108"/>
      <c r="AG159" s="155"/>
      <c r="AH159" s="108"/>
      <c r="AI159" s="108"/>
      <c r="AJ159" s="108"/>
      <c r="AK159" s="108"/>
      <c r="AL159" s="108"/>
      <c r="AM159" s="108"/>
    </row>
    <row r="160" spans="1:43" s="372" customFormat="1" ht="31.5" customHeight="1">
      <c r="A160" s="379">
        <f>_xlfn.AGGREGATE(4,7,A$29:A159)+1</f>
        <v>131</v>
      </c>
      <c r="B160" s="363" t="s">
        <v>1498</v>
      </c>
      <c r="C160" s="364" t="s">
        <v>958</v>
      </c>
      <c r="D160" s="434" t="s">
        <v>1724</v>
      </c>
      <c r="E160" s="422" t="s">
        <v>1591</v>
      </c>
      <c r="F160" s="373">
        <v>3</v>
      </c>
      <c r="G160" s="367"/>
      <c r="H160" s="445">
        <f t="shared" si="26"/>
        <v>3</v>
      </c>
      <c r="I160" s="368"/>
      <c r="J160" s="368" t="str">
        <f>VLOOKUP(B160,TH!B154:J486,9,FALSE)</f>
        <v>Giảng viên khoa Ngoại ngữ</v>
      </c>
      <c r="K160" s="369">
        <f t="shared" si="27"/>
        <v>3</v>
      </c>
      <c r="L160" s="362">
        <f t="shared" si="28"/>
        <v>5400000</v>
      </c>
      <c r="M160" s="366" t="str">
        <f>VLOOKUP(B160,'[1]Gui chi Quynh'!$B$11:$E$400,4,FALSE)</f>
        <v>A3</v>
      </c>
      <c r="N160" s="494">
        <f t="shared" si="30"/>
        <v>6480000</v>
      </c>
      <c r="O160" s="376">
        <v>21</v>
      </c>
      <c r="P160" s="440">
        <f>IFERROR(INDEX('[2]CN BC'!$J$10:$J$276,MATCH(B160,'[2]CN BC'!$H$10:$H$276,0)),"")</f>
        <v>21</v>
      </c>
      <c r="Q160" s="494">
        <f t="shared" si="36"/>
        <v>6480000</v>
      </c>
      <c r="R160" s="460"/>
      <c r="S160" s="362">
        <f t="shared" si="29"/>
        <v>0</v>
      </c>
      <c r="T160" s="370"/>
      <c r="U160" s="362">
        <f t="shared" ref="U160:U223" si="39">T160*$G$26*1</f>
        <v>0</v>
      </c>
      <c r="V160" s="584">
        <f t="shared" si="33"/>
        <v>54000</v>
      </c>
      <c r="W160" s="584"/>
      <c r="X160" s="371">
        <f t="shared" si="37"/>
        <v>6480000</v>
      </c>
      <c r="Y160" s="846">
        <f t="shared" si="34"/>
        <v>3.6</v>
      </c>
      <c r="Z160" s="491">
        <v>1800000</v>
      </c>
      <c r="AA160" s="662">
        <f t="shared" si="35"/>
        <v>6480000</v>
      </c>
      <c r="AB160" s="568">
        <f t="shared" si="38"/>
        <v>131</v>
      </c>
      <c r="AC160" s="493">
        <f>IFERROR(INDEX('[2]CN BC'!$M$10:$M$276,MATCH(B160,'[2]CN BC'!$H$10:$H$276,0)),"")</f>
        <v>0</v>
      </c>
      <c r="AD160" s="522" t="s">
        <v>1151</v>
      </c>
      <c r="AE160" s="108"/>
      <c r="AF160" s="108"/>
      <c r="AG160" s="487"/>
    </row>
    <row r="161" spans="1:43" s="372" customFormat="1" ht="30.75" customHeight="1">
      <c r="A161" s="379">
        <f>_xlfn.AGGREGATE(4,7,A$29:A160)+1</f>
        <v>132</v>
      </c>
      <c r="B161" s="363" t="s">
        <v>1925</v>
      </c>
      <c r="C161" s="364"/>
      <c r="D161" s="434" t="s">
        <v>1965</v>
      </c>
      <c r="E161" s="515" t="s">
        <v>1930</v>
      </c>
      <c r="F161" s="366">
        <v>2.34</v>
      </c>
      <c r="G161" s="367"/>
      <c r="H161" s="368">
        <f t="shared" si="26"/>
        <v>2.34</v>
      </c>
      <c r="I161" s="368"/>
      <c r="J161" s="368" t="str">
        <f>VLOOKUP(B161,TH!B155:J487,9,FALSE)</f>
        <v>Giảng viên khoa Ngoại ngữ</v>
      </c>
      <c r="K161" s="369">
        <f t="shared" si="27"/>
        <v>2.34</v>
      </c>
      <c r="L161" s="362">
        <f t="shared" si="28"/>
        <v>4212000</v>
      </c>
      <c r="M161" s="366" t="str">
        <f>VLOOKUP(B161,'[1]Gui chi Quynh'!$B$11:$E$400,4,FALSE)</f>
        <v>A2</v>
      </c>
      <c r="N161" s="494">
        <f t="shared" si="30"/>
        <v>5896800</v>
      </c>
      <c r="O161" s="376">
        <v>21</v>
      </c>
      <c r="P161" s="440">
        <f>IFERROR(INDEX('[2]CN BC'!$J$10:$J$276,MATCH(B161,'[2]CN BC'!$H$10:$H$276,0)),"")</f>
        <v>21</v>
      </c>
      <c r="Q161" s="494">
        <f t="shared" si="36"/>
        <v>5896800</v>
      </c>
      <c r="R161" s="460"/>
      <c r="S161" s="362">
        <f t="shared" si="29"/>
        <v>0</v>
      </c>
      <c r="T161" s="370"/>
      <c r="U161" s="362">
        <f t="shared" si="39"/>
        <v>0</v>
      </c>
      <c r="V161" s="584">
        <f t="shared" si="33"/>
        <v>42120</v>
      </c>
      <c r="W161" s="584"/>
      <c r="X161" s="371">
        <f t="shared" si="37"/>
        <v>5896800</v>
      </c>
      <c r="Y161" s="846">
        <f t="shared" si="34"/>
        <v>3.2759999999999998</v>
      </c>
      <c r="Z161" s="491">
        <v>1800000</v>
      </c>
      <c r="AA161" s="662">
        <f t="shared" si="35"/>
        <v>5896800</v>
      </c>
      <c r="AB161" s="568">
        <f t="shared" si="38"/>
        <v>132</v>
      </c>
      <c r="AC161" s="493">
        <f>IFERROR(INDEX('[2]CN BC'!$M$10:$M$276,MATCH(B161,'[2]CN BC'!$H$10:$H$276,0)),"")</f>
        <v>0</v>
      </c>
      <c r="AD161" s="522" t="s">
        <v>1152</v>
      </c>
      <c r="AE161" s="108"/>
      <c r="AF161" s="108"/>
      <c r="AG161" s="487"/>
    </row>
    <row r="162" spans="1:43" s="372" customFormat="1" ht="30.75" customHeight="1">
      <c r="A162" s="379">
        <f>_xlfn.AGGREGATE(4,7,A$29:A161)+1</f>
        <v>133</v>
      </c>
      <c r="B162" s="363" t="s">
        <v>2018</v>
      </c>
      <c r="C162" s="364"/>
      <c r="D162" s="434"/>
      <c r="E162" s="515"/>
      <c r="F162" s="366">
        <v>1.9890000000000001</v>
      </c>
      <c r="G162" s="367"/>
      <c r="H162" s="368">
        <f t="shared" si="26"/>
        <v>1.9890000000000001</v>
      </c>
      <c r="I162" s="368"/>
      <c r="J162" s="368" t="str">
        <f>VLOOKUP(B162,TH!B156:J488,9,FALSE)</f>
        <v>Giảng viên khoa Ngoại ngữ</v>
      </c>
      <c r="K162" s="369">
        <f t="shared" si="27"/>
        <v>1.9890000000000001</v>
      </c>
      <c r="L162" s="362">
        <f t="shared" si="28"/>
        <v>3580200</v>
      </c>
      <c r="M162" s="366" t="str">
        <f>VLOOKUP(B162,'[1]Gui chi Quynh'!$B$11:$E$400,4,FALSE)</f>
        <v>A4</v>
      </c>
      <c r="N162" s="494">
        <f t="shared" si="30"/>
        <v>3580200</v>
      </c>
      <c r="O162" s="376">
        <v>21</v>
      </c>
      <c r="P162" s="440">
        <f>IFERROR(INDEX('[2]CN BC'!$J$10:$J$276,MATCH(B162,'[2]CN BC'!$H$10:$H$276,0)),"")</f>
        <v>5</v>
      </c>
      <c r="Q162" s="494">
        <f t="shared" si="36"/>
        <v>852428.57142857148</v>
      </c>
      <c r="R162" s="460"/>
      <c r="S162" s="362">
        <f t="shared" si="29"/>
        <v>0</v>
      </c>
      <c r="T162" s="370"/>
      <c r="U162" s="362">
        <f t="shared" si="39"/>
        <v>0</v>
      </c>
      <c r="V162" s="584">
        <f t="shared" si="33"/>
        <v>35802</v>
      </c>
      <c r="W162" s="584"/>
      <c r="X162" s="371">
        <f t="shared" si="37"/>
        <v>852428.57142857148</v>
      </c>
      <c r="Y162" s="846">
        <f t="shared" si="34"/>
        <v>0.47357142857142859</v>
      </c>
      <c r="Z162" s="491">
        <v>1800000</v>
      </c>
      <c r="AA162" s="662">
        <f t="shared" si="35"/>
        <v>852428.57142857148</v>
      </c>
      <c r="AB162" s="568">
        <f t="shared" si="38"/>
        <v>133</v>
      </c>
      <c r="AC162" s="493" t="str">
        <f>IFERROR(INDEX('[2]CN BC'!$M$10:$M$276,MATCH(B162,'[2]CN BC'!$H$10:$H$276,0)),"")</f>
        <v>Nghỉ hộ sản hưởng chế độ BHXH từ 9/3/2024</v>
      </c>
      <c r="AD162" s="540"/>
      <c r="AG162" s="487"/>
    </row>
    <row r="163" spans="1:43" s="372" customFormat="1" ht="30.75" customHeight="1">
      <c r="A163" s="379">
        <f>_xlfn.AGGREGATE(4,7,A$29:A162)+1</f>
        <v>134</v>
      </c>
      <c r="B163" s="363" t="s">
        <v>2024</v>
      </c>
      <c r="C163" s="364"/>
      <c r="D163" s="434"/>
      <c r="E163" s="515"/>
      <c r="F163" s="366"/>
      <c r="G163" s="367"/>
      <c r="H163" s="368"/>
      <c r="I163" s="368"/>
      <c r="J163" s="368" t="str">
        <f>VLOOKUP(B163,TH!B157:J489,9,FALSE)</f>
        <v>Giảng viên khoa Ngoại ngữ</v>
      </c>
      <c r="K163" s="369">
        <v>1.9890000000000001</v>
      </c>
      <c r="L163" s="362">
        <f t="shared" si="28"/>
        <v>3580200</v>
      </c>
      <c r="M163" s="366" t="str">
        <f>VLOOKUP(B163,'[1]Gui chi Quynh'!$B$11:$E$400,4,FALSE)</f>
        <v>A4</v>
      </c>
      <c r="N163" s="494">
        <f t="shared" si="30"/>
        <v>3580200</v>
      </c>
      <c r="O163" s="376">
        <v>21</v>
      </c>
      <c r="P163" s="440">
        <f>IFERROR(INDEX('[2]CN BC'!$J$10:$J$276,MATCH(B163,'[2]CN BC'!$H$10:$H$276,0)),"")</f>
        <v>21</v>
      </c>
      <c r="Q163" s="494">
        <f t="shared" si="36"/>
        <v>3580200</v>
      </c>
      <c r="R163" s="460"/>
      <c r="S163" s="362">
        <f t="shared" si="29"/>
        <v>0</v>
      </c>
      <c r="T163" s="370"/>
      <c r="U163" s="362">
        <f t="shared" si="39"/>
        <v>0</v>
      </c>
      <c r="V163" s="362"/>
      <c r="W163" s="362"/>
      <c r="X163" s="371">
        <f t="shared" si="37"/>
        <v>3580200</v>
      </c>
      <c r="Y163" s="846">
        <f t="shared" si="34"/>
        <v>1.9890000000000001</v>
      </c>
      <c r="Z163" s="491">
        <v>1800000</v>
      </c>
      <c r="AA163" s="662">
        <f t="shared" si="35"/>
        <v>3580200</v>
      </c>
      <c r="AB163" s="568">
        <f t="shared" si="38"/>
        <v>134</v>
      </c>
      <c r="AC163" s="493">
        <f>IFERROR(INDEX('[2]CN BC'!$M$10:$M$276,MATCH(B163,'[2]CN BC'!$H$10:$H$276,0)),"")</f>
        <v>0</v>
      </c>
      <c r="AD163" s="540"/>
      <c r="AG163" s="487"/>
    </row>
    <row r="164" spans="1:43" s="372" customFormat="1" ht="30.75" customHeight="1">
      <c r="A164" s="379">
        <f>_xlfn.AGGREGATE(4,7,A$29:A163)+1</f>
        <v>135</v>
      </c>
      <c r="B164" s="363" t="s">
        <v>2006</v>
      </c>
      <c r="C164" s="364"/>
      <c r="D164" s="434"/>
      <c r="E164" s="515"/>
      <c r="F164" s="366">
        <v>1.9890000000000001</v>
      </c>
      <c r="G164" s="367"/>
      <c r="H164" s="368">
        <f t="shared" si="26"/>
        <v>1.9890000000000001</v>
      </c>
      <c r="I164" s="368"/>
      <c r="J164" s="368" t="str">
        <f>VLOOKUP(B164,TH!B158:J490,9,FALSE)</f>
        <v>Giảng viên khoa Ngoại ngữ</v>
      </c>
      <c r="K164" s="369">
        <f t="shared" si="27"/>
        <v>1.9890000000000001</v>
      </c>
      <c r="L164" s="362">
        <f t="shared" si="28"/>
        <v>3580200</v>
      </c>
      <c r="M164" s="366" t="str">
        <f>VLOOKUP(B164,'[1]Gui chi Quynh'!$B$11:$E$400,4,FALSE)</f>
        <v>A4</v>
      </c>
      <c r="N164" s="494">
        <f t="shared" si="30"/>
        <v>3580200</v>
      </c>
      <c r="O164" s="376">
        <v>21</v>
      </c>
      <c r="P164" s="467">
        <f>IFERROR(INDEX('[2]CN BC'!$J$10:$J$276,MATCH(B164,'[2]CN BC'!$H$10:$H$276,0)),"")</f>
        <v>21</v>
      </c>
      <c r="Q164" s="494">
        <f t="shared" si="36"/>
        <v>3580200</v>
      </c>
      <c r="R164" s="460"/>
      <c r="S164" s="362">
        <f t="shared" si="29"/>
        <v>0</v>
      </c>
      <c r="T164" s="370"/>
      <c r="U164" s="362">
        <f t="shared" si="39"/>
        <v>0</v>
      </c>
      <c r="V164" s="362">
        <f t="shared" si="33"/>
        <v>35802</v>
      </c>
      <c r="W164" s="362"/>
      <c r="X164" s="371">
        <f t="shared" si="37"/>
        <v>3580200</v>
      </c>
      <c r="Y164" s="846">
        <f t="shared" si="34"/>
        <v>1.9890000000000001</v>
      </c>
      <c r="Z164" s="491">
        <v>1800000</v>
      </c>
      <c r="AA164" s="662">
        <f t="shared" si="35"/>
        <v>3580200</v>
      </c>
      <c r="AB164" s="568">
        <f t="shared" si="38"/>
        <v>135</v>
      </c>
      <c r="AC164" s="551">
        <f>IFERROR(INDEX('[2]CN BC'!$M$10:$M$276,MATCH(B164,'[2]CN BC'!$H$10:$H$276,0)),"")</f>
        <v>0</v>
      </c>
      <c r="AD164" s="540" t="s">
        <v>1153</v>
      </c>
      <c r="AG164" s="487"/>
    </row>
    <row r="165" spans="1:43" s="372" customFormat="1" ht="30" customHeight="1">
      <c r="A165" s="379">
        <f>_xlfn.AGGREGATE(4,7,A$29:A164)+1</f>
        <v>136</v>
      </c>
      <c r="B165" s="363" t="s">
        <v>1499</v>
      </c>
      <c r="C165" s="525" t="s">
        <v>365</v>
      </c>
      <c r="D165" s="434" t="s">
        <v>1725</v>
      </c>
      <c r="E165" s="423" t="s">
        <v>378</v>
      </c>
      <c r="F165" s="373">
        <v>3.99</v>
      </c>
      <c r="G165" s="526"/>
      <c r="H165" s="368">
        <f t="shared" si="26"/>
        <v>3.99</v>
      </c>
      <c r="I165" s="368">
        <v>0.35</v>
      </c>
      <c r="J165" s="368" t="str">
        <f>VLOOKUP(B165,TH!B159:J491,9,FALSE)</f>
        <v>Phó Trưởng khoa LLCT</v>
      </c>
      <c r="K165" s="369">
        <f t="shared" si="27"/>
        <v>4.34</v>
      </c>
      <c r="L165" s="362">
        <f t="shared" si="28"/>
        <v>7812000</v>
      </c>
      <c r="M165" s="366" t="str">
        <f>VLOOKUP(B165,'[1]Gui chi Quynh'!$B$11:$E$400,4,FALSE)</f>
        <v>A3</v>
      </c>
      <c r="N165" s="494">
        <f t="shared" si="30"/>
        <v>9374400</v>
      </c>
      <c r="O165" s="376">
        <v>21</v>
      </c>
      <c r="P165" s="440">
        <f>IFERROR(INDEX('[2]CN BC'!$J$10:$J$276,MATCH(B165,'[2]CN BC'!$H$10:$H$276,0)),"")</f>
        <v>21</v>
      </c>
      <c r="Q165" s="494">
        <f t="shared" si="36"/>
        <v>9374400</v>
      </c>
      <c r="R165" s="460"/>
      <c r="S165" s="362">
        <f t="shared" si="29"/>
        <v>0</v>
      </c>
      <c r="T165" s="370"/>
      <c r="U165" s="362">
        <f t="shared" si="39"/>
        <v>0</v>
      </c>
      <c r="V165" s="584">
        <f t="shared" si="33"/>
        <v>78120</v>
      </c>
      <c r="W165" s="584"/>
      <c r="X165" s="371">
        <f t="shared" si="37"/>
        <v>9374400</v>
      </c>
      <c r="Y165" s="846">
        <f t="shared" si="34"/>
        <v>5.2080000000000002</v>
      </c>
      <c r="Z165" s="491">
        <v>1800000</v>
      </c>
      <c r="AA165" s="662">
        <f t="shared" si="35"/>
        <v>9374400</v>
      </c>
      <c r="AB165" s="568">
        <f t="shared" si="38"/>
        <v>136</v>
      </c>
      <c r="AC165" s="493">
        <f>IFERROR(INDEX('[2]CN BC'!$M$10:$M$276,MATCH(B165,'[2]CN BC'!$H$10:$H$276,0)),"")</f>
        <v>0</v>
      </c>
      <c r="AD165" s="522" t="s">
        <v>812</v>
      </c>
      <c r="AE165" s="108"/>
      <c r="AF165" s="108"/>
      <c r="AG165" s="487"/>
    </row>
    <row r="166" spans="1:43" s="108" customFormat="1" ht="28.5" customHeight="1">
      <c r="A166" s="379">
        <f>_xlfn.AGGREGATE(4,7,A$29:A165)+1</f>
        <v>137</v>
      </c>
      <c r="B166" s="33" t="s">
        <v>843</v>
      </c>
      <c r="C166" s="34" t="s">
        <v>865</v>
      </c>
      <c r="D166" s="406" t="s">
        <v>1726</v>
      </c>
      <c r="E166" s="424" t="s">
        <v>1316</v>
      </c>
      <c r="F166" s="83">
        <v>3.99</v>
      </c>
      <c r="G166" s="157"/>
      <c r="H166" s="368">
        <f t="shared" si="26"/>
        <v>3.99</v>
      </c>
      <c r="I166" s="81">
        <v>0.45</v>
      </c>
      <c r="J166" s="368" t="str">
        <f>VLOOKUP(B166,TH!B160:J492,9,FALSE)</f>
        <v>Phó Trưởng khoa LLCT</v>
      </c>
      <c r="K166" s="369">
        <f t="shared" si="27"/>
        <v>4.4400000000000004</v>
      </c>
      <c r="L166" s="362">
        <f t="shared" si="28"/>
        <v>7992000.0000000009</v>
      </c>
      <c r="M166" s="366" t="str">
        <f>VLOOKUP(B166,'[1]Gui chi Quynh'!$B$11:$E$400,4,FALSE)</f>
        <v>A3</v>
      </c>
      <c r="N166" s="494">
        <f t="shared" si="30"/>
        <v>9590400</v>
      </c>
      <c r="O166" s="376">
        <v>21</v>
      </c>
      <c r="P166" s="440">
        <f>IFERROR(INDEX('[2]CN BC'!$J$10:$J$276,MATCH(B166,'[2]CN BC'!$H$10:$H$276,0)),"")</f>
        <v>21</v>
      </c>
      <c r="Q166" s="494">
        <f t="shared" si="36"/>
        <v>9590400</v>
      </c>
      <c r="R166" s="392"/>
      <c r="S166" s="362">
        <f t="shared" si="29"/>
        <v>0</v>
      </c>
      <c r="T166" s="385"/>
      <c r="U166" s="362">
        <f t="shared" si="39"/>
        <v>0</v>
      </c>
      <c r="V166" s="584">
        <f t="shared" si="33"/>
        <v>79920</v>
      </c>
      <c r="W166" s="584"/>
      <c r="X166" s="371">
        <f t="shared" si="37"/>
        <v>9590400</v>
      </c>
      <c r="Y166" s="846">
        <f t="shared" si="34"/>
        <v>5.3280000000000003</v>
      </c>
      <c r="Z166" s="491">
        <v>1800000</v>
      </c>
      <c r="AA166" s="662">
        <f t="shared" si="35"/>
        <v>9590400</v>
      </c>
      <c r="AB166" s="568">
        <f t="shared" si="38"/>
        <v>137</v>
      </c>
      <c r="AC166" s="493">
        <f>IFERROR(INDEX('[2]CN BC'!$M$10:$M$276,MATCH(B166,'[2]CN BC'!$H$10:$H$276,0)),"")</f>
        <v>0</v>
      </c>
      <c r="AD166" s="522" t="s">
        <v>813</v>
      </c>
      <c r="AG166" s="155"/>
    </row>
    <row r="167" spans="1:43" s="372" customFormat="1" ht="28.5" customHeight="1">
      <c r="A167" s="379">
        <f>_xlfn.AGGREGATE(4,7,A$29:A166)+1</f>
        <v>138</v>
      </c>
      <c r="B167" s="363" t="s">
        <v>846</v>
      </c>
      <c r="C167" s="364" t="s">
        <v>920</v>
      </c>
      <c r="D167" s="406" t="s">
        <v>1727</v>
      </c>
      <c r="E167" s="423" t="s">
        <v>1317</v>
      </c>
      <c r="F167" s="373">
        <v>3.99</v>
      </c>
      <c r="G167" s="367"/>
      <c r="H167" s="368">
        <f t="shared" si="26"/>
        <v>3.99</v>
      </c>
      <c r="I167" s="368">
        <v>0.25</v>
      </c>
      <c r="J167" s="368" t="str">
        <f>VLOOKUP(B167,TH!B161:J493,9,FALSE)</f>
        <v>Trưởng BM khoa LLCT</v>
      </c>
      <c r="K167" s="369">
        <f t="shared" si="27"/>
        <v>4.24</v>
      </c>
      <c r="L167" s="362">
        <f t="shared" si="28"/>
        <v>7632000</v>
      </c>
      <c r="M167" s="366" t="str">
        <f>VLOOKUP(B167,'[1]Gui chi Quynh'!$B$11:$E$400,4,FALSE)</f>
        <v>A4</v>
      </c>
      <c r="N167" s="494">
        <f t="shared" si="30"/>
        <v>7632000</v>
      </c>
      <c r="O167" s="376">
        <v>21</v>
      </c>
      <c r="P167" s="440">
        <f>IFERROR(INDEX('[2]CN BC'!$J$10:$J$276,MATCH(B167,'[2]CN BC'!$H$10:$H$276,0)),"")</f>
        <v>21</v>
      </c>
      <c r="Q167" s="494">
        <f t="shared" si="36"/>
        <v>7632000</v>
      </c>
      <c r="R167" s="392"/>
      <c r="S167" s="362">
        <f t="shared" si="29"/>
        <v>0</v>
      </c>
      <c r="T167" s="370"/>
      <c r="U167" s="362">
        <f t="shared" si="39"/>
        <v>0</v>
      </c>
      <c r="V167" s="584">
        <f t="shared" si="33"/>
        <v>76320</v>
      </c>
      <c r="W167" s="584"/>
      <c r="X167" s="371">
        <f t="shared" si="37"/>
        <v>7632000</v>
      </c>
      <c r="Y167" s="846">
        <f t="shared" si="34"/>
        <v>4.24</v>
      </c>
      <c r="Z167" s="491">
        <v>1800000</v>
      </c>
      <c r="AA167" s="662">
        <f t="shared" si="35"/>
        <v>7632000</v>
      </c>
      <c r="AB167" s="568">
        <f t="shared" si="38"/>
        <v>138</v>
      </c>
      <c r="AC167" s="493">
        <f>IFERROR(INDEX('[2]CN BC'!$M$10:$M$276,MATCH(B167,'[2]CN BC'!$H$10:$H$276,0)),"")</f>
        <v>0</v>
      </c>
      <c r="AD167" s="522" t="s">
        <v>814</v>
      </c>
      <c r="AE167" s="108"/>
      <c r="AF167" s="108"/>
      <c r="AG167" s="155"/>
      <c r="AH167" s="108"/>
      <c r="AI167" s="108"/>
      <c r="AJ167" s="108"/>
      <c r="AK167" s="108"/>
      <c r="AL167" s="108"/>
      <c r="AM167" s="108"/>
      <c r="AN167" s="108"/>
      <c r="AO167" s="108"/>
      <c r="AP167" s="108"/>
      <c r="AQ167" s="108"/>
    </row>
    <row r="168" spans="1:43" s="372" customFormat="1" ht="33" customHeight="1">
      <c r="A168" s="379">
        <f>_xlfn.AGGREGATE(4,7,A$29:A167)+1</f>
        <v>139</v>
      </c>
      <c r="B168" s="363" t="s">
        <v>1500</v>
      </c>
      <c r="C168" s="364" t="s">
        <v>277</v>
      </c>
      <c r="D168" s="434" t="s">
        <v>1728</v>
      </c>
      <c r="E168" s="423" t="s">
        <v>377</v>
      </c>
      <c r="F168" s="373">
        <v>3.99</v>
      </c>
      <c r="G168" s="367"/>
      <c r="H168" s="368">
        <f t="shared" si="26"/>
        <v>3.99</v>
      </c>
      <c r="I168" s="368"/>
      <c r="J168" s="368" t="str">
        <f>VLOOKUP(B168,TH!B162:J494,9,FALSE)</f>
        <v>Giảng viên khoa LLCT</v>
      </c>
      <c r="K168" s="369">
        <f t="shared" si="27"/>
        <v>3.99</v>
      </c>
      <c r="L168" s="362">
        <f t="shared" si="28"/>
        <v>7182000</v>
      </c>
      <c r="M168" s="366" t="str">
        <f>VLOOKUP(B168,'[1]Gui chi Quynh'!$B$11:$E$400,4,FALSE)</f>
        <v>A4</v>
      </c>
      <c r="N168" s="494">
        <f t="shared" si="30"/>
        <v>7182000</v>
      </c>
      <c r="O168" s="376">
        <v>21</v>
      </c>
      <c r="P168" s="440">
        <f>IFERROR(INDEX('[2]CN BC'!$J$10:$J$276,MATCH(B168,'[2]CN BC'!$H$10:$H$276,0)),"")</f>
        <v>21</v>
      </c>
      <c r="Q168" s="494">
        <f t="shared" si="36"/>
        <v>7182000</v>
      </c>
      <c r="R168" s="460"/>
      <c r="S168" s="362">
        <f t="shared" si="29"/>
        <v>0</v>
      </c>
      <c r="T168" s="370"/>
      <c r="U168" s="362">
        <f t="shared" si="39"/>
        <v>0</v>
      </c>
      <c r="V168" s="584">
        <f t="shared" si="33"/>
        <v>71820</v>
      </c>
      <c r="W168" s="584"/>
      <c r="X168" s="371">
        <f t="shared" si="37"/>
        <v>7182000</v>
      </c>
      <c r="Y168" s="846">
        <f t="shared" si="34"/>
        <v>3.99</v>
      </c>
      <c r="Z168" s="491">
        <v>1800000</v>
      </c>
      <c r="AA168" s="662">
        <f t="shared" si="35"/>
        <v>7182000</v>
      </c>
      <c r="AB168" s="568">
        <f t="shared" si="38"/>
        <v>139</v>
      </c>
      <c r="AC168" s="493">
        <f>IFERROR(INDEX('[2]CN BC'!$M$10:$M$276,MATCH(B168,'[2]CN BC'!$H$10:$H$276,0)),"")</f>
        <v>0</v>
      </c>
      <c r="AD168" s="540" t="s">
        <v>815</v>
      </c>
      <c r="AG168" s="487"/>
    </row>
    <row r="169" spans="1:43" s="372" customFormat="1" ht="30.75" customHeight="1">
      <c r="A169" s="379">
        <f>_xlfn.AGGREGATE(4,7,A$29:A168)+1</f>
        <v>140</v>
      </c>
      <c r="B169" s="363" t="s">
        <v>1877</v>
      </c>
      <c r="C169" s="364" t="s">
        <v>973</v>
      </c>
      <c r="D169" s="434" t="s">
        <v>1729</v>
      </c>
      <c r="E169" s="423" t="s">
        <v>1320</v>
      </c>
      <c r="F169" s="366">
        <v>4.6500000000000004</v>
      </c>
      <c r="G169" s="367"/>
      <c r="H169" s="368">
        <f t="shared" si="26"/>
        <v>4.6500000000000004</v>
      </c>
      <c r="I169" s="368"/>
      <c r="J169" s="368" t="str">
        <f>VLOOKUP(B169,TH!B163:J495,9,FALSE)</f>
        <v>Giảng viên khoa LLCT</v>
      </c>
      <c r="K169" s="369">
        <f t="shared" si="27"/>
        <v>4.6500000000000004</v>
      </c>
      <c r="L169" s="362">
        <f t="shared" si="28"/>
        <v>8370000.0000000009</v>
      </c>
      <c r="M169" s="366" t="str">
        <f>VLOOKUP(B169,'[1]Gui chi Quynh'!$B$11:$E$400,4,FALSE)</f>
        <v>A3</v>
      </c>
      <c r="N169" s="494">
        <f t="shared" si="30"/>
        <v>10044000</v>
      </c>
      <c r="O169" s="376">
        <v>21</v>
      </c>
      <c r="P169" s="440">
        <f>IFERROR(INDEX('[2]CN BC'!$J$10:$J$276,MATCH(B169,'[2]CN BC'!$H$10:$H$276,0)),"")</f>
        <v>21</v>
      </c>
      <c r="Q169" s="494">
        <f t="shared" si="36"/>
        <v>10044000</v>
      </c>
      <c r="R169" s="460"/>
      <c r="S169" s="362">
        <f t="shared" si="29"/>
        <v>0</v>
      </c>
      <c r="T169" s="370"/>
      <c r="U169" s="362">
        <f t="shared" si="39"/>
        <v>0</v>
      </c>
      <c r="V169" s="584">
        <f t="shared" si="33"/>
        <v>83700</v>
      </c>
      <c r="W169" s="584"/>
      <c r="X169" s="371">
        <f t="shared" si="37"/>
        <v>10044000</v>
      </c>
      <c r="Y169" s="846">
        <f t="shared" si="34"/>
        <v>5.58</v>
      </c>
      <c r="Z169" s="491">
        <v>1800000</v>
      </c>
      <c r="AA169" s="662">
        <f t="shared" si="35"/>
        <v>10044000</v>
      </c>
      <c r="AB169" s="568">
        <f t="shared" si="38"/>
        <v>140</v>
      </c>
      <c r="AC169" s="493">
        <f>IFERROR(INDEX('[2]CN BC'!$M$10:$M$276,MATCH(B169,'[2]CN BC'!$H$10:$H$276,0)),"")</f>
        <v>0</v>
      </c>
      <c r="AD169" s="540" t="s">
        <v>816</v>
      </c>
      <c r="AG169" s="487"/>
    </row>
    <row r="170" spans="1:43" s="372" customFormat="1" ht="28.5" customHeight="1">
      <c r="A170" s="379">
        <f>_xlfn.AGGREGATE(4,7,A$29:A169)+1</f>
        <v>141</v>
      </c>
      <c r="B170" s="363" t="s">
        <v>1501</v>
      </c>
      <c r="C170" s="364" t="s">
        <v>313</v>
      </c>
      <c r="D170" s="434" t="s">
        <v>1730</v>
      </c>
      <c r="E170" s="422" t="s">
        <v>314</v>
      </c>
      <c r="F170" s="373">
        <v>3.66</v>
      </c>
      <c r="G170" s="367"/>
      <c r="H170" s="368">
        <f t="shared" si="26"/>
        <v>3.66</v>
      </c>
      <c r="I170" s="368"/>
      <c r="J170" s="368" t="str">
        <f>VLOOKUP(B170,TH!B164:J496,9,FALSE)</f>
        <v>Giảng viên khoa LLCT</v>
      </c>
      <c r="K170" s="369">
        <f t="shared" si="27"/>
        <v>3.66</v>
      </c>
      <c r="L170" s="362">
        <f t="shared" si="28"/>
        <v>6588000</v>
      </c>
      <c r="M170" s="366" t="str">
        <f>VLOOKUP(B170,'[1]Gui chi Quynh'!$B$11:$E$400,4,FALSE)</f>
        <v>A3</v>
      </c>
      <c r="N170" s="494">
        <f t="shared" si="30"/>
        <v>7905600</v>
      </c>
      <c r="O170" s="376">
        <v>21</v>
      </c>
      <c r="P170" s="440">
        <f>IFERROR(INDEX('[2]CN BC'!$J$10:$J$276,MATCH(B170,'[2]CN BC'!$H$10:$H$276,0)),"")</f>
        <v>21</v>
      </c>
      <c r="Q170" s="494">
        <f t="shared" si="36"/>
        <v>7905600</v>
      </c>
      <c r="R170" s="460"/>
      <c r="S170" s="362">
        <f t="shared" si="29"/>
        <v>0</v>
      </c>
      <c r="T170" s="370"/>
      <c r="U170" s="362">
        <f t="shared" si="39"/>
        <v>0</v>
      </c>
      <c r="V170" s="584">
        <f t="shared" si="33"/>
        <v>65880</v>
      </c>
      <c r="W170" s="584"/>
      <c r="X170" s="371">
        <f t="shared" si="37"/>
        <v>7905600</v>
      </c>
      <c r="Y170" s="846">
        <f t="shared" si="34"/>
        <v>4.3920000000000003</v>
      </c>
      <c r="Z170" s="491">
        <v>1800000</v>
      </c>
      <c r="AA170" s="662">
        <f t="shared" si="35"/>
        <v>7905600.0000000009</v>
      </c>
      <c r="AB170" s="568">
        <f t="shared" si="38"/>
        <v>141</v>
      </c>
      <c r="AC170" s="493">
        <f>IFERROR(INDEX('[2]CN BC'!$M$10:$M$276,MATCH(B170,'[2]CN BC'!$H$10:$H$276,0)),"")</f>
        <v>0</v>
      </c>
      <c r="AD170" s="522" t="s">
        <v>817</v>
      </c>
      <c r="AE170" s="108"/>
      <c r="AF170" s="108"/>
      <c r="AG170" s="155"/>
      <c r="AH170" s="108"/>
      <c r="AI170" s="108"/>
      <c r="AJ170" s="108"/>
      <c r="AK170" s="108"/>
      <c r="AL170" s="108"/>
      <c r="AM170" s="108"/>
    </row>
    <row r="171" spans="1:43" s="372" customFormat="1" ht="28.5" customHeight="1">
      <c r="A171" s="379">
        <f>_xlfn.AGGREGATE(4,7,A$29:A170)+1</f>
        <v>142</v>
      </c>
      <c r="B171" s="363" t="s">
        <v>1878</v>
      </c>
      <c r="C171" s="364" t="s">
        <v>970</v>
      </c>
      <c r="D171" s="434" t="s">
        <v>1731</v>
      </c>
      <c r="E171" s="423" t="s">
        <v>1314</v>
      </c>
      <c r="F171" s="366">
        <v>4.32</v>
      </c>
      <c r="G171" s="367"/>
      <c r="H171" s="368">
        <f t="shared" si="26"/>
        <v>4.32</v>
      </c>
      <c r="I171" s="368"/>
      <c r="J171" s="368" t="str">
        <f>VLOOKUP(B171,TH!B165:J497,9,FALSE)</f>
        <v>Giảng viên khoa LLCT</v>
      </c>
      <c r="K171" s="369">
        <f t="shared" si="27"/>
        <v>4.32</v>
      </c>
      <c r="L171" s="362">
        <f t="shared" si="28"/>
        <v>7776000.0000000009</v>
      </c>
      <c r="M171" s="366" t="str">
        <f>VLOOKUP(B171,'[1]Gui chi Quynh'!$B$11:$E$400,4,FALSE)</f>
        <v>A4</v>
      </c>
      <c r="N171" s="494">
        <f t="shared" si="30"/>
        <v>7776000.0000000009</v>
      </c>
      <c r="O171" s="376">
        <v>21</v>
      </c>
      <c r="P171" s="440">
        <f>IFERROR(INDEX('[2]CN BC'!$J$10:$J$276,MATCH(B171,'[2]CN BC'!$H$10:$H$276,0)),"")</f>
        <v>21</v>
      </c>
      <c r="Q171" s="494">
        <f t="shared" si="36"/>
        <v>7776000.0000000009</v>
      </c>
      <c r="R171" s="460"/>
      <c r="S171" s="362">
        <f t="shared" si="29"/>
        <v>0</v>
      </c>
      <c r="T171" s="370"/>
      <c r="U171" s="362">
        <f t="shared" si="39"/>
        <v>0</v>
      </c>
      <c r="V171" s="584">
        <f t="shared" si="33"/>
        <v>77760</v>
      </c>
      <c r="W171" s="584"/>
      <c r="X171" s="371">
        <f t="shared" si="37"/>
        <v>7776000.0000000009</v>
      </c>
      <c r="Y171" s="846">
        <f t="shared" si="34"/>
        <v>4.32</v>
      </c>
      <c r="Z171" s="491">
        <v>1800000</v>
      </c>
      <c r="AA171" s="662">
        <f t="shared" si="35"/>
        <v>7776000.0000000009</v>
      </c>
      <c r="AB171" s="568">
        <f t="shared" si="38"/>
        <v>142</v>
      </c>
      <c r="AC171" s="493">
        <f>IFERROR(INDEX('[2]CN BC'!$M$10:$M$276,MATCH(B171,'[2]CN BC'!$H$10:$H$276,0)),"")</f>
        <v>0</v>
      </c>
      <c r="AD171" s="522" t="s">
        <v>818</v>
      </c>
      <c r="AE171" s="108"/>
      <c r="AF171" s="108"/>
      <c r="AG171" s="155"/>
      <c r="AH171" s="108"/>
      <c r="AI171" s="108"/>
      <c r="AJ171" s="108"/>
      <c r="AK171" s="108"/>
      <c r="AL171" s="108"/>
      <c r="AM171" s="108"/>
    </row>
    <row r="172" spans="1:43" s="372" customFormat="1" ht="28.5" customHeight="1">
      <c r="A172" s="379">
        <f>_xlfn.AGGREGATE(4,7,A$29:A171)+1</f>
        <v>143</v>
      </c>
      <c r="B172" s="363" t="s">
        <v>1879</v>
      </c>
      <c r="C172" s="364" t="s">
        <v>927</v>
      </c>
      <c r="D172" s="434" t="s">
        <v>1732</v>
      </c>
      <c r="E172" s="423" t="s">
        <v>1315</v>
      </c>
      <c r="F172" s="373">
        <v>4.32</v>
      </c>
      <c r="G172" s="367"/>
      <c r="H172" s="368">
        <f t="shared" si="26"/>
        <v>4.32</v>
      </c>
      <c r="I172" s="368"/>
      <c r="J172" s="368" t="str">
        <f>VLOOKUP(B172,TH!B166:J498,9,FALSE)</f>
        <v>Giảng viên khoa LLCT</v>
      </c>
      <c r="K172" s="369">
        <f t="shared" si="27"/>
        <v>4.32</v>
      </c>
      <c r="L172" s="362">
        <f t="shared" si="28"/>
        <v>7776000.0000000009</v>
      </c>
      <c r="M172" s="366" t="str">
        <f>VLOOKUP(B172,'[1]Gui chi Quynh'!$B$11:$E$400,4,FALSE)</f>
        <v>A3</v>
      </c>
      <c r="N172" s="494">
        <f t="shared" si="30"/>
        <v>9331200</v>
      </c>
      <c r="O172" s="376">
        <v>21</v>
      </c>
      <c r="P172" s="440">
        <f>IFERROR(INDEX('[2]CN BC'!$J$10:$J$276,MATCH(B172,'[2]CN BC'!$H$10:$H$276,0)),"")</f>
        <v>21</v>
      </c>
      <c r="Q172" s="494">
        <f t="shared" si="36"/>
        <v>9331200</v>
      </c>
      <c r="R172" s="460"/>
      <c r="S172" s="362">
        <f t="shared" si="29"/>
        <v>0</v>
      </c>
      <c r="T172" s="370"/>
      <c r="U172" s="362">
        <f t="shared" si="39"/>
        <v>0</v>
      </c>
      <c r="V172" s="584">
        <f t="shared" si="33"/>
        <v>77760</v>
      </c>
      <c r="W172" s="584"/>
      <c r="X172" s="371">
        <f t="shared" si="37"/>
        <v>9331200</v>
      </c>
      <c r="Y172" s="846">
        <f t="shared" si="34"/>
        <v>5.1840000000000002</v>
      </c>
      <c r="Z172" s="491">
        <v>1800000</v>
      </c>
      <c r="AA172" s="662">
        <f t="shared" si="35"/>
        <v>9331200</v>
      </c>
      <c r="AB172" s="568">
        <f t="shared" si="38"/>
        <v>143</v>
      </c>
      <c r="AC172" s="493">
        <f>IFERROR(INDEX('[2]CN BC'!$M$10:$M$276,MATCH(B172,'[2]CN BC'!$H$10:$H$276,0)),"")</f>
        <v>0</v>
      </c>
      <c r="AD172" s="522" t="s">
        <v>819</v>
      </c>
      <c r="AE172" s="108"/>
      <c r="AF172" s="108"/>
      <c r="AG172" s="155"/>
      <c r="AH172" s="108"/>
      <c r="AI172" s="108"/>
      <c r="AJ172" s="108"/>
      <c r="AK172" s="108"/>
      <c r="AL172" s="108"/>
      <c r="AM172" s="108"/>
    </row>
    <row r="173" spans="1:43" s="372" customFormat="1" ht="28.5" customHeight="1">
      <c r="A173" s="379">
        <f>_xlfn.AGGREGATE(4,7,A$29:A172)+1</f>
        <v>144</v>
      </c>
      <c r="B173" s="363" t="s">
        <v>1502</v>
      </c>
      <c r="C173" s="364" t="s">
        <v>1205</v>
      </c>
      <c r="D173" s="434" t="s">
        <v>1733</v>
      </c>
      <c r="E173" s="423" t="s">
        <v>1318</v>
      </c>
      <c r="F173" s="373">
        <v>3.66</v>
      </c>
      <c r="G173" s="367"/>
      <c r="H173" s="368">
        <f t="shared" si="26"/>
        <v>3.66</v>
      </c>
      <c r="I173" s="368"/>
      <c r="J173" s="368" t="str">
        <f>VLOOKUP(B173,TH!B167:J499,9,FALSE)</f>
        <v>Trưởng BM khoa LLCT</v>
      </c>
      <c r="K173" s="369">
        <f t="shared" si="27"/>
        <v>3.66</v>
      </c>
      <c r="L173" s="362">
        <f t="shared" si="28"/>
        <v>6588000</v>
      </c>
      <c r="M173" s="366" t="str">
        <f>VLOOKUP(B173,'[1]Gui chi Quynh'!$B$11:$E$400,4,FALSE)</f>
        <v>A3</v>
      </c>
      <c r="N173" s="494">
        <f t="shared" si="30"/>
        <v>7905600</v>
      </c>
      <c r="O173" s="376">
        <v>21</v>
      </c>
      <c r="P173" s="440">
        <f>IFERROR(INDEX('[2]CN BC'!$J$10:$J$276,MATCH(B173,'[2]CN BC'!$H$10:$H$276,0)),"")</f>
        <v>21</v>
      </c>
      <c r="Q173" s="494">
        <f t="shared" si="36"/>
        <v>7905600</v>
      </c>
      <c r="R173" s="460"/>
      <c r="S173" s="362">
        <f t="shared" si="29"/>
        <v>0</v>
      </c>
      <c r="T173" s="370"/>
      <c r="U173" s="362">
        <f t="shared" si="39"/>
        <v>0</v>
      </c>
      <c r="V173" s="584">
        <f t="shared" si="33"/>
        <v>65880</v>
      </c>
      <c r="W173" s="584"/>
      <c r="X173" s="371">
        <f t="shared" si="37"/>
        <v>7905600</v>
      </c>
      <c r="Y173" s="846">
        <f t="shared" si="34"/>
        <v>4.3920000000000003</v>
      </c>
      <c r="Z173" s="491">
        <v>1800000</v>
      </c>
      <c r="AA173" s="662">
        <f t="shared" si="35"/>
        <v>7905600.0000000009</v>
      </c>
      <c r="AB173" s="568">
        <f t="shared" si="38"/>
        <v>144</v>
      </c>
      <c r="AC173" s="493">
        <f>IFERROR(INDEX('[2]CN BC'!$M$10:$M$276,MATCH(B173,'[2]CN BC'!$H$10:$H$276,0)),"")</f>
        <v>0</v>
      </c>
      <c r="AD173" s="522" t="s">
        <v>820</v>
      </c>
      <c r="AE173" s="108"/>
      <c r="AF173" s="108"/>
      <c r="AG173" s="155"/>
      <c r="AH173" s="108"/>
      <c r="AI173" s="108"/>
      <c r="AJ173" s="108"/>
      <c r="AK173" s="108"/>
      <c r="AL173" s="108"/>
      <c r="AM173" s="108"/>
    </row>
    <row r="174" spans="1:43" s="372" customFormat="1" ht="32.25" customHeight="1">
      <c r="A174" s="379">
        <f>_xlfn.AGGREGATE(4,7,A$29:A173)+1</f>
        <v>145</v>
      </c>
      <c r="B174" s="563" t="s">
        <v>1880</v>
      </c>
      <c r="C174" s="552" t="s">
        <v>1178</v>
      </c>
      <c r="D174" s="564" t="s">
        <v>1734</v>
      </c>
      <c r="E174" s="567" t="s">
        <v>375</v>
      </c>
      <c r="F174" s="566">
        <v>3.66</v>
      </c>
      <c r="G174" s="553"/>
      <c r="H174" s="554">
        <f t="shared" si="26"/>
        <v>3.66</v>
      </c>
      <c r="I174" s="554"/>
      <c r="J174" s="554" t="str">
        <f>VLOOKUP(B174,TH!B168:J500,9,FALSE)</f>
        <v>Giảng viên khoa LLCT</v>
      </c>
      <c r="K174" s="555">
        <f t="shared" si="27"/>
        <v>3.66</v>
      </c>
      <c r="L174" s="556">
        <f t="shared" si="28"/>
        <v>6588000</v>
      </c>
      <c r="M174" s="557" t="str">
        <f>VLOOKUP(B174,'[1]Gui chi Quynh'!$B$11:$E$400,4,FALSE)</f>
        <v>A DN</v>
      </c>
      <c r="N174" s="558">
        <f t="shared" si="30"/>
        <v>0</v>
      </c>
      <c r="O174" s="655">
        <v>21</v>
      </c>
      <c r="P174" s="559">
        <f>IFERROR(INDEX('[2]CN BC'!$J$10:$J$276,MATCH(B174,'[2]CN BC'!$H$10:$H$276,0)),"")</f>
        <v>0</v>
      </c>
      <c r="Q174" s="558">
        <f t="shared" si="36"/>
        <v>0</v>
      </c>
      <c r="R174" s="560"/>
      <c r="S174" s="556">
        <f t="shared" si="29"/>
        <v>0</v>
      </c>
      <c r="T174" s="561"/>
      <c r="U174" s="556">
        <f t="shared" si="39"/>
        <v>0</v>
      </c>
      <c r="V174" s="556">
        <v>0</v>
      </c>
      <c r="W174" s="556"/>
      <c r="X174" s="371">
        <f t="shared" si="37"/>
        <v>0</v>
      </c>
      <c r="Y174" s="860">
        <f t="shared" si="34"/>
        <v>0</v>
      </c>
      <c r="Z174" s="844">
        <v>1800000</v>
      </c>
      <c r="AA174" s="705">
        <f t="shared" si="35"/>
        <v>0</v>
      </c>
      <c r="AB174" s="568">
        <f t="shared" si="38"/>
        <v>145</v>
      </c>
      <c r="AC174" s="562" t="str">
        <f>IFERROR(INDEX('[2]CN BC'!$M$10:$M$276,MATCH(B174,'[2]CN BC'!$H$10:$H$276,0)),"")</f>
        <v>Nghỉ hộ sản hưởng chế độ BHXH từ 12/12/2023</v>
      </c>
      <c r="AD174" s="522" t="s">
        <v>1119</v>
      </c>
      <c r="AE174" s="108"/>
      <c r="AF174" s="108"/>
      <c r="AG174" s="155"/>
      <c r="AH174" s="108"/>
      <c r="AI174" s="108"/>
      <c r="AJ174" s="108"/>
      <c r="AK174" s="108"/>
      <c r="AL174" s="108"/>
      <c r="AM174" s="108"/>
    </row>
    <row r="175" spans="1:43" s="372" customFormat="1" ht="28.5" customHeight="1">
      <c r="A175" s="379">
        <f>_xlfn.AGGREGATE(4,7,A$29:A174)+1</f>
        <v>146</v>
      </c>
      <c r="B175" s="363" t="s">
        <v>1503</v>
      </c>
      <c r="C175" s="364" t="s">
        <v>276</v>
      </c>
      <c r="D175" s="434" t="s">
        <v>1735</v>
      </c>
      <c r="E175" s="423" t="s">
        <v>376</v>
      </c>
      <c r="F175" s="373">
        <v>3.66</v>
      </c>
      <c r="G175" s="367"/>
      <c r="H175" s="368">
        <f t="shared" si="26"/>
        <v>3.66</v>
      </c>
      <c r="I175" s="368"/>
      <c r="J175" s="368" t="str">
        <f>VLOOKUP(B175,TH!B169:J501,9,FALSE)</f>
        <v>Giảng viên khoa LLCT</v>
      </c>
      <c r="K175" s="369">
        <f t="shared" si="27"/>
        <v>3.66</v>
      </c>
      <c r="L175" s="362">
        <f t="shared" si="28"/>
        <v>6588000</v>
      </c>
      <c r="M175" s="366" t="str">
        <f>VLOOKUP(B175,'[1]Gui chi Quynh'!$B$11:$E$400,4,FALSE)</f>
        <v>A3</v>
      </c>
      <c r="N175" s="494">
        <f t="shared" si="30"/>
        <v>7905600</v>
      </c>
      <c r="O175" s="376">
        <v>21</v>
      </c>
      <c r="P175" s="440">
        <f>IFERROR(INDEX('[2]CN BC'!$J$10:$J$276,MATCH(B175,'[2]CN BC'!$H$10:$H$276,0)),"")</f>
        <v>21</v>
      </c>
      <c r="Q175" s="494">
        <f t="shared" si="36"/>
        <v>7905600</v>
      </c>
      <c r="R175" s="460"/>
      <c r="S175" s="362">
        <f t="shared" si="29"/>
        <v>0</v>
      </c>
      <c r="T175" s="370"/>
      <c r="U175" s="362">
        <f t="shared" si="39"/>
        <v>0</v>
      </c>
      <c r="V175" s="584">
        <f t="shared" si="33"/>
        <v>65880</v>
      </c>
      <c r="W175" s="584"/>
      <c r="X175" s="371">
        <f t="shared" si="37"/>
        <v>7905600</v>
      </c>
      <c r="Y175" s="846">
        <f t="shared" si="34"/>
        <v>4.3920000000000003</v>
      </c>
      <c r="Z175" s="491">
        <v>1800000</v>
      </c>
      <c r="AA175" s="662">
        <f t="shared" si="35"/>
        <v>7905600.0000000009</v>
      </c>
      <c r="AB175" s="568">
        <f t="shared" si="38"/>
        <v>146</v>
      </c>
      <c r="AC175" s="493">
        <f>IFERROR(INDEX('[2]CN BC'!$M$10:$M$276,MATCH(B175,'[2]CN BC'!$H$10:$H$276,0)),"")</f>
        <v>0</v>
      </c>
      <c r="AD175" s="522" t="s">
        <v>1120</v>
      </c>
      <c r="AE175" s="108"/>
      <c r="AF175" s="108"/>
      <c r="AG175" s="155"/>
      <c r="AH175" s="108"/>
      <c r="AI175" s="108"/>
      <c r="AJ175" s="108"/>
      <c r="AK175" s="108"/>
      <c r="AL175" s="108"/>
      <c r="AM175" s="108"/>
    </row>
    <row r="176" spans="1:43" s="372" customFormat="1" ht="26.25" customHeight="1">
      <c r="A176" s="379">
        <f>_xlfn.AGGREGATE(4,7,A$29:A175)+1</f>
        <v>147</v>
      </c>
      <c r="B176" s="363" t="s">
        <v>1504</v>
      </c>
      <c r="C176" s="364" t="s">
        <v>1041</v>
      </c>
      <c r="D176" s="434" t="s">
        <v>1736</v>
      </c>
      <c r="E176" s="434" t="s">
        <v>503</v>
      </c>
      <c r="F176" s="373">
        <v>4.32</v>
      </c>
      <c r="G176" s="367"/>
      <c r="H176" s="368">
        <f t="shared" si="26"/>
        <v>4.32</v>
      </c>
      <c r="I176" s="368"/>
      <c r="J176" s="368" t="str">
        <f>VLOOKUP(B176,TH!B170:J502,9,FALSE)</f>
        <v>Giảng viên khoa LLCT</v>
      </c>
      <c r="K176" s="369">
        <f t="shared" si="27"/>
        <v>4.32</v>
      </c>
      <c r="L176" s="362">
        <f t="shared" si="28"/>
        <v>7776000.0000000009</v>
      </c>
      <c r="M176" s="366" t="str">
        <f>VLOOKUP(B176,'[1]Gui chi Quynh'!$B$11:$E$400,4,FALSE)</f>
        <v>A4</v>
      </c>
      <c r="N176" s="494">
        <f t="shared" si="30"/>
        <v>7776000.0000000009</v>
      </c>
      <c r="O176" s="376">
        <v>21</v>
      </c>
      <c r="P176" s="440">
        <f>IFERROR(INDEX('[2]CN BC'!$J$10:$J$276,MATCH(B176,'[2]CN BC'!$H$10:$H$276,0)),"")</f>
        <v>21</v>
      </c>
      <c r="Q176" s="494">
        <f t="shared" si="36"/>
        <v>7776000.0000000009</v>
      </c>
      <c r="R176" s="460"/>
      <c r="S176" s="362">
        <f t="shared" si="29"/>
        <v>0</v>
      </c>
      <c r="T176" s="370"/>
      <c r="U176" s="362">
        <f t="shared" si="39"/>
        <v>0</v>
      </c>
      <c r="V176" s="584">
        <f t="shared" si="33"/>
        <v>77760</v>
      </c>
      <c r="W176" s="584"/>
      <c r="X176" s="371">
        <f t="shared" si="37"/>
        <v>7776000.0000000009</v>
      </c>
      <c r="Y176" s="846">
        <f t="shared" si="34"/>
        <v>4.32</v>
      </c>
      <c r="Z176" s="491">
        <v>1800000</v>
      </c>
      <c r="AA176" s="662">
        <f t="shared" si="35"/>
        <v>7776000.0000000009</v>
      </c>
      <c r="AB176" s="568">
        <f t="shared" si="38"/>
        <v>147</v>
      </c>
      <c r="AC176" s="493">
        <f>IFERROR(INDEX('[2]CN BC'!$M$10:$M$276,MATCH(B176,'[2]CN BC'!$H$10:$H$276,0)),"")</f>
        <v>0</v>
      </c>
      <c r="AD176" s="522" t="s">
        <v>1121</v>
      </c>
      <c r="AE176" s="108"/>
      <c r="AF176" s="108"/>
      <c r="AG176" s="155"/>
      <c r="AH176" s="108"/>
      <c r="AI176" s="108"/>
      <c r="AJ176" s="108"/>
      <c r="AK176" s="108"/>
      <c r="AL176" s="108"/>
      <c r="AM176" s="108"/>
    </row>
    <row r="177" spans="1:43" s="372" customFormat="1" ht="27" customHeight="1">
      <c r="A177" s="379">
        <f>_xlfn.AGGREGATE(4,7,A$29:A176)+1</f>
        <v>148</v>
      </c>
      <c r="B177" s="363" t="s">
        <v>1505</v>
      </c>
      <c r="C177" s="364" t="s">
        <v>920</v>
      </c>
      <c r="D177" s="434" t="s">
        <v>1737</v>
      </c>
      <c r="E177" s="422" t="s">
        <v>1592</v>
      </c>
      <c r="F177" s="373">
        <v>3.33</v>
      </c>
      <c r="G177" s="367"/>
      <c r="H177" s="445">
        <f t="shared" si="26"/>
        <v>3.33</v>
      </c>
      <c r="I177" s="368"/>
      <c r="J177" s="368" t="str">
        <f>VLOOKUP(B177,TH!B171:J503,9,FALSE)</f>
        <v>Giảng viên khoa LLCT</v>
      </c>
      <c r="K177" s="369">
        <f t="shared" si="27"/>
        <v>3.33</v>
      </c>
      <c r="L177" s="362">
        <f t="shared" si="28"/>
        <v>5994000</v>
      </c>
      <c r="M177" s="366" t="str">
        <f>VLOOKUP(B177,'[1]Gui chi Quynh'!$B$11:$E$400,4,FALSE)</f>
        <v>A3</v>
      </c>
      <c r="N177" s="494">
        <f t="shared" si="30"/>
        <v>7192800</v>
      </c>
      <c r="O177" s="376">
        <v>21</v>
      </c>
      <c r="P177" s="440">
        <f>IFERROR(INDEX('[2]CN BC'!$J$10:$J$276,MATCH(B177,'[2]CN BC'!$H$10:$H$276,0)),"")</f>
        <v>21</v>
      </c>
      <c r="Q177" s="494">
        <f t="shared" si="36"/>
        <v>7192800</v>
      </c>
      <c r="R177" s="460"/>
      <c r="S177" s="362">
        <f t="shared" si="29"/>
        <v>0</v>
      </c>
      <c r="T177" s="370"/>
      <c r="U177" s="362">
        <f t="shared" si="39"/>
        <v>0</v>
      </c>
      <c r="V177" s="584">
        <f t="shared" si="33"/>
        <v>59940</v>
      </c>
      <c r="W177" s="584"/>
      <c r="X177" s="371">
        <f t="shared" si="37"/>
        <v>7192800</v>
      </c>
      <c r="Y177" s="846">
        <f t="shared" si="34"/>
        <v>3.996</v>
      </c>
      <c r="Z177" s="491">
        <v>1800000</v>
      </c>
      <c r="AA177" s="662">
        <f t="shared" si="35"/>
        <v>7192800</v>
      </c>
      <c r="AB177" s="568">
        <f t="shared" si="38"/>
        <v>148</v>
      </c>
      <c r="AC177" s="493">
        <f>IFERROR(INDEX('[2]CN BC'!$M$10:$M$276,MATCH(B177,'[2]CN BC'!$H$10:$H$276,0)),"")</f>
        <v>0</v>
      </c>
      <c r="AD177" s="522" t="s">
        <v>1122</v>
      </c>
      <c r="AE177" s="108"/>
      <c r="AF177" s="108"/>
      <c r="AG177" s="155"/>
      <c r="AH177" s="108"/>
      <c r="AI177" s="108"/>
      <c r="AJ177" s="108"/>
      <c r="AK177" s="108"/>
      <c r="AL177" s="108"/>
      <c r="AM177" s="108"/>
    </row>
    <row r="178" spans="1:43" s="372" customFormat="1" ht="28.15" customHeight="1">
      <c r="A178" s="379">
        <f>_xlfn.AGGREGATE(4,7,A$29:A177)+1</f>
        <v>149</v>
      </c>
      <c r="B178" s="363" t="s">
        <v>1881</v>
      </c>
      <c r="C178" s="364" t="s">
        <v>891</v>
      </c>
      <c r="D178" s="434" t="s">
        <v>1738</v>
      </c>
      <c r="E178" s="423" t="s">
        <v>379</v>
      </c>
      <c r="F178" s="373">
        <v>3.66</v>
      </c>
      <c r="G178" s="367"/>
      <c r="H178" s="368">
        <f t="shared" si="26"/>
        <v>3.66</v>
      </c>
      <c r="I178" s="368"/>
      <c r="J178" s="368" t="str">
        <f>VLOOKUP(B178,TH!B172:J504,9,FALSE)</f>
        <v>Giảng viên khoa LLCT</v>
      </c>
      <c r="K178" s="369">
        <f t="shared" si="27"/>
        <v>3.66</v>
      </c>
      <c r="L178" s="362">
        <f t="shared" si="28"/>
        <v>6588000</v>
      </c>
      <c r="M178" s="366" t="str">
        <f>VLOOKUP(B178,'[1]Gui chi Quynh'!$B$11:$E$400,4,FALSE)</f>
        <v>A4</v>
      </c>
      <c r="N178" s="494">
        <f t="shared" si="30"/>
        <v>6588000</v>
      </c>
      <c r="O178" s="376">
        <v>21</v>
      </c>
      <c r="P178" s="440">
        <f>IFERROR(INDEX('[2]CN BC'!$J$10:$J$276,MATCH(B178,'[2]CN BC'!$H$10:$H$276,0)),"")</f>
        <v>21</v>
      </c>
      <c r="Q178" s="494">
        <f t="shared" si="36"/>
        <v>6588000</v>
      </c>
      <c r="R178" s="460">
        <v>0</v>
      </c>
      <c r="S178" s="362">
        <f t="shared" si="29"/>
        <v>0</v>
      </c>
      <c r="T178" s="370"/>
      <c r="U178" s="362">
        <f t="shared" si="39"/>
        <v>0</v>
      </c>
      <c r="V178" s="584">
        <f t="shared" si="33"/>
        <v>65880</v>
      </c>
      <c r="W178" s="584"/>
      <c r="X178" s="371">
        <f t="shared" si="37"/>
        <v>6588000</v>
      </c>
      <c r="Y178" s="846">
        <f t="shared" si="34"/>
        <v>3.66</v>
      </c>
      <c r="Z178" s="491">
        <v>1800000</v>
      </c>
      <c r="AA178" s="662">
        <f t="shared" si="35"/>
        <v>6588000</v>
      </c>
      <c r="AB178" s="568">
        <f t="shared" si="38"/>
        <v>149</v>
      </c>
      <c r="AC178" s="493">
        <f>IFERROR(INDEX('[2]CN BC'!$M$10:$M$276,MATCH(B178,'[2]CN BC'!$H$10:$H$276,0)),"")</f>
        <v>0</v>
      </c>
      <c r="AD178" s="522" t="s">
        <v>1124</v>
      </c>
      <c r="AE178" s="108"/>
      <c r="AF178" s="108"/>
      <c r="AG178" s="155"/>
      <c r="AH178" s="108"/>
      <c r="AI178" s="108"/>
      <c r="AJ178" s="108"/>
      <c r="AK178" s="108"/>
      <c r="AL178" s="108"/>
      <c r="AM178" s="108"/>
    </row>
    <row r="179" spans="1:43" s="372" customFormat="1" ht="27.75" customHeight="1">
      <c r="A179" s="379">
        <f>_xlfn.AGGREGATE(4,7,A$29:A178)+1</f>
        <v>150</v>
      </c>
      <c r="B179" s="390" t="s">
        <v>1506</v>
      </c>
      <c r="C179" s="490" t="s">
        <v>1426</v>
      </c>
      <c r="D179" s="434" t="s">
        <v>1739</v>
      </c>
      <c r="E179" s="422" t="s">
        <v>1427</v>
      </c>
      <c r="F179" s="373">
        <v>3.33</v>
      </c>
      <c r="G179" s="367"/>
      <c r="H179" s="445">
        <f t="shared" si="26"/>
        <v>3.33</v>
      </c>
      <c r="I179" s="368"/>
      <c r="J179" s="368" t="str">
        <f>VLOOKUP(B179,TH!B173:J505,9,FALSE)</f>
        <v>Giảng viên khoa LLCT</v>
      </c>
      <c r="K179" s="369">
        <f t="shared" si="27"/>
        <v>3.33</v>
      </c>
      <c r="L179" s="362">
        <f t="shared" si="28"/>
        <v>5994000</v>
      </c>
      <c r="M179" s="366" t="str">
        <f>VLOOKUP(B179,'[1]Gui chi Quynh'!$B$11:$E$400,4,FALSE)</f>
        <v>A4</v>
      </c>
      <c r="N179" s="494">
        <f t="shared" si="30"/>
        <v>5994000</v>
      </c>
      <c r="O179" s="376">
        <v>21</v>
      </c>
      <c r="P179" s="440">
        <f>IFERROR(INDEX('[2]CN BC'!$J$10:$J$276,MATCH(B179,'[2]CN BC'!$H$10:$H$276,0)),"")</f>
        <v>21</v>
      </c>
      <c r="Q179" s="494">
        <f t="shared" si="36"/>
        <v>5994000</v>
      </c>
      <c r="R179" s="460"/>
      <c r="S179" s="362">
        <f t="shared" si="29"/>
        <v>0</v>
      </c>
      <c r="T179" s="370"/>
      <c r="U179" s="362">
        <f t="shared" si="39"/>
        <v>0</v>
      </c>
      <c r="V179" s="584">
        <f t="shared" si="33"/>
        <v>59940</v>
      </c>
      <c r="W179" s="584"/>
      <c r="X179" s="371">
        <f t="shared" si="37"/>
        <v>5994000</v>
      </c>
      <c r="Y179" s="846">
        <f t="shared" si="34"/>
        <v>3.33</v>
      </c>
      <c r="Z179" s="491">
        <v>1800000</v>
      </c>
      <c r="AA179" s="662">
        <f t="shared" si="35"/>
        <v>5994000</v>
      </c>
      <c r="AB179" s="568">
        <f t="shared" si="38"/>
        <v>150</v>
      </c>
      <c r="AC179" s="493">
        <f>IFERROR(INDEX('[2]CN BC'!$M$10:$M$276,MATCH(B179,'[2]CN BC'!$H$10:$H$276,0)),"")</f>
        <v>0</v>
      </c>
      <c r="AD179" s="522" t="s">
        <v>1125</v>
      </c>
      <c r="AE179" s="108"/>
      <c r="AF179" s="108"/>
      <c r="AG179" s="155"/>
    </row>
    <row r="180" spans="1:43" s="372" customFormat="1" ht="27" customHeight="1">
      <c r="A180" s="379">
        <f>_xlfn.AGGREGATE(4,7,A$29:A179)+1</f>
        <v>151</v>
      </c>
      <c r="B180" s="363" t="s">
        <v>1882</v>
      </c>
      <c r="C180" s="364" t="s">
        <v>947</v>
      </c>
      <c r="D180" s="434" t="s">
        <v>1741</v>
      </c>
      <c r="E180" s="423" t="s">
        <v>1341</v>
      </c>
      <c r="F180" s="373">
        <v>4.32</v>
      </c>
      <c r="G180" s="367"/>
      <c r="H180" s="368">
        <f t="shared" si="26"/>
        <v>4.32</v>
      </c>
      <c r="I180" s="368"/>
      <c r="J180" s="368" t="str">
        <f>VLOOKUP(B180,TH!B174:J506,9,FALSE)</f>
        <v>Giảng viên khoa CNTT</v>
      </c>
      <c r="K180" s="369">
        <f t="shared" si="27"/>
        <v>4.32</v>
      </c>
      <c r="L180" s="362">
        <f t="shared" si="28"/>
        <v>7776000.0000000009</v>
      </c>
      <c r="M180" s="366" t="str">
        <f>VLOOKUP(B180,'[1]Gui chi Quynh'!$B$11:$E$400,4,FALSE)</f>
        <v>A4</v>
      </c>
      <c r="N180" s="494">
        <f t="shared" si="30"/>
        <v>7776000.0000000009</v>
      </c>
      <c r="O180" s="376">
        <v>21</v>
      </c>
      <c r="P180" s="440">
        <f>IFERROR(INDEX('[2]CN BC'!$J$10:$J$276,MATCH(B180,'[2]CN BC'!$H$10:$H$276,0)),"")</f>
        <v>21</v>
      </c>
      <c r="Q180" s="494">
        <f t="shared" si="36"/>
        <v>7776000.0000000009</v>
      </c>
      <c r="R180" s="460"/>
      <c r="S180" s="362">
        <f t="shared" si="29"/>
        <v>0</v>
      </c>
      <c r="T180" s="370"/>
      <c r="U180" s="362">
        <f t="shared" si="39"/>
        <v>0</v>
      </c>
      <c r="V180" s="584">
        <f t="shared" si="33"/>
        <v>77760</v>
      </c>
      <c r="W180" s="584"/>
      <c r="X180" s="371">
        <f t="shared" si="37"/>
        <v>7776000.0000000009</v>
      </c>
      <c r="Y180" s="846">
        <f t="shared" si="34"/>
        <v>4.32</v>
      </c>
      <c r="Z180" s="491">
        <v>1800000</v>
      </c>
      <c r="AA180" s="662">
        <f t="shared" si="35"/>
        <v>7776000.0000000009</v>
      </c>
      <c r="AB180" s="568">
        <f t="shared" si="38"/>
        <v>151</v>
      </c>
      <c r="AC180" s="493">
        <f>IFERROR(INDEX('[2]CN BC'!$M$10:$M$276,MATCH(B180,'[2]CN BC'!$H$10:$H$276,0)),"")</f>
        <v>0</v>
      </c>
      <c r="AD180" s="523" t="s">
        <v>813</v>
      </c>
      <c r="AE180" s="108"/>
      <c r="AF180" s="108"/>
      <c r="AG180" s="155"/>
    </row>
    <row r="181" spans="1:43" s="108" customFormat="1" ht="28.5" customHeight="1">
      <c r="A181" s="379">
        <f>_xlfn.AGGREGATE(4,7,A$29:A180)+1</f>
        <v>152</v>
      </c>
      <c r="B181" s="33" t="s">
        <v>1508</v>
      </c>
      <c r="C181" s="34" t="s">
        <v>1019</v>
      </c>
      <c r="D181" s="406" t="s">
        <v>1742</v>
      </c>
      <c r="E181" s="424" t="s">
        <v>1342</v>
      </c>
      <c r="F181" s="83">
        <v>3.99</v>
      </c>
      <c r="G181" s="157"/>
      <c r="H181" s="368">
        <f t="shared" si="26"/>
        <v>3.99</v>
      </c>
      <c r="I181" s="81"/>
      <c r="J181" s="368" t="str">
        <f>VLOOKUP(B181,TH!B175:J507,9,FALSE)</f>
        <v>Giảng viên khoa CNTT</v>
      </c>
      <c r="K181" s="369">
        <f t="shared" si="27"/>
        <v>3.99</v>
      </c>
      <c r="L181" s="362">
        <f t="shared" si="28"/>
        <v>7182000</v>
      </c>
      <c r="M181" s="366" t="str">
        <f>VLOOKUP(B181,'[1]Gui chi Quynh'!$B$11:$E$400,4,FALSE)</f>
        <v>A3</v>
      </c>
      <c r="N181" s="494">
        <f t="shared" si="30"/>
        <v>8618400</v>
      </c>
      <c r="O181" s="376">
        <v>21</v>
      </c>
      <c r="P181" s="440">
        <f>IFERROR(INDEX('[2]CN BC'!$J$10:$J$276,MATCH(B181,'[2]CN BC'!$H$10:$H$276,0)),"")</f>
        <v>21</v>
      </c>
      <c r="Q181" s="494">
        <f t="shared" si="36"/>
        <v>8618400</v>
      </c>
      <c r="R181" s="392"/>
      <c r="S181" s="362">
        <f t="shared" si="29"/>
        <v>0</v>
      </c>
      <c r="T181" s="385"/>
      <c r="U181" s="362">
        <f t="shared" si="39"/>
        <v>0</v>
      </c>
      <c r="V181" s="584">
        <f t="shared" si="33"/>
        <v>71820</v>
      </c>
      <c r="W181" s="584"/>
      <c r="X181" s="371">
        <f t="shared" si="37"/>
        <v>8618400</v>
      </c>
      <c r="Y181" s="846">
        <f t="shared" si="34"/>
        <v>4.7880000000000003</v>
      </c>
      <c r="Z181" s="491">
        <v>1800000</v>
      </c>
      <c r="AA181" s="662">
        <f t="shared" si="35"/>
        <v>8618400</v>
      </c>
      <c r="AB181" s="568">
        <f t="shared" si="38"/>
        <v>152</v>
      </c>
      <c r="AC181" s="493">
        <f>IFERROR(INDEX('[2]CN BC'!$M$10:$M$276,MATCH(B181,'[2]CN BC'!$H$10:$H$276,0)),"")</f>
        <v>0</v>
      </c>
      <c r="AD181" s="523" t="s">
        <v>814</v>
      </c>
      <c r="AG181" s="155"/>
    </row>
    <row r="182" spans="1:43" s="108" customFormat="1" ht="26.25" customHeight="1">
      <c r="A182" s="379">
        <f>_xlfn.AGGREGATE(4,7,A$29:A181)+1</f>
        <v>153</v>
      </c>
      <c r="B182" s="33" t="s">
        <v>1509</v>
      </c>
      <c r="C182" s="34" t="s">
        <v>1023</v>
      </c>
      <c r="D182" s="406" t="s">
        <v>1743</v>
      </c>
      <c r="E182" s="424" t="s">
        <v>1344</v>
      </c>
      <c r="F182" s="10">
        <v>3.99</v>
      </c>
      <c r="G182" s="157"/>
      <c r="H182" s="368">
        <f t="shared" si="26"/>
        <v>3.99</v>
      </c>
      <c r="I182" s="81"/>
      <c r="J182" s="368" t="str">
        <f>VLOOKUP(B182,TH!B176:J508,9,FALSE)</f>
        <v>Giảng viên khoa CNTT</v>
      </c>
      <c r="K182" s="369">
        <f t="shared" si="27"/>
        <v>3.99</v>
      </c>
      <c r="L182" s="362">
        <f t="shared" si="28"/>
        <v>7182000</v>
      </c>
      <c r="M182" s="366" t="str">
        <f>VLOOKUP(B182,'[1]Gui chi Quynh'!$B$11:$E$400,4,FALSE)</f>
        <v>A3</v>
      </c>
      <c r="N182" s="494">
        <f t="shared" si="30"/>
        <v>8618400</v>
      </c>
      <c r="O182" s="376">
        <v>21</v>
      </c>
      <c r="P182" s="440">
        <f>IFERROR(INDEX('[2]CN BC'!$J$10:$J$276,MATCH(B182,'[2]CN BC'!$H$10:$H$276,0)),"")</f>
        <v>21</v>
      </c>
      <c r="Q182" s="494">
        <f t="shared" si="36"/>
        <v>8618400</v>
      </c>
      <c r="R182" s="392"/>
      <c r="S182" s="362">
        <f t="shared" si="29"/>
        <v>0</v>
      </c>
      <c r="T182" s="385"/>
      <c r="U182" s="362">
        <f t="shared" si="39"/>
        <v>0</v>
      </c>
      <c r="V182" s="584">
        <f t="shared" si="33"/>
        <v>71820</v>
      </c>
      <c r="W182" s="584"/>
      <c r="X182" s="371">
        <f t="shared" si="37"/>
        <v>8618400</v>
      </c>
      <c r="Y182" s="846">
        <f t="shared" si="34"/>
        <v>4.7880000000000003</v>
      </c>
      <c r="Z182" s="491">
        <v>1800000</v>
      </c>
      <c r="AA182" s="662">
        <f t="shared" si="35"/>
        <v>8618400</v>
      </c>
      <c r="AB182" s="568">
        <f t="shared" si="38"/>
        <v>153</v>
      </c>
      <c r="AC182" s="493">
        <f>IFERROR(INDEX('[2]CN BC'!$M$10:$M$276,MATCH(B182,'[2]CN BC'!$H$10:$H$276,0)),"")</f>
        <v>0</v>
      </c>
      <c r="AD182" s="523" t="s">
        <v>815</v>
      </c>
      <c r="AG182" s="155"/>
    </row>
    <row r="183" spans="1:43" s="372" customFormat="1" ht="50.25" customHeight="1">
      <c r="A183" s="379">
        <f>_xlfn.AGGREGATE(4,7,A$29:A182)+1</f>
        <v>154</v>
      </c>
      <c r="B183" s="563" t="s">
        <v>1510</v>
      </c>
      <c r="C183" s="552" t="s">
        <v>891</v>
      </c>
      <c r="D183" s="564" t="s">
        <v>1744</v>
      </c>
      <c r="E183" s="567" t="s">
        <v>1347</v>
      </c>
      <c r="F183" s="566">
        <v>3.66</v>
      </c>
      <c r="G183" s="553"/>
      <c r="H183" s="554">
        <f t="shared" si="26"/>
        <v>3.66</v>
      </c>
      <c r="I183" s="554"/>
      <c r="J183" s="554" t="str">
        <f>VLOOKUP(B183,TH!B177:J509,9,FALSE)</f>
        <v>Giảng viên khoa CNTT</v>
      </c>
      <c r="K183" s="555">
        <f t="shared" si="27"/>
        <v>3.66</v>
      </c>
      <c r="L183" s="556">
        <f t="shared" si="28"/>
        <v>6588000</v>
      </c>
      <c r="M183" s="557" t="str">
        <f>VLOOKUP(B183,'[1]Gui chi Quynh'!$B$11:$E$400,4,FALSE)</f>
        <v>B1</v>
      </c>
      <c r="N183" s="558">
        <f t="shared" si="30"/>
        <v>4611600</v>
      </c>
      <c r="O183" s="655">
        <v>21</v>
      </c>
      <c r="P183" s="559">
        <f>IFERROR(INDEX('[2]CN BC'!$J$10:$J$276,MATCH(B183,'[2]CN BC'!$H$10:$H$276,0)),"")</f>
        <v>21</v>
      </c>
      <c r="Q183" s="558">
        <f t="shared" si="36"/>
        <v>4611600</v>
      </c>
      <c r="R183" s="560"/>
      <c r="S183" s="556">
        <f t="shared" si="29"/>
        <v>0</v>
      </c>
      <c r="T183" s="561"/>
      <c r="U183" s="556">
        <f t="shared" si="39"/>
        <v>0</v>
      </c>
      <c r="V183" s="556">
        <f t="shared" si="33"/>
        <v>65880</v>
      </c>
      <c r="W183" s="556"/>
      <c r="X183" s="371">
        <f t="shared" si="37"/>
        <v>4611600</v>
      </c>
      <c r="Y183" s="860">
        <f t="shared" si="34"/>
        <v>2.5619999999999998</v>
      </c>
      <c r="Z183" s="844">
        <v>1800000</v>
      </c>
      <c r="AA183" s="705">
        <f t="shared" si="35"/>
        <v>4611600</v>
      </c>
      <c r="AB183" s="568">
        <f t="shared" si="38"/>
        <v>154</v>
      </c>
      <c r="AC183" s="562" t="s">
        <v>2192</v>
      </c>
      <c r="AD183" s="539" t="s">
        <v>816</v>
      </c>
      <c r="AG183" s="487"/>
    </row>
    <row r="184" spans="1:43" s="372" customFormat="1" ht="27" customHeight="1">
      <c r="A184" s="379">
        <f>_xlfn.AGGREGATE(4,7,A$29:A183)+1</f>
        <v>155</v>
      </c>
      <c r="B184" s="390" t="s">
        <v>1511</v>
      </c>
      <c r="C184" s="364" t="s">
        <v>867</v>
      </c>
      <c r="D184" s="434" t="s">
        <v>1745</v>
      </c>
      <c r="E184" s="423" t="s">
        <v>1349</v>
      </c>
      <c r="F184" s="373">
        <v>3.99</v>
      </c>
      <c r="G184" s="367"/>
      <c r="H184" s="368">
        <f t="shared" si="26"/>
        <v>3.99</v>
      </c>
      <c r="I184" s="368"/>
      <c r="J184" s="368" t="str">
        <f>VLOOKUP(B184,TH!B178:J510,9,FALSE)</f>
        <v>Giảng viên khoa CNTT</v>
      </c>
      <c r="K184" s="369">
        <f t="shared" si="27"/>
        <v>3.99</v>
      </c>
      <c r="L184" s="362">
        <f t="shared" si="28"/>
        <v>7182000</v>
      </c>
      <c r="M184" s="366" t="str">
        <f>VLOOKUP(B184,'[1]Gui chi Quynh'!$B$11:$E$400,4,FALSE)</f>
        <v>A4</v>
      </c>
      <c r="N184" s="494">
        <f t="shared" si="30"/>
        <v>7182000</v>
      </c>
      <c r="O184" s="376">
        <v>21</v>
      </c>
      <c r="P184" s="440">
        <f>IFERROR(INDEX('[2]CN BC'!$J$10:$J$276,MATCH(B184,'[2]CN BC'!$H$10:$H$276,0)),"")</f>
        <v>21</v>
      </c>
      <c r="Q184" s="494">
        <f t="shared" si="36"/>
        <v>7182000</v>
      </c>
      <c r="R184" s="392"/>
      <c r="S184" s="362">
        <f t="shared" si="29"/>
        <v>0</v>
      </c>
      <c r="T184" s="370"/>
      <c r="U184" s="362">
        <f t="shared" si="39"/>
        <v>0</v>
      </c>
      <c r="V184" s="584">
        <f t="shared" si="33"/>
        <v>71820</v>
      </c>
      <c r="W184" s="584"/>
      <c r="X184" s="371">
        <f t="shared" si="37"/>
        <v>7182000</v>
      </c>
      <c r="Y184" s="846">
        <f t="shared" si="34"/>
        <v>3.99</v>
      </c>
      <c r="Z184" s="491">
        <v>1800000</v>
      </c>
      <c r="AA184" s="662">
        <f t="shared" si="35"/>
        <v>7182000</v>
      </c>
      <c r="AB184" s="568">
        <f t="shared" si="38"/>
        <v>155</v>
      </c>
      <c r="AC184" s="493">
        <f>IFERROR(INDEX('[2]CN BC'!$M$10:$M$276,MATCH(B184,'[2]CN BC'!$H$10:$H$276,0)),"")</f>
        <v>0</v>
      </c>
      <c r="AD184" s="523" t="s">
        <v>817</v>
      </c>
      <c r="AE184" s="108"/>
      <c r="AF184" s="108"/>
      <c r="AG184" s="155"/>
      <c r="AH184" s="108"/>
      <c r="AI184" s="108"/>
      <c r="AJ184" s="108"/>
      <c r="AK184" s="108"/>
      <c r="AL184" s="108"/>
      <c r="AM184" s="108"/>
    </row>
    <row r="185" spans="1:43" s="372" customFormat="1" ht="27" customHeight="1">
      <c r="A185" s="379">
        <f>_xlfn.AGGREGATE(4,7,A$29:A184)+1</f>
        <v>156</v>
      </c>
      <c r="B185" s="363" t="s">
        <v>1512</v>
      </c>
      <c r="C185" s="364" t="s">
        <v>1209</v>
      </c>
      <c r="D185" s="434" t="s">
        <v>1746</v>
      </c>
      <c r="E185" s="423" t="s">
        <v>1350</v>
      </c>
      <c r="F185" s="373">
        <v>3.99</v>
      </c>
      <c r="G185" s="367"/>
      <c r="H185" s="368">
        <f t="shared" si="26"/>
        <v>3.99</v>
      </c>
      <c r="I185" s="368"/>
      <c r="J185" s="368" t="str">
        <f>VLOOKUP(B185,TH!B179:J511,9,FALSE)</f>
        <v>Giảng viên khoa CNTT</v>
      </c>
      <c r="K185" s="369">
        <f t="shared" si="27"/>
        <v>3.99</v>
      </c>
      <c r="L185" s="362">
        <f t="shared" si="28"/>
        <v>7182000</v>
      </c>
      <c r="M185" s="366" t="str">
        <f>VLOOKUP(B185,'[1]Gui chi Quynh'!$B$11:$E$400,4,FALSE)</f>
        <v>A4</v>
      </c>
      <c r="N185" s="494">
        <f t="shared" si="30"/>
        <v>7182000</v>
      </c>
      <c r="O185" s="376">
        <v>21</v>
      </c>
      <c r="P185" s="440">
        <f>IFERROR(INDEX('[2]CN BC'!$J$10:$J$276,MATCH(B185,'[2]CN BC'!$H$10:$H$276,0)),"")</f>
        <v>21</v>
      </c>
      <c r="Q185" s="494">
        <f t="shared" si="36"/>
        <v>7182000</v>
      </c>
      <c r="R185" s="460"/>
      <c r="S185" s="362">
        <f t="shared" si="29"/>
        <v>0</v>
      </c>
      <c r="T185" s="370"/>
      <c r="U185" s="362">
        <f t="shared" si="39"/>
        <v>0</v>
      </c>
      <c r="V185" s="584">
        <f t="shared" si="33"/>
        <v>71820</v>
      </c>
      <c r="W185" s="584"/>
      <c r="X185" s="371">
        <f t="shared" si="37"/>
        <v>7182000</v>
      </c>
      <c r="Y185" s="846">
        <f t="shared" si="34"/>
        <v>3.99</v>
      </c>
      <c r="Z185" s="491">
        <v>1800000</v>
      </c>
      <c r="AA185" s="662">
        <f t="shared" si="35"/>
        <v>7182000</v>
      </c>
      <c r="AB185" s="568">
        <f t="shared" si="38"/>
        <v>156</v>
      </c>
      <c r="AC185" s="493">
        <f>IFERROR(INDEX('[2]CN BC'!$M$10:$M$276,MATCH(B185,'[2]CN BC'!$H$10:$H$276,0)),"")</f>
        <v>0</v>
      </c>
      <c r="AD185" s="523" t="s">
        <v>818</v>
      </c>
      <c r="AE185" s="108"/>
      <c r="AF185" s="108"/>
      <c r="AG185" s="155"/>
      <c r="AH185" s="108"/>
      <c r="AI185" s="108"/>
      <c r="AJ185" s="108"/>
      <c r="AK185" s="108"/>
      <c r="AL185" s="108"/>
      <c r="AM185" s="108"/>
    </row>
    <row r="186" spans="1:43" s="108" customFormat="1" ht="27" customHeight="1">
      <c r="A186" s="379">
        <f>_xlfn.AGGREGATE(4,7,A$29:A185)+1</f>
        <v>157</v>
      </c>
      <c r="B186" s="33" t="s">
        <v>1513</v>
      </c>
      <c r="C186" s="34" t="s">
        <v>1211</v>
      </c>
      <c r="D186" s="406" t="s">
        <v>1747</v>
      </c>
      <c r="E186" s="424" t="s">
        <v>1353</v>
      </c>
      <c r="F186" s="83">
        <v>3.99</v>
      </c>
      <c r="G186" s="157"/>
      <c r="H186" s="368">
        <f t="shared" si="26"/>
        <v>3.99</v>
      </c>
      <c r="I186" s="514">
        <v>0.45</v>
      </c>
      <c r="J186" s="368" t="str">
        <f>VLOOKUP(B186,TH!B180:J512,9,FALSE)</f>
        <v>Trưởng BM khoa CNTT</v>
      </c>
      <c r="K186" s="369">
        <f t="shared" si="27"/>
        <v>4.4400000000000004</v>
      </c>
      <c r="L186" s="362">
        <f t="shared" si="28"/>
        <v>7992000.0000000009</v>
      </c>
      <c r="M186" s="366" t="str">
        <f>VLOOKUP(B186,'[1]Gui chi Quynh'!$B$11:$E$400,4,FALSE)</f>
        <v>A2</v>
      </c>
      <c r="N186" s="494">
        <f t="shared" si="30"/>
        <v>11188800</v>
      </c>
      <c r="O186" s="376">
        <v>21</v>
      </c>
      <c r="P186" s="440">
        <f>IFERROR(INDEX('[2]CN BC'!$J$10:$J$276,MATCH(B186,'[2]CN BC'!$H$10:$H$276,0)),"")</f>
        <v>21</v>
      </c>
      <c r="Q186" s="494">
        <f t="shared" si="36"/>
        <v>11188800</v>
      </c>
      <c r="R186" s="392"/>
      <c r="S186" s="362">
        <f t="shared" si="29"/>
        <v>0</v>
      </c>
      <c r="T186" s="385"/>
      <c r="U186" s="362">
        <f t="shared" si="39"/>
        <v>0</v>
      </c>
      <c r="V186" s="584">
        <f t="shared" si="33"/>
        <v>79920</v>
      </c>
      <c r="W186" s="584"/>
      <c r="X186" s="371">
        <f t="shared" si="37"/>
        <v>11188800</v>
      </c>
      <c r="Y186" s="846">
        <f t="shared" si="34"/>
        <v>6.2160000000000002</v>
      </c>
      <c r="Z186" s="491">
        <v>1800000</v>
      </c>
      <c r="AA186" s="662">
        <f t="shared" si="35"/>
        <v>11188800</v>
      </c>
      <c r="AB186" s="568">
        <f t="shared" si="38"/>
        <v>157</v>
      </c>
      <c r="AC186" s="493">
        <f>IFERROR(INDEX('[2]CN BC'!$M$10:$M$276,MATCH(B186,'[2]CN BC'!$H$10:$H$276,0)),"")</f>
        <v>0</v>
      </c>
      <c r="AD186" s="523" t="s">
        <v>819</v>
      </c>
      <c r="AG186" s="155"/>
    </row>
    <row r="187" spans="1:43" s="372" customFormat="1" ht="30" customHeight="1">
      <c r="A187" s="379">
        <f>_xlfn.AGGREGATE(4,7,A$29:A186)+1</f>
        <v>158</v>
      </c>
      <c r="B187" s="363" t="s">
        <v>1514</v>
      </c>
      <c r="C187" s="364" t="s">
        <v>979</v>
      </c>
      <c r="D187" s="434" t="s">
        <v>1748</v>
      </c>
      <c r="E187" s="423" t="s">
        <v>1354</v>
      </c>
      <c r="F187" s="373">
        <v>3.66</v>
      </c>
      <c r="G187" s="367"/>
      <c r="H187" s="368">
        <f t="shared" si="26"/>
        <v>3.66</v>
      </c>
      <c r="I187" s="368"/>
      <c r="J187" s="368" t="str">
        <f>VLOOKUP(B187,TH!B181:J513,9,FALSE)</f>
        <v>Giảng viên khoa CNTT</v>
      </c>
      <c r="K187" s="369">
        <f t="shared" si="27"/>
        <v>3.66</v>
      </c>
      <c r="L187" s="362">
        <f t="shared" si="28"/>
        <v>6588000</v>
      </c>
      <c r="M187" s="366" t="str">
        <f>VLOOKUP(B187,'[1]Gui chi Quynh'!$B$11:$E$400,4,FALSE)</f>
        <v>A4</v>
      </c>
      <c r="N187" s="494">
        <f t="shared" si="30"/>
        <v>6588000</v>
      </c>
      <c r="O187" s="376">
        <v>21</v>
      </c>
      <c r="P187" s="440">
        <f>IFERROR(INDEX('[2]CN BC'!$J$10:$J$276,MATCH(B187,'[2]CN BC'!$H$10:$H$276,0)),"")</f>
        <v>21</v>
      </c>
      <c r="Q187" s="494">
        <f t="shared" si="36"/>
        <v>6588000</v>
      </c>
      <c r="R187" s="460"/>
      <c r="S187" s="362">
        <f t="shared" si="29"/>
        <v>0</v>
      </c>
      <c r="T187" s="370"/>
      <c r="U187" s="362">
        <f t="shared" si="39"/>
        <v>0</v>
      </c>
      <c r="V187" s="584">
        <f t="shared" si="33"/>
        <v>65880</v>
      </c>
      <c r="W187" s="584"/>
      <c r="X187" s="371">
        <f t="shared" si="37"/>
        <v>6588000</v>
      </c>
      <c r="Y187" s="846">
        <f t="shared" si="34"/>
        <v>3.66</v>
      </c>
      <c r="Z187" s="491">
        <v>1800000</v>
      </c>
      <c r="AA187" s="662">
        <f t="shared" si="35"/>
        <v>6588000</v>
      </c>
      <c r="AB187" s="568">
        <f t="shared" si="38"/>
        <v>158</v>
      </c>
      <c r="AC187" s="493">
        <f>IFERROR(INDEX('[2]CN BC'!$M$10:$M$276,MATCH(B187,'[2]CN BC'!$H$10:$H$276,0)),"")</f>
        <v>0</v>
      </c>
      <c r="AD187" s="523" t="s">
        <v>820</v>
      </c>
      <c r="AE187" s="108"/>
      <c r="AF187" s="108"/>
      <c r="AG187" s="487"/>
    </row>
    <row r="188" spans="1:43" s="372" customFormat="1" ht="24.75" customHeight="1">
      <c r="A188" s="379">
        <f>_xlfn.AGGREGATE(4,7,A$29:A187)+1</f>
        <v>159</v>
      </c>
      <c r="B188" s="363" t="s">
        <v>1515</v>
      </c>
      <c r="C188" s="364" t="s">
        <v>1212</v>
      </c>
      <c r="D188" s="434" t="s">
        <v>1749</v>
      </c>
      <c r="E188" s="423" t="s">
        <v>1355</v>
      </c>
      <c r="F188" s="373">
        <v>3.66</v>
      </c>
      <c r="G188" s="367"/>
      <c r="H188" s="368">
        <f t="shared" si="26"/>
        <v>3.66</v>
      </c>
      <c r="I188" s="368"/>
      <c r="J188" s="368" t="str">
        <f>VLOOKUP(B188,TH!B182:J514,9,FALSE)</f>
        <v>Giảng viên khoa CNTT</v>
      </c>
      <c r="K188" s="369">
        <f t="shared" si="27"/>
        <v>3.66</v>
      </c>
      <c r="L188" s="362">
        <f t="shared" si="28"/>
        <v>6588000</v>
      </c>
      <c r="M188" s="366" t="str">
        <f>VLOOKUP(B188,'[1]Gui chi Quynh'!$B$11:$E$400,4,FALSE)</f>
        <v>A4</v>
      </c>
      <c r="N188" s="494">
        <f t="shared" si="30"/>
        <v>6588000</v>
      </c>
      <c r="O188" s="376">
        <v>21</v>
      </c>
      <c r="P188" s="440">
        <f>IFERROR(INDEX('[2]CN BC'!$J$10:$J$276,MATCH(B188,'[2]CN BC'!$H$10:$H$276,0)),"")</f>
        <v>21</v>
      </c>
      <c r="Q188" s="494">
        <f t="shared" si="36"/>
        <v>6588000</v>
      </c>
      <c r="R188" s="392"/>
      <c r="S188" s="362">
        <f t="shared" si="29"/>
        <v>0</v>
      </c>
      <c r="T188" s="370"/>
      <c r="U188" s="362">
        <f t="shared" si="39"/>
        <v>0</v>
      </c>
      <c r="V188" s="584">
        <f t="shared" si="33"/>
        <v>65880</v>
      </c>
      <c r="W188" s="584"/>
      <c r="X188" s="371">
        <f t="shared" si="37"/>
        <v>6588000</v>
      </c>
      <c r="Y188" s="846">
        <f t="shared" si="34"/>
        <v>3.66</v>
      </c>
      <c r="Z188" s="491">
        <v>1800000</v>
      </c>
      <c r="AA188" s="662">
        <f t="shared" si="35"/>
        <v>6588000</v>
      </c>
      <c r="AB188" s="568">
        <f t="shared" si="38"/>
        <v>159</v>
      </c>
      <c r="AC188" s="493">
        <f>IFERROR(INDEX('[2]CN BC'!$M$10:$M$276,MATCH(B188,'[2]CN BC'!$H$10:$H$276,0)),"")</f>
        <v>0</v>
      </c>
      <c r="AD188" s="523" t="s">
        <v>1119</v>
      </c>
      <c r="AE188" s="108"/>
      <c r="AF188" s="108"/>
      <c r="AG188" s="155"/>
      <c r="AH188" s="108"/>
      <c r="AI188" s="108"/>
      <c r="AJ188" s="108"/>
      <c r="AK188" s="108"/>
      <c r="AL188" s="108"/>
      <c r="AM188" s="108"/>
    </row>
    <row r="189" spans="1:43" s="108" customFormat="1" ht="24.75" customHeight="1">
      <c r="A189" s="379">
        <f>_xlfn.AGGREGATE(4,7,A$29:A188)+1</f>
        <v>160</v>
      </c>
      <c r="B189" s="33" t="s">
        <v>1516</v>
      </c>
      <c r="C189" s="34" t="s">
        <v>1213</v>
      </c>
      <c r="D189" s="406" t="s">
        <v>1750</v>
      </c>
      <c r="E189" s="424" t="s">
        <v>1356</v>
      </c>
      <c r="F189" s="373">
        <v>3.66</v>
      </c>
      <c r="G189" s="157"/>
      <c r="H189" s="368">
        <f t="shared" ref="H189:H252" si="40">F189+(F189*G189)</f>
        <v>3.66</v>
      </c>
      <c r="I189" s="81"/>
      <c r="J189" s="368" t="str">
        <f>VLOOKUP(B189,TH!B183:J515,9,FALSE)</f>
        <v>Giảng viên khoa CNTT</v>
      </c>
      <c r="K189" s="369">
        <f t="shared" ref="K189:K252" si="41">H189+I189</f>
        <v>3.66</v>
      </c>
      <c r="L189" s="362">
        <f t="shared" ref="L189:L252" si="42">K189*$G$26</f>
        <v>6588000</v>
      </c>
      <c r="M189" s="366" t="str">
        <f>VLOOKUP(B189,'[1]Gui chi Quynh'!$B$11:$E$400,4,FALSE)</f>
        <v>A4</v>
      </c>
      <c r="N189" s="494">
        <f t="shared" si="30"/>
        <v>6588000</v>
      </c>
      <c r="O189" s="376">
        <v>21</v>
      </c>
      <c r="P189" s="440">
        <f>IFERROR(INDEX('[2]CN BC'!$J$10:$J$276,MATCH(B189,'[2]CN BC'!$H$10:$H$276,0)),"")</f>
        <v>21</v>
      </c>
      <c r="Q189" s="494">
        <f t="shared" si="36"/>
        <v>6588000</v>
      </c>
      <c r="R189" s="392"/>
      <c r="S189" s="362">
        <f t="shared" si="29"/>
        <v>0</v>
      </c>
      <c r="T189" s="385"/>
      <c r="U189" s="362">
        <f t="shared" si="39"/>
        <v>0</v>
      </c>
      <c r="V189" s="584">
        <f t="shared" si="33"/>
        <v>65880</v>
      </c>
      <c r="W189" s="584"/>
      <c r="X189" s="371">
        <f t="shared" si="37"/>
        <v>6588000</v>
      </c>
      <c r="Y189" s="846">
        <f t="shared" si="34"/>
        <v>3.66</v>
      </c>
      <c r="Z189" s="491">
        <v>1800000</v>
      </c>
      <c r="AA189" s="662">
        <f t="shared" si="35"/>
        <v>6588000</v>
      </c>
      <c r="AB189" s="568">
        <f t="shared" si="38"/>
        <v>160</v>
      </c>
      <c r="AC189" s="493">
        <f>IFERROR(INDEX('[2]CN BC'!$M$10:$M$276,MATCH(B189,'[2]CN BC'!$H$10:$H$276,0)),"")</f>
        <v>0</v>
      </c>
      <c r="AD189" s="523" t="s">
        <v>1120</v>
      </c>
      <c r="AG189" s="155"/>
    </row>
    <row r="190" spans="1:43" s="108" customFormat="1" ht="26.25" customHeight="1">
      <c r="A190" s="379">
        <f>_xlfn.AGGREGATE(4,7,A$29:A189)+1</f>
        <v>161</v>
      </c>
      <c r="B190" s="33" t="s">
        <v>1883</v>
      </c>
      <c r="C190" s="34" t="s">
        <v>282</v>
      </c>
      <c r="D190" s="406" t="s">
        <v>1751</v>
      </c>
      <c r="E190" s="424" t="s">
        <v>381</v>
      </c>
      <c r="F190" s="83">
        <v>3.99</v>
      </c>
      <c r="G190" s="157"/>
      <c r="H190" s="368">
        <f t="shared" si="40"/>
        <v>3.99</v>
      </c>
      <c r="I190" s="81">
        <v>0.35</v>
      </c>
      <c r="J190" s="368" t="str">
        <f>VLOOKUP(B190,TH!B184:J516,9,FALSE)</f>
        <v>Phó Trưởng khoa CNTT</v>
      </c>
      <c r="K190" s="369">
        <f t="shared" si="41"/>
        <v>4.34</v>
      </c>
      <c r="L190" s="362">
        <f t="shared" si="42"/>
        <v>7812000</v>
      </c>
      <c r="M190" s="366" t="str">
        <f>VLOOKUP(B190,'[1]Gui chi Quynh'!$B$11:$E$400,4,FALSE)</f>
        <v>A4</v>
      </c>
      <c r="N190" s="494">
        <f t="shared" si="30"/>
        <v>7812000</v>
      </c>
      <c r="O190" s="376">
        <v>21</v>
      </c>
      <c r="P190" s="440">
        <f>IFERROR(INDEX('[2]CN BC'!$J$10:$J$276,MATCH(B190,'[2]CN BC'!$H$10:$H$276,0)),"")</f>
        <v>21</v>
      </c>
      <c r="Q190" s="494">
        <f t="shared" si="36"/>
        <v>7812000</v>
      </c>
      <c r="R190" s="392"/>
      <c r="S190" s="362">
        <f t="shared" si="29"/>
        <v>0</v>
      </c>
      <c r="T190" s="385"/>
      <c r="U190" s="362">
        <f t="shared" si="39"/>
        <v>0</v>
      </c>
      <c r="V190" s="584">
        <f t="shared" si="33"/>
        <v>78120</v>
      </c>
      <c r="W190" s="584"/>
      <c r="X190" s="371">
        <f t="shared" si="37"/>
        <v>7812000</v>
      </c>
      <c r="Y190" s="846">
        <f t="shared" si="34"/>
        <v>4.34</v>
      </c>
      <c r="Z190" s="491">
        <v>1800000</v>
      </c>
      <c r="AA190" s="662">
        <f t="shared" si="35"/>
        <v>7812000</v>
      </c>
      <c r="AB190" s="568">
        <f t="shared" si="38"/>
        <v>161</v>
      </c>
      <c r="AC190" s="493">
        <f>IFERROR(INDEX('[2]CN BC'!$M$10:$M$276,MATCH(B190,'[2]CN BC'!$H$10:$H$276,0)),"")</f>
        <v>0</v>
      </c>
      <c r="AD190" s="523" t="s">
        <v>1121</v>
      </c>
      <c r="AG190" s="155"/>
    </row>
    <row r="191" spans="1:43" s="372" customFormat="1" ht="23.25" customHeight="1">
      <c r="A191" s="379">
        <f>_xlfn.AGGREGATE(4,7,A$29:A190)+1</f>
        <v>162</v>
      </c>
      <c r="B191" s="363" t="s">
        <v>1833</v>
      </c>
      <c r="C191" s="364"/>
      <c r="D191" s="434" t="s">
        <v>1966</v>
      </c>
      <c r="E191" s="486">
        <v>1603215005649</v>
      </c>
      <c r="F191" s="373">
        <v>3.33</v>
      </c>
      <c r="G191" s="367"/>
      <c r="H191" s="445">
        <f t="shared" si="40"/>
        <v>3.33</v>
      </c>
      <c r="I191" s="368"/>
      <c r="J191" s="368" t="str">
        <f>VLOOKUP(B191,TH!B185:J517,9,FALSE)</f>
        <v>Giảng viên khoa CNTT</v>
      </c>
      <c r="K191" s="369">
        <f t="shared" si="41"/>
        <v>3.33</v>
      </c>
      <c r="L191" s="362">
        <f t="shared" si="42"/>
        <v>5994000</v>
      </c>
      <c r="M191" s="366" t="str">
        <f>VLOOKUP(B191,'[1]Gui chi Quynh'!$B$11:$E$400,4,FALSE)</f>
        <v>A4</v>
      </c>
      <c r="N191" s="494">
        <f t="shared" si="30"/>
        <v>5994000</v>
      </c>
      <c r="O191" s="376">
        <v>21</v>
      </c>
      <c r="P191" s="440">
        <f>IFERROR(INDEX('[2]CN BC'!$J$10:$J$276,MATCH(B191,'[2]CN BC'!$H$10:$H$276,0)),"")</f>
        <v>21</v>
      </c>
      <c r="Q191" s="494">
        <f t="shared" si="36"/>
        <v>5994000</v>
      </c>
      <c r="R191" s="460"/>
      <c r="S191" s="362">
        <f t="shared" si="29"/>
        <v>0</v>
      </c>
      <c r="T191" s="370"/>
      <c r="U191" s="362">
        <f t="shared" si="39"/>
        <v>0</v>
      </c>
      <c r="V191" s="584">
        <f t="shared" si="33"/>
        <v>59940</v>
      </c>
      <c r="W191" s="584"/>
      <c r="X191" s="371">
        <f t="shared" si="37"/>
        <v>5994000</v>
      </c>
      <c r="Y191" s="846">
        <f t="shared" si="34"/>
        <v>3.33</v>
      </c>
      <c r="Z191" s="491">
        <v>1800000</v>
      </c>
      <c r="AA191" s="662">
        <f t="shared" si="35"/>
        <v>5994000</v>
      </c>
      <c r="AB191" s="568">
        <f t="shared" si="38"/>
        <v>162</v>
      </c>
      <c r="AC191" s="493">
        <f>IFERROR(INDEX('[2]CN BC'!$M$10:$M$276,MATCH(B191,'[2]CN BC'!$H$10:$H$276,0)),"")</f>
        <v>0</v>
      </c>
      <c r="AD191" s="523" t="s">
        <v>1122</v>
      </c>
      <c r="AE191" s="108"/>
      <c r="AF191" s="108"/>
      <c r="AG191" s="155"/>
    </row>
    <row r="192" spans="1:43" s="372" customFormat="1" ht="29.25" customHeight="1">
      <c r="A192" s="379">
        <f>_xlfn.AGGREGATE(4,7,A$29:A191)+1</f>
        <v>163</v>
      </c>
      <c r="B192" s="363" t="s">
        <v>1884</v>
      </c>
      <c r="C192" s="364" t="s">
        <v>1175</v>
      </c>
      <c r="D192" s="406" t="s">
        <v>1752</v>
      </c>
      <c r="E192" s="423" t="s">
        <v>1345</v>
      </c>
      <c r="F192" s="373">
        <v>3.99</v>
      </c>
      <c r="G192" s="367"/>
      <c r="H192" s="368">
        <f t="shared" si="40"/>
        <v>3.99</v>
      </c>
      <c r="I192" s="368">
        <v>0.25</v>
      </c>
      <c r="J192" s="368" t="str">
        <f>VLOOKUP(B192,TH!B186:J518,9,FALSE)</f>
        <v>Giảng viên khoa CNTT</v>
      </c>
      <c r="K192" s="369">
        <f t="shared" si="41"/>
        <v>4.24</v>
      </c>
      <c r="L192" s="362">
        <f t="shared" si="42"/>
        <v>7632000</v>
      </c>
      <c r="M192" s="366" t="str">
        <f>VLOOKUP(B192,'[1]Gui chi Quynh'!$B$11:$E$400,4,FALSE)</f>
        <v>A4</v>
      </c>
      <c r="N192" s="494">
        <f t="shared" si="30"/>
        <v>7632000</v>
      </c>
      <c r="O192" s="376">
        <v>21</v>
      </c>
      <c r="P192" s="440">
        <f>IFERROR(INDEX('[2]CN BC'!$J$10:$J$276,MATCH(B192,'[2]CN BC'!$H$10:$H$276,0)),"")</f>
        <v>21</v>
      </c>
      <c r="Q192" s="494">
        <f t="shared" si="36"/>
        <v>7632000</v>
      </c>
      <c r="R192" s="392"/>
      <c r="S192" s="362">
        <f t="shared" si="29"/>
        <v>0</v>
      </c>
      <c r="T192" s="370"/>
      <c r="U192" s="362">
        <f t="shared" si="39"/>
        <v>0</v>
      </c>
      <c r="V192" s="584">
        <f t="shared" si="33"/>
        <v>76320</v>
      </c>
      <c r="W192" s="584"/>
      <c r="X192" s="371">
        <f t="shared" si="37"/>
        <v>7632000</v>
      </c>
      <c r="Y192" s="846">
        <f t="shared" si="34"/>
        <v>4.24</v>
      </c>
      <c r="Z192" s="491">
        <v>1800000</v>
      </c>
      <c r="AA192" s="662">
        <f t="shared" si="35"/>
        <v>7632000</v>
      </c>
      <c r="AB192" s="568">
        <f t="shared" si="38"/>
        <v>163</v>
      </c>
      <c r="AC192" s="493">
        <f>IFERROR(INDEX('[2]CN BC'!$M$10:$M$276,MATCH(B192,'[2]CN BC'!$H$10:$H$276,0)),"")</f>
        <v>0</v>
      </c>
      <c r="AD192" s="523" t="s">
        <v>1123</v>
      </c>
      <c r="AE192" s="108"/>
      <c r="AF192" s="108"/>
      <c r="AG192" s="155"/>
      <c r="AH192" s="108"/>
      <c r="AI192" s="108"/>
      <c r="AJ192" s="108"/>
      <c r="AK192" s="108"/>
      <c r="AL192" s="108"/>
      <c r="AM192" s="108"/>
      <c r="AN192" s="108"/>
      <c r="AO192" s="108"/>
      <c r="AP192" s="108"/>
      <c r="AQ192" s="108"/>
    </row>
    <row r="193" spans="1:43" s="372" customFormat="1" ht="29.25" customHeight="1">
      <c r="A193" s="379">
        <f>_xlfn.AGGREGATE(4,7,A$29:A192)+1</f>
        <v>164</v>
      </c>
      <c r="B193" s="363" t="s">
        <v>1517</v>
      </c>
      <c r="C193" s="364" t="s">
        <v>731</v>
      </c>
      <c r="D193" s="434" t="s">
        <v>1753</v>
      </c>
      <c r="E193" s="426">
        <v>1603205286594</v>
      </c>
      <c r="F193" s="373">
        <v>3.33</v>
      </c>
      <c r="G193" s="367"/>
      <c r="H193" s="445">
        <f t="shared" si="40"/>
        <v>3.33</v>
      </c>
      <c r="I193" s="368"/>
      <c r="J193" s="368" t="str">
        <f>VLOOKUP(B193,TH!B187:J519,9,FALSE)</f>
        <v>Giảng viên khoa CNTT</v>
      </c>
      <c r="K193" s="369">
        <f t="shared" si="41"/>
        <v>3.33</v>
      </c>
      <c r="L193" s="362">
        <f t="shared" si="42"/>
        <v>5994000</v>
      </c>
      <c r="M193" s="366" t="str">
        <f>VLOOKUP(B193,'[1]Gui chi Quynh'!$B$11:$E$400,4,FALSE)</f>
        <v>A4</v>
      </c>
      <c r="N193" s="494">
        <f t="shared" si="30"/>
        <v>5994000</v>
      </c>
      <c r="O193" s="376">
        <v>21</v>
      </c>
      <c r="P193" s="440">
        <f>IFERROR(INDEX('[2]CN BC'!$J$10:$J$276,MATCH(B193,'[2]CN BC'!$H$10:$H$276,0)),"")</f>
        <v>21</v>
      </c>
      <c r="Q193" s="494">
        <f t="shared" si="36"/>
        <v>5994000</v>
      </c>
      <c r="R193" s="460"/>
      <c r="S193" s="362">
        <f t="shared" si="29"/>
        <v>0</v>
      </c>
      <c r="T193" s="370"/>
      <c r="U193" s="362">
        <f t="shared" si="39"/>
        <v>0</v>
      </c>
      <c r="V193" s="584">
        <f t="shared" si="33"/>
        <v>59940</v>
      </c>
      <c r="W193" s="584"/>
      <c r="X193" s="371">
        <f t="shared" si="37"/>
        <v>5994000</v>
      </c>
      <c r="Y193" s="846">
        <f t="shared" si="34"/>
        <v>3.33</v>
      </c>
      <c r="Z193" s="491">
        <v>1800000</v>
      </c>
      <c r="AA193" s="662">
        <f t="shared" si="35"/>
        <v>5994000</v>
      </c>
      <c r="AB193" s="568">
        <f t="shared" si="38"/>
        <v>164</v>
      </c>
      <c r="AC193" s="493">
        <f>IFERROR(INDEX('[2]CN BC'!$M$10:$M$276,MATCH(B193,'[2]CN BC'!$H$10:$H$276,0)),"")</f>
        <v>0</v>
      </c>
      <c r="AD193" s="523" t="s">
        <v>1124</v>
      </c>
      <c r="AE193" s="108"/>
      <c r="AF193" s="108"/>
      <c r="AG193" s="487"/>
    </row>
    <row r="194" spans="1:43" s="372" customFormat="1" ht="28.5" customHeight="1">
      <c r="A194" s="379">
        <f>_xlfn.AGGREGATE(4,7,A$29:A193)+1</f>
        <v>165</v>
      </c>
      <c r="B194" s="363" t="s">
        <v>1518</v>
      </c>
      <c r="C194" s="364" t="s">
        <v>1207</v>
      </c>
      <c r="D194" s="406" t="s">
        <v>1754</v>
      </c>
      <c r="E194" s="423" t="s">
        <v>1346</v>
      </c>
      <c r="F194" s="366">
        <v>3.99</v>
      </c>
      <c r="G194" s="367"/>
      <c r="H194" s="368">
        <f t="shared" si="40"/>
        <v>3.99</v>
      </c>
      <c r="I194" s="368"/>
      <c r="J194" s="368" t="str">
        <f>VLOOKUP(B194,TH!B188:J520,9,FALSE)</f>
        <v>Giảng viên khoa CNTT</v>
      </c>
      <c r="K194" s="369">
        <f t="shared" si="41"/>
        <v>3.99</v>
      </c>
      <c r="L194" s="362">
        <f t="shared" si="42"/>
        <v>7182000</v>
      </c>
      <c r="M194" s="366" t="str">
        <f>VLOOKUP(B194,'[1]Gui chi Quynh'!$B$11:$E$400,4,FALSE)</f>
        <v>A4</v>
      </c>
      <c r="N194" s="494">
        <f t="shared" si="30"/>
        <v>7182000</v>
      </c>
      <c r="O194" s="376">
        <v>21</v>
      </c>
      <c r="P194" s="440">
        <f>IFERROR(INDEX('[2]CN BC'!$J$10:$J$276,MATCH(B194,'[2]CN BC'!$H$10:$H$276,0)),"")</f>
        <v>21</v>
      </c>
      <c r="Q194" s="494">
        <f t="shared" si="36"/>
        <v>7182000</v>
      </c>
      <c r="R194" s="392"/>
      <c r="S194" s="362">
        <f t="shared" si="29"/>
        <v>0</v>
      </c>
      <c r="T194" s="385"/>
      <c r="U194" s="362">
        <f t="shared" si="39"/>
        <v>0</v>
      </c>
      <c r="V194" s="584">
        <f t="shared" si="33"/>
        <v>71820</v>
      </c>
      <c r="W194" s="584"/>
      <c r="X194" s="371">
        <f t="shared" si="37"/>
        <v>7182000</v>
      </c>
      <c r="Y194" s="846">
        <f t="shared" si="34"/>
        <v>3.99</v>
      </c>
      <c r="Z194" s="491">
        <v>1800000</v>
      </c>
      <c r="AA194" s="662">
        <f t="shared" si="35"/>
        <v>7182000</v>
      </c>
      <c r="AB194" s="568">
        <f t="shared" si="38"/>
        <v>165</v>
      </c>
      <c r="AC194" s="493">
        <f>IFERROR(INDEX('[2]CN BC'!$M$10:$M$276,MATCH(B194,'[2]CN BC'!$H$10:$H$276,0)),"")</f>
        <v>0</v>
      </c>
      <c r="AD194" s="523" t="s">
        <v>1125</v>
      </c>
      <c r="AE194" s="108"/>
      <c r="AF194" s="108"/>
      <c r="AG194" s="155"/>
      <c r="AH194" s="108"/>
      <c r="AI194" s="108"/>
      <c r="AJ194" s="108"/>
      <c r="AK194" s="108"/>
      <c r="AL194" s="108"/>
      <c r="AM194" s="108"/>
      <c r="AN194" s="108"/>
      <c r="AO194" s="108"/>
      <c r="AP194" s="108"/>
      <c r="AQ194" s="108"/>
    </row>
    <row r="195" spans="1:43" s="372" customFormat="1" ht="28.5" customHeight="1">
      <c r="A195" s="379">
        <f>_xlfn.AGGREGATE(4,7,A$29:A194)+1</f>
        <v>166</v>
      </c>
      <c r="B195" s="363" t="s">
        <v>1519</v>
      </c>
      <c r="C195" s="364" t="s">
        <v>728</v>
      </c>
      <c r="D195" s="406" t="s">
        <v>1755</v>
      </c>
      <c r="E195" s="423" t="s">
        <v>771</v>
      </c>
      <c r="F195" s="373">
        <v>3.66</v>
      </c>
      <c r="G195" s="367"/>
      <c r="H195" s="368">
        <f t="shared" si="40"/>
        <v>3.66</v>
      </c>
      <c r="I195" s="368"/>
      <c r="J195" s="368" t="str">
        <f>VLOOKUP(B195,TH!B189:J521,9,FALSE)</f>
        <v>Giảng viên khoa CNTT</v>
      </c>
      <c r="K195" s="369">
        <f t="shared" si="41"/>
        <v>3.66</v>
      </c>
      <c r="L195" s="362">
        <f t="shared" si="42"/>
        <v>6588000</v>
      </c>
      <c r="M195" s="366" t="str">
        <f>VLOOKUP(B195,'[1]Gui chi Quynh'!$B$11:$E$400,4,FALSE)</f>
        <v>A4</v>
      </c>
      <c r="N195" s="494">
        <f t="shared" si="30"/>
        <v>6588000</v>
      </c>
      <c r="O195" s="376">
        <v>21</v>
      </c>
      <c r="P195" s="440">
        <f>IFERROR(INDEX('[2]CN BC'!$J$10:$J$276,MATCH(B195,'[2]CN BC'!$H$10:$H$276,0)),"")</f>
        <v>21</v>
      </c>
      <c r="Q195" s="494">
        <f t="shared" si="36"/>
        <v>6588000</v>
      </c>
      <c r="R195" s="392"/>
      <c r="S195" s="362">
        <f t="shared" si="29"/>
        <v>0</v>
      </c>
      <c r="T195" s="385"/>
      <c r="U195" s="362">
        <f t="shared" si="39"/>
        <v>0</v>
      </c>
      <c r="V195" s="584">
        <f t="shared" si="33"/>
        <v>65880</v>
      </c>
      <c r="W195" s="584"/>
      <c r="X195" s="371">
        <f t="shared" si="37"/>
        <v>6588000</v>
      </c>
      <c r="Y195" s="846">
        <f t="shared" si="34"/>
        <v>3.66</v>
      </c>
      <c r="Z195" s="491">
        <v>1800000</v>
      </c>
      <c r="AA195" s="662">
        <f t="shared" si="35"/>
        <v>6588000</v>
      </c>
      <c r="AB195" s="568">
        <f t="shared" si="38"/>
        <v>166</v>
      </c>
      <c r="AC195" s="493">
        <f>IFERROR(INDEX('[2]CN BC'!$M$10:$M$276,MATCH(B195,'[2]CN BC'!$H$10:$H$276,0)),"")</f>
        <v>0</v>
      </c>
      <c r="AD195" s="523" t="s">
        <v>1126</v>
      </c>
      <c r="AE195" s="108"/>
      <c r="AF195" s="108"/>
      <c r="AG195" s="155"/>
      <c r="AH195" s="108"/>
      <c r="AI195" s="108"/>
      <c r="AJ195" s="108"/>
      <c r="AK195" s="108"/>
      <c r="AL195" s="108"/>
      <c r="AM195" s="108"/>
      <c r="AN195" s="108"/>
      <c r="AO195" s="108"/>
      <c r="AP195" s="108"/>
      <c r="AQ195" s="108"/>
    </row>
    <row r="196" spans="1:43" s="372" customFormat="1" ht="25.5" customHeight="1">
      <c r="A196" s="379">
        <f>_xlfn.AGGREGATE(4,7,A$29:A195)+1</f>
        <v>167</v>
      </c>
      <c r="B196" s="363" t="s">
        <v>1520</v>
      </c>
      <c r="C196" s="364" t="s">
        <v>876</v>
      </c>
      <c r="D196" s="434" t="s">
        <v>1756</v>
      </c>
      <c r="E196" s="365" t="s">
        <v>1593</v>
      </c>
      <c r="F196" s="373">
        <v>3.99</v>
      </c>
      <c r="G196" s="367"/>
      <c r="H196" s="368">
        <f t="shared" si="40"/>
        <v>3.99</v>
      </c>
      <c r="I196" s="368">
        <v>0.25</v>
      </c>
      <c r="J196" s="368" t="str">
        <f>VLOOKUP(B196,TH!B190:J522,9,FALSE)</f>
        <v>Giảng viên khoa CNTT</v>
      </c>
      <c r="K196" s="369">
        <f t="shared" si="41"/>
        <v>4.24</v>
      </c>
      <c r="L196" s="362">
        <f t="shared" si="42"/>
        <v>7632000</v>
      </c>
      <c r="M196" s="366" t="str">
        <f>VLOOKUP(B196,'[1]Gui chi Quynh'!$B$11:$E$400,4,FALSE)</f>
        <v>A3</v>
      </c>
      <c r="N196" s="494">
        <f t="shared" si="30"/>
        <v>9158400</v>
      </c>
      <c r="O196" s="376">
        <v>21</v>
      </c>
      <c r="P196" s="440">
        <f>IFERROR(INDEX('[2]CN BC'!$J$10:$J$276,MATCH(B196,'[2]CN BC'!$H$10:$H$276,0)),"")</f>
        <v>21</v>
      </c>
      <c r="Q196" s="494">
        <f t="shared" si="36"/>
        <v>9158400</v>
      </c>
      <c r="R196" s="460"/>
      <c r="S196" s="362">
        <f t="shared" si="29"/>
        <v>0</v>
      </c>
      <c r="T196" s="370"/>
      <c r="U196" s="362">
        <f t="shared" si="39"/>
        <v>0</v>
      </c>
      <c r="V196" s="362">
        <f t="shared" si="33"/>
        <v>76320</v>
      </c>
      <c r="W196" s="362"/>
      <c r="X196" s="371">
        <f t="shared" si="37"/>
        <v>9158400</v>
      </c>
      <c r="Y196" s="846">
        <f t="shared" si="34"/>
        <v>5.0880000000000001</v>
      </c>
      <c r="Z196" s="491">
        <v>1800000</v>
      </c>
      <c r="AA196" s="662">
        <f t="shared" si="35"/>
        <v>9158400</v>
      </c>
      <c r="AB196" s="568">
        <f t="shared" si="38"/>
        <v>167</v>
      </c>
      <c r="AC196" s="493">
        <f>IFERROR(INDEX('[2]CN BC'!$M$10:$M$276,MATCH(B196,'[2]CN BC'!$H$10:$H$276,0)),"")</f>
        <v>0</v>
      </c>
      <c r="AD196" s="539" t="s">
        <v>1127</v>
      </c>
      <c r="AG196" s="487"/>
    </row>
    <row r="197" spans="1:43" s="372" customFormat="1" ht="28.5" customHeight="1">
      <c r="A197" s="379">
        <f>_xlfn.AGGREGATE(4,7,A$29:A196)+1</f>
        <v>168</v>
      </c>
      <c r="B197" s="363" t="s">
        <v>1467</v>
      </c>
      <c r="C197" s="375" t="s">
        <v>1021</v>
      </c>
      <c r="D197" s="434" t="s">
        <v>1674</v>
      </c>
      <c r="E197" s="423" t="s">
        <v>1343</v>
      </c>
      <c r="F197" s="366">
        <v>4.32</v>
      </c>
      <c r="G197" s="367"/>
      <c r="H197" s="368">
        <f>F197+(F197*G197)</f>
        <v>4.32</v>
      </c>
      <c r="I197" s="368"/>
      <c r="J197" s="368" t="str">
        <f>VLOOKUP(B197,TH!B191:J523,9,FALSE)</f>
        <v>Giảng viên khoa CNTT</v>
      </c>
      <c r="K197" s="369">
        <f>H197+I197</f>
        <v>4.32</v>
      </c>
      <c r="L197" s="362">
        <f>K197*$G$26</f>
        <v>7776000.0000000009</v>
      </c>
      <c r="M197" s="366" t="str">
        <f>VLOOKUP(B197,'[1]Gui chi Quynh'!$B$11:$E$400,4,FALSE)</f>
        <v>A3</v>
      </c>
      <c r="N197" s="494">
        <f t="shared" si="30"/>
        <v>9331200</v>
      </c>
      <c r="O197" s="376">
        <v>21</v>
      </c>
      <c r="P197" s="440">
        <f>IFERROR(INDEX('[2]CN BC'!$J$10:$J$276,MATCH(B197,'[2]CN BC'!$H$10:$H$276,0)),"")</f>
        <v>21</v>
      </c>
      <c r="Q197" s="494">
        <f t="shared" si="36"/>
        <v>9331200</v>
      </c>
      <c r="R197" s="460"/>
      <c r="S197" s="362">
        <f t="shared" si="29"/>
        <v>0</v>
      </c>
      <c r="T197" s="370"/>
      <c r="U197" s="362">
        <f t="shared" si="39"/>
        <v>0</v>
      </c>
      <c r="V197" s="584">
        <f>IF(OR(M197="A DN",M197="KXL", M197=""),"0",ROUND(K197*0.01*$G$26+R197*1%*$G$26+T197*1%*$G$26,))</f>
        <v>77760</v>
      </c>
      <c r="W197" s="584">
        <v>4276800.0000000009</v>
      </c>
      <c r="X197" s="371">
        <f t="shared" si="37"/>
        <v>13608000</v>
      </c>
      <c r="Y197" s="846">
        <f t="shared" si="34"/>
        <v>7.56</v>
      </c>
      <c r="Z197" s="491">
        <v>1800000</v>
      </c>
      <c r="AA197" s="662">
        <f t="shared" si="35"/>
        <v>13608000</v>
      </c>
      <c r="AB197" s="568">
        <f t="shared" si="38"/>
        <v>168</v>
      </c>
      <c r="AC197" s="493">
        <f>IFERROR(INDEX('[2]CN BC'!$M$10:$M$276,MATCH(B197,'[2]CN BC'!$H$10:$H$276,0)),"")</f>
        <v>0</v>
      </c>
      <c r="AD197" s="523" t="s">
        <v>1131</v>
      </c>
      <c r="AE197" s="108"/>
      <c r="AF197" s="108"/>
      <c r="AG197" s="155">
        <f>3.68*1490000*1.4</f>
        <v>7676479.9999999991</v>
      </c>
      <c r="AH197" s="108"/>
      <c r="AI197" s="108"/>
      <c r="AJ197" s="108"/>
      <c r="AK197" s="108"/>
      <c r="AL197" s="108"/>
      <c r="AM197" s="108"/>
    </row>
    <row r="198" spans="1:43" s="372" customFormat="1" ht="28.5" customHeight="1">
      <c r="A198" s="379">
        <f>_xlfn.AGGREGATE(4,7,A$29:A197)+1</f>
        <v>169</v>
      </c>
      <c r="B198" s="363" t="s">
        <v>2011</v>
      </c>
      <c r="C198" s="375"/>
      <c r="D198" s="434"/>
      <c r="E198" s="423"/>
      <c r="F198" s="366">
        <v>2.2690000000000001</v>
      </c>
      <c r="G198" s="367"/>
      <c r="H198" s="368">
        <f>F198+(F198*G198)</f>
        <v>2.2690000000000001</v>
      </c>
      <c r="I198" s="368"/>
      <c r="J198" s="368" t="str">
        <f>VLOOKUP(B198,TH!B192:J524,9,FALSE)</f>
        <v>Giảng viên khoa CNTT</v>
      </c>
      <c r="K198" s="369">
        <f>H198+I198</f>
        <v>2.2690000000000001</v>
      </c>
      <c r="L198" s="362">
        <f>K198*$G$26</f>
        <v>4084200</v>
      </c>
      <c r="M198" s="366" t="str">
        <f>VLOOKUP(B198,'[1]Gui chi Quynh'!$B$11:$E$400,4,FALSE)</f>
        <v>A3</v>
      </c>
      <c r="N198" s="494">
        <f t="shared" si="30"/>
        <v>4901040</v>
      </c>
      <c r="O198" s="376">
        <v>21</v>
      </c>
      <c r="P198" s="440">
        <f>IFERROR(INDEX('[2]CN BC'!$J$10:$J$276,MATCH(B198,'[2]CN BC'!$H$10:$H$276,0)),"")</f>
        <v>21</v>
      </c>
      <c r="Q198" s="494">
        <f t="shared" si="36"/>
        <v>4901040</v>
      </c>
      <c r="R198" s="460"/>
      <c r="S198" s="362">
        <f t="shared" si="29"/>
        <v>0</v>
      </c>
      <c r="T198" s="370"/>
      <c r="U198" s="362">
        <f t="shared" si="39"/>
        <v>0</v>
      </c>
      <c r="V198" s="584">
        <f>IF(OR(M198="A DN",M198="KXL", M198=""),"0",ROUND(K198*0.01*$G$26+R198*1%*$G$26+T198*1%*$G$26,))</f>
        <v>40842</v>
      </c>
      <c r="W198" s="584"/>
      <c r="X198" s="371">
        <f t="shared" si="37"/>
        <v>4901040</v>
      </c>
      <c r="Y198" s="846">
        <f t="shared" si="34"/>
        <v>2.7227999999999999</v>
      </c>
      <c r="Z198" s="491">
        <v>1800000</v>
      </c>
      <c r="AA198" s="662">
        <f t="shared" si="35"/>
        <v>4901040</v>
      </c>
      <c r="AB198" s="568">
        <f t="shared" si="38"/>
        <v>169</v>
      </c>
      <c r="AC198" s="493">
        <f>IFERROR(INDEX('[2]CN BC'!$M$10:$M$276,MATCH(B198,'[2]CN BC'!$H$10:$H$276,0)),"")</f>
        <v>0</v>
      </c>
      <c r="AD198" s="540"/>
      <c r="AG198" s="487"/>
    </row>
    <row r="199" spans="1:43" s="372" customFormat="1" ht="28.5" customHeight="1">
      <c r="A199" s="379">
        <f>_xlfn.AGGREGATE(4,7,A$29:A198)+1</f>
        <v>170</v>
      </c>
      <c r="B199" s="363" t="s">
        <v>2017</v>
      </c>
      <c r="C199" s="375"/>
      <c r="D199" s="434"/>
      <c r="E199" s="423"/>
      <c r="F199" s="366">
        <v>1.9890000000000001</v>
      </c>
      <c r="G199" s="367"/>
      <c r="H199" s="368">
        <f>F199+(F199*G199)</f>
        <v>1.9890000000000001</v>
      </c>
      <c r="I199" s="368"/>
      <c r="J199" s="368" t="str">
        <f>VLOOKUP(B199,TH!B193:J525,9,FALSE)</f>
        <v>Giảng viên khoa CNTT</v>
      </c>
      <c r="K199" s="369">
        <f>H199+I199</f>
        <v>1.9890000000000001</v>
      </c>
      <c r="L199" s="362">
        <f>K199*$G$26</f>
        <v>3580200</v>
      </c>
      <c r="M199" s="366" t="str">
        <f>VLOOKUP(B199,'[1]Gui chi Quynh'!$B$11:$E$400,4,FALSE)</f>
        <v>A4</v>
      </c>
      <c r="N199" s="494">
        <f t="shared" si="30"/>
        <v>3580200</v>
      </c>
      <c r="O199" s="376">
        <v>21</v>
      </c>
      <c r="P199" s="440">
        <f>IFERROR(INDEX('[2]CN BC'!$J$10:$J$276,MATCH(B199,'[2]CN BC'!$H$10:$H$276,0)),"")</f>
        <v>21</v>
      </c>
      <c r="Q199" s="494">
        <f t="shared" si="36"/>
        <v>3580200</v>
      </c>
      <c r="R199" s="460"/>
      <c r="S199" s="362">
        <f t="shared" si="29"/>
        <v>0</v>
      </c>
      <c r="T199" s="370"/>
      <c r="U199" s="362">
        <f t="shared" si="39"/>
        <v>0</v>
      </c>
      <c r="V199" s="584">
        <f>IF(OR(M199="A DN",M199="KXL", M199=""),"0",ROUND(K199*0.01*$G$26+R199*1%*$G$26+T199*1%*$G$26,))</f>
        <v>35802</v>
      </c>
      <c r="W199" s="584"/>
      <c r="X199" s="371">
        <f t="shared" si="37"/>
        <v>3580200</v>
      </c>
      <c r="Y199" s="846">
        <f t="shared" si="34"/>
        <v>1.9890000000000001</v>
      </c>
      <c r="Z199" s="491">
        <v>1800000</v>
      </c>
      <c r="AA199" s="662">
        <f t="shared" si="35"/>
        <v>3580200</v>
      </c>
      <c r="AB199" s="568">
        <f t="shared" si="38"/>
        <v>170</v>
      </c>
      <c r="AC199" s="493">
        <f>IFERROR(INDEX('[2]CN BC'!$M$10:$M$276,MATCH(B199,'[2]CN BC'!$H$10:$H$276,0)),"")</f>
        <v>0</v>
      </c>
      <c r="AD199" s="540"/>
      <c r="AG199" s="487"/>
    </row>
    <row r="200" spans="1:43" s="372" customFormat="1" ht="28.5" customHeight="1">
      <c r="A200" s="379">
        <f>_xlfn.AGGREGATE(4,7,A$29:A199)+1</f>
        <v>171</v>
      </c>
      <c r="B200" s="363" t="s">
        <v>1885</v>
      </c>
      <c r="C200" s="364" t="s">
        <v>1041</v>
      </c>
      <c r="D200" s="434" t="s">
        <v>1757</v>
      </c>
      <c r="E200" s="423" t="s">
        <v>1368</v>
      </c>
      <c r="F200" s="366">
        <v>4.6500000000000004</v>
      </c>
      <c r="G200" s="367"/>
      <c r="H200" s="368">
        <f t="shared" si="40"/>
        <v>4.6500000000000004</v>
      </c>
      <c r="I200" s="368">
        <v>0.45</v>
      </c>
      <c r="J200" s="368" t="str">
        <f>VLOOKUP(B200,TH!B194:J526,9,FALSE)</f>
        <v>Trưởng khoa Cơ khí</v>
      </c>
      <c r="K200" s="369">
        <f t="shared" si="41"/>
        <v>5.1000000000000005</v>
      </c>
      <c r="L200" s="362">
        <f t="shared" si="42"/>
        <v>9180000.0000000019</v>
      </c>
      <c r="M200" s="366" t="str">
        <f>VLOOKUP(B200,'[1]Gui chi Quynh'!$B$11:$E$400,4,FALSE)</f>
        <v>A1</v>
      </c>
      <c r="N200" s="494">
        <f t="shared" si="30"/>
        <v>14688000.000000004</v>
      </c>
      <c r="O200" s="376">
        <v>21</v>
      </c>
      <c r="P200" s="440">
        <f>IFERROR(INDEX('[2]CN BC'!$J$10:$J$276,MATCH(B200,'[2]CN BC'!$H$10:$H$276,0)),"")</f>
        <v>26</v>
      </c>
      <c r="Q200" s="494">
        <f t="shared" si="36"/>
        <v>14688000.000000004</v>
      </c>
      <c r="R200" s="392"/>
      <c r="S200" s="362">
        <f t="shared" si="29"/>
        <v>0</v>
      </c>
      <c r="T200" s="370"/>
      <c r="U200" s="362">
        <f t="shared" si="39"/>
        <v>0</v>
      </c>
      <c r="V200" s="584">
        <f>IF(OR(M200="A DN",M200="KXL", M200=""),"0",ROUND(K200*0.01*$G$26+R200*1%*$G$26+T200*1%*$G$26,))</f>
        <v>91800</v>
      </c>
      <c r="W200" s="584"/>
      <c r="X200" s="371">
        <f t="shared" si="37"/>
        <v>14688000.000000004</v>
      </c>
      <c r="Y200" s="846">
        <f t="shared" si="34"/>
        <v>8.1600000000000019</v>
      </c>
      <c r="Z200" s="491">
        <v>1800000</v>
      </c>
      <c r="AA200" s="662">
        <f t="shared" si="35"/>
        <v>14688000.000000004</v>
      </c>
      <c r="AB200" s="568">
        <f t="shared" si="38"/>
        <v>171</v>
      </c>
      <c r="AC200" s="493">
        <f>IFERROR(INDEX('[2]CN BC'!$M$10:$M$276,MATCH(B200,'[2]CN BC'!$H$10:$H$276,0)),"")</f>
        <v>0</v>
      </c>
      <c r="AD200" s="522" t="s">
        <v>812</v>
      </c>
      <c r="AE200" s="108"/>
      <c r="AF200" s="108"/>
      <c r="AG200" s="155"/>
      <c r="AH200" s="108"/>
      <c r="AI200" s="108"/>
      <c r="AJ200" s="108"/>
      <c r="AK200" s="108"/>
      <c r="AL200" s="108"/>
      <c r="AM200" s="108"/>
    </row>
    <row r="201" spans="1:43" s="108" customFormat="1" ht="26.25" customHeight="1">
      <c r="A201" s="379">
        <f>_xlfn.AGGREGATE(4,7,A$29:A200)+1</f>
        <v>172</v>
      </c>
      <c r="B201" s="33" t="s">
        <v>1886</v>
      </c>
      <c r="C201" s="34" t="s">
        <v>1032</v>
      </c>
      <c r="D201" s="406" t="s">
        <v>1758</v>
      </c>
      <c r="E201" s="424" t="s">
        <v>1363</v>
      </c>
      <c r="F201" s="10">
        <v>4.9800000000000004</v>
      </c>
      <c r="G201" s="157">
        <v>7.0000000000000007E-2</v>
      </c>
      <c r="H201" s="368">
        <f t="shared" si="40"/>
        <v>5.3286000000000007</v>
      </c>
      <c r="I201" s="81"/>
      <c r="J201" s="368" t="str">
        <f>VLOOKUP(B201,TH!B195:J527,9,FALSE)</f>
        <v>Giảng viên khoa Cơ khí</v>
      </c>
      <c r="K201" s="369">
        <f t="shared" si="41"/>
        <v>5.3286000000000007</v>
      </c>
      <c r="L201" s="362">
        <f t="shared" si="42"/>
        <v>9591480.0000000019</v>
      </c>
      <c r="M201" s="366" t="str">
        <f>VLOOKUP(B201,'[1]Gui chi Quynh'!$B$11:$E$400,4,FALSE)</f>
        <v>A4</v>
      </c>
      <c r="N201" s="494">
        <f t="shared" si="30"/>
        <v>9591480.0000000019</v>
      </c>
      <c r="O201" s="376">
        <v>21</v>
      </c>
      <c r="P201" s="440">
        <f>IFERROR(INDEX('[2]CN BC'!$J$10:$J$276,MATCH(B201,'[2]CN BC'!$H$10:$H$276,0)),"")</f>
        <v>21</v>
      </c>
      <c r="Q201" s="494">
        <f t="shared" si="36"/>
        <v>9591480.0000000019</v>
      </c>
      <c r="R201" s="392"/>
      <c r="S201" s="362">
        <f t="shared" si="29"/>
        <v>0</v>
      </c>
      <c r="T201" s="385"/>
      <c r="U201" s="362">
        <f t="shared" si="39"/>
        <v>0</v>
      </c>
      <c r="V201" s="584">
        <f t="shared" si="33"/>
        <v>95915</v>
      </c>
      <c r="W201" s="584"/>
      <c r="X201" s="371">
        <f t="shared" si="37"/>
        <v>9591480.0000000019</v>
      </c>
      <c r="Y201" s="846">
        <f t="shared" si="34"/>
        <v>5.3286000000000007</v>
      </c>
      <c r="Z201" s="491">
        <v>1800000</v>
      </c>
      <c r="AA201" s="662">
        <f t="shared" si="35"/>
        <v>9591480.0000000019</v>
      </c>
      <c r="AB201" s="568">
        <f t="shared" si="38"/>
        <v>172</v>
      </c>
      <c r="AC201" s="493">
        <f>IFERROR(INDEX('[2]CN BC'!$M$10:$M$276,MATCH(B201,'[2]CN BC'!$H$10:$H$276,0)),"")</f>
        <v>0</v>
      </c>
      <c r="AD201" s="522" t="s">
        <v>812</v>
      </c>
      <c r="AG201" s="155"/>
    </row>
    <row r="202" spans="1:43" s="372" customFormat="1" ht="31.5" customHeight="1">
      <c r="A202" s="379">
        <f>_xlfn.AGGREGATE(4,7,A$29:A201)+1</f>
        <v>173</v>
      </c>
      <c r="B202" s="363" t="s">
        <v>1887</v>
      </c>
      <c r="C202" s="364" t="s">
        <v>884</v>
      </c>
      <c r="D202" s="434" t="s">
        <v>1759</v>
      </c>
      <c r="E202" s="423" t="s">
        <v>1364</v>
      </c>
      <c r="F202" s="366">
        <v>4.9800000000000004</v>
      </c>
      <c r="G202" s="367">
        <v>7.0000000000000007E-2</v>
      </c>
      <c r="H202" s="368">
        <f t="shared" si="40"/>
        <v>5.3286000000000007</v>
      </c>
      <c r="I202" s="368"/>
      <c r="J202" s="368" t="str">
        <f>VLOOKUP(B202,TH!B196:J528,9,FALSE)</f>
        <v>Giảng viên khoa Cơ khí</v>
      </c>
      <c r="K202" s="369">
        <f t="shared" si="41"/>
        <v>5.3286000000000007</v>
      </c>
      <c r="L202" s="362">
        <f t="shared" si="42"/>
        <v>9591480.0000000019</v>
      </c>
      <c r="M202" s="366" t="str">
        <f>VLOOKUP(B202,'[1]Gui chi Quynh'!$B$11:$E$400,4,FALSE)</f>
        <v>A3</v>
      </c>
      <c r="N202" s="494">
        <f t="shared" si="30"/>
        <v>11509776.000000002</v>
      </c>
      <c r="O202" s="376">
        <v>21</v>
      </c>
      <c r="P202" s="440">
        <f>IFERROR(INDEX('[2]CN BC'!$J$10:$J$276,MATCH(B202,'[2]CN BC'!$H$10:$H$276,0)),"")</f>
        <v>21</v>
      </c>
      <c r="Q202" s="494">
        <f t="shared" si="36"/>
        <v>11509776.000000002</v>
      </c>
      <c r="R202" s="392"/>
      <c r="S202" s="362">
        <f t="shared" si="29"/>
        <v>0</v>
      </c>
      <c r="T202" s="370"/>
      <c r="U202" s="362">
        <f t="shared" si="39"/>
        <v>0</v>
      </c>
      <c r="V202" s="584">
        <f t="shared" si="33"/>
        <v>95915</v>
      </c>
      <c r="W202" s="584"/>
      <c r="X202" s="371">
        <f t="shared" si="37"/>
        <v>11509776.000000002</v>
      </c>
      <c r="Y202" s="846">
        <f t="shared" si="34"/>
        <v>6.3943200000000013</v>
      </c>
      <c r="Z202" s="491">
        <v>1800000</v>
      </c>
      <c r="AA202" s="662">
        <f t="shared" si="35"/>
        <v>11509776.000000002</v>
      </c>
      <c r="AB202" s="568">
        <f t="shared" si="38"/>
        <v>173</v>
      </c>
      <c r="AC202" s="493">
        <f>IFERROR(INDEX('[2]CN BC'!$M$10:$M$276,MATCH(B202,'[2]CN BC'!$H$10:$H$276,0)),"")</f>
        <v>0</v>
      </c>
      <c r="AD202" s="522" t="s">
        <v>813</v>
      </c>
      <c r="AE202" s="108"/>
      <c r="AF202" s="108"/>
      <c r="AG202" s="155"/>
      <c r="AH202" s="108"/>
      <c r="AI202" s="108"/>
      <c r="AJ202" s="108"/>
      <c r="AK202" s="108"/>
      <c r="AL202" s="108"/>
      <c r="AM202" s="108"/>
    </row>
    <row r="203" spans="1:43" s="372" customFormat="1" ht="25.5" customHeight="1">
      <c r="A203" s="379">
        <f>_xlfn.AGGREGATE(4,7,A$29:A202)+1</f>
        <v>174</v>
      </c>
      <c r="B203" s="363" t="s">
        <v>1888</v>
      </c>
      <c r="C203" s="364" t="s">
        <v>1043</v>
      </c>
      <c r="D203" s="434" t="s">
        <v>1760</v>
      </c>
      <c r="E203" s="423" t="s">
        <v>1369</v>
      </c>
      <c r="F203" s="366">
        <v>4.32</v>
      </c>
      <c r="G203" s="367"/>
      <c r="H203" s="368">
        <f t="shared" si="40"/>
        <v>4.32</v>
      </c>
      <c r="I203" s="368"/>
      <c r="J203" s="368" t="str">
        <f>VLOOKUP(B203,TH!B197:J529,9,FALSE)</f>
        <v>Giảng viên khoa Cơ khí</v>
      </c>
      <c r="K203" s="369">
        <f t="shared" si="41"/>
        <v>4.32</v>
      </c>
      <c r="L203" s="362">
        <f t="shared" si="42"/>
        <v>7776000.0000000009</v>
      </c>
      <c r="M203" s="366" t="str">
        <f>VLOOKUP(B203,'[1]Gui chi Quynh'!$B$11:$E$400,4,FALSE)</f>
        <v>A3</v>
      </c>
      <c r="N203" s="494">
        <f t="shared" si="30"/>
        <v>9331200</v>
      </c>
      <c r="O203" s="376">
        <v>21</v>
      </c>
      <c r="P203" s="440">
        <f>IFERROR(INDEX('[2]CN BC'!$J$10:$J$276,MATCH(B203,'[2]CN BC'!$H$10:$H$276,0)),"")</f>
        <v>21</v>
      </c>
      <c r="Q203" s="494">
        <f t="shared" si="36"/>
        <v>9331200</v>
      </c>
      <c r="R203" s="460"/>
      <c r="S203" s="362">
        <f t="shared" si="29"/>
        <v>0</v>
      </c>
      <c r="T203" s="370"/>
      <c r="U203" s="362">
        <f t="shared" si="39"/>
        <v>0</v>
      </c>
      <c r="V203" s="584">
        <f t="shared" si="33"/>
        <v>77760</v>
      </c>
      <c r="W203" s="584"/>
      <c r="X203" s="371">
        <f t="shared" si="37"/>
        <v>9331200</v>
      </c>
      <c r="Y203" s="846">
        <f t="shared" si="34"/>
        <v>5.1840000000000002</v>
      </c>
      <c r="Z203" s="491">
        <v>1800000</v>
      </c>
      <c r="AA203" s="662">
        <f t="shared" si="35"/>
        <v>9331200</v>
      </c>
      <c r="AB203" s="568">
        <f t="shared" si="38"/>
        <v>174</v>
      </c>
      <c r="AC203" s="493">
        <f>IFERROR(INDEX('[2]CN BC'!$M$10:$M$276,MATCH(B203,'[2]CN BC'!$H$10:$H$276,0)),"")</f>
        <v>0</v>
      </c>
      <c r="AD203" s="522" t="s">
        <v>814</v>
      </c>
      <c r="AE203" s="108"/>
      <c r="AF203" s="108"/>
      <c r="AG203" s="155"/>
      <c r="AH203" s="108"/>
      <c r="AI203" s="108"/>
      <c r="AJ203" s="108"/>
      <c r="AK203" s="108"/>
      <c r="AL203" s="108"/>
      <c r="AM203" s="108"/>
    </row>
    <row r="204" spans="1:43" s="372" customFormat="1" ht="25.5" customHeight="1">
      <c r="A204" s="379">
        <f>_xlfn.AGGREGATE(4,7,A$29:A203)+1</f>
        <v>175</v>
      </c>
      <c r="B204" s="363" t="s">
        <v>1889</v>
      </c>
      <c r="C204" s="364" t="s">
        <v>1028</v>
      </c>
      <c r="D204" s="434" t="s">
        <v>1761</v>
      </c>
      <c r="E204" s="423" t="s">
        <v>42</v>
      </c>
      <c r="F204" s="366">
        <v>4.9800000000000004</v>
      </c>
      <c r="G204" s="367">
        <v>0.15</v>
      </c>
      <c r="H204" s="368">
        <f t="shared" si="40"/>
        <v>5.7270000000000003</v>
      </c>
      <c r="I204" s="368"/>
      <c r="J204" s="368" t="str">
        <f>VLOOKUP(B204,TH!B198:J530,9,FALSE)</f>
        <v>Giảng viên khoa Cơ khí</v>
      </c>
      <c r="K204" s="369">
        <f t="shared" si="41"/>
        <v>5.7270000000000003</v>
      </c>
      <c r="L204" s="362">
        <f t="shared" si="42"/>
        <v>10308600</v>
      </c>
      <c r="M204" s="366" t="str">
        <f>VLOOKUP(B204,'[1]Gui chi Quynh'!$B$11:$E$400,4,FALSE)</f>
        <v>A4</v>
      </c>
      <c r="N204" s="494">
        <f t="shared" si="30"/>
        <v>10308600</v>
      </c>
      <c r="O204" s="376">
        <v>21</v>
      </c>
      <c r="P204" s="440">
        <f>IFERROR(INDEX('[2]CN BC'!$J$10:$J$276,MATCH(B204,'[2]CN BC'!$H$10:$H$276,0)),"")</f>
        <v>21</v>
      </c>
      <c r="Q204" s="494">
        <f t="shared" si="36"/>
        <v>10308600</v>
      </c>
      <c r="R204" s="460"/>
      <c r="S204" s="362">
        <f t="shared" si="29"/>
        <v>0</v>
      </c>
      <c r="T204" s="370"/>
      <c r="U204" s="362">
        <f t="shared" si="39"/>
        <v>0</v>
      </c>
      <c r="V204" s="584">
        <f t="shared" si="33"/>
        <v>103086</v>
      </c>
      <c r="W204" s="584"/>
      <c r="X204" s="371">
        <f t="shared" si="37"/>
        <v>10308600</v>
      </c>
      <c r="Y204" s="846">
        <f t="shared" si="34"/>
        <v>5.7270000000000003</v>
      </c>
      <c r="Z204" s="491">
        <v>1800000</v>
      </c>
      <c r="AA204" s="662">
        <f t="shared" si="35"/>
        <v>10308600</v>
      </c>
      <c r="AB204" s="568">
        <f t="shared" si="38"/>
        <v>175</v>
      </c>
      <c r="AC204" s="493">
        <f>IFERROR(INDEX('[2]CN BC'!$M$10:$M$276,MATCH(B204,'[2]CN BC'!$H$10:$H$276,0)),"")</f>
        <v>0</v>
      </c>
      <c r="AD204" s="522" t="s">
        <v>815</v>
      </c>
      <c r="AE204" s="108"/>
      <c r="AF204" s="108"/>
      <c r="AG204" s="155"/>
      <c r="AH204" s="108"/>
      <c r="AI204" s="108"/>
      <c r="AJ204" s="108"/>
      <c r="AK204" s="108"/>
      <c r="AL204" s="108"/>
      <c r="AM204" s="108"/>
    </row>
    <row r="205" spans="1:43" s="372" customFormat="1" ht="25.5" customHeight="1">
      <c r="A205" s="379">
        <f>_xlfn.AGGREGATE(4,7,A$29:A204)+1</f>
        <v>176</v>
      </c>
      <c r="B205" s="363" t="s">
        <v>1890</v>
      </c>
      <c r="C205" s="364" t="s">
        <v>1039</v>
      </c>
      <c r="D205" s="434" t="s">
        <v>1762</v>
      </c>
      <c r="E205" s="423" t="s">
        <v>1367</v>
      </c>
      <c r="F205" s="366">
        <v>4.6500000000000004</v>
      </c>
      <c r="G205" s="367"/>
      <c r="H205" s="368">
        <f t="shared" si="40"/>
        <v>4.6500000000000004</v>
      </c>
      <c r="I205" s="368">
        <f>0.25</f>
        <v>0.25</v>
      </c>
      <c r="J205" s="368" t="str">
        <f>VLOOKUP(B205,TH!B199:J531,9,FALSE)</f>
        <v>Giảng viên khoa Cơ khí</v>
      </c>
      <c r="K205" s="369">
        <f t="shared" si="41"/>
        <v>4.9000000000000004</v>
      </c>
      <c r="L205" s="362">
        <f t="shared" si="42"/>
        <v>8820000</v>
      </c>
      <c r="M205" s="366" t="str">
        <f>VLOOKUP(B205,'[1]Gui chi Quynh'!$B$11:$E$400,4,FALSE)</f>
        <v>A1</v>
      </c>
      <c r="N205" s="494">
        <f t="shared" si="30"/>
        <v>14112000</v>
      </c>
      <c r="O205" s="376">
        <v>21</v>
      </c>
      <c r="P205" s="440">
        <f>IFERROR(INDEX('[2]CN BC'!$J$10:$J$276,MATCH(B205,'[2]CN BC'!$H$10:$H$276,0)),"")</f>
        <v>21</v>
      </c>
      <c r="Q205" s="494">
        <f t="shared" si="36"/>
        <v>14112000</v>
      </c>
      <c r="R205" s="460"/>
      <c r="S205" s="362">
        <f t="shared" si="29"/>
        <v>0</v>
      </c>
      <c r="T205" s="370"/>
      <c r="U205" s="362">
        <f t="shared" si="39"/>
        <v>0</v>
      </c>
      <c r="V205" s="584">
        <f t="shared" si="33"/>
        <v>88200</v>
      </c>
      <c r="W205" s="584"/>
      <c r="X205" s="371">
        <f t="shared" si="37"/>
        <v>14112000</v>
      </c>
      <c r="Y205" s="846">
        <f t="shared" si="34"/>
        <v>7.84</v>
      </c>
      <c r="Z205" s="491">
        <v>1800000</v>
      </c>
      <c r="AA205" s="662">
        <f t="shared" si="35"/>
        <v>14112000</v>
      </c>
      <c r="AB205" s="568">
        <f t="shared" si="38"/>
        <v>176</v>
      </c>
      <c r="AC205" s="493">
        <f>IFERROR(INDEX('[2]CN BC'!$M$10:$M$276,MATCH(B205,'[2]CN BC'!$H$10:$H$276,0)),"")</f>
        <v>0</v>
      </c>
      <c r="AD205" s="522" t="s">
        <v>816</v>
      </c>
      <c r="AE205" s="108"/>
      <c r="AF205" s="108"/>
      <c r="AG205" s="155"/>
      <c r="AH205" s="108"/>
      <c r="AI205" s="108"/>
      <c r="AJ205" s="108"/>
      <c r="AK205" s="108"/>
      <c r="AL205" s="108"/>
      <c r="AM205" s="108"/>
    </row>
    <row r="206" spans="1:43" s="372" customFormat="1" ht="25.5" customHeight="1">
      <c r="A206" s="379">
        <f>_xlfn.AGGREGATE(4,7,A$29:A205)+1</f>
        <v>177</v>
      </c>
      <c r="B206" s="363" t="s">
        <v>1891</v>
      </c>
      <c r="C206" s="364" t="s">
        <v>1000</v>
      </c>
      <c r="D206" s="434" t="s">
        <v>1763</v>
      </c>
      <c r="E206" s="423" t="s">
        <v>1377</v>
      </c>
      <c r="F206" s="366">
        <v>4.9800000000000004</v>
      </c>
      <c r="G206" s="367">
        <v>0.06</v>
      </c>
      <c r="H206" s="368">
        <f t="shared" si="40"/>
        <v>5.2788000000000004</v>
      </c>
      <c r="I206" s="368">
        <v>0.25</v>
      </c>
      <c r="J206" s="368" t="str">
        <f>VLOOKUP(B206,TH!B200:J532,9,FALSE)</f>
        <v>Giảng viên khoa Cơ khí</v>
      </c>
      <c r="K206" s="369">
        <f t="shared" si="41"/>
        <v>5.5288000000000004</v>
      </c>
      <c r="L206" s="362">
        <f t="shared" si="42"/>
        <v>9951840</v>
      </c>
      <c r="M206" s="366" t="str">
        <f>VLOOKUP(B206,'[1]Gui chi Quynh'!$B$11:$E$400,4,FALSE)</f>
        <v>A2</v>
      </c>
      <c r="N206" s="494">
        <f t="shared" si="30"/>
        <v>13932576</v>
      </c>
      <c r="O206" s="376">
        <v>21</v>
      </c>
      <c r="P206" s="440">
        <f>IFERROR(INDEX('[2]CN BC'!$J$10:$J$276,MATCH(B206,'[2]CN BC'!$H$10:$H$276,0)),"")</f>
        <v>21</v>
      </c>
      <c r="Q206" s="494">
        <f t="shared" si="36"/>
        <v>13932576</v>
      </c>
      <c r="R206" s="392"/>
      <c r="S206" s="362">
        <f t="shared" si="29"/>
        <v>0</v>
      </c>
      <c r="T206" s="370"/>
      <c r="U206" s="362">
        <f t="shared" si="39"/>
        <v>0</v>
      </c>
      <c r="V206" s="584">
        <f t="shared" si="33"/>
        <v>99518</v>
      </c>
      <c r="W206" s="584"/>
      <c r="X206" s="371">
        <f t="shared" si="37"/>
        <v>13932576</v>
      </c>
      <c r="Y206" s="846">
        <f t="shared" si="34"/>
        <v>7.7403199999999996</v>
      </c>
      <c r="Z206" s="491">
        <v>1800000</v>
      </c>
      <c r="AA206" s="662">
        <f t="shared" si="35"/>
        <v>13932576</v>
      </c>
      <c r="AB206" s="568">
        <f t="shared" si="38"/>
        <v>177</v>
      </c>
      <c r="AC206" s="493">
        <f>IFERROR(INDEX('[2]CN BC'!$M$10:$M$276,MATCH(B206,'[2]CN BC'!$H$10:$H$276,0)),"")</f>
        <v>0</v>
      </c>
      <c r="AD206" s="522" t="s">
        <v>817</v>
      </c>
      <c r="AE206" s="108"/>
      <c r="AF206" s="108"/>
      <c r="AG206" s="155"/>
      <c r="AH206" s="108"/>
      <c r="AI206" s="108"/>
      <c r="AJ206" s="108"/>
      <c r="AK206" s="108"/>
      <c r="AL206" s="108"/>
      <c r="AM206" s="108"/>
    </row>
    <row r="207" spans="1:43" s="372" customFormat="1" ht="25.5" customHeight="1">
      <c r="A207" s="379">
        <f>_xlfn.AGGREGATE(4,7,A$29:A206)+1</f>
        <v>178</v>
      </c>
      <c r="B207" s="363" t="s">
        <v>1525</v>
      </c>
      <c r="C207" s="364" t="s">
        <v>1009</v>
      </c>
      <c r="D207" s="434" t="s">
        <v>1764</v>
      </c>
      <c r="E207" s="423" t="s">
        <v>1372</v>
      </c>
      <c r="F207" s="373">
        <v>3.99</v>
      </c>
      <c r="G207" s="367"/>
      <c r="H207" s="368">
        <f t="shared" si="40"/>
        <v>3.99</v>
      </c>
      <c r="I207" s="368"/>
      <c r="J207" s="368" t="str">
        <f>VLOOKUP(B207,TH!B201:J533,9,FALSE)</f>
        <v>Giảng viên khoa Cơ khí</v>
      </c>
      <c r="K207" s="369">
        <f t="shared" si="41"/>
        <v>3.99</v>
      </c>
      <c r="L207" s="362">
        <f t="shared" si="42"/>
        <v>7182000</v>
      </c>
      <c r="M207" s="366" t="str">
        <f>VLOOKUP(B207,'[1]Gui chi Quynh'!$B$11:$E$400,4,FALSE)</f>
        <v>A4</v>
      </c>
      <c r="N207" s="494">
        <f t="shared" si="30"/>
        <v>7182000</v>
      </c>
      <c r="O207" s="376">
        <v>21</v>
      </c>
      <c r="P207" s="440">
        <f>IFERROR(INDEX('[2]CN BC'!$J$10:$J$276,MATCH(B207,'[2]CN BC'!$H$10:$H$276,0)),"")</f>
        <v>21</v>
      </c>
      <c r="Q207" s="494">
        <f t="shared" si="36"/>
        <v>7182000</v>
      </c>
      <c r="R207" s="460"/>
      <c r="S207" s="362">
        <f t="shared" si="29"/>
        <v>0</v>
      </c>
      <c r="T207" s="370"/>
      <c r="U207" s="362">
        <f t="shared" si="39"/>
        <v>0</v>
      </c>
      <c r="V207" s="584">
        <f t="shared" si="33"/>
        <v>71820</v>
      </c>
      <c r="W207" s="584"/>
      <c r="X207" s="371">
        <f t="shared" si="37"/>
        <v>7182000</v>
      </c>
      <c r="Y207" s="846">
        <f t="shared" si="34"/>
        <v>3.99</v>
      </c>
      <c r="Z207" s="491">
        <v>1800000</v>
      </c>
      <c r="AA207" s="662">
        <f t="shared" si="35"/>
        <v>7182000</v>
      </c>
      <c r="AB207" s="568">
        <f t="shared" si="38"/>
        <v>178</v>
      </c>
      <c r="AC207" s="493">
        <f>IFERROR(INDEX('[2]CN BC'!$M$10:$M$276,MATCH(B207,'[2]CN BC'!$H$10:$H$276,0)),"")</f>
        <v>0</v>
      </c>
      <c r="AD207" s="522" t="s">
        <v>818</v>
      </c>
      <c r="AE207" s="471"/>
      <c r="AF207" s="108"/>
      <c r="AG207" s="155"/>
      <c r="AH207" s="108"/>
      <c r="AI207" s="108"/>
      <c r="AJ207" s="108"/>
      <c r="AK207" s="108"/>
      <c r="AL207" s="108"/>
      <c r="AM207" s="108"/>
    </row>
    <row r="208" spans="1:43" s="372" customFormat="1" ht="25.5" customHeight="1">
      <c r="A208" s="379">
        <f>_xlfn.AGGREGATE(4,7,A$29:A207)+1</f>
        <v>179</v>
      </c>
      <c r="B208" s="363" t="s">
        <v>1892</v>
      </c>
      <c r="C208" s="364" t="s">
        <v>920</v>
      </c>
      <c r="D208" s="406" t="s">
        <v>1765</v>
      </c>
      <c r="E208" s="423" t="s">
        <v>1374</v>
      </c>
      <c r="F208" s="366">
        <v>4.9800000000000004</v>
      </c>
      <c r="G208" s="367">
        <v>0.05</v>
      </c>
      <c r="H208" s="368">
        <f t="shared" si="40"/>
        <v>5.2290000000000001</v>
      </c>
      <c r="I208" s="368"/>
      <c r="J208" s="368" t="str">
        <f>VLOOKUP(B208,TH!B202:J534,9,FALSE)</f>
        <v>Giảng viên khoa Cơ khí</v>
      </c>
      <c r="K208" s="369">
        <f t="shared" si="41"/>
        <v>5.2290000000000001</v>
      </c>
      <c r="L208" s="362">
        <f t="shared" si="42"/>
        <v>9412200</v>
      </c>
      <c r="M208" s="366" t="str">
        <f>VLOOKUP(B208,'[1]Gui chi Quynh'!$B$11:$E$400,4,FALSE)</f>
        <v>A3</v>
      </c>
      <c r="N208" s="494">
        <f t="shared" si="30"/>
        <v>11294640</v>
      </c>
      <c r="O208" s="376">
        <v>21</v>
      </c>
      <c r="P208" s="440">
        <f>IFERROR(INDEX('[2]CN BC'!$J$10:$J$276,MATCH(B208,'[2]CN BC'!$H$10:$H$276,0)),"")</f>
        <v>21</v>
      </c>
      <c r="Q208" s="494">
        <f t="shared" si="36"/>
        <v>11294640</v>
      </c>
      <c r="R208" s="392"/>
      <c r="S208" s="362">
        <f t="shared" si="29"/>
        <v>0</v>
      </c>
      <c r="T208" s="370"/>
      <c r="U208" s="362">
        <f t="shared" si="39"/>
        <v>0</v>
      </c>
      <c r="V208" s="584">
        <f t="shared" si="33"/>
        <v>94122</v>
      </c>
      <c r="W208" s="584"/>
      <c r="X208" s="371">
        <f t="shared" si="37"/>
        <v>11294640</v>
      </c>
      <c r="Y208" s="846">
        <f t="shared" si="34"/>
        <v>6.2747999999999999</v>
      </c>
      <c r="Z208" s="491">
        <v>1800000</v>
      </c>
      <c r="AA208" s="662">
        <f t="shared" si="35"/>
        <v>11294640</v>
      </c>
      <c r="AB208" s="568">
        <f t="shared" si="38"/>
        <v>179</v>
      </c>
      <c r="AC208" s="493">
        <f>IFERROR(INDEX('[2]CN BC'!$M$10:$M$276,MATCH(B208,'[2]CN BC'!$H$10:$H$276,0)),"")</f>
        <v>0</v>
      </c>
      <c r="AD208" s="522" t="s">
        <v>819</v>
      </c>
      <c r="AE208" s="108"/>
      <c r="AF208" s="108"/>
      <c r="AG208" s="155"/>
      <c r="AH208" s="108"/>
      <c r="AI208" s="108"/>
      <c r="AJ208" s="108"/>
      <c r="AK208" s="108"/>
      <c r="AL208" s="108"/>
      <c r="AM208" s="108"/>
      <c r="AN208" s="108"/>
      <c r="AO208" s="108"/>
      <c r="AP208" s="108"/>
      <c r="AQ208" s="108"/>
    </row>
    <row r="209" spans="1:43" s="372" customFormat="1" ht="25.5" customHeight="1">
      <c r="A209" s="379">
        <f>_xlfn.AGGREGATE(4,7,A$29:A208)+1</f>
        <v>180</v>
      </c>
      <c r="B209" s="363" t="s">
        <v>1526</v>
      </c>
      <c r="C209" s="364" t="s">
        <v>1214</v>
      </c>
      <c r="D209" s="434" t="s">
        <v>1766</v>
      </c>
      <c r="E209" s="194" t="s">
        <v>1939</v>
      </c>
      <c r="F209" s="373">
        <v>3.66</v>
      </c>
      <c r="G209" s="367"/>
      <c r="H209" s="368">
        <f t="shared" si="40"/>
        <v>3.66</v>
      </c>
      <c r="I209" s="368">
        <v>0.35</v>
      </c>
      <c r="J209" s="368" t="str">
        <f>VLOOKUP(B209,TH!B203:J535,9,FALSE)</f>
        <v>Phó Trưởng khoa Cơ khí</v>
      </c>
      <c r="K209" s="369">
        <f t="shared" si="41"/>
        <v>4.01</v>
      </c>
      <c r="L209" s="362">
        <f t="shared" si="42"/>
        <v>7218000</v>
      </c>
      <c r="M209" s="366" t="str">
        <f>VLOOKUP(B209,'[1]Gui chi Quynh'!$B$11:$E$400,4,FALSE)</f>
        <v>A2</v>
      </c>
      <c r="N209" s="494">
        <f t="shared" si="30"/>
        <v>10105200</v>
      </c>
      <c r="O209" s="376">
        <v>21</v>
      </c>
      <c r="P209" s="440">
        <f>IFERROR(INDEX('[2]CN BC'!$J$10:$J$276,MATCH(B209,'[2]CN BC'!$H$10:$H$276,0)),"")</f>
        <v>21</v>
      </c>
      <c r="Q209" s="494">
        <f t="shared" si="36"/>
        <v>10105200</v>
      </c>
      <c r="R209" s="460"/>
      <c r="S209" s="362">
        <f t="shared" si="29"/>
        <v>0</v>
      </c>
      <c r="T209" s="370"/>
      <c r="U209" s="362">
        <f t="shared" si="39"/>
        <v>0</v>
      </c>
      <c r="V209" s="584">
        <f t="shared" si="33"/>
        <v>72180</v>
      </c>
      <c r="W209" s="584"/>
      <c r="X209" s="371">
        <f t="shared" si="37"/>
        <v>10105200</v>
      </c>
      <c r="Y209" s="846">
        <f t="shared" si="34"/>
        <v>5.6139999999999999</v>
      </c>
      <c r="Z209" s="491">
        <v>1800000</v>
      </c>
      <c r="AA209" s="662">
        <f t="shared" si="35"/>
        <v>10105200</v>
      </c>
      <c r="AB209" s="568">
        <f t="shared" si="38"/>
        <v>180</v>
      </c>
      <c r="AC209" s="493">
        <f>IFERROR(INDEX('[2]CN BC'!$M$10:$M$276,MATCH(B209,'[2]CN BC'!$H$10:$H$276,0)),"")</f>
        <v>0</v>
      </c>
      <c r="AD209" s="522" t="s">
        <v>820</v>
      </c>
      <c r="AE209" s="108"/>
      <c r="AF209" s="108"/>
      <c r="AG209" s="155"/>
      <c r="AH209" s="108"/>
      <c r="AI209" s="108"/>
      <c r="AJ209" s="108"/>
      <c r="AK209" s="108"/>
      <c r="AL209" s="108"/>
      <c r="AM209" s="108"/>
    </row>
    <row r="210" spans="1:43" s="372" customFormat="1" ht="26.25" customHeight="1">
      <c r="A210" s="379">
        <f>_xlfn.AGGREGATE(4,7,A$29:A209)+1</f>
        <v>181</v>
      </c>
      <c r="B210" s="363" t="s">
        <v>1527</v>
      </c>
      <c r="C210" s="364" t="s">
        <v>1009</v>
      </c>
      <c r="D210" s="434" t="s">
        <v>1767</v>
      </c>
      <c r="E210" s="423" t="s">
        <v>1379</v>
      </c>
      <c r="F210" s="373">
        <v>3.66</v>
      </c>
      <c r="G210" s="367"/>
      <c r="H210" s="368">
        <f t="shared" si="40"/>
        <v>3.66</v>
      </c>
      <c r="I210" s="368"/>
      <c r="J210" s="368" t="str">
        <f>VLOOKUP(B210,TH!B204:J536,9,FALSE)</f>
        <v>Giảng viên khoa Cơ khí</v>
      </c>
      <c r="K210" s="369">
        <f t="shared" si="41"/>
        <v>3.66</v>
      </c>
      <c r="L210" s="362">
        <f t="shared" si="42"/>
        <v>6588000</v>
      </c>
      <c r="M210" s="366" t="str">
        <f>VLOOKUP(B210,'[1]Gui chi Quynh'!$B$11:$E$400,4,FALSE)</f>
        <v>A4</v>
      </c>
      <c r="N210" s="494">
        <f t="shared" si="30"/>
        <v>6588000</v>
      </c>
      <c r="O210" s="376">
        <v>21</v>
      </c>
      <c r="P210" s="440">
        <f>IFERROR(INDEX('[2]CN BC'!$J$10:$J$276,MATCH(B210,'[2]CN BC'!$H$10:$H$276,0)),"")</f>
        <v>21</v>
      </c>
      <c r="Q210" s="494">
        <f t="shared" si="36"/>
        <v>6588000</v>
      </c>
      <c r="R210" s="460"/>
      <c r="S210" s="362">
        <f t="shared" si="29"/>
        <v>0</v>
      </c>
      <c r="T210" s="370"/>
      <c r="U210" s="362">
        <f t="shared" si="39"/>
        <v>0</v>
      </c>
      <c r="V210" s="584">
        <f t="shared" si="33"/>
        <v>65880</v>
      </c>
      <c r="W210" s="584"/>
      <c r="X210" s="371">
        <f t="shared" si="37"/>
        <v>6588000</v>
      </c>
      <c r="Y210" s="846">
        <f t="shared" si="34"/>
        <v>3.66</v>
      </c>
      <c r="Z210" s="491">
        <v>1800000</v>
      </c>
      <c r="AA210" s="662">
        <f t="shared" si="35"/>
        <v>6588000</v>
      </c>
      <c r="AB210" s="568">
        <f t="shared" si="38"/>
        <v>181</v>
      </c>
      <c r="AC210" s="493">
        <f>IFERROR(INDEX('[2]CN BC'!$M$10:$M$276,MATCH(B210,'[2]CN BC'!$H$10:$H$276,0)),"")</f>
        <v>0</v>
      </c>
      <c r="AD210" s="522" t="s">
        <v>1119</v>
      </c>
      <c r="AE210" s="108"/>
      <c r="AF210" s="108"/>
      <c r="AG210" s="487"/>
    </row>
    <row r="211" spans="1:43" s="372" customFormat="1" ht="27.75" customHeight="1">
      <c r="A211" s="379">
        <f>_xlfn.AGGREGATE(4,7,A$29:A210)+1</f>
        <v>182</v>
      </c>
      <c r="B211" s="363" t="s">
        <v>1893</v>
      </c>
      <c r="C211" s="364" t="s">
        <v>891</v>
      </c>
      <c r="D211" s="434" t="s">
        <v>1768</v>
      </c>
      <c r="E211" s="423" t="s">
        <v>387</v>
      </c>
      <c r="F211" s="373">
        <v>3.66</v>
      </c>
      <c r="G211" s="367"/>
      <c r="H211" s="368">
        <f t="shared" si="40"/>
        <v>3.66</v>
      </c>
      <c r="I211" s="368"/>
      <c r="J211" s="368" t="str">
        <f>VLOOKUP(B211,TH!B205:J537,9,FALSE)</f>
        <v>Giảng viên khoa Cơ khí</v>
      </c>
      <c r="K211" s="369">
        <f t="shared" si="41"/>
        <v>3.66</v>
      </c>
      <c r="L211" s="362">
        <f t="shared" si="42"/>
        <v>6588000</v>
      </c>
      <c r="M211" s="366" t="str">
        <f>VLOOKUP(B211,'[1]Gui chi Quynh'!$B$11:$E$400,4,FALSE)</f>
        <v>A3</v>
      </c>
      <c r="N211" s="494">
        <f t="shared" si="30"/>
        <v>7905600</v>
      </c>
      <c r="O211" s="376">
        <v>21</v>
      </c>
      <c r="P211" s="440">
        <f>IFERROR(INDEX('[2]CN BC'!$J$10:$J$276,MATCH(B211,'[2]CN BC'!$H$10:$H$276,0)),"")</f>
        <v>21</v>
      </c>
      <c r="Q211" s="494">
        <f t="shared" si="36"/>
        <v>7905600</v>
      </c>
      <c r="R211" s="392"/>
      <c r="S211" s="362">
        <f t="shared" si="29"/>
        <v>0</v>
      </c>
      <c r="T211" s="370"/>
      <c r="U211" s="362">
        <f t="shared" si="39"/>
        <v>0</v>
      </c>
      <c r="V211" s="584">
        <f t="shared" si="33"/>
        <v>65880</v>
      </c>
      <c r="W211" s="584"/>
      <c r="X211" s="371">
        <f t="shared" si="37"/>
        <v>7905600</v>
      </c>
      <c r="Y211" s="846">
        <f t="shared" si="34"/>
        <v>4.3920000000000003</v>
      </c>
      <c r="Z211" s="491">
        <v>1800000</v>
      </c>
      <c r="AA211" s="662">
        <f t="shared" si="35"/>
        <v>7905600.0000000009</v>
      </c>
      <c r="AB211" s="568">
        <f t="shared" si="38"/>
        <v>182</v>
      </c>
      <c r="AC211" s="493">
        <f>IFERROR(INDEX('[2]CN BC'!$M$10:$M$276,MATCH(B211,'[2]CN BC'!$H$10:$H$276,0)),"")</f>
        <v>0</v>
      </c>
      <c r="AD211" s="522" t="s">
        <v>1120</v>
      </c>
      <c r="AE211" s="108"/>
      <c r="AF211" s="108"/>
      <c r="AG211" s="155"/>
      <c r="AH211" s="108"/>
      <c r="AI211" s="108"/>
      <c r="AJ211" s="108"/>
      <c r="AK211" s="108"/>
      <c r="AL211" s="108"/>
      <c r="AM211" s="108"/>
    </row>
    <row r="212" spans="1:43" s="372" customFormat="1" ht="27.75" customHeight="1">
      <c r="A212" s="379">
        <f>_xlfn.AGGREGATE(4,7,A$29:A211)+1</f>
        <v>183</v>
      </c>
      <c r="B212" s="363" t="s">
        <v>1894</v>
      </c>
      <c r="C212" s="364" t="s">
        <v>880</v>
      </c>
      <c r="D212" s="434" t="s">
        <v>1769</v>
      </c>
      <c r="E212" s="423" t="s">
        <v>388</v>
      </c>
      <c r="F212" s="373">
        <v>3.66</v>
      </c>
      <c r="G212" s="367"/>
      <c r="H212" s="368">
        <f t="shared" si="40"/>
        <v>3.66</v>
      </c>
      <c r="I212" s="368"/>
      <c r="J212" s="368" t="str">
        <f>VLOOKUP(B212,TH!B206:J538,9,FALSE)</f>
        <v>Giảng viên khoa Cơ khí</v>
      </c>
      <c r="K212" s="369">
        <f t="shared" si="41"/>
        <v>3.66</v>
      </c>
      <c r="L212" s="362">
        <f t="shared" si="42"/>
        <v>6588000</v>
      </c>
      <c r="M212" s="366" t="str">
        <f>VLOOKUP(B212,'[1]Gui chi Quynh'!$B$11:$E$400,4,FALSE)</f>
        <v>A4</v>
      </c>
      <c r="N212" s="494">
        <f t="shared" si="30"/>
        <v>6588000</v>
      </c>
      <c r="O212" s="376">
        <v>21</v>
      </c>
      <c r="P212" s="440">
        <f>IFERROR(INDEX('[2]CN BC'!$J$10:$J$276,MATCH(B212,'[2]CN BC'!$H$10:$H$276,0)),"")</f>
        <v>21</v>
      </c>
      <c r="Q212" s="494">
        <f t="shared" si="36"/>
        <v>6588000</v>
      </c>
      <c r="R212" s="460"/>
      <c r="S212" s="362">
        <f t="shared" ref="S212:S276" si="43">R212*$G$26*1</f>
        <v>0</v>
      </c>
      <c r="T212" s="370"/>
      <c r="U212" s="362">
        <f t="shared" si="39"/>
        <v>0</v>
      </c>
      <c r="V212" s="584">
        <f t="shared" si="33"/>
        <v>65880</v>
      </c>
      <c r="W212" s="584"/>
      <c r="X212" s="371">
        <f t="shared" si="37"/>
        <v>6588000</v>
      </c>
      <c r="Y212" s="846">
        <f t="shared" si="34"/>
        <v>3.66</v>
      </c>
      <c r="Z212" s="491">
        <v>1800000</v>
      </c>
      <c r="AA212" s="662">
        <f t="shared" si="35"/>
        <v>6588000</v>
      </c>
      <c r="AB212" s="568">
        <f t="shared" si="38"/>
        <v>183</v>
      </c>
      <c r="AC212" s="493">
        <f>IFERROR(INDEX('[2]CN BC'!$M$10:$M$276,MATCH(B212,'[2]CN BC'!$H$10:$H$276,0)),"")</f>
        <v>0</v>
      </c>
      <c r="AD212" s="522" t="s">
        <v>1121</v>
      </c>
      <c r="AE212" s="108"/>
      <c r="AF212" s="108"/>
      <c r="AG212" s="155"/>
      <c r="AH212" s="108"/>
      <c r="AI212" s="108"/>
      <c r="AJ212" s="108"/>
      <c r="AK212" s="108"/>
      <c r="AL212" s="108"/>
      <c r="AM212" s="108"/>
    </row>
    <row r="213" spans="1:43" s="372" customFormat="1" ht="32.25" customHeight="1">
      <c r="A213" s="379">
        <f>_xlfn.AGGREGATE(4,7,A$29:A212)+1</f>
        <v>184</v>
      </c>
      <c r="B213" s="363" t="s">
        <v>2023</v>
      </c>
      <c r="C213" s="592" t="s">
        <v>364</v>
      </c>
      <c r="D213" s="434" t="s">
        <v>1770</v>
      </c>
      <c r="E213" s="423" t="s">
        <v>386</v>
      </c>
      <c r="F213" s="373">
        <v>3.66</v>
      </c>
      <c r="G213" s="367"/>
      <c r="H213" s="368">
        <f t="shared" si="40"/>
        <v>3.66</v>
      </c>
      <c r="I213" s="368"/>
      <c r="J213" s="368" t="str">
        <f>VLOOKUP(B213,TH!B207:J539,9,FALSE)</f>
        <v>Giảng viên khoa Cơ khí</v>
      </c>
      <c r="K213" s="369">
        <f t="shared" si="41"/>
        <v>3.66</v>
      </c>
      <c r="L213" s="362">
        <f t="shared" si="42"/>
        <v>6588000</v>
      </c>
      <c r="M213" s="366" t="str">
        <f>VLOOKUP(B213,'[1]Gui chi Quynh'!$B$11:$E$400,4,FALSE)</f>
        <v>A4</v>
      </c>
      <c r="N213" s="494">
        <f t="shared" si="30"/>
        <v>6588000</v>
      </c>
      <c r="O213" s="376">
        <v>21</v>
      </c>
      <c r="P213" s="440">
        <f>IFERROR(INDEX('[2]CN BC'!$J$10:$J$276,MATCH(B213,'[2]CN BC'!$H$10:$H$276,0)),"")</f>
        <v>21</v>
      </c>
      <c r="Q213" s="494">
        <f t="shared" si="36"/>
        <v>6588000</v>
      </c>
      <c r="R213" s="460"/>
      <c r="S213" s="362">
        <f t="shared" si="43"/>
        <v>0</v>
      </c>
      <c r="T213" s="370"/>
      <c r="U213" s="362">
        <f t="shared" si="39"/>
        <v>0</v>
      </c>
      <c r="V213" s="362">
        <f t="shared" si="33"/>
        <v>65880</v>
      </c>
      <c r="W213" s="362"/>
      <c r="X213" s="371">
        <f t="shared" si="37"/>
        <v>6588000</v>
      </c>
      <c r="Y213" s="846">
        <f t="shared" si="34"/>
        <v>3.66</v>
      </c>
      <c r="Z213" s="491">
        <v>1800000</v>
      </c>
      <c r="AA213" s="662">
        <f t="shared" si="35"/>
        <v>6588000</v>
      </c>
      <c r="AB213" s="568">
        <f t="shared" si="38"/>
        <v>184</v>
      </c>
      <c r="AC213" s="493">
        <f>IFERROR(INDEX('[2]CN BC'!$M$10:$M$276,MATCH(B213,'[2]CN BC'!$H$10:$H$276,0)),"")</f>
        <v>0</v>
      </c>
      <c r="AD213" s="540" t="s">
        <v>1122</v>
      </c>
      <c r="AG213" s="487"/>
    </row>
    <row r="214" spans="1:43" s="372" customFormat="1" ht="27.75" customHeight="1">
      <c r="A214" s="379">
        <f>_xlfn.AGGREGATE(4,7,A$29:A213)+1</f>
        <v>185</v>
      </c>
      <c r="B214" s="363" t="s">
        <v>1528</v>
      </c>
      <c r="C214" s="364" t="s">
        <v>455</v>
      </c>
      <c r="D214" s="406" t="s">
        <v>1771</v>
      </c>
      <c r="E214" s="423" t="s">
        <v>456</v>
      </c>
      <c r="F214" s="373">
        <v>3.66</v>
      </c>
      <c r="G214" s="367"/>
      <c r="H214" s="445">
        <f t="shared" si="40"/>
        <v>3.66</v>
      </c>
      <c r="I214" s="368"/>
      <c r="J214" s="368" t="str">
        <f>VLOOKUP(B214,TH!B208:J540,9,FALSE)</f>
        <v>Giảng viên khoa Cơ khí</v>
      </c>
      <c r="K214" s="369">
        <f t="shared" si="41"/>
        <v>3.66</v>
      </c>
      <c r="L214" s="362">
        <f t="shared" si="42"/>
        <v>6588000</v>
      </c>
      <c r="M214" s="366" t="str">
        <f>VLOOKUP(B214,'[1]Gui chi Quynh'!$B$11:$E$400,4,FALSE)</f>
        <v>A4</v>
      </c>
      <c r="N214" s="494">
        <f t="shared" si="30"/>
        <v>6588000</v>
      </c>
      <c r="O214" s="376">
        <v>21</v>
      </c>
      <c r="P214" s="440">
        <f>IFERROR(INDEX('[2]CN BC'!$J$10:$J$276,MATCH(B214,'[2]CN BC'!$H$10:$H$276,0)),"")</f>
        <v>21</v>
      </c>
      <c r="Q214" s="494">
        <f t="shared" si="36"/>
        <v>6588000</v>
      </c>
      <c r="R214" s="392"/>
      <c r="S214" s="362">
        <f t="shared" si="43"/>
        <v>0</v>
      </c>
      <c r="T214" s="370"/>
      <c r="U214" s="362">
        <f t="shared" si="39"/>
        <v>0</v>
      </c>
      <c r="V214" s="584">
        <f t="shared" si="33"/>
        <v>65880</v>
      </c>
      <c r="W214" s="584"/>
      <c r="X214" s="371">
        <f t="shared" si="37"/>
        <v>6588000</v>
      </c>
      <c r="Y214" s="846">
        <f t="shared" si="34"/>
        <v>3.66</v>
      </c>
      <c r="Z214" s="491">
        <v>1800000</v>
      </c>
      <c r="AA214" s="662">
        <f t="shared" si="35"/>
        <v>6588000</v>
      </c>
      <c r="AB214" s="568">
        <f t="shared" si="38"/>
        <v>185</v>
      </c>
      <c r="AC214" s="493">
        <f>IFERROR(INDEX('[2]CN BC'!$M$10:$M$276,MATCH(B214,'[2]CN BC'!$H$10:$H$276,0)),"")</f>
        <v>0</v>
      </c>
      <c r="AD214" s="522" t="s">
        <v>1123</v>
      </c>
      <c r="AE214" s="108"/>
      <c r="AF214" s="108"/>
      <c r="AG214" s="155"/>
      <c r="AH214" s="108"/>
      <c r="AI214" s="108"/>
      <c r="AJ214" s="108"/>
      <c r="AK214" s="108"/>
      <c r="AL214" s="108"/>
      <c r="AM214" s="108"/>
      <c r="AN214" s="108"/>
      <c r="AO214" s="108"/>
      <c r="AP214" s="108"/>
      <c r="AQ214" s="108"/>
    </row>
    <row r="215" spans="1:43" s="372" customFormat="1" ht="30" customHeight="1">
      <c r="A215" s="379">
        <f>_xlfn.AGGREGATE(4,7,A$29:A214)+1</f>
        <v>186</v>
      </c>
      <c r="B215" s="363" t="s">
        <v>1529</v>
      </c>
      <c r="C215" s="364" t="s">
        <v>876</v>
      </c>
      <c r="D215" s="406" t="s">
        <v>1772</v>
      </c>
      <c r="E215" s="423" t="s">
        <v>743</v>
      </c>
      <c r="F215" s="373">
        <v>3.33</v>
      </c>
      <c r="G215" s="367"/>
      <c r="H215" s="445">
        <f t="shared" si="40"/>
        <v>3.33</v>
      </c>
      <c r="I215" s="368">
        <v>0.25</v>
      </c>
      <c r="J215" s="368" t="str">
        <f>VLOOKUP(B215,TH!B209:J541,9,FALSE)</f>
        <v>Giảng viên - Trưởng BM khoa Cơ khí</v>
      </c>
      <c r="K215" s="369">
        <f t="shared" si="41"/>
        <v>3.58</v>
      </c>
      <c r="L215" s="362">
        <f t="shared" si="42"/>
        <v>6444000</v>
      </c>
      <c r="M215" s="366" t="str">
        <f>VLOOKUP(B215,'[1]Gui chi Quynh'!$B$11:$E$400,4,FALSE)</f>
        <v>A1</v>
      </c>
      <c r="N215" s="494">
        <f t="shared" si="30"/>
        <v>10310400</v>
      </c>
      <c r="O215" s="376">
        <v>21</v>
      </c>
      <c r="P215" s="440">
        <f>IFERROR(INDEX('[2]CN BC'!$J$10:$J$276,MATCH(B215,'[2]CN BC'!$H$10:$H$276,0)),"")</f>
        <v>21</v>
      </c>
      <c r="Q215" s="494">
        <f t="shared" si="36"/>
        <v>10310400</v>
      </c>
      <c r="R215" s="392"/>
      <c r="S215" s="362">
        <f t="shared" si="43"/>
        <v>0</v>
      </c>
      <c r="T215" s="385"/>
      <c r="U215" s="362">
        <f t="shared" si="39"/>
        <v>0</v>
      </c>
      <c r="V215" s="584">
        <f t="shared" si="33"/>
        <v>64440</v>
      </c>
      <c r="W215" s="584"/>
      <c r="X215" s="371">
        <f t="shared" si="37"/>
        <v>10310400</v>
      </c>
      <c r="Y215" s="846">
        <f t="shared" si="34"/>
        <v>5.7279999999999998</v>
      </c>
      <c r="Z215" s="491">
        <v>1800000</v>
      </c>
      <c r="AA215" s="662">
        <f t="shared" si="35"/>
        <v>10310400</v>
      </c>
      <c r="AB215" s="568">
        <f t="shared" si="38"/>
        <v>186</v>
      </c>
      <c r="AC215" s="493">
        <f>IFERROR(INDEX('[2]CN BC'!$M$10:$M$276,MATCH(B215,'[2]CN BC'!$H$10:$H$276,0)),"")</f>
        <v>0</v>
      </c>
      <c r="AD215" s="522" t="s">
        <v>1124</v>
      </c>
      <c r="AE215" s="108"/>
      <c r="AF215" s="108"/>
      <c r="AG215" s="155"/>
      <c r="AH215" s="108"/>
      <c r="AI215" s="108"/>
      <c r="AJ215" s="108"/>
      <c r="AK215" s="108"/>
      <c r="AL215" s="108"/>
      <c r="AM215" s="108"/>
      <c r="AN215" s="108"/>
      <c r="AO215" s="108"/>
      <c r="AP215" s="108"/>
      <c r="AQ215" s="108"/>
    </row>
    <row r="216" spans="1:43" s="372" customFormat="1" ht="30" customHeight="1">
      <c r="A216" s="379">
        <f>_xlfn.AGGREGATE(4,7,A$29:A215)+1</f>
        <v>187</v>
      </c>
      <c r="B216" s="363" t="s">
        <v>1530</v>
      </c>
      <c r="C216" s="364" t="s">
        <v>886</v>
      </c>
      <c r="D216" s="434" t="s">
        <v>1773</v>
      </c>
      <c r="E216" s="430">
        <v>1603205357641</v>
      </c>
      <c r="F216" s="373">
        <v>3.66</v>
      </c>
      <c r="G216" s="367"/>
      <c r="H216" s="368">
        <f t="shared" si="40"/>
        <v>3.66</v>
      </c>
      <c r="I216" s="368"/>
      <c r="J216" s="368" t="str">
        <f>VLOOKUP(B216,TH!B210:J542,9,FALSE)</f>
        <v>Giảng viên khoa Cơ khí</v>
      </c>
      <c r="K216" s="369">
        <f t="shared" si="41"/>
        <v>3.66</v>
      </c>
      <c r="L216" s="362">
        <f t="shared" si="42"/>
        <v>6588000</v>
      </c>
      <c r="M216" s="366" t="str">
        <f>VLOOKUP(B216,'[1]Gui chi Quynh'!$B$11:$E$400,4,FALSE)</f>
        <v>A4</v>
      </c>
      <c r="N216" s="494">
        <f t="shared" si="30"/>
        <v>6588000</v>
      </c>
      <c r="O216" s="376">
        <v>21</v>
      </c>
      <c r="P216" s="440">
        <f>IFERROR(INDEX('[2]CN BC'!$J$10:$J$276,MATCH(B216,'[2]CN BC'!$H$10:$H$276,0)),"")</f>
        <v>21</v>
      </c>
      <c r="Q216" s="494">
        <f t="shared" si="36"/>
        <v>6588000</v>
      </c>
      <c r="R216" s="460"/>
      <c r="S216" s="362">
        <f t="shared" si="43"/>
        <v>0</v>
      </c>
      <c r="T216" s="370"/>
      <c r="U216" s="362">
        <f t="shared" si="39"/>
        <v>0</v>
      </c>
      <c r="V216" s="584">
        <f t="shared" si="33"/>
        <v>65880</v>
      </c>
      <c r="W216" s="584"/>
      <c r="X216" s="371">
        <f t="shared" si="37"/>
        <v>6588000</v>
      </c>
      <c r="Y216" s="846">
        <f t="shared" si="34"/>
        <v>3.66</v>
      </c>
      <c r="Z216" s="491">
        <v>1800000</v>
      </c>
      <c r="AA216" s="662">
        <f t="shared" si="35"/>
        <v>6588000</v>
      </c>
      <c r="AB216" s="568">
        <f t="shared" si="38"/>
        <v>187</v>
      </c>
      <c r="AC216" s="493">
        <f>IFERROR(INDEX('[2]CN BC'!$M$10:$M$276,MATCH(B216,'[2]CN BC'!$H$10:$H$276,0)),"")</f>
        <v>0</v>
      </c>
      <c r="AD216" s="540" t="s">
        <v>1125</v>
      </c>
      <c r="AE216" s="541"/>
      <c r="AG216" s="487"/>
    </row>
    <row r="217" spans="1:43" s="372" customFormat="1" ht="25.9" customHeight="1">
      <c r="A217" s="379">
        <f>_xlfn.AGGREGATE(4,7,A$29:A216)+1</f>
        <v>188</v>
      </c>
      <c r="B217" s="363" t="s">
        <v>1531</v>
      </c>
      <c r="C217" s="364" t="s">
        <v>746</v>
      </c>
      <c r="D217" s="406" t="s">
        <v>1774</v>
      </c>
      <c r="E217" s="430">
        <v>1603205357120</v>
      </c>
      <c r="F217" s="373">
        <v>3.33</v>
      </c>
      <c r="G217" s="367"/>
      <c r="H217" s="445">
        <f t="shared" si="40"/>
        <v>3.33</v>
      </c>
      <c r="I217" s="368"/>
      <c r="J217" s="368" t="str">
        <f>VLOOKUP(B217,TH!B211:J543,9,FALSE)</f>
        <v>Giảng viên khoa Cơ khí</v>
      </c>
      <c r="K217" s="369">
        <f t="shared" si="41"/>
        <v>3.33</v>
      </c>
      <c r="L217" s="362">
        <f t="shared" si="42"/>
        <v>5994000</v>
      </c>
      <c r="M217" s="366" t="str">
        <f>VLOOKUP(B217,'[1]Gui chi Quynh'!$B$11:$E$400,4,FALSE)</f>
        <v>A2</v>
      </c>
      <c r="N217" s="494">
        <f t="shared" si="30"/>
        <v>8391600</v>
      </c>
      <c r="O217" s="376">
        <v>21</v>
      </c>
      <c r="P217" s="440">
        <f>IFERROR(INDEX('[2]CN BC'!$J$10:$J$276,MATCH(B217,'[2]CN BC'!$H$10:$H$276,0)),"")</f>
        <v>21</v>
      </c>
      <c r="Q217" s="494">
        <f t="shared" si="36"/>
        <v>8391600</v>
      </c>
      <c r="R217" s="392"/>
      <c r="S217" s="362">
        <f t="shared" si="43"/>
        <v>0</v>
      </c>
      <c r="T217" s="370"/>
      <c r="U217" s="362">
        <f t="shared" si="39"/>
        <v>0</v>
      </c>
      <c r="V217" s="584">
        <f t="shared" si="33"/>
        <v>59940</v>
      </c>
      <c r="W217" s="584"/>
      <c r="X217" s="371">
        <f t="shared" si="37"/>
        <v>8391600</v>
      </c>
      <c r="Y217" s="846">
        <f t="shared" si="34"/>
        <v>4.6619999999999999</v>
      </c>
      <c r="Z217" s="491">
        <v>1800000</v>
      </c>
      <c r="AA217" s="662">
        <f t="shared" si="35"/>
        <v>8391600</v>
      </c>
      <c r="AB217" s="568">
        <f t="shared" si="38"/>
        <v>188</v>
      </c>
      <c r="AC217" s="493">
        <f>IFERROR(INDEX('[2]CN BC'!$M$10:$M$276,MATCH(B217,'[2]CN BC'!$H$10:$H$276,0)),"")</f>
        <v>0</v>
      </c>
      <c r="AD217" s="522" t="s">
        <v>1126</v>
      </c>
      <c r="AE217" s="108"/>
      <c r="AF217" s="108"/>
      <c r="AG217" s="155"/>
      <c r="AH217" s="108"/>
      <c r="AI217" s="108"/>
      <c r="AJ217" s="108"/>
      <c r="AK217" s="108"/>
      <c r="AL217" s="108"/>
      <c r="AM217" s="108"/>
      <c r="AN217" s="108"/>
      <c r="AO217" s="108"/>
      <c r="AP217" s="108"/>
      <c r="AQ217" s="108"/>
    </row>
    <row r="218" spans="1:43" s="372" customFormat="1" ht="32.25" customHeight="1">
      <c r="A218" s="379">
        <f>_xlfn.AGGREGATE(4,7,A$29:A217)+1</f>
        <v>189</v>
      </c>
      <c r="B218" s="363" t="s">
        <v>1895</v>
      </c>
      <c r="C218" s="364" t="s">
        <v>905</v>
      </c>
      <c r="D218" s="434" t="s">
        <v>1775</v>
      </c>
      <c r="E218" s="423" t="s">
        <v>1261</v>
      </c>
      <c r="F218" s="366">
        <v>4.9800000000000004</v>
      </c>
      <c r="G218" s="367">
        <v>7.0000000000000007E-2</v>
      </c>
      <c r="H218" s="368">
        <f t="shared" si="40"/>
        <v>5.3286000000000007</v>
      </c>
      <c r="I218" s="368"/>
      <c r="J218" s="368" t="str">
        <f>VLOOKUP(B218,TH!B212:J544,9,FALSE)</f>
        <v>Giảng viên khoa Cơ khí</v>
      </c>
      <c r="K218" s="369">
        <f t="shared" si="41"/>
        <v>5.3286000000000007</v>
      </c>
      <c r="L218" s="362">
        <f t="shared" si="42"/>
        <v>9591480.0000000019</v>
      </c>
      <c r="M218" s="366" t="str">
        <f>VLOOKUP(B218,'[1]Gui chi Quynh'!$B$11:$E$400,4,FALSE)</f>
        <v>A3</v>
      </c>
      <c r="N218" s="494">
        <f t="shared" si="30"/>
        <v>11509776.000000002</v>
      </c>
      <c r="O218" s="376">
        <v>21</v>
      </c>
      <c r="P218" s="440">
        <f>IFERROR(INDEX('[2]CN BC'!$J$10:$J$276,MATCH(B218,'[2]CN BC'!$H$10:$H$276,0)),"")</f>
        <v>21</v>
      </c>
      <c r="Q218" s="494">
        <f t="shared" si="36"/>
        <v>11509776.000000002</v>
      </c>
      <c r="R218" s="392"/>
      <c r="S218" s="362">
        <f t="shared" si="43"/>
        <v>0</v>
      </c>
      <c r="T218" s="370"/>
      <c r="U218" s="362">
        <f t="shared" si="39"/>
        <v>0</v>
      </c>
      <c r="V218" s="584">
        <f t="shared" si="33"/>
        <v>95915</v>
      </c>
      <c r="W218" s="584"/>
      <c r="X218" s="371">
        <f t="shared" si="37"/>
        <v>11509776.000000002</v>
      </c>
      <c r="Y218" s="846">
        <f t="shared" si="34"/>
        <v>6.3943200000000013</v>
      </c>
      <c r="Z218" s="491">
        <v>1800000</v>
      </c>
      <c r="AA218" s="662">
        <f t="shared" si="35"/>
        <v>11509776.000000002</v>
      </c>
      <c r="AB218" s="568">
        <f t="shared" si="38"/>
        <v>189</v>
      </c>
      <c r="AC218" s="493">
        <f>IFERROR(INDEX('[2]CN BC'!$M$10:$M$276,MATCH(B218,'[2]CN BC'!$H$10:$H$276,0)),"")</f>
        <v>0</v>
      </c>
      <c r="AD218" s="522" t="s">
        <v>1127</v>
      </c>
      <c r="AE218" s="524"/>
      <c r="AF218" s="108"/>
      <c r="AG218" s="155"/>
      <c r="AH218" s="108"/>
      <c r="AI218" s="108"/>
      <c r="AJ218" s="108"/>
      <c r="AK218" s="108"/>
      <c r="AL218" s="108"/>
      <c r="AM218" s="108"/>
    </row>
    <row r="219" spans="1:43" s="372" customFormat="1" ht="25.5" customHeight="1">
      <c r="A219" s="379">
        <f>_xlfn.AGGREGATE(4,7,A$29:A218)+1</f>
        <v>190</v>
      </c>
      <c r="B219" s="363" t="s">
        <v>1896</v>
      </c>
      <c r="C219" s="364" t="s">
        <v>1035</v>
      </c>
      <c r="D219" s="434" t="s">
        <v>1776</v>
      </c>
      <c r="E219" s="423" t="s">
        <v>1365</v>
      </c>
      <c r="F219" s="366">
        <v>4.9800000000000004</v>
      </c>
      <c r="G219" s="367">
        <v>0.1</v>
      </c>
      <c r="H219" s="368">
        <f t="shared" si="40"/>
        <v>5.4780000000000006</v>
      </c>
      <c r="I219" s="368"/>
      <c r="J219" s="368" t="str">
        <f>VLOOKUP(B219,TH!B213:J545,9,FALSE)</f>
        <v>Giảng viên khoa Cơ khí</v>
      </c>
      <c r="K219" s="369">
        <f t="shared" si="41"/>
        <v>5.4780000000000006</v>
      </c>
      <c r="L219" s="362">
        <f t="shared" si="42"/>
        <v>9860400.0000000019</v>
      </c>
      <c r="M219" s="366" t="str">
        <f>VLOOKUP(B219,'[1]Gui chi Quynh'!$B$11:$E$400,4,FALSE)</f>
        <v>A4</v>
      </c>
      <c r="N219" s="494">
        <f t="shared" ref="N219:N282" si="44">IF(M219="A1",L219*1.6,IF(M219="A2",L219*1.4,IF(M219="A3",L219*1.2,IF(M219="A4",L219*1,IF(M219="B1",L219*0.7,IF(M219="B2",L219*0.5,IF(M219="C1",L219*0.3,IF(M219="C2",L219*0.2,0))))))))</f>
        <v>9860400.0000000019</v>
      </c>
      <c r="O219" s="376">
        <v>21</v>
      </c>
      <c r="P219" s="440">
        <f>IFERROR(INDEX('[2]CN BC'!$J$10:$J$276,MATCH(B219,'[2]CN BC'!$H$10:$H$276,0)),"")</f>
        <v>21</v>
      </c>
      <c r="Q219" s="494">
        <f t="shared" si="36"/>
        <v>9860400.0000000019</v>
      </c>
      <c r="R219" s="485"/>
      <c r="S219" s="362">
        <f>R219*$G$26*0.8</f>
        <v>0</v>
      </c>
      <c r="T219" s="370"/>
      <c r="U219" s="362">
        <f t="shared" si="39"/>
        <v>0</v>
      </c>
      <c r="V219" s="584">
        <f t="shared" ref="V219:V295" si="45">IF(OR(M219="A DN",M219="KXL", M219=""),"0",ROUND(K219*0.01*$G$26+R219*1%*$G$26+T219*1%*$G$26,))</f>
        <v>98604</v>
      </c>
      <c r="W219" s="584"/>
      <c r="X219" s="371">
        <f t="shared" si="37"/>
        <v>9860400.0000000019</v>
      </c>
      <c r="Y219" s="846">
        <f t="shared" si="34"/>
        <v>5.4780000000000006</v>
      </c>
      <c r="Z219" s="491">
        <v>1800000</v>
      </c>
      <c r="AA219" s="662">
        <f t="shared" si="35"/>
        <v>9860400.0000000019</v>
      </c>
      <c r="AB219" s="568">
        <f t="shared" si="38"/>
        <v>190</v>
      </c>
      <c r="AC219" s="493">
        <f>IFERROR(INDEX('[2]CN BC'!$M$10:$M$276,MATCH(B219,'[2]CN BC'!$H$10:$H$276,0)),"")</f>
        <v>0</v>
      </c>
      <c r="AD219" s="522" t="s">
        <v>1131</v>
      </c>
      <c r="AE219" s="108"/>
      <c r="AF219" s="108"/>
      <c r="AG219" s="155"/>
      <c r="AH219" s="108"/>
      <c r="AI219" s="108"/>
      <c r="AJ219" s="108"/>
      <c r="AK219" s="108"/>
      <c r="AL219" s="108"/>
      <c r="AM219" s="108"/>
    </row>
    <row r="220" spans="1:43" s="372" customFormat="1" ht="29.25" customHeight="1">
      <c r="A220" s="379">
        <f>_xlfn.AGGREGATE(4,7,A$29:A219)+1</f>
        <v>191</v>
      </c>
      <c r="B220" s="363" t="s">
        <v>1532</v>
      </c>
      <c r="C220" s="364" t="s">
        <v>884</v>
      </c>
      <c r="D220" s="406" t="s">
        <v>1777</v>
      </c>
      <c r="E220" s="422" t="s">
        <v>1594</v>
      </c>
      <c r="F220" s="373">
        <v>3.33</v>
      </c>
      <c r="G220" s="367"/>
      <c r="H220" s="445">
        <f t="shared" si="40"/>
        <v>3.33</v>
      </c>
      <c r="I220" s="368"/>
      <c r="J220" s="368" t="str">
        <f>VLOOKUP(B220,TH!B214:J546,9,FALSE)</f>
        <v>Giảng viên khoa Cơ khí</v>
      </c>
      <c r="K220" s="369">
        <f t="shared" si="41"/>
        <v>3.33</v>
      </c>
      <c r="L220" s="362">
        <f t="shared" si="42"/>
        <v>5994000</v>
      </c>
      <c r="M220" s="366" t="str">
        <f>VLOOKUP(B220,'[1]Gui chi Quynh'!$B$11:$E$400,4,FALSE)</f>
        <v>A4</v>
      </c>
      <c r="N220" s="494">
        <f t="shared" si="44"/>
        <v>5994000</v>
      </c>
      <c r="O220" s="376">
        <v>21</v>
      </c>
      <c r="P220" s="440">
        <f>IFERROR(INDEX('[2]CN BC'!$J$10:$J$276,MATCH(B220,'[2]CN BC'!$H$10:$H$276,0)),"")</f>
        <v>21</v>
      </c>
      <c r="Q220" s="494">
        <f t="shared" si="36"/>
        <v>5994000</v>
      </c>
      <c r="R220" s="455"/>
      <c r="S220" s="362">
        <f t="shared" si="43"/>
        <v>0</v>
      </c>
      <c r="T220" s="370"/>
      <c r="U220" s="362">
        <f t="shared" si="39"/>
        <v>0</v>
      </c>
      <c r="V220" s="584">
        <f t="shared" si="45"/>
        <v>59940</v>
      </c>
      <c r="W220" s="584"/>
      <c r="X220" s="371">
        <f t="shared" si="37"/>
        <v>5994000</v>
      </c>
      <c r="Y220" s="846">
        <f t="shared" ref="Y220:Y283" si="46">X220/Z220</f>
        <v>3.33</v>
      </c>
      <c r="Z220" s="491">
        <v>1800000</v>
      </c>
      <c r="AA220" s="662">
        <f t="shared" ref="AA220:AA283" si="47">Y220*Z220</f>
        <v>5994000</v>
      </c>
      <c r="AB220" s="568">
        <f t="shared" si="38"/>
        <v>191</v>
      </c>
      <c r="AC220" s="493">
        <f>IFERROR(INDEX('[2]CN BC'!$M$10:$M$276,MATCH(B220,'[2]CN BC'!$H$10:$H$276,0)),"")</f>
        <v>0</v>
      </c>
      <c r="AD220" s="522" t="s">
        <v>1132</v>
      </c>
      <c r="AE220" s="108"/>
      <c r="AF220" s="108"/>
      <c r="AG220" s="155"/>
      <c r="AH220" s="108"/>
      <c r="AI220" s="108"/>
      <c r="AJ220" s="108"/>
      <c r="AK220" s="108"/>
      <c r="AL220" s="108"/>
      <c r="AM220" s="108"/>
      <c r="AN220" s="108"/>
      <c r="AO220" s="108"/>
      <c r="AP220" s="108"/>
      <c r="AQ220" s="108"/>
    </row>
    <row r="221" spans="1:43" s="372" customFormat="1" ht="25.5" customHeight="1">
      <c r="A221" s="379">
        <f>_xlfn.AGGREGATE(4,7,A$29:A220)+1</f>
        <v>192</v>
      </c>
      <c r="B221" s="363" t="s">
        <v>1608</v>
      </c>
      <c r="C221" s="375" t="s">
        <v>1011</v>
      </c>
      <c r="D221" s="482" t="s">
        <v>1968</v>
      </c>
      <c r="E221" s="102">
        <v>1603215003955</v>
      </c>
      <c r="F221" s="373">
        <v>3</v>
      </c>
      <c r="G221" s="378"/>
      <c r="H221" s="445">
        <f t="shared" si="40"/>
        <v>3</v>
      </c>
      <c r="I221" s="368"/>
      <c r="J221" s="368" t="str">
        <f>VLOOKUP(B221,TH!B215:J547,9,FALSE)</f>
        <v>Giảng viên khoa Cơ khí</v>
      </c>
      <c r="K221" s="369">
        <f t="shared" si="41"/>
        <v>3</v>
      </c>
      <c r="L221" s="362">
        <f t="shared" si="42"/>
        <v>5400000</v>
      </c>
      <c r="M221" s="366" t="str">
        <f>VLOOKUP(B221,'[1]Gui chi Quynh'!$B$11:$E$400,4,FALSE)</f>
        <v>A4</v>
      </c>
      <c r="N221" s="494">
        <f t="shared" si="44"/>
        <v>5400000</v>
      </c>
      <c r="O221" s="376">
        <v>21</v>
      </c>
      <c r="P221" s="440">
        <f>IFERROR(INDEX('[2]CN BC'!$J$10:$J$276,MATCH(B221,'[2]CN BC'!$H$10:$H$276,0)),"")</f>
        <v>21</v>
      </c>
      <c r="Q221" s="494">
        <f t="shared" si="36"/>
        <v>5400000</v>
      </c>
      <c r="R221" s="460"/>
      <c r="S221" s="362">
        <f t="shared" si="43"/>
        <v>0</v>
      </c>
      <c r="T221" s="370"/>
      <c r="U221" s="362">
        <f t="shared" si="39"/>
        <v>0</v>
      </c>
      <c r="V221" s="584">
        <f t="shared" si="45"/>
        <v>54000</v>
      </c>
      <c r="W221" s="584"/>
      <c r="X221" s="371">
        <f t="shared" si="37"/>
        <v>5400000</v>
      </c>
      <c r="Y221" s="846">
        <f t="shared" si="46"/>
        <v>3</v>
      </c>
      <c r="Z221" s="491">
        <v>1800000</v>
      </c>
      <c r="AA221" s="662">
        <f t="shared" si="47"/>
        <v>5400000</v>
      </c>
      <c r="AB221" s="568">
        <f t="shared" si="38"/>
        <v>192</v>
      </c>
      <c r="AC221" s="493">
        <f>IFERROR(INDEX('[2]CN BC'!$M$10:$M$276,MATCH(B221,'[2]CN BC'!$H$10:$H$276,0)),"")</f>
        <v>0</v>
      </c>
      <c r="AD221" s="522" t="s">
        <v>1133</v>
      </c>
      <c r="AE221" s="108"/>
      <c r="AF221" s="108"/>
      <c r="AG221" s="155"/>
      <c r="AH221" s="108"/>
      <c r="AI221" s="108"/>
      <c r="AJ221" s="108"/>
      <c r="AK221" s="108"/>
      <c r="AL221" s="108"/>
      <c r="AM221" s="108"/>
    </row>
    <row r="222" spans="1:43" s="372" customFormat="1" ht="24.75" customHeight="1">
      <c r="A222" s="379">
        <f>_xlfn.AGGREGATE(4,7,A$29:A221)+1</f>
        <v>193</v>
      </c>
      <c r="B222" s="363" t="s">
        <v>1835</v>
      </c>
      <c r="C222" s="375"/>
      <c r="D222" s="434" t="s">
        <v>1970</v>
      </c>
      <c r="E222" s="477" t="s">
        <v>1969</v>
      </c>
      <c r="F222" s="373">
        <v>3</v>
      </c>
      <c r="G222" s="378"/>
      <c r="H222" s="368">
        <f t="shared" si="40"/>
        <v>3</v>
      </c>
      <c r="I222" s="368"/>
      <c r="J222" s="368" t="str">
        <f>VLOOKUP(B222,TH!B216:J548,9,FALSE)</f>
        <v>Giảng viên khoa Cơ khí</v>
      </c>
      <c r="K222" s="369">
        <f t="shared" si="41"/>
        <v>3</v>
      </c>
      <c r="L222" s="362">
        <f t="shared" si="42"/>
        <v>5400000</v>
      </c>
      <c r="M222" s="366" t="str">
        <f>VLOOKUP(B222,'[1]Gui chi Quynh'!$B$11:$E$400,4,FALSE)</f>
        <v>A1</v>
      </c>
      <c r="N222" s="494">
        <f t="shared" si="44"/>
        <v>8640000</v>
      </c>
      <c r="O222" s="376">
        <v>21</v>
      </c>
      <c r="P222" s="440">
        <f>IFERROR(INDEX('[2]CN BC'!$J$10:$J$276,MATCH(B222,'[2]CN BC'!$H$10:$H$276,0)),"")</f>
        <v>21</v>
      </c>
      <c r="Q222" s="494">
        <f t="shared" ref="Q222:Q291" si="48">IF(P222&gt;=O222,N222,N222/O222*P222)</f>
        <v>8640000</v>
      </c>
      <c r="R222" s="392"/>
      <c r="S222" s="362">
        <f t="shared" si="43"/>
        <v>0</v>
      </c>
      <c r="T222" s="370"/>
      <c r="U222" s="362">
        <f t="shared" si="39"/>
        <v>0</v>
      </c>
      <c r="V222" s="584">
        <f t="shared" si="45"/>
        <v>54000</v>
      </c>
      <c r="W222" s="584"/>
      <c r="X222" s="371">
        <f t="shared" si="37"/>
        <v>8640000</v>
      </c>
      <c r="Y222" s="846">
        <f t="shared" si="46"/>
        <v>4.8</v>
      </c>
      <c r="Z222" s="491">
        <v>1800000</v>
      </c>
      <c r="AA222" s="662">
        <f t="shared" si="47"/>
        <v>8640000</v>
      </c>
      <c r="AB222" s="568">
        <f t="shared" si="38"/>
        <v>193</v>
      </c>
      <c r="AC222" s="493">
        <f>IFERROR(INDEX('[2]CN BC'!$M$10:$M$276,MATCH(B222,'[2]CN BC'!$H$10:$H$276,0)),"")</f>
        <v>0</v>
      </c>
      <c r="AD222" s="522" t="s">
        <v>1142</v>
      </c>
      <c r="AE222" s="108"/>
      <c r="AF222" s="108"/>
      <c r="AG222" s="155"/>
      <c r="AH222" s="108"/>
      <c r="AI222" s="108"/>
      <c r="AJ222" s="108"/>
      <c r="AK222" s="108"/>
      <c r="AL222" s="108"/>
      <c r="AM222" s="108"/>
    </row>
    <row r="223" spans="1:43" s="372" customFormat="1" ht="29.25" customHeight="1">
      <c r="A223" s="379">
        <f>_xlfn.AGGREGATE(4,7,A$29:A222)+1</f>
        <v>194</v>
      </c>
      <c r="B223" s="363" t="s">
        <v>1897</v>
      </c>
      <c r="C223" s="375" t="s">
        <v>868</v>
      </c>
      <c r="D223" s="434" t="s">
        <v>1670</v>
      </c>
      <c r="E223" s="423" t="s">
        <v>1286</v>
      </c>
      <c r="F223" s="366">
        <v>4.9800000000000004</v>
      </c>
      <c r="G223" s="367">
        <v>0.11</v>
      </c>
      <c r="H223" s="368">
        <f t="shared" si="40"/>
        <v>5.5278000000000009</v>
      </c>
      <c r="I223" s="368"/>
      <c r="J223" s="368" t="str">
        <f>VLOOKUP(B223,TH!B217:J549,9,FALSE)</f>
        <v>Giảng viên khoa Cơ khí</v>
      </c>
      <c r="K223" s="369">
        <f t="shared" si="41"/>
        <v>5.5278000000000009</v>
      </c>
      <c r="L223" s="362">
        <f t="shared" si="42"/>
        <v>9950040.0000000019</v>
      </c>
      <c r="M223" s="366" t="str">
        <f>VLOOKUP(B223,'[1]Gui chi Quynh'!$B$11:$E$400,4,FALSE)</f>
        <v>A4</v>
      </c>
      <c r="N223" s="494">
        <f t="shared" si="44"/>
        <v>9950040.0000000019</v>
      </c>
      <c r="O223" s="376">
        <v>21</v>
      </c>
      <c r="P223" s="440">
        <f>IFERROR(INDEX('[2]CN BC'!$J$10:$J$276,MATCH(B223,'[2]CN BC'!$H$10:$H$276,0)),"")</f>
        <v>21</v>
      </c>
      <c r="Q223" s="494">
        <f t="shared" si="48"/>
        <v>9950040.0000000019</v>
      </c>
      <c r="R223" s="460"/>
      <c r="S223" s="362">
        <f>R223*$G$26*0.8</f>
        <v>0</v>
      </c>
      <c r="T223" s="370"/>
      <c r="U223" s="362">
        <f t="shared" si="39"/>
        <v>0</v>
      </c>
      <c r="V223" s="584">
        <f t="shared" si="45"/>
        <v>99500</v>
      </c>
      <c r="W223" s="584"/>
      <c r="X223" s="371">
        <f t="shared" ref="X223:X286" si="49">(Q223+S223+U223)+W223</f>
        <v>9950040.0000000019</v>
      </c>
      <c r="Y223" s="846">
        <f t="shared" si="46"/>
        <v>5.5278000000000009</v>
      </c>
      <c r="Z223" s="491">
        <v>1800000</v>
      </c>
      <c r="AA223" s="662">
        <f t="shared" si="47"/>
        <v>9950040.0000000019</v>
      </c>
      <c r="AB223" s="568">
        <f t="shared" ref="AB223:AB286" si="50">A223</f>
        <v>194</v>
      </c>
      <c r="AC223" s="493">
        <f>IFERROR(INDEX('[2]CN BC'!$M$10:$M$276,MATCH(B223,'[2]CN BC'!$H$10:$H$276,0)),"")</f>
        <v>0</v>
      </c>
      <c r="AD223" s="540" t="s">
        <v>1143</v>
      </c>
      <c r="AG223" s="487"/>
    </row>
    <row r="224" spans="1:43" s="372" customFormat="1" ht="25.5" customHeight="1">
      <c r="A224" s="379">
        <f>_xlfn.AGGREGATE(4,7,A$29:A223)+1</f>
        <v>195</v>
      </c>
      <c r="B224" s="363" t="s">
        <v>1840</v>
      </c>
      <c r="C224" s="375"/>
      <c r="D224" s="434" t="s">
        <v>1971</v>
      </c>
      <c r="E224" s="102">
        <v>1603205596180</v>
      </c>
      <c r="F224" s="366">
        <v>2.67</v>
      </c>
      <c r="G224" s="367"/>
      <c r="H224" s="368">
        <f t="shared" si="40"/>
        <v>2.67</v>
      </c>
      <c r="I224" s="368"/>
      <c r="J224" s="368" t="str">
        <f>VLOOKUP(B224,TH!B218:J550,9,FALSE)</f>
        <v>Giảng viên khoa Cơ khí</v>
      </c>
      <c r="K224" s="369">
        <f t="shared" si="41"/>
        <v>2.67</v>
      </c>
      <c r="L224" s="362">
        <f t="shared" si="42"/>
        <v>4806000</v>
      </c>
      <c r="M224" s="366" t="str">
        <f>VLOOKUP(B224,'[1]Gui chi Quynh'!$B$11:$E$400,4,FALSE)</f>
        <v>A3</v>
      </c>
      <c r="N224" s="494">
        <f t="shared" si="44"/>
        <v>5767200</v>
      </c>
      <c r="O224" s="376">
        <v>21</v>
      </c>
      <c r="P224" s="440">
        <f>IFERROR(INDEX('[2]CN BC'!$J$10:$J$276,MATCH(B224,'[2]CN BC'!$H$10:$H$276,0)),"")</f>
        <v>21</v>
      </c>
      <c r="Q224" s="494">
        <f t="shared" si="48"/>
        <v>5767200</v>
      </c>
      <c r="R224" s="392"/>
      <c r="S224" s="362">
        <f t="shared" si="43"/>
        <v>0</v>
      </c>
      <c r="T224" s="370"/>
      <c r="U224" s="362">
        <f t="shared" ref="U224:U293" si="51">T224*$G$26*1</f>
        <v>0</v>
      </c>
      <c r="V224" s="584">
        <f t="shared" si="45"/>
        <v>48060</v>
      </c>
      <c r="W224" s="584"/>
      <c r="X224" s="371">
        <f t="shared" si="49"/>
        <v>5767200</v>
      </c>
      <c r="Y224" s="846">
        <f t="shared" si="46"/>
        <v>3.2040000000000002</v>
      </c>
      <c r="Z224" s="491">
        <v>1800000</v>
      </c>
      <c r="AA224" s="662">
        <f t="shared" si="47"/>
        <v>5767200</v>
      </c>
      <c r="AB224" s="568">
        <f t="shared" si="50"/>
        <v>195</v>
      </c>
      <c r="AC224" s="493">
        <f>IFERROR(INDEX('[2]CN BC'!$M$10:$M$276,MATCH(B224,'[2]CN BC'!$H$10:$H$276,0)),"")</f>
        <v>0</v>
      </c>
      <c r="AD224" s="522" t="s">
        <v>1144</v>
      </c>
      <c r="AE224" s="108"/>
      <c r="AF224" s="108"/>
      <c r="AG224" s="155"/>
      <c r="AH224" s="108"/>
      <c r="AI224" s="108"/>
      <c r="AJ224" s="108"/>
      <c r="AK224" s="108"/>
      <c r="AL224" s="108"/>
      <c r="AM224" s="108"/>
    </row>
    <row r="225" spans="1:43" s="372" customFormat="1" ht="24.75" customHeight="1">
      <c r="A225" s="379">
        <f>_xlfn.AGGREGATE(4,7,A$29:A224)+1</f>
        <v>196</v>
      </c>
      <c r="B225" s="363" t="s">
        <v>1943</v>
      </c>
      <c r="C225" s="375"/>
      <c r="D225" s="434" t="s">
        <v>1972</v>
      </c>
      <c r="E225" s="423"/>
      <c r="F225" s="373">
        <v>3</v>
      </c>
      <c r="G225" s="367"/>
      <c r="H225" s="368">
        <f t="shared" si="40"/>
        <v>3</v>
      </c>
      <c r="I225" s="368"/>
      <c r="J225" s="368" t="str">
        <f>VLOOKUP(B225,TH!B219:J551,9,FALSE)</f>
        <v>Giảng viên khoa Cơ khí</v>
      </c>
      <c r="K225" s="369">
        <f t="shared" si="41"/>
        <v>3</v>
      </c>
      <c r="L225" s="362">
        <f t="shared" si="42"/>
        <v>5400000</v>
      </c>
      <c r="M225" s="366" t="str">
        <f>VLOOKUP(B225,'[1]Gui chi Quynh'!$B$11:$E$400,4,FALSE)</f>
        <v>A3</v>
      </c>
      <c r="N225" s="494">
        <f t="shared" si="44"/>
        <v>6480000</v>
      </c>
      <c r="O225" s="376">
        <v>21</v>
      </c>
      <c r="P225" s="440">
        <f>IFERROR(INDEX('[2]CN BC'!$J$10:$J$276,MATCH(B225,'[2]CN BC'!$H$10:$H$276,0)),"")</f>
        <v>21</v>
      </c>
      <c r="Q225" s="494">
        <f t="shared" si="48"/>
        <v>6480000</v>
      </c>
      <c r="R225" s="460"/>
      <c r="S225" s="362">
        <f t="shared" si="43"/>
        <v>0</v>
      </c>
      <c r="T225" s="370"/>
      <c r="U225" s="362">
        <f t="shared" si="51"/>
        <v>0</v>
      </c>
      <c r="V225" s="584">
        <f t="shared" si="45"/>
        <v>54000</v>
      </c>
      <c r="W225" s="584"/>
      <c r="X225" s="371">
        <f t="shared" si="49"/>
        <v>6480000</v>
      </c>
      <c r="Y225" s="846">
        <f t="shared" si="46"/>
        <v>3.6</v>
      </c>
      <c r="Z225" s="491">
        <v>1800000</v>
      </c>
      <c r="AA225" s="662">
        <f t="shared" si="47"/>
        <v>6480000</v>
      </c>
      <c r="AB225" s="568">
        <f t="shared" si="50"/>
        <v>196</v>
      </c>
      <c r="AC225" s="493">
        <f>IFERROR(INDEX('[2]CN BC'!$M$10:$M$276,MATCH(B225,'[2]CN BC'!$H$10:$H$276,0)),"")</f>
        <v>0</v>
      </c>
      <c r="AD225" s="522" t="s">
        <v>1145</v>
      </c>
      <c r="AE225" s="108"/>
      <c r="AF225" s="108"/>
      <c r="AG225" s="487"/>
    </row>
    <row r="226" spans="1:43" s="372" customFormat="1" ht="26.25" customHeight="1">
      <c r="A226" s="379">
        <f>_xlfn.AGGREGATE(4,7,A$29:A225)+1</f>
        <v>197</v>
      </c>
      <c r="B226" s="363" t="s">
        <v>1994</v>
      </c>
      <c r="C226" s="375"/>
      <c r="D226" s="434"/>
      <c r="E226" s="423"/>
      <c r="F226" s="366">
        <v>4.32</v>
      </c>
      <c r="G226" s="367"/>
      <c r="H226" s="368">
        <f t="shared" si="40"/>
        <v>4.32</v>
      </c>
      <c r="I226" s="368"/>
      <c r="J226" s="368" t="str">
        <f>VLOOKUP(B226,TH!B220:J552,9,FALSE)</f>
        <v>Giảng viên khoa Cơ khí</v>
      </c>
      <c r="K226" s="369">
        <f t="shared" si="41"/>
        <v>4.32</v>
      </c>
      <c r="L226" s="362">
        <f t="shared" si="42"/>
        <v>7776000.0000000009</v>
      </c>
      <c r="M226" s="366" t="str">
        <f>VLOOKUP(B226,'[1]Gui chi Quynh'!$B$11:$E$400,4,FALSE)</f>
        <v>A4</v>
      </c>
      <c r="N226" s="494">
        <f t="shared" si="44"/>
        <v>7776000.0000000009</v>
      </c>
      <c r="O226" s="376">
        <v>21</v>
      </c>
      <c r="P226" s="440">
        <f>IFERROR(INDEX('[2]CN BC'!$J$10:$J$276,MATCH(B226,'[2]CN BC'!$H$10:$H$276,0)),"")</f>
        <v>21</v>
      </c>
      <c r="Q226" s="494">
        <f t="shared" si="48"/>
        <v>7776000.0000000009</v>
      </c>
      <c r="R226" s="460"/>
      <c r="S226" s="362">
        <f t="shared" si="43"/>
        <v>0</v>
      </c>
      <c r="T226" s="370"/>
      <c r="U226" s="362">
        <f t="shared" si="51"/>
        <v>0</v>
      </c>
      <c r="V226" s="584">
        <f t="shared" si="45"/>
        <v>77760</v>
      </c>
      <c r="W226" s="584"/>
      <c r="X226" s="371">
        <f t="shared" si="49"/>
        <v>7776000.0000000009</v>
      </c>
      <c r="Y226" s="846">
        <f t="shared" si="46"/>
        <v>4.32</v>
      </c>
      <c r="Z226" s="491">
        <v>1800000</v>
      </c>
      <c r="AA226" s="662">
        <f t="shared" si="47"/>
        <v>7776000.0000000009</v>
      </c>
      <c r="AB226" s="568">
        <f t="shared" si="50"/>
        <v>197</v>
      </c>
      <c r="AC226" s="493">
        <f>IFERROR(INDEX('[2]CN BC'!$M$10:$M$276,MATCH(B226,'[2]CN BC'!$H$10:$H$276,0)),"")</f>
        <v>0</v>
      </c>
      <c r="AD226" s="522" t="s">
        <v>1146</v>
      </c>
      <c r="AE226" s="108"/>
      <c r="AF226" s="108"/>
      <c r="AG226" s="155"/>
      <c r="AH226" s="108"/>
      <c r="AI226" s="108"/>
      <c r="AJ226" s="108"/>
      <c r="AK226" s="108"/>
      <c r="AL226" s="108"/>
      <c r="AM226" s="108"/>
    </row>
    <row r="227" spans="1:43" s="372" customFormat="1" ht="25.5" customHeight="1">
      <c r="A227" s="379">
        <f>_xlfn.AGGREGATE(4,7,A$29:A226)+1</f>
        <v>198</v>
      </c>
      <c r="B227" s="363" t="s">
        <v>2000</v>
      </c>
      <c r="C227" s="375"/>
      <c r="D227" s="434"/>
      <c r="E227" s="423"/>
      <c r="F227" s="366">
        <v>2.67</v>
      </c>
      <c r="G227" s="367"/>
      <c r="H227" s="368">
        <f t="shared" si="40"/>
        <v>2.67</v>
      </c>
      <c r="I227" s="368"/>
      <c r="J227" s="368" t="str">
        <f>VLOOKUP(B227,TH!B221:J553,9,FALSE)</f>
        <v>Giảng viên khoa Cơ khí</v>
      </c>
      <c r="K227" s="369">
        <f t="shared" si="41"/>
        <v>2.67</v>
      </c>
      <c r="L227" s="362">
        <f t="shared" si="42"/>
        <v>4806000</v>
      </c>
      <c r="M227" s="366" t="str">
        <f>VLOOKUP(B227,'[1]Gui chi Quynh'!$B$11:$E$400,4,FALSE)</f>
        <v>A3</v>
      </c>
      <c r="N227" s="494">
        <f t="shared" si="44"/>
        <v>5767200</v>
      </c>
      <c r="O227" s="376">
        <v>21</v>
      </c>
      <c r="P227" s="440">
        <f>IFERROR(INDEX('[2]CN BC'!$J$10:$J$276,MATCH(B227,'[2]CN BC'!$H$10:$H$276,0)),"")</f>
        <v>21</v>
      </c>
      <c r="Q227" s="494">
        <f t="shared" si="48"/>
        <v>5767200</v>
      </c>
      <c r="R227" s="460"/>
      <c r="S227" s="362">
        <f>R227*$G$26*1.2</f>
        <v>0</v>
      </c>
      <c r="T227" s="370"/>
      <c r="U227" s="362">
        <f t="shared" si="51"/>
        <v>0</v>
      </c>
      <c r="V227" s="584">
        <f t="shared" si="45"/>
        <v>48060</v>
      </c>
      <c r="W227" s="584"/>
      <c r="X227" s="371">
        <f t="shared" si="49"/>
        <v>5767200</v>
      </c>
      <c r="Y227" s="846">
        <f t="shared" si="46"/>
        <v>3.2040000000000002</v>
      </c>
      <c r="Z227" s="491">
        <v>1800000</v>
      </c>
      <c r="AA227" s="662">
        <f t="shared" si="47"/>
        <v>5767200</v>
      </c>
      <c r="AB227" s="568">
        <f t="shared" si="50"/>
        <v>198</v>
      </c>
      <c r="AC227" s="493">
        <f>IFERROR(INDEX('[2]CN BC'!$M$10:$M$276,MATCH(B227,'[2]CN BC'!$H$10:$H$276,0)),"")</f>
        <v>0</v>
      </c>
      <c r="AD227" s="522" t="s">
        <v>1147</v>
      </c>
      <c r="AE227" s="108"/>
      <c r="AF227" s="108"/>
      <c r="AG227" s="487"/>
    </row>
    <row r="228" spans="1:43" s="372" customFormat="1" ht="27" customHeight="1">
      <c r="A228" s="379">
        <f>_xlfn.AGGREGATE(4,7,A$29:A227)+1</f>
        <v>199</v>
      </c>
      <c r="B228" s="363" t="s">
        <v>1855</v>
      </c>
      <c r="C228" s="375" t="s">
        <v>939</v>
      </c>
      <c r="D228" s="434" t="s">
        <v>1651</v>
      </c>
      <c r="E228" s="423" t="s">
        <v>1292</v>
      </c>
      <c r="F228" s="366">
        <v>4.9800000000000004</v>
      </c>
      <c r="G228" s="367">
        <v>7.0000000000000007E-2</v>
      </c>
      <c r="H228" s="368">
        <f>F228+(F228*G228)</f>
        <v>5.3286000000000007</v>
      </c>
      <c r="I228" s="368">
        <v>0.35</v>
      </c>
      <c r="J228" s="368" t="str">
        <f>VLOOKUP(B228,TH!B222:J554,9,FALSE)</f>
        <v>Giảng viên khoa Cơ khí</v>
      </c>
      <c r="K228" s="369">
        <f>H228+I228</f>
        <v>5.6786000000000003</v>
      </c>
      <c r="L228" s="362">
        <f>K228*$G$26</f>
        <v>10221480</v>
      </c>
      <c r="M228" s="366" t="str">
        <f>VLOOKUP(B228,'[1]Gui chi Quynh'!$B$11:$E$400,4,FALSE)</f>
        <v>A3</v>
      </c>
      <c r="N228" s="494">
        <f>IF(M228="A1",L228*1.6,IF(M228="A2",L228*1.4,IF(M228="A3",L228*1.2,IF(M228="A4",L228*1,IF(M228="B1",L228*0.7,IF(M228="B2",L228*0.5,IF(M228="C1",L228*0.3,IF(M228="C2",L228*0.2,0))))))))</f>
        <v>12265776</v>
      </c>
      <c r="O228" s="376">
        <v>21</v>
      </c>
      <c r="P228" s="440">
        <f>IFERROR(INDEX('[2]CN BC'!$J$10:$J$276,MATCH(B228,'[2]CN BC'!$H$10:$H$276,0)),"")</f>
        <v>21</v>
      </c>
      <c r="Q228" s="494">
        <f>IF(P228&gt;=O228,N228,N228/O228*P228)</f>
        <v>12265776</v>
      </c>
      <c r="R228" s="460"/>
      <c r="S228" s="362">
        <f>R228*$G$26*1</f>
        <v>0</v>
      </c>
      <c r="T228" s="370"/>
      <c r="U228" s="362">
        <f>T228*$G$26*1</f>
        <v>0</v>
      </c>
      <c r="V228" s="584">
        <f>IF(OR(M228="A DN",M228="KXL", M228=""),"0",ROUND(K228*0.01*$G$26+R228*1%*$G$26+T228*1%*$G$26,))</f>
        <v>102215</v>
      </c>
      <c r="W228" s="584">
        <v>215136.00000000125</v>
      </c>
      <c r="X228" s="371">
        <f t="shared" si="49"/>
        <v>12480912.000000002</v>
      </c>
      <c r="Y228" s="846">
        <f t="shared" si="46"/>
        <v>6.9338400000000009</v>
      </c>
      <c r="Z228" s="491">
        <v>1800000</v>
      </c>
      <c r="AA228" s="662">
        <f t="shared" si="47"/>
        <v>12480912.000000002</v>
      </c>
      <c r="AB228" s="568">
        <f t="shared" si="50"/>
        <v>199</v>
      </c>
      <c r="AC228" s="493">
        <f>IFERROR(INDEX('[2]CN BC'!$M$10:$M$276,MATCH(B228,'[2]CN BC'!$H$10:$H$276,0)),"")</f>
        <v>0</v>
      </c>
      <c r="AD228" s="141"/>
      <c r="AE228" s="108"/>
      <c r="AF228" s="108"/>
      <c r="AG228" s="155"/>
    </row>
    <row r="229" spans="1:43" s="108" customFormat="1" ht="28.5" customHeight="1">
      <c r="A229" s="379">
        <f>_xlfn.AGGREGATE(4,7,A$29:A228)+1</f>
        <v>200</v>
      </c>
      <c r="B229" s="33" t="s">
        <v>1898</v>
      </c>
      <c r="C229" s="34" t="s">
        <v>1019</v>
      </c>
      <c r="D229" s="406" t="s">
        <v>1781</v>
      </c>
      <c r="E229" s="424" t="s">
        <v>1386</v>
      </c>
      <c r="F229" s="10">
        <v>4.6500000000000004</v>
      </c>
      <c r="G229" s="157"/>
      <c r="H229" s="368">
        <f t="shared" si="40"/>
        <v>4.6500000000000004</v>
      </c>
      <c r="I229" s="368">
        <v>0.45</v>
      </c>
      <c r="J229" s="368" t="str">
        <f>VLOOKUP(B229,TH!B223:J555,9,FALSE)</f>
        <v>Trưởng khoa Điện - Điện tử</v>
      </c>
      <c r="K229" s="369">
        <f t="shared" si="41"/>
        <v>5.1000000000000005</v>
      </c>
      <c r="L229" s="362">
        <f t="shared" si="42"/>
        <v>9180000.0000000019</v>
      </c>
      <c r="M229" s="366" t="str">
        <f>VLOOKUP(B229,'[1]Gui chi Quynh'!$B$11:$E$400,4,FALSE)</f>
        <v>A1</v>
      </c>
      <c r="N229" s="494">
        <f t="shared" si="44"/>
        <v>14688000.000000004</v>
      </c>
      <c r="O229" s="376">
        <v>21</v>
      </c>
      <c r="P229" s="440">
        <f>IFERROR(INDEX('[2]CN BC'!$J$10:$J$276,MATCH(B229,'[2]CN BC'!$H$10:$H$276,0)),"")</f>
        <v>21</v>
      </c>
      <c r="Q229" s="494">
        <f t="shared" si="48"/>
        <v>14688000.000000004</v>
      </c>
      <c r="R229" s="392"/>
      <c r="S229" s="362">
        <f>R229*$G$26*1</f>
        <v>0</v>
      </c>
      <c r="T229" s="385"/>
      <c r="U229" s="362">
        <f t="shared" si="51"/>
        <v>0</v>
      </c>
      <c r="V229" s="584">
        <f t="shared" si="45"/>
        <v>91800</v>
      </c>
      <c r="W229" s="584"/>
      <c r="X229" s="371">
        <f t="shared" si="49"/>
        <v>14688000.000000004</v>
      </c>
      <c r="Y229" s="846">
        <f t="shared" si="46"/>
        <v>8.1600000000000019</v>
      </c>
      <c r="Z229" s="491">
        <v>1800000</v>
      </c>
      <c r="AA229" s="662">
        <f t="shared" si="47"/>
        <v>14688000.000000004</v>
      </c>
      <c r="AB229" s="568">
        <f t="shared" si="50"/>
        <v>200</v>
      </c>
      <c r="AC229" s="493">
        <f>IFERROR(INDEX('[2]CN BC'!$M$10:$M$276,MATCH(B229,'[2]CN BC'!$H$10:$H$276,0)),"")</f>
        <v>0</v>
      </c>
      <c r="AD229" s="522" t="s">
        <v>812</v>
      </c>
      <c r="AG229" s="155"/>
    </row>
    <row r="230" spans="1:43" s="372" customFormat="1" ht="28.5" customHeight="1">
      <c r="A230" s="379">
        <f>_xlfn.AGGREGATE(4,7,A$29:A229)+1</f>
        <v>201</v>
      </c>
      <c r="B230" s="363" t="s">
        <v>526</v>
      </c>
      <c r="C230" s="375" t="s">
        <v>1060</v>
      </c>
      <c r="D230" s="406" t="s">
        <v>1646</v>
      </c>
      <c r="E230" s="423" t="s">
        <v>1398</v>
      </c>
      <c r="F230" s="366">
        <v>4.9800000000000004</v>
      </c>
      <c r="G230" s="367">
        <v>0.16</v>
      </c>
      <c r="H230" s="368">
        <f t="shared" si="40"/>
        <v>5.7768000000000006</v>
      </c>
      <c r="I230" s="368">
        <f>0.35</f>
        <v>0.35</v>
      </c>
      <c r="J230" s="368" t="str">
        <f>VLOOKUP(B230,TH!B224:J556,9,FALSE)</f>
        <v>Phó Trưởng khoa Điện - Điện tử</v>
      </c>
      <c r="K230" s="369">
        <f t="shared" si="41"/>
        <v>6.1268000000000002</v>
      </c>
      <c r="L230" s="362">
        <f t="shared" si="42"/>
        <v>11028240</v>
      </c>
      <c r="M230" s="366" t="str">
        <f>VLOOKUP(B230,'[1]Gui chi Quynh'!$B$11:$E$400,4,FALSE)</f>
        <v>A3</v>
      </c>
      <c r="N230" s="494">
        <f t="shared" si="44"/>
        <v>13233888</v>
      </c>
      <c r="O230" s="376">
        <v>21</v>
      </c>
      <c r="P230" s="440">
        <f>IFERROR(INDEX('[2]CN BC'!$J$10:$J$276,MATCH(B230,'[2]CN BC'!$H$10:$H$276,0)),"")</f>
        <v>21</v>
      </c>
      <c r="Q230" s="494">
        <f t="shared" si="48"/>
        <v>13233888</v>
      </c>
      <c r="R230" s="392"/>
      <c r="S230" s="362">
        <f>R230*$G$26*1</f>
        <v>0</v>
      </c>
      <c r="T230" s="385"/>
      <c r="U230" s="362">
        <f t="shared" si="51"/>
        <v>0</v>
      </c>
      <c r="V230" s="584">
        <f>IF(OR(M230="A DN",M230="KXL", M230=""),"0",ROUND(K230*0.01*$G$26+R230*1%*$G$26+T230*1%*$G$26,))</f>
        <v>110282</v>
      </c>
      <c r="W230" s="584"/>
      <c r="X230" s="371">
        <f t="shared" si="49"/>
        <v>13233888</v>
      </c>
      <c r="Y230" s="846">
        <f t="shared" si="46"/>
        <v>7.3521599999999996</v>
      </c>
      <c r="Z230" s="491">
        <v>1800000</v>
      </c>
      <c r="AA230" s="662">
        <f t="shared" si="47"/>
        <v>13233888</v>
      </c>
      <c r="AB230" s="568">
        <f t="shared" si="50"/>
        <v>201</v>
      </c>
      <c r="AC230" s="493">
        <f>IFERROR(INDEX('[2]CN BC'!$M$10:$M$276,MATCH(B230,'[2]CN BC'!$H$10:$H$276,0)),"")</f>
        <v>0</v>
      </c>
      <c r="AD230" s="522" t="s">
        <v>813</v>
      </c>
      <c r="AE230" s="108"/>
      <c r="AF230" s="108"/>
      <c r="AG230" s="155"/>
      <c r="AH230" s="108"/>
      <c r="AI230" s="108"/>
      <c r="AJ230" s="108"/>
      <c r="AK230" s="108"/>
      <c r="AL230" s="108"/>
      <c r="AM230" s="108"/>
      <c r="AN230" s="108"/>
      <c r="AO230" s="108"/>
      <c r="AP230" s="108"/>
      <c r="AQ230" s="108"/>
    </row>
    <row r="231" spans="1:43" s="108" customFormat="1" ht="28.5" customHeight="1">
      <c r="A231" s="379">
        <f>_xlfn.AGGREGATE(4,7,A$29:A230)+1</f>
        <v>202</v>
      </c>
      <c r="B231" s="33" t="s">
        <v>1899</v>
      </c>
      <c r="C231" s="403" t="s">
        <v>1046</v>
      </c>
      <c r="D231" s="406" t="s">
        <v>1778</v>
      </c>
      <c r="E231" s="433" t="s">
        <v>1381</v>
      </c>
      <c r="F231" s="366">
        <v>4.9800000000000004</v>
      </c>
      <c r="G231" s="367">
        <v>0.06</v>
      </c>
      <c r="H231" s="368">
        <f t="shared" si="40"/>
        <v>5.2788000000000004</v>
      </c>
      <c r="I231" s="368"/>
      <c r="J231" s="368" t="str">
        <f>VLOOKUP(B231,TH!B225:J557,9,FALSE)</f>
        <v>Giảng viên khoa Điện - Điện tử</v>
      </c>
      <c r="K231" s="369">
        <f t="shared" si="41"/>
        <v>5.2788000000000004</v>
      </c>
      <c r="L231" s="362">
        <f t="shared" si="42"/>
        <v>9501840</v>
      </c>
      <c r="M231" s="366" t="str">
        <f>VLOOKUP(B231,'[1]Gui chi Quynh'!$B$11:$E$400,4,FALSE)</f>
        <v>A4</v>
      </c>
      <c r="N231" s="494">
        <f t="shared" si="44"/>
        <v>9501840</v>
      </c>
      <c r="O231" s="376">
        <v>21</v>
      </c>
      <c r="P231" s="440">
        <f>IFERROR(INDEX('[2]CN BC'!$J$10:$J$276,MATCH(B231,'[2]CN BC'!$H$10:$H$276,0)),"")</f>
        <v>21</v>
      </c>
      <c r="Q231" s="494">
        <f t="shared" si="48"/>
        <v>9501840</v>
      </c>
      <c r="R231" s="392"/>
      <c r="S231" s="362">
        <f t="shared" si="43"/>
        <v>0</v>
      </c>
      <c r="T231" s="404"/>
      <c r="U231" s="362">
        <f t="shared" si="51"/>
        <v>0</v>
      </c>
      <c r="V231" s="584">
        <f t="shared" si="45"/>
        <v>95018</v>
      </c>
      <c r="W231" s="584"/>
      <c r="X231" s="371">
        <f t="shared" si="49"/>
        <v>9501840</v>
      </c>
      <c r="Y231" s="846">
        <f t="shared" si="46"/>
        <v>5.2788000000000004</v>
      </c>
      <c r="Z231" s="491">
        <v>1800000</v>
      </c>
      <c r="AA231" s="662">
        <f t="shared" si="47"/>
        <v>9501840</v>
      </c>
      <c r="AB231" s="568">
        <f t="shared" si="50"/>
        <v>202</v>
      </c>
      <c r="AC231" s="493">
        <f>IFERROR(INDEX('[2]CN BC'!$M$10:$M$276,MATCH(B231,'[2]CN BC'!$H$10:$H$276,0)),"")</f>
        <v>0</v>
      </c>
      <c r="AD231" s="522" t="s">
        <v>814</v>
      </c>
      <c r="AG231" s="155"/>
    </row>
    <row r="232" spans="1:43" s="372" customFormat="1" ht="28.5" customHeight="1">
      <c r="A232" s="379">
        <f>_xlfn.AGGREGATE(4,7,A$29:A231)+1</f>
        <v>203</v>
      </c>
      <c r="B232" s="363" t="s">
        <v>461</v>
      </c>
      <c r="C232" s="364" t="s">
        <v>1185</v>
      </c>
      <c r="D232" s="434" t="s">
        <v>1779</v>
      </c>
      <c r="E232" s="423" t="s">
        <v>1384</v>
      </c>
      <c r="F232" s="366">
        <v>4.9800000000000004</v>
      </c>
      <c r="G232" s="367">
        <v>0.06</v>
      </c>
      <c r="H232" s="368">
        <f t="shared" si="40"/>
        <v>5.2788000000000004</v>
      </c>
      <c r="I232" s="368"/>
      <c r="J232" s="368" t="str">
        <f>VLOOKUP(B232,TH!B226:J558,9,FALSE)</f>
        <v>Giảng viên khoa Điện - Điện tử</v>
      </c>
      <c r="K232" s="369">
        <f t="shared" si="41"/>
        <v>5.2788000000000004</v>
      </c>
      <c r="L232" s="362">
        <f t="shared" si="42"/>
        <v>9501840</v>
      </c>
      <c r="M232" s="366" t="str">
        <f>VLOOKUP(B232,'[1]Gui chi Quynh'!$B$11:$E$400,4,FALSE)</f>
        <v>A4</v>
      </c>
      <c r="N232" s="494">
        <f t="shared" si="44"/>
        <v>9501840</v>
      </c>
      <c r="O232" s="376">
        <v>21</v>
      </c>
      <c r="P232" s="440">
        <f>IFERROR(INDEX('[2]CN BC'!$J$10:$J$276,MATCH(B232,'[2]CN BC'!$H$10:$H$276,0)),"")</f>
        <v>21</v>
      </c>
      <c r="Q232" s="494">
        <f t="shared" si="48"/>
        <v>9501840</v>
      </c>
      <c r="R232" s="460"/>
      <c r="S232" s="362">
        <f t="shared" si="43"/>
        <v>0</v>
      </c>
      <c r="T232" s="370"/>
      <c r="U232" s="362">
        <f t="shared" si="51"/>
        <v>0</v>
      </c>
      <c r="V232" s="584">
        <f t="shared" si="45"/>
        <v>95018</v>
      </c>
      <c r="W232" s="584"/>
      <c r="X232" s="371">
        <f t="shared" si="49"/>
        <v>9501840</v>
      </c>
      <c r="Y232" s="846">
        <f t="shared" si="46"/>
        <v>5.2788000000000004</v>
      </c>
      <c r="Z232" s="491">
        <v>1800000</v>
      </c>
      <c r="AA232" s="662">
        <f t="shared" si="47"/>
        <v>9501840</v>
      </c>
      <c r="AB232" s="568">
        <f t="shared" si="50"/>
        <v>203</v>
      </c>
      <c r="AC232" s="493">
        <f>IFERROR(INDEX('[2]CN BC'!$M$10:$M$276,MATCH(B232,'[2]CN BC'!$H$10:$H$276,0)),"")</f>
        <v>0</v>
      </c>
      <c r="AD232" s="540" t="s">
        <v>815</v>
      </c>
      <c r="AG232" s="487"/>
    </row>
    <row r="233" spans="1:43" s="108" customFormat="1" ht="28.5" customHeight="1">
      <c r="A233" s="379">
        <f>_xlfn.AGGREGATE(4,7,A$29:A232)+1</f>
        <v>204</v>
      </c>
      <c r="B233" s="33" t="s">
        <v>1900</v>
      </c>
      <c r="C233" s="34" t="s">
        <v>1049</v>
      </c>
      <c r="D233" s="406" t="s">
        <v>1780</v>
      </c>
      <c r="E233" s="424" t="s">
        <v>1385</v>
      </c>
      <c r="F233" s="10">
        <v>4.6500000000000004</v>
      </c>
      <c r="G233" s="157"/>
      <c r="H233" s="368">
        <f t="shared" si="40"/>
        <v>4.6500000000000004</v>
      </c>
      <c r="I233" s="368"/>
      <c r="J233" s="368" t="str">
        <f>VLOOKUP(B233,TH!B227:J559,9,FALSE)</f>
        <v>Giảng viên khoa Điện - Điện tử</v>
      </c>
      <c r="K233" s="369">
        <f t="shared" si="41"/>
        <v>4.6500000000000004</v>
      </c>
      <c r="L233" s="362">
        <f t="shared" si="42"/>
        <v>8370000.0000000009</v>
      </c>
      <c r="M233" s="366" t="str">
        <f>VLOOKUP(B233,'[1]Gui chi Quynh'!$B$11:$E$400,4,FALSE)</f>
        <v>A4</v>
      </c>
      <c r="N233" s="494">
        <f t="shared" si="44"/>
        <v>8370000.0000000009</v>
      </c>
      <c r="O233" s="376">
        <v>21</v>
      </c>
      <c r="P233" s="440">
        <f>IFERROR(INDEX('[2]CN BC'!$J$10:$J$276,MATCH(B233,'[2]CN BC'!$H$10:$H$276,0)),"")</f>
        <v>21</v>
      </c>
      <c r="Q233" s="494">
        <f t="shared" si="48"/>
        <v>8370000.0000000009</v>
      </c>
      <c r="R233" s="392"/>
      <c r="S233" s="362">
        <f t="shared" si="43"/>
        <v>0</v>
      </c>
      <c r="T233" s="385"/>
      <c r="U233" s="362">
        <f t="shared" si="51"/>
        <v>0</v>
      </c>
      <c r="V233" s="584">
        <f t="shared" si="45"/>
        <v>83700</v>
      </c>
      <c r="W233" s="584"/>
      <c r="X233" s="371">
        <f t="shared" si="49"/>
        <v>8370000.0000000009</v>
      </c>
      <c r="Y233" s="846">
        <f t="shared" si="46"/>
        <v>4.6500000000000004</v>
      </c>
      <c r="Z233" s="491">
        <v>1800000</v>
      </c>
      <c r="AA233" s="662">
        <f t="shared" si="47"/>
        <v>8370000.0000000009</v>
      </c>
      <c r="AB233" s="568">
        <f t="shared" si="50"/>
        <v>204</v>
      </c>
      <c r="AC233" s="493">
        <f>IFERROR(INDEX('[2]CN BC'!$M$10:$M$276,MATCH(B233,'[2]CN BC'!$H$10:$H$276,0)),"")</f>
        <v>0</v>
      </c>
      <c r="AD233" s="522" t="s">
        <v>816</v>
      </c>
      <c r="AG233" s="155"/>
    </row>
    <row r="234" spans="1:43" s="108" customFormat="1" ht="28.5" customHeight="1">
      <c r="A234" s="379">
        <f>_xlfn.AGGREGATE(4,7,A$29:A233)+1</f>
        <v>205</v>
      </c>
      <c r="B234" s="33" t="s">
        <v>1901</v>
      </c>
      <c r="C234" s="34" t="s">
        <v>1051</v>
      </c>
      <c r="D234" s="406" t="s">
        <v>1782</v>
      </c>
      <c r="E234" s="424" t="s">
        <v>1387</v>
      </c>
      <c r="F234" s="10">
        <v>4.32</v>
      </c>
      <c r="G234" s="157"/>
      <c r="H234" s="368">
        <f t="shared" si="40"/>
        <v>4.32</v>
      </c>
      <c r="I234" s="81"/>
      <c r="J234" s="368" t="str">
        <f>VLOOKUP(B234,TH!B228:J560,9,FALSE)</f>
        <v>Giảng viên khoa Điện - Điện tử</v>
      </c>
      <c r="K234" s="369">
        <f t="shared" si="41"/>
        <v>4.32</v>
      </c>
      <c r="L234" s="362">
        <f t="shared" si="42"/>
        <v>7776000.0000000009</v>
      </c>
      <c r="M234" s="366" t="str">
        <f>VLOOKUP(B234,'[1]Gui chi Quynh'!$B$11:$E$400,4,FALSE)</f>
        <v>A4</v>
      </c>
      <c r="N234" s="494">
        <f t="shared" si="44"/>
        <v>7776000.0000000009</v>
      </c>
      <c r="O234" s="376">
        <v>21</v>
      </c>
      <c r="P234" s="440">
        <f>IFERROR(INDEX('[2]CN BC'!$J$10:$J$276,MATCH(B234,'[2]CN BC'!$H$10:$H$276,0)),"")</f>
        <v>21</v>
      </c>
      <c r="Q234" s="494">
        <f t="shared" si="48"/>
        <v>7776000.0000000009</v>
      </c>
      <c r="R234" s="392"/>
      <c r="S234" s="362">
        <f t="shared" si="43"/>
        <v>0</v>
      </c>
      <c r="T234" s="385"/>
      <c r="U234" s="362">
        <f t="shared" si="51"/>
        <v>0</v>
      </c>
      <c r="V234" s="584">
        <f t="shared" si="45"/>
        <v>77760</v>
      </c>
      <c r="W234" s="584"/>
      <c r="X234" s="371">
        <f t="shared" si="49"/>
        <v>7776000.0000000009</v>
      </c>
      <c r="Y234" s="846">
        <f t="shared" si="46"/>
        <v>4.32</v>
      </c>
      <c r="Z234" s="491">
        <v>1800000</v>
      </c>
      <c r="AA234" s="662">
        <f t="shared" si="47"/>
        <v>7776000.0000000009</v>
      </c>
      <c r="AB234" s="568">
        <f t="shared" si="50"/>
        <v>205</v>
      </c>
      <c r="AC234" s="493">
        <f>IFERROR(INDEX('[2]CN BC'!$M$10:$M$276,MATCH(B234,'[2]CN BC'!$H$10:$H$276,0)),"")</f>
        <v>0</v>
      </c>
      <c r="AD234" s="522" t="s">
        <v>817</v>
      </c>
      <c r="AG234" s="155"/>
    </row>
    <row r="235" spans="1:43" s="108" customFormat="1" ht="28.5" customHeight="1">
      <c r="A235" s="379">
        <f>_xlfn.AGGREGATE(4,7,A$29:A234)+1</f>
        <v>206</v>
      </c>
      <c r="B235" s="33" t="s">
        <v>1534</v>
      </c>
      <c r="C235" s="34" t="s">
        <v>1053</v>
      </c>
      <c r="D235" s="406" t="s">
        <v>1783</v>
      </c>
      <c r="E235" s="424" t="s">
        <v>1388</v>
      </c>
      <c r="F235" s="10">
        <v>4.32</v>
      </c>
      <c r="G235" s="157"/>
      <c r="H235" s="368">
        <f t="shared" si="40"/>
        <v>4.32</v>
      </c>
      <c r="I235" s="81"/>
      <c r="J235" s="368" t="str">
        <f>VLOOKUP(B235,TH!B229:J561,9,FALSE)</f>
        <v>Giảng viên khoa
Điện - Điện tử</v>
      </c>
      <c r="K235" s="369">
        <f t="shared" si="41"/>
        <v>4.32</v>
      </c>
      <c r="L235" s="362">
        <f t="shared" si="42"/>
        <v>7776000.0000000009</v>
      </c>
      <c r="M235" s="366" t="str">
        <f>VLOOKUP(B235,'[1]Gui chi Quynh'!$B$11:$E$400,4,FALSE)</f>
        <v>A4</v>
      </c>
      <c r="N235" s="494">
        <f t="shared" si="44"/>
        <v>7776000.0000000009</v>
      </c>
      <c r="O235" s="376">
        <v>21</v>
      </c>
      <c r="P235" s="440">
        <f>IFERROR(INDEX('[2]CN BC'!$J$10:$J$276,MATCH(B235,'[2]CN BC'!$H$10:$H$276,0)),"")</f>
        <v>21</v>
      </c>
      <c r="Q235" s="494">
        <f t="shared" si="48"/>
        <v>7776000.0000000009</v>
      </c>
      <c r="R235" s="392"/>
      <c r="S235" s="362">
        <f t="shared" si="43"/>
        <v>0</v>
      </c>
      <c r="T235" s="385"/>
      <c r="U235" s="362">
        <f t="shared" si="51"/>
        <v>0</v>
      </c>
      <c r="V235" s="584">
        <f t="shared" si="45"/>
        <v>77760</v>
      </c>
      <c r="W235" s="584"/>
      <c r="X235" s="371">
        <f t="shared" si="49"/>
        <v>7776000.0000000009</v>
      </c>
      <c r="Y235" s="846">
        <f t="shared" si="46"/>
        <v>4.32</v>
      </c>
      <c r="Z235" s="491">
        <v>1800000</v>
      </c>
      <c r="AA235" s="662">
        <f t="shared" si="47"/>
        <v>7776000.0000000009</v>
      </c>
      <c r="AB235" s="568">
        <f t="shared" si="50"/>
        <v>206</v>
      </c>
      <c r="AC235" s="493">
        <f>IFERROR(INDEX('[2]CN BC'!$M$10:$M$276,MATCH(B235,'[2]CN BC'!$H$10:$H$276,0)),"")</f>
        <v>0</v>
      </c>
      <c r="AD235" s="522" t="s">
        <v>818</v>
      </c>
      <c r="AG235" s="155"/>
    </row>
    <row r="236" spans="1:43" s="372" customFormat="1" ht="28.5" customHeight="1">
      <c r="A236" s="379">
        <f>_xlfn.AGGREGATE(4,7,A$29:A235)+1</f>
        <v>207</v>
      </c>
      <c r="B236" s="363" t="s">
        <v>1535</v>
      </c>
      <c r="C236" s="364" t="s">
        <v>986</v>
      </c>
      <c r="D236" s="434" t="s">
        <v>1784</v>
      </c>
      <c r="E236" s="422" t="s">
        <v>1595</v>
      </c>
      <c r="F236" s="373">
        <v>3.33</v>
      </c>
      <c r="G236" s="367"/>
      <c r="H236" s="445">
        <f t="shared" si="40"/>
        <v>3.33</v>
      </c>
      <c r="I236" s="368">
        <v>0.25</v>
      </c>
      <c r="J236" s="368" t="str">
        <f>VLOOKUP(B236,TH!B230:J562,9,FALSE)</f>
        <v>Trưởng BM Cơ điện tử và Tự động hóa</v>
      </c>
      <c r="K236" s="369">
        <f t="shared" si="41"/>
        <v>3.58</v>
      </c>
      <c r="L236" s="362">
        <f t="shared" si="42"/>
        <v>6444000</v>
      </c>
      <c r="M236" s="366" t="str">
        <f>VLOOKUP(B236,'[1]Gui chi Quynh'!$B$11:$E$400,4,FALSE)</f>
        <v>A1</v>
      </c>
      <c r="N236" s="494">
        <f t="shared" si="44"/>
        <v>10310400</v>
      </c>
      <c r="O236" s="376">
        <v>21</v>
      </c>
      <c r="P236" s="440">
        <f>IFERROR(INDEX('[2]CN BC'!$J$10:$J$276,MATCH(B236,'[2]CN BC'!$H$10:$H$276,0)),"")</f>
        <v>21</v>
      </c>
      <c r="Q236" s="494">
        <f t="shared" si="48"/>
        <v>10310400</v>
      </c>
      <c r="R236" s="460"/>
      <c r="S236" s="362">
        <f t="shared" si="43"/>
        <v>0</v>
      </c>
      <c r="T236" s="370"/>
      <c r="U236" s="362">
        <f t="shared" si="51"/>
        <v>0</v>
      </c>
      <c r="V236" s="584">
        <f t="shared" si="45"/>
        <v>64440</v>
      </c>
      <c r="W236" s="584"/>
      <c r="X236" s="371">
        <f t="shared" si="49"/>
        <v>10310400</v>
      </c>
      <c r="Y236" s="846">
        <f t="shared" si="46"/>
        <v>5.7279999999999998</v>
      </c>
      <c r="Z236" s="491">
        <v>1800000</v>
      </c>
      <c r="AA236" s="662">
        <f t="shared" si="47"/>
        <v>10310400</v>
      </c>
      <c r="AB236" s="568">
        <f t="shared" si="50"/>
        <v>207</v>
      </c>
      <c r="AC236" s="493">
        <f>IFERROR(INDEX('[2]CN BC'!$M$10:$M$276,MATCH(B236,'[2]CN BC'!$H$10:$H$276,0)),"")</f>
        <v>0</v>
      </c>
      <c r="AD236" s="522" t="s">
        <v>819</v>
      </c>
      <c r="AE236" s="108"/>
      <c r="AF236" s="108"/>
      <c r="AG236" s="155"/>
      <c r="AH236" s="108"/>
      <c r="AI236" s="108"/>
      <c r="AJ236" s="108"/>
      <c r="AK236" s="108"/>
      <c r="AL236" s="108"/>
      <c r="AM236" s="108"/>
    </row>
    <row r="237" spans="1:43" s="372" customFormat="1" ht="28.5" customHeight="1">
      <c r="A237" s="379">
        <f>_xlfn.AGGREGATE(4,7,A$29:A236)+1</f>
        <v>208</v>
      </c>
      <c r="B237" s="390" t="s">
        <v>1903</v>
      </c>
      <c r="C237" s="364" t="s">
        <v>1058</v>
      </c>
      <c r="D237" s="434" t="s">
        <v>1786</v>
      </c>
      <c r="E237" s="423" t="s">
        <v>1392</v>
      </c>
      <c r="F237" s="373">
        <v>4.32</v>
      </c>
      <c r="G237" s="367"/>
      <c r="H237" s="368">
        <f t="shared" si="40"/>
        <v>4.32</v>
      </c>
      <c r="I237" s="368"/>
      <c r="J237" s="368" t="str">
        <f>VLOOKUP(B237,TH!B231:J563,9,FALSE)</f>
        <v>Giảng viên khoa Điện - Điện tử</v>
      </c>
      <c r="K237" s="369">
        <f t="shared" si="41"/>
        <v>4.32</v>
      </c>
      <c r="L237" s="362">
        <f t="shared" si="42"/>
        <v>7776000.0000000009</v>
      </c>
      <c r="M237" s="366" t="str">
        <f>VLOOKUP(B237,'[1]Gui chi Quynh'!$B$11:$E$400,4,FALSE)</f>
        <v>A4</v>
      </c>
      <c r="N237" s="494">
        <f t="shared" si="44"/>
        <v>7776000.0000000009</v>
      </c>
      <c r="O237" s="376">
        <v>21</v>
      </c>
      <c r="P237" s="440">
        <f>IFERROR(INDEX('[2]CN BC'!$J$10:$J$276,MATCH(B237,'[2]CN BC'!$H$10:$H$276,0)),"")</f>
        <v>21</v>
      </c>
      <c r="Q237" s="494">
        <f t="shared" si="48"/>
        <v>7776000.0000000009</v>
      </c>
      <c r="R237" s="460"/>
      <c r="S237" s="362">
        <f t="shared" si="43"/>
        <v>0</v>
      </c>
      <c r="T237" s="370"/>
      <c r="U237" s="362">
        <f t="shared" si="51"/>
        <v>0</v>
      </c>
      <c r="V237" s="584">
        <f t="shared" si="45"/>
        <v>77760</v>
      </c>
      <c r="W237" s="584"/>
      <c r="X237" s="371">
        <f t="shared" si="49"/>
        <v>7776000.0000000009</v>
      </c>
      <c r="Y237" s="846">
        <f t="shared" si="46"/>
        <v>4.32</v>
      </c>
      <c r="Z237" s="491">
        <v>1800000</v>
      </c>
      <c r="AA237" s="662">
        <f t="shared" si="47"/>
        <v>7776000.0000000009</v>
      </c>
      <c r="AB237" s="568">
        <f t="shared" si="50"/>
        <v>208</v>
      </c>
      <c r="AC237" s="493">
        <f>IFERROR(INDEX('[2]CN BC'!$M$10:$M$276,MATCH(B237,'[2]CN BC'!$H$10:$H$276,0)),"")</f>
        <v>0</v>
      </c>
      <c r="AD237" s="522" t="s">
        <v>1119</v>
      </c>
      <c r="AE237" s="471"/>
      <c r="AF237" s="108"/>
      <c r="AG237" s="155"/>
      <c r="AH237" s="108"/>
      <c r="AI237" s="108"/>
      <c r="AJ237" s="108"/>
      <c r="AK237" s="108"/>
      <c r="AL237" s="108"/>
      <c r="AM237" s="108"/>
    </row>
    <row r="238" spans="1:43" s="372" customFormat="1" ht="28.5" customHeight="1">
      <c r="A238" s="379">
        <f>_xlfn.AGGREGATE(4,7,A$29:A237)+1</f>
        <v>209</v>
      </c>
      <c r="B238" s="363" t="s">
        <v>1904</v>
      </c>
      <c r="C238" s="364" t="s">
        <v>885</v>
      </c>
      <c r="D238" s="406" t="s">
        <v>1787</v>
      </c>
      <c r="E238" s="423" t="s">
        <v>1396</v>
      </c>
      <c r="F238" s="366">
        <v>4.6500000000000004</v>
      </c>
      <c r="G238" s="367"/>
      <c r="H238" s="368">
        <f t="shared" si="40"/>
        <v>4.6500000000000004</v>
      </c>
      <c r="I238" s="368"/>
      <c r="J238" s="368" t="str">
        <f>VLOOKUP(B238,TH!B232:J564,9,FALSE)</f>
        <v>Giảng viên khoa Điện - Điện tử</v>
      </c>
      <c r="K238" s="369">
        <f t="shared" si="41"/>
        <v>4.6500000000000004</v>
      </c>
      <c r="L238" s="362">
        <f t="shared" si="42"/>
        <v>8370000.0000000009</v>
      </c>
      <c r="M238" s="366" t="str">
        <f>VLOOKUP(B238,'[1]Gui chi Quynh'!$B$11:$E$400,4,FALSE)</f>
        <v>A4</v>
      </c>
      <c r="N238" s="494">
        <f t="shared" si="44"/>
        <v>8370000.0000000009</v>
      </c>
      <c r="O238" s="376">
        <v>21</v>
      </c>
      <c r="P238" s="440">
        <f>IFERROR(INDEX('[2]CN BC'!$J$10:$J$276,MATCH(B238,'[2]CN BC'!$H$10:$H$276,0)),"")</f>
        <v>21</v>
      </c>
      <c r="Q238" s="494">
        <f t="shared" si="48"/>
        <v>8370000.0000000009</v>
      </c>
      <c r="R238" s="392"/>
      <c r="S238" s="362">
        <f t="shared" si="43"/>
        <v>0</v>
      </c>
      <c r="T238" s="385"/>
      <c r="U238" s="362">
        <f t="shared" si="51"/>
        <v>0</v>
      </c>
      <c r="V238" s="584">
        <f t="shared" si="45"/>
        <v>83700</v>
      </c>
      <c r="W238" s="584"/>
      <c r="X238" s="371">
        <f t="shared" si="49"/>
        <v>8370000.0000000009</v>
      </c>
      <c r="Y238" s="846">
        <f t="shared" si="46"/>
        <v>4.6500000000000004</v>
      </c>
      <c r="Z238" s="491">
        <v>1800000</v>
      </c>
      <c r="AA238" s="662">
        <f t="shared" si="47"/>
        <v>8370000.0000000009</v>
      </c>
      <c r="AB238" s="568">
        <f t="shared" si="50"/>
        <v>209</v>
      </c>
      <c r="AC238" s="493">
        <f>IFERROR(INDEX('[2]CN BC'!$M$10:$M$276,MATCH(B238,'[2]CN BC'!$H$10:$H$276,0)),"")</f>
        <v>0</v>
      </c>
      <c r="AD238" s="522" t="s">
        <v>1120</v>
      </c>
      <c r="AE238" s="108"/>
      <c r="AF238" s="108"/>
      <c r="AG238" s="155"/>
      <c r="AH238" s="108"/>
      <c r="AI238" s="108"/>
      <c r="AJ238" s="108"/>
      <c r="AK238" s="108"/>
      <c r="AL238" s="108"/>
      <c r="AM238" s="108"/>
      <c r="AN238" s="108"/>
      <c r="AO238" s="108"/>
      <c r="AP238" s="108"/>
      <c r="AQ238" s="108"/>
    </row>
    <row r="239" spans="1:43" s="372" customFormat="1" ht="28.5" customHeight="1">
      <c r="A239" s="379">
        <f>_xlfn.AGGREGATE(4,7,A$29:A238)+1</f>
        <v>210</v>
      </c>
      <c r="B239" s="363" t="s">
        <v>1536</v>
      </c>
      <c r="C239" s="364" t="s">
        <v>947</v>
      </c>
      <c r="D239" s="434" t="s">
        <v>1788</v>
      </c>
      <c r="E239" s="423" t="s">
        <v>389</v>
      </c>
      <c r="F239" s="373">
        <v>3.66</v>
      </c>
      <c r="G239" s="367"/>
      <c r="H239" s="368">
        <f t="shared" si="40"/>
        <v>3.66</v>
      </c>
      <c r="I239" s="368"/>
      <c r="J239" s="368" t="str">
        <f>VLOOKUP(B239,TH!B233:J565,9,FALSE)</f>
        <v>Giảng viên khoa
Điện - Điện tử</v>
      </c>
      <c r="K239" s="369">
        <f t="shared" si="41"/>
        <v>3.66</v>
      </c>
      <c r="L239" s="362">
        <f t="shared" si="42"/>
        <v>6588000</v>
      </c>
      <c r="M239" s="366" t="str">
        <f>VLOOKUP(B239,'[1]Gui chi Quynh'!$B$11:$E$400,4,FALSE)</f>
        <v>A3</v>
      </c>
      <c r="N239" s="494">
        <f t="shared" si="44"/>
        <v>7905600</v>
      </c>
      <c r="O239" s="376">
        <v>21</v>
      </c>
      <c r="P239" s="440">
        <f>IFERROR(INDEX('[2]CN BC'!$J$10:$J$276,MATCH(B239,'[2]CN BC'!$H$10:$H$276,0)),"")</f>
        <v>21</v>
      </c>
      <c r="Q239" s="494">
        <f t="shared" si="48"/>
        <v>7905600</v>
      </c>
      <c r="R239" s="460"/>
      <c r="S239" s="362">
        <f t="shared" si="43"/>
        <v>0</v>
      </c>
      <c r="T239" s="370"/>
      <c r="U239" s="362">
        <f t="shared" si="51"/>
        <v>0</v>
      </c>
      <c r="V239" s="584">
        <f t="shared" si="45"/>
        <v>65880</v>
      </c>
      <c r="W239" s="584"/>
      <c r="X239" s="371">
        <f t="shared" si="49"/>
        <v>7905600</v>
      </c>
      <c r="Y239" s="846">
        <f t="shared" si="46"/>
        <v>4.3920000000000003</v>
      </c>
      <c r="Z239" s="491">
        <v>1800000</v>
      </c>
      <c r="AA239" s="662">
        <f t="shared" si="47"/>
        <v>7905600.0000000009</v>
      </c>
      <c r="AB239" s="568">
        <f t="shared" si="50"/>
        <v>210</v>
      </c>
      <c r="AC239" s="493">
        <f>IFERROR(INDEX('[2]CN BC'!$M$10:$M$276,MATCH(B239,'[2]CN BC'!$H$10:$H$276,0)),"")</f>
        <v>0</v>
      </c>
      <c r="AD239" s="522" t="s">
        <v>1121</v>
      </c>
      <c r="AE239" s="108"/>
      <c r="AF239" s="108"/>
      <c r="AG239" s="155"/>
      <c r="AH239" s="108"/>
      <c r="AI239" s="108"/>
      <c r="AJ239" s="108"/>
      <c r="AK239" s="108"/>
      <c r="AL239" s="108"/>
      <c r="AM239" s="108"/>
    </row>
    <row r="240" spans="1:43" s="372" customFormat="1" ht="28.5" customHeight="1">
      <c r="A240" s="379">
        <f>_xlfn.AGGREGATE(4,7,A$29:A239)+1</f>
        <v>211</v>
      </c>
      <c r="B240" s="363" t="s">
        <v>1537</v>
      </c>
      <c r="C240" s="364" t="s">
        <v>1199</v>
      </c>
      <c r="D240" s="406" t="s">
        <v>1789</v>
      </c>
      <c r="E240" s="423" t="s">
        <v>1334</v>
      </c>
      <c r="F240" s="373">
        <v>3.99</v>
      </c>
      <c r="G240" s="367"/>
      <c r="H240" s="368">
        <f t="shared" si="40"/>
        <v>3.99</v>
      </c>
      <c r="I240" s="368"/>
      <c r="J240" s="368" t="str">
        <f>VLOOKUP(B240,TH!B234:J566,9,FALSE)</f>
        <v>Giảng viên khoa
Điện - Điện tử</v>
      </c>
      <c r="K240" s="369">
        <f t="shared" si="41"/>
        <v>3.99</v>
      </c>
      <c r="L240" s="362">
        <f t="shared" si="42"/>
        <v>7182000</v>
      </c>
      <c r="M240" s="366" t="str">
        <f>VLOOKUP(B240,'[1]Gui chi Quynh'!$B$11:$E$400,4,FALSE)</f>
        <v>A4</v>
      </c>
      <c r="N240" s="494">
        <f t="shared" si="44"/>
        <v>7182000</v>
      </c>
      <c r="O240" s="376">
        <v>21</v>
      </c>
      <c r="P240" s="440">
        <f>IFERROR(INDEX('[2]CN BC'!$J$10:$J$276,MATCH(B240,'[2]CN BC'!$H$10:$H$276,0)),"")</f>
        <v>21</v>
      </c>
      <c r="Q240" s="494">
        <f t="shared" si="48"/>
        <v>7182000</v>
      </c>
      <c r="R240" s="392"/>
      <c r="S240" s="362">
        <f t="shared" si="43"/>
        <v>0</v>
      </c>
      <c r="T240" s="370"/>
      <c r="U240" s="362">
        <f t="shared" si="51"/>
        <v>0</v>
      </c>
      <c r="V240" s="584">
        <f t="shared" si="45"/>
        <v>71820</v>
      </c>
      <c r="W240" s="584"/>
      <c r="X240" s="371">
        <f t="shared" si="49"/>
        <v>7182000</v>
      </c>
      <c r="Y240" s="846">
        <f t="shared" si="46"/>
        <v>3.99</v>
      </c>
      <c r="Z240" s="491">
        <v>1800000</v>
      </c>
      <c r="AA240" s="662">
        <f t="shared" si="47"/>
        <v>7182000</v>
      </c>
      <c r="AB240" s="568">
        <f t="shared" si="50"/>
        <v>211</v>
      </c>
      <c r="AC240" s="493">
        <f>IFERROR(INDEX('[2]CN BC'!$M$10:$M$276,MATCH(B240,'[2]CN BC'!$H$10:$H$276,0)),"")</f>
        <v>0</v>
      </c>
      <c r="AD240" s="522" t="s">
        <v>1122</v>
      </c>
      <c r="AE240" s="108"/>
      <c r="AF240" s="108"/>
      <c r="AG240" s="155"/>
      <c r="AH240" s="108"/>
      <c r="AI240" s="108"/>
      <c r="AJ240" s="108"/>
      <c r="AK240" s="108"/>
      <c r="AL240" s="108"/>
      <c r="AM240" s="108"/>
      <c r="AN240" s="108"/>
      <c r="AO240" s="108"/>
      <c r="AP240" s="108"/>
      <c r="AQ240" s="108"/>
    </row>
    <row r="241" spans="1:43" s="372" customFormat="1" ht="28.5" customHeight="1">
      <c r="A241" s="379">
        <f>_xlfn.AGGREGATE(4,7,A$29:A240)+1</f>
        <v>212</v>
      </c>
      <c r="B241" s="363" t="s">
        <v>1905</v>
      </c>
      <c r="C241" s="364" t="s">
        <v>1207</v>
      </c>
      <c r="D241" s="406" t="s">
        <v>1790</v>
      </c>
      <c r="E241" s="428" t="s">
        <v>463</v>
      </c>
      <c r="F241" s="373">
        <v>3.66</v>
      </c>
      <c r="G241" s="367"/>
      <c r="H241" s="445">
        <f t="shared" si="40"/>
        <v>3.66</v>
      </c>
      <c r="I241" s="368"/>
      <c r="J241" s="368" t="str">
        <f>VLOOKUP(B241,TH!B235:J567,9,FALSE)</f>
        <v>Giảng viên khoa Điện - Điện tử</v>
      </c>
      <c r="K241" s="369">
        <f t="shared" si="41"/>
        <v>3.66</v>
      </c>
      <c r="L241" s="362">
        <f t="shared" si="42"/>
        <v>6588000</v>
      </c>
      <c r="M241" s="366" t="str">
        <f>VLOOKUP(B241,'[1]Gui chi Quynh'!$B$11:$E$400,4,FALSE)</f>
        <v>A4</v>
      </c>
      <c r="N241" s="494">
        <f t="shared" si="44"/>
        <v>6588000</v>
      </c>
      <c r="O241" s="376">
        <v>21</v>
      </c>
      <c r="P241" s="440">
        <f>IFERROR(INDEX('[2]CN BC'!$J$10:$J$276,MATCH(B241,'[2]CN BC'!$H$10:$H$276,0)),"")</f>
        <v>21</v>
      </c>
      <c r="Q241" s="494">
        <f t="shared" si="48"/>
        <v>6588000</v>
      </c>
      <c r="R241" s="392"/>
      <c r="S241" s="362">
        <f t="shared" si="43"/>
        <v>0</v>
      </c>
      <c r="T241" s="385"/>
      <c r="U241" s="362">
        <f t="shared" si="51"/>
        <v>0</v>
      </c>
      <c r="V241" s="584">
        <f t="shared" si="45"/>
        <v>65880</v>
      </c>
      <c r="W241" s="584"/>
      <c r="X241" s="371">
        <f t="shared" si="49"/>
        <v>6588000</v>
      </c>
      <c r="Y241" s="846">
        <f t="shared" si="46"/>
        <v>3.66</v>
      </c>
      <c r="Z241" s="491">
        <v>1800000</v>
      </c>
      <c r="AA241" s="662">
        <f t="shared" si="47"/>
        <v>6588000</v>
      </c>
      <c r="AB241" s="568">
        <f t="shared" si="50"/>
        <v>212</v>
      </c>
      <c r="AC241" s="493">
        <f>IFERROR(INDEX('[2]CN BC'!$M$10:$M$276,MATCH(B241,'[2]CN BC'!$H$10:$H$276,0)),"")</f>
        <v>0</v>
      </c>
      <c r="AD241" s="522" t="s">
        <v>1123</v>
      </c>
      <c r="AE241" s="108"/>
      <c r="AF241" s="108"/>
      <c r="AG241" s="155"/>
      <c r="AH241" s="108"/>
      <c r="AI241" s="108"/>
      <c r="AJ241" s="108"/>
      <c r="AK241" s="108"/>
      <c r="AL241" s="108"/>
      <c r="AM241" s="108"/>
      <c r="AN241" s="108"/>
      <c r="AO241" s="108"/>
      <c r="AP241" s="108"/>
      <c r="AQ241" s="108"/>
    </row>
    <row r="242" spans="1:43" s="372" customFormat="1" ht="34.5" customHeight="1">
      <c r="A242" s="379">
        <f>_xlfn.AGGREGATE(4,7,A$29:A241)+1</f>
        <v>213</v>
      </c>
      <c r="B242" s="363" t="s">
        <v>1538</v>
      </c>
      <c r="C242" s="364" t="s">
        <v>1019</v>
      </c>
      <c r="D242" s="406" t="s">
        <v>1791</v>
      </c>
      <c r="E242" s="428" t="s">
        <v>510</v>
      </c>
      <c r="F242" s="373">
        <v>3.66</v>
      </c>
      <c r="G242" s="367"/>
      <c r="H242" s="368">
        <f t="shared" si="40"/>
        <v>3.66</v>
      </c>
      <c r="I242" s="368"/>
      <c r="J242" s="368" t="str">
        <f>VLOOKUP(B242,TH!B236:J568,9,FALSE)</f>
        <v>Giảng viên khoa
Điện - Điện tử</v>
      </c>
      <c r="K242" s="369">
        <f t="shared" si="41"/>
        <v>3.66</v>
      </c>
      <c r="L242" s="362">
        <f t="shared" si="42"/>
        <v>6588000</v>
      </c>
      <c r="M242" s="366" t="str">
        <f>VLOOKUP(B242,'[1]Gui chi Quynh'!$B$11:$E$400,4,FALSE)</f>
        <v>A1</v>
      </c>
      <c r="N242" s="494">
        <f t="shared" si="44"/>
        <v>10540800</v>
      </c>
      <c r="O242" s="376">
        <v>21</v>
      </c>
      <c r="P242" s="440">
        <f>IFERROR(INDEX('[2]CN BC'!$J$10:$J$276,MATCH(B242,'[2]CN BC'!$H$10:$H$276,0)),"")</f>
        <v>21</v>
      </c>
      <c r="Q242" s="494">
        <f t="shared" si="48"/>
        <v>10540800</v>
      </c>
      <c r="R242" s="392"/>
      <c r="S242" s="362">
        <f t="shared" si="43"/>
        <v>0</v>
      </c>
      <c r="T242" s="385"/>
      <c r="U242" s="362">
        <f t="shared" si="51"/>
        <v>0</v>
      </c>
      <c r="V242" s="584">
        <f t="shared" si="45"/>
        <v>65880</v>
      </c>
      <c r="W242" s="584"/>
      <c r="X242" s="371">
        <f t="shared" si="49"/>
        <v>10540800</v>
      </c>
      <c r="Y242" s="846">
        <f t="shared" si="46"/>
        <v>5.8559999999999999</v>
      </c>
      <c r="Z242" s="491">
        <v>1800000</v>
      </c>
      <c r="AA242" s="662">
        <f t="shared" si="47"/>
        <v>10540800</v>
      </c>
      <c r="AB242" s="568">
        <f t="shared" si="50"/>
        <v>213</v>
      </c>
      <c r="AC242" s="493">
        <f>IFERROR(INDEX('[2]CN BC'!$M$10:$M$276,MATCH(B242,'[2]CN BC'!$H$10:$H$276,0)),"")</f>
        <v>0</v>
      </c>
      <c r="AD242" s="522" t="s">
        <v>1124</v>
      </c>
      <c r="AE242" s="108"/>
      <c r="AF242" s="108"/>
      <c r="AG242" s="155"/>
      <c r="AH242" s="108"/>
      <c r="AI242" s="108"/>
      <c r="AJ242" s="108"/>
      <c r="AK242" s="108"/>
      <c r="AL242" s="108"/>
      <c r="AM242" s="108"/>
      <c r="AN242" s="108"/>
      <c r="AO242" s="108"/>
      <c r="AP242" s="108"/>
      <c r="AQ242" s="108"/>
    </row>
    <row r="243" spans="1:43" s="372" customFormat="1" ht="29.25" customHeight="1">
      <c r="A243" s="379">
        <f>_xlfn.AGGREGATE(4,7,A$29:A242)+1</f>
        <v>214</v>
      </c>
      <c r="B243" s="363" t="s">
        <v>1906</v>
      </c>
      <c r="C243" s="364" t="s">
        <v>917</v>
      </c>
      <c r="D243" s="434" t="s">
        <v>1792</v>
      </c>
      <c r="E243" s="423" t="s">
        <v>1399</v>
      </c>
      <c r="F243" s="366">
        <v>4.9800000000000004</v>
      </c>
      <c r="G243" s="367">
        <v>0.08</v>
      </c>
      <c r="H243" s="368">
        <f t="shared" si="40"/>
        <v>5.3784000000000001</v>
      </c>
      <c r="I243" s="368">
        <v>0.35</v>
      </c>
      <c r="J243" s="368" t="str">
        <f>VLOOKUP(B243,TH!B237:J569,9,FALSE)</f>
        <v>Giảng viên khoa Điện - Điện tử</v>
      </c>
      <c r="K243" s="369">
        <f t="shared" si="41"/>
        <v>5.7283999999999997</v>
      </c>
      <c r="L243" s="362">
        <f t="shared" si="42"/>
        <v>10311120</v>
      </c>
      <c r="M243" s="366" t="str">
        <f>VLOOKUP(B243,'[1]Gui chi Quynh'!$B$11:$E$400,4,FALSE)</f>
        <v>A3</v>
      </c>
      <c r="N243" s="494">
        <f t="shared" si="44"/>
        <v>12373344</v>
      </c>
      <c r="O243" s="376">
        <v>21</v>
      </c>
      <c r="P243" s="440">
        <f>IFERROR(INDEX('[2]CN BC'!$J$10:$J$276,MATCH(B243,'[2]CN BC'!$H$10:$H$276,0)),"")</f>
        <v>21</v>
      </c>
      <c r="Q243" s="494">
        <f t="shared" si="48"/>
        <v>12373344</v>
      </c>
      <c r="R243" s="460"/>
      <c r="S243" s="362">
        <f t="shared" si="43"/>
        <v>0</v>
      </c>
      <c r="T243" s="370"/>
      <c r="U243" s="362">
        <f t="shared" si="51"/>
        <v>0</v>
      </c>
      <c r="V243" s="584">
        <f t="shared" si="45"/>
        <v>103111</v>
      </c>
      <c r="W243" s="584"/>
      <c r="X243" s="371">
        <f t="shared" si="49"/>
        <v>12373344</v>
      </c>
      <c r="Y243" s="846">
        <f t="shared" si="46"/>
        <v>6.8740800000000002</v>
      </c>
      <c r="Z243" s="491">
        <v>1800000</v>
      </c>
      <c r="AA243" s="662">
        <f t="shared" si="47"/>
        <v>12373344</v>
      </c>
      <c r="AB243" s="568">
        <f t="shared" si="50"/>
        <v>214</v>
      </c>
      <c r="AC243" s="493">
        <f>IFERROR(INDEX('[2]CN BC'!$M$10:$M$276,MATCH(B243,'[2]CN BC'!$H$10:$H$276,0)),"")</f>
        <v>0</v>
      </c>
      <c r="AD243" s="522" t="s">
        <v>1125</v>
      </c>
      <c r="AE243" s="108"/>
      <c r="AF243" s="108"/>
      <c r="AG243" s="155"/>
      <c r="AH243" s="108"/>
      <c r="AI243" s="108"/>
      <c r="AJ243" s="108"/>
      <c r="AK243" s="108"/>
      <c r="AL243" s="108"/>
      <c r="AM243" s="108"/>
    </row>
    <row r="244" spans="1:43" s="372" customFormat="1" ht="29.25" customHeight="1">
      <c r="A244" s="379">
        <f>_xlfn.AGGREGATE(4,7,A$29:A243)+1</f>
        <v>215</v>
      </c>
      <c r="B244" s="363" t="s">
        <v>1907</v>
      </c>
      <c r="C244" s="364" t="s">
        <v>878</v>
      </c>
      <c r="D244" s="434" t="s">
        <v>1793</v>
      </c>
      <c r="E244" s="423" t="s">
        <v>1400</v>
      </c>
      <c r="F244" s="366">
        <v>4.9800000000000004</v>
      </c>
      <c r="G244" s="367">
        <v>0.12</v>
      </c>
      <c r="H244" s="368">
        <f t="shared" si="40"/>
        <v>5.5776000000000003</v>
      </c>
      <c r="I244" s="368"/>
      <c r="J244" s="368" t="str">
        <f>VLOOKUP(B244,TH!B238:J570,9,FALSE)</f>
        <v>Giảng viên khoa Điện - Điện tử</v>
      </c>
      <c r="K244" s="369">
        <f t="shared" si="41"/>
        <v>5.5776000000000003</v>
      </c>
      <c r="L244" s="362">
        <f t="shared" si="42"/>
        <v>10039680</v>
      </c>
      <c r="M244" s="366" t="str">
        <f>VLOOKUP(B244,'[1]Gui chi Quynh'!$B$11:$E$400,4,FALSE)</f>
        <v>A4</v>
      </c>
      <c r="N244" s="494">
        <f t="shared" si="44"/>
        <v>10039680</v>
      </c>
      <c r="O244" s="376">
        <v>21</v>
      </c>
      <c r="P244" s="440">
        <f>IFERROR(INDEX('[2]CN BC'!$J$10:$J$276,MATCH(B244,'[2]CN BC'!$H$10:$H$276,0)),"")</f>
        <v>21</v>
      </c>
      <c r="Q244" s="494">
        <f t="shared" si="48"/>
        <v>10039680</v>
      </c>
      <c r="R244" s="460"/>
      <c r="S244" s="362">
        <f t="shared" si="43"/>
        <v>0</v>
      </c>
      <c r="T244" s="370"/>
      <c r="U244" s="362">
        <f t="shared" si="51"/>
        <v>0</v>
      </c>
      <c r="V244" s="584">
        <f t="shared" si="45"/>
        <v>100397</v>
      </c>
      <c r="W244" s="584">
        <v>179279.99999999785</v>
      </c>
      <c r="X244" s="371">
        <f t="shared" si="49"/>
        <v>10218959.999999998</v>
      </c>
      <c r="Y244" s="846">
        <f t="shared" si="46"/>
        <v>5.6771999999999991</v>
      </c>
      <c r="Z244" s="491">
        <v>1800000</v>
      </c>
      <c r="AA244" s="662">
        <f t="shared" si="47"/>
        <v>10218959.999999998</v>
      </c>
      <c r="AB244" s="568">
        <f t="shared" si="50"/>
        <v>215</v>
      </c>
      <c r="AC244" s="493">
        <f>IFERROR(INDEX('[2]CN BC'!$M$10:$M$276,MATCH(B244,'[2]CN BC'!$H$10:$H$276,0)),"")</f>
        <v>0</v>
      </c>
      <c r="AD244" s="522" t="s">
        <v>1126</v>
      </c>
      <c r="AE244" s="108"/>
      <c r="AF244" s="108"/>
      <c r="AG244" s="155"/>
    </row>
    <row r="245" spans="1:43" s="372" customFormat="1" ht="29.25" customHeight="1">
      <c r="A245" s="379">
        <f>_xlfn.AGGREGATE(4,7,A$29:A244)+1</f>
        <v>216</v>
      </c>
      <c r="B245" s="363" t="s">
        <v>1908</v>
      </c>
      <c r="C245" s="364" t="s">
        <v>1064</v>
      </c>
      <c r="D245" s="434" t="s">
        <v>1794</v>
      </c>
      <c r="E245" s="423" t="s">
        <v>1401</v>
      </c>
      <c r="F245" s="366">
        <v>4.9800000000000004</v>
      </c>
      <c r="G245" s="367">
        <v>0.08</v>
      </c>
      <c r="H245" s="368">
        <f t="shared" si="40"/>
        <v>5.3784000000000001</v>
      </c>
      <c r="I245" s="368"/>
      <c r="J245" s="368" t="str">
        <f>VLOOKUP(B245,TH!B239:J571,9,FALSE)</f>
        <v>Giảng viên khoa Điện - Điện tử</v>
      </c>
      <c r="K245" s="369">
        <f t="shared" si="41"/>
        <v>5.3784000000000001</v>
      </c>
      <c r="L245" s="362">
        <f t="shared" si="42"/>
        <v>9681120</v>
      </c>
      <c r="M245" s="366" t="str">
        <f>VLOOKUP(B245,'[1]Gui chi Quynh'!$B$11:$E$400,4,FALSE)</f>
        <v>A4</v>
      </c>
      <c r="N245" s="494">
        <f t="shared" si="44"/>
        <v>9681120</v>
      </c>
      <c r="O245" s="376">
        <v>21</v>
      </c>
      <c r="P245" s="440">
        <f>IFERROR(INDEX('[2]CN BC'!$J$10:$J$276,MATCH(B245,'[2]CN BC'!$H$10:$H$276,0)),"")</f>
        <v>21</v>
      </c>
      <c r="Q245" s="494">
        <f t="shared" si="48"/>
        <v>9681120</v>
      </c>
      <c r="R245" s="460"/>
      <c r="S245" s="362">
        <f t="shared" si="43"/>
        <v>0</v>
      </c>
      <c r="T245" s="370"/>
      <c r="U245" s="362">
        <f t="shared" si="51"/>
        <v>0</v>
      </c>
      <c r="V245" s="584">
        <f t="shared" si="45"/>
        <v>96811</v>
      </c>
      <c r="W245" s="584"/>
      <c r="X245" s="371">
        <f t="shared" si="49"/>
        <v>9681120</v>
      </c>
      <c r="Y245" s="846">
        <f t="shared" si="46"/>
        <v>5.3784000000000001</v>
      </c>
      <c r="Z245" s="491">
        <v>1800000</v>
      </c>
      <c r="AA245" s="662">
        <f t="shared" si="47"/>
        <v>9681120</v>
      </c>
      <c r="AB245" s="568">
        <f t="shared" si="50"/>
        <v>216</v>
      </c>
      <c r="AC245" s="493">
        <f>IFERROR(INDEX('[2]CN BC'!$M$10:$M$276,MATCH(B245,'[2]CN BC'!$H$10:$H$276,0)),"")</f>
        <v>0</v>
      </c>
      <c r="AD245" s="522" t="s">
        <v>1127</v>
      </c>
      <c r="AE245" s="108"/>
      <c r="AF245" s="108"/>
      <c r="AG245" s="155"/>
      <c r="AH245" s="108"/>
      <c r="AI245" s="108"/>
      <c r="AJ245" s="108"/>
      <c r="AK245" s="108"/>
      <c r="AL245" s="108"/>
      <c r="AM245" s="108"/>
    </row>
    <row r="246" spans="1:43" s="108" customFormat="1" ht="29.25" customHeight="1">
      <c r="A246" s="379">
        <f>_xlfn.AGGREGATE(4,7,A$29:A245)+1</f>
        <v>217</v>
      </c>
      <c r="B246" s="33" t="s">
        <v>1909</v>
      </c>
      <c r="C246" s="409" t="s">
        <v>1069</v>
      </c>
      <c r="D246" s="407" t="s">
        <v>1795</v>
      </c>
      <c r="E246" s="425" t="s">
        <v>1404</v>
      </c>
      <c r="F246" s="366">
        <v>4.32</v>
      </c>
      <c r="G246" s="468"/>
      <c r="H246" s="368">
        <f t="shared" si="40"/>
        <v>4.32</v>
      </c>
      <c r="I246" s="368"/>
      <c r="J246" s="368" t="str">
        <f>VLOOKUP(B246,TH!B240:J572,9,FALSE)</f>
        <v>Giảng viên khoa Điện - Điện tử</v>
      </c>
      <c r="K246" s="369">
        <f t="shared" si="41"/>
        <v>4.32</v>
      </c>
      <c r="L246" s="362">
        <f t="shared" si="42"/>
        <v>7776000.0000000009</v>
      </c>
      <c r="M246" s="366" t="str">
        <f>VLOOKUP(B246,'[1]Gui chi Quynh'!$B$11:$E$400,4,FALSE)</f>
        <v>A4</v>
      </c>
      <c r="N246" s="494">
        <f t="shared" si="44"/>
        <v>7776000.0000000009</v>
      </c>
      <c r="O246" s="376">
        <v>21</v>
      </c>
      <c r="P246" s="440">
        <f>IFERROR(INDEX('[2]CN BC'!$J$10:$J$276,MATCH(B246,'[2]CN BC'!$H$10:$H$276,0)),"")</f>
        <v>21</v>
      </c>
      <c r="Q246" s="494">
        <f t="shared" si="48"/>
        <v>7776000.0000000009</v>
      </c>
      <c r="R246" s="392"/>
      <c r="S246" s="362">
        <f t="shared" si="43"/>
        <v>0</v>
      </c>
      <c r="T246" s="408"/>
      <c r="U246" s="362">
        <f t="shared" si="51"/>
        <v>0</v>
      </c>
      <c r="V246" s="584">
        <f t="shared" si="45"/>
        <v>77760</v>
      </c>
      <c r="W246" s="584"/>
      <c r="X246" s="371">
        <f t="shared" si="49"/>
        <v>7776000.0000000009</v>
      </c>
      <c r="Y246" s="846">
        <f t="shared" si="46"/>
        <v>4.32</v>
      </c>
      <c r="Z246" s="491">
        <v>1800000</v>
      </c>
      <c r="AA246" s="662">
        <f t="shared" si="47"/>
        <v>7776000.0000000009</v>
      </c>
      <c r="AB246" s="568">
        <f t="shared" si="50"/>
        <v>217</v>
      </c>
      <c r="AC246" s="493">
        <f>IFERROR(INDEX('[2]CN BC'!$M$10:$M$276,MATCH(B246,'[2]CN BC'!$H$10:$H$276,0)),"")</f>
        <v>0</v>
      </c>
      <c r="AD246" s="522" t="s">
        <v>1131</v>
      </c>
      <c r="AG246" s="155"/>
    </row>
    <row r="247" spans="1:43" s="108" customFormat="1" ht="29.25" customHeight="1">
      <c r="A247" s="379">
        <f>_xlfn.AGGREGATE(4,7,A$29:A246)+1</f>
        <v>218</v>
      </c>
      <c r="B247" s="33" t="s">
        <v>1539</v>
      </c>
      <c r="C247" s="34" t="s">
        <v>910</v>
      </c>
      <c r="D247" s="406" t="s">
        <v>1796</v>
      </c>
      <c r="E247" s="424" t="s">
        <v>1405</v>
      </c>
      <c r="F247" s="10">
        <v>4.32</v>
      </c>
      <c r="G247" s="157"/>
      <c r="H247" s="368">
        <f t="shared" si="40"/>
        <v>4.32</v>
      </c>
      <c r="I247" s="368"/>
      <c r="J247" s="368" t="str">
        <f>VLOOKUP(B247,TH!B241:J573,9,FALSE)</f>
        <v>Giảng viên khoa
Điện - Điện tử</v>
      </c>
      <c r="K247" s="369">
        <f t="shared" si="41"/>
        <v>4.32</v>
      </c>
      <c r="L247" s="362">
        <f t="shared" si="42"/>
        <v>7776000.0000000009</v>
      </c>
      <c r="M247" s="366" t="str">
        <f>VLOOKUP(B247,'[1]Gui chi Quynh'!$B$11:$E$400,4,FALSE)</f>
        <v>A4</v>
      </c>
      <c r="N247" s="494">
        <f t="shared" si="44"/>
        <v>7776000.0000000009</v>
      </c>
      <c r="O247" s="376">
        <v>21</v>
      </c>
      <c r="P247" s="440">
        <f>IFERROR(INDEX('[2]CN BC'!$J$10:$J$276,MATCH(B247,'[2]CN BC'!$H$10:$H$276,0)),"")</f>
        <v>21</v>
      </c>
      <c r="Q247" s="494">
        <f t="shared" si="48"/>
        <v>7776000.0000000009</v>
      </c>
      <c r="R247" s="392"/>
      <c r="S247" s="362">
        <f t="shared" si="43"/>
        <v>0</v>
      </c>
      <c r="T247" s="385"/>
      <c r="U247" s="362">
        <f t="shared" si="51"/>
        <v>0</v>
      </c>
      <c r="V247" s="584">
        <f t="shared" si="45"/>
        <v>77760</v>
      </c>
      <c r="W247" s="584"/>
      <c r="X247" s="371">
        <f t="shared" si="49"/>
        <v>7776000.0000000009</v>
      </c>
      <c r="Y247" s="846">
        <f t="shared" si="46"/>
        <v>4.32</v>
      </c>
      <c r="Z247" s="491">
        <v>1800000</v>
      </c>
      <c r="AA247" s="662">
        <f t="shared" si="47"/>
        <v>7776000.0000000009</v>
      </c>
      <c r="AB247" s="568">
        <f t="shared" si="50"/>
        <v>218</v>
      </c>
      <c r="AC247" s="493">
        <f>IFERROR(INDEX('[2]CN BC'!$M$10:$M$276,MATCH(B247,'[2]CN BC'!$H$10:$H$276,0)),"")</f>
        <v>0</v>
      </c>
      <c r="AD247" s="522" t="s">
        <v>1132</v>
      </c>
      <c r="AG247" s="155"/>
    </row>
    <row r="248" spans="1:43" s="372" customFormat="1" ht="29.25" customHeight="1">
      <c r="A248" s="379">
        <f>_xlfn.AGGREGATE(4,7,A$29:A247)+1</f>
        <v>219</v>
      </c>
      <c r="B248" s="363" t="s">
        <v>1910</v>
      </c>
      <c r="C248" s="364" t="s">
        <v>1072</v>
      </c>
      <c r="D248" s="406" t="s">
        <v>1797</v>
      </c>
      <c r="E248" s="423" t="s">
        <v>1406</v>
      </c>
      <c r="F248" s="366">
        <v>4.6500000000000004</v>
      </c>
      <c r="G248" s="367"/>
      <c r="H248" s="368">
        <f t="shared" si="40"/>
        <v>4.6500000000000004</v>
      </c>
      <c r="I248" s="368"/>
      <c r="J248" s="368" t="str">
        <f>VLOOKUP(B248,TH!B242:J574,9,FALSE)</f>
        <v>Giảng viên khoa Điện - Điện tử</v>
      </c>
      <c r="K248" s="369">
        <f t="shared" si="41"/>
        <v>4.6500000000000004</v>
      </c>
      <c r="L248" s="362">
        <f t="shared" si="42"/>
        <v>8370000.0000000009</v>
      </c>
      <c r="M248" s="366" t="str">
        <f>VLOOKUP(B248,'[1]Gui chi Quynh'!$B$11:$E$400,4,FALSE)</f>
        <v>A4</v>
      </c>
      <c r="N248" s="494">
        <f t="shared" si="44"/>
        <v>8370000.0000000009</v>
      </c>
      <c r="O248" s="376">
        <v>21</v>
      </c>
      <c r="P248" s="440">
        <f>IFERROR(INDEX('[2]CN BC'!$J$10:$J$276,MATCH(B248,'[2]CN BC'!$H$10:$H$276,0)),"")</f>
        <v>21</v>
      </c>
      <c r="Q248" s="494">
        <f t="shared" si="48"/>
        <v>8370000.0000000009</v>
      </c>
      <c r="R248" s="392"/>
      <c r="S248" s="362">
        <f t="shared" si="43"/>
        <v>0</v>
      </c>
      <c r="T248" s="385"/>
      <c r="U248" s="362">
        <f t="shared" si="51"/>
        <v>0</v>
      </c>
      <c r="V248" s="584">
        <f t="shared" si="45"/>
        <v>83700</v>
      </c>
      <c r="W248" s="584"/>
      <c r="X248" s="371">
        <f t="shared" si="49"/>
        <v>8370000.0000000009</v>
      </c>
      <c r="Y248" s="846">
        <f t="shared" si="46"/>
        <v>4.6500000000000004</v>
      </c>
      <c r="Z248" s="491">
        <v>1800000</v>
      </c>
      <c r="AA248" s="662">
        <f t="shared" si="47"/>
        <v>8370000.0000000009</v>
      </c>
      <c r="AB248" s="568">
        <f t="shared" si="50"/>
        <v>219</v>
      </c>
      <c r="AC248" s="493">
        <f>IFERROR(INDEX('[2]CN BC'!$M$10:$M$276,MATCH(B248,'[2]CN BC'!$H$10:$H$276,0)),"")</f>
        <v>0</v>
      </c>
      <c r="AD248" s="522" t="s">
        <v>1133</v>
      </c>
      <c r="AE248" s="108"/>
      <c r="AF248" s="108"/>
      <c r="AG248" s="155"/>
      <c r="AH248" s="108"/>
      <c r="AI248" s="108"/>
      <c r="AJ248" s="108"/>
      <c r="AK248" s="108"/>
      <c r="AL248" s="108"/>
      <c r="AM248" s="108"/>
      <c r="AN248" s="108"/>
      <c r="AO248" s="108"/>
      <c r="AP248" s="108"/>
      <c r="AQ248" s="108"/>
    </row>
    <row r="249" spans="1:43" s="372" customFormat="1" ht="29.25" customHeight="1">
      <c r="A249" s="379">
        <f>_xlfn.AGGREGATE(4,7,A$29:A248)+1</f>
        <v>220</v>
      </c>
      <c r="B249" s="363" t="s">
        <v>1911</v>
      </c>
      <c r="C249" s="364" t="s">
        <v>873</v>
      </c>
      <c r="D249" s="434" t="s">
        <v>1798</v>
      </c>
      <c r="E249" s="423" t="s">
        <v>1407</v>
      </c>
      <c r="F249" s="366">
        <v>4.6500000000000004</v>
      </c>
      <c r="G249" s="367"/>
      <c r="H249" s="368">
        <f t="shared" si="40"/>
        <v>4.6500000000000004</v>
      </c>
      <c r="I249" s="368"/>
      <c r="J249" s="368" t="str">
        <f>VLOOKUP(B249,TH!B243:J575,9,FALSE)</f>
        <v>Giảng viên khoa Điện - Điện tử</v>
      </c>
      <c r="K249" s="369">
        <f t="shared" si="41"/>
        <v>4.6500000000000004</v>
      </c>
      <c r="L249" s="362">
        <f t="shared" si="42"/>
        <v>8370000.0000000009</v>
      </c>
      <c r="M249" s="366" t="str">
        <f>VLOOKUP(B249,'[1]Gui chi Quynh'!$B$11:$E$400,4,FALSE)</f>
        <v>A4</v>
      </c>
      <c r="N249" s="494">
        <f t="shared" si="44"/>
        <v>8370000.0000000009</v>
      </c>
      <c r="O249" s="376">
        <v>21</v>
      </c>
      <c r="P249" s="440">
        <f>IFERROR(INDEX('[2]CN BC'!$J$10:$J$276,MATCH(B249,'[2]CN BC'!$H$10:$H$276,0)),"")</f>
        <v>21</v>
      </c>
      <c r="Q249" s="494">
        <f t="shared" si="48"/>
        <v>8370000.0000000009</v>
      </c>
      <c r="R249" s="392"/>
      <c r="S249" s="362">
        <f t="shared" si="43"/>
        <v>0</v>
      </c>
      <c r="T249" s="370"/>
      <c r="U249" s="362">
        <f t="shared" si="51"/>
        <v>0</v>
      </c>
      <c r="V249" s="584">
        <f t="shared" si="45"/>
        <v>83700</v>
      </c>
      <c r="W249" s="584"/>
      <c r="X249" s="371">
        <f t="shared" si="49"/>
        <v>8370000.0000000009</v>
      </c>
      <c r="Y249" s="846">
        <f t="shared" si="46"/>
        <v>4.6500000000000004</v>
      </c>
      <c r="Z249" s="491">
        <v>1800000</v>
      </c>
      <c r="AA249" s="662">
        <f t="shared" si="47"/>
        <v>8370000.0000000009</v>
      </c>
      <c r="AB249" s="568">
        <f t="shared" si="50"/>
        <v>220</v>
      </c>
      <c r="AC249" s="493">
        <f>IFERROR(INDEX('[2]CN BC'!$M$10:$M$276,MATCH(B249,'[2]CN BC'!$H$10:$H$276,0)),"")</f>
        <v>0</v>
      </c>
      <c r="AD249" s="522" t="s">
        <v>1142</v>
      </c>
      <c r="AE249" s="108"/>
      <c r="AF249" s="108"/>
      <c r="AG249" s="155"/>
      <c r="AH249" s="108"/>
      <c r="AI249" s="108"/>
      <c r="AJ249" s="108"/>
      <c r="AK249" s="108"/>
      <c r="AL249" s="108"/>
      <c r="AM249" s="108"/>
    </row>
    <row r="250" spans="1:43" s="108" customFormat="1" ht="29.25" customHeight="1">
      <c r="A250" s="379">
        <f>_xlfn.AGGREGATE(4,7,A$29:A249)+1</f>
        <v>221</v>
      </c>
      <c r="B250" s="33" t="s">
        <v>1912</v>
      </c>
      <c r="C250" s="34" t="s">
        <v>867</v>
      </c>
      <c r="D250" s="406" t="s">
        <v>1799</v>
      </c>
      <c r="E250" s="424" t="s">
        <v>1409</v>
      </c>
      <c r="F250" s="10">
        <v>4.6500000000000004</v>
      </c>
      <c r="G250" s="157"/>
      <c r="H250" s="368">
        <f t="shared" si="40"/>
        <v>4.6500000000000004</v>
      </c>
      <c r="I250" s="81"/>
      <c r="J250" s="368" t="str">
        <f>VLOOKUP(B250,TH!B244:J576,9,FALSE)</f>
        <v>Giảng viên khoa Điện - Điện tử</v>
      </c>
      <c r="K250" s="369">
        <f t="shared" si="41"/>
        <v>4.6500000000000004</v>
      </c>
      <c r="L250" s="362">
        <f t="shared" si="42"/>
        <v>8370000.0000000009</v>
      </c>
      <c r="M250" s="366" t="str">
        <f>VLOOKUP(B250,'[1]Gui chi Quynh'!$B$11:$E$400,4,FALSE)</f>
        <v>A4</v>
      </c>
      <c r="N250" s="494">
        <f t="shared" si="44"/>
        <v>8370000.0000000009</v>
      </c>
      <c r="O250" s="376">
        <v>21</v>
      </c>
      <c r="P250" s="440">
        <f>IFERROR(INDEX('[2]CN BC'!$J$10:$J$276,MATCH(B250,'[2]CN BC'!$H$10:$H$276,0)),"")</f>
        <v>21</v>
      </c>
      <c r="Q250" s="494">
        <f t="shared" si="48"/>
        <v>8370000.0000000009</v>
      </c>
      <c r="R250" s="392"/>
      <c r="S250" s="362">
        <f t="shared" si="43"/>
        <v>0</v>
      </c>
      <c r="T250" s="385"/>
      <c r="U250" s="362">
        <f t="shared" si="51"/>
        <v>0</v>
      </c>
      <c r="V250" s="584">
        <f t="shared" si="45"/>
        <v>83700</v>
      </c>
      <c r="W250" s="584"/>
      <c r="X250" s="371">
        <f t="shared" si="49"/>
        <v>8370000.0000000009</v>
      </c>
      <c r="Y250" s="846">
        <f t="shared" si="46"/>
        <v>4.6500000000000004</v>
      </c>
      <c r="Z250" s="491">
        <v>1800000</v>
      </c>
      <c r="AA250" s="662">
        <f t="shared" si="47"/>
        <v>8370000.0000000009</v>
      </c>
      <c r="AB250" s="568">
        <f t="shared" si="50"/>
        <v>221</v>
      </c>
      <c r="AC250" s="493">
        <f>IFERROR(INDEX('[2]CN BC'!$M$10:$M$276,MATCH(B250,'[2]CN BC'!$H$10:$H$276,0)),"")</f>
        <v>0</v>
      </c>
      <c r="AD250" s="522" t="s">
        <v>1144</v>
      </c>
      <c r="AG250" s="155"/>
    </row>
    <row r="251" spans="1:43" s="108" customFormat="1" ht="29.25" customHeight="1">
      <c r="A251" s="379">
        <f>_xlfn.AGGREGATE(4,7,A$29:A250)+1</f>
        <v>222</v>
      </c>
      <c r="B251" s="33" t="s">
        <v>1913</v>
      </c>
      <c r="C251" s="34" t="s">
        <v>1078</v>
      </c>
      <c r="D251" s="406" t="s">
        <v>1800</v>
      </c>
      <c r="E251" s="424" t="s">
        <v>1410</v>
      </c>
      <c r="F251" s="10">
        <v>4.6500000000000004</v>
      </c>
      <c r="G251" s="157"/>
      <c r="H251" s="368">
        <f t="shared" si="40"/>
        <v>4.6500000000000004</v>
      </c>
      <c r="I251" s="81"/>
      <c r="J251" s="368" t="str">
        <f>VLOOKUP(B251,TH!B245:J577,9,FALSE)</f>
        <v>Giảng viên khoa Điện - Điện tử</v>
      </c>
      <c r="K251" s="369">
        <f t="shared" si="41"/>
        <v>4.6500000000000004</v>
      </c>
      <c r="L251" s="362">
        <f t="shared" si="42"/>
        <v>8370000.0000000009</v>
      </c>
      <c r="M251" s="366" t="str">
        <f>VLOOKUP(B251,'[1]Gui chi Quynh'!$B$11:$E$400,4,FALSE)</f>
        <v>A4</v>
      </c>
      <c r="N251" s="494">
        <f t="shared" si="44"/>
        <v>8370000.0000000009</v>
      </c>
      <c r="O251" s="376">
        <v>21</v>
      </c>
      <c r="P251" s="440">
        <f>IFERROR(INDEX('[2]CN BC'!$J$10:$J$276,MATCH(B251,'[2]CN BC'!$H$10:$H$276,0)),"")</f>
        <v>21</v>
      </c>
      <c r="Q251" s="494">
        <f t="shared" si="48"/>
        <v>8370000.0000000009</v>
      </c>
      <c r="R251" s="392"/>
      <c r="S251" s="362">
        <f t="shared" si="43"/>
        <v>0</v>
      </c>
      <c r="T251" s="385"/>
      <c r="U251" s="362">
        <f t="shared" si="51"/>
        <v>0</v>
      </c>
      <c r="V251" s="584">
        <f t="shared" si="45"/>
        <v>83700</v>
      </c>
      <c r="W251" s="584"/>
      <c r="X251" s="371">
        <f t="shared" si="49"/>
        <v>8370000.0000000009</v>
      </c>
      <c r="Y251" s="846">
        <f t="shared" si="46"/>
        <v>4.6500000000000004</v>
      </c>
      <c r="Z251" s="491">
        <v>1800000</v>
      </c>
      <c r="AA251" s="662">
        <f t="shared" si="47"/>
        <v>8370000.0000000009</v>
      </c>
      <c r="AB251" s="568">
        <f t="shared" si="50"/>
        <v>222</v>
      </c>
      <c r="AC251" s="493">
        <f>IFERROR(INDEX('[2]CN BC'!$M$10:$M$276,MATCH(B251,'[2]CN BC'!$H$10:$H$276,0)),"")</f>
        <v>0</v>
      </c>
      <c r="AD251" s="522" t="s">
        <v>1145</v>
      </c>
      <c r="AG251" s="155"/>
    </row>
    <row r="252" spans="1:43" s="108" customFormat="1" ht="29.25" customHeight="1">
      <c r="A252" s="379">
        <f>_xlfn.AGGREGATE(4,7,A$29:A251)+1</f>
        <v>223</v>
      </c>
      <c r="B252" s="33" t="s">
        <v>1540</v>
      </c>
      <c r="C252" s="34" t="s">
        <v>1019</v>
      </c>
      <c r="D252" s="406" t="s">
        <v>1801</v>
      </c>
      <c r="E252" s="424" t="s">
        <v>1412</v>
      </c>
      <c r="F252" s="10">
        <v>3.99</v>
      </c>
      <c r="G252" s="157"/>
      <c r="H252" s="368">
        <f t="shared" si="40"/>
        <v>3.99</v>
      </c>
      <c r="I252" s="81"/>
      <c r="J252" s="368" t="str">
        <f>VLOOKUP(B252,TH!B246:J578,9,FALSE)</f>
        <v>Giảng viên khoa
Điện - Điện tử</v>
      </c>
      <c r="K252" s="369">
        <f t="shared" si="41"/>
        <v>3.99</v>
      </c>
      <c r="L252" s="362">
        <f t="shared" si="42"/>
        <v>7182000</v>
      </c>
      <c r="M252" s="366" t="str">
        <f>VLOOKUP(B252,'[1]Gui chi Quynh'!$B$11:$E$400,4,FALSE)</f>
        <v>A4</v>
      </c>
      <c r="N252" s="494">
        <f t="shared" si="44"/>
        <v>7182000</v>
      </c>
      <c r="O252" s="376">
        <v>21</v>
      </c>
      <c r="P252" s="440">
        <f>IFERROR(INDEX('[2]CN BC'!$J$10:$J$276,MATCH(B252,'[2]CN BC'!$H$10:$H$276,0)),"")</f>
        <v>21</v>
      </c>
      <c r="Q252" s="494">
        <f t="shared" si="48"/>
        <v>7182000</v>
      </c>
      <c r="R252" s="392"/>
      <c r="S252" s="362">
        <f t="shared" si="43"/>
        <v>0</v>
      </c>
      <c r="T252" s="385"/>
      <c r="U252" s="362">
        <f t="shared" si="51"/>
        <v>0</v>
      </c>
      <c r="V252" s="584">
        <f t="shared" si="45"/>
        <v>71820</v>
      </c>
      <c r="W252" s="584"/>
      <c r="X252" s="371">
        <f t="shared" si="49"/>
        <v>7182000</v>
      </c>
      <c r="Y252" s="846">
        <f t="shared" si="46"/>
        <v>3.99</v>
      </c>
      <c r="Z252" s="491">
        <v>1800000</v>
      </c>
      <c r="AA252" s="662">
        <f t="shared" si="47"/>
        <v>7182000</v>
      </c>
      <c r="AB252" s="568">
        <f t="shared" si="50"/>
        <v>223</v>
      </c>
      <c r="AC252" s="493">
        <f>IFERROR(INDEX('[2]CN BC'!$M$10:$M$276,MATCH(B252,'[2]CN BC'!$H$10:$H$276,0)),"")</f>
        <v>0</v>
      </c>
      <c r="AD252" s="522" t="s">
        <v>1146</v>
      </c>
      <c r="AG252" s="155"/>
    </row>
    <row r="253" spans="1:43" s="372" customFormat="1" ht="29.25" customHeight="1">
      <c r="A253" s="379">
        <f>_xlfn.AGGREGATE(4,7,A$29:A252)+1</f>
        <v>224</v>
      </c>
      <c r="B253" s="363" t="s">
        <v>1609</v>
      </c>
      <c r="C253" s="364" t="s">
        <v>876</v>
      </c>
      <c r="D253" s="434" t="s">
        <v>1973</v>
      </c>
      <c r="E253" s="426" t="s">
        <v>1611</v>
      </c>
      <c r="F253" s="373">
        <v>3.33</v>
      </c>
      <c r="G253" s="367"/>
      <c r="H253" s="445">
        <f t="shared" ref="H253:H296" si="52">F253+(F253*G253)</f>
        <v>3.33</v>
      </c>
      <c r="I253" s="368"/>
      <c r="J253" s="368" t="str">
        <f>VLOOKUP(B253,TH!B247:J579,9,FALSE)</f>
        <v>Giảng viên khoa
Điện - Điện tử</v>
      </c>
      <c r="K253" s="369">
        <f t="shared" ref="K253:K296" si="53">H253+I253</f>
        <v>3.33</v>
      </c>
      <c r="L253" s="362">
        <f t="shared" ref="L253:L296" si="54">K253*$G$26</f>
        <v>5994000</v>
      </c>
      <c r="M253" s="366" t="str">
        <f>VLOOKUP(B253,'[1]Gui chi Quynh'!$B$11:$E$400,4,FALSE)</f>
        <v>A3</v>
      </c>
      <c r="N253" s="494">
        <f t="shared" si="44"/>
        <v>7192800</v>
      </c>
      <c r="O253" s="376">
        <v>21</v>
      </c>
      <c r="P253" s="440">
        <f>IFERROR(INDEX('[2]CN BC'!$J$10:$J$276,MATCH(B253,'[2]CN BC'!$H$10:$H$276,0)),"")</f>
        <v>21</v>
      </c>
      <c r="Q253" s="494">
        <f t="shared" si="48"/>
        <v>7192800</v>
      </c>
      <c r="R253" s="460"/>
      <c r="S253" s="362">
        <f t="shared" si="43"/>
        <v>0</v>
      </c>
      <c r="T253" s="370"/>
      <c r="U253" s="362">
        <f t="shared" si="51"/>
        <v>0</v>
      </c>
      <c r="V253" s="584">
        <f t="shared" si="45"/>
        <v>59940</v>
      </c>
      <c r="W253" s="584"/>
      <c r="X253" s="371">
        <f t="shared" si="49"/>
        <v>7192800</v>
      </c>
      <c r="Y253" s="846">
        <f t="shared" si="46"/>
        <v>3.996</v>
      </c>
      <c r="Z253" s="491">
        <v>1800000</v>
      </c>
      <c r="AA253" s="662">
        <f t="shared" si="47"/>
        <v>7192800</v>
      </c>
      <c r="AB253" s="568">
        <f t="shared" si="50"/>
        <v>224</v>
      </c>
      <c r="AC253" s="493">
        <f>IFERROR(INDEX('[2]CN BC'!$M$10:$M$276,MATCH(B253,'[2]CN BC'!$H$10:$H$276,0)),"")</f>
        <v>0</v>
      </c>
      <c r="AD253" s="522" t="s">
        <v>1147</v>
      </c>
      <c r="AE253" s="108"/>
      <c r="AF253" s="108"/>
      <c r="AG253" s="155"/>
      <c r="AH253" s="108"/>
      <c r="AI253" s="108"/>
      <c r="AJ253" s="108"/>
      <c r="AK253" s="108"/>
      <c r="AL253" s="108"/>
      <c r="AM253" s="108"/>
    </row>
    <row r="254" spans="1:43" s="372" customFormat="1" ht="29.25" customHeight="1">
      <c r="A254" s="379">
        <f>_xlfn.AGGREGATE(4,7,A$29:A253)+1</f>
        <v>225</v>
      </c>
      <c r="B254" s="363" t="s">
        <v>1610</v>
      </c>
      <c r="C254" s="364" t="s">
        <v>885</v>
      </c>
      <c r="D254" s="434" t="s">
        <v>1974</v>
      </c>
      <c r="E254" s="426" t="s">
        <v>1612</v>
      </c>
      <c r="F254" s="366">
        <v>2.67</v>
      </c>
      <c r="G254" s="367"/>
      <c r="H254" s="368">
        <f t="shared" si="52"/>
        <v>2.67</v>
      </c>
      <c r="I254" s="368">
        <v>0.25</v>
      </c>
      <c r="J254" s="368" t="str">
        <f>VLOOKUP(B254,TH!B248:J580,9,FALSE)</f>
        <v>Giảng viên khoa
Điện - Điện tử</v>
      </c>
      <c r="K254" s="369">
        <f t="shared" si="53"/>
        <v>2.92</v>
      </c>
      <c r="L254" s="362">
        <f t="shared" si="54"/>
        <v>5256000</v>
      </c>
      <c r="M254" s="366" t="str">
        <f>VLOOKUP(B254,'[1]Gui chi Quynh'!$B$11:$E$400,4,FALSE)</f>
        <v>A3</v>
      </c>
      <c r="N254" s="494">
        <f t="shared" si="44"/>
        <v>6307200</v>
      </c>
      <c r="O254" s="376">
        <v>21</v>
      </c>
      <c r="P254" s="440">
        <f>IFERROR(INDEX('[2]CN BC'!$J$10:$J$276,MATCH(B254,'[2]CN BC'!$H$10:$H$276,0)),"")</f>
        <v>21</v>
      </c>
      <c r="Q254" s="494">
        <f t="shared" si="48"/>
        <v>6307200</v>
      </c>
      <c r="R254" s="460"/>
      <c r="S254" s="362">
        <f t="shared" si="43"/>
        <v>0</v>
      </c>
      <c r="T254" s="370"/>
      <c r="U254" s="362">
        <f t="shared" si="51"/>
        <v>0</v>
      </c>
      <c r="V254" s="584">
        <f t="shared" si="45"/>
        <v>52560</v>
      </c>
      <c r="W254" s="584"/>
      <c r="X254" s="371">
        <f t="shared" si="49"/>
        <v>6307200</v>
      </c>
      <c r="Y254" s="846">
        <f t="shared" si="46"/>
        <v>3.504</v>
      </c>
      <c r="Z254" s="491">
        <v>1800000</v>
      </c>
      <c r="AA254" s="662">
        <f t="shared" si="47"/>
        <v>6307200</v>
      </c>
      <c r="AB254" s="568">
        <f t="shared" si="50"/>
        <v>225</v>
      </c>
      <c r="AC254" s="493">
        <f>IFERROR(INDEX('[2]CN BC'!$M$10:$M$276,MATCH(B254,'[2]CN BC'!$H$10:$H$276,0)),"")</f>
        <v>0</v>
      </c>
      <c r="AD254" s="522" t="s">
        <v>1148</v>
      </c>
      <c r="AE254" s="108"/>
      <c r="AF254" s="108"/>
      <c r="AG254" s="155"/>
      <c r="AH254" s="108"/>
      <c r="AI254" s="108"/>
      <c r="AJ254" s="108"/>
      <c r="AK254" s="108"/>
      <c r="AL254" s="108"/>
      <c r="AM254" s="108"/>
    </row>
    <row r="255" spans="1:43" s="372" customFormat="1" ht="29.25" customHeight="1">
      <c r="A255" s="379">
        <f>_xlfn.AGGREGATE(4,7,A$29:A254)+1</f>
        <v>226</v>
      </c>
      <c r="B255" s="390" t="s">
        <v>1838</v>
      </c>
      <c r="C255" s="364"/>
      <c r="D255" s="434" t="s">
        <v>1975</v>
      </c>
      <c r="E255" s="102">
        <v>1603205590132</v>
      </c>
      <c r="F255" s="366">
        <v>2.67</v>
      </c>
      <c r="G255" s="367"/>
      <c r="H255" s="368">
        <f t="shared" si="52"/>
        <v>2.67</v>
      </c>
      <c r="I255" s="368">
        <v>0.25</v>
      </c>
      <c r="J255" s="368" t="str">
        <f>VLOOKUP(B255,TH!B249:J581,9,FALSE)</f>
        <v>Giảng viên khoa
Điện - Điện tử</v>
      </c>
      <c r="K255" s="369">
        <f t="shared" si="53"/>
        <v>2.92</v>
      </c>
      <c r="L255" s="362">
        <f t="shared" si="54"/>
        <v>5256000</v>
      </c>
      <c r="M255" s="366" t="str">
        <f>VLOOKUP(B255,'[1]Gui chi Quynh'!$B$11:$E$400,4,FALSE)</f>
        <v>A3</v>
      </c>
      <c r="N255" s="494">
        <f t="shared" si="44"/>
        <v>6307200</v>
      </c>
      <c r="O255" s="376">
        <v>21</v>
      </c>
      <c r="P255" s="440">
        <f>IFERROR(INDEX('[2]CN BC'!$J$10:$J$276,MATCH(B255,'[2]CN BC'!$H$10:$H$276,0)),"")</f>
        <v>21</v>
      </c>
      <c r="Q255" s="494">
        <f t="shared" si="48"/>
        <v>6307200</v>
      </c>
      <c r="R255" s="392"/>
      <c r="S255" s="362">
        <f t="shared" si="43"/>
        <v>0</v>
      </c>
      <c r="T255" s="370"/>
      <c r="U255" s="362">
        <f t="shared" si="51"/>
        <v>0</v>
      </c>
      <c r="V255" s="584">
        <f t="shared" si="45"/>
        <v>52560</v>
      </c>
      <c r="W255" s="584"/>
      <c r="X255" s="371">
        <f t="shared" si="49"/>
        <v>6307200</v>
      </c>
      <c r="Y255" s="846">
        <f t="shared" si="46"/>
        <v>3.504</v>
      </c>
      <c r="Z255" s="491">
        <v>1800000</v>
      </c>
      <c r="AA255" s="662">
        <f t="shared" si="47"/>
        <v>6307200</v>
      </c>
      <c r="AB255" s="568">
        <f t="shared" si="50"/>
        <v>226</v>
      </c>
      <c r="AC255" s="493">
        <f>IFERROR(INDEX('[2]CN BC'!$M$10:$M$276,MATCH(B255,'[2]CN BC'!$H$10:$H$276,0)),"")</f>
        <v>0</v>
      </c>
      <c r="AD255" s="522" t="s">
        <v>1149</v>
      </c>
      <c r="AE255" s="108"/>
      <c r="AF255" s="108"/>
      <c r="AG255" s="155"/>
      <c r="AH255" s="108"/>
      <c r="AI255" s="108"/>
      <c r="AJ255" s="108"/>
      <c r="AK255" s="108"/>
      <c r="AL255" s="108"/>
      <c r="AM255" s="108"/>
    </row>
    <row r="256" spans="1:43" s="372" customFormat="1" ht="29.25" customHeight="1">
      <c r="A256" s="379">
        <f>_xlfn.AGGREGATE(4,7,A$29:A255)+1</f>
        <v>227</v>
      </c>
      <c r="B256" s="390" t="s">
        <v>1993</v>
      </c>
      <c r="C256" s="364"/>
      <c r="D256" s="434"/>
      <c r="E256" s="486"/>
      <c r="F256" s="366">
        <v>3.99</v>
      </c>
      <c r="G256" s="367"/>
      <c r="H256" s="368">
        <f t="shared" si="52"/>
        <v>3.99</v>
      </c>
      <c r="I256" s="368"/>
      <c r="J256" s="368" t="str">
        <f>VLOOKUP(B256,TH!B250:J582,9,FALSE)</f>
        <v>Giảng viên khoa Điện - Điện tử</v>
      </c>
      <c r="K256" s="369">
        <f t="shared" si="53"/>
        <v>3.99</v>
      </c>
      <c r="L256" s="362">
        <f t="shared" si="54"/>
        <v>7182000</v>
      </c>
      <c r="M256" s="366" t="str">
        <f>VLOOKUP(B256,'[1]Gui chi Quynh'!$B$11:$E$400,4,FALSE)</f>
        <v>A4</v>
      </c>
      <c r="N256" s="494">
        <f t="shared" si="44"/>
        <v>7182000</v>
      </c>
      <c r="O256" s="376">
        <v>21</v>
      </c>
      <c r="P256" s="440">
        <f>IFERROR(INDEX('[2]CN BC'!$J$10:$J$276,MATCH(B256,'[2]CN BC'!$H$10:$H$276,0)),"")</f>
        <v>21</v>
      </c>
      <c r="Q256" s="494">
        <f t="shared" si="48"/>
        <v>7182000</v>
      </c>
      <c r="R256" s="460"/>
      <c r="S256" s="362">
        <f t="shared" si="43"/>
        <v>0</v>
      </c>
      <c r="T256" s="370"/>
      <c r="U256" s="362">
        <f t="shared" si="51"/>
        <v>0</v>
      </c>
      <c r="V256" s="584">
        <f t="shared" si="45"/>
        <v>71820</v>
      </c>
      <c r="W256" s="584"/>
      <c r="X256" s="371">
        <f t="shared" si="49"/>
        <v>7182000</v>
      </c>
      <c r="Y256" s="846">
        <f t="shared" si="46"/>
        <v>3.99</v>
      </c>
      <c r="Z256" s="491">
        <v>1800000</v>
      </c>
      <c r="AA256" s="662">
        <f t="shared" si="47"/>
        <v>7182000</v>
      </c>
      <c r="AB256" s="568">
        <f t="shared" si="50"/>
        <v>227</v>
      </c>
      <c r="AC256" s="493">
        <f>IFERROR(INDEX('[2]CN BC'!$M$10:$M$276,MATCH(B256,'[2]CN BC'!$H$10:$H$276,0)),"")</f>
        <v>0</v>
      </c>
      <c r="AD256" s="522" t="s">
        <v>1150</v>
      </c>
      <c r="AE256" s="108"/>
      <c r="AF256" s="108"/>
      <c r="AG256" s="155"/>
      <c r="AH256" s="108"/>
      <c r="AI256" s="108"/>
      <c r="AJ256" s="108"/>
      <c r="AK256" s="108"/>
      <c r="AL256" s="108"/>
      <c r="AM256" s="108"/>
    </row>
    <row r="257" spans="1:39" s="372" customFormat="1" ht="30.75" customHeight="1">
      <c r="A257" s="379">
        <f>_xlfn.AGGREGATE(4,7,A$29:A256)+1</f>
        <v>228</v>
      </c>
      <c r="B257" s="390" t="s">
        <v>2002</v>
      </c>
      <c r="C257" s="364"/>
      <c r="D257" s="434"/>
      <c r="E257" s="486"/>
      <c r="F257" s="366">
        <v>2.67</v>
      </c>
      <c r="G257" s="367"/>
      <c r="H257" s="368">
        <f t="shared" si="52"/>
        <v>2.67</v>
      </c>
      <c r="I257" s="368"/>
      <c r="J257" s="368" t="str">
        <f>VLOOKUP(B257,TH!B251:J583,9,FALSE)</f>
        <v>Giảng viên khoa Điện - Điện tử</v>
      </c>
      <c r="K257" s="369">
        <f t="shared" si="53"/>
        <v>2.67</v>
      </c>
      <c r="L257" s="362">
        <f t="shared" si="54"/>
        <v>4806000</v>
      </c>
      <c r="M257" s="366" t="str">
        <f>VLOOKUP(B257,'[1]Gui chi Quynh'!$B$11:$E$400,4,FALSE)</f>
        <v>A4</v>
      </c>
      <c r="N257" s="494">
        <f t="shared" si="44"/>
        <v>4806000</v>
      </c>
      <c r="O257" s="376">
        <v>21</v>
      </c>
      <c r="P257" s="440">
        <f>IFERROR(INDEX('[2]CN BC'!$J$10:$J$276,MATCH(B257,'[2]CN BC'!$H$10:$H$276,0)),"")</f>
        <v>21</v>
      </c>
      <c r="Q257" s="494">
        <f t="shared" si="48"/>
        <v>4806000</v>
      </c>
      <c r="R257" s="460"/>
      <c r="S257" s="362">
        <f t="shared" si="43"/>
        <v>0</v>
      </c>
      <c r="T257" s="370"/>
      <c r="U257" s="362">
        <f t="shared" si="51"/>
        <v>0</v>
      </c>
      <c r="V257" s="584">
        <f t="shared" si="45"/>
        <v>48060</v>
      </c>
      <c r="W257" s="584"/>
      <c r="X257" s="371">
        <f t="shared" si="49"/>
        <v>4806000</v>
      </c>
      <c r="Y257" s="846">
        <f t="shared" si="46"/>
        <v>2.67</v>
      </c>
      <c r="Z257" s="491">
        <v>1800000</v>
      </c>
      <c r="AA257" s="662">
        <f t="shared" si="47"/>
        <v>4806000</v>
      </c>
      <c r="AB257" s="568">
        <f t="shared" si="50"/>
        <v>228</v>
      </c>
      <c r="AC257" s="493">
        <f>IFERROR(INDEX('[2]CN BC'!$M$10:$M$276,MATCH(B257,'[2]CN BC'!$H$10:$H$276,0)),"")</f>
        <v>0</v>
      </c>
      <c r="AD257" s="540" t="s">
        <v>1151</v>
      </c>
      <c r="AG257" s="487"/>
    </row>
    <row r="258" spans="1:39" s="372" customFormat="1" ht="31.5" customHeight="1">
      <c r="A258" s="379">
        <f>_xlfn.AGGREGATE(4,7,A$29:A257)+1</f>
        <v>229</v>
      </c>
      <c r="B258" s="390" t="s">
        <v>2004</v>
      </c>
      <c r="C258" s="364"/>
      <c r="D258" s="434"/>
      <c r="E258" s="486"/>
      <c r="F258" s="366">
        <v>2.34</v>
      </c>
      <c r="G258" s="367"/>
      <c r="H258" s="368">
        <f t="shared" si="52"/>
        <v>2.34</v>
      </c>
      <c r="I258" s="368"/>
      <c r="J258" s="368" t="str">
        <f>VLOOKUP(B258,TH!B252:J584,9,FALSE)</f>
        <v>Giảng viên khoa Điện - Điện tử</v>
      </c>
      <c r="K258" s="369">
        <f t="shared" si="53"/>
        <v>2.34</v>
      </c>
      <c r="L258" s="362">
        <f t="shared" si="54"/>
        <v>4212000</v>
      </c>
      <c r="M258" s="366" t="str">
        <f>VLOOKUP(B258,'[1]Gui chi Quynh'!$B$11:$E$400,4,FALSE)</f>
        <v>A3</v>
      </c>
      <c r="N258" s="494">
        <f t="shared" si="44"/>
        <v>5054400</v>
      </c>
      <c r="O258" s="376">
        <v>21</v>
      </c>
      <c r="P258" s="440">
        <f>IFERROR(INDEX('[2]CN BC'!$J$10:$J$276,MATCH(B258,'[2]CN BC'!$H$10:$H$276,0)),"")</f>
        <v>21</v>
      </c>
      <c r="Q258" s="494">
        <f t="shared" si="48"/>
        <v>5054400</v>
      </c>
      <c r="R258" s="460"/>
      <c r="S258" s="362">
        <f t="shared" si="43"/>
        <v>0</v>
      </c>
      <c r="T258" s="370"/>
      <c r="U258" s="362">
        <f t="shared" si="51"/>
        <v>0</v>
      </c>
      <c r="V258" s="584">
        <f t="shared" si="45"/>
        <v>42120</v>
      </c>
      <c r="W258" s="584"/>
      <c r="X258" s="371">
        <f t="shared" si="49"/>
        <v>5054400</v>
      </c>
      <c r="Y258" s="846">
        <f t="shared" si="46"/>
        <v>2.8079999999999998</v>
      </c>
      <c r="Z258" s="491">
        <v>1800000</v>
      </c>
      <c r="AA258" s="662">
        <f t="shared" si="47"/>
        <v>5054400</v>
      </c>
      <c r="AB258" s="568">
        <f t="shared" si="50"/>
        <v>229</v>
      </c>
      <c r="AC258" s="493">
        <f>IFERROR(INDEX('[2]CN BC'!$M$10:$M$276,MATCH(B258,'[2]CN BC'!$H$10:$H$276,0)),"")</f>
        <v>0</v>
      </c>
      <c r="AD258" s="574"/>
      <c r="AG258" s="487"/>
    </row>
    <row r="259" spans="1:39" s="372" customFormat="1" ht="29.25" customHeight="1">
      <c r="A259" s="379">
        <f>_xlfn.AGGREGATE(4,7,A$29:A258)+1</f>
        <v>230</v>
      </c>
      <c r="B259" s="363" t="s">
        <v>1914</v>
      </c>
      <c r="C259" s="364" t="s">
        <v>876</v>
      </c>
      <c r="D259" s="434" t="s">
        <v>1803</v>
      </c>
      <c r="E259" s="423" t="s">
        <v>0</v>
      </c>
      <c r="F259" s="366">
        <v>4.6500000000000004</v>
      </c>
      <c r="G259" s="367"/>
      <c r="H259" s="368">
        <f t="shared" si="52"/>
        <v>4.6500000000000004</v>
      </c>
      <c r="I259" s="368">
        <v>0.45</v>
      </c>
      <c r="J259" s="368" t="str">
        <f>VLOOKUP(B259,TH!B253:J585,9,FALSE)</f>
        <v>Trưởng khoa Động lực</v>
      </c>
      <c r="K259" s="369">
        <f t="shared" si="53"/>
        <v>5.1000000000000005</v>
      </c>
      <c r="L259" s="362">
        <f t="shared" si="54"/>
        <v>9180000.0000000019</v>
      </c>
      <c r="M259" s="366" t="str">
        <f>VLOOKUP(B259,'[1]Gui chi Quynh'!$B$11:$E$400,4,FALSE)</f>
        <v>A1</v>
      </c>
      <c r="N259" s="494">
        <f t="shared" si="44"/>
        <v>14688000.000000004</v>
      </c>
      <c r="O259" s="376">
        <v>21</v>
      </c>
      <c r="P259" s="440">
        <f>IFERROR(INDEX('[2]CN BC'!$J$10:$J$276,MATCH(B259,'[2]CN BC'!$H$10:$H$276,0)),"")</f>
        <v>22</v>
      </c>
      <c r="Q259" s="494">
        <f t="shared" si="48"/>
        <v>14688000.000000004</v>
      </c>
      <c r="R259" s="460"/>
      <c r="S259" s="362">
        <f t="shared" si="43"/>
        <v>0</v>
      </c>
      <c r="T259" s="370"/>
      <c r="U259" s="362">
        <f t="shared" si="51"/>
        <v>0</v>
      </c>
      <c r="V259" s="584">
        <f t="shared" si="45"/>
        <v>91800</v>
      </c>
      <c r="W259" s="584">
        <v>5148000.0000000009</v>
      </c>
      <c r="X259" s="371">
        <f t="shared" si="49"/>
        <v>19836000.000000004</v>
      </c>
      <c r="Y259" s="846">
        <f t="shared" si="46"/>
        <v>11.020000000000001</v>
      </c>
      <c r="Z259" s="491">
        <v>1800000</v>
      </c>
      <c r="AA259" s="662">
        <f t="shared" si="47"/>
        <v>19836000.000000004</v>
      </c>
      <c r="AB259" s="568">
        <f t="shared" si="50"/>
        <v>230</v>
      </c>
      <c r="AC259" s="493">
        <f>IFERROR(INDEX('[2]CN BC'!$M$10:$M$276,MATCH(B259,'[2]CN BC'!$H$10:$H$276,0)),"")</f>
        <v>0</v>
      </c>
      <c r="AD259" s="141"/>
      <c r="AE259" s="471"/>
      <c r="AF259" s="108"/>
      <c r="AG259" s="155"/>
      <c r="AH259" s="108"/>
      <c r="AI259" s="108"/>
      <c r="AJ259" s="108"/>
      <c r="AK259" s="108"/>
      <c r="AL259" s="108"/>
      <c r="AM259" s="108"/>
    </row>
    <row r="260" spans="1:39" s="372" customFormat="1" ht="27.75" customHeight="1">
      <c r="A260" s="379">
        <f>_xlfn.AGGREGATE(4,7,A$29:A259)+1</f>
        <v>231</v>
      </c>
      <c r="B260" s="363" t="s">
        <v>1915</v>
      </c>
      <c r="C260" s="364" t="s">
        <v>1087</v>
      </c>
      <c r="D260" s="434" t="s">
        <v>1804</v>
      </c>
      <c r="E260" s="423" t="s">
        <v>1420</v>
      </c>
      <c r="F260" s="366">
        <v>4.9800000000000004</v>
      </c>
      <c r="G260" s="367"/>
      <c r="H260" s="368">
        <f t="shared" si="52"/>
        <v>4.9800000000000004</v>
      </c>
      <c r="I260" s="368">
        <v>0.35</v>
      </c>
      <c r="J260" s="368" t="str">
        <f>VLOOKUP(B260,TH!B254:J586,9,FALSE)</f>
        <v>Phó Trưởng khoa
 Động lực</v>
      </c>
      <c r="K260" s="369">
        <f t="shared" si="53"/>
        <v>5.33</v>
      </c>
      <c r="L260" s="362">
        <f t="shared" si="54"/>
        <v>9594000</v>
      </c>
      <c r="M260" s="366" t="str">
        <f>VLOOKUP(B260,'[1]Gui chi Quynh'!$B$11:$E$400,4,FALSE)</f>
        <v>A2</v>
      </c>
      <c r="N260" s="494">
        <f t="shared" si="44"/>
        <v>13431600</v>
      </c>
      <c r="O260" s="376">
        <v>21</v>
      </c>
      <c r="P260" s="440">
        <f>IFERROR(INDEX('[2]CN BC'!$J$10:$J$276,MATCH(B260,'[2]CN BC'!$H$10:$H$276,0)),"")</f>
        <v>22</v>
      </c>
      <c r="Q260" s="494">
        <f t="shared" si="48"/>
        <v>13431600</v>
      </c>
      <c r="R260" s="460"/>
      <c r="S260" s="362">
        <f t="shared" si="43"/>
        <v>0</v>
      </c>
      <c r="T260" s="370"/>
      <c r="U260" s="362">
        <f t="shared" si="51"/>
        <v>0</v>
      </c>
      <c r="V260" s="584">
        <f t="shared" si="45"/>
        <v>95940</v>
      </c>
      <c r="W260" s="584">
        <v>4039200.0000000009</v>
      </c>
      <c r="X260" s="371">
        <f t="shared" si="49"/>
        <v>17470800</v>
      </c>
      <c r="Y260" s="846">
        <f t="shared" si="46"/>
        <v>9.7059999999999995</v>
      </c>
      <c r="Z260" s="491">
        <v>1800000</v>
      </c>
      <c r="AA260" s="662">
        <f t="shared" si="47"/>
        <v>17470800</v>
      </c>
      <c r="AB260" s="568">
        <f t="shared" si="50"/>
        <v>231</v>
      </c>
      <c r="AC260" s="493">
        <f>IFERROR(INDEX('[2]CN BC'!$M$10:$M$276,MATCH(B260,'[2]CN BC'!$H$10:$H$276,0)),"")</f>
        <v>0</v>
      </c>
      <c r="AD260" s="141"/>
      <c r="AE260" s="108"/>
      <c r="AF260" s="108"/>
      <c r="AG260" s="155"/>
      <c r="AH260" s="108"/>
      <c r="AI260" s="108"/>
      <c r="AJ260" s="108"/>
      <c r="AK260" s="108"/>
      <c r="AL260" s="108"/>
      <c r="AM260" s="108"/>
    </row>
    <row r="261" spans="1:39" s="372" customFormat="1" ht="27.75" customHeight="1">
      <c r="A261" s="379">
        <f>_xlfn.AGGREGATE(4,7,A$29:A260)+1</f>
        <v>232</v>
      </c>
      <c r="B261" s="363" t="s">
        <v>1916</v>
      </c>
      <c r="C261" s="364" t="s">
        <v>1090</v>
      </c>
      <c r="D261" s="434" t="s">
        <v>1805</v>
      </c>
      <c r="E261" s="423" t="s">
        <v>1</v>
      </c>
      <c r="F261" s="366">
        <v>4.32</v>
      </c>
      <c r="G261" s="367"/>
      <c r="H261" s="368">
        <f t="shared" si="52"/>
        <v>4.32</v>
      </c>
      <c r="I261" s="368">
        <v>0.25</v>
      </c>
      <c r="J261" s="368" t="str">
        <f>VLOOKUP(B261,TH!B255:J587,9,FALSE)</f>
        <v>Giảng viên khoa Động lực</v>
      </c>
      <c r="K261" s="369">
        <f t="shared" si="53"/>
        <v>4.57</v>
      </c>
      <c r="L261" s="362">
        <f t="shared" si="54"/>
        <v>8226000.0000000009</v>
      </c>
      <c r="M261" s="366" t="str">
        <f>VLOOKUP(B261,'[1]Gui chi Quynh'!$B$11:$E$400,4,FALSE)</f>
        <v>A4</v>
      </c>
      <c r="N261" s="494">
        <f t="shared" si="44"/>
        <v>8226000.0000000009</v>
      </c>
      <c r="O261" s="376">
        <v>21</v>
      </c>
      <c r="P261" s="440">
        <f>IFERROR(INDEX('[2]CN BC'!$J$10:$J$276,MATCH(B261,'[2]CN BC'!$H$10:$H$276,0)),"")</f>
        <v>21</v>
      </c>
      <c r="Q261" s="494">
        <f t="shared" si="48"/>
        <v>8226000.0000000009</v>
      </c>
      <c r="R261" s="460"/>
      <c r="S261" s="362">
        <f t="shared" si="43"/>
        <v>0</v>
      </c>
      <c r="T261" s="370"/>
      <c r="U261" s="362">
        <f t="shared" si="51"/>
        <v>0</v>
      </c>
      <c r="V261" s="584">
        <f t="shared" si="45"/>
        <v>82260</v>
      </c>
      <c r="W261" s="584"/>
      <c r="X261" s="371">
        <f t="shared" si="49"/>
        <v>8226000.0000000009</v>
      </c>
      <c r="Y261" s="846">
        <f t="shared" si="46"/>
        <v>4.57</v>
      </c>
      <c r="Z261" s="491">
        <v>1800000</v>
      </c>
      <c r="AA261" s="662">
        <f t="shared" si="47"/>
        <v>8226000.0000000009</v>
      </c>
      <c r="AB261" s="568">
        <f t="shared" si="50"/>
        <v>232</v>
      </c>
      <c r="AC261" s="493">
        <f>IFERROR(INDEX('[2]CN BC'!$M$10:$M$276,MATCH(B261,'[2]CN BC'!$H$10:$H$276,0)),"")</f>
        <v>0</v>
      </c>
      <c r="AD261" s="141"/>
      <c r="AE261" s="108"/>
      <c r="AF261" s="108"/>
      <c r="AG261" s="155"/>
      <c r="AH261" s="108"/>
      <c r="AI261" s="108"/>
      <c r="AJ261" s="108"/>
      <c r="AK261" s="108"/>
      <c r="AL261" s="108"/>
      <c r="AM261" s="108"/>
    </row>
    <row r="262" spans="1:39" s="372" customFormat="1" ht="27.75" customHeight="1">
      <c r="A262" s="379">
        <f>_xlfn.AGGREGATE(4,7,A$29:A261)+1</f>
        <v>233</v>
      </c>
      <c r="B262" s="363" t="s">
        <v>1542</v>
      </c>
      <c r="C262" s="364" t="s">
        <v>970</v>
      </c>
      <c r="D262" s="434" t="s">
        <v>1806</v>
      </c>
      <c r="E262" s="423" t="s">
        <v>3</v>
      </c>
      <c r="F262" s="373">
        <v>3.99</v>
      </c>
      <c r="G262" s="367"/>
      <c r="H262" s="368">
        <f t="shared" si="52"/>
        <v>3.99</v>
      </c>
      <c r="I262" s="368"/>
      <c r="J262" s="368" t="str">
        <f>VLOOKUP(B262,TH!B256:J588,9,FALSE)</f>
        <v>Giảng viên - Trưởng BM khoa Động lực</v>
      </c>
      <c r="K262" s="369">
        <f t="shared" si="53"/>
        <v>3.99</v>
      </c>
      <c r="L262" s="362">
        <f t="shared" si="54"/>
        <v>7182000</v>
      </c>
      <c r="M262" s="366" t="str">
        <f>VLOOKUP(B262,'[1]Gui chi Quynh'!$B$11:$E$400,4,FALSE)</f>
        <v>A3</v>
      </c>
      <c r="N262" s="494">
        <f t="shared" si="44"/>
        <v>8618400</v>
      </c>
      <c r="O262" s="376">
        <v>21</v>
      </c>
      <c r="P262" s="440">
        <f>IFERROR(INDEX('[2]CN BC'!$J$10:$J$276,MATCH(B262,'[2]CN BC'!$H$10:$H$276,0)),"")</f>
        <v>21</v>
      </c>
      <c r="Q262" s="494">
        <f t="shared" si="48"/>
        <v>8618400</v>
      </c>
      <c r="R262" s="460"/>
      <c r="S262" s="362">
        <f t="shared" si="43"/>
        <v>0</v>
      </c>
      <c r="T262" s="370"/>
      <c r="U262" s="362">
        <f t="shared" si="51"/>
        <v>0</v>
      </c>
      <c r="V262" s="584">
        <f t="shared" si="45"/>
        <v>71820</v>
      </c>
      <c r="W262" s="584"/>
      <c r="X262" s="371">
        <f t="shared" si="49"/>
        <v>8618400</v>
      </c>
      <c r="Y262" s="846">
        <f t="shared" si="46"/>
        <v>4.7880000000000003</v>
      </c>
      <c r="Z262" s="491">
        <v>1800000</v>
      </c>
      <c r="AA262" s="662">
        <f t="shared" si="47"/>
        <v>8618400</v>
      </c>
      <c r="AB262" s="568">
        <f t="shared" si="50"/>
        <v>233</v>
      </c>
      <c r="AC262" s="493">
        <f>IFERROR(INDEX('[2]CN BC'!$M$10:$M$276,MATCH(B262,'[2]CN BC'!$H$10:$H$276,0)),"")</f>
        <v>0</v>
      </c>
      <c r="AD262" s="141"/>
      <c r="AE262" s="108"/>
      <c r="AF262" s="108"/>
      <c r="AG262" s="155"/>
      <c r="AH262" s="108"/>
      <c r="AI262" s="108"/>
      <c r="AJ262" s="108"/>
      <c r="AK262" s="108"/>
      <c r="AL262" s="108"/>
      <c r="AM262" s="108"/>
    </row>
    <row r="263" spans="1:39" s="372" customFormat="1" ht="27.75" customHeight="1">
      <c r="A263" s="379">
        <f>_xlfn.AGGREGATE(4,7,A$29:A262)+1</f>
        <v>234</v>
      </c>
      <c r="B263" s="363" t="s">
        <v>1543</v>
      </c>
      <c r="C263" s="364" t="s">
        <v>1215</v>
      </c>
      <c r="D263" s="434" t="s">
        <v>1807</v>
      </c>
      <c r="E263" s="423" t="s">
        <v>4</v>
      </c>
      <c r="F263" s="373">
        <v>3.99</v>
      </c>
      <c r="G263" s="367"/>
      <c r="H263" s="368">
        <f t="shared" si="52"/>
        <v>3.99</v>
      </c>
      <c r="I263" s="368">
        <v>0.25</v>
      </c>
      <c r="J263" s="368" t="str">
        <f>VLOOKUP(B263,TH!B257:J589,9,FALSE)</f>
        <v>Giảng viên - Trưởng BM khoa Động lực</v>
      </c>
      <c r="K263" s="369">
        <f t="shared" si="53"/>
        <v>4.24</v>
      </c>
      <c r="L263" s="362">
        <f t="shared" si="54"/>
        <v>7632000</v>
      </c>
      <c r="M263" s="366" t="str">
        <f>VLOOKUP(B263,'[1]Gui chi Quynh'!$B$11:$E$400,4,FALSE)</f>
        <v>A2</v>
      </c>
      <c r="N263" s="494">
        <f t="shared" si="44"/>
        <v>10684800</v>
      </c>
      <c r="O263" s="376">
        <v>21</v>
      </c>
      <c r="P263" s="440">
        <f>IFERROR(INDEX('[2]CN BC'!$J$10:$J$276,MATCH(B263,'[2]CN BC'!$H$10:$H$276,0)),"")</f>
        <v>21</v>
      </c>
      <c r="Q263" s="494">
        <f t="shared" si="48"/>
        <v>10684800</v>
      </c>
      <c r="R263" s="460"/>
      <c r="S263" s="362">
        <f t="shared" si="43"/>
        <v>0</v>
      </c>
      <c r="T263" s="370"/>
      <c r="U263" s="362">
        <f t="shared" si="51"/>
        <v>0</v>
      </c>
      <c r="V263" s="584">
        <f t="shared" si="45"/>
        <v>76320</v>
      </c>
      <c r="W263" s="584"/>
      <c r="X263" s="371">
        <f t="shared" si="49"/>
        <v>10684800</v>
      </c>
      <c r="Y263" s="846">
        <f t="shared" si="46"/>
        <v>5.9359999999999999</v>
      </c>
      <c r="Z263" s="491">
        <v>1800000</v>
      </c>
      <c r="AA263" s="662">
        <f t="shared" si="47"/>
        <v>10684800</v>
      </c>
      <c r="AB263" s="568">
        <f t="shared" si="50"/>
        <v>234</v>
      </c>
      <c r="AC263" s="493">
        <f>IFERROR(INDEX('[2]CN BC'!$M$10:$M$276,MATCH(B263,'[2]CN BC'!$H$10:$H$276,0)),"")</f>
        <v>0</v>
      </c>
      <c r="AD263" s="141"/>
      <c r="AE263" s="108"/>
      <c r="AF263" s="108"/>
      <c r="AG263" s="155"/>
      <c r="AH263" s="108"/>
      <c r="AI263" s="108"/>
      <c r="AJ263" s="108"/>
      <c r="AK263" s="108"/>
      <c r="AL263" s="108"/>
      <c r="AM263" s="108"/>
    </row>
    <row r="264" spans="1:39" s="372" customFormat="1" ht="23.25" customHeight="1">
      <c r="A264" s="379">
        <f>_xlfn.AGGREGATE(4,7,A$29:A263)+1</f>
        <v>235</v>
      </c>
      <c r="B264" s="363" t="s">
        <v>1544</v>
      </c>
      <c r="C264" s="364" t="s">
        <v>878</v>
      </c>
      <c r="D264" s="434" t="s">
        <v>1808</v>
      </c>
      <c r="E264" s="423" t="s">
        <v>5</v>
      </c>
      <c r="F264" s="373">
        <v>3.66</v>
      </c>
      <c r="G264" s="367"/>
      <c r="H264" s="368">
        <f t="shared" si="52"/>
        <v>3.66</v>
      </c>
      <c r="I264" s="368"/>
      <c r="J264" s="368" t="str">
        <f>VLOOKUP(B264,TH!B258:J590,9,FALSE)</f>
        <v>Giảng viên khoa Động lực</v>
      </c>
      <c r="K264" s="369">
        <f t="shared" si="53"/>
        <v>3.66</v>
      </c>
      <c r="L264" s="362">
        <f t="shared" si="54"/>
        <v>6588000</v>
      </c>
      <c r="M264" s="366" t="str">
        <f>VLOOKUP(B264,'[1]Gui chi Quynh'!$B$11:$E$400,4,FALSE)</f>
        <v>A4</v>
      </c>
      <c r="N264" s="494">
        <f t="shared" si="44"/>
        <v>6588000</v>
      </c>
      <c r="O264" s="376">
        <v>21</v>
      </c>
      <c r="P264" s="440">
        <f>IFERROR(INDEX('[2]CN BC'!$J$10:$J$276,MATCH(B264,'[2]CN BC'!$H$10:$H$276,0)),"")</f>
        <v>21</v>
      </c>
      <c r="Q264" s="494">
        <f t="shared" si="48"/>
        <v>6588000</v>
      </c>
      <c r="R264" s="460"/>
      <c r="S264" s="362">
        <f t="shared" si="43"/>
        <v>0</v>
      </c>
      <c r="T264" s="370"/>
      <c r="U264" s="362">
        <f t="shared" si="51"/>
        <v>0</v>
      </c>
      <c r="V264" s="584">
        <f t="shared" si="45"/>
        <v>65880</v>
      </c>
      <c r="W264" s="584"/>
      <c r="X264" s="371">
        <f t="shared" si="49"/>
        <v>6588000</v>
      </c>
      <c r="Y264" s="846">
        <f t="shared" si="46"/>
        <v>3.66</v>
      </c>
      <c r="Z264" s="491">
        <v>1800000</v>
      </c>
      <c r="AA264" s="662">
        <f t="shared" si="47"/>
        <v>6588000</v>
      </c>
      <c r="AB264" s="568">
        <f t="shared" si="50"/>
        <v>235</v>
      </c>
      <c r="AC264" s="493">
        <f>IFERROR(INDEX('[2]CN BC'!$M$10:$M$276,MATCH(B264,'[2]CN BC'!$H$10:$H$276,0)),"")</f>
        <v>0</v>
      </c>
      <c r="AD264" s="536"/>
      <c r="AG264" s="487"/>
    </row>
    <row r="265" spans="1:39" s="372" customFormat="1" ht="27.75" customHeight="1">
      <c r="A265" s="379">
        <f>_xlfn.AGGREGATE(4,7,A$29:A264)+1</f>
        <v>236</v>
      </c>
      <c r="B265" s="363" t="s">
        <v>1917</v>
      </c>
      <c r="C265" s="364" t="s">
        <v>1212</v>
      </c>
      <c r="D265" s="434" t="s">
        <v>1809</v>
      </c>
      <c r="E265" s="423" t="s">
        <v>394</v>
      </c>
      <c r="F265" s="373">
        <v>3.66</v>
      </c>
      <c r="G265" s="367"/>
      <c r="H265" s="368">
        <f t="shared" si="52"/>
        <v>3.66</v>
      </c>
      <c r="I265" s="368"/>
      <c r="J265" s="368" t="str">
        <f>VLOOKUP(B265,TH!B259:J591,9,FALSE)</f>
        <v>Giảng viên khoa Động lực</v>
      </c>
      <c r="K265" s="369">
        <f t="shared" si="53"/>
        <v>3.66</v>
      </c>
      <c r="L265" s="362">
        <f t="shared" si="54"/>
        <v>6588000</v>
      </c>
      <c r="M265" s="366" t="str">
        <f>VLOOKUP(B265,'[1]Gui chi Quynh'!$B$11:$E$400,4,FALSE)</f>
        <v>A4</v>
      </c>
      <c r="N265" s="494">
        <f t="shared" si="44"/>
        <v>6588000</v>
      </c>
      <c r="O265" s="376">
        <v>21</v>
      </c>
      <c r="P265" s="440">
        <f>IFERROR(INDEX('[2]CN BC'!$J$10:$J$276,MATCH(B265,'[2]CN BC'!$H$10:$H$276,0)),"")</f>
        <v>21</v>
      </c>
      <c r="Q265" s="494">
        <f t="shared" si="48"/>
        <v>6588000</v>
      </c>
      <c r="R265" s="460"/>
      <c r="S265" s="362">
        <f t="shared" si="43"/>
        <v>0</v>
      </c>
      <c r="T265" s="370"/>
      <c r="U265" s="362">
        <f t="shared" si="51"/>
        <v>0</v>
      </c>
      <c r="V265" s="584">
        <f t="shared" si="45"/>
        <v>65880</v>
      </c>
      <c r="W265" s="584"/>
      <c r="X265" s="371">
        <f t="shared" si="49"/>
        <v>6588000</v>
      </c>
      <c r="Y265" s="846">
        <f t="shared" si="46"/>
        <v>3.66</v>
      </c>
      <c r="Z265" s="491">
        <v>1800000</v>
      </c>
      <c r="AA265" s="662">
        <f t="shared" si="47"/>
        <v>6588000</v>
      </c>
      <c r="AB265" s="568">
        <f t="shared" si="50"/>
        <v>236</v>
      </c>
      <c r="AC265" s="493">
        <f>IFERROR(INDEX('[2]CN BC'!$M$10:$M$276,MATCH(B265,'[2]CN BC'!$H$10:$H$276,0)),"")</f>
        <v>0</v>
      </c>
      <c r="AD265" s="141"/>
      <c r="AE265" s="108"/>
      <c r="AF265" s="108"/>
      <c r="AG265" s="155"/>
      <c r="AH265" s="108"/>
      <c r="AI265" s="108"/>
      <c r="AJ265" s="108"/>
      <c r="AK265" s="108"/>
      <c r="AL265" s="108"/>
      <c r="AM265" s="108"/>
    </row>
    <row r="266" spans="1:39" s="372" customFormat="1" ht="26.25" customHeight="1">
      <c r="A266" s="379">
        <f>_xlfn.AGGREGATE(4,7,A$29:A265)+1</f>
        <v>237</v>
      </c>
      <c r="B266" s="390" t="s">
        <v>1918</v>
      </c>
      <c r="C266" s="538" t="s">
        <v>868</v>
      </c>
      <c r="D266" s="434" t="s">
        <v>1810</v>
      </c>
      <c r="E266" s="423" t="s">
        <v>393</v>
      </c>
      <c r="F266" s="373">
        <v>3.99</v>
      </c>
      <c r="G266" s="367"/>
      <c r="H266" s="368">
        <f t="shared" si="52"/>
        <v>3.99</v>
      </c>
      <c r="I266" s="368"/>
      <c r="J266" s="368" t="str">
        <f>VLOOKUP(B266,TH!B260:J592,9,FALSE)</f>
        <v>Giảng viên khoa Động lực</v>
      </c>
      <c r="K266" s="369">
        <f t="shared" si="53"/>
        <v>3.99</v>
      </c>
      <c r="L266" s="362">
        <f t="shared" si="54"/>
        <v>7182000</v>
      </c>
      <c r="M266" s="366" t="str">
        <f>VLOOKUP(B266,'[1]Gui chi Quynh'!$B$11:$E$400,4,FALSE)</f>
        <v>A4</v>
      </c>
      <c r="N266" s="494">
        <f t="shared" si="44"/>
        <v>7182000</v>
      </c>
      <c r="O266" s="376">
        <v>21</v>
      </c>
      <c r="P266" s="440">
        <f>IFERROR(INDEX('[2]CN BC'!$J$10:$J$276,MATCH(B266,'[2]CN BC'!$H$10:$H$276,0)),"")</f>
        <v>21</v>
      </c>
      <c r="Q266" s="494">
        <f t="shared" si="48"/>
        <v>7182000</v>
      </c>
      <c r="R266" s="460"/>
      <c r="S266" s="362">
        <f t="shared" si="43"/>
        <v>0</v>
      </c>
      <c r="T266" s="370"/>
      <c r="U266" s="362">
        <f t="shared" si="51"/>
        <v>0</v>
      </c>
      <c r="V266" s="584">
        <f t="shared" si="45"/>
        <v>71820</v>
      </c>
      <c r="W266" s="584"/>
      <c r="X266" s="371">
        <f t="shared" si="49"/>
        <v>7182000</v>
      </c>
      <c r="Y266" s="846">
        <f t="shared" si="46"/>
        <v>3.99</v>
      </c>
      <c r="Z266" s="491">
        <v>1800000</v>
      </c>
      <c r="AA266" s="662">
        <f t="shared" si="47"/>
        <v>7182000</v>
      </c>
      <c r="AB266" s="568">
        <f t="shared" si="50"/>
        <v>237</v>
      </c>
      <c r="AC266" s="493">
        <f>IFERROR(INDEX('[2]CN BC'!$M$10:$M$276,MATCH(B266,'[2]CN BC'!$H$10:$H$276,0)),"")</f>
        <v>0</v>
      </c>
      <c r="AD266" s="536"/>
      <c r="AG266" s="487"/>
    </row>
    <row r="267" spans="1:39" s="372" customFormat="1" ht="27.75" customHeight="1">
      <c r="A267" s="379">
        <f>_xlfn.AGGREGATE(4,7,A$29:A266)+1</f>
        <v>238</v>
      </c>
      <c r="B267" s="363" t="s">
        <v>1545</v>
      </c>
      <c r="C267" s="364" t="s">
        <v>1218</v>
      </c>
      <c r="D267" s="434" t="s">
        <v>1811</v>
      </c>
      <c r="E267" s="423" t="s">
        <v>395</v>
      </c>
      <c r="F267" s="373">
        <v>3.66</v>
      </c>
      <c r="G267" s="367"/>
      <c r="H267" s="368">
        <f t="shared" si="52"/>
        <v>3.66</v>
      </c>
      <c r="I267" s="368"/>
      <c r="J267" s="368" t="str">
        <f>VLOOKUP(B267,TH!B261:J593,9,FALSE)</f>
        <v>Giảng viên khoa Động lực</v>
      </c>
      <c r="K267" s="369">
        <f t="shared" si="53"/>
        <v>3.66</v>
      </c>
      <c r="L267" s="362">
        <f t="shared" si="54"/>
        <v>6588000</v>
      </c>
      <c r="M267" s="366" t="str">
        <f>VLOOKUP(B267,'[1]Gui chi Quynh'!$B$11:$E$400,4,FALSE)</f>
        <v>A4</v>
      </c>
      <c r="N267" s="494">
        <f t="shared" si="44"/>
        <v>6588000</v>
      </c>
      <c r="O267" s="376">
        <v>21</v>
      </c>
      <c r="P267" s="440">
        <f>IFERROR(INDEX('[2]CN BC'!$J$10:$J$276,MATCH(B267,'[2]CN BC'!$H$10:$H$276,0)),"")</f>
        <v>21</v>
      </c>
      <c r="Q267" s="494">
        <f t="shared" si="48"/>
        <v>6588000</v>
      </c>
      <c r="R267" s="460"/>
      <c r="S267" s="362">
        <f t="shared" si="43"/>
        <v>0</v>
      </c>
      <c r="T267" s="370"/>
      <c r="U267" s="362">
        <f t="shared" si="51"/>
        <v>0</v>
      </c>
      <c r="V267" s="584">
        <f t="shared" si="45"/>
        <v>65880</v>
      </c>
      <c r="W267" s="584"/>
      <c r="X267" s="371">
        <f t="shared" si="49"/>
        <v>6588000</v>
      </c>
      <c r="Y267" s="846">
        <f t="shared" si="46"/>
        <v>3.66</v>
      </c>
      <c r="Z267" s="491">
        <v>1800000</v>
      </c>
      <c r="AA267" s="662">
        <f t="shared" si="47"/>
        <v>6588000</v>
      </c>
      <c r="AB267" s="568">
        <f t="shared" si="50"/>
        <v>238</v>
      </c>
      <c r="AC267" s="493">
        <f>IFERROR(INDEX('[2]CN BC'!$M$10:$M$276,MATCH(B267,'[2]CN BC'!$H$10:$H$276,0)),"")</f>
        <v>0</v>
      </c>
      <c r="AD267" s="536"/>
      <c r="AG267" s="487"/>
    </row>
    <row r="268" spans="1:39" s="372" customFormat="1" ht="27.75" customHeight="1">
      <c r="A268" s="379">
        <f>_xlfn.AGGREGATE(4,7,A$29:A267)+1</f>
        <v>239</v>
      </c>
      <c r="B268" s="363" t="s">
        <v>1546</v>
      </c>
      <c r="C268" s="364" t="s">
        <v>469</v>
      </c>
      <c r="D268" s="434" t="s">
        <v>1812</v>
      </c>
      <c r="E268" s="423" t="s">
        <v>473</v>
      </c>
      <c r="F268" s="373">
        <v>3.66</v>
      </c>
      <c r="G268" s="367"/>
      <c r="H268" s="368">
        <f t="shared" si="52"/>
        <v>3.66</v>
      </c>
      <c r="I268" s="368"/>
      <c r="J268" s="368" t="str">
        <f>VLOOKUP(B268,TH!B262:J594,9,FALSE)</f>
        <v>Giảng viên khoa Động lực</v>
      </c>
      <c r="K268" s="369">
        <f t="shared" si="53"/>
        <v>3.66</v>
      </c>
      <c r="L268" s="362">
        <f t="shared" si="54"/>
        <v>6588000</v>
      </c>
      <c r="M268" s="366" t="str">
        <f>VLOOKUP(B268,'[1]Gui chi Quynh'!$B$11:$E$400,4,FALSE)</f>
        <v>A4</v>
      </c>
      <c r="N268" s="494">
        <f t="shared" si="44"/>
        <v>6588000</v>
      </c>
      <c r="O268" s="376">
        <v>21</v>
      </c>
      <c r="P268" s="440">
        <f>IFERROR(INDEX('[2]CN BC'!$J$10:$J$276,MATCH(B268,'[2]CN BC'!$H$10:$H$276,0)),"")</f>
        <v>21</v>
      </c>
      <c r="Q268" s="494">
        <f t="shared" si="48"/>
        <v>6588000</v>
      </c>
      <c r="R268" s="460"/>
      <c r="S268" s="362">
        <f t="shared" si="43"/>
        <v>0</v>
      </c>
      <c r="T268" s="370"/>
      <c r="U268" s="362">
        <f t="shared" si="51"/>
        <v>0</v>
      </c>
      <c r="V268" s="584">
        <f t="shared" si="45"/>
        <v>65880</v>
      </c>
      <c r="W268" s="584"/>
      <c r="X268" s="371">
        <f t="shared" si="49"/>
        <v>6588000</v>
      </c>
      <c r="Y268" s="846">
        <f t="shared" si="46"/>
        <v>3.66</v>
      </c>
      <c r="Z268" s="491">
        <v>1800000</v>
      </c>
      <c r="AA268" s="662">
        <f t="shared" si="47"/>
        <v>6588000</v>
      </c>
      <c r="AB268" s="568">
        <f t="shared" si="50"/>
        <v>239</v>
      </c>
      <c r="AC268" s="493">
        <f>IFERROR(INDEX('[2]CN BC'!$M$10:$M$276,MATCH(B268,'[2]CN BC'!$H$10:$H$276,0)),"")</f>
        <v>0</v>
      </c>
      <c r="AD268" s="141"/>
      <c r="AE268" s="471"/>
      <c r="AF268" s="108"/>
      <c r="AG268" s="155"/>
      <c r="AH268" s="108"/>
      <c r="AI268" s="108"/>
      <c r="AJ268" s="108"/>
      <c r="AK268" s="108"/>
      <c r="AL268" s="108"/>
      <c r="AM268" s="108"/>
    </row>
    <row r="269" spans="1:39" s="372" customFormat="1" ht="25.5" customHeight="1">
      <c r="A269" s="379">
        <f>_xlfn.AGGREGATE(4,7,A$29:A268)+1</f>
        <v>240</v>
      </c>
      <c r="B269" s="363" t="s">
        <v>1547</v>
      </c>
      <c r="C269" s="364" t="s">
        <v>1196</v>
      </c>
      <c r="D269" s="434" t="s">
        <v>1813</v>
      </c>
      <c r="E269" s="365" t="s">
        <v>490</v>
      </c>
      <c r="F269" s="373">
        <v>3.66</v>
      </c>
      <c r="G269" s="367"/>
      <c r="H269" s="445">
        <f t="shared" si="52"/>
        <v>3.66</v>
      </c>
      <c r="I269" s="368"/>
      <c r="J269" s="368" t="str">
        <f>VLOOKUP(B269,TH!B263:J595,9,FALSE)</f>
        <v>Giảng viên khoa Động lực</v>
      </c>
      <c r="K269" s="369">
        <f t="shared" si="53"/>
        <v>3.66</v>
      </c>
      <c r="L269" s="362">
        <f t="shared" si="54"/>
        <v>6588000</v>
      </c>
      <c r="M269" s="366" t="str">
        <f>VLOOKUP(B269,'[1]Gui chi Quynh'!$B$11:$E$400,4,FALSE)</f>
        <v>A4</v>
      </c>
      <c r="N269" s="494">
        <f t="shared" si="44"/>
        <v>6588000</v>
      </c>
      <c r="O269" s="376">
        <v>21</v>
      </c>
      <c r="P269" s="440">
        <f>IFERROR(INDEX('[2]CN BC'!$J$10:$J$276,MATCH(B269,'[2]CN BC'!$H$10:$H$276,0)),"")</f>
        <v>21</v>
      </c>
      <c r="Q269" s="494">
        <f t="shared" si="48"/>
        <v>6588000</v>
      </c>
      <c r="R269" s="460"/>
      <c r="S269" s="362">
        <f t="shared" si="43"/>
        <v>0</v>
      </c>
      <c r="T269" s="370"/>
      <c r="U269" s="362">
        <f t="shared" si="51"/>
        <v>0</v>
      </c>
      <c r="V269" s="584">
        <f t="shared" si="45"/>
        <v>65880</v>
      </c>
      <c r="W269" s="584"/>
      <c r="X269" s="371">
        <f t="shared" si="49"/>
        <v>6588000</v>
      </c>
      <c r="Y269" s="846">
        <f t="shared" si="46"/>
        <v>3.66</v>
      </c>
      <c r="Z269" s="491">
        <v>1800000</v>
      </c>
      <c r="AA269" s="662">
        <f t="shared" si="47"/>
        <v>6588000</v>
      </c>
      <c r="AB269" s="568">
        <f t="shared" si="50"/>
        <v>240</v>
      </c>
      <c r="AC269" s="493">
        <f>IFERROR(INDEX('[2]CN BC'!$M$10:$M$276,MATCH(B269,'[2]CN BC'!$H$10:$H$276,0)),"")</f>
        <v>0</v>
      </c>
      <c r="AD269" s="141"/>
      <c r="AE269" s="108"/>
      <c r="AF269" s="108"/>
      <c r="AG269" s="155"/>
      <c r="AH269" s="108"/>
      <c r="AI269" s="108"/>
      <c r="AJ269" s="108"/>
      <c r="AK269" s="108"/>
      <c r="AL269" s="108"/>
      <c r="AM269" s="108"/>
    </row>
    <row r="270" spans="1:39" s="372" customFormat="1" ht="23.25" customHeight="1">
      <c r="A270" s="379">
        <f>_xlfn.AGGREGATE(4,7,A$29:A269)+1</f>
        <v>241</v>
      </c>
      <c r="B270" s="363" t="s">
        <v>1919</v>
      </c>
      <c r="C270" s="364" t="s">
        <v>755</v>
      </c>
      <c r="D270" s="434" t="s">
        <v>1814</v>
      </c>
      <c r="E270" s="423" t="s">
        <v>750</v>
      </c>
      <c r="F270" s="373">
        <v>3.66</v>
      </c>
      <c r="G270" s="367"/>
      <c r="H270" s="445">
        <f t="shared" si="52"/>
        <v>3.66</v>
      </c>
      <c r="I270" s="368"/>
      <c r="J270" s="368" t="str">
        <f>VLOOKUP(B270,TH!B264:J596,9,FALSE)</f>
        <v>Giảng viên khoa Động lực</v>
      </c>
      <c r="K270" s="369">
        <f t="shared" si="53"/>
        <v>3.66</v>
      </c>
      <c r="L270" s="362">
        <f t="shared" si="54"/>
        <v>6588000</v>
      </c>
      <c r="M270" s="366" t="str">
        <f>VLOOKUP(B270,'[1]Gui chi Quynh'!$B$11:$E$400,4,FALSE)</f>
        <v>A4</v>
      </c>
      <c r="N270" s="494">
        <f t="shared" si="44"/>
        <v>6588000</v>
      </c>
      <c r="O270" s="376">
        <v>21</v>
      </c>
      <c r="P270" s="440">
        <f>IFERROR(INDEX('[2]CN BC'!$J$10:$J$276,MATCH(B270,'[2]CN BC'!$H$10:$H$276,0)),"")</f>
        <v>21</v>
      </c>
      <c r="Q270" s="494">
        <f t="shared" si="48"/>
        <v>6588000</v>
      </c>
      <c r="R270" s="392"/>
      <c r="S270" s="362">
        <f t="shared" si="43"/>
        <v>0</v>
      </c>
      <c r="T270" s="370"/>
      <c r="U270" s="362">
        <f t="shared" si="51"/>
        <v>0</v>
      </c>
      <c r="V270" s="584">
        <f t="shared" si="45"/>
        <v>65880</v>
      </c>
      <c r="W270" s="584">
        <v>3801600.0000000009</v>
      </c>
      <c r="X270" s="371">
        <f t="shared" si="49"/>
        <v>10389600</v>
      </c>
      <c r="Y270" s="846">
        <f t="shared" si="46"/>
        <v>5.7720000000000002</v>
      </c>
      <c r="Z270" s="491">
        <v>1800000</v>
      </c>
      <c r="AA270" s="662">
        <f t="shared" si="47"/>
        <v>10389600</v>
      </c>
      <c r="AB270" s="568">
        <f t="shared" si="50"/>
        <v>241</v>
      </c>
      <c r="AC270" s="493">
        <f>IFERROR(INDEX('[2]CN BC'!$M$10:$M$276,MATCH(B270,'[2]CN BC'!$H$10:$H$276,0)),"")</f>
        <v>0</v>
      </c>
      <c r="AD270" s="141"/>
      <c r="AE270" s="108"/>
      <c r="AF270" s="108"/>
      <c r="AG270" s="155"/>
      <c r="AH270" s="108"/>
      <c r="AI270" s="108"/>
      <c r="AJ270" s="108"/>
      <c r="AK270" s="108"/>
      <c r="AL270" s="108"/>
      <c r="AM270" s="108"/>
    </row>
    <row r="271" spans="1:39" s="372" customFormat="1" ht="25.5" customHeight="1">
      <c r="A271" s="379">
        <f>_xlfn.AGGREGATE(4,7,A$29:A270)+1</f>
        <v>242</v>
      </c>
      <c r="B271" s="363" t="s">
        <v>1548</v>
      </c>
      <c r="C271" s="364" t="s">
        <v>889</v>
      </c>
      <c r="D271" s="434" t="s">
        <v>1815</v>
      </c>
      <c r="E271" s="423" t="s">
        <v>752</v>
      </c>
      <c r="F271" s="373">
        <v>3.66</v>
      </c>
      <c r="G271" s="367"/>
      <c r="H271" s="445">
        <f t="shared" si="52"/>
        <v>3.66</v>
      </c>
      <c r="I271" s="368"/>
      <c r="J271" s="368" t="str">
        <f>VLOOKUP(B271,TH!B265:J597,9,FALSE)</f>
        <v>Giảng viên khoa Động lực</v>
      </c>
      <c r="K271" s="369">
        <f t="shared" si="53"/>
        <v>3.66</v>
      </c>
      <c r="L271" s="362">
        <f t="shared" si="54"/>
        <v>6588000</v>
      </c>
      <c r="M271" s="366" t="str">
        <f>VLOOKUP(B271,'[1]Gui chi Quynh'!$B$11:$E$400,4,FALSE)</f>
        <v>A4</v>
      </c>
      <c r="N271" s="494">
        <f t="shared" si="44"/>
        <v>6588000</v>
      </c>
      <c r="O271" s="376">
        <v>21</v>
      </c>
      <c r="P271" s="440">
        <f>IFERROR(INDEX('[2]CN BC'!$J$10:$J$276,MATCH(B271,'[2]CN BC'!$H$10:$H$276,0)),"")</f>
        <v>21</v>
      </c>
      <c r="Q271" s="494">
        <f t="shared" si="48"/>
        <v>6588000</v>
      </c>
      <c r="R271" s="460"/>
      <c r="S271" s="362">
        <f t="shared" si="43"/>
        <v>0</v>
      </c>
      <c r="T271" s="370"/>
      <c r="U271" s="362">
        <f t="shared" si="51"/>
        <v>0</v>
      </c>
      <c r="V271" s="584">
        <f t="shared" si="45"/>
        <v>65880</v>
      </c>
      <c r="W271" s="584"/>
      <c r="X271" s="371">
        <f t="shared" si="49"/>
        <v>6588000</v>
      </c>
      <c r="Y271" s="846">
        <f t="shared" si="46"/>
        <v>3.66</v>
      </c>
      <c r="Z271" s="491">
        <v>1800000</v>
      </c>
      <c r="AA271" s="662">
        <f t="shared" si="47"/>
        <v>6588000</v>
      </c>
      <c r="AB271" s="568">
        <f t="shared" si="50"/>
        <v>242</v>
      </c>
      <c r="AC271" s="493">
        <f>IFERROR(INDEX('[2]CN BC'!$M$10:$M$276,MATCH(B271,'[2]CN BC'!$H$10:$H$276,0)),"")</f>
        <v>0</v>
      </c>
      <c r="AD271" s="536"/>
      <c r="AG271" s="487"/>
    </row>
    <row r="272" spans="1:39" s="372" customFormat="1" ht="25.5" customHeight="1">
      <c r="A272" s="379">
        <f>_xlfn.AGGREGATE(4,7,A$29:A271)+1</f>
        <v>243</v>
      </c>
      <c r="B272" s="363" t="s">
        <v>1549</v>
      </c>
      <c r="C272" s="364" t="s">
        <v>1428</v>
      </c>
      <c r="D272" s="434" t="s">
        <v>1816</v>
      </c>
      <c r="E272" s="422" t="s">
        <v>1429</v>
      </c>
      <c r="F272" s="463">
        <v>3.33</v>
      </c>
      <c r="G272" s="367"/>
      <c r="H272" s="445">
        <f t="shared" si="52"/>
        <v>3.33</v>
      </c>
      <c r="I272" s="368">
        <v>0.25</v>
      </c>
      <c r="J272" s="368" t="str">
        <f>VLOOKUP(B272,TH!B266:J598,9,FALSE)</f>
        <v>Giảng viên khoa Động lực</v>
      </c>
      <c r="K272" s="369">
        <f t="shared" si="53"/>
        <v>3.58</v>
      </c>
      <c r="L272" s="362">
        <f t="shared" si="54"/>
        <v>6444000</v>
      </c>
      <c r="M272" s="366" t="str">
        <f>VLOOKUP(B272,'[1]Gui chi Quynh'!$B$11:$E$400,4,FALSE)</f>
        <v>A3</v>
      </c>
      <c r="N272" s="494">
        <f t="shared" si="44"/>
        <v>7732800</v>
      </c>
      <c r="O272" s="376">
        <v>21</v>
      </c>
      <c r="P272" s="440">
        <f>IFERROR(INDEX('[2]CN BC'!$J$10:$J$276,MATCH(B272,'[2]CN BC'!$H$10:$H$276,0)),"")</f>
        <v>22</v>
      </c>
      <c r="Q272" s="494">
        <f t="shared" si="48"/>
        <v>7732800</v>
      </c>
      <c r="R272" s="460"/>
      <c r="S272" s="362">
        <f t="shared" si="43"/>
        <v>0</v>
      </c>
      <c r="T272" s="370"/>
      <c r="U272" s="362">
        <f t="shared" si="51"/>
        <v>0</v>
      </c>
      <c r="V272" s="584">
        <f t="shared" si="45"/>
        <v>64440</v>
      </c>
      <c r="W272" s="584"/>
      <c r="X272" s="371">
        <f t="shared" si="49"/>
        <v>7732800</v>
      </c>
      <c r="Y272" s="846">
        <f t="shared" si="46"/>
        <v>4.2960000000000003</v>
      </c>
      <c r="Z272" s="491">
        <v>1800000</v>
      </c>
      <c r="AA272" s="662">
        <f t="shared" si="47"/>
        <v>7732800.0000000009</v>
      </c>
      <c r="AB272" s="568">
        <f t="shared" si="50"/>
        <v>243</v>
      </c>
      <c r="AC272" s="493">
        <f>IFERROR(INDEX('[2]CN BC'!$M$10:$M$276,MATCH(B272,'[2]CN BC'!$H$10:$H$276,0)),"")</f>
        <v>0</v>
      </c>
      <c r="AD272" s="141"/>
      <c r="AE272" s="108"/>
      <c r="AF272" s="108"/>
      <c r="AG272" s="155"/>
      <c r="AH272" s="108"/>
      <c r="AI272" s="108"/>
      <c r="AJ272" s="108"/>
      <c r="AK272" s="108"/>
      <c r="AL272" s="108"/>
      <c r="AM272" s="108"/>
    </row>
    <row r="273" spans="1:39" s="372" customFormat="1" ht="25.5" customHeight="1">
      <c r="A273" s="379">
        <f>_xlfn.AGGREGATE(4,7,A$29:A272)+1</f>
        <v>244</v>
      </c>
      <c r="B273" s="363" t="s">
        <v>1550</v>
      </c>
      <c r="C273" s="364" t="s">
        <v>1428</v>
      </c>
      <c r="D273" s="434" t="s">
        <v>1817</v>
      </c>
      <c r="E273" s="422" t="s">
        <v>1430</v>
      </c>
      <c r="F273" s="463">
        <v>3.33</v>
      </c>
      <c r="G273" s="367"/>
      <c r="H273" s="445">
        <f t="shared" si="52"/>
        <v>3.33</v>
      </c>
      <c r="I273" s="368"/>
      <c r="J273" s="368" t="str">
        <f>VLOOKUP(B273,TH!B267:J599,9,FALSE)</f>
        <v>Giảng viên khoa Động lực</v>
      </c>
      <c r="K273" s="369">
        <f t="shared" si="53"/>
        <v>3.33</v>
      </c>
      <c r="L273" s="362">
        <f t="shared" si="54"/>
        <v>5994000</v>
      </c>
      <c r="M273" s="366" t="str">
        <f>VLOOKUP(B273,'[1]Gui chi Quynh'!$B$11:$E$400,4,FALSE)</f>
        <v>A4</v>
      </c>
      <c r="N273" s="494">
        <f t="shared" si="44"/>
        <v>5994000</v>
      </c>
      <c r="O273" s="376">
        <v>21</v>
      </c>
      <c r="P273" s="440">
        <f>IFERROR(INDEX('[2]CN BC'!$J$10:$J$276,MATCH(B273,'[2]CN BC'!$H$10:$H$276,0)),"")</f>
        <v>21</v>
      </c>
      <c r="Q273" s="494">
        <f t="shared" si="48"/>
        <v>5994000</v>
      </c>
      <c r="R273" s="392"/>
      <c r="S273" s="362">
        <f t="shared" si="43"/>
        <v>0</v>
      </c>
      <c r="T273" s="370"/>
      <c r="U273" s="362">
        <f t="shared" si="51"/>
        <v>0</v>
      </c>
      <c r="V273" s="584">
        <f t="shared" si="45"/>
        <v>59940</v>
      </c>
      <c r="W273" s="584"/>
      <c r="X273" s="371">
        <f t="shared" si="49"/>
        <v>5994000</v>
      </c>
      <c r="Y273" s="846">
        <f t="shared" si="46"/>
        <v>3.33</v>
      </c>
      <c r="Z273" s="491">
        <v>1800000</v>
      </c>
      <c r="AA273" s="662">
        <f t="shared" si="47"/>
        <v>5994000</v>
      </c>
      <c r="AB273" s="568">
        <f t="shared" si="50"/>
        <v>244</v>
      </c>
      <c r="AC273" s="493">
        <f>IFERROR(INDEX('[2]CN BC'!$M$10:$M$276,MATCH(B273,'[2]CN BC'!$H$10:$H$276,0)),"")</f>
        <v>0</v>
      </c>
      <c r="AD273" s="141"/>
      <c r="AE273" s="471"/>
      <c r="AF273" s="108"/>
      <c r="AG273" s="155"/>
      <c r="AH273" s="108"/>
      <c r="AI273" s="108"/>
      <c r="AJ273" s="108"/>
      <c r="AK273" s="108"/>
      <c r="AL273" s="108"/>
      <c r="AM273" s="108"/>
    </row>
    <row r="274" spans="1:39" s="372" customFormat="1" ht="25.5" customHeight="1">
      <c r="A274" s="379">
        <f>_xlfn.AGGREGATE(4,7,A$29:A273)+1</f>
        <v>245</v>
      </c>
      <c r="B274" s="363" t="s">
        <v>1836</v>
      </c>
      <c r="C274" s="364"/>
      <c r="D274" s="434" t="s">
        <v>1976</v>
      </c>
      <c r="E274" s="481" t="s">
        <v>1977</v>
      </c>
      <c r="F274" s="365">
        <v>2.67</v>
      </c>
      <c r="G274" s="367"/>
      <c r="H274" s="368">
        <f t="shared" si="52"/>
        <v>2.67</v>
      </c>
      <c r="I274" s="368"/>
      <c r="J274" s="368" t="str">
        <f>VLOOKUP(B274,TH!B268:J600,9,FALSE)</f>
        <v>Giảng viên khoa Động lực</v>
      </c>
      <c r="K274" s="369">
        <f t="shared" si="53"/>
        <v>2.67</v>
      </c>
      <c r="L274" s="362">
        <f t="shared" si="54"/>
        <v>4806000</v>
      </c>
      <c r="M274" s="366" t="str">
        <f>VLOOKUP(B274,'[1]Gui chi Quynh'!$B$11:$E$400,4,FALSE)</f>
        <v>A4</v>
      </c>
      <c r="N274" s="494">
        <f t="shared" si="44"/>
        <v>4806000</v>
      </c>
      <c r="O274" s="376">
        <v>21</v>
      </c>
      <c r="P274" s="440">
        <f>IFERROR(INDEX('[2]CN BC'!$J$10:$J$276,MATCH(B274,'[2]CN BC'!$H$10:$H$276,0)),"")</f>
        <v>21</v>
      </c>
      <c r="Q274" s="494">
        <f t="shared" si="48"/>
        <v>4806000</v>
      </c>
      <c r="R274" s="460"/>
      <c r="S274" s="362">
        <f t="shared" si="43"/>
        <v>0</v>
      </c>
      <c r="T274" s="370"/>
      <c r="U274" s="362">
        <f t="shared" si="51"/>
        <v>0</v>
      </c>
      <c r="V274" s="584">
        <f t="shared" si="45"/>
        <v>48060</v>
      </c>
      <c r="W274" s="584"/>
      <c r="X274" s="371">
        <f t="shared" si="49"/>
        <v>4806000</v>
      </c>
      <c r="Y274" s="846">
        <f t="shared" si="46"/>
        <v>2.67</v>
      </c>
      <c r="Z274" s="491">
        <v>1800000</v>
      </c>
      <c r="AA274" s="662">
        <f t="shared" si="47"/>
        <v>4806000</v>
      </c>
      <c r="AB274" s="568">
        <f t="shared" si="50"/>
        <v>245</v>
      </c>
      <c r="AC274" s="493">
        <f>IFERROR(INDEX('[2]CN BC'!$M$10:$M$276,MATCH(B274,'[2]CN BC'!$H$10:$H$276,0)),"")</f>
        <v>0</v>
      </c>
      <c r="AD274" s="141"/>
      <c r="AE274" s="471"/>
      <c r="AF274" s="108"/>
      <c r="AG274" s="155"/>
      <c r="AH274" s="108"/>
      <c r="AI274" s="108"/>
      <c r="AJ274" s="108"/>
      <c r="AK274" s="108"/>
      <c r="AL274" s="108"/>
      <c r="AM274" s="108"/>
    </row>
    <row r="275" spans="1:39" s="372" customFormat="1" ht="25.5" customHeight="1">
      <c r="A275" s="379">
        <f>_xlfn.AGGREGATE(4,7,A$29:A274)+1</f>
        <v>246</v>
      </c>
      <c r="B275" s="363" t="s">
        <v>1837</v>
      </c>
      <c r="C275" s="364"/>
      <c r="D275" s="434" t="s">
        <v>1978</v>
      </c>
      <c r="E275" s="481" t="s">
        <v>1979</v>
      </c>
      <c r="F275" s="365">
        <v>2.67</v>
      </c>
      <c r="G275" s="367"/>
      <c r="H275" s="368">
        <f t="shared" si="52"/>
        <v>2.67</v>
      </c>
      <c r="I275" s="368"/>
      <c r="J275" s="368" t="str">
        <f>VLOOKUP(B275,TH!B269:J601,9,FALSE)</f>
        <v>Giảng viên khoa Động lực</v>
      </c>
      <c r="K275" s="369">
        <f t="shared" si="53"/>
        <v>2.67</v>
      </c>
      <c r="L275" s="362">
        <f t="shared" si="54"/>
        <v>4806000</v>
      </c>
      <c r="M275" s="366" t="str">
        <f>VLOOKUP(B275,'[1]Gui chi Quynh'!$B$11:$E$400,4,FALSE)</f>
        <v>A3</v>
      </c>
      <c r="N275" s="494">
        <f t="shared" si="44"/>
        <v>5767200</v>
      </c>
      <c r="O275" s="376">
        <v>21</v>
      </c>
      <c r="P275" s="440">
        <f>IFERROR(INDEX('[2]CN BC'!$J$10:$J$276,MATCH(B275,'[2]CN BC'!$H$10:$H$276,0)),"")</f>
        <v>22</v>
      </c>
      <c r="Q275" s="494">
        <f t="shared" si="48"/>
        <v>5767200</v>
      </c>
      <c r="R275" s="392"/>
      <c r="S275" s="362">
        <f t="shared" si="43"/>
        <v>0</v>
      </c>
      <c r="T275" s="370"/>
      <c r="U275" s="362">
        <f t="shared" si="51"/>
        <v>0</v>
      </c>
      <c r="V275" s="584">
        <f t="shared" si="45"/>
        <v>48060</v>
      </c>
      <c r="W275" s="584"/>
      <c r="X275" s="371">
        <f t="shared" si="49"/>
        <v>5767200</v>
      </c>
      <c r="Y275" s="846">
        <f t="shared" si="46"/>
        <v>3.2040000000000002</v>
      </c>
      <c r="Z275" s="491">
        <v>1800000</v>
      </c>
      <c r="AA275" s="662">
        <f t="shared" si="47"/>
        <v>5767200</v>
      </c>
      <c r="AB275" s="568">
        <f t="shared" si="50"/>
        <v>246</v>
      </c>
      <c r="AC275" s="493">
        <f>IFERROR(INDEX('[2]CN BC'!$M$10:$M$276,MATCH(B275,'[2]CN BC'!$H$10:$H$276,0)),"")</f>
        <v>0</v>
      </c>
      <c r="AD275" s="141"/>
      <c r="AE275" s="471"/>
      <c r="AF275" s="108"/>
      <c r="AG275" s="155"/>
      <c r="AH275" s="108"/>
      <c r="AI275" s="108"/>
      <c r="AJ275" s="108"/>
      <c r="AK275" s="108"/>
      <c r="AL275" s="108"/>
      <c r="AM275" s="108"/>
    </row>
    <row r="276" spans="1:39" s="372" customFormat="1" ht="25.5" customHeight="1">
      <c r="A276" s="379">
        <f>_xlfn.AGGREGATE(4,7,A$29:A275)+1</f>
        <v>247</v>
      </c>
      <c r="B276" s="390" t="s">
        <v>1839</v>
      </c>
      <c r="C276" s="364"/>
      <c r="D276" s="434" t="s">
        <v>1980</v>
      </c>
      <c r="E276" s="481" t="s">
        <v>1981</v>
      </c>
      <c r="F276" s="463">
        <v>3</v>
      </c>
      <c r="G276" s="367"/>
      <c r="H276" s="368">
        <f t="shared" si="52"/>
        <v>3</v>
      </c>
      <c r="I276" s="368"/>
      <c r="J276" s="368" t="str">
        <f>VLOOKUP(B276,TH!B270:J602,9,FALSE)</f>
        <v>Giảng viên khoa Động lực</v>
      </c>
      <c r="K276" s="369">
        <f t="shared" si="53"/>
        <v>3</v>
      </c>
      <c r="L276" s="362">
        <f t="shared" si="54"/>
        <v>5400000</v>
      </c>
      <c r="M276" s="366" t="str">
        <f>VLOOKUP(B276,'[1]Gui chi Quynh'!$B$11:$E$400,4,FALSE)</f>
        <v>A3</v>
      </c>
      <c r="N276" s="494">
        <f t="shared" si="44"/>
        <v>6480000</v>
      </c>
      <c r="O276" s="376">
        <v>21</v>
      </c>
      <c r="P276" s="440">
        <f>IFERROR(INDEX('[2]CN BC'!$J$10:$J$276,MATCH(B276,'[2]CN BC'!$H$10:$H$276,0)),"")</f>
        <v>24</v>
      </c>
      <c r="Q276" s="494">
        <f t="shared" si="48"/>
        <v>6480000</v>
      </c>
      <c r="R276" s="392"/>
      <c r="S276" s="362">
        <f t="shared" si="43"/>
        <v>0</v>
      </c>
      <c r="T276" s="370"/>
      <c r="U276" s="362">
        <f t="shared" si="51"/>
        <v>0</v>
      </c>
      <c r="V276" s="584">
        <f t="shared" si="45"/>
        <v>54000</v>
      </c>
      <c r="W276" s="584"/>
      <c r="X276" s="371">
        <f t="shared" si="49"/>
        <v>6480000</v>
      </c>
      <c r="Y276" s="846">
        <f t="shared" si="46"/>
        <v>3.6</v>
      </c>
      <c r="Z276" s="491">
        <v>1800000</v>
      </c>
      <c r="AA276" s="662">
        <f t="shared" si="47"/>
        <v>6480000</v>
      </c>
      <c r="AB276" s="568">
        <f t="shared" si="50"/>
        <v>247</v>
      </c>
      <c r="AC276" s="493">
        <f>IFERROR(INDEX('[2]CN BC'!$M$10:$M$276,MATCH(B276,'[2]CN BC'!$H$10:$H$276,0)),"")</f>
        <v>0</v>
      </c>
      <c r="AD276" s="141"/>
      <c r="AE276" s="471"/>
      <c r="AF276" s="108"/>
      <c r="AG276" s="155"/>
      <c r="AH276" s="108"/>
      <c r="AI276" s="108"/>
      <c r="AJ276" s="108"/>
      <c r="AK276" s="108"/>
      <c r="AL276" s="108"/>
      <c r="AM276" s="108"/>
    </row>
    <row r="277" spans="1:39" s="372" customFormat="1" ht="25.5" customHeight="1">
      <c r="A277" s="379">
        <f>_xlfn.AGGREGATE(4,7,A$29:A276)+1</f>
        <v>248</v>
      </c>
      <c r="B277" s="390" t="s">
        <v>1844</v>
      </c>
      <c r="C277" s="364"/>
      <c r="D277" s="434" t="s">
        <v>1982</v>
      </c>
      <c r="E277" s="481" t="s">
        <v>1983</v>
      </c>
      <c r="F277" s="463">
        <v>3.66</v>
      </c>
      <c r="G277" s="367"/>
      <c r="H277" s="368">
        <f t="shared" si="52"/>
        <v>3.66</v>
      </c>
      <c r="I277" s="368"/>
      <c r="J277" s="368" t="str">
        <f>VLOOKUP(B277,TH!B271:J603,9,FALSE)</f>
        <v>Giảng viên khoa Động lực</v>
      </c>
      <c r="K277" s="369">
        <f t="shared" si="53"/>
        <v>3.66</v>
      </c>
      <c r="L277" s="362">
        <f t="shared" si="54"/>
        <v>6588000</v>
      </c>
      <c r="M277" s="366" t="str">
        <f>VLOOKUP(B277,'[1]Gui chi Quynh'!$B$11:$E$400,4,FALSE)</f>
        <v>A2</v>
      </c>
      <c r="N277" s="494">
        <f t="shared" si="44"/>
        <v>9223200</v>
      </c>
      <c r="O277" s="376">
        <v>21</v>
      </c>
      <c r="P277" s="440">
        <f>IFERROR(INDEX('[2]CN BC'!$J$10:$J$276,MATCH(B277,'[2]CN BC'!$H$10:$H$276,0)),"")</f>
        <v>26</v>
      </c>
      <c r="Q277" s="494">
        <f t="shared" si="48"/>
        <v>9223200</v>
      </c>
      <c r="R277" s="460"/>
      <c r="S277" s="362">
        <f t="shared" ref="S277:S296" si="55">R277*$G$26*1</f>
        <v>0</v>
      </c>
      <c r="T277" s="370"/>
      <c r="U277" s="362">
        <f t="shared" si="51"/>
        <v>0</v>
      </c>
      <c r="V277" s="584">
        <f t="shared" si="45"/>
        <v>65880</v>
      </c>
      <c r="W277" s="584"/>
      <c r="X277" s="371">
        <f t="shared" si="49"/>
        <v>9223200</v>
      </c>
      <c r="Y277" s="846">
        <f t="shared" si="46"/>
        <v>5.1239999999999997</v>
      </c>
      <c r="Z277" s="491">
        <v>1800000</v>
      </c>
      <c r="AA277" s="662">
        <f t="shared" si="47"/>
        <v>9223200</v>
      </c>
      <c r="AB277" s="568">
        <f t="shared" si="50"/>
        <v>248</v>
      </c>
      <c r="AC277" s="493">
        <f>IFERROR(INDEX('[2]CN BC'!$M$10:$M$276,MATCH(B277,'[2]CN BC'!$H$10:$H$276,0)),"")</f>
        <v>0</v>
      </c>
      <c r="AD277" s="141"/>
      <c r="AE277" s="471"/>
      <c r="AF277" s="108"/>
      <c r="AG277" s="155"/>
      <c r="AH277" s="108"/>
      <c r="AI277" s="108"/>
      <c r="AJ277" s="108"/>
      <c r="AK277" s="108"/>
      <c r="AL277" s="108"/>
      <c r="AM277" s="108"/>
    </row>
    <row r="278" spans="1:39" s="372" customFormat="1" ht="24" customHeight="1">
      <c r="A278" s="379">
        <f>_xlfn.AGGREGATE(4,7,A$29:A277)+1</f>
        <v>249</v>
      </c>
      <c r="B278" s="390" t="s">
        <v>1926</v>
      </c>
      <c r="C278" s="364"/>
      <c r="D278" s="434" t="s">
        <v>1984</v>
      </c>
      <c r="E278" s="477" t="s">
        <v>1985</v>
      </c>
      <c r="F278" s="473">
        <v>2.34</v>
      </c>
      <c r="G278" s="367"/>
      <c r="H278" s="368">
        <f t="shared" si="52"/>
        <v>2.34</v>
      </c>
      <c r="I278" s="368"/>
      <c r="J278" s="368" t="str">
        <f>VLOOKUP(B278,TH!B272:J604,9,FALSE)</f>
        <v>Giảng viên khoa Động lực</v>
      </c>
      <c r="K278" s="369">
        <f t="shared" si="53"/>
        <v>2.34</v>
      </c>
      <c r="L278" s="362">
        <f t="shared" si="54"/>
        <v>4212000</v>
      </c>
      <c r="M278" s="366" t="str">
        <f>VLOOKUP(B278,'[1]Gui chi Quynh'!$B$11:$E$400,4,FALSE)</f>
        <v>A4</v>
      </c>
      <c r="N278" s="494">
        <f t="shared" si="44"/>
        <v>4212000</v>
      </c>
      <c r="O278" s="376">
        <v>21</v>
      </c>
      <c r="P278" s="440">
        <f>IFERROR(INDEX('[2]CN BC'!$J$10:$J$276,MATCH(B278,'[2]CN BC'!$H$10:$H$276,0)),"")</f>
        <v>22</v>
      </c>
      <c r="Q278" s="494">
        <f t="shared" si="48"/>
        <v>4212000</v>
      </c>
      <c r="R278" s="460"/>
      <c r="S278" s="362">
        <f t="shared" si="55"/>
        <v>0</v>
      </c>
      <c r="T278" s="370"/>
      <c r="U278" s="362">
        <f t="shared" si="51"/>
        <v>0</v>
      </c>
      <c r="V278" s="584">
        <f t="shared" si="45"/>
        <v>42120</v>
      </c>
      <c r="W278" s="584"/>
      <c r="X278" s="371">
        <f t="shared" si="49"/>
        <v>4212000</v>
      </c>
      <c r="Y278" s="846">
        <f t="shared" si="46"/>
        <v>2.34</v>
      </c>
      <c r="Z278" s="491">
        <v>1800000</v>
      </c>
      <c r="AA278" s="662">
        <f t="shared" si="47"/>
        <v>4212000</v>
      </c>
      <c r="AB278" s="568">
        <f t="shared" si="50"/>
        <v>249</v>
      </c>
      <c r="AC278" s="493">
        <f>IFERROR(INDEX('[2]CN BC'!$M$10:$M$276,MATCH(B278,'[2]CN BC'!$H$10:$H$276,0)),"")</f>
        <v>0</v>
      </c>
      <c r="AD278" s="141"/>
      <c r="AE278" s="471"/>
      <c r="AF278" s="108"/>
      <c r="AG278" s="155"/>
      <c r="AH278" s="108"/>
      <c r="AI278" s="108"/>
      <c r="AJ278" s="108"/>
      <c r="AK278" s="108"/>
      <c r="AL278" s="108"/>
      <c r="AM278" s="108"/>
    </row>
    <row r="279" spans="1:39" s="372" customFormat="1" ht="24.75" customHeight="1">
      <c r="A279" s="379">
        <f>_xlfn.AGGREGATE(4,7,A$29:A278)+1</f>
        <v>250</v>
      </c>
      <c r="B279" s="836" t="s">
        <v>1927</v>
      </c>
      <c r="C279" s="552"/>
      <c r="D279" s="564" t="s">
        <v>1986</v>
      </c>
      <c r="E279" s="837" t="s">
        <v>1987</v>
      </c>
      <c r="F279" s="838">
        <v>2.34</v>
      </c>
      <c r="G279" s="553"/>
      <c r="H279" s="554">
        <f t="shared" si="52"/>
        <v>2.34</v>
      </c>
      <c r="I279" s="554"/>
      <c r="J279" s="368" t="str">
        <f>VLOOKUP(B279,TH!B273:J605,9,FALSE)</f>
        <v>Giảng viên khoa Động lực</v>
      </c>
      <c r="K279" s="555">
        <f t="shared" si="53"/>
        <v>2.34</v>
      </c>
      <c r="L279" s="556">
        <f t="shared" si="54"/>
        <v>4212000</v>
      </c>
      <c r="M279" s="557" t="str">
        <f>VLOOKUP(B279,'[1]Gui chi Quynh'!$B$11:$E$400,4,FALSE)</f>
        <v>B1</v>
      </c>
      <c r="N279" s="558">
        <f t="shared" si="44"/>
        <v>2948400</v>
      </c>
      <c r="O279" s="655">
        <v>21</v>
      </c>
      <c r="P279" s="559">
        <f>IFERROR(INDEX('[2]CN BC'!$J$10:$J$276,MATCH(B279,'[2]CN BC'!$H$10:$H$276,0)),"")</f>
        <v>21</v>
      </c>
      <c r="Q279" s="558">
        <f t="shared" si="48"/>
        <v>2948400</v>
      </c>
      <c r="R279" s="560"/>
      <c r="S279" s="556">
        <f t="shared" si="55"/>
        <v>0</v>
      </c>
      <c r="T279" s="561"/>
      <c r="U279" s="556">
        <f t="shared" si="51"/>
        <v>0</v>
      </c>
      <c r="V279" s="556">
        <f t="shared" si="45"/>
        <v>42120</v>
      </c>
      <c r="W279" s="556"/>
      <c r="X279" s="371">
        <f t="shared" si="49"/>
        <v>2948400</v>
      </c>
      <c r="Y279" s="846">
        <f t="shared" si="46"/>
        <v>1.6379999999999999</v>
      </c>
      <c r="Z279" s="491">
        <v>1800000</v>
      </c>
      <c r="AA279" s="662">
        <f t="shared" si="47"/>
        <v>2948400</v>
      </c>
      <c r="AB279" s="568">
        <f t="shared" si="50"/>
        <v>250</v>
      </c>
      <c r="AC279" s="562" t="s">
        <v>2194</v>
      </c>
      <c r="AD279" s="536"/>
      <c r="AE279" s="541"/>
      <c r="AG279" s="487"/>
    </row>
    <row r="280" spans="1:39" s="372" customFormat="1" ht="24" customHeight="1">
      <c r="A280" s="379">
        <f>_xlfn.AGGREGATE(4,7,A$29:A279)+1</f>
        <v>251</v>
      </c>
      <c r="B280" s="390" t="s">
        <v>1941</v>
      </c>
      <c r="C280" s="364"/>
      <c r="D280" s="434" t="s">
        <v>1989</v>
      </c>
      <c r="E280" s="477" t="s">
        <v>1988</v>
      </c>
      <c r="F280" s="473">
        <v>2.34</v>
      </c>
      <c r="G280" s="367"/>
      <c r="H280" s="368">
        <f t="shared" si="52"/>
        <v>2.34</v>
      </c>
      <c r="I280" s="368"/>
      <c r="J280" s="368" t="str">
        <f>VLOOKUP(B280,TH!B274:J606,9,FALSE)</f>
        <v>Giảng viên khoa Động lực</v>
      </c>
      <c r="K280" s="369">
        <f t="shared" si="53"/>
        <v>2.34</v>
      </c>
      <c r="L280" s="362">
        <f t="shared" si="54"/>
        <v>4212000</v>
      </c>
      <c r="M280" s="366" t="str">
        <f>VLOOKUP(B280,'[1]Gui chi Quynh'!$B$11:$E$400,4,FALSE)</f>
        <v>A4</v>
      </c>
      <c r="N280" s="494">
        <f t="shared" si="44"/>
        <v>4212000</v>
      </c>
      <c r="O280" s="376">
        <v>21</v>
      </c>
      <c r="P280" s="440">
        <f>IFERROR(INDEX('[2]CN BC'!$J$10:$J$276,MATCH(B280,'[2]CN BC'!$H$10:$H$276,0)),"")</f>
        <v>24</v>
      </c>
      <c r="Q280" s="494">
        <f t="shared" si="48"/>
        <v>4212000</v>
      </c>
      <c r="R280" s="460"/>
      <c r="S280" s="362">
        <f t="shared" si="55"/>
        <v>0</v>
      </c>
      <c r="T280" s="370"/>
      <c r="U280" s="362">
        <f t="shared" si="51"/>
        <v>0</v>
      </c>
      <c r="V280" s="584">
        <f t="shared" si="45"/>
        <v>42120</v>
      </c>
      <c r="W280" s="584"/>
      <c r="X280" s="371">
        <f t="shared" si="49"/>
        <v>4212000</v>
      </c>
      <c r="Y280" s="846">
        <f t="shared" si="46"/>
        <v>2.34</v>
      </c>
      <c r="Z280" s="491">
        <v>1800000</v>
      </c>
      <c r="AA280" s="662">
        <f t="shared" si="47"/>
        <v>4212000</v>
      </c>
      <c r="AB280" s="568">
        <f t="shared" si="50"/>
        <v>251</v>
      </c>
      <c r="AC280" s="493">
        <f>IFERROR(INDEX('[2]CN BC'!$M$10:$M$276,MATCH(B280,'[2]CN BC'!$H$10:$H$276,0)),"")</f>
        <v>0</v>
      </c>
      <c r="AD280" s="141"/>
      <c r="AE280" s="471"/>
      <c r="AF280" s="108"/>
      <c r="AG280" s="155"/>
      <c r="AH280" s="108"/>
      <c r="AI280" s="108"/>
      <c r="AJ280" s="108"/>
      <c r="AK280" s="108"/>
      <c r="AL280" s="108"/>
      <c r="AM280" s="108"/>
    </row>
    <row r="281" spans="1:39" s="372" customFormat="1" ht="24" customHeight="1">
      <c r="A281" s="379">
        <f>_xlfn.AGGREGATE(4,7,A$29:A280)+1</f>
        <v>252</v>
      </c>
      <c r="B281" s="390" t="s">
        <v>1942</v>
      </c>
      <c r="C281" s="364"/>
      <c r="D281" s="434" t="s">
        <v>1990</v>
      </c>
      <c r="E281" s="422"/>
      <c r="F281" s="473">
        <v>2.34</v>
      </c>
      <c r="G281" s="367"/>
      <c r="H281" s="368">
        <f t="shared" si="52"/>
        <v>2.34</v>
      </c>
      <c r="I281" s="368"/>
      <c r="J281" s="368" t="str">
        <f>VLOOKUP(B281,TH!B275:J607,9,FALSE)</f>
        <v>Giảng viên khoa Động lực</v>
      </c>
      <c r="K281" s="369">
        <f t="shared" si="53"/>
        <v>2.34</v>
      </c>
      <c r="L281" s="362">
        <f t="shared" si="54"/>
        <v>4212000</v>
      </c>
      <c r="M281" s="366" t="str">
        <f>VLOOKUP(B281,'[1]Gui chi Quynh'!$B$11:$E$400,4,FALSE)</f>
        <v>A4</v>
      </c>
      <c r="N281" s="494">
        <f t="shared" si="44"/>
        <v>4212000</v>
      </c>
      <c r="O281" s="376">
        <v>21</v>
      </c>
      <c r="P281" s="440">
        <f>IFERROR(INDEX('[2]CN BC'!$J$10:$J$276,MATCH(B281,'[2]CN BC'!$H$10:$H$276,0)),"")</f>
        <v>21</v>
      </c>
      <c r="Q281" s="494">
        <f t="shared" si="48"/>
        <v>4212000</v>
      </c>
      <c r="R281" s="460"/>
      <c r="S281" s="362">
        <f t="shared" si="55"/>
        <v>0</v>
      </c>
      <c r="T281" s="370"/>
      <c r="U281" s="362">
        <f t="shared" si="51"/>
        <v>0</v>
      </c>
      <c r="V281" s="584">
        <f t="shared" si="45"/>
        <v>42120</v>
      </c>
      <c r="W281" s="584"/>
      <c r="X281" s="371">
        <f t="shared" si="49"/>
        <v>4212000</v>
      </c>
      <c r="Y281" s="846">
        <f t="shared" si="46"/>
        <v>2.34</v>
      </c>
      <c r="Z281" s="491">
        <v>1800000</v>
      </c>
      <c r="AA281" s="662">
        <f t="shared" si="47"/>
        <v>4212000</v>
      </c>
      <c r="AB281" s="568">
        <f t="shared" si="50"/>
        <v>252</v>
      </c>
      <c r="AC281" s="493">
        <f>IFERROR(INDEX('[2]CN BC'!$M$10:$M$276,MATCH(B281,'[2]CN BC'!$H$10:$H$276,0)),"")</f>
        <v>0</v>
      </c>
      <c r="AD281" s="141"/>
      <c r="AE281" s="471"/>
      <c r="AF281" s="108"/>
      <c r="AG281" s="155"/>
      <c r="AH281" s="108"/>
      <c r="AI281" s="108"/>
      <c r="AJ281" s="108"/>
      <c r="AK281" s="108"/>
      <c r="AL281" s="108"/>
      <c r="AM281" s="108"/>
    </row>
    <row r="282" spans="1:39" s="372" customFormat="1" ht="24" customHeight="1">
      <c r="A282" s="379">
        <f>_xlfn.AGGREGATE(4,7,A$29:A281)+1</f>
        <v>253</v>
      </c>
      <c r="B282" s="390" t="s">
        <v>1945</v>
      </c>
      <c r="C282" s="364"/>
      <c r="D282" s="379" t="s">
        <v>1948</v>
      </c>
      <c r="E282" s="422" t="s">
        <v>1949</v>
      </c>
      <c r="F282" s="473">
        <v>3.66</v>
      </c>
      <c r="G282" s="367"/>
      <c r="H282" s="445">
        <f t="shared" si="52"/>
        <v>3.66</v>
      </c>
      <c r="I282" s="368"/>
      <c r="J282" s="368" t="str">
        <f>VLOOKUP(B282,TH!B276:J608,9,FALSE)</f>
        <v>Giảng viên khoa Động lực</v>
      </c>
      <c r="K282" s="369">
        <f t="shared" si="53"/>
        <v>3.66</v>
      </c>
      <c r="L282" s="362">
        <f t="shared" si="54"/>
        <v>6588000</v>
      </c>
      <c r="M282" s="366" t="str">
        <f>VLOOKUP(B282,'[1]Gui chi Quynh'!$B$11:$E$400,4,FALSE)</f>
        <v>A4</v>
      </c>
      <c r="N282" s="494">
        <f t="shared" si="44"/>
        <v>6588000</v>
      </c>
      <c r="O282" s="376">
        <v>21</v>
      </c>
      <c r="P282" s="440">
        <f>IFERROR(INDEX('[2]CN BC'!$J$10:$J$276,MATCH(B282,'[2]CN BC'!$H$10:$H$276,0)),"")</f>
        <v>21</v>
      </c>
      <c r="Q282" s="494">
        <f t="shared" si="48"/>
        <v>6588000</v>
      </c>
      <c r="R282" s="460"/>
      <c r="S282" s="362">
        <f t="shared" si="55"/>
        <v>0</v>
      </c>
      <c r="T282" s="370"/>
      <c r="U282" s="362">
        <f t="shared" si="51"/>
        <v>0</v>
      </c>
      <c r="V282" s="584">
        <f t="shared" si="45"/>
        <v>65880</v>
      </c>
      <c r="W282" s="584">
        <v>4395600.0000000009</v>
      </c>
      <c r="X282" s="371">
        <f t="shared" si="49"/>
        <v>10983600</v>
      </c>
      <c r="Y282" s="846">
        <f t="shared" si="46"/>
        <v>6.1020000000000003</v>
      </c>
      <c r="Z282" s="491">
        <v>1800000</v>
      </c>
      <c r="AA282" s="662">
        <f t="shared" si="47"/>
        <v>10983600</v>
      </c>
      <c r="AB282" s="568">
        <f t="shared" si="50"/>
        <v>253</v>
      </c>
      <c r="AC282" s="493">
        <f>IFERROR(INDEX('[2]CN BC'!$M$10:$M$276,MATCH(B282,'[2]CN BC'!$H$10:$H$276,0)),"")</f>
        <v>0</v>
      </c>
      <c r="AD282" s="141"/>
      <c r="AE282" s="471"/>
      <c r="AF282" s="108"/>
      <c r="AG282" s="487"/>
    </row>
    <row r="283" spans="1:39" s="372" customFormat="1" ht="24" customHeight="1">
      <c r="A283" s="379">
        <f>_xlfn.AGGREGATE(4,7,A$29:A282)+1</f>
        <v>254</v>
      </c>
      <c r="B283" s="390" t="s">
        <v>2003</v>
      </c>
      <c r="C283" s="364"/>
      <c r="D283" s="379"/>
      <c r="E283" s="422"/>
      <c r="F283" s="463">
        <v>3.33</v>
      </c>
      <c r="G283" s="367"/>
      <c r="H283" s="445">
        <f t="shared" si="52"/>
        <v>3.33</v>
      </c>
      <c r="I283" s="368"/>
      <c r="J283" s="368" t="str">
        <f>VLOOKUP(B283,TH!B277:J609,9,FALSE)</f>
        <v>Giảng viên khoa Động lực</v>
      </c>
      <c r="K283" s="369">
        <f t="shared" si="53"/>
        <v>3.33</v>
      </c>
      <c r="L283" s="362">
        <f t="shared" si="54"/>
        <v>5994000</v>
      </c>
      <c r="M283" s="366" t="str">
        <f>VLOOKUP(B283,'[1]Gui chi Quynh'!$B$11:$E$400,4,FALSE)</f>
        <v>A3</v>
      </c>
      <c r="N283" s="494">
        <f t="shared" ref="N283:N296" si="56">IF(M283="A1",L283*1.6,IF(M283="A2",L283*1.4,IF(M283="A3",L283*1.2,IF(M283="A4",L283*1,IF(M283="B1",L283*0.7,IF(M283="B2",L283*0.5,IF(M283="C1",L283*0.3,IF(M283="C2",L283*0.2,0))))))))</f>
        <v>7192800</v>
      </c>
      <c r="O283" s="376">
        <v>21</v>
      </c>
      <c r="P283" s="440">
        <f>IFERROR(INDEX('[2]CN BC'!$J$10:$J$276,MATCH(B283,'[2]CN BC'!$H$10:$H$276,0)),"")</f>
        <v>22</v>
      </c>
      <c r="Q283" s="494">
        <f t="shared" si="48"/>
        <v>7192800</v>
      </c>
      <c r="R283" s="460"/>
      <c r="S283" s="362">
        <f t="shared" si="55"/>
        <v>0</v>
      </c>
      <c r="T283" s="370"/>
      <c r="U283" s="362">
        <f t="shared" si="51"/>
        <v>0</v>
      </c>
      <c r="V283" s="584">
        <f t="shared" si="45"/>
        <v>59940</v>
      </c>
      <c r="W283" s="584"/>
      <c r="X283" s="371">
        <f t="shared" si="49"/>
        <v>7192800</v>
      </c>
      <c r="Y283" s="846">
        <f t="shared" si="46"/>
        <v>3.996</v>
      </c>
      <c r="Z283" s="491">
        <v>1800000</v>
      </c>
      <c r="AA283" s="662">
        <f t="shared" si="47"/>
        <v>7192800</v>
      </c>
      <c r="AB283" s="568">
        <f t="shared" si="50"/>
        <v>254</v>
      </c>
      <c r="AC283" s="493">
        <f>IFERROR(INDEX('[2]CN BC'!$M$10:$M$276,MATCH(B283,'[2]CN BC'!$H$10:$H$276,0)),"")</f>
        <v>0</v>
      </c>
      <c r="AD283" s="141"/>
      <c r="AE283" s="471"/>
      <c r="AF283" s="108"/>
      <c r="AG283" s="487"/>
    </row>
    <row r="284" spans="1:39" s="372" customFormat="1" ht="24" customHeight="1">
      <c r="A284" s="379">
        <f>_xlfn.AGGREGATE(4,7,A$29:A283)+1</f>
        <v>255</v>
      </c>
      <c r="B284" s="390" t="s">
        <v>2010</v>
      </c>
      <c r="C284" s="364"/>
      <c r="D284" s="379"/>
      <c r="E284" s="422"/>
      <c r="F284" s="463">
        <v>1.9890000000000001</v>
      </c>
      <c r="G284" s="367"/>
      <c r="H284" s="445">
        <f t="shared" si="52"/>
        <v>1.9890000000000001</v>
      </c>
      <c r="I284" s="368"/>
      <c r="J284" s="368" t="str">
        <f>VLOOKUP(B284,TH!B278:J610,9,FALSE)</f>
        <v>Giảng viên khoa Động lực</v>
      </c>
      <c r="K284" s="369">
        <f t="shared" si="53"/>
        <v>1.9890000000000001</v>
      </c>
      <c r="L284" s="362">
        <f t="shared" si="54"/>
        <v>3580200</v>
      </c>
      <c r="M284" s="366" t="str">
        <f>VLOOKUP(B284,'[1]Gui chi Quynh'!$B$11:$E$400,4,FALSE)</f>
        <v>A4</v>
      </c>
      <c r="N284" s="494">
        <f t="shared" si="56"/>
        <v>3580200</v>
      </c>
      <c r="O284" s="376">
        <v>21</v>
      </c>
      <c r="P284" s="440">
        <f>IFERROR(INDEX('[2]CN BC'!$J$10:$J$276,MATCH(B284,'[2]CN BC'!$H$10:$H$276,0)),"")</f>
        <v>21</v>
      </c>
      <c r="Q284" s="494">
        <f t="shared" si="48"/>
        <v>3580200</v>
      </c>
      <c r="R284" s="460"/>
      <c r="S284" s="362">
        <f t="shared" si="55"/>
        <v>0</v>
      </c>
      <c r="T284" s="370"/>
      <c r="U284" s="362">
        <f t="shared" si="51"/>
        <v>0</v>
      </c>
      <c r="V284" s="584">
        <f t="shared" si="45"/>
        <v>35802</v>
      </c>
      <c r="W284" s="584"/>
      <c r="X284" s="371">
        <f t="shared" si="49"/>
        <v>3580200</v>
      </c>
      <c r="Y284" s="846">
        <f t="shared" ref="Y284:Y352" si="57">X284/Z284</f>
        <v>1.9890000000000001</v>
      </c>
      <c r="Z284" s="491">
        <v>1800000</v>
      </c>
      <c r="AA284" s="662">
        <f t="shared" ref="AA284:AA352" si="58">Y284*Z284</f>
        <v>3580200</v>
      </c>
      <c r="AB284" s="568">
        <f t="shared" si="50"/>
        <v>255</v>
      </c>
      <c r="AC284" s="493">
        <f>IFERROR(INDEX('[2]CN BC'!$M$10:$M$276,MATCH(B284,'[2]CN BC'!$H$10:$H$276,0)),"")</f>
        <v>0</v>
      </c>
      <c r="AD284" s="536"/>
      <c r="AE284" s="541"/>
      <c r="AG284" s="487"/>
    </row>
    <row r="285" spans="1:39" s="372" customFormat="1" ht="27" customHeight="1">
      <c r="A285" s="379">
        <f>_xlfn.AGGREGATE(4,7,A$29:A284)+1</f>
        <v>256</v>
      </c>
      <c r="B285" s="444" t="s">
        <v>1607</v>
      </c>
      <c r="C285" s="419" t="s">
        <v>1009</v>
      </c>
      <c r="D285" s="418" t="s">
        <v>1957</v>
      </c>
      <c r="E285" s="479">
        <v>1603215003961</v>
      </c>
      <c r="F285" s="373">
        <v>3.66</v>
      </c>
      <c r="G285" s="367"/>
      <c r="H285" s="445">
        <f>F285+(F285*G285)</f>
        <v>3.66</v>
      </c>
      <c r="I285" s="368">
        <v>0.45</v>
      </c>
      <c r="J285" s="368" t="s">
        <v>2203</v>
      </c>
      <c r="K285" s="369">
        <f>H285+I285</f>
        <v>4.1100000000000003</v>
      </c>
      <c r="L285" s="362">
        <f>K285*TH.T3!$G$26</f>
        <v>7398000.0000000009</v>
      </c>
      <c r="M285" s="366" t="str">
        <f>VLOOKUP(B285,'[1]Gui chi Quynh'!$B$11:$E$400,4,FALSE)</f>
        <v>A3</v>
      </c>
      <c r="N285" s="494">
        <f>IF(M285="A1",L285*1.6,IF(M285="A2",L285*1.4,IF(M285="A3",L285*1.2,IF(M285="A4",L285*1,IF(M285="B1",L285*0.7,IF(M285="B2",L285*0.5,IF(M285="C1",L285*0.3,IF(M285="C2",L285*0.2,0))))))))</f>
        <v>8877600</v>
      </c>
      <c r="O285" s="376">
        <v>21</v>
      </c>
      <c r="P285" s="440">
        <f>IFERROR(INDEX('[2]CN BC'!$J$10:$J$276,MATCH(B285,'[2]CN BC'!$H$10:$H$276,0)),"")</f>
        <v>21</v>
      </c>
      <c r="Q285" s="494">
        <f>IF(P285&gt;=O285,N285,N285/O285*P285)</f>
        <v>8877600</v>
      </c>
      <c r="R285" s="460"/>
      <c r="S285" s="362">
        <f>R285*$G$26*1</f>
        <v>0</v>
      </c>
      <c r="T285" s="370"/>
      <c r="U285" s="362">
        <f>T285*$G$26*1</f>
        <v>0</v>
      </c>
      <c r="V285" s="362">
        <f>IF(OR(M285="A DN",M285="KXL", M285=""),"0",ROUND(K285*0.01*$G$26+R285*1%*$G$26+T285*1%*$G$26,))</f>
        <v>73980</v>
      </c>
      <c r="W285" s="362"/>
      <c r="X285" s="371">
        <f t="shared" si="49"/>
        <v>8877600</v>
      </c>
      <c r="Y285" s="846">
        <f>X285/Z285</f>
        <v>4.9320000000000004</v>
      </c>
      <c r="Z285" s="491">
        <v>1800000</v>
      </c>
      <c r="AA285" s="662">
        <f>Y285*Z285</f>
        <v>8877600</v>
      </c>
      <c r="AB285" s="568">
        <f t="shared" si="50"/>
        <v>256</v>
      </c>
      <c r="AC285" s="493">
        <f>IFERROR(INDEX('[2]CN BC'!$M$10:$M$276,MATCH(B285,'[2]CN BC'!$H$10:$H$276,0)),"")</f>
        <v>0</v>
      </c>
      <c r="AD285" s="536"/>
      <c r="AG285" s="487"/>
    </row>
    <row r="286" spans="1:39" s="372" customFormat="1" ht="30.75" customHeight="1">
      <c r="A286" s="379">
        <f>_xlfn.AGGREGATE(4,7,A$29:A285)+1</f>
        <v>257</v>
      </c>
      <c r="B286" s="363" t="s">
        <v>1924</v>
      </c>
      <c r="C286" s="364"/>
      <c r="D286" s="434" t="s">
        <v>1958</v>
      </c>
      <c r="E286" s="480" t="s">
        <v>1935</v>
      </c>
      <c r="F286" s="366">
        <v>2.67</v>
      </c>
      <c r="G286" s="367"/>
      <c r="H286" s="445">
        <f>F286+(F286*G286)</f>
        <v>2.67</v>
      </c>
      <c r="I286" s="368"/>
      <c r="J286" s="368" t="s">
        <v>2201</v>
      </c>
      <c r="K286" s="369">
        <f>H286+I286</f>
        <v>2.67</v>
      </c>
      <c r="L286" s="362">
        <f>K286*$G$26</f>
        <v>4806000</v>
      </c>
      <c r="M286" s="366" t="str">
        <f>VLOOKUP(B286,'[1]Gui chi Quynh'!$B$11:$E$400,4,FALSE)</f>
        <v>A4</v>
      </c>
      <c r="N286" s="494">
        <f>IF(M286="A1",L286*1.6,IF(M286="A2",L286*1.4,IF(M286="A3",L286*1.2,IF(M286="A4",L286*1,IF(M286="B1",L286*0.7,IF(M286="B2",L286*0.5,IF(M286="C1",L286*0.3,IF(M286="C2",L286*0.2,0))))))))</f>
        <v>4806000</v>
      </c>
      <c r="O286" s="376">
        <v>21</v>
      </c>
      <c r="P286" s="440">
        <f>IFERROR(INDEX('[2]CN BC'!$J$10:$J$276,MATCH(B286,'[2]CN BC'!$H$10:$H$276,0)),"")</f>
        <v>21</v>
      </c>
      <c r="Q286" s="494">
        <f>IF(P286&gt;=O286,N286,N286/O286*P286)</f>
        <v>4806000</v>
      </c>
      <c r="R286" s="460"/>
      <c r="S286" s="362">
        <f>R286*$G$26*1</f>
        <v>0</v>
      </c>
      <c r="T286" s="370"/>
      <c r="U286" s="362">
        <f>T286*$G$26*1</f>
        <v>0</v>
      </c>
      <c r="V286" s="362">
        <f>IF(OR(M286="A DN",M286="KXL", M286=""),"0",ROUND(K286*0.01*$G$26+R286*1%*$G$26+T286*1%*$G$26,))</f>
        <v>48060</v>
      </c>
      <c r="W286" s="362"/>
      <c r="X286" s="371">
        <f t="shared" si="49"/>
        <v>4806000</v>
      </c>
      <c r="Y286" s="846">
        <f>X286/Z286</f>
        <v>2.67</v>
      </c>
      <c r="Z286" s="491">
        <v>1800000</v>
      </c>
      <c r="AA286" s="662">
        <f>Y286*Z286</f>
        <v>4806000</v>
      </c>
      <c r="AB286" s="568">
        <f t="shared" si="50"/>
        <v>257</v>
      </c>
      <c r="AC286" s="493">
        <f>IFERROR(INDEX('[2]CN BC'!$M$10:$M$276,MATCH(B286,'[2]CN BC'!$H$10:$H$276,0)),"")</f>
        <v>0</v>
      </c>
      <c r="AD286" s="536"/>
      <c r="AG286" s="487"/>
    </row>
    <row r="287" spans="1:39" s="372" customFormat="1" ht="30.75" customHeight="1">
      <c r="A287" s="379">
        <f>_xlfn.AGGREGATE(4,7,A$29:A286)+1</f>
        <v>258</v>
      </c>
      <c r="B287" s="363" t="s">
        <v>1944</v>
      </c>
      <c r="C287" s="364"/>
      <c r="D287" s="434" t="s">
        <v>1959</v>
      </c>
      <c r="E287" s="479"/>
      <c r="F287" s="366">
        <v>2.34</v>
      </c>
      <c r="G287" s="367"/>
      <c r="H287" s="445">
        <f>F287+(F287*G287)</f>
        <v>2.34</v>
      </c>
      <c r="I287" s="368"/>
      <c r="J287" s="368" t="s">
        <v>2201</v>
      </c>
      <c r="K287" s="369">
        <f>H287+I287</f>
        <v>2.34</v>
      </c>
      <c r="L287" s="362">
        <f>K287*$G$26</f>
        <v>4212000</v>
      </c>
      <c r="M287" s="366" t="str">
        <f>VLOOKUP(B287,'[1]Gui chi Quynh'!$B$11:$E$400,4,FALSE)</f>
        <v>A3</v>
      </c>
      <c r="N287" s="494">
        <f>IF(M287="A1",L287*1.6,IF(M287="A2",L287*1.4,IF(M287="A3",L287*1.2,IF(M287="A4",L287*1,IF(M287="B1",L287*0.7,IF(M287="B2",L287*0.5,IF(M287="C1",L287*0.3,IF(M287="C2",L287*0.2,0))))))))</f>
        <v>5054400</v>
      </c>
      <c r="O287" s="376">
        <v>21</v>
      </c>
      <c r="P287" s="440">
        <f>IFERROR(INDEX('[2]CN BC'!$J$10:$J$276,MATCH(B287,'[2]CN BC'!$H$10:$H$276,0)),"")</f>
        <v>21</v>
      </c>
      <c r="Q287" s="494">
        <f>IF(P287&gt;=O287,N287,N287/O287*P287)</f>
        <v>5054400</v>
      </c>
      <c r="R287" s="460"/>
      <c r="S287" s="362">
        <f>R287*$G$26*1</f>
        <v>0</v>
      </c>
      <c r="T287" s="370"/>
      <c r="U287" s="362">
        <f>T287*$G$26*1</f>
        <v>0</v>
      </c>
      <c r="V287" s="362">
        <f>IF(OR(M287="A DN",M287="KXL", M287=""),"0",ROUND(K287*0.01*$G$26+R287*1%*$G$26+T287*1%*$G$26,))</f>
        <v>42120</v>
      </c>
      <c r="W287" s="362"/>
      <c r="X287" s="371">
        <f t="shared" ref="X287:X296" si="59">(Q287+S287+U287)+W287</f>
        <v>5054400</v>
      </c>
      <c r="Y287" s="846">
        <f>X287/Z287</f>
        <v>2.8079999999999998</v>
      </c>
      <c r="Z287" s="491">
        <v>1800000</v>
      </c>
      <c r="AA287" s="662">
        <f>Y287*Z287</f>
        <v>5054400</v>
      </c>
      <c r="AB287" s="568">
        <f t="shared" ref="AB287:AB296" si="60">A287</f>
        <v>258</v>
      </c>
      <c r="AC287" s="493">
        <f>IFERROR(INDEX('[2]CN BC'!$M$10:$M$276,MATCH(B287,'[2]CN BC'!$H$10:$H$276,0)),"")</f>
        <v>0</v>
      </c>
      <c r="AD287" s="536"/>
      <c r="AG287" s="487"/>
    </row>
    <row r="288" spans="1:39" s="372" customFormat="1" ht="29.25" customHeight="1">
      <c r="A288" s="379">
        <f>_xlfn.AGGREGATE(4,7,A$29:A287)+1</f>
        <v>259</v>
      </c>
      <c r="B288" s="363" t="s">
        <v>1554</v>
      </c>
      <c r="C288" s="364" t="s">
        <v>1197</v>
      </c>
      <c r="D288" s="434" t="s">
        <v>1818</v>
      </c>
      <c r="E288" s="435" t="s">
        <v>1570</v>
      </c>
      <c r="F288" s="373">
        <v>3.66</v>
      </c>
      <c r="G288" s="367"/>
      <c r="H288" s="445">
        <f t="shared" si="52"/>
        <v>3.66</v>
      </c>
      <c r="I288" s="447">
        <v>0.45</v>
      </c>
      <c r="J288" s="368" t="s">
        <v>2201</v>
      </c>
      <c r="K288" s="369">
        <f t="shared" si="53"/>
        <v>4.1100000000000003</v>
      </c>
      <c r="L288" s="362">
        <f t="shared" si="54"/>
        <v>7398000.0000000009</v>
      </c>
      <c r="M288" s="366" t="str">
        <f>VLOOKUP(B288,'[1]Gui chi Quynh'!$B$11:$E$400,4,FALSE)</f>
        <v>A3</v>
      </c>
      <c r="N288" s="494">
        <f t="shared" si="56"/>
        <v>8877600</v>
      </c>
      <c r="O288" s="376">
        <v>21</v>
      </c>
      <c r="P288" s="440">
        <f>IFERROR(INDEX('[2]CN BC'!$J$10:$J$276,MATCH(B288,'[2]CN BC'!$H$10:$H$276,0)),"")</f>
        <v>21</v>
      </c>
      <c r="Q288" s="494">
        <f t="shared" si="48"/>
        <v>8877600</v>
      </c>
      <c r="R288" s="460"/>
      <c r="S288" s="362">
        <f t="shared" si="55"/>
        <v>0</v>
      </c>
      <c r="T288" s="370"/>
      <c r="U288" s="362">
        <f t="shared" si="51"/>
        <v>0</v>
      </c>
      <c r="V288" s="584">
        <f t="shared" si="45"/>
        <v>73980</v>
      </c>
      <c r="W288" s="584"/>
      <c r="X288" s="371">
        <f t="shared" si="59"/>
        <v>8877600</v>
      </c>
      <c r="Y288" s="846">
        <f t="shared" si="57"/>
        <v>4.9320000000000004</v>
      </c>
      <c r="Z288" s="491">
        <v>1800000</v>
      </c>
      <c r="AA288" s="662">
        <f t="shared" si="58"/>
        <v>8877600</v>
      </c>
      <c r="AB288" s="568">
        <f t="shared" si="60"/>
        <v>259</v>
      </c>
      <c r="AC288" s="493">
        <f>IFERROR(INDEX('[2]CN BC'!$M$10:$M$276,MATCH(B288,'[2]CN BC'!$H$10:$H$276,0)),"")</f>
        <v>0</v>
      </c>
      <c r="AD288" s="141"/>
      <c r="AE288" s="108"/>
      <c r="AF288" s="108"/>
      <c r="AG288" s="155"/>
      <c r="AH288" s="108"/>
      <c r="AI288" s="108"/>
      <c r="AJ288" s="108"/>
      <c r="AK288" s="108"/>
      <c r="AL288" s="108"/>
      <c r="AM288" s="108"/>
    </row>
    <row r="289" spans="1:53" s="372" customFormat="1" ht="29.25" customHeight="1">
      <c r="A289" s="379">
        <f>_xlfn.AGGREGATE(4,7,A$29:A288)+1</f>
        <v>260</v>
      </c>
      <c r="B289" s="363" t="s">
        <v>1920</v>
      </c>
      <c r="C289" s="364" t="s">
        <v>1051</v>
      </c>
      <c r="D289" s="434" t="s">
        <v>1819</v>
      </c>
      <c r="E289" s="423" t="s">
        <v>1414</v>
      </c>
      <c r="F289" s="366">
        <v>4.6500000000000004</v>
      </c>
      <c r="G289" s="367"/>
      <c r="H289" s="368">
        <f t="shared" si="52"/>
        <v>4.6500000000000004</v>
      </c>
      <c r="I289" s="472">
        <v>0.25</v>
      </c>
      <c r="J289" s="368" t="s">
        <v>2201</v>
      </c>
      <c r="K289" s="369">
        <f t="shared" si="53"/>
        <v>4.9000000000000004</v>
      </c>
      <c r="L289" s="362">
        <f t="shared" si="54"/>
        <v>8820000</v>
      </c>
      <c r="M289" s="366" t="str">
        <f>VLOOKUP(B289,'[1]Gui chi Quynh'!$B$11:$E$400,4,FALSE)</f>
        <v>A3</v>
      </c>
      <c r="N289" s="494">
        <f t="shared" si="56"/>
        <v>10584000</v>
      </c>
      <c r="O289" s="376">
        <v>21</v>
      </c>
      <c r="P289" s="440">
        <f>IFERROR(INDEX('[2]CN BC'!$J$10:$J$276,MATCH(B289,'[2]CN BC'!$H$10:$H$276,0)),"")</f>
        <v>21</v>
      </c>
      <c r="Q289" s="494">
        <f t="shared" si="48"/>
        <v>10584000</v>
      </c>
      <c r="R289" s="460"/>
      <c r="S289" s="362">
        <f t="shared" si="55"/>
        <v>0</v>
      </c>
      <c r="T289" s="370"/>
      <c r="U289" s="362">
        <f t="shared" si="51"/>
        <v>0</v>
      </c>
      <c r="V289" s="584">
        <f t="shared" si="45"/>
        <v>88200</v>
      </c>
      <c r="W289" s="584"/>
      <c r="X289" s="371">
        <f t="shared" si="59"/>
        <v>10584000</v>
      </c>
      <c r="Y289" s="846">
        <f t="shared" si="57"/>
        <v>5.88</v>
      </c>
      <c r="Z289" s="491">
        <v>1800000</v>
      </c>
      <c r="AA289" s="662">
        <f t="shared" si="58"/>
        <v>10584000</v>
      </c>
      <c r="AB289" s="568">
        <f t="shared" si="60"/>
        <v>260</v>
      </c>
      <c r="AC289" s="493">
        <f>IFERROR(INDEX('[2]CN BC'!$M$10:$M$276,MATCH(B289,'[2]CN BC'!$H$10:$H$276,0)),"")</f>
        <v>0</v>
      </c>
      <c r="AD289" s="141"/>
      <c r="AE289" s="108"/>
      <c r="AF289" s="108"/>
      <c r="AG289" s="155"/>
      <c r="AH289" s="108"/>
      <c r="AI289" s="108"/>
      <c r="AJ289" s="108"/>
      <c r="AK289" s="108"/>
      <c r="AL289" s="108"/>
      <c r="AM289" s="108"/>
    </row>
    <row r="290" spans="1:53" s="372" customFormat="1" ht="29.25" customHeight="1">
      <c r="A290" s="379">
        <f>_xlfn.AGGREGATE(4,7,A$29:A289)+1</f>
        <v>261</v>
      </c>
      <c r="B290" s="363" t="s">
        <v>1921</v>
      </c>
      <c r="C290" s="364" t="s">
        <v>1083</v>
      </c>
      <c r="D290" s="406" t="s">
        <v>1820</v>
      </c>
      <c r="E290" s="423" t="s">
        <v>1415</v>
      </c>
      <c r="F290" s="366">
        <v>4.6500000000000004</v>
      </c>
      <c r="G290" s="367"/>
      <c r="H290" s="368">
        <f t="shared" si="52"/>
        <v>4.6500000000000004</v>
      </c>
      <c r="I290" s="395">
        <v>0.25</v>
      </c>
      <c r="J290" s="368" t="s">
        <v>2201</v>
      </c>
      <c r="K290" s="369">
        <f t="shared" si="53"/>
        <v>4.9000000000000004</v>
      </c>
      <c r="L290" s="362">
        <f t="shared" si="54"/>
        <v>8820000</v>
      </c>
      <c r="M290" s="366" t="str">
        <f>VLOOKUP(B290,'[1]Gui chi Quynh'!$B$11:$E$400,4,FALSE)</f>
        <v>A4</v>
      </c>
      <c r="N290" s="494">
        <f t="shared" si="56"/>
        <v>8820000</v>
      </c>
      <c r="O290" s="376">
        <v>21</v>
      </c>
      <c r="P290" s="440">
        <f>IFERROR(INDEX('[2]CN BC'!$J$10:$J$276,MATCH(B290,'[2]CN BC'!$H$10:$H$276,0)),"")</f>
        <v>21</v>
      </c>
      <c r="Q290" s="494">
        <f t="shared" si="48"/>
        <v>8820000</v>
      </c>
      <c r="R290" s="392"/>
      <c r="S290" s="362">
        <f t="shared" si="55"/>
        <v>0</v>
      </c>
      <c r="T290" s="385"/>
      <c r="U290" s="362">
        <f t="shared" si="51"/>
        <v>0</v>
      </c>
      <c r="V290" s="584">
        <f t="shared" si="45"/>
        <v>88200</v>
      </c>
      <c r="W290" s="584"/>
      <c r="X290" s="371">
        <f t="shared" si="59"/>
        <v>8820000</v>
      </c>
      <c r="Y290" s="846">
        <f t="shared" si="57"/>
        <v>4.9000000000000004</v>
      </c>
      <c r="Z290" s="491">
        <v>1800000</v>
      </c>
      <c r="AA290" s="662">
        <f t="shared" si="58"/>
        <v>8820000</v>
      </c>
      <c r="AB290" s="568">
        <f t="shared" si="60"/>
        <v>261</v>
      </c>
      <c r="AC290" s="493">
        <f>IFERROR(INDEX('[2]CN BC'!$M$10:$M$276,MATCH(B290,'[2]CN BC'!$H$10:$H$276,0)),"")</f>
        <v>0</v>
      </c>
      <c r="AD290" s="141"/>
      <c r="AE290" s="108"/>
      <c r="AF290" s="108"/>
      <c r="AG290" s="155"/>
      <c r="AH290" s="108"/>
      <c r="AI290" s="108"/>
      <c r="AJ290" s="108"/>
      <c r="AK290" s="108"/>
      <c r="AL290" s="108"/>
      <c r="AM290" s="108"/>
      <c r="AN290" s="108"/>
      <c r="AO290" s="108"/>
      <c r="AP290" s="108"/>
      <c r="AQ290" s="108"/>
    </row>
    <row r="291" spans="1:53" s="372" customFormat="1" ht="29.25" customHeight="1">
      <c r="A291" s="379">
        <f>_xlfn.AGGREGATE(4,7,A$29:A290)+1</f>
        <v>262</v>
      </c>
      <c r="B291" s="363" t="s">
        <v>1922</v>
      </c>
      <c r="C291" s="364" t="s">
        <v>863</v>
      </c>
      <c r="D291" s="434" t="s">
        <v>1821</v>
      </c>
      <c r="E291" s="423" t="s">
        <v>392</v>
      </c>
      <c r="F291" s="373">
        <v>3.66</v>
      </c>
      <c r="G291" s="367"/>
      <c r="H291" s="368">
        <f t="shared" si="52"/>
        <v>3.66</v>
      </c>
      <c r="I291" s="368"/>
      <c r="J291" s="368" t="s">
        <v>2201</v>
      </c>
      <c r="K291" s="369">
        <f t="shared" si="53"/>
        <v>3.66</v>
      </c>
      <c r="L291" s="362">
        <f t="shared" si="54"/>
        <v>6588000</v>
      </c>
      <c r="M291" s="366" t="str">
        <f>VLOOKUP(B291,'[1]Gui chi Quynh'!$B$11:$E$400,4,FALSE)</f>
        <v>A4</v>
      </c>
      <c r="N291" s="494">
        <f t="shared" si="56"/>
        <v>6588000</v>
      </c>
      <c r="O291" s="376">
        <v>21</v>
      </c>
      <c r="P291" s="440">
        <f>IFERROR(INDEX('[2]CN BC'!$J$10:$J$276,MATCH(B291,'[2]CN BC'!$H$10:$H$276,0)),"")</f>
        <v>21</v>
      </c>
      <c r="Q291" s="494">
        <f t="shared" si="48"/>
        <v>6588000</v>
      </c>
      <c r="R291" s="460"/>
      <c r="S291" s="362">
        <f t="shared" si="55"/>
        <v>0</v>
      </c>
      <c r="T291" s="370"/>
      <c r="U291" s="362">
        <f t="shared" si="51"/>
        <v>0</v>
      </c>
      <c r="V291" s="362">
        <f t="shared" si="45"/>
        <v>65880</v>
      </c>
      <c r="W291" s="362"/>
      <c r="X291" s="371">
        <f t="shared" si="59"/>
        <v>6588000</v>
      </c>
      <c r="Y291" s="846">
        <f t="shared" si="57"/>
        <v>3.66</v>
      </c>
      <c r="Z291" s="491">
        <v>1800000</v>
      </c>
      <c r="AA291" s="662">
        <f t="shared" si="58"/>
        <v>6588000</v>
      </c>
      <c r="AB291" s="568">
        <f t="shared" si="60"/>
        <v>262</v>
      </c>
      <c r="AC291" s="493">
        <f>IFERROR(INDEX('[2]CN BC'!$M$10:$M$276,MATCH(B291,'[2]CN BC'!$H$10:$H$276,0)),"")</f>
        <v>0</v>
      </c>
      <c r="AD291" s="536"/>
      <c r="AG291" s="487"/>
    </row>
    <row r="292" spans="1:53" s="372" customFormat="1" ht="29.25" customHeight="1">
      <c r="A292" s="379">
        <f>_xlfn.AGGREGATE(4,7,A$29:A291)+1</f>
        <v>263</v>
      </c>
      <c r="B292" s="363" t="s">
        <v>1923</v>
      </c>
      <c r="C292" s="364" t="s">
        <v>1013</v>
      </c>
      <c r="D292" s="434" t="s">
        <v>1822</v>
      </c>
      <c r="E292" s="428" t="s">
        <v>511</v>
      </c>
      <c r="F292" s="373">
        <v>3.66</v>
      </c>
      <c r="G292" s="367"/>
      <c r="H292" s="445">
        <f t="shared" si="52"/>
        <v>3.66</v>
      </c>
      <c r="I292" s="368"/>
      <c r="J292" s="368" t="s">
        <v>2201</v>
      </c>
      <c r="K292" s="369">
        <f t="shared" si="53"/>
        <v>3.66</v>
      </c>
      <c r="L292" s="362">
        <f t="shared" si="54"/>
        <v>6588000</v>
      </c>
      <c r="M292" s="366" t="str">
        <f>VLOOKUP(B292,'[1]Gui chi Quynh'!$B$11:$E$400,4,FALSE)</f>
        <v>A4</v>
      </c>
      <c r="N292" s="494">
        <f t="shared" si="56"/>
        <v>6588000</v>
      </c>
      <c r="O292" s="376">
        <v>21</v>
      </c>
      <c r="P292" s="440">
        <f>IFERROR(INDEX('[2]CN BC'!$J$10:$J$276,MATCH(B292,'[2]CN BC'!$H$10:$H$276,0)),"")</f>
        <v>21</v>
      </c>
      <c r="Q292" s="494">
        <f>IF(P292&gt;=O292,N292,N292/O292*P292)</f>
        <v>6588000</v>
      </c>
      <c r="R292" s="460"/>
      <c r="S292" s="362">
        <f t="shared" si="55"/>
        <v>0</v>
      </c>
      <c r="T292" s="370"/>
      <c r="U292" s="362">
        <f t="shared" si="51"/>
        <v>0</v>
      </c>
      <c r="V292" s="584">
        <f t="shared" si="45"/>
        <v>65880</v>
      </c>
      <c r="W292" s="584"/>
      <c r="X292" s="371">
        <f t="shared" si="59"/>
        <v>6588000</v>
      </c>
      <c r="Y292" s="846">
        <f t="shared" si="57"/>
        <v>3.66</v>
      </c>
      <c r="Z292" s="491">
        <v>1800000</v>
      </c>
      <c r="AA292" s="662">
        <f t="shared" si="58"/>
        <v>6588000</v>
      </c>
      <c r="AB292" s="568">
        <f t="shared" si="60"/>
        <v>263</v>
      </c>
      <c r="AC292" s="493">
        <f>IFERROR(INDEX('[2]CN BC'!$M$10:$M$276,MATCH(B292,'[2]CN BC'!$H$10:$H$276,0)),"")</f>
        <v>0</v>
      </c>
      <c r="AD292" s="141"/>
      <c r="AE292" s="108"/>
      <c r="AF292" s="108"/>
      <c r="AG292" s="487"/>
    </row>
    <row r="293" spans="1:53" s="372" customFormat="1" ht="29.25" customHeight="1">
      <c r="A293" s="379">
        <f>_xlfn.AGGREGATE(4,7,A$29:A292)+1</f>
        <v>264</v>
      </c>
      <c r="B293" s="363" t="s">
        <v>1552</v>
      </c>
      <c r="C293" s="364" t="s">
        <v>981</v>
      </c>
      <c r="D293" s="434" t="s">
        <v>1823</v>
      </c>
      <c r="E293" s="423" t="s">
        <v>1418</v>
      </c>
      <c r="F293" s="366">
        <v>4.32</v>
      </c>
      <c r="G293" s="367"/>
      <c r="H293" s="368">
        <f t="shared" si="52"/>
        <v>4.32</v>
      </c>
      <c r="I293" s="368"/>
      <c r="J293" s="368" t="s">
        <v>2201</v>
      </c>
      <c r="K293" s="369">
        <f t="shared" si="53"/>
        <v>4.32</v>
      </c>
      <c r="L293" s="362">
        <f t="shared" si="54"/>
        <v>7776000.0000000009</v>
      </c>
      <c r="M293" s="366" t="str">
        <f>VLOOKUP(B293,'[1]Gui chi Quynh'!$B$11:$E$400,4,FALSE)</f>
        <v>A4</v>
      </c>
      <c r="N293" s="494">
        <f t="shared" si="56"/>
        <v>7776000.0000000009</v>
      </c>
      <c r="O293" s="376">
        <v>21</v>
      </c>
      <c r="P293" s="440">
        <f>IFERROR(INDEX('[2]CN BC'!$J$10:$J$276,MATCH(B293,'[2]CN BC'!$H$10:$H$276,0)),"")</f>
        <v>21</v>
      </c>
      <c r="Q293" s="494">
        <f>IF(P293&gt;=O293,N293,N293/O293*P293)</f>
        <v>7776000.0000000009</v>
      </c>
      <c r="R293" s="460"/>
      <c r="S293" s="362">
        <f t="shared" si="55"/>
        <v>0</v>
      </c>
      <c r="T293" s="370"/>
      <c r="U293" s="362">
        <f t="shared" si="51"/>
        <v>0</v>
      </c>
      <c r="V293" s="584">
        <f t="shared" si="45"/>
        <v>77760</v>
      </c>
      <c r="W293" s="584"/>
      <c r="X293" s="371">
        <f t="shared" si="59"/>
        <v>7776000.0000000009</v>
      </c>
      <c r="Y293" s="846">
        <f t="shared" si="57"/>
        <v>4.32</v>
      </c>
      <c r="Z293" s="491">
        <v>1800000</v>
      </c>
      <c r="AA293" s="662">
        <f t="shared" si="58"/>
        <v>7776000.0000000009</v>
      </c>
      <c r="AB293" s="568">
        <f t="shared" si="60"/>
        <v>264</v>
      </c>
      <c r="AC293" s="493">
        <f>IFERROR(INDEX('[2]CN BC'!$M$10:$M$276,MATCH(B293,'[2]CN BC'!$H$10:$H$276,0)),"")</f>
        <v>0</v>
      </c>
      <c r="AD293" s="141"/>
      <c r="AE293" s="108"/>
      <c r="AF293" s="108"/>
      <c r="AG293" s="487"/>
    </row>
    <row r="294" spans="1:53" s="372" customFormat="1" ht="29.25" customHeight="1">
      <c r="A294" s="379">
        <f>_xlfn.AGGREGATE(4,7,A$29:A293)+1</f>
        <v>265</v>
      </c>
      <c r="B294" s="363" t="s">
        <v>1940</v>
      </c>
      <c r="C294" s="364"/>
      <c r="D294" s="434" t="s">
        <v>1991</v>
      </c>
      <c r="E294" s="423" t="s">
        <v>1992</v>
      </c>
      <c r="F294" s="373">
        <v>3.33</v>
      </c>
      <c r="G294" s="367"/>
      <c r="H294" s="445">
        <f t="shared" si="52"/>
        <v>3.33</v>
      </c>
      <c r="I294" s="368"/>
      <c r="J294" s="368" t="s">
        <v>2201</v>
      </c>
      <c r="K294" s="369">
        <f t="shared" si="53"/>
        <v>3.33</v>
      </c>
      <c r="L294" s="362">
        <f t="shared" si="54"/>
        <v>5994000</v>
      </c>
      <c r="M294" s="366" t="str">
        <f>VLOOKUP(B294,'[1]Gui chi Quynh'!$B$11:$E$400,4,FALSE)</f>
        <v>A3</v>
      </c>
      <c r="N294" s="494">
        <f t="shared" si="56"/>
        <v>7192800</v>
      </c>
      <c r="O294" s="376">
        <v>21</v>
      </c>
      <c r="P294" s="440">
        <f>IFERROR(INDEX('[2]CN BC'!$J$10:$J$276,MATCH(B294,'[2]CN BC'!$H$10:$H$276,0)),"")</f>
        <v>21</v>
      </c>
      <c r="Q294" s="494">
        <f>IF(P294&gt;=O294,N294,N294/O294*P294)</f>
        <v>7192800</v>
      </c>
      <c r="R294" s="460"/>
      <c r="S294" s="362">
        <f t="shared" si="55"/>
        <v>0</v>
      </c>
      <c r="T294" s="370"/>
      <c r="U294" s="362">
        <f>T294*$G$26*1</f>
        <v>0</v>
      </c>
      <c r="V294" s="584">
        <f t="shared" si="45"/>
        <v>59940</v>
      </c>
      <c r="W294" s="584"/>
      <c r="X294" s="371">
        <f t="shared" si="59"/>
        <v>7192800</v>
      </c>
      <c r="Y294" s="846">
        <f t="shared" si="57"/>
        <v>3.996</v>
      </c>
      <c r="Z294" s="491">
        <v>1800000</v>
      </c>
      <c r="AA294" s="662">
        <f t="shared" si="58"/>
        <v>7192800</v>
      </c>
      <c r="AB294" s="568">
        <f t="shared" si="60"/>
        <v>265</v>
      </c>
      <c r="AC294" s="493">
        <f>IFERROR(INDEX('[2]CN BC'!$M$10:$M$276,MATCH(B294,'[2]CN BC'!$H$10:$H$276,0)),"")</f>
        <v>0</v>
      </c>
      <c r="AD294" s="141"/>
      <c r="AE294" s="108"/>
      <c r="AF294" s="108"/>
      <c r="AG294" s="155"/>
      <c r="AH294" s="108"/>
      <c r="AI294" s="108"/>
      <c r="AJ294" s="108"/>
      <c r="AK294" s="108"/>
      <c r="AL294" s="108"/>
      <c r="AM294" s="108"/>
    </row>
    <row r="295" spans="1:53" s="108" customFormat="1" ht="29.25" customHeight="1">
      <c r="A295" s="379">
        <f>_xlfn.AGGREGATE(4,7,A$29:A294)+1</f>
        <v>266</v>
      </c>
      <c r="B295" s="33" t="s">
        <v>1553</v>
      </c>
      <c r="C295" s="403" t="s">
        <v>501</v>
      </c>
      <c r="D295" s="406" t="s">
        <v>1824</v>
      </c>
      <c r="E295" s="436">
        <v>1603205246186</v>
      </c>
      <c r="F295" s="366">
        <v>4.9800000000000004</v>
      </c>
      <c r="G295" s="367"/>
      <c r="H295" s="368">
        <f t="shared" si="52"/>
        <v>4.9800000000000004</v>
      </c>
      <c r="I295" s="368"/>
      <c r="J295" s="368" t="s">
        <v>2201</v>
      </c>
      <c r="K295" s="369">
        <f t="shared" si="53"/>
        <v>4.9800000000000004</v>
      </c>
      <c r="L295" s="362">
        <f t="shared" si="54"/>
        <v>8964000</v>
      </c>
      <c r="M295" s="366" t="str">
        <f>VLOOKUP(B295,'[1]Gui chi Quynh'!$B$11:$E$400,4,FALSE)</f>
        <v>A4</v>
      </c>
      <c r="N295" s="494">
        <f t="shared" si="56"/>
        <v>8964000</v>
      </c>
      <c r="O295" s="376">
        <v>21</v>
      </c>
      <c r="P295" s="440">
        <f>IFERROR(INDEX('[2]CN BC'!$J$10:$J$276,MATCH(B295,'[2]CN BC'!$H$10:$H$276,0)),"")</f>
        <v>21</v>
      </c>
      <c r="Q295" s="494">
        <f>IF(P295&gt;=O295,N295,N295/O295*P295)</f>
        <v>8964000</v>
      </c>
      <c r="R295" s="392"/>
      <c r="S295" s="362">
        <f t="shared" si="55"/>
        <v>0</v>
      </c>
      <c r="T295" s="404"/>
      <c r="U295" s="362">
        <f>T295*$G$26*1</f>
        <v>0</v>
      </c>
      <c r="V295" s="584">
        <f t="shared" si="45"/>
        <v>89640</v>
      </c>
      <c r="W295" s="584"/>
      <c r="X295" s="371">
        <f t="shared" si="59"/>
        <v>8964000</v>
      </c>
      <c r="Y295" s="846">
        <f t="shared" si="57"/>
        <v>4.9800000000000004</v>
      </c>
      <c r="Z295" s="491">
        <v>1800000</v>
      </c>
      <c r="AA295" s="662">
        <f t="shared" si="58"/>
        <v>8964000</v>
      </c>
      <c r="AB295" s="568">
        <f t="shared" si="60"/>
        <v>266</v>
      </c>
      <c r="AC295" s="493">
        <f>IFERROR(INDEX('[2]CN BC'!$M$10:$M$276,MATCH(B295,'[2]CN BC'!$H$10:$H$276,0)),"")</f>
        <v>0</v>
      </c>
      <c r="AD295" s="141"/>
      <c r="AG295" s="155"/>
    </row>
    <row r="296" spans="1:53" s="372" customFormat="1" ht="29.25" customHeight="1">
      <c r="A296" s="379">
        <f>_xlfn.AGGREGATE(4,7,A$29:A295)+1</f>
        <v>267</v>
      </c>
      <c r="B296" s="861" t="s">
        <v>1560</v>
      </c>
      <c r="C296" s="862"/>
      <c r="D296" s="483" t="s">
        <v>1825</v>
      </c>
      <c r="E296" s="484">
        <v>1603215002692</v>
      </c>
      <c r="F296" s="863">
        <v>3.33</v>
      </c>
      <c r="G296" s="864"/>
      <c r="H296" s="865">
        <f t="shared" si="52"/>
        <v>3.33</v>
      </c>
      <c r="I296" s="866">
        <v>0.35</v>
      </c>
      <c r="J296" s="368" t="s">
        <v>2202</v>
      </c>
      <c r="K296" s="867">
        <f t="shared" si="53"/>
        <v>3.68</v>
      </c>
      <c r="L296" s="868">
        <f t="shared" si="54"/>
        <v>6624000</v>
      </c>
      <c r="M296" s="869" t="str">
        <f>VLOOKUP(B296,'[1]Gui chi Quynh'!$B$11:$E$400,4,FALSE)</f>
        <v>A3</v>
      </c>
      <c r="N296" s="870">
        <f t="shared" si="56"/>
        <v>7948800</v>
      </c>
      <c r="O296" s="871">
        <v>21</v>
      </c>
      <c r="P296" s="474">
        <f>IFERROR(INDEX('[2]CN BC'!$J$10:$J$276,MATCH(B296,'[2]CN BC'!$H$10:$H$276,0)),"")</f>
        <v>21</v>
      </c>
      <c r="Q296" s="870">
        <f>IF(P296&gt;=O296,N296,N296/O296*P296)</f>
        <v>7948800</v>
      </c>
      <c r="R296" s="872"/>
      <c r="S296" s="868">
        <f t="shared" si="55"/>
        <v>0</v>
      </c>
      <c r="T296" s="873"/>
      <c r="U296" s="868">
        <f>T296*$G$26*1</f>
        <v>0</v>
      </c>
      <c r="V296" s="874">
        <f t="shared" ref="V296" si="61">IF(OR(M296="A DN",M296="KXL", M296=""),"0",ROUND(K296*0.01*$G$26+R296*1%*$G$26+T296*1%*$G$26,))</f>
        <v>66240</v>
      </c>
      <c r="W296" s="874"/>
      <c r="X296" s="371">
        <f t="shared" si="59"/>
        <v>7948800</v>
      </c>
      <c r="Y296" s="847">
        <f t="shared" si="57"/>
        <v>4.4160000000000004</v>
      </c>
      <c r="Z296" s="875">
        <v>1800000</v>
      </c>
      <c r="AA296" s="875">
        <f t="shared" si="58"/>
        <v>7948800.0000000009</v>
      </c>
      <c r="AB296" s="568">
        <f t="shared" si="60"/>
        <v>267</v>
      </c>
      <c r="AC296" s="770">
        <f>IFERROR(INDEX('[2]CN BC'!$M$10:$M$276,MATCH(B296,'[2]CN BC'!$H$10:$H$276,0)),"")</f>
        <v>0</v>
      </c>
      <c r="AD296" s="141"/>
      <c r="AE296" s="108"/>
      <c r="AF296" s="108"/>
      <c r="AG296" s="155"/>
      <c r="AH296" s="108"/>
      <c r="AI296" s="108"/>
      <c r="AJ296" s="108"/>
      <c r="AK296" s="108"/>
      <c r="AL296" s="108"/>
      <c r="AM296" s="108"/>
      <c r="AN296" s="108"/>
      <c r="AO296" s="108"/>
      <c r="AP296" s="108"/>
      <c r="AQ296" s="108"/>
    </row>
    <row r="297" spans="1:53" s="893" customFormat="1" ht="24" customHeight="1">
      <c r="A297" s="806"/>
      <c r="B297" s="825" t="s">
        <v>2188</v>
      </c>
      <c r="C297" s="826"/>
      <c r="D297" s="808"/>
      <c r="E297" s="828"/>
      <c r="F297" s="810"/>
      <c r="G297" s="811"/>
      <c r="H297" s="812"/>
      <c r="I297" s="813"/>
      <c r="J297" s="813"/>
      <c r="K297" s="814"/>
      <c r="L297" s="815"/>
      <c r="M297" s="816"/>
      <c r="N297" s="817"/>
      <c r="O297" s="818"/>
      <c r="P297" s="819"/>
      <c r="Q297" s="817"/>
      <c r="R297" s="820"/>
      <c r="S297" s="815"/>
      <c r="T297" s="821"/>
      <c r="U297" s="815"/>
      <c r="V297" s="815"/>
      <c r="W297" s="815"/>
      <c r="X297" s="815"/>
      <c r="Y297" s="889">
        <f>SUM(Y30:Y296)</f>
        <v>1296.215504761906</v>
      </c>
      <c r="Z297" s="829"/>
      <c r="AA297" s="829">
        <f>SUM(AA30:AA296)</f>
        <v>2333187908.5714283</v>
      </c>
      <c r="AB297" s="823"/>
      <c r="AC297" s="824"/>
      <c r="AD297" s="890"/>
      <c r="AE297" s="891"/>
      <c r="AF297" s="891"/>
      <c r="AG297" s="892"/>
      <c r="AH297" s="891"/>
      <c r="AI297" s="891"/>
      <c r="AJ297" s="891"/>
      <c r="AK297" s="891"/>
      <c r="AL297" s="891"/>
      <c r="AM297" s="891"/>
      <c r="AN297" s="891"/>
      <c r="AO297" s="891"/>
      <c r="AP297" s="891"/>
      <c r="AQ297" s="891"/>
    </row>
    <row r="298" spans="1:53" s="893" customFormat="1" ht="24" customHeight="1">
      <c r="A298" s="806"/>
      <c r="B298" s="825" t="s">
        <v>2200</v>
      </c>
      <c r="C298" s="826"/>
      <c r="D298" s="808"/>
      <c r="E298" s="828"/>
      <c r="F298" s="810"/>
      <c r="G298" s="811"/>
      <c r="H298" s="812"/>
      <c r="I298" s="813"/>
      <c r="J298" s="813"/>
      <c r="K298" s="814"/>
      <c r="L298" s="815"/>
      <c r="M298" s="816"/>
      <c r="N298" s="817"/>
      <c r="O298" s="818"/>
      <c r="P298" s="819"/>
      <c r="Q298" s="817"/>
      <c r="R298" s="820"/>
      <c r="S298" s="815"/>
      <c r="T298" s="821"/>
      <c r="U298" s="815"/>
      <c r="V298" s="815"/>
      <c r="W298" s="815"/>
      <c r="X298" s="815"/>
      <c r="Y298" s="889"/>
      <c r="Z298" s="829"/>
      <c r="AA298" s="829"/>
      <c r="AB298" s="823"/>
      <c r="AC298" s="824"/>
      <c r="AD298" s="890"/>
      <c r="AE298" s="891"/>
      <c r="AF298" s="891"/>
      <c r="AG298" s="892"/>
      <c r="AH298" s="891"/>
      <c r="AI298" s="891"/>
      <c r="AJ298" s="891"/>
      <c r="AK298" s="891"/>
      <c r="AL298" s="891"/>
      <c r="AM298" s="891"/>
      <c r="AN298" s="891"/>
      <c r="AO298" s="891"/>
      <c r="AP298" s="891"/>
      <c r="AQ298" s="891"/>
    </row>
    <row r="299" spans="1:53" s="372" customFormat="1" ht="30.75" customHeight="1">
      <c r="A299" s="876">
        <f>_xlfn.AGGREGATE(4,7,A$29:A296)+1</f>
        <v>268</v>
      </c>
      <c r="B299" s="802" t="s">
        <v>2029</v>
      </c>
      <c r="C299" s="877" t="s">
        <v>1106</v>
      </c>
      <c r="D299" s="878" t="s">
        <v>2030</v>
      </c>
      <c r="E299" s="879">
        <v>1603205359393</v>
      </c>
      <c r="F299" s="879"/>
      <c r="G299" s="879"/>
      <c r="H299" s="803" t="s">
        <v>2031</v>
      </c>
      <c r="I299" s="880">
        <v>6914491</v>
      </c>
      <c r="J299" s="803" t="str">
        <f>VLOOKUP(B299,TH!B288:J620,9,FALSE)</f>
        <v xml:space="preserve">NV Bảo vệ </v>
      </c>
      <c r="K299" s="881">
        <f t="shared" ref="K299:K361" si="62">IF(H299="D.03",I299*30%,I299*70%)</f>
        <v>2074347.2999999998</v>
      </c>
      <c r="L299" s="607" t="str">
        <f>VLOOKUP(B299,'[1]Gui chi Quynh'!$B$11:$E$400,4,FALSE)</f>
        <v>A4</v>
      </c>
      <c r="M299" s="881">
        <f>ROUND(IF(AND(L299="A1",K299*1.6),K299*1.6,IF(AND(L299="A2",K299*1.4),K299*1.4,IF(AND(L299="A3",K299*1.2),K299*1.2,IF(AND(L299="A4",K299*1),K299*1,IF(AND(L299="B1",K299*0.7),K299*0.7,IF(AND(L299="B2",K299*0.5),K299*0.5,IF(AND(L299="C1",K299*0.3),K299*0.3,0))))))),)</f>
        <v>2074347</v>
      </c>
      <c r="N299" s="607">
        <v>26</v>
      </c>
      <c r="O299" s="607">
        <f>IFERROR(INDEX('[2]CN HĐ'!$J$10:$J$72,MATCH(B299,'[2]CN HĐ'!$H$10:$H$72,0)),"")</f>
        <v>26</v>
      </c>
      <c r="P299" s="882" t="e">
        <f>IF(M299&gt;#REF!,M299,#REF!)</f>
        <v>#REF!</v>
      </c>
      <c r="Q299" s="881">
        <f t="shared" ref="Q299:Q361" si="63">ROUND(IF(O299&gt;=N299,M299,M299/N299*O299),)</f>
        <v>2074347</v>
      </c>
      <c r="R299" s="883"/>
      <c r="S299" s="881">
        <v>0</v>
      </c>
      <c r="T299" s="884"/>
      <c r="U299" s="881">
        <v>0</v>
      </c>
      <c r="V299" s="885">
        <f t="shared" ref="V299:V361" si="64">I299*1%</f>
        <v>69144.91</v>
      </c>
      <c r="W299" s="885"/>
      <c r="X299" s="886">
        <f>(Q299+S299+U299)+W299</f>
        <v>2074347</v>
      </c>
      <c r="Y299" s="887">
        <f t="shared" si="57"/>
        <v>1.152415</v>
      </c>
      <c r="Z299" s="662">
        <v>1800000</v>
      </c>
      <c r="AA299" s="663">
        <f t="shared" si="58"/>
        <v>2074347</v>
      </c>
      <c r="AB299" s="888">
        <f t="shared" ref="AB299:AB359" si="65">A299</f>
        <v>268</v>
      </c>
      <c r="AC299" s="613">
        <f>IFERROR(INDEX('[2]CN HĐ'!$M$10:$M$72,MATCH(B299,'[2]CN HĐ'!$H$10:$H$72,0)),"")</f>
        <v>0</v>
      </c>
      <c r="AD299" s="108"/>
      <c r="AE299" s="155"/>
      <c r="AF299" s="155"/>
      <c r="AG299" s="155"/>
      <c r="AH299" s="108"/>
      <c r="AI299" s="108"/>
      <c r="AJ299" s="108"/>
      <c r="AK299" s="108"/>
      <c r="AL299" s="108"/>
      <c r="AM299" s="108"/>
      <c r="AN299" s="108"/>
      <c r="AO299" s="108"/>
      <c r="AP299" s="108"/>
      <c r="AQ299" s="108"/>
      <c r="AR299" s="108"/>
      <c r="AS299" s="108"/>
      <c r="AT299" s="108"/>
      <c r="AU299" s="108"/>
      <c r="AV299" s="108"/>
      <c r="AW299" s="108"/>
      <c r="AX299" s="108"/>
      <c r="AY299" s="108"/>
      <c r="AZ299" s="108"/>
      <c r="BA299" s="108"/>
    </row>
    <row r="300" spans="1:53" s="372" customFormat="1" ht="30" customHeight="1">
      <c r="A300" s="30">
        <f>_xlfn.AGGREGATE(4,7,A$29:A299)+1</f>
        <v>269</v>
      </c>
      <c r="B300" s="444" t="s">
        <v>2032</v>
      </c>
      <c r="C300" s="419" t="s">
        <v>868</v>
      </c>
      <c r="D300" s="418" t="s">
        <v>2033</v>
      </c>
      <c r="E300" s="604" t="s">
        <v>2034</v>
      </c>
      <c r="F300" s="604"/>
      <c r="G300" s="604"/>
      <c r="H300" s="368" t="s">
        <v>2031</v>
      </c>
      <c r="I300" s="605">
        <v>5417685</v>
      </c>
      <c r="J300" s="368" t="str">
        <f>VLOOKUP(B300,TH!B289:J621,9,FALSE)</f>
        <v>NV Bảo vệ</v>
      </c>
      <c r="K300" s="466">
        <f t="shared" si="62"/>
        <v>1625305.5</v>
      </c>
      <c r="L300" s="606" t="str">
        <f>VLOOKUP(B300,'[1]Gui chi Quynh'!$B$11:$E$400,4,FALSE)</f>
        <v>A4</v>
      </c>
      <c r="M300" s="466">
        <f>ROUND(IF(AND(L300="A1",K300*1.6),K300*1.6,IF(AND(L300="A2",K300*1.4),K300*1.4,IF(AND(L300="A3",K300*1.2),K300*1.2,IF(AND(L300="A4",K300*1),K300*1,IF(AND(L300="B1",K300*0.7),K300*0.7,IF(AND(L300="B2",K300*0.5),K300*0.5,IF(AND(L300="C1",K300*0.3),K300*0.3,0))))))),)</f>
        <v>1625306</v>
      </c>
      <c r="N300" s="606">
        <v>26</v>
      </c>
      <c r="O300" s="607">
        <f>IFERROR(INDEX('[2]CN HĐ'!$J$10:$J$72,MATCH(B300,'[2]CN HĐ'!$H$10:$H$72,0)),"")</f>
        <v>25</v>
      </c>
      <c r="P300" s="608" t="e">
        <f>IF(M300&gt;#REF!,M300,#REF!)</f>
        <v>#REF!</v>
      </c>
      <c r="Q300" s="466">
        <f t="shared" si="63"/>
        <v>1562794</v>
      </c>
      <c r="R300" s="609"/>
      <c r="S300" s="466">
        <v>0</v>
      </c>
      <c r="T300" s="610"/>
      <c r="U300" s="466">
        <v>0</v>
      </c>
      <c r="V300" s="647">
        <f t="shared" si="64"/>
        <v>54176.85</v>
      </c>
      <c r="W300" s="647"/>
      <c r="X300" s="886">
        <f t="shared" ref="X300:X361" si="66">(Q300+S300+U300)+W300</f>
        <v>1562794</v>
      </c>
      <c r="Y300" s="846">
        <f t="shared" si="57"/>
        <v>0.86821888888888887</v>
      </c>
      <c r="Z300" s="491">
        <v>1800000</v>
      </c>
      <c r="AA300" s="663">
        <f t="shared" si="58"/>
        <v>1562794</v>
      </c>
      <c r="AB300" s="612">
        <f t="shared" si="65"/>
        <v>269</v>
      </c>
      <c r="AC300" s="613" t="str">
        <f>IFERROR(INDEX('[2]CN HĐ'!$M$10:$M$72,MATCH(B300,'[2]CN HĐ'!$H$10:$H$72,0)),"")</f>
        <v>Trừ 1 ngày nghỉ phép 1/3</v>
      </c>
      <c r="AD300" s="108"/>
      <c r="AE300" s="155"/>
      <c r="AF300" s="155"/>
      <c r="AG300" s="155"/>
      <c r="AH300" s="108"/>
      <c r="AI300" s="108"/>
      <c r="AJ300" s="108"/>
      <c r="AK300" s="108"/>
      <c r="AL300" s="108"/>
      <c r="AM300" s="108"/>
      <c r="AN300" s="108"/>
      <c r="AO300" s="108"/>
      <c r="AP300" s="108"/>
      <c r="AQ300" s="108"/>
      <c r="AR300" s="108"/>
      <c r="AS300" s="108"/>
      <c r="AT300" s="108"/>
      <c r="AU300" s="108"/>
      <c r="AV300" s="108"/>
      <c r="AW300" s="108"/>
      <c r="AX300" s="108"/>
      <c r="AY300" s="108"/>
      <c r="AZ300" s="108"/>
      <c r="BA300" s="108"/>
    </row>
    <row r="301" spans="1:53" s="372" customFormat="1" ht="27" customHeight="1">
      <c r="A301" s="30">
        <f>_xlfn.AGGREGATE(4,7,A$29:A300)+1</f>
        <v>270</v>
      </c>
      <c r="B301" s="444" t="s">
        <v>2035</v>
      </c>
      <c r="C301" s="419"/>
      <c r="D301" s="418"/>
      <c r="E301" s="604" t="s">
        <v>2036</v>
      </c>
      <c r="F301" s="604"/>
      <c r="G301" s="604"/>
      <c r="H301" s="368" t="s">
        <v>2031</v>
      </c>
      <c r="I301" s="605">
        <v>5159700</v>
      </c>
      <c r="J301" s="368" t="str">
        <f>VLOOKUP(B301,TH!B290:J622,9,FALSE)</f>
        <v>NV Bảo vệ</v>
      </c>
      <c r="K301" s="466">
        <f t="shared" si="62"/>
        <v>1547910</v>
      </c>
      <c r="L301" s="606" t="str">
        <f>VLOOKUP(B301,'[1]Gui chi Quynh'!$B$11:$E$400,4,FALSE)</f>
        <v>A3</v>
      </c>
      <c r="M301" s="466">
        <f>ROUND(IF(AND(L301="A1",K301*1.6),K301*1.6,IF(AND(L301="A2",K301*1.4),K301*1.4,IF(AND(L301="A3",K301*1.2),K301*1.2,IF(AND(L301="A4",K301*1),K301*1,IF(AND(L301="B1",K301*0.7),K301*0.7,IF(AND(L301="B2",K301*0.5),K301*0.5,IF(AND(L301="C1",K301*0.3),K301*0.3,0))))))),)</f>
        <v>1857492</v>
      </c>
      <c r="N301" s="606">
        <v>26</v>
      </c>
      <c r="O301" s="607">
        <f>IFERROR(INDEX('[2]CN HĐ'!$J$10:$J$72,MATCH(B301,'[2]CN HĐ'!$H$10:$H$72,0)),"")</f>
        <v>27</v>
      </c>
      <c r="P301" s="608" t="e">
        <f>IF(M301&gt;#REF!,M301,#REF!)</f>
        <v>#REF!</v>
      </c>
      <c r="Q301" s="466">
        <f t="shared" si="63"/>
        <v>1857492</v>
      </c>
      <c r="R301" s="609"/>
      <c r="S301" s="466">
        <v>0</v>
      </c>
      <c r="T301" s="610"/>
      <c r="U301" s="466">
        <v>0</v>
      </c>
      <c r="V301" s="647">
        <f t="shared" si="64"/>
        <v>51597</v>
      </c>
      <c r="W301" s="647"/>
      <c r="X301" s="886">
        <f t="shared" si="66"/>
        <v>1857492</v>
      </c>
      <c r="Y301" s="846">
        <f t="shared" si="57"/>
        <v>1.0319400000000001</v>
      </c>
      <c r="Z301" s="491">
        <v>1800000</v>
      </c>
      <c r="AA301" s="663">
        <f t="shared" si="58"/>
        <v>1857492.0000000002</v>
      </c>
      <c r="AB301" s="612">
        <f>A301</f>
        <v>270</v>
      </c>
      <c r="AC301" s="613">
        <f>IFERROR(INDEX('[2]CN HĐ'!$M$10:$M$72,MATCH(B301,'[2]CN HĐ'!$H$10:$H$72,0)),"")</f>
        <v>0</v>
      </c>
      <c r="AE301" s="487"/>
      <c r="AF301" s="487"/>
      <c r="AG301" s="487"/>
    </row>
    <row r="302" spans="1:53" s="372" customFormat="1" ht="27" customHeight="1">
      <c r="A302" s="30">
        <f>_xlfn.AGGREGATE(4,7,A$29:A301)+1</f>
        <v>271</v>
      </c>
      <c r="B302" s="444" t="s">
        <v>2037</v>
      </c>
      <c r="C302" s="419"/>
      <c r="D302" s="418"/>
      <c r="E302" s="614">
        <v>1603215005626</v>
      </c>
      <c r="F302" s="614"/>
      <c r="G302" s="614"/>
      <c r="H302" s="368" t="s">
        <v>2038</v>
      </c>
      <c r="I302" s="605">
        <v>5007600</v>
      </c>
      <c r="J302" s="368" t="str">
        <f>VLOOKUP(B302,TH!B291:J623,9,FALSE)</f>
        <v>NV Bảo vệ</v>
      </c>
      <c r="K302" s="466">
        <f t="shared" si="62"/>
        <v>3505320</v>
      </c>
      <c r="L302" s="606" t="str">
        <f>VLOOKUP(B302,'[1]Gui chi Quynh'!$B$11:$E$400,4,FALSE)</f>
        <v>A2</v>
      </c>
      <c r="M302" s="466">
        <f t="shared" ref="M302:M361" si="67">ROUND(IF(AND(L302="A1",K302*1.6),K302*1.6,IF(AND(L302="A2",K302*1.4),K302*1.4,IF(AND(L302="A3",K302*1.2),K302*1.2,IF(AND(L302="A4",K302*1),K302*1,IF(AND(L302="B1",K302*0.7),K302*0.7,IF(AND(L302="B2",K302*0.5),K302*0.5,IF(AND(L302="C1",K302*0.3),K302*0.3,0))))))),)</f>
        <v>4907448</v>
      </c>
      <c r="N302" s="606">
        <v>26</v>
      </c>
      <c r="O302" s="607">
        <f>IFERROR(INDEX('[2]CN HĐ'!$J$10:$J$72,MATCH(B302,'[2]CN HĐ'!$H$10:$H$72,0)),"")</f>
        <v>25</v>
      </c>
      <c r="P302" s="608" t="e">
        <f>IF(M302&gt;#REF!,M302,#REF!)</f>
        <v>#REF!</v>
      </c>
      <c r="Q302" s="466">
        <f t="shared" si="63"/>
        <v>4718700</v>
      </c>
      <c r="R302" s="609"/>
      <c r="S302" s="466">
        <v>0</v>
      </c>
      <c r="T302" s="610"/>
      <c r="U302" s="466">
        <v>0</v>
      </c>
      <c r="V302" s="647">
        <f t="shared" si="64"/>
        <v>50076</v>
      </c>
      <c r="W302" s="647"/>
      <c r="X302" s="886">
        <f t="shared" si="66"/>
        <v>4718700</v>
      </c>
      <c r="Y302" s="846">
        <f t="shared" si="57"/>
        <v>2.6215000000000002</v>
      </c>
      <c r="Z302" s="491">
        <v>1800000</v>
      </c>
      <c r="AA302" s="663">
        <f t="shared" si="58"/>
        <v>4718700</v>
      </c>
      <c r="AB302" s="612">
        <f t="shared" si="65"/>
        <v>271</v>
      </c>
      <c r="AC302" s="613" t="str">
        <f>IFERROR(INDEX('[2]CN HĐ'!$M$10:$M$72,MATCH(B302,'[2]CN HĐ'!$H$10:$H$72,0)),"")</f>
        <v>Trừ 1 ngày nghỉ phép 18/3</v>
      </c>
      <c r="AD302" s="461"/>
      <c r="AE302" s="155"/>
      <c r="AF302" s="155"/>
      <c r="AG302" s="155"/>
      <c r="AH302" s="108"/>
      <c r="AI302" s="108"/>
      <c r="AJ302" s="108"/>
      <c r="AK302" s="108"/>
      <c r="AL302" s="108"/>
      <c r="AM302" s="108"/>
      <c r="AN302" s="108"/>
      <c r="AO302" s="108"/>
      <c r="AP302" s="108"/>
      <c r="AQ302" s="108"/>
      <c r="AR302" s="108"/>
      <c r="AS302" s="108"/>
      <c r="AT302" s="108"/>
      <c r="AU302" s="108"/>
      <c r="AV302" s="108"/>
      <c r="AW302" s="108"/>
      <c r="AX302" s="108"/>
      <c r="AY302" s="108"/>
      <c r="AZ302" s="108"/>
      <c r="BA302" s="108"/>
    </row>
    <row r="303" spans="1:53" s="372" customFormat="1" ht="27" customHeight="1">
      <c r="A303" s="30">
        <f>_xlfn.AGGREGATE(4,7,A$29:A302)+1</f>
        <v>272</v>
      </c>
      <c r="B303" s="363" t="s">
        <v>2039</v>
      </c>
      <c r="C303" s="375"/>
      <c r="D303" s="434" t="s">
        <v>2040</v>
      </c>
      <c r="E303" s="604">
        <v>1603205287913</v>
      </c>
      <c r="F303" s="604"/>
      <c r="G303" s="604"/>
      <c r="H303" s="368" t="s">
        <v>2031</v>
      </c>
      <c r="I303" s="605">
        <v>7206216</v>
      </c>
      <c r="J303" s="368" t="str">
        <f>VLOOKUP(B303,TH!B292:J624,9,FALSE)</f>
        <v xml:space="preserve">NV Bảo vệ </v>
      </c>
      <c r="K303" s="466">
        <f t="shared" si="62"/>
        <v>2161864.7999999998</v>
      </c>
      <c r="L303" s="606" t="str">
        <f>VLOOKUP(B303,'[1]Gui chi Quynh'!$B$11:$E$400,4,FALSE)</f>
        <v>A4</v>
      </c>
      <c r="M303" s="466">
        <f t="shared" si="67"/>
        <v>2161865</v>
      </c>
      <c r="N303" s="606">
        <v>26</v>
      </c>
      <c r="O303" s="607">
        <f>IFERROR(INDEX('[2]CN HĐ'!$J$10:$J$72,MATCH(B303,'[2]CN HĐ'!$H$10:$H$72,0)),"")</f>
        <v>26</v>
      </c>
      <c r="P303" s="608" t="e">
        <f>IF(M303&gt;#REF!,M303,#REF!)</f>
        <v>#REF!</v>
      </c>
      <c r="Q303" s="466">
        <f t="shared" si="63"/>
        <v>2161865</v>
      </c>
      <c r="R303" s="609"/>
      <c r="S303" s="466">
        <v>0</v>
      </c>
      <c r="T303" s="610"/>
      <c r="U303" s="466">
        <v>0</v>
      </c>
      <c r="V303" s="647">
        <f t="shared" si="64"/>
        <v>72062.16</v>
      </c>
      <c r="W303" s="647"/>
      <c r="X303" s="886">
        <f t="shared" si="66"/>
        <v>2161865</v>
      </c>
      <c r="Y303" s="846">
        <f t="shared" si="57"/>
        <v>1.2010361111111112</v>
      </c>
      <c r="Z303" s="491">
        <v>1800000</v>
      </c>
      <c r="AA303" s="663">
        <f t="shared" si="58"/>
        <v>2161865</v>
      </c>
      <c r="AB303" s="612">
        <f t="shared" si="65"/>
        <v>272</v>
      </c>
      <c r="AC303" s="613">
        <f>IFERROR(INDEX('[2]CN HĐ'!$M$10:$M$72,MATCH(B303,'[2]CN HĐ'!$H$10:$H$72,0)),"")</f>
        <v>0</v>
      </c>
      <c r="AD303" s="108"/>
      <c r="AE303" s="465"/>
      <c r="AF303" s="108"/>
      <c r="AG303" s="108"/>
      <c r="AH303" s="108"/>
      <c r="AI303" s="108"/>
      <c r="AJ303" s="108"/>
      <c r="AK303" s="108"/>
      <c r="AL303" s="108"/>
      <c r="AM303" s="108"/>
      <c r="AN303" s="108"/>
      <c r="AO303" s="108"/>
      <c r="AP303" s="108"/>
      <c r="AQ303" s="108"/>
      <c r="AR303" s="108"/>
      <c r="AS303" s="108"/>
      <c r="AT303" s="108"/>
      <c r="AU303" s="108"/>
      <c r="AV303" s="108"/>
      <c r="AW303" s="108"/>
      <c r="AX303" s="108"/>
      <c r="AY303" s="108"/>
      <c r="AZ303" s="108"/>
      <c r="BA303" s="108"/>
    </row>
    <row r="304" spans="1:53" s="372" customFormat="1" ht="27" customHeight="1">
      <c r="A304" s="30">
        <f>_xlfn.AGGREGATE(4,7,A$29:A303)+1</f>
        <v>273</v>
      </c>
      <c r="B304" s="363" t="s">
        <v>2041</v>
      </c>
      <c r="C304" s="375"/>
      <c r="D304" s="434"/>
      <c r="E304" s="614">
        <v>1603205447217</v>
      </c>
      <c r="F304" s="614"/>
      <c r="G304" s="614"/>
      <c r="H304" s="81" t="s">
        <v>2042</v>
      </c>
      <c r="I304" s="605">
        <v>6134525</v>
      </c>
      <c r="J304" s="368" t="str">
        <f>VLOOKUP(B304,TH!B293:J625,9,FALSE)</f>
        <v>Nhân viên bảo vệ</v>
      </c>
      <c r="K304" s="466">
        <f t="shared" si="62"/>
        <v>4294167.5</v>
      </c>
      <c r="L304" s="606" t="str">
        <f>VLOOKUP(B304,'[1]Gui chi Quynh'!$B$11:$E$400,4,FALSE)</f>
        <v>A2</v>
      </c>
      <c r="M304" s="466">
        <f t="shared" si="67"/>
        <v>6011835</v>
      </c>
      <c r="N304" s="606">
        <v>26</v>
      </c>
      <c r="O304" s="607">
        <f>IFERROR(INDEX('[2]CN HĐ'!$J$10:$J$72,MATCH(B304,'[2]CN HĐ'!$H$10:$H$72,0)),"")</f>
        <v>26</v>
      </c>
      <c r="P304" s="608" t="e">
        <f>IF(M304&gt;#REF!,M304,#REF!)</f>
        <v>#REF!</v>
      </c>
      <c r="Q304" s="466">
        <f t="shared" si="63"/>
        <v>6011835</v>
      </c>
      <c r="R304" s="609"/>
      <c r="S304" s="466">
        <v>0</v>
      </c>
      <c r="T304" s="610"/>
      <c r="U304" s="466">
        <v>0</v>
      </c>
      <c r="V304" s="647">
        <f t="shared" si="64"/>
        <v>61345.25</v>
      </c>
      <c r="W304" s="647"/>
      <c r="X304" s="886">
        <f t="shared" si="66"/>
        <v>6011835</v>
      </c>
      <c r="Y304" s="846">
        <f t="shared" si="57"/>
        <v>3.3399083333333333</v>
      </c>
      <c r="Z304" s="491">
        <v>1800000</v>
      </c>
      <c r="AA304" s="663">
        <f t="shared" si="58"/>
        <v>6011835</v>
      </c>
      <c r="AB304" s="612">
        <f t="shared" si="65"/>
        <v>273</v>
      </c>
      <c r="AC304" s="613">
        <f>IFERROR(INDEX('[2]CN HĐ'!$M$10:$M$72,MATCH(B304,'[2]CN HĐ'!$H$10:$H$72,0)),"")</f>
        <v>0</v>
      </c>
      <c r="AD304" s="108"/>
      <c r="AE304" s="155"/>
      <c r="AF304" s="108"/>
      <c r="AG304" s="108"/>
      <c r="AH304" s="108"/>
      <c r="AI304" s="108"/>
      <c r="AJ304" s="108"/>
      <c r="AK304" s="108"/>
      <c r="AL304" s="108"/>
      <c r="AM304" s="108"/>
      <c r="AN304" s="108"/>
      <c r="AO304" s="108"/>
      <c r="AP304" s="108"/>
      <c r="AQ304" s="108"/>
      <c r="AR304" s="108"/>
      <c r="AS304" s="108"/>
      <c r="AT304" s="108"/>
      <c r="AU304" s="108"/>
      <c r="AV304" s="108"/>
      <c r="AW304" s="108"/>
      <c r="AX304" s="108"/>
      <c r="AY304" s="108"/>
      <c r="AZ304" s="108"/>
      <c r="BA304" s="108"/>
    </row>
    <row r="305" spans="1:53" s="372" customFormat="1" ht="32.25" customHeight="1">
      <c r="A305" s="30">
        <f>_xlfn.AGGREGATE(4,7,A$29:A304)+1</f>
        <v>274</v>
      </c>
      <c r="B305" s="363" t="s">
        <v>2043</v>
      </c>
      <c r="C305" s="375"/>
      <c r="D305" s="434" t="s">
        <v>2044</v>
      </c>
      <c r="E305" s="615" t="s">
        <v>2045</v>
      </c>
      <c r="F305" s="615"/>
      <c r="G305" s="615"/>
      <c r="H305" s="81" t="s">
        <v>2031</v>
      </c>
      <c r="I305" s="605">
        <v>7623227</v>
      </c>
      <c r="J305" s="368" t="str">
        <f>VLOOKUP(B305,TH!B294:J626,9,FALSE)</f>
        <v xml:space="preserve">NV Bảo vệ </v>
      </c>
      <c r="K305" s="466">
        <f t="shared" si="62"/>
        <v>2286968.1</v>
      </c>
      <c r="L305" s="606" t="str">
        <f>VLOOKUP(B305,'[1]Gui chi Quynh'!$B$11:$E$400,4,FALSE)</f>
        <v>A3</v>
      </c>
      <c r="M305" s="466">
        <f t="shared" si="67"/>
        <v>2744362</v>
      </c>
      <c r="N305" s="606">
        <v>26</v>
      </c>
      <c r="O305" s="607">
        <f>IFERROR(INDEX('[2]CN HĐ'!$J$10:$J$72,MATCH(B305,'[2]CN HĐ'!$H$10:$H$72,0)),"")</f>
        <v>26</v>
      </c>
      <c r="P305" s="608" t="e">
        <f>IF(M305&gt;#REF!,M305,#REF!)</f>
        <v>#REF!</v>
      </c>
      <c r="Q305" s="466">
        <f t="shared" si="63"/>
        <v>2744362</v>
      </c>
      <c r="R305" s="609"/>
      <c r="S305" s="466">
        <v>0</v>
      </c>
      <c r="T305" s="610"/>
      <c r="U305" s="466">
        <v>0</v>
      </c>
      <c r="V305" s="647">
        <f t="shared" si="64"/>
        <v>76232.27</v>
      </c>
      <c r="W305" s="647"/>
      <c r="X305" s="886">
        <f t="shared" si="66"/>
        <v>2744362</v>
      </c>
      <c r="Y305" s="846">
        <f t="shared" si="57"/>
        <v>1.5246455555555556</v>
      </c>
      <c r="Z305" s="491">
        <v>1800000</v>
      </c>
      <c r="AA305" s="663">
        <f t="shared" si="58"/>
        <v>2744362</v>
      </c>
      <c r="AB305" s="612">
        <f t="shared" si="65"/>
        <v>274</v>
      </c>
      <c r="AC305" s="613">
        <f>IFERROR(INDEX('[2]CN HĐ'!$M$10:$M$72,MATCH(B305,'[2]CN HĐ'!$H$10:$H$72,0)),"")</f>
        <v>0</v>
      </c>
      <c r="AD305" s="108"/>
      <c r="AE305" s="155"/>
      <c r="AF305" s="108"/>
      <c r="AG305" s="108"/>
      <c r="AH305" s="108"/>
      <c r="AI305" s="108"/>
      <c r="AJ305" s="108"/>
      <c r="AK305" s="108"/>
      <c r="AL305" s="108"/>
      <c r="AM305" s="108"/>
      <c r="AN305" s="108"/>
      <c r="AO305" s="108"/>
      <c r="AP305" s="108"/>
      <c r="AQ305" s="108"/>
      <c r="AR305" s="108"/>
      <c r="AS305" s="108"/>
      <c r="AT305" s="108"/>
      <c r="AU305" s="108"/>
      <c r="AV305" s="108"/>
      <c r="AW305" s="108"/>
      <c r="AX305" s="108"/>
      <c r="AY305" s="108"/>
      <c r="AZ305" s="108"/>
      <c r="BA305" s="108"/>
    </row>
    <row r="306" spans="1:53" s="372" customFormat="1" ht="27" customHeight="1">
      <c r="A306" s="30">
        <f>_xlfn.AGGREGATE(4,7,A$29:A305)+1</f>
        <v>275</v>
      </c>
      <c r="B306" s="363" t="s">
        <v>2046</v>
      </c>
      <c r="C306" s="375"/>
      <c r="D306" s="406" t="s">
        <v>2047</v>
      </c>
      <c r="E306" s="604" t="s">
        <v>2048</v>
      </c>
      <c r="F306" s="604"/>
      <c r="G306" s="604"/>
      <c r="H306" s="81" t="s">
        <v>2031</v>
      </c>
      <c r="I306" s="605">
        <v>5972998</v>
      </c>
      <c r="J306" s="368" t="str">
        <f>VLOOKUP(B306,TH!B295:J627,9,FALSE)</f>
        <v>NV Bảo vệ</v>
      </c>
      <c r="K306" s="466">
        <f t="shared" si="62"/>
        <v>1791899.4</v>
      </c>
      <c r="L306" s="606" t="str">
        <f>VLOOKUP(B306,'[1]Gui chi Quynh'!$B$11:$E$400,4,FALSE)</f>
        <v>A4</v>
      </c>
      <c r="M306" s="466">
        <f t="shared" si="67"/>
        <v>1791899</v>
      </c>
      <c r="N306" s="606">
        <v>26</v>
      </c>
      <c r="O306" s="607">
        <f>IFERROR(INDEX('[2]CN HĐ'!$J$10:$J$72,MATCH(B306,'[2]CN HĐ'!$H$10:$H$72,0)),"")</f>
        <v>27</v>
      </c>
      <c r="P306" s="608" t="e">
        <f>IF(M306&gt;#REF!,M306,#REF!)</f>
        <v>#REF!</v>
      </c>
      <c r="Q306" s="466">
        <f t="shared" si="63"/>
        <v>1791899</v>
      </c>
      <c r="R306" s="609"/>
      <c r="S306" s="466">
        <v>0</v>
      </c>
      <c r="T306" s="610"/>
      <c r="U306" s="466">
        <v>0</v>
      </c>
      <c r="V306" s="647">
        <f t="shared" si="64"/>
        <v>59729.98</v>
      </c>
      <c r="W306" s="647"/>
      <c r="X306" s="886">
        <f t="shared" si="66"/>
        <v>1791899</v>
      </c>
      <c r="Y306" s="846">
        <f t="shared" si="57"/>
        <v>0.99549944444444449</v>
      </c>
      <c r="Z306" s="491">
        <v>1800000</v>
      </c>
      <c r="AA306" s="663">
        <f t="shared" si="58"/>
        <v>1791899</v>
      </c>
      <c r="AB306" s="612">
        <f t="shared" si="65"/>
        <v>275</v>
      </c>
      <c r="AC306" s="613">
        <f>IFERROR(INDEX('[2]CN HĐ'!$M$10:$M$72,MATCH(B306,'[2]CN HĐ'!$H$10:$H$72,0)),"")</f>
        <v>0</v>
      </c>
      <c r="AD306" s="108"/>
      <c r="AE306" s="155"/>
      <c r="AF306" s="108"/>
      <c r="AG306" s="108"/>
      <c r="AH306" s="108"/>
      <c r="AI306" s="108"/>
      <c r="AJ306" s="108"/>
      <c r="AK306" s="108"/>
      <c r="AL306" s="108"/>
      <c r="AM306" s="108"/>
      <c r="AN306" s="108"/>
      <c r="AO306" s="108"/>
      <c r="AP306" s="108"/>
      <c r="AQ306" s="108"/>
      <c r="AR306" s="108"/>
      <c r="AS306" s="108"/>
      <c r="AT306" s="108"/>
      <c r="AU306" s="108"/>
      <c r="AV306" s="108"/>
      <c r="AW306" s="108"/>
      <c r="AX306" s="108"/>
      <c r="AY306" s="108"/>
      <c r="AZ306" s="108"/>
      <c r="BA306" s="108"/>
    </row>
    <row r="307" spans="1:53" s="372" customFormat="1" ht="30" customHeight="1">
      <c r="A307" s="30">
        <f>_xlfn.AGGREGATE(4,7,A$29:A306)+1</f>
        <v>276</v>
      </c>
      <c r="B307" s="363" t="s">
        <v>2049</v>
      </c>
      <c r="C307" s="375"/>
      <c r="D307" s="434" t="s">
        <v>2050</v>
      </c>
      <c r="E307" s="604" t="s">
        <v>2051</v>
      </c>
      <c r="F307" s="604"/>
      <c r="G307" s="604"/>
      <c r="H307" s="368" t="s">
        <v>2031</v>
      </c>
      <c r="I307" s="605">
        <v>5972998</v>
      </c>
      <c r="J307" s="368" t="str">
        <f>VLOOKUP(B307,TH!B296:J628,9,FALSE)</f>
        <v>NV Bảo vệ</v>
      </c>
      <c r="K307" s="466">
        <f t="shared" si="62"/>
        <v>1791899.4</v>
      </c>
      <c r="L307" s="606" t="str">
        <f>VLOOKUP(B307,'[1]Gui chi Quynh'!$B$11:$E$400,4,FALSE)</f>
        <v>A3</v>
      </c>
      <c r="M307" s="466">
        <f t="shared" si="67"/>
        <v>2150279</v>
      </c>
      <c r="N307" s="606">
        <v>26</v>
      </c>
      <c r="O307" s="607">
        <f>IFERROR(INDEX('[2]CN HĐ'!$J$10:$J$72,MATCH(B307,'[2]CN HĐ'!$H$10:$H$72,0)),"")</f>
        <v>26</v>
      </c>
      <c r="P307" s="608" t="e">
        <f>IF(M307&gt;#REF!,M307,#REF!)</f>
        <v>#REF!</v>
      </c>
      <c r="Q307" s="466">
        <f t="shared" si="63"/>
        <v>2150279</v>
      </c>
      <c r="R307" s="609"/>
      <c r="S307" s="466">
        <v>0</v>
      </c>
      <c r="T307" s="610"/>
      <c r="U307" s="466">
        <v>0</v>
      </c>
      <c r="V307" s="647">
        <f t="shared" si="64"/>
        <v>59729.98</v>
      </c>
      <c r="W307" s="647"/>
      <c r="X307" s="886">
        <f t="shared" si="66"/>
        <v>2150279</v>
      </c>
      <c r="Y307" s="846">
        <f t="shared" si="57"/>
        <v>1.1945994444444445</v>
      </c>
      <c r="Z307" s="491">
        <v>1800000</v>
      </c>
      <c r="AA307" s="663">
        <f t="shared" si="58"/>
        <v>2150279</v>
      </c>
      <c r="AB307" s="612">
        <f t="shared" si="65"/>
        <v>276</v>
      </c>
      <c r="AC307" s="613">
        <f>IFERROR(INDEX('[2]CN HĐ'!$M$10:$M$72,MATCH(B307,'[2]CN HĐ'!$H$10:$H$72,0)),"")</f>
        <v>0</v>
      </c>
      <c r="AE307" s="487"/>
    </row>
    <row r="308" spans="1:53" s="372" customFormat="1" ht="54" customHeight="1">
      <c r="A308" s="543">
        <f>_xlfn.AGGREGATE(4,7,A$29:A307)+1</f>
        <v>277</v>
      </c>
      <c r="B308" s="575" t="s">
        <v>2052</v>
      </c>
      <c r="C308" s="650"/>
      <c r="D308" s="576"/>
      <c r="E308" s="839"/>
      <c r="F308" s="839"/>
      <c r="G308" s="839"/>
      <c r="H308" s="472" t="s">
        <v>2042</v>
      </c>
      <c r="I308" s="627">
        <v>5733201</v>
      </c>
      <c r="J308" s="472" t="str">
        <f>VLOOKUP(B308,TH!B297:J629,9,FALSE)</f>
        <v>NV Bảo vệ</v>
      </c>
      <c r="K308" s="628">
        <f t="shared" si="62"/>
        <v>4013240.6999999997</v>
      </c>
      <c r="L308" s="629" t="str">
        <f>VLOOKUP(B308,'[1]Gui chi Quynh'!$B$11:$E$400,4,FALSE)</f>
        <v>B1</v>
      </c>
      <c r="M308" s="628">
        <f t="shared" si="67"/>
        <v>2809268</v>
      </c>
      <c r="N308" s="629">
        <v>26</v>
      </c>
      <c r="O308" s="630">
        <f>IFERROR(INDEX('[2]CN HĐ'!$J$10:$J$72,MATCH(B308,'[2]CN HĐ'!$H$10:$H$72,0)),"")</f>
        <v>22</v>
      </c>
      <c r="P308" s="631" t="e">
        <f>IF(M308&gt;#REF!,M308,#REF!)</f>
        <v>#REF!</v>
      </c>
      <c r="Q308" s="628">
        <f t="shared" si="63"/>
        <v>2377073</v>
      </c>
      <c r="R308" s="632"/>
      <c r="S308" s="628">
        <v>0</v>
      </c>
      <c r="T308" s="633"/>
      <c r="U308" s="628">
        <v>0</v>
      </c>
      <c r="V308" s="628">
        <f t="shared" si="64"/>
        <v>57332.01</v>
      </c>
      <c r="W308" s="628"/>
      <c r="X308" s="886">
        <f t="shared" si="66"/>
        <v>2377073</v>
      </c>
      <c r="Y308" s="894">
        <f t="shared" si="57"/>
        <v>1.3205961111111111</v>
      </c>
      <c r="Z308" s="843">
        <v>1800000</v>
      </c>
      <c r="AA308" s="706">
        <f t="shared" si="58"/>
        <v>2377073</v>
      </c>
      <c r="AB308" s="634">
        <f t="shared" si="65"/>
        <v>277</v>
      </c>
      <c r="AC308" s="635" t="s">
        <v>2195</v>
      </c>
      <c r="AD308" s="616"/>
      <c r="AE308" s="465"/>
      <c r="AF308" s="108"/>
      <c r="AG308" s="108"/>
      <c r="AH308" s="108"/>
      <c r="AI308" s="108"/>
      <c r="AJ308" s="108"/>
      <c r="AK308" s="108"/>
      <c r="AL308" s="108"/>
      <c r="AM308" s="108"/>
      <c r="AN308" s="108"/>
      <c r="AO308" s="108"/>
      <c r="AP308" s="108"/>
      <c r="AQ308" s="108"/>
      <c r="AR308" s="108"/>
      <c r="AS308" s="108"/>
      <c r="AT308" s="108"/>
      <c r="AU308" s="108"/>
      <c r="AV308" s="108"/>
      <c r="AW308" s="108"/>
      <c r="AX308" s="108"/>
      <c r="AY308" s="108"/>
      <c r="AZ308" s="108"/>
      <c r="BA308" s="108"/>
    </row>
    <row r="309" spans="1:53" s="372" customFormat="1" ht="32.25" customHeight="1">
      <c r="A309" s="30">
        <f>_xlfn.AGGREGATE(4,7,A$29:A308)+1</f>
        <v>278</v>
      </c>
      <c r="B309" s="363" t="s">
        <v>2053</v>
      </c>
      <c r="C309" s="375"/>
      <c r="D309" s="434"/>
      <c r="E309" s="604"/>
      <c r="F309" s="604"/>
      <c r="G309" s="604"/>
      <c r="H309" s="368" t="s">
        <v>2031</v>
      </c>
      <c r="I309" s="605">
        <v>4680000</v>
      </c>
      <c r="J309" s="368" t="str">
        <f>VLOOKUP(B309,TH!B298:J630,9,FALSE)</f>
        <v>NV Bảo vệ</v>
      </c>
      <c r="K309" s="466">
        <f t="shared" si="62"/>
        <v>1404000</v>
      </c>
      <c r="L309" s="606" t="str">
        <f>VLOOKUP(B309,'[1]Gui chi Quynh'!$B$11:$E$400,4,FALSE)</f>
        <v>A4</v>
      </c>
      <c r="M309" s="466">
        <f t="shared" si="67"/>
        <v>1404000</v>
      </c>
      <c r="N309" s="606">
        <v>26</v>
      </c>
      <c r="O309" s="607">
        <f>IFERROR(INDEX('[2]CN HĐ'!$J$10:$J$72,MATCH(B309,'[2]CN HĐ'!$H$10:$H$72,0)),"")</f>
        <v>27</v>
      </c>
      <c r="P309" s="608"/>
      <c r="Q309" s="466">
        <f t="shared" si="63"/>
        <v>1404000</v>
      </c>
      <c r="R309" s="609"/>
      <c r="S309" s="466">
        <v>0</v>
      </c>
      <c r="T309" s="610"/>
      <c r="U309" s="466">
        <v>0</v>
      </c>
      <c r="V309" s="647">
        <f t="shared" si="64"/>
        <v>46800</v>
      </c>
      <c r="W309" s="647"/>
      <c r="X309" s="886">
        <f t="shared" si="66"/>
        <v>1404000</v>
      </c>
      <c r="Y309" s="846">
        <f t="shared" si="57"/>
        <v>0.78</v>
      </c>
      <c r="Z309" s="491">
        <v>1800000</v>
      </c>
      <c r="AA309" s="663">
        <f t="shared" si="58"/>
        <v>1404000</v>
      </c>
      <c r="AB309" s="612">
        <f t="shared" si="65"/>
        <v>278</v>
      </c>
      <c r="AC309" s="613">
        <f>IFERROR(INDEX('[2]CN HĐ'!$M$10:$M$72,MATCH(B309,'[2]CN HĐ'!$H$10:$H$72,0)),"")</f>
        <v>0</v>
      </c>
      <c r="AD309" s="616"/>
      <c r="AE309" s="465"/>
      <c r="AF309" s="108"/>
      <c r="AG309" s="108"/>
      <c r="AH309" s="108"/>
      <c r="AI309" s="108"/>
      <c r="AJ309" s="108"/>
      <c r="AK309" s="108"/>
      <c r="AL309" s="108"/>
      <c r="AM309" s="108"/>
      <c r="AN309" s="108"/>
      <c r="AO309" s="108"/>
      <c r="AP309" s="108"/>
      <c r="AQ309" s="108"/>
      <c r="AR309" s="108"/>
      <c r="AS309" s="108"/>
      <c r="AT309" s="108"/>
      <c r="AU309" s="108"/>
      <c r="AV309" s="108"/>
      <c r="AW309" s="108"/>
      <c r="AX309" s="108"/>
      <c r="AY309" s="108"/>
      <c r="AZ309" s="108"/>
      <c r="BA309" s="108"/>
    </row>
    <row r="310" spans="1:53" s="372" customFormat="1" ht="27" customHeight="1">
      <c r="A310" s="30">
        <f>_xlfn.AGGREGATE(4,7,A$29:A309)+1</f>
        <v>279</v>
      </c>
      <c r="B310" s="363" t="s">
        <v>2054</v>
      </c>
      <c r="C310" s="375"/>
      <c r="D310" s="434"/>
      <c r="E310" s="614">
        <v>1603205639357</v>
      </c>
      <c r="F310" s="614"/>
      <c r="G310" s="614"/>
      <c r="H310" s="368" t="s">
        <v>2038</v>
      </c>
      <c r="I310" s="605">
        <v>5257980</v>
      </c>
      <c r="J310" s="368" t="str">
        <f>VLOOKUP(B310,TH!B299:J631,9,FALSE)</f>
        <v>NV Lái xe</v>
      </c>
      <c r="K310" s="466">
        <f t="shared" si="62"/>
        <v>3680585.9999999995</v>
      </c>
      <c r="L310" s="606" t="str">
        <f>VLOOKUP(B310,'[1]Gui chi Quynh'!$B$11:$E$400,4,FALSE)</f>
        <v>A2</v>
      </c>
      <c r="M310" s="466">
        <f t="shared" si="67"/>
        <v>5152820</v>
      </c>
      <c r="N310" s="606">
        <v>26</v>
      </c>
      <c r="O310" s="607">
        <f>IFERROR(INDEX('[2]CN HĐ'!$J$10:$J$72,MATCH(B310,'[2]CN HĐ'!$H$10:$H$72,0)),"")</f>
        <v>29</v>
      </c>
      <c r="P310" s="608" t="e">
        <f>IF(M310&gt;#REF!,M310,#REF!)</f>
        <v>#REF!</v>
      </c>
      <c r="Q310" s="466">
        <f t="shared" si="63"/>
        <v>5152820</v>
      </c>
      <c r="R310" s="609"/>
      <c r="S310" s="466">
        <v>0</v>
      </c>
      <c r="T310" s="610"/>
      <c r="U310" s="466">
        <v>0</v>
      </c>
      <c r="V310" s="647">
        <f t="shared" si="64"/>
        <v>52579.8</v>
      </c>
      <c r="W310" s="647"/>
      <c r="X310" s="886">
        <f t="shared" si="66"/>
        <v>5152820</v>
      </c>
      <c r="Y310" s="846">
        <f t="shared" si="57"/>
        <v>2.8626777777777779</v>
      </c>
      <c r="Z310" s="491">
        <v>1800000</v>
      </c>
      <c r="AA310" s="663">
        <f t="shared" si="58"/>
        <v>5152820</v>
      </c>
      <c r="AB310" s="612">
        <f t="shared" si="65"/>
        <v>279</v>
      </c>
      <c r="AC310" s="613">
        <f>IFERROR(INDEX('[2]CN HĐ'!$M$10:$M$72,MATCH(B310,'[2]CN HĐ'!$H$10:$H$72,0)),"")</f>
        <v>0</v>
      </c>
      <c r="AD310" s="616"/>
      <c r="AE310" s="155"/>
      <c r="AF310" s="108"/>
      <c r="AG310" s="108"/>
      <c r="AH310" s="108"/>
      <c r="AI310" s="108"/>
      <c r="AJ310" s="108"/>
      <c r="AK310" s="108"/>
      <c r="AL310" s="108"/>
      <c r="AM310" s="108"/>
      <c r="AN310" s="108"/>
      <c r="AO310" s="108"/>
      <c r="AP310" s="108"/>
      <c r="AQ310" s="108"/>
      <c r="AR310" s="108"/>
      <c r="AS310" s="108"/>
      <c r="AT310" s="108"/>
      <c r="AU310" s="108"/>
      <c r="AV310" s="108"/>
      <c r="AW310" s="108"/>
      <c r="AX310" s="108"/>
      <c r="AY310" s="108"/>
      <c r="AZ310" s="108"/>
      <c r="BA310" s="108"/>
    </row>
    <row r="311" spans="1:53" s="372" customFormat="1" ht="31.5" customHeight="1">
      <c r="A311" s="30">
        <f>_xlfn.AGGREGATE(4,7,A$29:A310)+1</f>
        <v>280</v>
      </c>
      <c r="B311" s="363" t="s">
        <v>2055</v>
      </c>
      <c r="C311" s="375"/>
      <c r="D311" s="434"/>
      <c r="E311" s="615">
        <v>1603205641829</v>
      </c>
      <c r="F311" s="615"/>
      <c r="G311" s="615"/>
      <c r="H311" s="368" t="s">
        <v>2031</v>
      </c>
      <c r="I311" s="605">
        <v>5159700</v>
      </c>
      <c r="J311" s="368" t="str">
        <f>VLOOKUP(B311,TH!B300:J632,9,FALSE)</f>
        <v>NV Phuc vụ Phòng TC - HC - TH</v>
      </c>
      <c r="K311" s="466">
        <f t="shared" si="62"/>
        <v>1547910</v>
      </c>
      <c r="L311" s="606" t="str">
        <f>VLOOKUP(B311,'[1]Gui chi Quynh'!$B$11:$E$400,4,FALSE)</f>
        <v>A2</v>
      </c>
      <c r="M311" s="466">
        <f t="shared" si="67"/>
        <v>2167074</v>
      </c>
      <c r="N311" s="606">
        <v>26</v>
      </c>
      <c r="O311" s="607">
        <f>IFERROR(INDEX('[2]CN HĐ'!$J$10:$J$72,MATCH(B311,'[2]CN HĐ'!$H$10:$H$72,0)),"")</f>
        <v>26</v>
      </c>
      <c r="P311" s="608" t="e">
        <f>IF(M311&gt;#REF!,M311,#REF!)</f>
        <v>#REF!</v>
      </c>
      <c r="Q311" s="466">
        <f t="shared" si="63"/>
        <v>2167074</v>
      </c>
      <c r="R311" s="609"/>
      <c r="S311" s="466">
        <v>0</v>
      </c>
      <c r="T311" s="610"/>
      <c r="U311" s="466">
        <v>0</v>
      </c>
      <c r="V311" s="647">
        <f t="shared" si="64"/>
        <v>51597</v>
      </c>
      <c r="W311" s="647"/>
      <c r="X311" s="886">
        <f t="shared" si="66"/>
        <v>2167074</v>
      </c>
      <c r="Y311" s="846">
        <f t="shared" si="57"/>
        <v>1.2039299999999999</v>
      </c>
      <c r="Z311" s="491">
        <v>1800000</v>
      </c>
      <c r="AA311" s="663">
        <f t="shared" si="58"/>
        <v>2167074</v>
      </c>
      <c r="AB311" s="612">
        <f t="shared" si="65"/>
        <v>280</v>
      </c>
      <c r="AC311" s="613">
        <f>IFERROR(INDEX('[2]CN HĐ'!$M$10:$M$72,MATCH(B311,'[2]CN HĐ'!$H$10:$H$72,0)),"")</f>
        <v>0</v>
      </c>
      <c r="AD311" s="616"/>
      <c r="AE311" s="155"/>
      <c r="AF311" s="108"/>
      <c r="AG311" s="108"/>
      <c r="AH311" s="108"/>
      <c r="AI311" s="108"/>
      <c r="AJ311" s="108"/>
      <c r="AK311" s="108"/>
      <c r="AL311" s="108"/>
      <c r="AM311" s="108"/>
      <c r="AN311" s="108"/>
      <c r="AO311" s="108"/>
      <c r="AP311" s="108"/>
      <c r="AQ311" s="108"/>
      <c r="AR311" s="108"/>
      <c r="AS311" s="108"/>
      <c r="AT311" s="108"/>
      <c r="AU311" s="108"/>
    </row>
    <row r="312" spans="1:53" s="372" customFormat="1" ht="33" customHeight="1">
      <c r="A312" s="379">
        <f>_xlfn.AGGREGATE(4,7,A$29:A311)+1</f>
        <v>281</v>
      </c>
      <c r="B312" s="363" t="s">
        <v>2056</v>
      </c>
      <c r="C312" s="375"/>
      <c r="D312" s="434"/>
      <c r="E312" s="615"/>
      <c r="F312" s="615"/>
      <c r="G312" s="615"/>
      <c r="H312" s="368" t="s">
        <v>2042</v>
      </c>
      <c r="I312" s="605">
        <v>5358132</v>
      </c>
      <c r="J312" s="368" t="str">
        <f>VLOOKUP(B312,TH!B301:J633,9,FALSE)</f>
        <v>Nhân viên phòng Thanh tra GD - Công tác SV</v>
      </c>
      <c r="K312" s="466">
        <f t="shared" si="62"/>
        <v>3750692.4</v>
      </c>
      <c r="L312" s="606" t="str">
        <f>VLOOKUP(B312,'[1]Gui chi Quynh'!$B$11:$E$400,4,FALSE)</f>
        <v>A4</v>
      </c>
      <c r="M312" s="466">
        <f t="shared" si="67"/>
        <v>3750692</v>
      </c>
      <c r="N312" s="606">
        <v>26</v>
      </c>
      <c r="O312" s="607">
        <f>IFERROR(INDEX('[2]CN HĐ'!$J$10:$J$72,MATCH(B312,'[2]CN HĐ'!$H$10:$H$72,0)),"")</f>
        <v>26</v>
      </c>
      <c r="P312" s="608"/>
      <c r="Q312" s="466">
        <f t="shared" si="63"/>
        <v>3750692</v>
      </c>
      <c r="R312" s="609"/>
      <c r="S312" s="466">
        <v>0</v>
      </c>
      <c r="T312" s="610"/>
      <c r="U312" s="466">
        <v>0</v>
      </c>
      <c r="V312" s="466">
        <f t="shared" si="64"/>
        <v>53581.32</v>
      </c>
      <c r="W312" s="466"/>
      <c r="X312" s="886">
        <f t="shared" si="66"/>
        <v>3750692</v>
      </c>
      <c r="Y312" s="846">
        <f t="shared" si="57"/>
        <v>2.0837177777777778</v>
      </c>
      <c r="Z312" s="491">
        <v>1800000</v>
      </c>
      <c r="AA312" s="663">
        <f t="shared" si="58"/>
        <v>3750692</v>
      </c>
      <c r="AB312" s="612">
        <f t="shared" si="65"/>
        <v>281</v>
      </c>
      <c r="AC312" s="613">
        <f>IFERROR(INDEX('[2]CN HĐ'!$M$10:$M$72,MATCH(B312,'[2]CN HĐ'!$H$10:$H$72,0)),"")</f>
        <v>0</v>
      </c>
      <c r="AD312" s="617"/>
      <c r="AE312" s="487"/>
    </row>
    <row r="313" spans="1:53" s="372" customFormat="1" ht="30.75" customHeight="1">
      <c r="A313" s="30">
        <f>_xlfn.AGGREGATE(4,7,A$29:A312)+1</f>
        <v>282</v>
      </c>
      <c r="B313" s="363" t="s">
        <v>2057</v>
      </c>
      <c r="C313" s="375"/>
      <c r="D313" s="434" t="s">
        <v>2058</v>
      </c>
      <c r="E313" s="615" t="s">
        <v>1256</v>
      </c>
      <c r="F313" s="615"/>
      <c r="G313" s="615"/>
      <c r="H313" s="368" t="s">
        <v>2038</v>
      </c>
      <c r="I313" s="605">
        <v>8992930</v>
      </c>
      <c r="J313" s="368" t="str">
        <f>VLOOKUP(B313,TH!B302:J634,9,FALSE)</f>
        <v>NV Phòng Tổ chức - Hành chính - Tổng hợp</v>
      </c>
      <c r="K313" s="466">
        <f t="shared" si="62"/>
        <v>6295051</v>
      </c>
      <c r="L313" s="606" t="str">
        <f>VLOOKUP(B313,'[1]Gui chi Quynh'!$B$11:$E$400,4,FALSE)</f>
        <v>A4</v>
      </c>
      <c r="M313" s="466">
        <f t="shared" si="67"/>
        <v>6295051</v>
      </c>
      <c r="N313" s="606">
        <v>26</v>
      </c>
      <c r="O313" s="607">
        <f>IFERROR(INDEX('[2]CN HĐ'!$J$10:$J$72,MATCH(B313,'[2]CN HĐ'!$H$10:$H$72,0)),"")</f>
        <v>26</v>
      </c>
      <c r="P313" s="608"/>
      <c r="Q313" s="466">
        <f t="shared" si="63"/>
        <v>6295051</v>
      </c>
      <c r="R313" s="609"/>
      <c r="S313" s="466">
        <v>0</v>
      </c>
      <c r="T313" s="610"/>
      <c r="U313" s="466">
        <v>0</v>
      </c>
      <c r="V313" s="647">
        <f t="shared" si="64"/>
        <v>89929.3</v>
      </c>
      <c r="W313" s="647"/>
      <c r="X313" s="886">
        <f t="shared" si="66"/>
        <v>6295051</v>
      </c>
      <c r="Y313" s="846">
        <f t="shared" si="57"/>
        <v>3.4972505555555555</v>
      </c>
      <c r="Z313" s="491">
        <v>1800000</v>
      </c>
      <c r="AA313" s="663">
        <f t="shared" si="58"/>
        <v>6295051</v>
      </c>
      <c r="AB313" s="612">
        <f t="shared" si="65"/>
        <v>282</v>
      </c>
      <c r="AC313" s="613">
        <f>IFERROR(INDEX('[2]CN HĐ'!$M$10:$M$72,MATCH(B313,'[2]CN HĐ'!$H$10:$H$72,0)),"")</f>
        <v>0</v>
      </c>
      <c r="AD313" s="618"/>
      <c r="AE313" s="155"/>
      <c r="AF313" s="108"/>
      <c r="AG313" s="108"/>
      <c r="AH313" s="108"/>
      <c r="AI313" s="108"/>
      <c r="AJ313" s="108"/>
      <c r="AK313" s="108"/>
      <c r="AL313" s="108"/>
      <c r="AM313" s="108"/>
      <c r="AN313" s="108"/>
      <c r="AO313" s="108"/>
      <c r="AP313" s="108"/>
      <c r="AQ313" s="108"/>
      <c r="AR313" s="108"/>
      <c r="AS313" s="108"/>
      <c r="AT313" s="108"/>
      <c r="AU313" s="108"/>
      <c r="AV313" s="108"/>
      <c r="AW313" s="108"/>
      <c r="AX313" s="108"/>
      <c r="AY313" s="108"/>
      <c r="AZ313" s="108"/>
      <c r="BA313" s="108"/>
    </row>
    <row r="314" spans="1:53" s="372" customFormat="1" ht="30.75" customHeight="1">
      <c r="A314" s="30">
        <f>_xlfn.AGGREGATE(4,7,A$29:A313)+1</f>
        <v>283</v>
      </c>
      <c r="B314" s="363" t="s">
        <v>2059</v>
      </c>
      <c r="C314" s="375"/>
      <c r="D314" s="434"/>
      <c r="E314" s="615"/>
      <c r="F314" s="615"/>
      <c r="G314" s="615"/>
      <c r="H314" s="368" t="s">
        <v>2031</v>
      </c>
      <c r="I314" s="605">
        <v>4680000</v>
      </c>
      <c r="J314" s="368" t="str">
        <f>VLOOKUP(B314,TH!B303:J635,9,FALSE)</f>
        <v>Nhân viên bảo vệ</v>
      </c>
      <c r="K314" s="466">
        <f t="shared" si="62"/>
        <v>1404000</v>
      </c>
      <c r="L314" s="606" t="str">
        <f>VLOOKUP(B314,'[1]Gui chi Quynh'!$B$11:$E$400,4,FALSE)</f>
        <v>A3</v>
      </c>
      <c r="M314" s="466">
        <f t="shared" si="67"/>
        <v>1684800</v>
      </c>
      <c r="N314" s="606">
        <v>26</v>
      </c>
      <c r="O314" s="607">
        <f>IFERROR(INDEX('[2]CN HĐ'!$J$10:$J$72,MATCH(B314,'[2]CN HĐ'!$H$10:$H$72,0)),"")</f>
        <v>25</v>
      </c>
      <c r="P314" s="608"/>
      <c r="Q314" s="466">
        <f t="shared" si="63"/>
        <v>1620000</v>
      </c>
      <c r="R314" s="609"/>
      <c r="S314" s="466">
        <v>0</v>
      </c>
      <c r="T314" s="610"/>
      <c r="U314" s="466">
        <v>0</v>
      </c>
      <c r="V314" s="647">
        <f t="shared" si="64"/>
        <v>46800</v>
      </c>
      <c r="W314" s="647"/>
      <c r="X314" s="886">
        <f t="shared" si="66"/>
        <v>1620000</v>
      </c>
      <c r="Y314" s="846">
        <f t="shared" si="57"/>
        <v>0.9</v>
      </c>
      <c r="Z314" s="491">
        <v>1800000</v>
      </c>
      <c r="AA314" s="663">
        <f t="shared" si="58"/>
        <v>1620000</v>
      </c>
      <c r="AB314" s="612">
        <f t="shared" si="65"/>
        <v>283</v>
      </c>
      <c r="AC314" s="613" t="str">
        <f>IFERROR(INDEX('[2]CN HĐ'!$M$10:$M$72,MATCH(B314,'[2]CN HĐ'!$H$10:$H$72,0)),"")</f>
        <v>Trừ 1 ngày nghỉ phép 16/3</v>
      </c>
      <c r="AD314" s="619"/>
      <c r="AE314" s="487"/>
    </row>
    <row r="315" spans="1:53" s="372" customFormat="1" ht="30" customHeight="1">
      <c r="A315" s="30">
        <f>_xlfn.AGGREGATE(4,7,A$29:A314)+1</f>
        <v>284</v>
      </c>
      <c r="B315" s="363" t="s">
        <v>2060</v>
      </c>
      <c r="C315" s="375"/>
      <c r="D315" s="434" t="s">
        <v>2061</v>
      </c>
      <c r="E315" s="615" t="s">
        <v>1275</v>
      </c>
      <c r="F315" s="615"/>
      <c r="G315" s="615"/>
      <c r="H315" s="81" t="s">
        <v>2042</v>
      </c>
      <c r="I315" s="605">
        <v>8041111</v>
      </c>
      <c r="J315" s="368" t="str">
        <f>VLOOKUP(B315,TH!B304:J636,9,FALSE)</f>
        <v>NV Phòng Tổ chức - Hành chính - Tổng hợp</v>
      </c>
      <c r="K315" s="466">
        <f t="shared" si="62"/>
        <v>5628777.6999999993</v>
      </c>
      <c r="L315" s="606" t="str">
        <f>VLOOKUP(B315,'[1]Gui chi Quynh'!$B$11:$E$400,4,FALSE)</f>
        <v>A3</v>
      </c>
      <c r="M315" s="466">
        <f t="shared" si="67"/>
        <v>6754533</v>
      </c>
      <c r="N315" s="606">
        <v>26</v>
      </c>
      <c r="O315" s="607">
        <f>IFERROR(INDEX('[2]CN HĐ'!$J$10:$J$72,MATCH(B315,'[2]CN HĐ'!$H$10:$H$72,0)),"")</f>
        <v>24.5</v>
      </c>
      <c r="P315" s="608"/>
      <c r="Q315" s="466">
        <f t="shared" si="63"/>
        <v>6364848</v>
      </c>
      <c r="R315" s="609"/>
      <c r="S315" s="466">
        <v>0</v>
      </c>
      <c r="T315" s="610"/>
      <c r="U315" s="466">
        <v>0</v>
      </c>
      <c r="V315" s="647">
        <f t="shared" si="64"/>
        <v>80411.11</v>
      </c>
      <c r="W315" s="647">
        <v>3756025.5599999996</v>
      </c>
      <c r="X315" s="886">
        <f t="shared" si="66"/>
        <v>10120873.559999999</v>
      </c>
      <c r="Y315" s="846">
        <f t="shared" si="57"/>
        <v>5.6227075333333323</v>
      </c>
      <c r="Z315" s="491">
        <v>1800000</v>
      </c>
      <c r="AA315" s="663">
        <f t="shared" si="58"/>
        <v>10120873.559999999</v>
      </c>
      <c r="AB315" s="612">
        <f t="shared" si="65"/>
        <v>284</v>
      </c>
      <c r="AC315" s="613" t="str">
        <f>IFERROR(INDEX('[2]CN HĐ'!$M$10:$M$72,MATCH(B315,'[2]CN HĐ'!$H$10:$H$72,0)),"")</f>
        <v>Trừ 1 ngày nghỉ phép 23/3</v>
      </c>
      <c r="AD315" s="618"/>
      <c r="AE315" s="155"/>
      <c r="AF315" s="108"/>
      <c r="AG315" s="108"/>
      <c r="AH315" s="108"/>
      <c r="AI315" s="108"/>
      <c r="AJ315" s="108"/>
      <c r="AK315" s="108"/>
      <c r="AL315" s="108"/>
      <c r="AM315" s="108"/>
      <c r="AN315" s="108"/>
      <c r="AO315" s="108"/>
      <c r="AP315" s="108"/>
      <c r="AQ315" s="108"/>
      <c r="AR315" s="108"/>
      <c r="AS315" s="108"/>
      <c r="AT315" s="108"/>
      <c r="AU315" s="108"/>
      <c r="AV315" s="108"/>
      <c r="AW315" s="108"/>
      <c r="AX315" s="108"/>
      <c r="AY315" s="108"/>
      <c r="AZ315" s="108"/>
      <c r="BA315" s="108"/>
    </row>
    <row r="316" spans="1:53" s="372" customFormat="1" ht="29.25" customHeight="1">
      <c r="A316" s="30">
        <f>_xlfn.AGGREGATE(4,7,A$29:A315)+1</f>
        <v>285</v>
      </c>
      <c r="B316" s="444" t="s">
        <v>2062</v>
      </c>
      <c r="C316" s="419" t="s">
        <v>874</v>
      </c>
      <c r="D316" s="418" t="s">
        <v>2063</v>
      </c>
      <c r="E316" s="615" t="s">
        <v>2064</v>
      </c>
      <c r="F316" s="615"/>
      <c r="G316" s="615"/>
      <c r="H316" s="368" t="s">
        <v>2042</v>
      </c>
      <c r="I316" s="605">
        <v>7023418</v>
      </c>
      <c r="J316" s="368" t="str">
        <f>VLOOKUP(B316,TH!B305:J637,9,FALSE)</f>
        <v>NV P. QT 
Dịch vụ</v>
      </c>
      <c r="K316" s="466">
        <f t="shared" si="62"/>
        <v>4916392.5999999996</v>
      </c>
      <c r="L316" s="606" t="str">
        <f>VLOOKUP(B316,'[1]Gui chi Quynh'!$B$11:$E$400,4,FALSE)</f>
        <v>A4</v>
      </c>
      <c r="M316" s="466">
        <f t="shared" si="67"/>
        <v>4916393</v>
      </c>
      <c r="N316" s="606">
        <v>26</v>
      </c>
      <c r="O316" s="607">
        <f>IFERROR(INDEX('[2]CN HĐ'!$J$10:$J$72,MATCH(B316,'[2]CN HĐ'!$H$10:$H$72,0)),"")</f>
        <v>23</v>
      </c>
      <c r="P316" s="608" t="e">
        <f>IF(M316&gt;#REF!,M316,#REF!)</f>
        <v>#REF!</v>
      </c>
      <c r="Q316" s="466">
        <f t="shared" si="63"/>
        <v>4349117</v>
      </c>
      <c r="R316" s="609"/>
      <c r="S316" s="466">
        <v>0</v>
      </c>
      <c r="T316" s="610"/>
      <c r="U316" s="466">
        <v>0</v>
      </c>
      <c r="V316" s="647">
        <f t="shared" si="64"/>
        <v>70234.180000000008</v>
      </c>
      <c r="W316" s="647"/>
      <c r="X316" s="886">
        <f t="shared" si="66"/>
        <v>4349117</v>
      </c>
      <c r="Y316" s="846">
        <f t="shared" si="57"/>
        <v>2.4161761111111111</v>
      </c>
      <c r="Z316" s="491">
        <v>1800000</v>
      </c>
      <c r="AA316" s="663">
        <f t="shared" si="58"/>
        <v>4349117</v>
      </c>
      <c r="AB316" s="612">
        <f t="shared" si="65"/>
        <v>285</v>
      </c>
      <c r="AC316" s="613" t="str">
        <f>IFERROR(INDEX('[2]CN HĐ'!$M$10:$M$72,MATCH(B316,'[2]CN HĐ'!$H$10:$H$72,0)),"")</f>
        <v>Trừ 3 ngày nghỉ phép 4+5+6/3</v>
      </c>
      <c r="AD316" s="155"/>
      <c r="AE316" s="108"/>
      <c r="AF316" s="108"/>
      <c r="AG316" s="108"/>
      <c r="AH316" s="108"/>
      <c r="AI316" s="108"/>
      <c r="AJ316" s="108"/>
      <c r="AK316" s="108"/>
      <c r="AL316" s="108"/>
      <c r="AM316" s="108"/>
      <c r="AN316" s="108"/>
      <c r="AO316" s="108"/>
      <c r="AP316" s="108"/>
      <c r="AQ316" s="108"/>
      <c r="AR316" s="108"/>
      <c r="AS316" s="108"/>
      <c r="AT316" s="108"/>
      <c r="AU316" s="108"/>
      <c r="AV316" s="108"/>
      <c r="AW316" s="108"/>
      <c r="AX316" s="108"/>
      <c r="AY316" s="108"/>
      <c r="AZ316" s="108"/>
      <c r="BA316" s="108"/>
    </row>
    <row r="317" spans="1:53" s="372" customFormat="1" ht="28.5" customHeight="1">
      <c r="A317" s="30">
        <f>_xlfn.AGGREGATE(4,7,A$29:A316)+1</f>
        <v>286</v>
      </c>
      <c r="B317" s="444" t="s">
        <v>2065</v>
      </c>
      <c r="C317" s="419" t="s">
        <v>921</v>
      </c>
      <c r="D317" s="418" t="s">
        <v>2066</v>
      </c>
      <c r="E317" s="615">
        <v>1603205186060</v>
      </c>
      <c r="F317" s="615"/>
      <c r="G317" s="615"/>
      <c r="H317" s="368" t="s">
        <v>2038</v>
      </c>
      <c r="I317" s="605">
        <v>6391108</v>
      </c>
      <c r="J317" s="368" t="str">
        <f>VLOOKUP(B317,TH!B306:J638,9,FALSE)</f>
        <v>NV Phòng Quản trị - Dịch vụ</v>
      </c>
      <c r="K317" s="466">
        <f t="shared" si="62"/>
        <v>4473775.5999999996</v>
      </c>
      <c r="L317" s="606" t="str">
        <f>VLOOKUP(B317,'[1]Gui chi Quynh'!$B$11:$E$400,4,FALSE)</f>
        <v>A2</v>
      </c>
      <c r="M317" s="466">
        <f t="shared" si="67"/>
        <v>6263286</v>
      </c>
      <c r="N317" s="606">
        <v>26</v>
      </c>
      <c r="O317" s="607">
        <f>IFERROR(INDEX('[2]CN HĐ'!$J$10:$J$72,MATCH(B317,'[2]CN HĐ'!$H$10:$H$72,0)),"")</f>
        <v>26</v>
      </c>
      <c r="P317" s="608" t="e">
        <f>IF(M317&gt;#REF!,M317,#REF!)</f>
        <v>#REF!</v>
      </c>
      <c r="Q317" s="466">
        <f t="shared" si="63"/>
        <v>6263286</v>
      </c>
      <c r="R317" s="609"/>
      <c r="S317" s="466">
        <v>0</v>
      </c>
      <c r="T317" s="610"/>
      <c r="U317" s="466">
        <v>0</v>
      </c>
      <c r="V317" s="647">
        <f t="shared" si="64"/>
        <v>63911.08</v>
      </c>
      <c r="W317" s="647"/>
      <c r="X317" s="886">
        <f t="shared" si="66"/>
        <v>6263286</v>
      </c>
      <c r="Y317" s="846">
        <f t="shared" si="57"/>
        <v>3.4796033333333334</v>
      </c>
      <c r="Z317" s="491">
        <v>1800000</v>
      </c>
      <c r="AA317" s="663">
        <f t="shared" si="58"/>
        <v>6263286</v>
      </c>
      <c r="AB317" s="612">
        <f t="shared" si="65"/>
        <v>286</v>
      </c>
      <c r="AC317" s="613">
        <f>IFERROR(INDEX('[2]CN HĐ'!$M$10:$M$72,MATCH(B317,'[2]CN HĐ'!$H$10:$H$72,0)),"")</f>
        <v>0</v>
      </c>
      <c r="AD317" s="155"/>
      <c r="AE317" s="108"/>
      <c r="AF317" s="108"/>
      <c r="AG317" s="108"/>
      <c r="AH317" s="108"/>
      <c r="AI317" s="108"/>
      <c r="AJ317" s="108"/>
      <c r="AK317" s="108"/>
      <c r="AL317" s="108"/>
      <c r="AM317" s="108"/>
      <c r="AN317" s="108"/>
      <c r="AO317" s="108"/>
      <c r="AP317" s="108"/>
      <c r="AQ317" s="108"/>
      <c r="AR317" s="108"/>
      <c r="AS317" s="108"/>
      <c r="AT317" s="108"/>
      <c r="AU317" s="108"/>
      <c r="AV317" s="108"/>
      <c r="AW317" s="108"/>
      <c r="AX317" s="108"/>
      <c r="AY317" s="108"/>
      <c r="AZ317" s="108"/>
      <c r="BA317" s="108"/>
    </row>
    <row r="318" spans="1:53" s="372" customFormat="1" ht="32.25" customHeight="1">
      <c r="A318" s="30">
        <f>_xlfn.AGGREGATE(4,7,A$29:A317)+1</f>
        <v>287</v>
      </c>
      <c r="B318" s="444" t="s">
        <v>2067</v>
      </c>
      <c r="C318" s="419" t="s">
        <v>882</v>
      </c>
      <c r="D318" s="418" t="s">
        <v>2068</v>
      </c>
      <c r="E318" s="615">
        <v>1603205327532</v>
      </c>
      <c r="F318" s="615"/>
      <c r="G318" s="615"/>
      <c r="H318" s="368" t="s">
        <v>2042</v>
      </c>
      <c r="I318" s="605">
        <v>8041111</v>
      </c>
      <c r="J318" s="368" t="str">
        <f>VLOOKUP(B318,TH!B307:J639,9,FALSE)</f>
        <v>NV bảo trì</v>
      </c>
      <c r="K318" s="466">
        <f t="shared" si="62"/>
        <v>5628777.6999999993</v>
      </c>
      <c r="L318" s="606" t="str">
        <f>VLOOKUP(B318,'[1]Gui chi Quynh'!$B$11:$E$400,4,FALSE)</f>
        <v>A2</v>
      </c>
      <c r="M318" s="466">
        <f t="shared" si="67"/>
        <v>7880289</v>
      </c>
      <c r="N318" s="606">
        <v>26</v>
      </c>
      <c r="O318" s="607">
        <f>IFERROR(INDEX('[2]CN HĐ'!$J$10:$J$72,MATCH(B318,'[2]CN HĐ'!$H$10:$H$72,0)),"")</f>
        <v>28</v>
      </c>
      <c r="P318" s="608" t="e">
        <f>IF(M318&gt;#REF!,M318,#REF!)</f>
        <v>#REF!</v>
      </c>
      <c r="Q318" s="466">
        <f t="shared" si="63"/>
        <v>7880289</v>
      </c>
      <c r="R318" s="609"/>
      <c r="S318" s="466">
        <v>0</v>
      </c>
      <c r="T318" s="610"/>
      <c r="U318" s="466">
        <v>0</v>
      </c>
      <c r="V318" s="647">
        <f t="shared" si="64"/>
        <v>80411.11</v>
      </c>
      <c r="W318" s="647"/>
      <c r="X318" s="886">
        <f t="shared" si="66"/>
        <v>7880289</v>
      </c>
      <c r="Y318" s="846">
        <f t="shared" si="57"/>
        <v>4.3779383333333337</v>
      </c>
      <c r="Z318" s="491">
        <v>1800000</v>
      </c>
      <c r="AA318" s="663">
        <f t="shared" si="58"/>
        <v>7880289.0000000009</v>
      </c>
      <c r="AB318" s="612">
        <f t="shared" si="65"/>
        <v>287</v>
      </c>
      <c r="AC318" s="613">
        <f>IFERROR(INDEX('[2]CN HĐ'!$M$10:$M$72,MATCH(B318,'[2]CN HĐ'!$H$10:$H$72,0)),"")</f>
        <v>0</v>
      </c>
      <c r="AD318" s="155"/>
      <c r="AE318" s="108"/>
      <c r="AF318" s="108"/>
      <c r="AG318" s="108"/>
      <c r="AH318" s="108"/>
      <c r="AI318" s="108"/>
      <c r="AJ318" s="108"/>
      <c r="AK318" s="108"/>
      <c r="AL318" s="108"/>
      <c r="AM318" s="108"/>
      <c r="AN318" s="108"/>
      <c r="AO318" s="108"/>
      <c r="AP318" s="108"/>
      <c r="AQ318" s="108"/>
      <c r="AR318" s="108"/>
      <c r="AS318" s="108"/>
      <c r="AT318" s="108"/>
      <c r="AU318" s="108"/>
      <c r="AV318" s="108"/>
      <c r="AW318" s="108"/>
      <c r="AX318" s="108"/>
      <c r="AY318" s="108"/>
      <c r="AZ318" s="108"/>
      <c r="BA318" s="108"/>
    </row>
    <row r="319" spans="1:53" s="372" customFormat="1" ht="32.25" customHeight="1">
      <c r="A319" s="30">
        <f>_xlfn.AGGREGATE(4,7,A$29:A318)+1</f>
        <v>288</v>
      </c>
      <c r="B319" s="444" t="s">
        <v>2069</v>
      </c>
      <c r="C319" s="419" t="s">
        <v>2070</v>
      </c>
      <c r="D319" s="418" t="s">
        <v>2071</v>
      </c>
      <c r="E319" s="604" t="s">
        <v>2072</v>
      </c>
      <c r="F319" s="604"/>
      <c r="G319" s="604"/>
      <c r="H319" s="368" t="s">
        <v>2038</v>
      </c>
      <c r="I319" s="605">
        <v>5520879</v>
      </c>
      <c r="J319" s="368" t="str">
        <f>VLOOKUP(B319,TH!B308:J640,9,FALSE)</f>
        <v>NV P. QT 
Dịch vụ</v>
      </c>
      <c r="K319" s="466">
        <f t="shared" si="62"/>
        <v>3864615.3</v>
      </c>
      <c r="L319" s="606" t="str">
        <f>VLOOKUP(B319,'[1]Gui chi Quynh'!$B$11:$E$400,4,FALSE)</f>
        <v>A3</v>
      </c>
      <c r="M319" s="466">
        <f t="shared" si="67"/>
        <v>4637538</v>
      </c>
      <c r="N319" s="606">
        <v>26</v>
      </c>
      <c r="O319" s="607">
        <f>IFERROR(INDEX('[2]CN HĐ'!$J$10:$J$72,MATCH(B319,'[2]CN HĐ'!$H$10:$H$72,0)),"")</f>
        <v>24</v>
      </c>
      <c r="P319" s="608" t="e">
        <f>IF(M319&gt;#REF!,M319,#REF!)</f>
        <v>#REF!</v>
      </c>
      <c r="Q319" s="466">
        <f t="shared" si="63"/>
        <v>4280804</v>
      </c>
      <c r="R319" s="609"/>
      <c r="S319" s="466">
        <v>0</v>
      </c>
      <c r="T319" s="610"/>
      <c r="U319" s="466">
        <v>0</v>
      </c>
      <c r="V319" s="647">
        <f t="shared" si="64"/>
        <v>55208.79</v>
      </c>
      <c r="W319" s="647"/>
      <c r="X319" s="886">
        <f t="shared" si="66"/>
        <v>4280804</v>
      </c>
      <c r="Y319" s="846">
        <f t="shared" si="57"/>
        <v>2.3782244444444443</v>
      </c>
      <c r="Z319" s="491">
        <v>1800000</v>
      </c>
      <c r="AA319" s="663">
        <f t="shared" si="58"/>
        <v>4280804</v>
      </c>
      <c r="AB319" s="612">
        <f t="shared" si="65"/>
        <v>288</v>
      </c>
      <c r="AC319" s="613" t="str">
        <f>IFERROR(INDEX('[2]CN HĐ'!$M$10:$M$72,MATCH(B319,'[2]CN HĐ'!$H$10:$H$72,0)),"")</f>
        <v>Trừ 2 ngày nghỉ phép 13+14/3</v>
      </c>
      <c r="AD319" s="193"/>
      <c r="AE319" s="108"/>
      <c r="AF319" s="108"/>
      <c r="AG319" s="108"/>
      <c r="AH319" s="108"/>
      <c r="AI319" s="108"/>
      <c r="AJ319" s="108"/>
      <c r="AK319" s="108"/>
      <c r="AL319" s="108"/>
      <c r="AM319" s="108"/>
      <c r="AN319" s="108"/>
      <c r="AO319" s="108"/>
      <c r="AP319" s="108"/>
      <c r="AQ319" s="108"/>
      <c r="AR319" s="108"/>
      <c r="AS319" s="108"/>
      <c r="AT319" s="108"/>
      <c r="AU319" s="108"/>
      <c r="AV319" s="108"/>
      <c r="AW319" s="108"/>
      <c r="AX319" s="108"/>
      <c r="AY319" s="108"/>
      <c r="AZ319" s="108"/>
      <c r="BA319" s="108"/>
    </row>
    <row r="320" spans="1:53" s="372" customFormat="1" ht="32.25" customHeight="1">
      <c r="A320" s="30">
        <f>_xlfn.AGGREGATE(4,7,A$29:A319)+1</f>
        <v>289</v>
      </c>
      <c r="B320" s="363" t="s">
        <v>2073</v>
      </c>
      <c r="C320" s="375" t="s">
        <v>1171</v>
      </c>
      <c r="D320" s="434" t="s">
        <v>2074</v>
      </c>
      <c r="E320" s="620" t="s">
        <v>1266</v>
      </c>
      <c r="F320" s="620"/>
      <c r="G320" s="620"/>
      <c r="H320" s="368" t="s">
        <v>2038</v>
      </c>
      <c r="I320" s="605">
        <v>6086769</v>
      </c>
      <c r="J320" s="368" t="str">
        <f>VLOOKUP(B320,TH!B309:J641,9,FALSE)</f>
        <v>NV P. QT 
Dịch vụ</v>
      </c>
      <c r="K320" s="466">
        <f t="shared" si="62"/>
        <v>4260738.3</v>
      </c>
      <c r="L320" s="606" t="str">
        <f>VLOOKUP(B320,'[1]Gui chi Quynh'!$B$11:$E$400,4,FALSE)</f>
        <v>A3</v>
      </c>
      <c r="M320" s="466">
        <f t="shared" si="67"/>
        <v>5112886</v>
      </c>
      <c r="N320" s="606">
        <v>26</v>
      </c>
      <c r="O320" s="607">
        <f>IFERROR(INDEX('[2]CN HĐ'!$J$10:$J$72,MATCH(B320,'[2]CN HĐ'!$H$10:$H$72,0)),"")</f>
        <v>26</v>
      </c>
      <c r="P320" s="608" t="e">
        <f>IF(M320&gt;#REF!,M320,#REF!)</f>
        <v>#REF!</v>
      </c>
      <c r="Q320" s="466">
        <f t="shared" si="63"/>
        <v>5112886</v>
      </c>
      <c r="R320" s="609"/>
      <c r="S320" s="466">
        <v>0</v>
      </c>
      <c r="T320" s="621"/>
      <c r="U320" s="466">
        <v>0</v>
      </c>
      <c r="V320" s="647">
        <f t="shared" si="64"/>
        <v>60867.69</v>
      </c>
      <c r="W320" s="647"/>
      <c r="X320" s="886">
        <f t="shared" si="66"/>
        <v>5112886</v>
      </c>
      <c r="Y320" s="846">
        <f t="shared" si="57"/>
        <v>2.8404922222222222</v>
      </c>
      <c r="Z320" s="491">
        <v>1800000</v>
      </c>
      <c r="AA320" s="663">
        <f t="shared" si="58"/>
        <v>5112886</v>
      </c>
      <c r="AB320" s="612">
        <f t="shared" si="65"/>
        <v>289</v>
      </c>
      <c r="AC320" s="613">
        <f>IFERROR(INDEX('[2]CN HĐ'!$M$10:$M$72,MATCH(B320,'[2]CN HĐ'!$H$10:$H$72,0)),"")</f>
        <v>0</v>
      </c>
      <c r="AD320" s="193"/>
      <c r="AE320" s="155"/>
      <c r="AF320" s="108"/>
      <c r="AG320" s="108"/>
      <c r="AH320" s="108"/>
      <c r="AI320" s="108"/>
      <c r="AJ320" s="108"/>
      <c r="AK320" s="108"/>
      <c r="AL320" s="108"/>
      <c r="AM320" s="108"/>
      <c r="AN320" s="108"/>
      <c r="AO320" s="108"/>
      <c r="AP320" s="108"/>
      <c r="AQ320" s="108"/>
      <c r="AR320" s="108"/>
      <c r="AS320" s="108"/>
      <c r="AT320" s="108"/>
      <c r="AU320" s="108"/>
      <c r="AV320" s="108"/>
      <c r="AW320" s="108"/>
      <c r="AX320" s="108"/>
      <c r="AY320" s="108"/>
      <c r="AZ320" s="108"/>
      <c r="BA320" s="108"/>
    </row>
    <row r="321" spans="1:70" s="372" customFormat="1" ht="32.25" customHeight="1">
      <c r="A321" s="30">
        <f>_xlfn.AGGREGATE(4,7,A$29:A320)+1</f>
        <v>290</v>
      </c>
      <c r="B321" s="363" t="s">
        <v>2075</v>
      </c>
      <c r="C321" s="375"/>
      <c r="D321" s="434" t="s">
        <v>2076</v>
      </c>
      <c r="E321" s="615">
        <v>1603205185856</v>
      </c>
      <c r="F321" s="615"/>
      <c r="G321" s="615"/>
      <c r="H321" s="368" t="s">
        <v>2031</v>
      </c>
      <c r="I321" s="605">
        <v>8004388</v>
      </c>
      <c r="J321" s="368" t="str">
        <f>VLOOKUP(B321,TH!B310:J642,9,FALSE)</f>
        <v>NV Phục vụ</v>
      </c>
      <c r="K321" s="466">
        <f t="shared" si="62"/>
        <v>2401316.4</v>
      </c>
      <c r="L321" s="606" t="str">
        <f>VLOOKUP(B321,'[1]Gui chi Quynh'!$B$11:$E$400,4,FALSE)</f>
        <v>A2</v>
      </c>
      <c r="M321" s="466">
        <f t="shared" si="67"/>
        <v>3361843</v>
      </c>
      <c r="N321" s="606">
        <v>26</v>
      </c>
      <c r="O321" s="607">
        <f>IFERROR(INDEX('[2]CN HĐ'!$J$10:$J$72,MATCH(B321,'[2]CN HĐ'!$H$10:$H$72,0)),"")</f>
        <v>26</v>
      </c>
      <c r="P321" s="608" t="e">
        <f>IF(M321&gt;#REF!,M321,#REF!)</f>
        <v>#REF!</v>
      </c>
      <c r="Q321" s="466">
        <f t="shared" si="63"/>
        <v>3361843</v>
      </c>
      <c r="R321" s="609"/>
      <c r="S321" s="466">
        <v>0</v>
      </c>
      <c r="T321" s="610"/>
      <c r="U321" s="466">
        <v>0</v>
      </c>
      <c r="V321" s="647">
        <f t="shared" si="64"/>
        <v>80043.88</v>
      </c>
      <c r="W321" s="647"/>
      <c r="X321" s="886">
        <f t="shared" si="66"/>
        <v>3361843</v>
      </c>
      <c r="Y321" s="846">
        <f t="shared" si="57"/>
        <v>1.8676905555555556</v>
      </c>
      <c r="Z321" s="491">
        <v>1800000</v>
      </c>
      <c r="AA321" s="663">
        <f t="shared" si="58"/>
        <v>3361843</v>
      </c>
      <c r="AB321" s="612">
        <f t="shared" si="65"/>
        <v>290</v>
      </c>
      <c r="AC321" s="613">
        <f>IFERROR(INDEX('[2]CN HĐ'!$M$10:$M$72,MATCH(B321,'[2]CN HĐ'!$H$10:$H$72,0)),"")</f>
        <v>0</v>
      </c>
      <c r="AD321" s="108"/>
      <c r="AE321" s="155"/>
      <c r="AF321" s="108"/>
      <c r="AG321" s="108"/>
      <c r="AH321" s="108"/>
      <c r="AI321" s="108"/>
      <c r="AJ321" s="108"/>
      <c r="AK321" s="108"/>
      <c r="AL321" s="108"/>
      <c r="AM321" s="108"/>
      <c r="AN321" s="108"/>
      <c r="AO321" s="108"/>
      <c r="AP321" s="108"/>
      <c r="AQ321" s="108"/>
      <c r="AR321" s="108"/>
      <c r="AS321" s="108"/>
      <c r="AT321" s="108"/>
      <c r="AU321" s="108"/>
      <c r="AV321" s="108"/>
      <c r="AW321" s="108"/>
      <c r="AX321" s="108"/>
      <c r="AY321" s="108"/>
      <c r="AZ321" s="108"/>
      <c r="BA321" s="108"/>
    </row>
    <row r="322" spans="1:70" s="372" customFormat="1" ht="31.5" customHeight="1">
      <c r="A322" s="379">
        <f>_xlfn.AGGREGATE(4,7,A$29:A321)+1</f>
        <v>291</v>
      </c>
      <c r="B322" s="363" t="s">
        <v>2077</v>
      </c>
      <c r="C322" s="375"/>
      <c r="D322" s="434" t="s">
        <v>2078</v>
      </c>
      <c r="E322" s="604" t="s">
        <v>2079</v>
      </c>
      <c r="F322" s="604"/>
      <c r="G322" s="604"/>
      <c r="H322" s="368" t="s">
        <v>2031</v>
      </c>
      <c r="I322" s="605">
        <v>5159700</v>
      </c>
      <c r="J322" s="368" t="str">
        <f>VLOOKUP(B322,TH!B311:J643,9,FALSE)</f>
        <v>NV Phục vụ</v>
      </c>
      <c r="K322" s="466">
        <f t="shared" si="62"/>
        <v>1547910</v>
      </c>
      <c r="L322" s="606" t="str">
        <f>VLOOKUP(B322,'[1]Gui chi Quynh'!$B$11:$E$400,4,FALSE)</f>
        <v>A3</v>
      </c>
      <c r="M322" s="466">
        <f t="shared" si="67"/>
        <v>1857492</v>
      </c>
      <c r="N322" s="606">
        <v>26</v>
      </c>
      <c r="O322" s="607">
        <f>IFERROR(INDEX('[2]CN HĐ'!$J$10:$J$72,MATCH(B322,'[2]CN HĐ'!$H$10:$H$72,0)),"")</f>
        <v>26</v>
      </c>
      <c r="P322" s="608" t="e">
        <f>IF(M322&gt;#REF!,M322,#REF!)</f>
        <v>#REF!</v>
      </c>
      <c r="Q322" s="466">
        <f t="shared" si="63"/>
        <v>1857492</v>
      </c>
      <c r="R322" s="609"/>
      <c r="S322" s="466">
        <v>0</v>
      </c>
      <c r="T322" s="610"/>
      <c r="U322" s="466">
        <v>0</v>
      </c>
      <c r="V322" s="466">
        <f t="shared" si="64"/>
        <v>51597</v>
      </c>
      <c r="W322" s="466"/>
      <c r="X322" s="886">
        <f t="shared" si="66"/>
        <v>1857492</v>
      </c>
      <c r="Y322" s="846">
        <f t="shared" si="57"/>
        <v>1.0319400000000001</v>
      </c>
      <c r="Z322" s="491">
        <v>1800000</v>
      </c>
      <c r="AA322" s="663">
        <f t="shared" si="58"/>
        <v>1857492.0000000002</v>
      </c>
      <c r="AB322" s="612">
        <f t="shared" si="65"/>
        <v>291</v>
      </c>
      <c r="AC322" s="613">
        <f>IFERROR(INDEX('[2]CN HĐ'!$M$10:$M$72,MATCH(B322,'[2]CN HĐ'!$H$10:$H$72,0)),"")</f>
        <v>0</v>
      </c>
      <c r="AE322" s="487"/>
    </row>
    <row r="323" spans="1:70" s="372" customFormat="1" ht="28.5" customHeight="1">
      <c r="A323" s="30">
        <f>_xlfn.AGGREGATE(4,7,A$29:A322)+1</f>
        <v>292</v>
      </c>
      <c r="B323" s="363" t="s">
        <v>2080</v>
      </c>
      <c r="C323" s="375"/>
      <c r="D323" s="434"/>
      <c r="E323" s="622" t="s">
        <v>2081</v>
      </c>
      <c r="F323" s="622"/>
      <c r="G323" s="622"/>
      <c r="H323" s="368" t="s">
        <v>2031</v>
      </c>
      <c r="I323" s="605">
        <v>4914000</v>
      </c>
      <c r="J323" s="368" t="str">
        <f>VLOOKUP(B323,TH!B312:J644,9,FALSE)</f>
        <v>NV Phục vụ</v>
      </c>
      <c r="K323" s="466">
        <f t="shared" si="62"/>
        <v>1474200</v>
      </c>
      <c r="L323" s="606" t="str">
        <f>VLOOKUP(B323,'[1]Gui chi Quynh'!$B$11:$E$400,4,FALSE)</f>
        <v>A3</v>
      </c>
      <c r="M323" s="466">
        <f t="shared" si="67"/>
        <v>1769040</v>
      </c>
      <c r="N323" s="606">
        <v>26</v>
      </c>
      <c r="O323" s="607">
        <f>IFERROR(INDEX('[2]CN HĐ'!$J$10:$J$72,MATCH(B323,'[2]CN HĐ'!$H$10:$H$72,0)),"")</f>
        <v>26</v>
      </c>
      <c r="P323" s="608" t="e">
        <f>IF(M323&gt;#REF!,M323,#REF!)</f>
        <v>#REF!</v>
      </c>
      <c r="Q323" s="466">
        <f t="shared" si="63"/>
        <v>1769040</v>
      </c>
      <c r="R323" s="609"/>
      <c r="S323" s="466">
        <v>0</v>
      </c>
      <c r="T323" s="610"/>
      <c r="U323" s="466">
        <v>0</v>
      </c>
      <c r="V323" s="647">
        <f t="shared" si="64"/>
        <v>49140</v>
      </c>
      <c r="W323" s="647"/>
      <c r="X323" s="886">
        <f t="shared" si="66"/>
        <v>1769040</v>
      </c>
      <c r="Y323" s="846">
        <f t="shared" si="57"/>
        <v>0.98280000000000001</v>
      </c>
      <c r="Z323" s="491">
        <v>1800000</v>
      </c>
      <c r="AA323" s="663">
        <f t="shared" si="58"/>
        <v>1769040</v>
      </c>
      <c r="AB323" s="612">
        <f t="shared" si="65"/>
        <v>292</v>
      </c>
      <c r="AC323" s="613">
        <f>IFERROR(INDEX('[2]CN HĐ'!$M$10:$M$72,MATCH(B323,'[2]CN HĐ'!$H$10:$H$72,0)),"")</f>
        <v>0</v>
      </c>
      <c r="AD323" s="108"/>
      <c r="AE323" s="155"/>
      <c r="AF323" s="108"/>
      <c r="AG323" s="108"/>
      <c r="AH323" s="108"/>
      <c r="AI323" s="108"/>
      <c r="AJ323" s="108"/>
      <c r="AK323" s="108"/>
      <c r="AL323" s="108"/>
      <c r="AM323" s="108"/>
      <c r="AN323" s="108"/>
      <c r="AO323" s="108"/>
      <c r="AP323" s="108"/>
      <c r="AQ323" s="108"/>
      <c r="AR323" s="108"/>
      <c r="AS323" s="108"/>
      <c r="AT323" s="108"/>
      <c r="AU323" s="108"/>
      <c r="AV323" s="108"/>
      <c r="AW323" s="108"/>
      <c r="AX323" s="108"/>
      <c r="AY323" s="108"/>
      <c r="AZ323" s="108"/>
      <c r="BA323" s="108"/>
    </row>
    <row r="324" spans="1:70" s="372" customFormat="1" ht="31.5" customHeight="1">
      <c r="A324" s="30">
        <f>_xlfn.AGGREGATE(4,7,A$29:A323)+1</f>
        <v>293</v>
      </c>
      <c r="B324" s="363" t="s">
        <v>2082</v>
      </c>
      <c r="C324" s="375"/>
      <c r="D324" s="434"/>
      <c r="E324" s="623" t="s">
        <v>2083</v>
      </c>
      <c r="F324" s="623"/>
      <c r="G324" s="623"/>
      <c r="H324" s="368" t="s">
        <v>2031</v>
      </c>
      <c r="I324" s="605">
        <v>4914000</v>
      </c>
      <c r="J324" s="368" t="str">
        <f>VLOOKUP(B324,TH!B313:J645,9,FALSE)</f>
        <v>NV Phục vụ</v>
      </c>
      <c r="K324" s="466">
        <f t="shared" si="62"/>
        <v>1474200</v>
      </c>
      <c r="L324" s="606" t="str">
        <f>VLOOKUP(B324,'[1]Gui chi Quynh'!$B$11:$E$400,4,FALSE)</f>
        <v>A3</v>
      </c>
      <c r="M324" s="466">
        <f t="shared" si="67"/>
        <v>1769040</v>
      </c>
      <c r="N324" s="606">
        <v>26</v>
      </c>
      <c r="O324" s="607">
        <f>IFERROR(INDEX('[2]CN HĐ'!$J$10:$J$72,MATCH(B324,'[2]CN HĐ'!$H$10:$H$72,0)),"")</f>
        <v>26</v>
      </c>
      <c r="P324" s="608" t="e">
        <f>IF(M324&gt;#REF!,M324,#REF!)</f>
        <v>#REF!</v>
      </c>
      <c r="Q324" s="466">
        <f t="shared" si="63"/>
        <v>1769040</v>
      </c>
      <c r="R324" s="609"/>
      <c r="S324" s="466">
        <v>0</v>
      </c>
      <c r="T324" s="610"/>
      <c r="U324" s="466">
        <v>0</v>
      </c>
      <c r="V324" s="647">
        <f t="shared" si="64"/>
        <v>49140</v>
      </c>
      <c r="W324" s="647"/>
      <c r="X324" s="886">
        <f t="shared" si="66"/>
        <v>1769040</v>
      </c>
      <c r="Y324" s="846">
        <f t="shared" si="57"/>
        <v>0.98280000000000001</v>
      </c>
      <c r="Z324" s="491">
        <v>1800000</v>
      </c>
      <c r="AA324" s="663">
        <f t="shared" si="58"/>
        <v>1769040</v>
      </c>
      <c r="AB324" s="612">
        <f t="shared" si="65"/>
        <v>293</v>
      </c>
      <c r="AC324" s="613">
        <f>IFERROR(INDEX('[2]CN HĐ'!$M$10:$M$72,MATCH(B324,'[2]CN HĐ'!$H$10:$H$72,0)),"")</f>
        <v>0</v>
      </c>
      <c r="AD324" s="108"/>
      <c r="AE324" s="155"/>
      <c r="AF324" s="108"/>
      <c r="AG324" s="108"/>
      <c r="AH324" s="108"/>
      <c r="AI324" s="108"/>
      <c r="AJ324" s="108"/>
      <c r="AK324" s="108"/>
      <c r="AL324" s="108"/>
      <c r="AM324" s="108"/>
      <c r="AN324" s="108"/>
      <c r="AO324" s="108"/>
      <c r="AP324" s="108"/>
      <c r="AQ324" s="108"/>
      <c r="AR324" s="108"/>
      <c r="AS324" s="108"/>
      <c r="AT324" s="108"/>
      <c r="AU324" s="108"/>
      <c r="AV324" s="108"/>
      <c r="AW324" s="108"/>
      <c r="AX324" s="108"/>
      <c r="AY324" s="108"/>
      <c r="AZ324" s="108"/>
      <c r="BA324" s="108"/>
    </row>
    <row r="325" spans="1:70" s="372" customFormat="1" ht="31.5" customHeight="1">
      <c r="A325" s="30">
        <f>_xlfn.AGGREGATE(4,7,A$29:A324)+1</f>
        <v>294</v>
      </c>
      <c r="B325" s="363" t="s">
        <v>2084</v>
      </c>
      <c r="C325" s="375"/>
      <c r="D325" s="434"/>
      <c r="E325" s="623" t="s">
        <v>2085</v>
      </c>
      <c r="F325" s="623"/>
      <c r="G325" s="623"/>
      <c r="H325" s="368" t="s">
        <v>2031</v>
      </c>
      <c r="I325" s="605">
        <v>4914000</v>
      </c>
      <c r="J325" s="368" t="str">
        <f>VLOOKUP(B325,TH!B314:J646,9,FALSE)</f>
        <v>NV Phục vụ</v>
      </c>
      <c r="K325" s="466">
        <f t="shared" si="62"/>
        <v>1474200</v>
      </c>
      <c r="L325" s="606" t="str">
        <f>VLOOKUP(B325,'[1]Gui chi Quynh'!$B$11:$E$400,4,FALSE)</f>
        <v>A3</v>
      </c>
      <c r="M325" s="466">
        <f t="shared" si="67"/>
        <v>1769040</v>
      </c>
      <c r="N325" s="606">
        <v>26</v>
      </c>
      <c r="O325" s="607">
        <f>IFERROR(INDEX('[2]CN HĐ'!$J$10:$J$72,MATCH(B325,'[2]CN HĐ'!$H$10:$H$72,0)),"")</f>
        <v>26</v>
      </c>
      <c r="P325" s="608" t="e">
        <f>IF(M325&gt;#REF!,M325,#REF!)</f>
        <v>#REF!</v>
      </c>
      <c r="Q325" s="466">
        <f t="shared" si="63"/>
        <v>1769040</v>
      </c>
      <c r="R325" s="609"/>
      <c r="S325" s="466">
        <v>0</v>
      </c>
      <c r="T325" s="610"/>
      <c r="U325" s="466">
        <v>0</v>
      </c>
      <c r="V325" s="647">
        <f t="shared" si="64"/>
        <v>49140</v>
      </c>
      <c r="W325" s="647"/>
      <c r="X325" s="886">
        <f t="shared" si="66"/>
        <v>1769040</v>
      </c>
      <c r="Y325" s="846">
        <f t="shared" si="57"/>
        <v>0.98280000000000001</v>
      </c>
      <c r="Z325" s="491">
        <v>1800000</v>
      </c>
      <c r="AA325" s="663">
        <f t="shared" si="58"/>
        <v>1769040</v>
      </c>
      <c r="AB325" s="612">
        <f t="shared" si="65"/>
        <v>294</v>
      </c>
      <c r="AC325" s="613">
        <f>IFERROR(INDEX('[2]CN HĐ'!$M$10:$M$72,MATCH(B325,'[2]CN HĐ'!$H$10:$H$72,0)),"")</f>
        <v>0</v>
      </c>
      <c r="AD325" s="108"/>
      <c r="AE325" s="155"/>
      <c r="AF325" s="108"/>
      <c r="AG325" s="108"/>
      <c r="AH325" s="108"/>
      <c r="AI325" s="108"/>
      <c r="AJ325" s="108"/>
      <c r="AK325" s="108"/>
      <c r="AL325" s="108"/>
      <c r="AM325" s="108"/>
      <c r="AN325" s="108"/>
      <c r="AO325" s="108"/>
      <c r="AP325" s="108"/>
      <c r="AQ325" s="108"/>
      <c r="AR325" s="108"/>
      <c r="AS325" s="108"/>
      <c r="AT325" s="108"/>
      <c r="AU325" s="108"/>
      <c r="AV325" s="108"/>
      <c r="AW325" s="108"/>
      <c r="AX325" s="108"/>
      <c r="AY325" s="108"/>
      <c r="AZ325" s="108"/>
      <c r="BA325" s="108"/>
    </row>
    <row r="326" spans="1:70" s="372" customFormat="1" ht="28.5" customHeight="1">
      <c r="A326" s="30">
        <f>_xlfn.AGGREGATE(4,7,A$29:A325)+1</f>
        <v>295</v>
      </c>
      <c r="B326" s="363" t="s">
        <v>2086</v>
      </c>
      <c r="C326" s="375"/>
      <c r="D326" s="434"/>
      <c r="E326" s="623"/>
      <c r="F326" s="623"/>
      <c r="G326" s="623"/>
      <c r="H326" s="368" t="s">
        <v>2031</v>
      </c>
      <c r="I326" s="605">
        <v>4914000</v>
      </c>
      <c r="J326" s="368" t="str">
        <f>VLOOKUP(B326,TH!B315:J647,9,FALSE)</f>
        <v>Nhân viên phòng Quản trị - Dịch vụ</v>
      </c>
      <c r="K326" s="466">
        <f t="shared" si="62"/>
        <v>1474200</v>
      </c>
      <c r="L326" s="606" t="str">
        <f>VLOOKUP(B326,'[1]Gui chi Quynh'!$B$11:$E$400,4,FALSE)</f>
        <v>A3</v>
      </c>
      <c r="M326" s="466">
        <f t="shared" si="67"/>
        <v>1769040</v>
      </c>
      <c r="N326" s="606">
        <v>26</v>
      </c>
      <c r="O326" s="607">
        <f>IFERROR(INDEX('[2]CN HĐ'!$J$10:$J$72,MATCH(B326,'[2]CN HĐ'!$H$10:$H$72,0)),"")</f>
        <v>26</v>
      </c>
      <c r="P326" s="608"/>
      <c r="Q326" s="466">
        <f t="shared" si="63"/>
        <v>1769040</v>
      </c>
      <c r="R326" s="609"/>
      <c r="S326" s="466">
        <v>0</v>
      </c>
      <c r="T326" s="610"/>
      <c r="U326" s="466">
        <v>0</v>
      </c>
      <c r="V326" s="647">
        <f t="shared" si="64"/>
        <v>49140</v>
      </c>
      <c r="W326" s="647"/>
      <c r="X326" s="886">
        <f t="shared" si="66"/>
        <v>1769040</v>
      </c>
      <c r="Y326" s="846">
        <f t="shared" si="57"/>
        <v>0.98280000000000001</v>
      </c>
      <c r="Z326" s="491">
        <v>1800000</v>
      </c>
      <c r="AA326" s="663">
        <f t="shared" si="58"/>
        <v>1769040</v>
      </c>
      <c r="AB326" s="612">
        <f t="shared" si="65"/>
        <v>295</v>
      </c>
      <c r="AC326" s="613">
        <f>IFERROR(INDEX('[2]CN HĐ'!$M$10:$M$72,MATCH(B326,'[2]CN HĐ'!$H$10:$H$72,0)),"")</f>
        <v>0</v>
      </c>
      <c r="AD326" s="108"/>
      <c r="AE326" s="155"/>
      <c r="AF326" s="108"/>
      <c r="AG326" s="108"/>
      <c r="AH326" s="108"/>
      <c r="AI326" s="108"/>
      <c r="AJ326" s="108"/>
      <c r="AK326" s="108"/>
      <c r="AL326" s="108"/>
      <c r="AM326" s="108"/>
      <c r="AN326" s="108"/>
      <c r="AO326" s="108"/>
      <c r="AP326" s="108"/>
      <c r="AQ326" s="108"/>
      <c r="AR326" s="108"/>
      <c r="AS326" s="108"/>
      <c r="AT326" s="108"/>
      <c r="AU326" s="108"/>
      <c r="AV326" s="108"/>
      <c r="AW326" s="108"/>
      <c r="AX326" s="108"/>
      <c r="AY326" s="108"/>
      <c r="AZ326" s="108"/>
      <c r="BA326" s="108"/>
    </row>
    <row r="327" spans="1:70" s="372" customFormat="1" ht="31.5" customHeight="1">
      <c r="A327" s="30">
        <f>_xlfn.AGGREGATE(4,7,A$29:A326)+1</f>
        <v>296</v>
      </c>
      <c r="B327" s="363" t="s">
        <v>2087</v>
      </c>
      <c r="C327" s="375"/>
      <c r="D327" s="434"/>
      <c r="E327" s="623"/>
      <c r="F327" s="623"/>
      <c r="G327" s="623"/>
      <c r="H327" s="368" t="s">
        <v>2031</v>
      </c>
      <c r="I327" s="605">
        <v>4914000</v>
      </c>
      <c r="J327" s="368" t="str">
        <f>VLOOKUP(B327,TH!B316:J648,9,FALSE)</f>
        <v>Nhân viên phòng Quản trị - Dịch vụ</v>
      </c>
      <c r="K327" s="466">
        <f t="shared" si="62"/>
        <v>1474200</v>
      </c>
      <c r="L327" s="606" t="str">
        <f>VLOOKUP(B327,'[1]Gui chi Quynh'!$B$11:$E$400,4,FALSE)</f>
        <v>A4</v>
      </c>
      <c r="M327" s="466">
        <f t="shared" si="67"/>
        <v>1474200</v>
      </c>
      <c r="N327" s="606">
        <v>26</v>
      </c>
      <c r="O327" s="607">
        <f>IFERROR(INDEX('[2]CN HĐ'!$J$10:$J$72,MATCH(B327,'[2]CN HĐ'!$H$10:$H$72,0)),"")</f>
        <v>27</v>
      </c>
      <c r="P327" s="608"/>
      <c r="Q327" s="466">
        <f t="shared" si="63"/>
        <v>1474200</v>
      </c>
      <c r="R327" s="609"/>
      <c r="S327" s="466">
        <v>0</v>
      </c>
      <c r="T327" s="610"/>
      <c r="U327" s="466">
        <v>0</v>
      </c>
      <c r="V327" s="647">
        <f t="shared" si="64"/>
        <v>49140</v>
      </c>
      <c r="W327" s="647"/>
      <c r="X327" s="886">
        <f t="shared" si="66"/>
        <v>1474200</v>
      </c>
      <c r="Y327" s="846">
        <f t="shared" si="57"/>
        <v>0.81899999999999995</v>
      </c>
      <c r="Z327" s="491">
        <v>1800000</v>
      </c>
      <c r="AA327" s="663">
        <f t="shared" si="58"/>
        <v>1474200</v>
      </c>
      <c r="AB327" s="612">
        <f t="shared" si="65"/>
        <v>296</v>
      </c>
      <c r="AC327" s="613">
        <f>IFERROR(INDEX('[2]CN HĐ'!$M$10:$M$72,MATCH(B327,'[2]CN HĐ'!$H$10:$H$72,0)),"")</f>
        <v>0</v>
      </c>
      <c r="AD327" s="108"/>
      <c r="AE327" s="155"/>
      <c r="AF327" s="108"/>
      <c r="AG327" s="108"/>
      <c r="AH327" s="108"/>
      <c r="AI327" s="108"/>
      <c r="AJ327" s="108"/>
      <c r="AK327" s="108"/>
      <c r="AL327" s="108"/>
      <c r="AM327" s="108"/>
      <c r="AN327" s="108"/>
      <c r="AO327" s="108"/>
      <c r="AP327" s="108"/>
      <c r="AQ327" s="108"/>
      <c r="AR327" s="108"/>
      <c r="AS327" s="108"/>
      <c r="AT327" s="108"/>
      <c r="AU327" s="108"/>
      <c r="AV327" s="108"/>
      <c r="AW327" s="108"/>
      <c r="AX327" s="108"/>
      <c r="AY327" s="108"/>
      <c r="AZ327" s="108"/>
      <c r="BA327" s="108"/>
    </row>
    <row r="328" spans="1:70" s="372" customFormat="1" ht="31.5" customHeight="1">
      <c r="A328" s="30">
        <f>_xlfn.AGGREGATE(4,7,A$29:A327)+1</f>
        <v>297</v>
      </c>
      <c r="B328" s="363" t="s">
        <v>2088</v>
      </c>
      <c r="C328" s="375"/>
      <c r="D328" s="434"/>
      <c r="E328" s="623"/>
      <c r="F328" s="623"/>
      <c r="G328" s="623"/>
      <c r="H328" s="368" t="s">
        <v>2031</v>
      </c>
      <c r="I328" s="605">
        <v>4680000</v>
      </c>
      <c r="J328" s="368" t="str">
        <f>VLOOKUP(B328,TH!B317:J649,9,FALSE)</f>
        <v>Nhân viên phòng Quản trị - Dịch vụ</v>
      </c>
      <c r="K328" s="466">
        <f t="shared" si="62"/>
        <v>1404000</v>
      </c>
      <c r="L328" s="606" t="str">
        <f>VLOOKUP(B328,'[1]Gui chi Quynh'!$B$11:$E$400,4,FALSE)</f>
        <v>A2</v>
      </c>
      <c r="M328" s="466">
        <f t="shared" si="67"/>
        <v>1965600</v>
      </c>
      <c r="N328" s="606">
        <v>26</v>
      </c>
      <c r="O328" s="607">
        <f>IFERROR(INDEX('[2]CN HĐ'!$J$10:$J$72,MATCH(B328,'[2]CN HĐ'!$H$10:$H$72,0)),"")</f>
        <v>26</v>
      </c>
      <c r="P328" s="608"/>
      <c r="Q328" s="466">
        <f t="shared" si="63"/>
        <v>1965600</v>
      </c>
      <c r="R328" s="609"/>
      <c r="S328" s="466">
        <v>0</v>
      </c>
      <c r="T328" s="610"/>
      <c r="U328" s="466">
        <v>0</v>
      </c>
      <c r="V328" s="647">
        <f t="shared" si="64"/>
        <v>46800</v>
      </c>
      <c r="W328" s="647"/>
      <c r="X328" s="886">
        <f t="shared" si="66"/>
        <v>1965600</v>
      </c>
      <c r="Y328" s="846">
        <f t="shared" si="57"/>
        <v>1.0920000000000001</v>
      </c>
      <c r="Z328" s="491">
        <v>1800000</v>
      </c>
      <c r="AA328" s="663">
        <f t="shared" si="58"/>
        <v>1965600.0000000002</v>
      </c>
      <c r="AB328" s="612">
        <f t="shared" si="65"/>
        <v>297</v>
      </c>
      <c r="AC328" s="613">
        <f>IFERROR(INDEX('[2]CN HĐ'!$M$10:$M$72,MATCH(B328,'[2]CN HĐ'!$H$10:$H$72,0)),"")</f>
        <v>0</v>
      </c>
      <c r="AD328" s="108"/>
      <c r="AE328" s="155"/>
      <c r="AF328" s="108"/>
      <c r="AG328" s="108"/>
      <c r="AH328" s="108"/>
      <c r="AI328" s="108"/>
      <c r="AJ328" s="108"/>
      <c r="AK328" s="108"/>
      <c r="AL328" s="108"/>
      <c r="AM328" s="108"/>
      <c r="AN328" s="108"/>
      <c r="AO328" s="108"/>
      <c r="AP328" s="108"/>
      <c r="AQ328" s="108"/>
      <c r="AR328" s="108"/>
      <c r="AS328" s="108"/>
      <c r="AT328" s="108"/>
      <c r="AU328" s="108"/>
      <c r="AV328" s="108"/>
      <c r="AW328" s="108"/>
      <c r="AX328" s="108"/>
      <c r="AY328" s="108"/>
      <c r="AZ328" s="108"/>
      <c r="BA328" s="108"/>
    </row>
    <row r="329" spans="1:70" s="372" customFormat="1" ht="33" customHeight="1">
      <c r="A329" s="379">
        <f>_xlfn.AGGREGATE(4,7,A$29:A328)+1</f>
        <v>298</v>
      </c>
      <c r="B329" s="444" t="s">
        <v>2089</v>
      </c>
      <c r="C329" s="419" t="s">
        <v>307</v>
      </c>
      <c r="D329" s="418" t="s">
        <v>2090</v>
      </c>
      <c r="E329" s="615">
        <v>1603205194204</v>
      </c>
      <c r="F329" s="615"/>
      <c r="G329" s="615"/>
      <c r="H329" s="368" t="s">
        <v>2038</v>
      </c>
      <c r="I329" s="605">
        <v>7046196</v>
      </c>
      <c r="J329" s="368" t="str">
        <f>VLOOKUP(B329,TH!B318:J650,9,FALSE)</f>
        <v>Nhân viên Y tế</v>
      </c>
      <c r="K329" s="466">
        <f t="shared" si="62"/>
        <v>4932337.1999999993</v>
      </c>
      <c r="L329" s="606" t="str">
        <f>VLOOKUP(B329,'[1]Gui chi Quynh'!$B$11:$E$400,4,FALSE)</f>
        <v>A1</v>
      </c>
      <c r="M329" s="466">
        <f t="shared" si="67"/>
        <v>7891740</v>
      </c>
      <c r="N329" s="606">
        <v>26</v>
      </c>
      <c r="O329" s="607">
        <f>IFERROR(INDEX('[2]CN HĐ'!$J$10:$J$72,MATCH(B329,'[2]CN HĐ'!$H$10:$H$72,0)),"")</f>
        <v>26</v>
      </c>
      <c r="P329" s="608" t="e">
        <f>IF(M329&gt;#REF!,M329,#REF!)</f>
        <v>#REF!</v>
      </c>
      <c r="Q329" s="466">
        <f t="shared" si="63"/>
        <v>7891740</v>
      </c>
      <c r="R329" s="609"/>
      <c r="S329" s="466">
        <v>0</v>
      </c>
      <c r="T329" s="610"/>
      <c r="U329" s="466">
        <v>0</v>
      </c>
      <c r="V329" s="466">
        <f t="shared" si="64"/>
        <v>70461.960000000006</v>
      </c>
      <c r="W329" s="466">
        <v>3757969.5999999996</v>
      </c>
      <c r="X329" s="886">
        <f t="shared" si="66"/>
        <v>11649709.6</v>
      </c>
      <c r="Y329" s="846">
        <f t="shared" si="57"/>
        <v>6.4720608888888886</v>
      </c>
      <c r="Z329" s="491">
        <v>1800000</v>
      </c>
      <c r="AA329" s="663">
        <f t="shared" si="58"/>
        <v>11649709.6</v>
      </c>
      <c r="AB329" s="612">
        <f t="shared" si="65"/>
        <v>298</v>
      </c>
      <c r="AC329" s="613">
        <f>IFERROR(INDEX('[2]CN HĐ'!$M$10:$M$72,MATCH(B329,'[2]CN HĐ'!$H$10:$H$72,0)),"")</f>
        <v>0</v>
      </c>
      <c r="AD329" s="654"/>
    </row>
    <row r="330" spans="1:70" s="372" customFormat="1" ht="31.5" customHeight="1">
      <c r="A330" s="30">
        <f>_xlfn.AGGREGATE(4,7,A$29:A329)+1</f>
        <v>299</v>
      </c>
      <c r="B330" s="444" t="s">
        <v>2091</v>
      </c>
      <c r="C330" s="419"/>
      <c r="D330" s="418"/>
      <c r="E330" s="615"/>
      <c r="F330" s="615"/>
      <c r="G330" s="615"/>
      <c r="H330" s="368" t="s">
        <v>2031</v>
      </c>
      <c r="I330" s="605">
        <v>4680000</v>
      </c>
      <c r="J330" s="368" t="str">
        <f>VLOOKUP(B330,TH!B319:J651,9,FALSE)</f>
        <v>Nhân viên Ký túc xá</v>
      </c>
      <c r="K330" s="466">
        <f t="shared" si="62"/>
        <v>1404000</v>
      </c>
      <c r="L330" s="606" t="str">
        <f>VLOOKUP(B330,'[1]Gui chi Quynh'!$B$11:$E$400,4,FALSE)</f>
        <v>A4</v>
      </c>
      <c r="M330" s="466">
        <f t="shared" si="67"/>
        <v>1404000</v>
      </c>
      <c r="N330" s="606">
        <v>26</v>
      </c>
      <c r="O330" s="607">
        <f>IFERROR(INDEX('[2]CN HĐ'!$J$10:$J$72,MATCH(B330,'[2]CN HĐ'!$H$10:$H$72,0)),"")</f>
        <v>26</v>
      </c>
      <c r="P330" s="608"/>
      <c r="Q330" s="466">
        <f t="shared" si="63"/>
        <v>1404000</v>
      </c>
      <c r="R330" s="609"/>
      <c r="S330" s="466">
        <v>0</v>
      </c>
      <c r="T330" s="610"/>
      <c r="U330" s="466">
        <v>0</v>
      </c>
      <c r="V330" s="647">
        <f t="shared" si="64"/>
        <v>46800</v>
      </c>
      <c r="W330" s="647"/>
      <c r="X330" s="886">
        <f t="shared" si="66"/>
        <v>1404000</v>
      </c>
      <c r="Y330" s="846">
        <f t="shared" si="57"/>
        <v>0.78</v>
      </c>
      <c r="Z330" s="491">
        <v>1800000</v>
      </c>
      <c r="AA330" s="663">
        <f t="shared" si="58"/>
        <v>1404000</v>
      </c>
      <c r="AB330" s="612">
        <f t="shared" si="65"/>
        <v>299</v>
      </c>
      <c r="AC330" s="613">
        <f>IFERROR(INDEX('[2]CN HĐ'!$M$10:$M$72,MATCH(B330,'[2]CN HĐ'!$H$10:$H$72,0)),"")</f>
        <v>0</v>
      </c>
      <c r="AD330" s="617"/>
      <c r="AE330" s="108"/>
      <c r="AF330" s="108"/>
      <c r="AG330" s="108"/>
      <c r="AH330" s="108"/>
      <c r="AI330" s="108"/>
      <c r="AJ330" s="108"/>
      <c r="AK330" s="108"/>
      <c r="AL330" s="108"/>
      <c r="AM330" s="108"/>
      <c r="AN330" s="108"/>
      <c r="AO330" s="108"/>
      <c r="AP330" s="108"/>
      <c r="AQ330" s="108"/>
      <c r="AR330" s="108"/>
      <c r="AS330" s="108"/>
      <c r="AT330" s="108"/>
      <c r="AU330" s="108"/>
    </row>
    <row r="331" spans="1:70" s="372" customFormat="1" ht="31.5" customHeight="1">
      <c r="A331" s="30">
        <f>_xlfn.AGGREGATE(4,7,A$29:A330)+1</f>
        <v>300</v>
      </c>
      <c r="B331" s="624" t="s">
        <v>2092</v>
      </c>
      <c r="C331" s="625"/>
      <c r="D331" s="418"/>
      <c r="E331" s="614" t="s">
        <v>2093</v>
      </c>
      <c r="F331" s="614"/>
      <c r="G331" s="614"/>
      <c r="H331" s="368" t="s">
        <v>2042</v>
      </c>
      <c r="I331" s="605">
        <v>12518663</v>
      </c>
      <c r="J331" s="368" t="str">
        <f>VLOOKUP(B331,TH!B320:J652,9,FALSE)</f>
        <v>Nhân viên</v>
      </c>
      <c r="K331" s="466">
        <f t="shared" si="62"/>
        <v>8763064.0999999996</v>
      </c>
      <c r="L331" s="606" t="str">
        <f>VLOOKUP(B331,'[1]Gui chi Quynh'!$B$11:$E$400,4,FALSE)</f>
        <v>A1</v>
      </c>
      <c r="M331" s="466">
        <f t="shared" si="67"/>
        <v>14020903</v>
      </c>
      <c r="N331" s="606">
        <v>26</v>
      </c>
      <c r="O331" s="607">
        <f>IFERROR(INDEX('[2]CN HĐ'!$J$10:$J$72,MATCH(B331,'[2]CN HĐ'!$H$10:$H$72,0)),"")</f>
        <v>31</v>
      </c>
      <c r="P331" s="608" t="e">
        <f>IF(M331&gt;#REF!,M331,#REF!)</f>
        <v>#REF!</v>
      </c>
      <c r="Q331" s="466">
        <f t="shared" si="63"/>
        <v>14020903</v>
      </c>
      <c r="R331" s="609"/>
      <c r="S331" s="466">
        <v>0</v>
      </c>
      <c r="T331" s="626"/>
      <c r="U331" s="466">
        <v>0</v>
      </c>
      <c r="V331" s="647">
        <f t="shared" si="64"/>
        <v>125186.63</v>
      </c>
      <c r="W331" s="647"/>
      <c r="X331" s="886">
        <f t="shared" si="66"/>
        <v>14020903</v>
      </c>
      <c r="Y331" s="846">
        <f t="shared" si="57"/>
        <v>7.7893905555555554</v>
      </c>
      <c r="Z331" s="491">
        <v>1800000</v>
      </c>
      <c r="AA331" s="663">
        <f t="shared" si="58"/>
        <v>14020903</v>
      </c>
      <c r="AB331" s="612">
        <f t="shared" si="65"/>
        <v>300</v>
      </c>
      <c r="AC331" s="613">
        <f>IFERROR(INDEX('[2]CN HĐ'!$M$10:$M$72,MATCH(B331,'[2]CN HĐ'!$H$10:$H$72,0)),"")</f>
        <v>0</v>
      </c>
      <c r="AD331" s="616"/>
      <c r="AE331" s="108"/>
      <c r="AF331" s="108"/>
      <c r="AG331" s="108"/>
      <c r="AH331" s="108"/>
      <c r="AI331" s="108"/>
      <c r="AJ331" s="108"/>
      <c r="AK331" s="108"/>
      <c r="AL331" s="108"/>
      <c r="AM331" s="108"/>
      <c r="AN331" s="108"/>
      <c r="AO331" s="108"/>
      <c r="AP331" s="108"/>
      <c r="AQ331" s="108"/>
      <c r="AR331" s="108"/>
      <c r="AS331" s="108"/>
      <c r="AT331" s="108"/>
      <c r="AU331" s="108"/>
      <c r="AV331" s="108"/>
      <c r="AW331" s="108"/>
      <c r="AX331" s="108"/>
      <c r="AY331" s="108"/>
      <c r="AZ331" s="108"/>
      <c r="BA331" s="108"/>
      <c r="BB331" s="108"/>
      <c r="BC331" s="108"/>
      <c r="BD331" s="108"/>
      <c r="BE331" s="108"/>
      <c r="BF331" s="108"/>
      <c r="BG331" s="108"/>
      <c r="BH331" s="108"/>
      <c r="BI331" s="108"/>
      <c r="BJ331" s="108"/>
      <c r="BK331" s="108"/>
      <c r="BL331" s="108"/>
      <c r="BM331" s="108"/>
      <c r="BN331" s="108"/>
      <c r="BO331" s="108"/>
      <c r="BP331" s="108"/>
      <c r="BQ331" s="108"/>
      <c r="BR331" s="108"/>
    </row>
    <row r="332" spans="1:70" s="372" customFormat="1" ht="38.25" customHeight="1">
      <c r="A332" s="30">
        <f>_xlfn.AGGREGATE(4,7,A$29:A331)+1</f>
        <v>301</v>
      </c>
      <c r="B332" s="444" t="s">
        <v>2094</v>
      </c>
      <c r="C332" s="419" t="s">
        <v>1602</v>
      </c>
      <c r="D332" s="418" t="s">
        <v>2095</v>
      </c>
      <c r="E332" s="604">
        <v>1603205341982</v>
      </c>
      <c r="F332" s="604"/>
      <c r="G332" s="604"/>
      <c r="H332" s="368" t="s">
        <v>2042</v>
      </c>
      <c r="I332" s="605">
        <v>7515057</v>
      </c>
      <c r="J332" s="368" t="str">
        <f>VLOOKUP(B332,TH!B321:J653,9,FALSE)</f>
        <v>NV Kế toán</v>
      </c>
      <c r="K332" s="466">
        <f t="shared" si="62"/>
        <v>5260539.8999999994</v>
      </c>
      <c r="L332" s="606" t="str">
        <f>VLOOKUP(B332,'[1]Gui chi Quynh'!$B$11:$E$400,4,FALSE)</f>
        <v>A2</v>
      </c>
      <c r="M332" s="466">
        <f t="shared" si="67"/>
        <v>7364756</v>
      </c>
      <c r="N332" s="606">
        <v>26</v>
      </c>
      <c r="O332" s="607">
        <f>IFERROR(INDEX('[2]CN HĐ'!$J$10:$J$72,MATCH(B332,'[2]CN HĐ'!$H$10:$H$72,0)),"")</f>
        <v>26</v>
      </c>
      <c r="P332" s="608" t="e">
        <f>IF(M332&gt;#REF!,M332,#REF!)</f>
        <v>#REF!</v>
      </c>
      <c r="Q332" s="466">
        <f t="shared" si="63"/>
        <v>7364756</v>
      </c>
      <c r="R332" s="609"/>
      <c r="S332" s="466">
        <v>0</v>
      </c>
      <c r="T332" s="466" t="e">
        <f>S332*#REF!*0.5</f>
        <v>#REF!</v>
      </c>
      <c r="U332" s="466">
        <v>0</v>
      </c>
      <c r="V332" s="647">
        <f t="shared" si="64"/>
        <v>75150.570000000007</v>
      </c>
      <c r="W332" s="647"/>
      <c r="X332" s="886">
        <f t="shared" si="66"/>
        <v>7364756</v>
      </c>
      <c r="Y332" s="846">
        <f t="shared" si="57"/>
        <v>4.0915311111111112</v>
      </c>
      <c r="Z332" s="491">
        <v>1800000</v>
      </c>
      <c r="AA332" s="663">
        <f t="shared" si="58"/>
        <v>7364756</v>
      </c>
      <c r="AB332" s="612">
        <f t="shared" si="65"/>
        <v>301</v>
      </c>
      <c r="AC332" s="613">
        <f>IFERROR(INDEX('[2]CN HĐ'!$M$10:$M$72,MATCH(B332,'[2]CN HĐ'!$H$10:$H$72,0)),"")</f>
        <v>0</v>
      </c>
      <c r="AD332" s="616"/>
      <c r="AE332" s="108"/>
      <c r="AF332" s="108"/>
      <c r="AG332" s="108"/>
      <c r="AH332" s="108"/>
      <c r="AI332" s="108"/>
      <c r="AJ332" s="108"/>
      <c r="AK332" s="108"/>
      <c r="AL332" s="108"/>
      <c r="AM332" s="108"/>
      <c r="AN332" s="108"/>
      <c r="AO332" s="108"/>
      <c r="AP332" s="108"/>
      <c r="AQ332" s="108"/>
      <c r="AR332" s="108"/>
      <c r="AS332" s="108"/>
      <c r="AT332" s="108"/>
      <c r="AU332" s="108"/>
      <c r="AV332" s="108"/>
      <c r="AW332" s="108"/>
      <c r="AX332" s="108"/>
      <c r="AY332" s="108"/>
      <c r="AZ332" s="108"/>
      <c r="BA332" s="108"/>
    </row>
    <row r="333" spans="1:70" s="372" customFormat="1" ht="32.25" customHeight="1">
      <c r="A333" s="30">
        <f>_xlfn.AGGREGATE(4,7,A$29:A332)+1</f>
        <v>302</v>
      </c>
      <c r="B333" s="444" t="s">
        <v>2096</v>
      </c>
      <c r="C333" s="419"/>
      <c r="D333" s="418"/>
      <c r="E333" s="622" t="s">
        <v>2097</v>
      </c>
      <c r="F333" s="622"/>
      <c r="G333" s="622"/>
      <c r="H333" s="368" t="s">
        <v>2042</v>
      </c>
      <c r="I333" s="605">
        <v>5733201</v>
      </c>
      <c r="J333" s="368" t="str">
        <f>VLOOKUP(B333,TH!B322:J654,9,FALSE)</f>
        <v>NV Kế toán</v>
      </c>
      <c r="K333" s="466">
        <f t="shared" si="62"/>
        <v>4013240.6999999997</v>
      </c>
      <c r="L333" s="606" t="str">
        <f>VLOOKUP(B333,'[1]Gui chi Quynh'!$B$11:$E$400,4,FALSE)</f>
        <v>A2</v>
      </c>
      <c r="M333" s="466">
        <f t="shared" si="67"/>
        <v>5618537</v>
      </c>
      <c r="N333" s="606">
        <v>26</v>
      </c>
      <c r="O333" s="607">
        <f>IFERROR(INDEX('[2]CN HĐ'!$J$10:$J$72,MATCH(B333,'[2]CN HĐ'!$H$10:$H$72,0)),"")</f>
        <v>26</v>
      </c>
      <c r="P333" s="608" t="e">
        <f>IF(M333&gt;#REF!,M333,#REF!)</f>
        <v>#REF!</v>
      </c>
      <c r="Q333" s="466">
        <f t="shared" si="63"/>
        <v>5618537</v>
      </c>
      <c r="R333" s="609"/>
      <c r="S333" s="466">
        <v>0</v>
      </c>
      <c r="T333" s="466"/>
      <c r="U333" s="466">
        <v>0</v>
      </c>
      <c r="V333" s="647">
        <f t="shared" si="64"/>
        <v>57332.01</v>
      </c>
      <c r="W333" s="647"/>
      <c r="X333" s="886">
        <f t="shared" si="66"/>
        <v>5618537</v>
      </c>
      <c r="Y333" s="846">
        <f t="shared" si="57"/>
        <v>3.1214094444444442</v>
      </c>
      <c r="Z333" s="491">
        <v>1800000</v>
      </c>
      <c r="AA333" s="663">
        <f t="shared" si="58"/>
        <v>5618537</v>
      </c>
      <c r="AB333" s="612">
        <f t="shared" si="65"/>
        <v>302</v>
      </c>
      <c r="AC333" s="613">
        <f>IFERROR(INDEX('[2]CN HĐ'!$M$10:$M$72,MATCH(B333,'[2]CN HĐ'!$H$10:$H$72,0)),"")</f>
        <v>0</v>
      </c>
      <c r="AD333" s="108"/>
      <c r="AE333" s="108"/>
      <c r="AF333" s="108"/>
      <c r="AG333" s="108"/>
      <c r="AH333" s="108"/>
      <c r="AI333" s="108"/>
      <c r="AJ333" s="108"/>
      <c r="AK333" s="108"/>
      <c r="AL333" s="108"/>
      <c r="AM333" s="108"/>
      <c r="AN333" s="108"/>
      <c r="AO333" s="108"/>
      <c r="AP333" s="108"/>
      <c r="AQ333" s="108"/>
      <c r="AR333" s="108"/>
      <c r="AS333" s="108"/>
      <c r="AT333" s="108"/>
      <c r="AU333" s="108"/>
      <c r="AV333" s="108"/>
      <c r="AW333" s="108"/>
      <c r="AX333" s="108"/>
      <c r="AY333" s="108"/>
      <c r="AZ333" s="108"/>
      <c r="BA333" s="108"/>
    </row>
    <row r="334" spans="1:70" s="372" customFormat="1" ht="27" customHeight="1">
      <c r="A334" s="30">
        <f>_xlfn.AGGREGATE(4,7,A$29:A333)+1</f>
        <v>303</v>
      </c>
      <c r="B334" s="444" t="s">
        <v>2098</v>
      </c>
      <c r="C334" s="419"/>
      <c r="D334" s="418"/>
      <c r="E334" s="615"/>
      <c r="F334" s="615"/>
      <c r="G334" s="615"/>
      <c r="H334" s="368" t="s">
        <v>2042</v>
      </c>
      <c r="I334" s="605">
        <v>5733201</v>
      </c>
      <c r="J334" s="368" t="str">
        <f>VLOOKUP(B334,TH!B323:J655,9,FALSE)</f>
        <v>NV Kế toán</v>
      </c>
      <c r="K334" s="466">
        <f t="shared" si="62"/>
        <v>4013240.6999999997</v>
      </c>
      <c r="L334" s="606" t="str">
        <f>VLOOKUP(B334,'[1]Gui chi Quynh'!$B$11:$E$400,4,FALSE)</f>
        <v>A2</v>
      </c>
      <c r="M334" s="466">
        <f t="shared" si="67"/>
        <v>5618537</v>
      </c>
      <c r="N334" s="606">
        <v>26</v>
      </c>
      <c r="O334" s="607">
        <f>IFERROR(INDEX('[2]CN HĐ'!$J$10:$J$72,MATCH(B334,'[2]CN HĐ'!$H$10:$H$72,0)),"")</f>
        <v>26</v>
      </c>
      <c r="P334" s="608"/>
      <c r="Q334" s="466">
        <f t="shared" si="63"/>
        <v>5618537</v>
      </c>
      <c r="R334" s="609"/>
      <c r="S334" s="466">
        <v>0</v>
      </c>
      <c r="T334" s="466"/>
      <c r="U334" s="466">
        <v>0</v>
      </c>
      <c r="V334" s="647">
        <f t="shared" si="64"/>
        <v>57332.01</v>
      </c>
      <c r="W334" s="647">
        <v>3675676.1999999993</v>
      </c>
      <c r="X334" s="886">
        <f t="shared" si="66"/>
        <v>9294213.1999999993</v>
      </c>
      <c r="Y334" s="846">
        <f t="shared" si="57"/>
        <v>5.1634517777777775</v>
      </c>
      <c r="Z334" s="491">
        <v>1800000</v>
      </c>
      <c r="AA334" s="663">
        <f t="shared" si="58"/>
        <v>9294213.1999999993</v>
      </c>
      <c r="AB334" s="612">
        <f t="shared" si="65"/>
        <v>303</v>
      </c>
      <c r="AC334" s="613">
        <f>IFERROR(INDEX('[2]CN HĐ'!$M$10:$M$72,MATCH(B334,'[2]CN HĐ'!$H$10:$H$72,0)),"")</f>
        <v>0</v>
      </c>
      <c r="AD334" s="108"/>
      <c r="AE334" s="108"/>
      <c r="AF334" s="108"/>
      <c r="AG334" s="108"/>
      <c r="AH334" s="108"/>
      <c r="AI334" s="108"/>
      <c r="AJ334" s="108"/>
      <c r="AK334" s="108"/>
      <c r="AL334" s="108"/>
      <c r="AM334" s="108"/>
      <c r="AN334" s="108"/>
      <c r="AO334" s="108"/>
      <c r="AP334" s="108"/>
      <c r="AQ334" s="108"/>
      <c r="AR334" s="108"/>
      <c r="AS334" s="108"/>
      <c r="AT334" s="108"/>
      <c r="AU334" s="108"/>
      <c r="AV334" s="108"/>
      <c r="AW334" s="108"/>
      <c r="AX334" s="108"/>
      <c r="AY334" s="108"/>
      <c r="AZ334" s="108"/>
      <c r="BA334" s="108"/>
    </row>
    <row r="335" spans="1:70" s="372" customFormat="1" ht="36.75" customHeight="1">
      <c r="A335" s="30">
        <f>_xlfn.AGGREGATE(4,7,A$29:A334)+1</f>
        <v>304</v>
      </c>
      <c r="B335" s="444" t="s">
        <v>2099</v>
      </c>
      <c r="C335" s="419"/>
      <c r="D335" s="418"/>
      <c r="E335" s="615"/>
      <c r="F335" s="615"/>
      <c r="G335" s="615"/>
      <c r="H335" s="368" t="s">
        <v>2042</v>
      </c>
      <c r="I335" s="605">
        <v>5358132</v>
      </c>
      <c r="J335" s="368" t="str">
        <f>VLOOKUP(B335,TH!B324:J656,9,FALSE)</f>
        <v>NV Kế toán</v>
      </c>
      <c r="K335" s="466">
        <f t="shared" si="62"/>
        <v>3750692.4</v>
      </c>
      <c r="L335" s="606" t="str">
        <f>VLOOKUP(B335,'[1]Gui chi Quynh'!$B$11:$E$400,4,FALSE)</f>
        <v>A3</v>
      </c>
      <c r="M335" s="466">
        <f t="shared" si="67"/>
        <v>4500831</v>
      </c>
      <c r="N335" s="606">
        <v>26</v>
      </c>
      <c r="O335" s="607">
        <f>IFERROR(INDEX('[2]CN HĐ'!$J$10:$J$72,MATCH(B335,'[2]CN HĐ'!$H$10:$H$72,0)),"")</f>
        <v>26</v>
      </c>
      <c r="P335" s="608"/>
      <c r="Q335" s="466">
        <f t="shared" si="63"/>
        <v>4500831</v>
      </c>
      <c r="R335" s="609"/>
      <c r="S335" s="466">
        <v>0</v>
      </c>
      <c r="T335" s="466"/>
      <c r="U335" s="466">
        <v>0</v>
      </c>
      <c r="V335" s="647">
        <f t="shared" si="64"/>
        <v>53581.32</v>
      </c>
      <c r="W335" s="647"/>
      <c r="X335" s="886">
        <f t="shared" si="66"/>
        <v>4500831</v>
      </c>
      <c r="Y335" s="846">
        <f t="shared" si="57"/>
        <v>2.5004616666666668</v>
      </c>
      <c r="Z335" s="491">
        <v>1800000</v>
      </c>
      <c r="AA335" s="663">
        <f t="shared" si="58"/>
        <v>4500831</v>
      </c>
      <c r="AB335" s="612">
        <f t="shared" si="65"/>
        <v>304</v>
      </c>
      <c r="AC335" s="613">
        <f>IFERROR(INDEX('[2]CN HĐ'!$M$10:$M$72,MATCH(B335,'[2]CN HĐ'!$H$10:$H$72,0)),"")</f>
        <v>0</v>
      </c>
      <c r="AD335" s="108"/>
      <c r="AE335" s="108"/>
      <c r="AF335" s="108"/>
      <c r="AG335" s="108"/>
      <c r="AH335" s="108"/>
      <c r="AI335" s="108"/>
      <c r="AJ335" s="108"/>
      <c r="AK335" s="108"/>
      <c r="AL335" s="108"/>
      <c r="AM335" s="108"/>
      <c r="AN335" s="108"/>
      <c r="AO335" s="108"/>
      <c r="AP335" s="108"/>
      <c r="AQ335" s="108"/>
      <c r="AR335" s="108"/>
      <c r="AS335" s="108"/>
      <c r="AT335" s="108"/>
      <c r="AU335" s="108"/>
    </row>
    <row r="336" spans="1:70" s="372" customFormat="1" ht="32.25" customHeight="1">
      <c r="A336" s="30">
        <f>_xlfn.AGGREGATE(4,7,A$29:A335)+1</f>
        <v>305</v>
      </c>
      <c r="B336" s="624" t="s">
        <v>2100</v>
      </c>
      <c r="C336" s="625" t="s">
        <v>1053</v>
      </c>
      <c r="D336" s="418" t="s">
        <v>2101</v>
      </c>
      <c r="E336" s="614">
        <v>1603205399011</v>
      </c>
      <c r="F336" s="614"/>
      <c r="G336" s="614"/>
      <c r="H336" s="81" t="s">
        <v>2042</v>
      </c>
      <c r="I336" s="605">
        <v>8041111</v>
      </c>
      <c r="J336" s="368" t="str">
        <f>VLOOKUP(B336,TH!B325:J657,9,FALSE)</f>
        <v>Nhân viên</v>
      </c>
      <c r="K336" s="466">
        <f t="shared" si="62"/>
        <v>5628777.6999999993</v>
      </c>
      <c r="L336" s="606" t="str">
        <f>VLOOKUP(B336,'[1]Gui chi Quynh'!$B$11:$E$400,4,FALSE)</f>
        <v>A3</v>
      </c>
      <c r="M336" s="466">
        <f t="shared" si="67"/>
        <v>6754533</v>
      </c>
      <c r="N336" s="606">
        <v>26</v>
      </c>
      <c r="O336" s="607">
        <f>IFERROR(INDEX('[2]CN HĐ'!$J$10:$J$72,MATCH(B336,'[2]CN HĐ'!$H$10:$H$72,0)),"")</f>
        <v>24</v>
      </c>
      <c r="P336" s="608" t="e">
        <f>IF(M336&gt;#REF!,M336,#REF!)</f>
        <v>#REF!</v>
      </c>
      <c r="Q336" s="466">
        <f t="shared" si="63"/>
        <v>6234954</v>
      </c>
      <c r="R336" s="609"/>
      <c r="S336" s="466">
        <v>0</v>
      </c>
      <c r="T336" s="626"/>
      <c r="U336" s="466">
        <v>0</v>
      </c>
      <c r="V336" s="647">
        <f t="shared" si="64"/>
        <v>80411.11</v>
      </c>
      <c r="W336" s="647"/>
      <c r="X336" s="886">
        <f t="shared" si="66"/>
        <v>6234954</v>
      </c>
      <c r="Y336" s="846">
        <f t="shared" si="57"/>
        <v>3.4638633333333333</v>
      </c>
      <c r="Z336" s="491">
        <v>1800000</v>
      </c>
      <c r="AA336" s="663">
        <f t="shared" si="58"/>
        <v>6234954</v>
      </c>
      <c r="AB336" s="612">
        <f t="shared" si="65"/>
        <v>305</v>
      </c>
      <c r="AC336" s="613" t="str">
        <f>IFERROR(INDEX('[2]CN HĐ'!$M$10:$M$72,MATCH(B336,'[2]CN HĐ'!$H$10:$H$72,0)),"")</f>
        <v>Trừ 2 ngày nghỉ phép 6+13/3</v>
      </c>
      <c r="AD336" s="108"/>
      <c r="AE336" s="108"/>
      <c r="AF336" s="108"/>
      <c r="AG336" s="108"/>
      <c r="AH336" s="108"/>
      <c r="AI336" s="108"/>
      <c r="AJ336" s="108"/>
      <c r="AK336" s="108"/>
      <c r="AL336" s="108"/>
      <c r="AM336" s="108"/>
      <c r="AN336" s="108"/>
      <c r="AO336" s="108"/>
      <c r="AP336" s="108"/>
      <c r="AQ336" s="108"/>
      <c r="AR336" s="108"/>
      <c r="AS336" s="108"/>
      <c r="AT336" s="108"/>
      <c r="AU336" s="108"/>
      <c r="AV336" s="108"/>
      <c r="AW336" s="108"/>
      <c r="AX336" s="108"/>
      <c r="AY336" s="108"/>
      <c r="AZ336" s="108"/>
      <c r="BA336" s="108"/>
      <c r="BB336" s="108"/>
      <c r="BC336" s="108"/>
      <c r="BD336" s="108"/>
      <c r="BE336" s="108"/>
      <c r="BF336" s="108"/>
      <c r="BG336" s="108"/>
      <c r="BH336" s="108"/>
      <c r="BI336" s="108"/>
      <c r="BJ336" s="108"/>
      <c r="BK336" s="108"/>
      <c r="BL336" s="108"/>
      <c r="BM336" s="108"/>
      <c r="BN336" s="108"/>
      <c r="BO336" s="108"/>
      <c r="BP336" s="108"/>
      <c r="BQ336" s="108"/>
      <c r="BR336" s="108"/>
    </row>
    <row r="337" spans="1:53" s="372" customFormat="1" ht="35.25" customHeight="1">
      <c r="A337" s="30">
        <f>_xlfn.AGGREGATE(4,7,A$29:A336)+1</f>
        <v>306</v>
      </c>
      <c r="B337" s="444" t="s">
        <v>2102</v>
      </c>
      <c r="C337" s="419" t="s">
        <v>2103</v>
      </c>
      <c r="D337" s="418" t="s">
        <v>2104</v>
      </c>
      <c r="E337" s="604" t="s">
        <v>2105</v>
      </c>
      <c r="F337" s="604"/>
      <c r="G337" s="604"/>
      <c r="H337" s="368" t="s">
        <v>2038</v>
      </c>
      <c r="I337" s="605">
        <v>6086769</v>
      </c>
      <c r="J337" s="368" t="str">
        <f>VLOOKUP(B337,TH!B326:J658,9,FALSE)</f>
        <v>NV Phòng Quản trị - Dịch vụ</v>
      </c>
      <c r="K337" s="466">
        <f t="shared" si="62"/>
        <v>4260738.3</v>
      </c>
      <c r="L337" s="606" t="str">
        <f>VLOOKUP(B337,'[1]Gui chi Quynh'!$B$11:$E$400,4,FALSE)</f>
        <v>A4</v>
      </c>
      <c r="M337" s="466">
        <f t="shared" si="67"/>
        <v>4260738</v>
      </c>
      <c r="N337" s="606">
        <v>26</v>
      </c>
      <c r="O337" s="607">
        <f>IFERROR(INDEX('[2]CN HĐ'!$J$10:$J$72,MATCH(B337,'[2]CN HĐ'!$H$10:$H$72,0)),"")</f>
        <v>27</v>
      </c>
      <c r="P337" s="608" t="e">
        <f>IF(M337&gt;#REF!,M337,#REF!)</f>
        <v>#REF!</v>
      </c>
      <c r="Q337" s="466">
        <f t="shared" si="63"/>
        <v>4260738</v>
      </c>
      <c r="R337" s="609"/>
      <c r="S337" s="466">
        <v>0</v>
      </c>
      <c r="T337" s="610"/>
      <c r="U337" s="466">
        <v>0</v>
      </c>
      <c r="V337" s="647">
        <f t="shared" si="64"/>
        <v>60867.69</v>
      </c>
      <c r="W337" s="647"/>
      <c r="X337" s="886">
        <f t="shared" si="66"/>
        <v>4260738</v>
      </c>
      <c r="Y337" s="846">
        <f t="shared" si="57"/>
        <v>2.3670766666666667</v>
      </c>
      <c r="Z337" s="491">
        <v>1800000</v>
      </c>
      <c r="AA337" s="663">
        <f t="shared" si="58"/>
        <v>4260738</v>
      </c>
      <c r="AB337" s="612">
        <f t="shared" si="65"/>
        <v>306</v>
      </c>
      <c r="AC337" s="613">
        <f>IFERROR(INDEX('[2]CN HĐ'!$M$10:$M$72,MATCH(B337,'[2]CN HĐ'!$H$10:$H$72,0)),"")</f>
        <v>0</v>
      </c>
      <c r="AD337" s="108"/>
      <c r="AE337" s="108"/>
      <c r="AF337" s="108"/>
      <c r="AG337" s="108"/>
      <c r="AH337" s="108"/>
      <c r="AI337" s="108"/>
      <c r="AJ337" s="108"/>
      <c r="AK337" s="108"/>
      <c r="AL337" s="108"/>
      <c r="AM337" s="108"/>
      <c r="AN337" s="108"/>
      <c r="AO337" s="108"/>
      <c r="AP337" s="108"/>
      <c r="AQ337" s="108"/>
      <c r="AR337" s="108"/>
      <c r="AS337" s="108"/>
      <c r="AT337" s="108"/>
      <c r="AU337" s="108"/>
      <c r="AV337" s="108"/>
      <c r="AW337" s="108"/>
      <c r="AX337" s="108"/>
      <c r="AY337" s="108"/>
      <c r="AZ337" s="108"/>
      <c r="BA337" s="108"/>
    </row>
    <row r="338" spans="1:53" s="372" customFormat="1" ht="29.25" customHeight="1">
      <c r="A338" s="30">
        <f>_xlfn.AGGREGATE(4,7,A$29:A337)+1</f>
        <v>307</v>
      </c>
      <c r="B338" s="444" t="s">
        <v>2106</v>
      </c>
      <c r="C338" s="419" t="s">
        <v>891</v>
      </c>
      <c r="D338" s="418" t="s">
        <v>2107</v>
      </c>
      <c r="E338" s="615">
        <v>1603205192034</v>
      </c>
      <c r="F338" s="615"/>
      <c r="G338" s="615"/>
      <c r="H338" s="368" t="s">
        <v>2038</v>
      </c>
      <c r="I338" s="605">
        <v>6086769</v>
      </c>
      <c r="J338" s="368" t="s">
        <v>2206</v>
      </c>
      <c r="K338" s="466">
        <f t="shared" si="62"/>
        <v>4260738.3</v>
      </c>
      <c r="L338" s="606" t="str">
        <f>VLOOKUP(B338,'[1]Gui chi Quynh'!$B$11:$E$400,4,FALSE)</f>
        <v>A4</v>
      </c>
      <c r="M338" s="466">
        <f t="shared" si="67"/>
        <v>4260738</v>
      </c>
      <c r="N338" s="606">
        <v>26</v>
      </c>
      <c r="O338" s="607">
        <f>IFERROR(INDEX('[2]CN HĐ'!$J$10:$J$72,MATCH(B338,'[2]CN HĐ'!$H$10:$H$72,0)),"")</f>
        <v>25</v>
      </c>
      <c r="P338" s="608" t="e">
        <f>IF(M338&gt;#REF!,M338,#REF!)</f>
        <v>#REF!</v>
      </c>
      <c r="Q338" s="466">
        <f t="shared" si="63"/>
        <v>4096863</v>
      </c>
      <c r="R338" s="609"/>
      <c r="S338" s="466">
        <v>0</v>
      </c>
      <c r="T338" s="610"/>
      <c r="U338" s="466">
        <v>0</v>
      </c>
      <c r="V338" s="647">
        <f t="shared" si="64"/>
        <v>60867.69</v>
      </c>
      <c r="W338" s="647"/>
      <c r="X338" s="886">
        <f t="shared" si="66"/>
        <v>4096863</v>
      </c>
      <c r="Y338" s="846">
        <f t="shared" si="57"/>
        <v>2.2760349999999998</v>
      </c>
      <c r="Z338" s="491">
        <v>1800000</v>
      </c>
      <c r="AA338" s="663">
        <f t="shared" si="58"/>
        <v>4096862.9999999995</v>
      </c>
      <c r="AB338" s="612">
        <f t="shared" si="65"/>
        <v>307</v>
      </c>
      <c r="AC338" s="613" t="str">
        <f>IFERROR(INDEX('[2]CN HĐ'!$M$10:$M$72,MATCH(B338,'[2]CN HĐ'!$H$10:$H$72,0)),"")</f>
        <v>Trừ 1 ngày nghỉ phép 23/3</v>
      </c>
      <c r="AD338" s="108"/>
      <c r="AE338" s="108"/>
      <c r="AF338" s="108"/>
      <c r="AG338" s="108"/>
      <c r="AH338" s="108"/>
      <c r="AI338" s="108"/>
      <c r="AJ338" s="108"/>
      <c r="AK338" s="108"/>
      <c r="AL338" s="108"/>
      <c r="AM338" s="108"/>
      <c r="AN338" s="108"/>
      <c r="AO338" s="108"/>
      <c r="AP338" s="108"/>
      <c r="AQ338" s="108"/>
      <c r="AR338" s="108"/>
      <c r="AS338" s="108"/>
      <c r="AT338" s="108"/>
      <c r="AU338" s="108"/>
      <c r="AV338" s="108"/>
      <c r="AW338" s="108"/>
      <c r="AX338" s="108"/>
      <c r="AY338" s="108"/>
      <c r="AZ338" s="108"/>
      <c r="BA338" s="108"/>
    </row>
    <row r="339" spans="1:53" s="372" customFormat="1" ht="29.25" customHeight="1">
      <c r="A339" s="30">
        <f>_xlfn.AGGREGATE(4,7,A$29:A338)+1</f>
        <v>308</v>
      </c>
      <c r="B339" s="444" t="s">
        <v>2108</v>
      </c>
      <c r="C339" s="419"/>
      <c r="D339" s="418"/>
      <c r="E339" s="615"/>
      <c r="F339" s="615"/>
      <c r="G339" s="615"/>
      <c r="H339" s="368" t="s">
        <v>2042</v>
      </c>
      <c r="I339" s="605">
        <v>5733201</v>
      </c>
      <c r="J339" s="368" t="s">
        <v>2206</v>
      </c>
      <c r="K339" s="466">
        <f t="shared" si="62"/>
        <v>4013240.6999999997</v>
      </c>
      <c r="L339" s="606" t="str">
        <f>VLOOKUP(B339,'[1]Gui chi Quynh'!$B$11:$E$400,4,FALSE)</f>
        <v>A2</v>
      </c>
      <c r="M339" s="466">
        <f t="shared" si="67"/>
        <v>5618537</v>
      </c>
      <c r="N339" s="606">
        <v>26</v>
      </c>
      <c r="O339" s="607">
        <f>IFERROR(INDEX('[2]CN HĐ'!$J$10:$J$72,MATCH(B339,'[2]CN HĐ'!$H$10:$H$72,0)),"")</f>
        <v>26</v>
      </c>
      <c r="P339" s="608" t="e">
        <f>IF(M339&gt;#REF!,M339,#REF!)</f>
        <v>#REF!</v>
      </c>
      <c r="Q339" s="466">
        <f t="shared" si="63"/>
        <v>5618537</v>
      </c>
      <c r="R339" s="609"/>
      <c r="S339" s="466">
        <v>0</v>
      </c>
      <c r="T339" s="610"/>
      <c r="U339" s="466">
        <v>0</v>
      </c>
      <c r="V339" s="647">
        <f t="shared" si="64"/>
        <v>57332.01</v>
      </c>
      <c r="W339" s="647"/>
      <c r="X339" s="886">
        <f t="shared" si="66"/>
        <v>5618537</v>
      </c>
      <c r="Y339" s="846">
        <f t="shared" si="57"/>
        <v>3.1214094444444442</v>
      </c>
      <c r="Z339" s="491">
        <v>1800000</v>
      </c>
      <c r="AA339" s="663">
        <f t="shared" si="58"/>
        <v>5618537</v>
      </c>
      <c r="AB339" s="612">
        <f t="shared" si="65"/>
        <v>308</v>
      </c>
      <c r="AC339" s="613">
        <f>IFERROR(INDEX('[2]CN HĐ'!$M$10:$M$72,MATCH(B339,'[2]CN HĐ'!$H$10:$H$72,0)),"")</f>
        <v>0</v>
      </c>
      <c r="AD339" s="108"/>
      <c r="AE339" s="108"/>
      <c r="AF339" s="108"/>
      <c r="AG339" s="108"/>
      <c r="AH339" s="108"/>
      <c r="AI339" s="108"/>
      <c r="AJ339" s="108"/>
      <c r="AK339" s="108"/>
      <c r="AL339" s="108"/>
      <c r="AM339" s="108"/>
      <c r="AN339" s="108"/>
      <c r="AO339" s="108"/>
      <c r="AP339" s="108"/>
      <c r="AQ339" s="108"/>
      <c r="AR339" s="108"/>
      <c r="AS339" s="108"/>
      <c r="AT339" s="108"/>
      <c r="AU339" s="108"/>
      <c r="AV339" s="108"/>
      <c r="AW339" s="108"/>
      <c r="AX339" s="108"/>
      <c r="AY339" s="108"/>
      <c r="AZ339" s="108"/>
      <c r="BA339" s="108"/>
    </row>
    <row r="340" spans="1:53" s="372" customFormat="1" ht="54.75" customHeight="1">
      <c r="A340" s="543">
        <f>_xlfn.AGGREGATE(4,7,A$29:A339)+1</f>
        <v>309</v>
      </c>
      <c r="B340" s="840" t="s">
        <v>2109</v>
      </c>
      <c r="C340" s="841"/>
      <c r="D340" s="842"/>
      <c r="E340" s="648"/>
      <c r="F340" s="648"/>
      <c r="G340" s="648"/>
      <c r="H340" s="472" t="s">
        <v>2038</v>
      </c>
      <c r="I340" s="627">
        <v>5257980</v>
      </c>
      <c r="J340" s="472" t="s">
        <v>2206</v>
      </c>
      <c r="K340" s="628">
        <f t="shared" si="62"/>
        <v>3680585.9999999995</v>
      </c>
      <c r="L340" s="629" t="str">
        <f>VLOOKUP(B340,'[1]Gui chi Quynh'!$B$11:$E$400,4,FALSE)</f>
        <v>B1</v>
      </c>
      <c r="M340" s="628">
        <f t="shared" si="67"/>
        <v>2576410</v>
      </c>
      <c r="N340" s="629">
        <v>26</v>
      </c>
      <c r="O340" s="630">
        <v>21</v>
      </c>
      <c r="P340" s="631"/>
      <c r="Q340" s="628">
        <f t="shared" si="63"/>
        <v>2080947</v>
      </c>
      <c r="R340" s="632"/>
      <c r="S340" s="628">
        <v>0</v>
      </c>
      <c r="T340" s="633"/>
      <c r="U340" s="628">
        <v>0</v>
      </c>
      <c r="V340" s="628">
        <f t="shared" si="64"/>
        <v>52579.8</v>
      </c>
      <c r="W340" s="628">
        <v>1121702.3999999999</v>
      </c>
      <c r="X340" s="886">
        <f t="shared" si="66"/>
        <v>3202649.4</v>
      </c>
      <c r="Y340" s="894">
        <f t="shared" si="57"/>
        <v>1.7792496666666666</v>
      </c>
      <c r="Z340" s="843">
        <v>1800000</v>
      </c>
      <c r="AA340" s="706">
        <f t="shared" si="58"/>
        <v>3202649.4</v>
      </c>
      <c r="AB340" s="634">
        <f t="shared" si="65"/>
        <v>309</v>
      </c>
      <c r="AC340" s="635" t="s">
        <v>2196</v>
      </c>
      <c r="AD340" s="108"/>
      <c r="AE340" s="108"/>
      <c r="AF340" s="108"/>
      <c r="AG340" s="108"/>
      <c r="AH340" s="108"/>
      <c r="AI340" s="108"/>
      <c r="AJ340" s="108"/>
      <c r="AK340" s="108"/>
      <c r="AL340" s="108"/>
      <c r="AM340" s="108"/>
      <c r="AN340" s="108"/>
      <c r="AO340" s="108"/>
      <c r="AP340" s="108"/>
      <c r="AQ340" s="108"/>
      <c r="AR340" s="108"/>
      <c r="AS340" s="108"/>
      <c r="AT340" s="108"/>
      <c r="AU340" s="108"/>
    </row>
    <row r="341" spans="1:53" s="372" customFormat="1" ht="33" customHeight="1">
      <c r="A341" s="379">
        <f>_xlfn.AGGREGATE(4,7,A$29:A340)+1</f>
        <v>310</v>
      </c>
      <c r="B341" s="444" t="s">
        <v>2110</v>
      </c>
      <c r="C341" s="419" t="s">
        <v>2111</v>
      </c>
      <c r="D341" s="418" t="s">
        <v>2112</v>
      </c>
      <c r="E341" s="615">
        <v>1603205355935</v>
      </c>
      <c r="F341" s="615"/>
      <c r="G341" s="615"/>
      <c r="H341" s="368" t="s">
        <v>2038</v>
      </c>
      <c r="I341" s="605">
        <v>5520879</v>
      </c>
      <c r="J341" s="368" t="s">
        <v>2206</v>
      </c>
      <c r="K341" s="466">
        <f t="shared" si="62"/>
        <v>3864615.3</v>
      </c>
      <c r="L341" s="606" t="str">
        <f>VLOOKUP(B341,'[1]Gui chi Quynh'!$B$11:$E$400,4,FALSE)</f>
        <v>A3</v>
      </c>
      <c r="M341" s="466">
        <f t="shared" si="67"/>
        <v>4637538</v>
      </c>
      <c r="N341" s="606">
        <v>26</v>
      </c>
      <c r="O341" s="607">
        <f>IFERROR(INDEX('[2]CN HĐ'!$J$10:$J$72,MATCH(B341,'[2]CN HĐ'!$H$10:$H$72,0)),"")</f>
        <v>26</v>
      </c>
      <c r="P341" s="608" t="e">
        <f>IF(M341&gt;#REF!,M341,#REF!)</f>
        <v>#REF!</v>
      </c>
      <c r="Q341" s="466">
        <f t="shared" si="63"/>
        <v>4637538</v>
      </c>
      <c r="R341" s="609"/>
      <c r="S341" s="466">
        <v>0</v>
      </c>
      <c r="T341" s="610"/>
      <c r="U341" s="466">
        <v>0</v>
      </c>
      <c r="V341" s="466">
        <f t="shared" si="64"/>
        <v>55208.79</v>
      </c>
      <c r="W341" s="466"/>
      <c r="X341" s="886">
        <f t="shared" si="66"/>
        <v>4637538</v>
      </c>
      <c r="Y341" s="846">
        <f t="shared" si="57"/>
        <v>2.5764100000000001</v>
      </c>
      <c r="Z341" s="491">
        <v>1800000</v>
      </c>
      <c r="AA341" s="663">
        <f t="shared" si="58"/>
        <v>4637538</v>
      </c>
      <c r="AB341" s="612">
        <f t="shared" si="65"/>
        <v>310</v>
      </c>
      <c r="AC341" s="613">
        <f>IFERROR(INDEX('[2]CN HĐ'!$M$10:$M$72,MATCH(B341,'[2]CN HĐ'!$H$10:$H$72,0)),"")</f>
        <v>0</v>
      </c>
    </row>
    <row r="342" spans="1:53" s="372" customFormat="1" ht="29.25" customHeight="1">
      <c r="A342" s="30">
        <f>_xlfn.AGGREGATE(4,7,A$29:A341)+1</f>
        <v>311</v>
      </c>
      <c r="B342" s="444" t="s">
        <v>2113</v>
      </c>
      <c r="C342" s="419"/>
      <c r="D342" s="418"/>
      <c r="E342" s="604">
        <v>1603205639363</v>
      </c>
      <c r="F342" s="604"/>
      <c r="G342" s="604"/>
      <c r="H342" s="368" t="s">
        <v>2042</v>
      </c>
      <c r="I342" s="605">
        <v>5733201</v>
      </c>
      <c r="J342" s="368" t="s">
        <v>2206</v>
      </c>
      <c r="K342" s="466">
        <f t="shared" si="62"/>
        <v>4013240.6999999997</v>
      </c>
      <c r="L342" s="606" t="str">
        <f>VLOOKUP(B342,'[1]Gui chi Quynh'!$B$11:$E$400,4,FALSE)</f>
        <v>A4</v>
      </c>
      <c r="M342" s="466">
        <f t="shared" si="67"/>
        <v>4013241</v>
      </c>
      <c r="N342" s="606">
        <v>26</v>
      </c>
      <c r="O342" s="607">
        <f>IFERROR(INDEX('[2]CN HĐ'!$J$10:$J$72,MATCH(B342,'[2]CN HĐ'!$H$10:$H$72,0)),"")</f>
        <v>26</v>
      </c>
      <c r="P342" s="608" t="e">
        <f>IF(M342&gt;#REF!,M342,#REF!)</f>
        <v>#REF!</v>
      </c>
      <c r="Q342" s="466">
        <f t="shared" si="63"/>
        <v>4013241</v>
      </c>
      <c r="R342" s="609"/>
      <c r="S342" s="466">
        <v>0</v>
      </c>
      <c r="T342" s="610"/>
      <c r="U342" s="466">
        <v>0</v>
      </c>
      <c r="V342" s="647">
        <f t="shared" si="64"/>
        <v>57332.01</v>
      </c>
      <c r="W342" s="647"/>
      <c r="X342" s="886">
        <f t="shared" si="66"/>
        <v>4013241</v>
      </c>
      <c r="Y342" s="846">
        <f t="shared" si="57"/>
        <v>2.2295783333333334</v>
      </c>
      <c r="Z342" s="491">
        <v>1800000</v>
      </c>
      <c r="AA342" s="663">
        <f t="shared" si="58"/>
        <v>4013241</v>
      </c>
      <c r="AB342" s="612">
        <f t="shared" si="65"/>
        <v>311</v>
      </c>
      <c r="AC342" s="613">
        <f>IFERROR(INDEX('[2]CN HĐ'!$M$10:$M$72,MATCH(B342,'[2]CN HĐ'!$H$10:$H$72,0)),"")</f>
        <v>0</v>
      </c>
    </row>
    <row r="343" spans="1:53" s="372" customFormat="1" ht="39" customHeight="1">
      <c r="A343" s="30">
        <f>_xlfn.AGGREGATE(4,7,A$29:A342)+1</f>
        <v>312</v>
      </c>
      <c r="B343" s="444" t="s">
        <v>2114</v>
      </c>
      <c r="C343" s="419" t="s">
        <v>2115</v>
      </c>
      <c r="D343" s="418" t="s">
        <v>2116</v>
      </c>
      <c r="E343" s="604">
        <v>1603205324898</v>
      </c>
      <c r="F343" s="604"/>
      <c r="G343" s="604"/>
      <c r="H343" s="368" t="s">
        <v>2042</v>
      </c>
      <c r="I343" s="605">
        <v>7515057</v>
      </c>
      <c r="J343" s="368" t="str">
        <f>VLOOKUP(B343,TH!B332:J664,9,FALSE)</f>
        <v>Nhân viên phòng KHCN &amp; HTQT</v>
      </c>
      <c r="K343" s="466">
        <f t="shared" si="62"/>
        <v>5260539.8999999994</v>
      </c>
      <c r="L343" s="606" t="str">
        <f>VLOOKUP(B343,'[1]Gui chi Quynh'!$B$11:$E$400,4,FALSE)</f>
        <v>A1</v>
      </c>
      <c r="M343" s="466">
        <f t="shared" si="67"/>
        <v>8416864</v>
      </c>
      <c r="N343" s="606">
        <v>26</v>
      </c>
      <c r="O343" s="607">
        <f>IFERROR(INDEX('[2]CN HĐ'!$J$10:$J$72,MATCH(B343,'[2]CN HĐ'!$H$10:$H$72,0)),"")</f>
        <v>26</v>
      </c>
      <c r="P343" s="608" t="e">
        <f>IF(M343&gt;#REF!,M343,#REF!)</f>
        <v>#REF!</v>
      </c>
      <c r="Q343" s="466">
        <f t="shared" si="63"/>
        <v>8416864</v>
      </c>
      <c r="R343" s="609"/>
      <c r="S343" s="466">
        <v>0</v>
      </c>
      <c r="T343" s="610"/>
      <c r="U343" s="466">
        <v>0</v>
      </c>
      <c r="V343" s="647">
        <f t="shared" si="64"/>
        <v>75150.570000000007</v>
      </c>
      <c r="W343" s="647"/>
      <c r="X343" s="886">
        <f t="shared" si="66"/>
        <v>8416864</v>
      </c>
      <c r="Y343" s="846">
        <f t="shared" si="57"/>
        <v>4.6760355555555559</v>
      </c>
      <c r="Z343" s="491">
        <v>1800000</v>
      </c>
      <c r="AA343" s="663">
        <f t="shared" si="58"/>
        <v>8416864</v>
      </c>
      <c r="AB343" s="612">
        <f t="shared" si="65"/>
        <v>312</v>
      </c>
      <c r="AC343" s="613">
        <f>IFERROR(INDEX('[2]CN HĐ'!$M$10:$M$72,MATCH(B343,'[2]CN HĐ'!$H$10:$H$72,0)),"")</f>
        <v>0</v>
      </c>
    </row>
    <row r="344" spans="1:53" s="372" customFormat="1" ht="33" customHeight="1">
      <c r="A344" s="30">
        <f>_xlfn.AGGREGATE(4,7,A$29:A343)+1</f>
        <v>313</v>
      </c>
      <c r="B344" s="444" t="s">
        <v>2117</v>
      </c>
      <c r="C344" s="419"/>
      <c r="D344" s="418"/>
      <c r="E344" s="614" t="s">
        <v>2118</v>
      </c>
      <c r="F344" s="614"/>
      <c r="G344" s="614"/>
      <c r="H344" s="368" t="s">
        <v>2042</v>
      </c>
      <c r="I344" s="605">
        <v>5733201</v>
      </c>
      <c r="J344" s="368" t="str">
        <f>VLOOKUP(B344,TH!B333:J665,9,FALSE)</f>
        <v>Nhân viên phòng KHCN &amp; HTQT</v>
      </c>
      <c r="K344" s="466">
        <f t="shared" si="62"/>
        <v>4013240.6999999997</v>
      </c>
      <c r="L344" s="606" t="str">
        <f>VLOOKUP(B344,'[1]Gui chi Quynh'!$B$11:$E$400,4,FALSE)</f>
        <v>A4</v>
      </c>
      <c r="M344" s="466">
        <f t="shared" si="67"/>
        <v>4013241</v>
      </c>
      <c r="N344" s="606">
        <v>26</v>
      </c>
      <c r="O344" s="607">
        <f>IFERROR(INDEX('[2]CN HĐ'!$J$10:$J$72,MATCH(B344,'[2]CN HĐ'!$H$10:$H$72,0)),"")</f>
        <v>26</v>
      </c>
      <c r="P344" s="608" t="e">
        <f>IF(M344&gt;#REF!,M344,#REF!)</f>
        <v>#REF!</v>
      </c>
      <c r="Q344" s="466">
        <f t="shared" si="63"/>
        <v>4013241</v>
      </c>
      <c r="R344" s="609"/>
      <c r="S344" s="466">
        <v>0</v>
      </c>
      <c r="T344" s="610"/>
      <c r="U344" s="466">
        <v>0</v>
      </c>
      <c r="V344" s="647">
        <f t="shared" si="64"/>
        <v>57332.01</v>
      </c>
      <c r="W344" s="647"/>
      <c r="X344" s="886">
        <f t="shared" si="66"/>
        <v>4013241</v>
      </c>
      <c r="Y344" s="846">
        <f t="shared" si="57"/>
        <v>2.2295783333333334</v>
      </c>
      <c r="Z344" s="491">
        <v>1800000</v>
      </c>
      <c r="AA344" s="663">
        <f t="shared" si="58"/>
        <v>4013241</v>
      </c>
      <c r="AB344" s="612">
        <f t="shared" si="65"/>
        <v>313</v>
      </c>
      <c r="AC344" s="613">
        <f>IFERROR(INDEX('[2]CN HĐ'!$M$10:$M$72,MATCH(B344,'[2]CN HĐ'!$H$10:$H$72,0)),"")</f>
        <v>0</v>
      </c>
      <c r="AD344" s="108"/>
      <c r="AE344" s="108"/>
      <c r="AF344" s="108"/>
      <c r="AG344" s="108"/>
      <c r="AH344" s="108"/>
      <c r="AI344" s="108"/>
      <c r="AJ344" s="108"/>
      <c r="AK344" s="108"/>
      <c r="AL344" s="108"/>
      <c r="AM344" s="108"/>
      <c r="AN344" s="108"/>
      <c r="AO344" s="108"/>
      <c r="AP344" s="108"/>
      <c r="AQ344" s="108"/>
      <c r="AR344" s="108"/>
      <c r="AS344" s="108"/>
      <c r="AT344" s="108"/>
      <c r="AU344" s="108"/>
      <c r="AV344" s="108"/>
      <c r="AW344" s="108"/>
      <c r="AX344" s="108"/>
      <c r="AY344" s="108"/>
      <c r="AZ344" s="108"/>
      <c r="BA344" s="108"/>
    </row>
    <row r="345" spans="1:53" s="372" customFormat="1" ht="28.5" customHeight="1">
      <c r="A345" s="30">
        <f>_xlfn.AGGREGATE(4,7,A$29:A344)+1</f>
        <v>314</v>
      </c>
      <c r="B345" s="444" t="s">
        <v>2119</v>
      </c>
      <c r="C345" s="419" t="s">
        <v>2120</v>
      </c>
      <c r="D345" s="418" t="s">
        <v>2121</v>
      </c>
      <c r="E345" s="604" t="s">
        <v>2122</v>
      </c>
      <c r="F345" s="604"/>
      <c r="G345" s="604"/>
      <c r="H345" s="81" t="s">
        <v>2042</v>
      </c>
      <c r="I345" s="605">
        <v>5733201</v>
      </c>
      <c r="J345" s="368" t="s">
        <v>2206</v>
      </c>
      <c r="K345" s="466">
        <f t="shared" si="62"/>
        <v>4013240.6999999997</v>
      </c>
      <c r="L345" s="606" t="str">
        <f>VLOOKUP(B345,'[1]Gui chi Quynh'!$B$11:$E$400,4,FALSE)</f>
        <v>A3</v>
      </c>
      <c r="M345" s="466">
        <f t="shared" si="67"/>
        <v>4815889</v>
      </c>
      <c r="N345" s="606">
        <v>26</v>
      </c>
      <c r="O345" s="607">
        <f>IFERROR(INDEX('[2]CN HĐ'!$J$10:$J$72,MATCH(B345,'[2]CN HĐ'!$H$10:$H$72,0)),"")</f>
        <v>27</v>
      </c>
      <c r="P345" s="608" t="e">
        <f>IF(M345&gt;#REF!,M345,#REF!)</f>
        <v>#REF!</v>
      </c>
      <c r="Q345" s="466">
        <f t="shared" si="63"/>
        <v>4815889</v>
      </c>
      <c r="R345" s="609"/>
      <c r="S345" s="466">
        <v>0</v>
      </c>
      <c r="T345" s="610"/>
      <c r="U345" s="466">
        <v>0</v>
      </c>
      <c r="V345" s="647">
        <f t="shared" si="64"/>
        <v>57332.01</v>
      </c>
      <c r="W345" s="647"/>
      <c r="X345" s="886">
        <f t="shared" si="66"/>
        <v>4815889</v>
      </c>
      <c r="Y345" s="846">
        <f t="shared" si="57"/>
        <v>2.6754938888888891</v>
      </c>
      <c r="Z345" s="491">
        <v>1800000</v>
      </c>
      <c r="AA345" s="663">
        <f t="shared" si="58"/>
        <v>4815889</v>
      </c>
      <c r="AB345" s="612">
        <f t="shared" si="65"/>
        <v>314</v>
      </c>
      <c r="AC345" s="613">
        <f>IFERROR(INDEX('[2]CN HĐ'!$M$10:$M$72,MATCH(B345,'[2]CN HĐ'!$H$10:$H$72,0)),"")</f>
        <v>0</v>
      </c>
      <c r="AD345" s="108"/>
      <c r="AE345" s="108"/>
      <c r="AF345" s="108"/>
      <c r="AG345" s="108"/>
      <c r="AH345" s="108"/>
      <c r="AI345" s="108"/>
      <c r="AJ345" s="108"/>
      <c r="AK345" s="108"/>
      <c r="AL345" s="108"/>
      <c r="AM345" s="108"/>
      <c r="AN345" s="108"/>
      <c r="AO345" s="108"/>
      <c r="AP345" s="108"/>
      <c r="AQ345" s="108"/>
      <c r="AR345" s="108"/>
      <c r="AS345" s="108"/>
      <c r="AT345" s="108"/>
      <c r="AU345" s="108"/>
      <c r="AV345" s="108"/>
      <c r="AW345" s="108"/>
      <c r="AX345" s="108"/>
      <c r="AY345" s="108"/>
      <c r="AZ345" s="108"/>
      <c r="BA345" s="108"/>
    </row>
    <row r="346" spans="1:53" s="372" customFormat="1" ht="30" customHeight="1">
      <c r="A346" s="30">
        <f>_xlfn.AGGREGATE(4,7,A$29:A345)+1</f>
        <v>315</v>
      </c>
      <c r="B346" s="444" t="s">
        <v>2123</v>
      </c>
      <c r="C346" s="419" t="s">
        <v>1103</v>
      </c>
      <c r="D346" s="418" t="s">
        <v>2124</v>
      </c>
      <c r="E346" s="604">
        <v>1603205327079</v>
      </c>
      <c r="F346" s="604"/>
      <c r="G346" s="604"/>
      <c r="H346" s="368" t="s">
        <v>2038</v>
      </c>
      <c r="I346" s="605">
        <v>6391108</v>
      </c>
      <c r="J346" s="368" t="s">
        <v>2206</v>
      </c>
      <c r="K346" s="466">
        <f t="shared" si="62"/>
        <v>4473775.5999999996</v>
      </c>
      <c r="L346" s="606" t="str">
        <f>VLOOKUP(B346,'[1]Gui chi Quynh'!$B$11:$E$400,4,FALSE)</f>
        <v>A4</v>
      </c>
      <c r="M346" s="466">
        <f t="shared" si="67"/>
        <v>4473776</v>
      </c>
      <c r="N346" s="606">
        <v>26</v>
      </c>
      <c r="O346" s="607">
        <f>IFERROR(INDEX('[2]CN HĐ'!$J$10:$J$72,MATCH(B346,'[2]CN HĐ'!$H$10:$H$72,0)),"")</f>
        <v>26</v>
      </c>
      <c r="P346" s="608" t="e">
        <f>IF(M346&gt;#REF!,M346,#REF!)</f>
        <v>#REF!</v>
      </c>
      <c r="Q346" s="466">
        <f t="shared" si="63"/>
        <v>4473776</v>
      </c>
      <c r="R346" s="609"/>
      <c r="S346" s="466">
        <v>0</v>
      </c>
      <c r="T346" s="610"/>
      <c r="U346" s="466">
        <v>0</v>
      </c>
      <c r="V346" s="647">
        <f t="shared" si="64"/>
        <v>63911.08</v>
      </c>
      <c r="W346" s="647"/>
      <c r="X346" s="886">
        <f t="shared" si="66"/>
        <v>4473776</v>
      </c>
      <c r="Y346" s="846">
        <f t="shared" si="57"/>
        <v>2.4854311111111111</v>
      </c>
      <c r="Z346" s="491">
        <v>1800000</v>
      </c>
      <c r="AA346" s="663">
        <f t="shared" si="58"/>
        <v>4473776</v>
      </c>
      <c r="AB346" s="612">
        <f t="shared" si="65"/>
        <v>315</v>
      </c>
      <c r="AC346" s="613">
        <f>IFERROR(INDEX('[2]CN HĐ'!$M$10:$M$72,MATCH(B346,'[2]CN HĐ'!$H$10:$H$72,0)),"")</f>
        <v>0</v>
      </c>
    </row>
    <row r="347" spans="1:53" s="372" customFormat="1" ht="27.75" customHeight="1">
      <c r="A347" s="30">
        <f>_xlfn.AGGREGATE(4,7,A$29:A346)+1</f>
        <v>316</v>
      </c>
      <c r="B347" s="444" t="s">
        <v>2125</v>
      </c>
      <c r="C347" s="419" t="s">
        <v>1431</v>
      </c>
      <c r="D347" s="418" t="s">
        <v>2126</v>
      </c>
      <c r="E347" s="604" t="s">
        <v>2127</v>
      </c>
      <c r="F347" s="604"/>
      <c r="G347" s="604"/>
      <c r="H347" s="368" t="s">
        <v>2042</v>
      </c>
      <c r="I347" s="605">
        <v>6563942</v>
      </c>
      <c r="J347" s="368" t="str">
        <f>VLOOKUP(B347,TH!B336:J668,9,FALSE)</f>
        <v>NV Phòng Tuyển sinh - Đào tạo</v>
      </c>
      <c r="K347" s="466">
        <f t="shared" si="62"/>
        <v>4594759.3999999994</v>
      </c>
      <c r="L347" s="606" t="str">
        <f>VLOOKUP(B347,'[1]Gui chi Quynh'!$B$11:$E$400,4,FALSE)</f>
        <v>A2</v>
      </c>
      <c r="M347" s="466">
        <f t="shared" si="67"/>
        <v>6432663</v>
      </c>
      <c r="N347" s="606">
        <v>26</v>
      </c>
      <c r="O347" s="607">
        <f>IFERROR(INDEX('[2]CN HĐ'!$J$10:$J$72,MATCH(B347,'[2]CN HĐ'!$H$10:$H$72,0)),"")</f>
        <v>29</v>
      </c>
      <c r="P347" s="608" t="e">
        <f>IF(M347&gt;#REF!,M347,#REF!)</f>
        <v>#REF!</v>
      </c>
      <c r="Q347" s="466">
        <f>ROUND(IF(O347&gt;=N347,M347,M347/N347*O347),)</f>
        <v>6432663</v>
      </c>
      <c r="R347" s="609"/>
      <c r="S347" s="466">
        <v>0</v>
      </c>
      <c r="T347" s="610"/>
      <c r="U347" s="466">
        <v>0</v>
      </c>
      <c r="V347" s="647">
        <f t="shared" si="64"/>
        <v>65639.42</v>
      </c>
      <c r="W347" s="647"/>
      <c r="X347" s="886">
        <f t="shared" si="66"/>
        <v>6432663</v>
      </c>
      <c r="Y347" s="846">
        <f t="shared" si="57"/>
        <v>3.5737016666666666</v>
      </c>
      <c r="Z347" s="491">
        <v>1800000</v>
      </c>
      <c r="AA347" s="663">
        <f t="shared" si="58"/>
        <v>6432663</v>
      </c>
      <c r="AB347" s="612">
        <f t="shared" si="65"/>
        <v>316</v>
      </c>
      <c r="AC347" s="613">
        <f>IFERROR(INDEX('[2]CN HĐ'!$M$10:$M$72,MATCH(B347,'[2]CN HĐ'!$H$10:$H$72,0)),"")</f>
        <v>0</v>
      </c>
      <c r="AD347" s="108"/>
      <c r="AE347" s="108"/>
      <c r="AF347" s="108"/>
      <c r="AG347" s="108"/>
      <c r="AH347" s="108"/>
      <c r="AI347" s="108"/>
      <c r="AJ347" s="108"/>
      <c r="AK347" s="108"/>
      <c r="AL347" s="108"/>
      <c r="AM347" s="108"/>
      <c r="AN347" s="108"/>
      <c r="AO347" s="108"/>
      <c r="AP347" s="108"/>
      <c r="AQ347" s="108"/>
      <c r="AR347" s="108"/>
      <c r="AS347" s="108"/>
      <c r="AT347" s="108"/>
      <c r="AU347" s="108"/>
      <c r="AV347" s="108"/>
      <c r="AW347" s="108"/>
      <c r="AX347" s="108"/>
      <c r="AY347" s="108"/>
      <c r="AZ347" s="108"/>
      <c r="BA347" s="108"/>
    </row>
    <row r="348" spans="1:53" s="372" customFormat="1" ht="30" customHeight="1">
      <c r="A348" s="30">
        <f>_xlfn.AGGREGATE(4,7,A$29:A347)+1</f>
        <v>317</v>
      </c>
      <c r="B348" s="444" t="s">
        <v>2128</v>
      </c>
      <c r="C348" s="419" t="s">
        <v>1064</v>
      </c>
      <c r="D348" s="418" t="s">
        <v>2129</v>
      </c>
      <c r="E348" s="604" t="s">
        <v>2130</v>
      </c>
      <c r="F348" s="604"/>
      <c r="G348" s="604"/>
      <c r="H348" s="368" t="s">
        <v>2042</v>
      </c>
      <c r="I348" s="605">
        <v>5733201</v>
      </c>
      <c r="J348" s="368" t="str">
        <f>VLOOKUP(B348,TH!B337:J669,9,FALSE)</f>
        <v>NV phòng TS - Đào tạo</v>
      </c>
      <c r="K348" s="466">
        <f t="shared" si="62"/>
        <v>4013240.6999999997</v>
      </c>
      <c r="L348" s="606" t="str">
        <f>VLOOKUP(B348,'[1]Gui chi Quynh'!$B$11:$E$400,4,FALSE)</f>
        <v>A3</v>
      </c>
      <c r="M348" s="466">
        <f t="shared" si="67"/>
        <v>4815889</v>
      </c>
      <c r="N348" s="606">
        <v>26</v>
      </c>
      <c r="O348" s="607">
        <f>IFERROR(INDEX('[2]CN HĐ'!$J$10:$J$72,MATCH(B348,'[2]CN HĐ'!$H$10:$H$72,0)),"")</f>
        <v>27.5</v>
      </c>
      <c r="P348" s="608" t="e">
        <f>IF(M348&gt;#REF!,M348,#REF!)</f>
        <v>#REF!</v>
      </c>
      <c r="Q348" s="466">
        <f t="shared" si="63"/>
        <v>4815889</v>
      </c>
      <c r="R348" s="609"/>
      <c r="S348" s="466">
        <v>0</v>
      </c>
      <c r="T348" s="610"/>
      <c r="U348" s="466">
        <v>0</v>
      </c>
      <c r="V348" s="647">
        <f t="shared" si="64"/>
        <v>57332.01</v>
      </c>
      <c r="W348" s="647"/>
      <c r="X348" s="886">
        <f t="shared" si="66"/>
        <v>4815889</v>
      </c>
      <c r="Y348" s="846">
        <f t="shared" si="57"/>
        <v>2.6754938888888891</v>
      </c>
      <c r="Z348" s="491">
        <v>1800000</v>
      </c>
      <c r="AA348" s="663">
        <f t="shared" si="58"/>
        <v>4815889</v>
      </c>
      <c r="AB348" s="612">
        <f t="shared" si="65"/>
        <v>317</v>
      </c>
      <c r="AC348" s="613">
        <f>IFERROR(INDEX('[2]CN HĐ'!$M$10:$M$72,MATCH(B348,'[2]CN HĐ'!$H$10:$H$72,0)),"")</f>
        <v>0</v>
      </c>
      <c r="AD348" s="108"/>
      <c r="AE348" s="108"/>
      <c r="AF348" s="108"/>
      <c r="AG348" s="108"/>
      <c r="AH348" s="108"/>
      <c r="AI348" s="108"/>
      <c r="AJ348" s="108"/>
      <c r="AK348" s="108"/>
      <c r="AL348" s="108"/>
      <c r="AM348" s="108"/>
      <c r="AN348" s="108"/>
      <c r="AO348" s="108"/>
      <c r="AP348" s="108"/>
      <c r="AQ348" s="108"/>
      <c r="AR348" s="108"/>
      <c r="AS348" s="108"/>
      <c r="AT348" s="108"/>
      <c r="AU348" s="108"/>
      <c r="AV348" s="108"/>
      <c r="AW348" s="108"/>
      <c r="AX348" s="108"/>
      <c r="AY348" s="108"/>
      <c r="AZ348" s="108"/>
      <c r="BA348" s="108"/>
    </row>
    <row r="349" spans="1:53" s="372" customFormat="1" ht="36.75" customHeight="1">
      <c r="A349" s="30">
        <f>_xlfn.AGGREGATE(4,7,A$29:A348)+1</f>
        <v>318</v>
      </c>
      <c r="B349" s="444" t="s">
        <v>2131</v>
      </c>
      <c r="C349" s="419"/>
      <c r="D349" s="418" t="s">
        <v>2132</v>
      </c>
      <c r="E349" s="604" t="s">
        <v>2133</v>
      </c>
      <c r="F349" s="604"/>
      <c r="G349" s="604"/>
      <c r="H349" s="368" t="s">
        <v>2042</v>
      </c>
      <c r="I349" s="605">
        <v>7515057</v>
      </c>
      <c r="J349" s="368" t="str">
        <f>VLOOKUP(B349,TH!B338:J670,9,FALSE)</f>
        <v>NV phòng TS - Đào tạo</v>
      </c>
      <c r="K349" s="466">
        <f t="shared" si="62"/>
        <v>5260539.8999999994</v>
      </c>
      <c r="L349" s="606" t="str">
        <f>VLOOKUP(B349,'[1]Gui chi Quynh'!$B$11:$E$400,4,FALSE)</f>
        <v>A2</v>
      </c>
      <c r="M349" s="466">
        <f t="shared" si="67"/>
        <v>7364756</v>
      </c>
      <c r="N349" s="606">
        <v>26</v>
      </c>
      <c r="O349" s="607">
        <f>IFERROR(INDEX('[2]CN HĐ'!$J$10:$J$72,MATCH(B349,'[2]CN HĐ'!$H$10:$H$72,0)),"")</f>
        <v>28</v>
      </c>
      <c r="P349" s="608" t="e">
        <f>IF(M349&gt;#REF!,M349,#REF!)</f>
        <v>#REF!</v>
      </c>
      <c r="Q349" s="466">
        <f t="shared" si="63"/>
        <v>7364756</v>
      </c>
      <c r="R349" s="609"/>
      <c r="S349" s="466">
        <v>0</v>
      </c>
      <c r="T349" s="610"/>
      <c r="U349" s="466">
        <v>0</v>
      </c>
      <c r="V349" s="647">
        <f t="shared" si="64"/>
        <v>75150.570000000007</v>
      </c>
      <c r="W349" s="647"/>
      <c r="X349" s="886">
        <f t="shared" si="66"/>
        <v>7364756</v>
      </c>
      <c r="Y349" s="846">
        <f t="shared" si="57"/>
        <v>4.0915311111111112</v>
      </c>
      <c r="Z349" s="491">
        <v>1800000</v>
      </c>
      <c r="AA349" s="663">
        <f t="shared" si="58"/>
        <v>7364756</v>
      </c>
      <c r="AB349" s="612">
        <f t="shared" si="65"/>
        <v>318</v>
      </c>
      <c r="AC349" s="613">
        <f>IFERROR(INDEX('[2]CN HĐ'!$M$10:$M$72,MATCH(B349,'[2]CN HĐ'!$H$10:$H$72,0)),"")</f>
        <v>0</v>
      </c>
      <c r="AD349" s="108"/>
      <c r="AE349" s="108"/>
      <c r="AF349" s="108"/>
      <c r="AG349" s="108"/>
      <c r="AH349" s="108"/>
      <c r="AI349" s="108"/>
      <c r="AJ349" s="108"/>
      <c r="AK349" s="108"/>
      <c r="AL349" s="108"/>
      <c r="AM349" s="108"/>
      <c r="AN349" s="108"/>
      <c r="AO349" s="108"/>
      <c r="AP349" s="108"/>
      <c r="AQ349" s="108"/>
      <c r="AR349" s="108"/>
      <c r="AS349" s="108"/>
      <c r="AT349" s="108"/>
      <c r="AU349" s="108"/>
      <c r="AV349" s="108"/>
      <c r="AW349" s="108"/>
      <c r="AX349" s="108"/>
      <c r="AY349" s="108"/>
      <c r="AZ349" s="108"/>
      <c r="BA349" s="108"/>
    </row>
    <row r="350" spans="1:53" s="372" customFormat="1" ht="29.25" customHeight="1">
      <c r="A350" s="30">
        <f>_xlfn.AGGREGATE(4,7,A$29:A349)+1</f>
        <v>319</v>
      </c>
      <c r="B350" s="444" t="s">
        <v>2134</v>
      </c>
      <c r="C350" s="419" t="s">
        <v>1043</v>
      </c>
      <c r="D350" s="418" t="s">
        <v>2135</v>
      </c>
      <c r="E350" s="604" t="s">
        <v>2136</v>
      </c>
      <c r="F350" s="604"/>
      <c r="G350" s="604"/>
      <c r="H350" s="368" t="s">
        <v>2042</v>
      </c>
      <c r="I350" s="605">
        <v>8041111</v>
      </c>
      <c r="J350" s="368" t="str">
        <f>VLOOKUP(B350,TH!B339:J671,9,FALSE)</f>
        <v>NV phòng TS - Đào tạo</v>
      </c>
      <c r="K350" s="466">
        <f t="shared" si="62"/>
        <v>5628777.6999999993</v>
      </c>
      <c r="L350" s="606" t="str">
        <f>VLOOKUP(B350,'[1]Gui chi Quynh'!$B$11:$E$400,4,FALSE)</f>
        <v>A2</v>
      </c>
      <c r="M350" s="466">
        <f t="shared" si="67"/>
        <v>7880289</v>
      </c>
      <c r="N350" s="606">
        <v>26</v>
      </c>
      <c r="O350" s="607">
        <f>IFERROR(INDEX('[2]CN HĐ'!$J$10:$J$72,MATCH(B350,'[2]CN HĐ'!$H$10:$H$72,0)),"")</f>
        <v>27</v>
      </c>
      <c r="P350" s="608" t="e">
        <f>IF(M350&gt;#REF!,M350,#REF!)</f>
        <v>#REF!</v>
      </c>
      <c r="Q350" s="466">
        <f t="shared" si="63"/>
        <v>7880289</v>
      </c>
      <c r="R350" s="609"/>
      <c r="S350" s="466">
        <v>0</v>
      </c>
      <c r="T350" s="610"/>
      <c r="U350" s="466">
        <v>0</v>
      </c>
      <c r="V350" s="647">
        <f t="shared" si="64"/>
        <v>80411.11</v>
      </c>
      <c r="W350" s="647"/>
      <c r="X350" s="886">
        <f t="shared" si="66"/>
        <v>7880289</v>
      </c>
      <c r="Y350" s="846">
        <f t="shared" si="57"/>
        <v>4.3779383333333337</v>
      </c>
      <c r="Z350" s="491">
        <v>1800000</v>
      </c>
      <c r="AA350" s="663">
        <f t="shared" si="58"/>
        <v>7880289.0000000009</v>
      </c>
      <c r="AB350" s="612">
        <f t="shared" si="65"/>
        <v>319</v>
      </c>
      <c r="AC350" s="613">
        <f>IFERROR(INDEX('[2]CN HĐ'!$M$10:$M$72,MATCH(B350,'[2]CN HĐ'!$H$10:$H$72,0)),"")</f>
        <v>0</v>
      </c>
      <c r="AD350" s="108"/>
      <c r="AE350" s="108"/>
      <c r="AF350" s="108"/>
      <c r="AG350" s="108"/>
      <c r="AH350" s="108"/>
      <c r="AI350" s="108"/>
      <c r="AJ350" s="108"/>
      <c r="AK350" s="108"/>
      <c r="AL350" s="108"/>
      <c r="AM350" s="108"/>
      <c r="AN350" s="108"/>
      <c r="AO350" s="108"/>
      <c r="AP350" s="108"/>
      <c r="AQ350" s="108"/>
      <c r="AR350" s="108"/>
      <c r="AS350" s="108"/>
      <c r="AT350" s="108"/>
      <c r="AU350" s="108"/>
      <c r="AV350" s="108"/>
      <c r="AW350" s="108"/>
      <c r="AX350" s="108"/>
      <c r="AY350" s="108"/>
      <c r="AZ350" s="108"/>
      <c r="BA350" s="108"/>
    </row>
    <row r="351" spans="1:53" s="372" customFormat="1" ht="29.25" customHeight="1">
      <c r="A351" s="30">
        <f>_xlfn.AGGREGATE(4,7,A$29:A350)+1</f>
        <v>320</v>
      </c>
      <c r="B351" s="444" t="s">
        <v>2137</v>
      </c>
      <c r="C351" s="419"/>
      <c r="D351" s="418"/>
      <c r="E351" s="604"/>
      <c r="F351" s="604"/>
      <c r="G351" s="604"/>
      <c r="H351" s="368" t="s">
        <v>2042</v>
      </c>
      <c r="I351" s="605">
        <f>5358132</f>
        <v>5358132</v>
      </c>
      <c r="J351" s="368" t="str">
        <f>VLOOKUP(B351,TH!B340:J672,9,FALSE)</f>
        <v>NV phòng TS - Đào tạo</v>
      </c>
      <c r="K351" s="466">
        <f t="shared" si="62"/>
        <v>3750692.4</v>
      </c>
      <c r="L351" s="606" t="str">
        <f>VLOOKUP(B351,'[1]Gui chi Quynh'!$B$11:$E$400,4,FALSE)</f>
        <v>A2</v>
      </c>
      <c r="M351" s="466">
        <f t="shared" si="67"/>
        <v>5250969</v>
      </c>
      <c r="N351" s="606">
        <v>26</v>
      </c>
      <c r="O351" s="607">
        <f>IFERROR(INDEX('[2]CN HĐ'!$J$10:$J$72,MATCH(B351,'[2]CN HĐ'!$H$10:$H$72,0)),"")</f>
        <v>28</v>
      </c>
      <c r="P351" s="608"/>
      <c r="Q351" s="466">
        <f t="shared" si="63"/>
        <v>5250969</v>
      </c>
      <c r="R351" s="609"/>
      <c r="S351" s="466">
        <v>0</v>
      </c>
      <c r="T351" s="610"/>
      <c r="U351" s="466">
        <v>0</v>
      </c>
      <c r="V351" s="647">
        <f t="shared" si="64"/>
        <v>53581.32</v>
      </c>
      <c r="W351" s="647"/>
      <c r="X351" s="886">
        <f t="shared" si="66"/>
        <v>5250969</v>
      </c>
      <c r="Y351" s="846">
        <f t="shared" si="57"/>
        <v>2.917205</v>
      </c>
      <c r="Z351" s="491">
        <v>1800000</v>
      </c>
      <c r="AA351" s="663">
        <f t="shared" si="58"/>
        <v>5250969</v>
      </c>
      <c r="AB351" s="612"/>
      <c r="AC351" s="613">
        <f>IFERROR(INDEX('[2]CN HĐ'!$M$10:$M$72,MATCH(B351,'[2]CN HĐ'!$H$10:$H$72,0)),"")</f>
        <v>0</v>
      </c>
    </row>
    <row r="352" spans="1:53" s="372" customFormat="1" ht="39.75" customHeight="1">
      <c r="A352" s="379">
        <f>_xlfn.AGGREGATE(4,7,A$29:A351)+1</f>
        <v>321</v>
      </c>
      <c r="B352" s="444" t="s">
        <v>2138</v>
      </c>
      <c r="C352" s="419" t="s">
        <v>2139</v>
      </c>
      <c r="D352" s="418" t="s">
        <v>2140</v>
      </c>
      <c r="E352" s="636" t="s">
        <v>2141</v>
      </c>
      <c r="F352" s="636"/>
      <c r="G352" s="636"/>
      <c r="H352" s="368" t="s">
        <v>2031</v>
      </c>
      <c r="I352" s="605">
        <v>5417685</v>
      </c>
      <c r="J352" s="368" t="str">
        <f>VLOOKUP(B352,TH!B341:J673,9,FALSE)</f>
        <v>NV TT Điều hành và QLDL</v>
      </c>
      <c r="K352" s="466">
        <f t="shared" si="62"/>
        <v>1625305.5</v>
      </c>
      <c r="L352" s="606" t="str">
        <f>VLOOKUP(B352,'[1]Gui chi Quynh'!$B$11:$E$400,4,FALSE)</f>
        <v>A4</v>
      </c>
      <c r="M352" s="466">
        <f t="shared" si="67"/>
        <v>1625306</v>
      </c>
      <c r="N352" s="606">
        <v>26</v>
      </c>
      <c r="O352" s="607">
        <f>IFERROR(INDEX('[2]CN HĐ'!$J$10:$J$72,MATCH(B352,'[2]CN HĐ'!$H$10:$H$72,0)),"")</f>
        <v>22</v>
      </c>
      <c r="P352" s="608" t="e">
        <f>IF(M352&gt;#REF!,M352,#REF!)</f>
        <v>#REF!</v>
      </c>
      <c r="Q352" s="466">
        <f t="shared" si="63"/>
        <v>1375259</v>
      </c>
      <c r="R352" s="609"/>
      <c r="S352" s="466">
        <v>0</v>
      </c>
      <c r="T352" s="610"/>
      <c r="U352" s="466">
        <v>0</v>
      </c>
      <c r="V352" s="647">
        <f t="shared" si="64"/>
        <v>54176.85</v>
      </c>
      <c r="W352" s="647"/>
      <c r="X352" s="886">
        <f t="shared" si="66"/>
        <v>1375259</v>
      </c>
      <c r="Y352" s="846">
        <f t="shared" si="57"/>
        <v>0.76403277777777778</v>
      </c>
      <c r="Z352" s="491">
        <v>1800000</v>
      </c>
      <c r="AA352" s="663">
        <f t="shared" si="58"/>
        <v>1375259</v>
      </c>
      <c r="AB352" s="612">
        <f t="shared" si="65"/>
        <v>321</v>
      </c>
      <c r="AC352" s="613" t="str">
        <f>IFERROR(INDEX('[2]CN HĐ'!$M$10:$M$72,MATCH(B352,'[2]CN HĐ'!$H$10:$H$72,0)),"")</f>
        <v>Trừ 4 ngày nghỉ phép 9+14+19+25/3</v>
      </c>
    </row>
    <row r="353" spans="1:53" s="372" customFormat="1" ht="31.5" customHeight="1">
      <c r="A353" s="30">
        <f>_xlfn.AGGREGATE(4,7,A$29:A352)+1</f>
        <v>322</v>
      </c>
      <c r="B353" s="444" t="s">
        <v>2142</v>
      </c>
      <c r="C353" s="419"/>
      <c r="D353" s="418"/>
      <c r="E353" s="604"/>
      <c r="F353" s="604"/>
      <c r="G353" s="604"/>
      <c r="H353" s="368" t="s">
        <v>2038</v>
      </c>
      <c r="I353" s="605">
        <v>5007600</v>
      </c>
      <c r="J353" s="368" t="str">
        <f>VLOOKUP(B353,TH!B342:J674,9,FALSE)</f>
        <v>NV TT Điều hành và QLDL</v>
      </c>
      <c r="K353" s="466">
        <f t="shared" si="62"/>
        <v>3505320</v>
      </c>
      <c r="L353" s="606" t="str">
        <f>VLOOKUP(B353,'[1]Gui chi Quynh'!$B$11:$E$400,4,FALSE)</f>
        <v>A1</v>
      </c>
      <c r="M353" s="466">
        <f t="shared" si="67"/>
        <v>5608512</v>
      </c>
      <c r="N353" s="606">
        <v>26</v>
      </c>
      <c r="O353" s="607">
        <f>IFERROR(INDEX('[2]CN HĐ'!$J$10:$J$72,MATCH(B353,'[2]CN HĐ'!$H$10:$H$72,0)),"")</f>
        <v>29</v>
      </c>
      <c r="P353" s="608"/>
      <c r="Q353" s="466">
        <f t="shared" si="63"/>
        <v>5608512</v>
      </c>
      <c r="R353" s="609"/>
      <c r="S353" s="466">
        <v>0</v>
      </c>
      <c r="T353" s="610"/>
      <c r="U353" s="466">
        <v>0</v>
      </c>
      <c r="V353" s="647">
        <f t="shared" si="64"/>
        <v>50076</v>
      </c>
      <c r="W353" s="647"/>
      <c r="X353" s="886">
        <f t="shared" si="66"/>
        <v>5608512</v>
      </c>
      <c r="Y353" s="846">
        <f t="shared" ref="Y353:Y361" si="68">X353/Z353</f>
        <v>3.1158399999999999</v>
      </c>
      <c r="Z353" s="491">
        <v>1800000</v>
      </c>
      <c r="AA353" s="663">
        <f t="shared" ref="AA353:AA361" si="69">Y353*Z353</f>
        <v>5608512</v>
      </c>
      <c r="AB353" s="612">
        <f t="shared" si="65"/>
        <v>322</v>
      </c>
      <c r="AC353" s="613">
        <f>IFERROR(INDEX('[2]CN HĐ'!$M$10:$M$72,MATCH(B353,'[2]CN HĐ'!$H$10:$H$72,0)),"")</f>
        <v>0</v>
      </c>
      <c r="AD353" s="108"/>
      <c r="AE353" s="108"/>
      <c r="AF353" s="108"/>
      <c r="AG353" s="108"/>
      <c r="AH353" s="108"/>
      <c r="AI353" s="108"/>
      <c r="AJ353" s="108"/>
      <c r="AK353" s="108"/>
      <c r="AL353" s="108"/>
      <c r="AM353" s="108"/>
      <c r="AN353" s="108"/>
      <c r="AO353" s="108"/>
      <c r="AP353" s="108"/>
      <c r="AQ353" s="108"/>
      <c r="AR353" s="108"/>
      <c r="AS353" s="108"/>
      <c r="AT353" s="108"/>
      <c r="AU353" s="108"/>
    </row>
    <row r="354" spans="1:53" s="372" customFormat="1" ht="55.5" customHeight="1">
      <c r="A354" s="543">
        <f>_xlfn.AGGREGATE(4,7,A$29:A353)+1</f>
        <v>323</v>
      </c>
      <c r="B354" s="840" t="s">
        <v>2143</v>
      </c>
      <c r="C354" s="841"/>
      <c r="D354" s="842"/>
      <c r="E354" s="839"/>
      <c r="F354" s="839"/>
      <c r="G354" s="839"/>
      <c r="H354" s="472" t="s">
        <v>2038</v>
      </c>
      <c r="I354" s="627">
        <v>5007600</v>
      </c>
      <c r="J354" s="472" t="str">
        <f>VLOOKUP(B354,TH!B343:J675,9,FALSE)</f>
        <v>NV TT Điều hành và QLDL</v>
      </c>
      <c r="K354" s="628">
        <f t="shared" si="62"/>
        <v>3505320</v>
      </c>
      <c r="L354" s="629" t="str">
        <f>VLOOKUP(B354,'[1]Gui chi Quynh'!$B$11:$E$400,4,FALSE)</f>
        <v>B1</v>
      </c>
      <c r="M354" s="628">
        <f t="shared" si="67"/>
        <v>2453724</v>
      </c>
      <c r="N354" s="629">
        <v>26</v>
      </c>
      <c r="O354" s="630">
        <f>IFERROR(INDEX('[2]CN HĐ'!$J$10:$J$72,MATCH(B354,'[2]CN HĐ'!$H$10:$H$72,0)),"")</f>
        <v>27</v>
      </c>
      <c r="P354" s="631"/>
      <c r="Q354" s="628">
        <f t="shared" si="63"/>
        <v>2453724</v>
      </c>
      <c r="R354" s="632"/>
      <c r="S354" s="628">
        <v>0</v>
      </c>
      <c r="T354" s="633"/>
      <c r="U354" s="628">
        <v>0</v>
      </c>
      <c r="V354" s="628">
        <f t="shared" si="64"/>
        <v>50076</v>
      </c>
      <c r="W354" s="628"/>
      <c r="X354" s="886">
        <f t="shared" si="66"/>
        <v>2453724</v>
      </c>
      <c r="Y354" s="894">
        <f t="shared" si="68"/>
        <v>1.3631800000000001</v>
      </c>
      <c r="Z354" s="843">
        <v>1800000</v>
      </c>
      <c r="AA354" s="706">
        <f t="shared" si="69"/>
        <v>2453724</v>
      </c>
      <c r="AB354" s="634"/>
      <c r="AC354" s="635" t="s">
        <v>2197</v>
      </c>
    </row>
    <row r="355" spans="1:53" s="372" customFormat="1" ht="41.25" customHeight="1">
      <c r="A355" s="30">
        <f>_xlfn.AGGREGATE(4,7,A$29:A354)+1</f>
        <v>324</v>
      </c>
      <c r="B355" s="444" t="s">
        <v>2144</v>
      </c>
      <c r="C355" s="419" t="s">
        <v>2145</v>
      </c>
      <c r="D355" s="418" t="s">
        <v>2146</v>
      </c>
      <c r="E355" s="604">
        <v>1603205351493</v>
      </c>
      <c r="F355" s="604"/>
      <c r="G355" s="604"/>
      <c r="H355" s="368" t="s">
        <v>2042</v>
      </c>
      <c r="I355" s="605">
        <v>7515057</v>
      </c>
      <c r="J355" s="368" t="str">
        <f>VLOOKUP(B355,TH!B344:J676,9,FALSE)</f>
        <v>NV phòng Khảo thí và ĐBCL</v>
      </c>
      <c r="K355" s="466">
        <f t="shared" si="62"/>
        <v>5260539.8999999994</v>
      </c>
      <c r="L355" s="606" t="str">
        <f>VLOOKUP(B355,'[1]Gui chi Quynh'!$B$11:$E$400,4,FALSE)</f>
        <v>A3</v>
      </c>
      <c r="M355" s="466">
        <f t="shared" si="67"/>
        <v>6312648</v>
      </c>
      <c r="N355" s="606">
        <v>26</v>
      </c>
      <c r="O355" s="607">
        <f>IFERROR(INDEX('[2]CN HĐ'!$J$10:$J$72,MATCH(B355,'[2]CN HĐ'!$H$10:$H$72,0)),"")</f>
        <v>26</v>
      </c>
      <c r="P355" s="608" t="e">
        <f>IF(M355&gt;#REF!,M355,#REF!)</f>
        <v>#REF!</v>
      </c>
      <c r="Q355" s="466">
        <f t="shared" si="63"/>
        <v>6312648</v>
      </c>
      <c r="R355" s="609"/>
      <c r="S355" s="466">
        <v>0</v>
      </c>
      <c r="T355" s="610"/>
      <c r="U355" s="466">
        <v>0</v>
      </c>
      <c r="V355" s="647">
        <f t="shared" si="64"/>
        <v>75150.570000000007</v>
      </c>
      <c r="W355" s="647"/>
      <c r="X355" s="886">
        <f t="shared" si="66"/>
        <v>6312648</v>
      </c>
      <c r="Y355" s="846">
        <f t="shared" si="68"/>
        <v>3.5070266666666665</v>
      </c>
      <c r="Z355" s="491">
        <v>1800000</v>
      </c>
      <c r="AA355" s="663">
        <f t="shared" si="69"/>
        <v>6312648</v>
      </c>
      <c r="AB355" s="612">
        <f t="shared" si="65"/>
        <v>324</v>
      </c>
      <c r="AC355" s="613">
        <f>IFERROR(INDEX('[2]CN HĐ'!$M$10:$M$72,MATCH(B355,'[2]CN HĐ'!$H$10:$H$72,0)),"")</f>
        <v>0</v>
      </c>
      <c r="AD355" s="108"/>
      <c r="AE355" s="108"/>
      <c r="AF355" s="108"/>
      <c r="AG355" s="108"/>
      <c r="AH355" s="108"/>
      <c r="AI355" s="108"/>
      <c r="AJ355" s="108"/>
      <c r="AK355" s="108"/>
      <c r="AL355" s="108"/>
      <c r="AM355" s="108"/>
      <c r="AN355" s="108"/>
      <c r="AO355" s="108"/>
      <c r="AP355" s="108"/>
      <c r="AQ355" s="108"/>
      <c r="AR355" s="108"/>
      <c r="AS355" s="108"/>
      <c r="AT355" s="108"/>
      <c r="AU355" s="108"/>
      <c r="AV355" s="108"/>
      <c r="AW355" s="108"/>
      <c r="AX355" s="108"/>
      <c r="AY355" s="108"/>
      <c r="AZ355" s="108"/>
      <c r="BA355" s="108"/>
    </row>
    <row r="356" spans="1:53" s="372" customFormat="1" ht="30.75" customHeight="1">
      <c r="A356" s="30">
        <f>_xlfn.AGGREGATE(4,7,A$29:A355)+1</f>
        <v>325</v>
      </c>
      <c r="B356" s="444" t="s">
        <v>2147</v>
      </c>
      <c r="C356" s="419"/>
      <c r="D356" s="418"/>
      <c r="E356" s="20" t="s">
        <v>2148</v>
      </c>
      <c r="F356" s="20"/>
      <c r="G356" s="20"/>
      <c r="H356" s="368" t="s">
        <v>2042</v>
      </c>
      <c r="I356" s="605">
        <v>10540257</v>
      </c>
      <c r="J356" s="368" t="str">
        <f>VLOOKUP(B356,TH!B345:J677,9,FALSE)</f>
        <v>Khoa Động lực</v>
      </c>
      <c r="K356" s="466">
        <f t="shared" si="62"/>
        <v>7378179.8999999994</v>
      </c>
      <c r="L356" s="606" t="str">
        <f>VLOOKUP(B356,'[1]Gui chi Quynh'!$B$11:$E$400,4,FALSE)</f>
        <v>A1</v>
      </c>
      <c r="M356" s="466">
        <f t="shared" si="67"/>
        <v>11805088</v>
      </c>
      <c r="N356" s="606">
        <v>26</v>
      </c>
      <c r="O356" s="607">
        <f>IFERROR(INDEX('[2]CN HĐ'!$J$10:$J$72,MATCH(B356,'[2]CN HĐ'!$H$10:$H$72,0)),"")</f>
        <v>26</v>
      </c>
      <c r="P356" s="608" t="e">
        <f>IF(M356&gt;#REF!,M356,#REF!)</f>
        <v>#REF!</v>
      </c>
      <c r="Q356" s="466">
        <f t="shared" si="63"/>
        <v>11805088</v>
      </c>
      <c r="R356" s="609"/>
      <c r="S356" s="466">
        <v>0</v>
      </c>
      <c r="T356" s="610"/>
      <c r="U356" s="466">
        <v>0</v>
      </c>
      <c r="V356" s="647">
        <f t="shared" si="64"/>
        <v>105402.57</v>
      </c>
      <c r="W356" s="647"/>
      <c r="X356" s="886">
        <f t="shared" si="66"/>
        <v>11805088</v>
      </c>
      <c r="Y356" s="846">
        <f t="shared" si="68"/>
        <v>6.5583822222222219</v>
      </c>
      <c r="Z356" s="491">
        <v>1800000</v>
      </c>
      <c r="AA356" s="663">
        <f t="shared" si="69"/>
        <v>11805088</v>
      </c>
      <c r="AB356" s="612">
        <f t="shared" si="65"/>
        <v>325</v>
      </c>
      <c r="AC356" s="613">
        <f>IFERROR(INDEX('[2]CN HĐ'!$M$10:$M$72,MATCH(B356,'[2]CN HĐ'!$H$10:$H$72,0)),"")</f>
        <v>0</v>
      </c>
      <c r="AD356" s="108"/>
      <c r="AE356" s="108"/>
      <c r="AF356" s="108"/>
      <c r="AG356" s="108"/>
      <c r="AH356" s="108"/>
      <c r="AI356" s="108"/>
      <c r="AJ356" s="108"/>
      <c r="AK356" s="108"/>
      <c r="AL356" s="108"/>
      <c r="AM356" s="108"/>
      <c r="AN356" s="108"/>
      <c r="AO356" s="108"/>
      <c r="AP356" s="108"/>
      <c r="AQ356" s="108"/>
      <c r="AR356" s="108"/>
      <c r="AS356" s="108"/>
      <c r="AT356" s="108"/>
      <c r="AU356" s="108"/>
      <c r="AV356" s="108"/>
      <c r="AW356" s="108"/>
      <c r="AX356" s="108"/>
      <c r="AY356" s="108"/>
      <c r="AZ356" s="108"/>
      <c r="BA356" s="108"/>
    </row>
    <row r="357" spans="1:53" s="372" customFormat="1" ht="31.5" customHeight="1">
      <c r="A357" s="30">
        <f>_xlfn.AGGREGATE(4,7,A$29:A356)+1</f>
        <v>326</v>
      </c>
      <c r="B357" s="444" t="s">
        <v>2149</v>
      </c>
      <c r="C357" s="419"/>
      <c r="D357" s="418" t="s">
        <v>2150</v>
      </c>
      <c r="E357" s="20" t="s">
        <v>11</v>
      </c>
      <c r="F357" s="20"/>
      <c r="G357" s="20"/>
      <c r="H357" s="368" t="s">
        <v>2038</v>
      </c>
      <c r="I357" s="605">
        <v>6086769</v>
      </c>
      <c r="J357" s="368" t="str">
        <f>VLOOKUP(B357,TH!B346:J678,9,FALSE)</f>
        <v>NV TT Đào tạo Lý Tự Trọng</v>
      </c>
      <c r="K357" s="466">
        <f t="shared" si="62"/>
        <v>4260738.3</v>
      </c>
      <c r="L357" s="606" t="str">
        <f>VLOOKUP(B357,'[1]Gui chi Quynh'!$B$11:$E$400,4,FALSE)</f>
        <v>A4</v>
      </c>
      <c r="M357" s="466">
        <f t="shared" si="67"/>
        <v>4260738</v>
      </c>
      <c r="N357" s="606">
        <v>26</v>
      </c>
      <c r="O357" s="607">
        <f>IFERROR(INDEX('[2]CN HĐ'!$J$10:$J$72,MATCH(B357,'[2]CN HĐ'!$H$10:$H$72,0)),"")</f>
        <v>28</v>
      </c>
      <c r="P357" s="608"/>
      <c r="Q357" s="466">
        <f t="shared" si="63"/>
        <v>4260738</v>
      </c>
      <c r="R357" s="609"/>
      <c r="S357" s="466">
        <v>0</v>
      </c>
      <c r="T357" s="610"/>
      <c r="U357" s="466">
        <v>0</v>
      </c>
      <c r="V357" s="647">
        <f t="shared" si="64"/>
        <v>60867.69</v>
      </c>
      <c r="W357" s="647"/>
      <c r="X357" s="886">
        <f t="shared" si="66"/>
        <v>4260738</v>
      </c>
      <c r="Y357" s="846">
        <f t="shared" si="68"/>
        <v>2.3670766666666667</v>
      </c>
      <c r="Z357" s="491">
        <v>1800000</v>
      </c>
      <c r="AA357" s="663">
        <f t="shared" si="69"/>
        <v>4260738</v>
      </c>
      <c r="AB357" s="612">
        <f t="shared" si="65"/>
        <v>326</v>
      </c>
      <c r="AC357" s="613">
        <f>IFERROR(INDEX('[2]CN HĐ'!$M$10:$M$72,MATCH(B357,'[2]CN HĐ'!$H$10:$H$72,0)),"")</f>
        <v>0</v>
      </c>
      <c r="AD357" s="108"/>
      <c r="AE357" s="108"/>
      <c r="AF357" s="108"/>
      <c r="AG357" s="108"/>
      <c r="AH357" s="108"/>
      <c r="AI357" s="108"/>
      <c r="AJ357" s="108"/>
      <c r="AK357" s="108"/>
      <c r="AL357" s="108"/>
      <c r="AM357" s="108"/>
      <c r="AN357" s="108"/>
      <c r="AO357" s="108"/>
      <c r="AP357" s="108"/>
      <c r="AQ357" s="108"/>
      <c r="AR357" s="108"/>
      <c r="AS357" s="108"/>
      <c r="AT357" s="108"/>
      <c r="AU357" s="108"/>
      <c r="AV357" s="108"/>
      <c r="AW357" s="108"/>
      <c r="AX357" s="108"/>
      <c r="AY357" s="108"/>
      <c r="AZ357" s="108"/>
      <c r="BA357" s="108"/>
    </row>
    <row r="358" spans="1:53" s="372" customFormat="1" ht="31.5" customHeight="1">
      <c r="A358" s="30">
        <f>_xlfn.AGGREGATE(4,7,A$29:A357)+1</f>
        <v>327</v>
      </c>
      <c r="B358" s="444" t="s">
        <v>2151</v>
      </c>
      <c r="C358" s="419"/>
      <c r="D358" s="418"/>
      <c r="E358" s="636"/>
      <c r="F358" s="636"/>
      <c r="G358" s="636"/>
      <c r="H358" s="368" t="s">
        <v>2031</v>
      </c>
      <c r="I358" s="605">
        <v>4680000</v>
      </c>
      <c r="J358" s="368" t="str">
        <f>VLOOKUP(B358,TH!B347:J679,9,FALSE)</f>
        <v>NV TT Đào tạo Lý Tự Trọng</v>
      </c>
      <c r="K358" s="466">
        <f t="shared" si="62"/>
        <v>1404000</v>
      </c>
      <c r="L358" s="606" t="str">
        <f>VLOOKUP(B358,'[1]Gui chi Quynh'!$B$11:$E$400,4,FALSE)</f>
        <v>A3</v>
      </c>
      <c r="M358" s="466">
        <f t="shared" si="67"/>
        <v>1684800</v>
      </c>
      <c r="N358" s="606">
        <v>26</v>
      </c>
      <c r="O358" s="607">
        <f>IFERROR(INDEX('[2]CN HĐ'!$J$10:$J$72,MATCH(B358,'[2]CN HĐ'!$H$10:$H$72,0)),"")</f>
        <v>31</v>
      </c>
      <c r="P358" s="608"/>
      <c r="Q358" s="466">
        <f t="shared" si="63"/>
        <v>1684800</v>
      </c>
      <c r="R358" s="609"/>
      <c r="S358" s="466">
        <v>0</v>
      </c>
      <c r="T358" s="610"/>
      <c r="U358" s="466">
        <v>0</v>
      </c>
      <c r="V358" s="647">
        <f t="shared" si="64"/>
        <v>46800</v>
      </c>
      <c r="W358" s="647"/>
      <c r="X358" s="886">
        <f t="shared" si="66"/>
        <v>1684800</v>
      </c>
      <c r="Y358" s="846">
        <f t="shared" si="68"/>
        <v>0.93600000000000005</v>
      </c>
      <c r="Z358" s="491">
        <v>1800000</v>
      </c>
      <c r="AA358" s="663">
        <f t="shared" si="69"/>
        <v>1684800</v>
      </c>
      <c r="AB358" s="612">
        <f t="shared" si="65"/>
        <v>327</v>
      </c>
      <c r="AC358" s="613">
        <f>IFERROR(INDEX('[2]CN HĐ'!$M$10:$M$72,MATCH(B358,'[2]CN HĐ'!$H$10:$H$72,0)),"")</f>
        <v>0</v>
      </c>
    </row>
    <row r="359" spans="1:53" s="372" customFormat="1" ht="29.25" customHeight="1">
      <c r="A359" s="30">
        <f>_xlfn.AGGREGATE(4,7,A$29:A358)+1</f>
        <v>328</v>
      </c>
      <c r="B359" s="444" t="s">
        <v>2152</v>
      </c>
      <c r="C359" s="419" t="s">
        <v>960</v>
      </c>
      <c r="D359" s="418" t="s">
        <v>2153</v>
      </c>
      <c r="E359" s="604" t="s">
        <v>2154</v>
      </c>
      <c r="F359" s="604"/>
      <c r="G359" s="604"/>
      <c r="H359" s="368" t="s">
        <v>2042</v>
      </c>
      <c r="I359" s="605">
        <v>6563942</v>
      </c>
      <c r="J359" s="368" t="str">
        <f>VLOOKUP(B359,TH!B348:J680,9,FALSE)</f>
        <v xml:space="preserve">NV Thư viện  </v>
      </c>
      <c r="K359" s="466">
        <f t="shared" si="62"/>
        <v>4594759.3999999994</v>
      </c>
      <c r="L359" s="606" t="str">
        <f>VLOOKUP(B359,'[1]Gui chi Quynh'!$B$11:$E$400,4,FALSE)</f>
        <v>A3</v>
      </c>
      <c r="M359" s="466">
        <f t="shared" si="67"/>
        <v>5513711</v>
      </c>
      <c r="N359" s="606">
        <v>26</v>
      </c>
      <c r="O359" s="607">
        <f>IFERROR(INDEX('[2]CN HĐ'!$J$10:$J$72,MATCH(B359,'[2]CN HĐ'!$H$10:$H$72,0)),"")</f>
        <v>24</v>
      </c>
      <c r="P359" s="608" t="e">
        <f>IF(M359&gt;#REF!,M359,#REF!)</f>
        <v>#REF!</v>
      </c>
      <c r="Q359" s="466">
        <f t="shared" si="63"/>
        <v>5089579</v>
      </c>
      <c r="R359" s="609"/>
      <c r="S359" s="466">
        <v>0</v>
      </c>
      <c r="T359" s="610"/>
      <c r="U359" s="466">
        <v>0</v>
      </c>
      <c r="V359" s="647">
        <f t="shared" si="64"/>
        <v>65639.42</v>
      </c>
      <c r="W359" s="647"/>
      <c r="X359" s="886">
        <f t="shared" si="66"/>
        <v>5089579</v>
      </c>
      <c r="Y359" s="846">
        <f t="shared" si="68"/>
        <v>2.8275438888888891</v>
      </c>
      <c r="Z359" s="491">
        <v>1800000</v>
      </c>
      <c r="AA359" s="663">
        <f t="shared" si="69"/>
        <v>5089579</v>
      </c>
      <c r="AB359" s="612">
        <f t="shared" si="65"/>
        <v>328</v>
      </c>
      <c r="AC359" s="613" t="str">
        <f>IFERROR(INDEX('[2]CN HĐ'!$M$10:$M$72,MATCH(B359,'[2]CN HĐ'!$H$10:$H$72,0)),"")</f>
        <v>Trừ 2 ngày nghỉ phép 22+23/3</v>
      </c>
      <c r="AD359" s="108"/>
      <c r="AE359" s="108"/>
      <c r="AF359" s="108"/>
      <c r="AG359" s="108"/>
      <c r="AH359" s="108"/>
      <c r="AI359" s="108"/>
      <c r="AJ359" s="108"/>
      <c r="AK359" s="108"/>
      <c r="AL359" s="108"/>
      <c r="AM359" s="108"/>
      <c r="AN359" s="108"/>
      <c r="AO359" s="108"/>
      <c r="AP359" s="108"/>
      <c r="AQ359" s="108"/>
      <c r="AR359" s="108"/>
      <c r="AS359" s="108"/>
      <c r="AT359" s="108"/>
      <c r="AU359" s="108"/>
      <c r="AV359" s="108"/>
      <c r="AW359" s="108"/>
      <c r="AX359" s="108"/>
      <c r="AY359" s="108"/>
      <c r="AZ359" s="108"/>
      <c r="BA359" s="108"/>
    </row>
    <row r="360" spans="1:53" s="372" customFormat="1" ht="27.75" customHeight="1">
      <c r="A360" s="30">
        <f>_xlfn.AGGREGATE(4,7,A$29:A359)+1</f>
        <v>329</v>
      </c>
      <c r="B360" s="444" t="s">
        <v>2155</v>
      </c>
      <c r="C360" s="419"/>
      <c r="D360" s="418"/>
      <c r="E360" s="604"/>
      <c r="F360" s="604"/>
      <c r="G360" s="604"/>
      <c r="H360" s="368" t="s">
        <v>2038</v>
      </c>
      <c r="I360" s="605">
        <v>5520879</v>
      </c>
      <c r="J360" s="368" t="str">
        <f>VLOOKUP(B360,TH!B349:J681,9,FALSE)</f>
        <v xml:space="preserve">NV Thư viện  </v>
      </c>
      <c r="K360" s="466">
        <f t="shared" si="62"/>
        <v>3864615.3</v>
      </c>
      <c r="L360" s="606" t="str">
        <f>VLOOKUP(B360,'[1]Gui chi Quynh'!$B$11:$E$400,4,FALSE)</f>
        <v>A3</v>
      </c>
      <c r="M360" s="466">
        <f t="shared" si="67"/>
        <v>4637538</v>
      </c>
      <c r="N360" s="606">
        <v>26</v>
      </c>
      <c r="O360" s="607">
        <f>IFERROR(INDEX('[2]CN HĐ'!$J$10:$J$72,MATCH(B360,'[2]CN HĐ'!$H$10:$H$72,0)),"")</f>
        <v>26.5</v>
      </c>
      <c r="P360" s="608" t="e">
        <f>IF(M360&gt;#REF!,M360,#REF!)</f>
        <v>#REF!</v>
      </c>
      <c r="Q360" s="466">
        <f t="shared" si="63"/>
        <v>4637538</v>
      </c>
      <c r="R360" s="609"/>
      <c r="S360" s="466">
        <v>0</v>
      </c>
      <c r="T360" s="610"/>
      <c r="U360" s="466">
        <v>0</v>
      </c>
      <c r="V360" s="647">
        <f t="shared" si="64"/>
        <v>55208.79</v>
      </c>
      <c r="W360" s="647">
        <v>809728.91999999993</v>
      </c>
      <c r="X360" s="886">
        <f t="shared" si="66"/>
        <v>5447266.9199999999</v>
      </c>
      <c r="Y360" s="846">
        <f t="shared" si="68"/>
        <v>3.0262593999999998</v>
      </c>
      <c r="Z360" s="491">
        <v>1800000</v>
      </c>
      <c r="AA360" s="663">
        <f t="shared" si="69"/>
        <v>5447266.9199999999</v>
      </c>
      <c r="AB360" s="612">
        <f t="shared" ref="AB360:AB361" si="70">A360</f>
        <v>329</v>
      </c>
      <c r="AC360" s="613">
        <f>IFERROR(INDEX('[2]CN HĐ'!$M$10:$M$72,MATCH(B360,'[2]CN HĐ'!$H$10:$H$72,0)),"")</f>
        <v>0</v>
      </c>
      <c r="AD360" s="108"/>
      <c r="AE360" s="108"/>
      <c r="AF360" s="108"/>
      <c r="AG360" s="108"/>
      <c r="AH360" s="108"/>
      <c r="AI360" s="108"/>
      <c r="AJ360" s="108"/>
      <c r="AK360" s="108"/>
      <c r="AL360" s="108"/>
      <c r="AM360" s="108"/>
      <c r="AN360" s="108"/>
      <c r="AO360" s="108"/>
      <c r="AP360" s="108"/>
      <c r="AQ360" s="108"/>
      <c r="AR360" s="108"/>
      <c r="AS360" s="108"/>
      <c r="AT360" s="108"/>
      <c r="AU360" s="108"/>
      <c r="AV360" s="108"/>
      <c r="AW360" s="108"/>
      <c r="AX360" s="108"/>
      <c r="AY360" s="108"/>
      <c r="AZ360" s="108"/>
      <c r="BA360" s="108"/>
    </row>
    <row r="361" spans="1:53" s="372" customFormat="1" ht="31.5" customHeight="1">
      <c r="A361" s="912">
        <f>_xlfn.AGGREGATE(4,7,A$29:A360)+1</f>
        <v>330</v>
      </c>
      <c r="B361" s="913" t="s">
        <v>2156</v>
      </c>
      <c r="C361" s="914" t="s">
        <v>920</v>
      </c>
      <c r="D361" s="915" t="s">
        <v>2157</v>
      </c>
      <c r="E361" s="637" t="s">
        <v>2158</v>
      </c>
      <c r="F361" s="637"/>
      <c r="G361" s="637"/>
      <c r="H361" s="84" t="s">
        <v>2042</v>
      </c>
      <c r="I361" s="916">
        <v>6563942</v>
      </c>
      <c r="J361" s="866" t="str">
        <f>VLOOKUP(B361,TH!B350:J682,9,FALSE)</f>
        <v xml:space="preserve">NV Thư viện  </v>
      </c>
      <c r="K361" s="917">
        <f t="shared" si="62"/>
        <v>4594759.3999999994</v>
      </c>
      <c r="L361" s="918" t="str">
        <f>VLOOKUP(B361,'[1]Gui chi Quynh'!$B$11:$E$400,4,FALSE)</f>
        <v>A3</v>
      </c>
      <c r="M361" s="917">
        <f t="shared" si="67"/>
        <v>5513711</v>
      </c>
      <c r="N361" s="918">
        <v>26</v>
      </c>
      <c r="O361" s="918">
        <f>IFERROR(INDEX('[2]CN HĐ'!$J$10:$J$72,MATCH(B361,'[2]CN HĐ'!$H$10:$H$72,0)),"")</f>
        <v>26</v>
      </c>
      <c r="P361" s="919" t="e">
        <f>IF(M361&gt;#REF!,M361,#REF!)</f>
        <v>#REF!</v>
      </c>
      <c r="Q361" s="917">
        <f t="shared" si="63"/>
        <v>5513711</v>
      </c>
      <c r="R361" s="920"/>
      <c r="S361" s="917">
        <v>0</v>
      </c>
      <c r="T361" s="921"/>
      <c r="U361" s="917">
        <v>0</v>
      </c>
      <c r="V361" s="922">
        <f t="shared" si="64"/>
        <v>65639.42</v>
      </c>
      <c r="W361" s="922"/>
      <c r="X361" s="886">
        <f t="shared" si="66"/>
        <v>5513711</v>
      </c>
      <c r="Y361" s="847">
        <f t="shared" si="68"/>
        <v>3.063172777777778</v>
      </c>
      <c r="Z361" s="875">
        <v>1800000</v>
      </c>
      <c r="AA361" s="926">
        <f t="shared" si="69"/>
        <v>5513711</v>
      </c>
      <c r="AB361" s="923">
        <f t="shared" si="70"/>
        <v>330</v>
      </c>
      <c r="AC361" s="924">
        <f>IFERROR(INDEX('[2]CN HĐ'!$M$10:$M$72,MATCH(B361,'[2]CN HĐ'!$H$10:$H$72,0)),"")</f>
        <v>0</v>
      </c>
      <c r="AD361" s="108"/>
      <c r="AE361" s="108"/>
      <c r="AF361" s="108"/>
      <c r="AG361" s="108"/>
      <c r="AH361" s="108"/>
      <c r="AI361" s="108"/>
      <c r="AJ361" s="108"/>
      <c r="AK361" s="108"/>
      <c r="AL361" s="108"/>
      <c r="AM361" s="108"/>
      <c r="AN361" s="108"/>
      <c r="AO361" s="108"/>
      <c r="AP361" s="108"/>
      <c r="AQ361" s="108"/>
      <c r="AR361" s="108"/>
      <c r="AS361" s="108"/>
      <c r="AT361" s="108"/>
      <c r="AU361" s="108"/>
      <c r="AV361" s="108"/>
      <c r="AW361" s="108"/>
      <c r="AX361" s="108"/>
      <c r="AY361" s="108"/>
      <c r="AZ361" s="108"/>
      <c r="BA361" s="108"/>
    </row>
    <row r="362" spans="1:53" s="372" customFormat="1" ht="25.5" customHeight="1">
      <c r="A362" s="896"/>
      <c r="B362" s="927" t="s">
        <v>2208</v>
      </c>
      <c r="C362" s="897"/>
      <c r="D362" s="898"/>
      <c r="E362" s="899"/>
      <c r="F362" s="900"/>
      <c r="G362" s="900"/>
      <c r="H362" s="901"/>
      <c r="I362" s="902"/>
      <c r="J362" s="715"/>
      <c r="K362" s="903"/>
      <c r="L362" s="904"/>
      <c r="M362" s="903"/>
      <c r="N362" s="904"/>
      <c r="O362" s="904"/>
      <c r="P362" s="905"/>
      <c r="Q362" s="903"/>
      <c r="R362" s="906"/>
      <c r="S362" s="903"/>
      <c r="T362" s="907"/>
      <c r="U362" s="903"/>
      <c r="V362" s="908"/>
      <c r="W362" s="908"/>
      <c r="X362" s="909"/>
      <c r="Y362" s="925">
        <f>SUM(Y299:Y361)</f>
        <v>161.39775871111107</v>
      </c>
      <c r="Z362" s="729"/>
      <c r="AA362" s="727">
        <f>SUM(AA299:AA361)</f>
        <v>290515965.68000001</v>
      </c>
      <c r="AB362" s="910"/>
      <c r="AC362" s="911"/>
      <c r="AD362" s="108"/>
      <c r="AE362" s="108"/>
      <c r="AF362" s="108"/>
      <c r="AG362" s="108"/>
      <c r="AH362" s="108"/>
      <c r="AI362" s="108"/>
      <c r="AJ362" s="108"/>
      <c r="AK362" s="108"/>
      <c r="AL362" s="108"/>
      <c r="AM362" s="108"/>
      <c r="AN362" s="108"/>
      <c r="AO362" s="108"/>
      <c r="AP362" s="108"/>
      <c r="AQ362" s="108"/>
      <c r="AR362" s="108"/>
      <c r="AS362" s="108"/>
      <c r="AT362" s="108"/>
      <c r="AU362" s="108"/>
      <c r="AV362" s="108"/>
      <c r="AW362" s="108"/>
      <c r="AX362" s="108"/>
      <c r="AY362" s="108"/>
      <c r="AZ362" s="108"/>
      <c r="BA362" s="108"/>
    </row>
    <row r="363" spans="1:53" s="124" customFormat="1" ht="21.75" customHeight="1">
      <c r="A363" s="347"/>
      <c r="B363" s="410" t="s">
        <v>2191</v>
      </c>
      <c r="C363" s="411"/>
      <c r="D363" s="412"/>
      <c r="E363" s="348"/>
      <c r="F363" s="413">
        <f>SUM(F30:F296)</f>
        <v>1012.9050000000004</v>
      </c>
      <c r="G363" s="413">
        <f>SUM(G30:G296)</f>
        <v>2.7100000000000009</v>
      </c>
      <c r="H363" s="413">
        <f>SUM(H30:H296)</f>
        <v>1026.3088000000002</v>
      </c>
      <c r="I363" s="413">
        <f>SUM(I30:I296)</f>
        <v>25.099999999999998</v>
      </c>
      <c r="J363" s="413"/>
      <c r="K363" s="413">
        <f>SUM(K30:K296)</f>
        <v>1053.3978000000011</v>
      </c>
      <c r="L363" s="414">
        <f>SUM(L30:L296)</f>
        <v>1896116040</v>
      </c>
      <c r="M363" s="413"/>
      <c r="N363" s="415">
        <f t="shared" ref="N363:X363" si="71">SUM(N30:N296)</f>
        <v>2285301384</v>
      </c>
      <c r="O363" s="415">
        <f t="shared" si="71"/>
        <v>5607</v>
      </c>
      <c r="P363" s="416">
        <f t="shared" si="71"/>
        <v>5857.5</v>
      </c>
      <c r="Q363" s="415">
        <f t="shared" si="71"/>
        <v>2282573612.5714283</v>
      </c>
      <c r="R363" s="475">
        <f t="shared" si="71"/>
        <v>0</v>
      </c>
      <c r="S363" s="415">
        <f t="shared" si="71"/>
        <v>0</v>
      </c>
      <c r="T363" s="417">
        <f t="shared" si="71"/>
        <v>0</v>
      </c>
      <c r="U363" s="415">
        <f t="shared" si="71"/>
        <v>0</v>
      </c>
      <c r="V363" s="586">
        <f t="shared" si="71"/>
        <v>18817357</v>
      </c>
      <c r="W363" s="586">
        <f>SUM(W30:W362)</f>
        <v>63735398.68</v>
      </c>
      <c r="X363" s="415">
        <f t="shared" si="71"/>
        <v>2333187908.5714283</v>
      </c>
      <c r="Y363" s="928">
        <f>Y362+Y297</f>
        <v>1457.613263473017</v>
      </c>
      <c r="Z363" s="442"/>
      <c r="AA363" s="442">
        <f>AA362+AA297+1</f>
        <v>2623703875.2514281</v>
      </c>
      <c r="AB363" s="349"/>
      <c r="AC363" s="348"/>
      <c r="AD363" s="438"/>
      <c r="AG363" s="156"/>
    </row>
    <row r="364" spans="1:53" ht="2.25" customHeight="1">
      <c r="F364" s="1"/>
      <c r="G364" s="4"/>
      <c r="L364" s="357"/>
      <c r="M364" s="1"/>
      <c r="N364" s="3"/>
      <c r="O364" s="1"/>
      <c r="P364" s="1"/>
      <c r="Q364" s="3"/>
      <c r="R364" s="451"/>
      <c r="S364" s="3"/>
      <c r="T364" s="382"/>
      <c r="U364" s="3"/>
      <c r="V364" s="581"/>
      <c r="W364" s="581"/>
      <c r="X364" s="3"/>
      <c r="Y364" s="3"/>
      <c r="Z364" s="3"/>
      <c r="AA364" s="3"/>
    </row>
    <row r="365" spans="1:53" s="16" customFormat="1" ht="21.75" customHeight="1">
      <c r="B365" s="492" t="s">
        <v>2210</v>
      </c>
      <c r="C365" s="14"/>
      <c r="D365" s="14"/>
      <c r="E365" s="14"/>
      <c r="F365" s="15"/>
      <c r="G365" s="15"/>
      <c r="H365" s="15"/>
      <c r="I365" s="15"/>
      <c r="J365" s="15"/>
      <c r="K365" s="80"/>
      <c r="L365" s="355"/>
      <c r="M365" s="18"/>
      <c r="N365" s="17"/>
      <c r="O365" s="18"/>
      <c r="P365" s="18"/>
      <c r="Q365" s="43"/>
      <c r="R365" s="450"/>
      <c r="S365" s="17"/>
      <c r="T365" s="381"/>
      <c r="U365" s="17"/>
      <c r="V365" s="579"/>
      <c r="W365" s="579"/>
      <c r="X365" s="43"/>
      <c r="Y365" s="43"/>
      <c r="Z365" s="43"/>
      <c r="AA365" s="43"/>
      <c r="AC365" s="97"/>
      <c r="AD365" s="106"/>
      <c r="AG365" s="152"/>
    </row>
    <row r="366" spans="1:53" s="16" customFormat="1" ht="3.75" customHeight="1">
      <c r="B366" s="37"/>
      <c r="C366" s="14"/>
      <c r="D366" s="14"/>
      <c r="E366" s="14"/>
      <c r="F366" s="15"/>
      <c r="G366" s="15"/>
      <c r="H366" s="15"/>
      <c r="I366" s="15"/>
      <c r="J366" s="15"/>
      <c r="K366" s="80"/>
      <c r="L366" s="355"/>
      <c r="M366" s="18"/>
      <c r="N366" s="17"/>
      <c r="O366" s="18"/>
      <c r="P366" s="18"/>
      <c r="Q366" s="43"/>
      <c r="R366" s="450"/>
      <c r="S366" s="17"/>
      <c r="T366" s="381"/>
      <c r="U366" s="17"/>
      <c r="V366" s="579"/>
      <c r="W366" s="579"/>
      <c r="X366" s="43"/>
      <c r="Y366" s="43"/>
      <c r="Z366" s="43"/>
      <c r="AA366" s="43"/>
      <c r="AC366" s="97"/>
      <c r="AD366" s="106"/>
      <c r="AG366" s="152"/>
    </row>
    <row r="367" spans="1:53" ht="15.75">
      <c r="F367" s="1"/>
      <c r="G367" s="4"/>
      <c r="L367" s="356"/>
      <c r="M367" s="1"/>
      <c r="N367" s="3"/>
      <c r="O367" s="1"/>
      <c r="P367" s="1"/>
      <c r="Q367" s="1"/>
      <c r="R367" s="456"/>
      <c r="S367" s="1"/>
      <c r="T367" s="386"/>
      <c r="U367" s="1559" t="s">
        <v>2199</v>
      </c>
      <c r="V367" s="1559"/>
      <c r="W367" s="1559"/>
      <c r="X367" s="1559"/>
      <c r="Y367" s="1559"/>
      <c r="Z367" s="1559"/>
      <c r="AA367" s="1559"/>
      <c r="AB367" s="1559"/>
      <c r="AC367" s="1559"/>
    </row>
    <row r="368" spans="1:53" s="16" customFormat="1">
      <c r="A368" s="1543" t="s">
        <v>859</v>
      </c>
      <c r="B368" s="1543"/>
      <c r="C368" s="1543"/>
      <c r="D368" s="1543"/>
      <c r="E368" s="1543"/>
      <c r="F368" s="1543"/>
      <c r="G368" s="1543"/>
      <c r="H368" s="1543"/>
      <c r="I368" s="1543"/>
      <c r="J368" s="1543"/>
      <c r="K368" s="1552" t="s">
        <v>1446</v>
      </c>
      <c r="L368" s="1552"/>
      <c r="M368" s="1552"/>
      <c r="N368" s="1552"/>
      <c r="O368" s="1552"/>
      <c r="P368" s="1543" t="s">
        <v>1191</v>
      </c>
      <c r="Q368" s="1543"/>
      <c r="R368" s="1543"/>
      <c r="S368" s="1543"/>
      <c r="T368" s="14"/>
      <c r="U368" s="14" t="s">
        <v>41</v>
      </c>
      <c r="V368" s="14"/>
      <c r="W368" s="14"/>
      <c r="X368" s="14"/>
      <c r="Y368" s="1543" t="s">
        <v>1191</v>
      </c>
      <c r="Z368" s="1543"/>
      <c r="AA368" s="1543" t="s">
        <v>41</v>
      </c>
      <c r="AB368" s="1543"/>
      <c r="AC368" s="1543"/>
      <c r="AD368" s="106"/>
      <c r="AG368" s="152"/>
    </row>
    <row r="369" spans="1:33" s="16" customFormat="1" ht="13.5" customHeight="1">
      <c r="A369" s="13"/>
      <c r="B369" s="13"/>
      <c r="C369" s="14"/>
      <c r="D369" s="14"/>
      <c r="E369" s="14"/>
      <c r="F369" s="14"/>
      <c r="G369" s="14"/>
      <c r="H369" s="14"/>
      <c r="I369" s="13"/>
      <c r="J369" s="13"/>
      <c r="K369" s="178"/>
      <c r="L369" s="352"/>
      <c r="M369" s="594"/>
      <c r="N369" s="14"/>
      <c r="O369" s="13"/>
      <c r="P369" s="14"/>
      <c r="Q369" s="13"/>
      <c r="R369" s="457"/>
      <c r="S369" s="13"/>
      <c r="T369" s="387"/>
      <c r="V369" s="587"/>
      <c r="W369" s="587"/>
      <c r="X369" s="13"/>
      <c r="Y369" s="13"/>
      <c r="Z369" s="13"/>
      <c r="AA369" s="13"/>
      <c r="AC369" s="98"/>
      <c r="AD369" s="106"/>
      <c r="AG369" s="152"/>
    </row>
    <row r="370" spans="1:33" s="16" customFormat="1" ht="10.5" customHeight="1">
      <c r="A370" s="13"/>
      <c r="B370" s="13"/>
      <c r="C370" s="14"/>
      <c r="D370" s="14"/>
      <c r="E370" s="14"/>
      <c r="F370" s="14"/>
      <c r="G370" s="14"/>
      <c r="H370" s="14"/>
      <c r="I370" s="13"/>
      <c r="J370" s="13"/>
      <c r="K370" s="178"/>
      <c r="L370" s="352"/>
      <c r="M370" s="649">
        <f>COUNTIF(M30:M296,"A1")</f>
        <v>42</v>
      </c>
      <c r="N370" s="14"/>
      <c r="O370" s="13"/>
      <c r="P370" s="14"/>
      <c r="Q370" s="13"/>
      <c r="R370" s="457"/>
      <c r="S370" s="13"/>
      <c r="T370" s="387"/>
      <c r="V370" s="587"/>
      <c r="W370" s="587"/>
      <c r="X370" s="13"/>
      <c r="Y370" s="13"/>
      <c r="Z370" s="13"/>
      <c r="AA370" s="13"/>
      <c r="AC370" s="98"/>
      <c r="AD370" s="106"/>
      <c r="AG370" s="152"/>
    </row>
    <row r="371" spans="1:33" s="16" customFormat="1" ht="13.5" customHeight="1">
      <c r="G371" s="21"/>
      <c r="H371" s="18"/>
      <c r="K371" s="178"/>
      <c r="L371" s="352"/>
      <c r="M371" s="649">
        <f>COUNTIF($M$30:$M$296,"A2")</f>
        <v>37</v>
      </c>
      <c r="N371" s="13"/>
      <c r="O371" s="13"/>
      <c r="P371" s="18"/>
      <c r="Q371" s="18"/>
      <c r="R371" s="458"/>
      <c r="S371" s="18"/>
      <c r="T371" s="388"/>
      <c r="U371" s="18"/>
      <c r="V371" s="588"/>
      <c r="W371" s="588"/>
      <c r="X371" s="18"/>
      <c r="Y371" s="18"/>
      <c r="Z371" s="18"/>
      <c r="AA371" s="18"/>
      <c r="AC371" s="96"/>
      <c r="AD371" s="106"/>
      <c r="AG371" s="152"/>
    </row>
    <row r="372" spans="1:33" s="16" customFormat="1" ht="13.5" customHeight="1">
      <c r="G372" s="21"/>
      <c r="H372" s="18"/>
      <c r="K372" s="178"/>
      <c r="L372" s="352"/>
      <c r="M372" s="649">
        <f>COUNTIF($M$30:$M$296,"A3")</f>
        <v>73</v>
      </c>
      <c r="N372" s="13"/>
      <c r="O372" s="13"/>
      <c r="P372" s="18"/>
      <c r="Q372" s="87"/>
      <c r="R372" s="458"/>
      <c r="S372" s="18"/>
      <c r="T372" s="388"/>
      <c r="U372" s="18"/>
      <c r="V372" s="588"/>
      <c r="W372" s="588"/>
      <c r="X372" s="18"/>
      <c r="Y372" s="18"/>
      <c r="Z372" s="18"/>
      <c r="AA372" s="18"/>
      <c r="AC372" s="448"/>
      <c r="AD372" s="106"/>
      <c r="AG372" s="152"/>
    </row>
    <row r="373" spans="1:33" s="16" customFormat="1" ht="13.5" customHeight="1">
      <c r="G373" s="21"/>
      <c r="H373" s="18"/>
      <c r="K373" s="178"/>
      <c r="L373" s="352"/>
      <c r="M373" s="649">
        <f>COUNTIF($M$30:$M$296,"A4")</f>
        <v>110</v>
      </c>
      <c r="N373" s="13"/>
      <c r="O373" s="13"/>
      <c r="P373" s="18"/>
      <c r="Q373" s="44"/>
      <c r="R373" s="458"/>
      <c r="S373" s="18"/>
      <c r="T373" s="388"/>
      <c r="U373" s="18"/>
      <c r="V373" s="588"/>
      <c r="W373" s="588"/>
      <c r="X373" s="44"/>
      <c r="Y373" s="44"/>
      <c r="Z373" s="44"/>
      <c r="AA373" s="44"/>
      <c r="AC373" s="96"/>
      <c r="AD373" s="106"/>
      <c r="AG373" s="152"/>
    </row>
    <row r="374" spans="1:33" s="16" customFormat="1" ht="13.5" customHeight="1">
      <c r="G374" s="21"/>
      <c r="H374" s="18"/>
      <c r="I374" s="18"/>
      <c r="J374" s="18"/>
      <c r="K374" s="225"/>
      <c r="L374" s="353"/>
      <c r="M374" s="649"/>
      <c r="N374" s="13"/>
      <c r="O374" s="18"/>
      <c r="P374" s="18"/>
      <c r="Q374" s="18"/>
      <c r="R374" s="458"/>
      <c r="S374" s="18"/>
      <c r="T374" s="388"/>
      <c r="U374" s="18"/>
      <c r="V374" s="588"/>
      <c r="W374" s="588"/>
      <c r="X374" s="18"/>
      <c r="Y374" s="18"/>
      <c r="Z374" s="18"/>
      <c r="AA374" s="18"/>
      <c r="AC374" s="448"/>
      <c r="AD374" s="106"/>
      <c r="AG374" s="152"/>
    </row>
    <row r="375" spans="1:33" s="16" customFormat="1" ht="13.5" customHeight="1">
      <c r="G375" s="1553"/>
      <c r="H375" s="1553"/>
      <c r="I375" s="18"/>
      <c r="J375" s="18"/>
      <c r="K375" s="225"/>
      <c r="L375" s="353"/>
      <c r="M375" s="594"/>
      <c r="N375" s="13"/>
      <c r="O375" s="18"/>
      <c r="P375" s="18"/>
      <c r="Q375" s="18"/>
      <c r="R375" s="458"/>
      <c r="S375" s="18"/>
      <c r="T375" s="388"/>
      <c r="U375" s="18"/>
      <c r="V375" s="588"/>
      <c r="W375" s="588"/>
      <c r="X375" s="18"/>
      <c r="Y375" s="18"/>
      <c r="Z375" s="18"/>
      <c r="AA375" s="18"/>
      <c r="AC375" s="96"/>
      <c r="AD375" s="106"/>
      <c r="AG375" s="152"/>
    </row>
    <row r="376" spans="1:33" s="16" customFormat="1">
      <c r="A376" s="1543" t="s">
        <v>1827</v>
      </c>
      <c r="B376" s="1543"/>
      <c r="C376" s="1543"/>
      <c r="D376" s="1543"/>
      <c r="E376" s="1543"/>
      <c r="F376" s="1543"/>
      <c r="G376" s="1543"/>
      <c r="H376" s="1543"/>
      <c r="I376" s="1543"/>
      <c r="J376" s="1543"/>
      <c r="K376" s="1552" t="s">
        <v>1458</v>
      </c>
      <c r="L376" s="1552"/>
      <c r="M376" s="1552"/>
      <c r="N376" s="1552"/>
      <c r="O376" s="1552"/>
      <c r="P376" s="1543" t="s">
        <v>1445</v>
      </c>
      <c r="Q376" s="1543"/>
      <c r="R376" s="1543"/>
      <c r="S376" s="1543"/>
      <c r="T376" s="14"/>
      <c r="U376" s="14" t="s">
        <v>1433</v>
      </c>
      <c r="V376" s="14"/>
      <c r="W376" s="14"/>
      <c r="X376" s="14"/>
      <c r="Y376" s="1543" t="s">
        <v>1445</v>
      </c>
      <c r="Z376" s="1543"/>
      <c r="AA376" s="1543" t="s">
        <v>1433</v>
      </c>
      <c r="AB376" s="1543"/>
      <c r="AC376" s="1543"/>
      <c r="AD376" s="106"/>
      <c r="AG376" s="152"/>
    </row>
    <row r="377" spans="1:33" ht="15.75">
      <c r="A377" s="6"/>
      <c r="K377" s="179"/>
      <c r="L377" s="358"/>
      <c r="M377" s="7"/>
      <c r="N377" s="7"/>
    </row>
    <row r="378" spans="1:33" ht="15.75" customHeight="1">
      <c r="A378" s="6"/>
      <c r="K378" s="179"/>
      <c r="L378" s="358"/>
      <c r="M378" s="7"/>
      <c r="N378" s="7"/>
    </row>
    <row r="381" spans="1:33">
      <c r="L381" s="359"/>
    </row>
    <row r="434" ht="15.75" customHeight="1"/>
  </sheetData>
  <sheetProtection deleteColumns="0" deleteRows="0" selectLockedCells="1"/>
  <mergeCells count="45">
    <mergeCell ref="Y376:Z376"/>
    <mergeCell ref="S8:AE8"/>
    <mergeCell ref="A9:M9"/>
    <mergeCell ref="S9:AE9"/>
    <mergeCell ref="B19:C19"/>
    <mergeCell ref="A368:J368"/>
    <mergeCell ref="U367:AC367"/>
    <mergeCell ref="K368:O368"/>
    <mergeCell ref="P368:S368"/>
    <mergeCell ref="A24:AC24"/>
    <mergeCell ref="A25:AC25"/>
    <mergeCell ref="O26:S26"/>
    <mergeCell ref="B28:C28"/>
    <mergeCell ref="AB28:AC28"/>
    <mergeCell ref="B29:C29"/>
    <mergeCell ref="AB29:AC29"/>
    <mergeCell ref="Y368:Z368"/>
    <mergeCell ref="AA368:AC368"/>
    <mergeCell ref="A6:AC6"/>
    <mergeCell ref="A7:AC7"/>
    <mergeCell ref="U1:AC1"/>
    <mergeCell ref="Y2:AC2"/>
    <mergeCell ref="AA4:AC4"/>
    <mergeCell ref="AA5:AC5"/>
    <mergeCell ref="AA3:AC3"/>
    <mergeCell ref="A1:J1"/>
    <mergeCell ref="A2:J2"/>
    <mergeCell ref="A3:M3"/>
    <mergeCell ref="A4:M4"/>
    <mergeCell ref="AA376:AC376"/>
    <mergeCell ref="A8:M8"/>
    <mergeCell ref="AB18:AC18"/>
    <mergeCell ref="A12:AE12"/>
    <mergeCell ref="A13:AE13"/>
    <mergeCell ref="A14:AE14"/>
    <mergeCell ref="O15:S15"/>
    <mergeCell ref="B18:C18"/>
    <mergeCell ref="AD18:AE18"/>
    <mergeCell ref="A10:M10"/>
    <mergeCell ref="K376:O376"/>
    <mergeCell ref="P376:S376"/>
    <mergeCell ref="G375:H375"/>
    <mergeCell ref="A376:J376"/>
    <mergeCell ref="A21:M21"/>
    <mergeCell ref="A23:AC23"/>
  </mergeCells>
  <conditionalFormatting sqref="A1 K1:M1">
    <cfRule type="cellIs" dxfId="1379" priority="18" stopIfTrue="1" operator="equal">
      <formula>"A DN"</formula>
    </cfRule>
    <cfRule type="cellIs" dxfId="1378" priority="17" stopIfTrue="1" operator="equal">
      <formula>"KXL"</formula>
    </cfRule>
    <cfRule type="cellIs" dxfId="1377" priority="20" stopIfTrue="1" operator="equal">
      <formula>"B"</formula>
    </cfRule>
    <cfRule type="cellIs" dxfId="1376" priority="19" stopIfTrue="1" operator="equal">
      <formula>"C"</formula>
    </cfRule>
  </conditionalFormatting>
  <conditionalFormatting sqref="A1:A2 K1:M2 O1:U3 A3:M3 A4:AA5">
    <cfRule type="cellIs" dxfId="1375" priority="10" stopIfTrue="1" operator="equal">
      <formula>"A DN"</formula>
    </cfRule>
    <cfRule type="cellIs" dxfId="1374" priority="11" stopIfTrue="1" operator="equal">
      <formula>"C"</formula>
    </cfRule>
    <cfRule type="cellIs" dxfId="1373" priority="12" stopIfTrue="1" operator="equal">
      <formula>"B"</formula>
    </cfRule>
  </conditionalFormatting>
  <conditionalFormatting sqref="A6:A7">
    <cfRule type="cellIs" dxfId="1372" priority="14" stopIfTrue="1" operator="equal">
      <formula>"A DN"</formula>
    </cfRule>
    <cfRule type="cellIs" dxfId="1371" priority="16" stopIfTrue="1" operator="equal">
      <formula>"B"</formula>
    </cfRule>
    <cfRule type="cellIs" dxfId="1370" priority="15" stopIfTrue="1" operator="equal">
      <formula>"C"</formula>
    </cfRule>
    <cfRule type="cellIs" dxfId="1369" priority="13" stopIfTrue="1" operator="equal">
      <formula>"KXL"</formula>
    </cfRule>
  </conditionalFormatting>
  <conditionalFormatting sqref="A8:M9 O8:S9 AF8:JB9 A10:XFD13 A14 AF14:JB14 A15:XFD17 K18:Z18 AF18:XFD18 A18:I20">
    <cfRule type="cellIs" dxfId="1368" priority="52" stopIfTrue="1" operator="equal">
      <formula>"B"</formula>
    </cfRule>
    <cfRule type="cellIs" dxfId="1367" priority="51" stopIfTrue="1" operator="equal">
      <formula>"C"</formula>
    </cfRule>
    <cfRule type="cellIs" dxfId="1366" priority="50" stopIfTrue="1" operator="equal">
      <formula>"A DN"</formula>
    </cfRule>
  </conditionalFormatting>
  <conditionalFormatting sqref="A4:AA5 A1:A2 K1:M2 O1:U3 A3:M3">
    <cfRule type="cellIs" dxfId="1365" priority="9" stopIfTrue="1" operator="equal">
      <formula>"KXL"</formula>
    </cfRule>
  </conditionalFormatting>
  <conditionalFormatting sqref="A21:XFD24 A25 AD25:IZ25 A26:XFD28 A29:AB29 AD29:IZ34 A30:C30 E30:O30 Q30:X30 K31:O31 Q31:W31 E31:I32 B31:C34 X31:X34 J31:J102 R32:W34 K32:L100 Q32:Q100 M32:O102 F33:I34 AF35:IZ35 U35:X42 AD35:AD43 E36:I36 B36:C43 AE36:IZ43 E37:G38 F39:G40 E41:G42 F43:G43 U43:W100 X43:X296 AD44:IZ49 E46:G50 B46:C54 AD50 AF50:IZ50 F51:G51 AD51:IZ68 E52:G52 F53:G54 S53:S71 E57:I59 B57:C68 E60:G61 H60:I66 F62:G62 E63:G64 F65:G66 F67:I68 T67:T68 H69 R70:R71 T70:T71 E70:I74 B70:C81 AD70:IZ81 R72:T78 F75:I75 E76:I76 F77:I77 E78:I81 R79:R81 T79:T81 S79:S100 H82 B83:C83 E83:G83 AD83:IZ83 H83:I84 R83:R100 T83:T100 D84:G84 AD84 AF84:IZ84 F85:I85 B85:C100 E86:I87 E88:G89 H88:I91 F90:G91 F92:I92 E93:I93 F94:I96 F97:G98 H97:I99 E99:G99 F100:I100 L101:L102 F103:I103 AD103:IZ103 B103:C129 R103:T129 Q103:Q227 U103:W227 J103:O284 E104:G104 AE104:IZ109 AD104:AD120 H104:I129 F105:G108 E109:G109 AF110:IZ110 F110:G120 AE111:IZ120 E121:G125 AD121:IZ129 F126:G129 H130 S130 E131:G133 AE131:IZ164 H131:I196 R131:T227 B131:C284 F134:G134 E135:G138 F139:G139 E140:G143 F144:G145 E146:G148 F149:G150 E151:G156 F157:G164 E165:G176 AD165:IZ201 F177:G177 E178:G178 F179:G179 E180:G190 F191:G191 E192:G195 F196:G196 E197:I199 E200:G208 H200:I222 AE202:IZ206 AD202:AD207 AF207:IZ207 AD208:IZ214 F209:G209 E210:G219 AE215:IZ215 AD215:AD227 AF216:IZ216 AE217:IZ217 AF218:IZ218 AE219:IZ227 F220:G220 E221:G222 E223:I233 AD228:IZ228 Q228:W287 AE229:IZ236 AD229:AD257 E234:G235 H234:I284 F236:G236 AF237:IZ237 E237:G252 AE238:IZ257 F253:G258 AD258:IZ258 AD259 AF259:IZ259 E259:G271 AD260:IZ267 AD268 AF268:IZ268 AD269:IZ272 G272:G284 AD273:AD284 AF273:IZ284 D285 F285:O287 E288:G294 U288:W296 K288:O298 J288:J362 F295:G298 U297:X298 A363:AC366 A367:U367 A368 K368 P368 U368 A369:XFD375 A376 K376 P376 U376 AD376:IZ376 A377:XFD65623 R57:R68">
    <cfRule type="cellIs" dxfId="1364" priority="245" stopIfTrue="1" operator="equal">
      <formula>"C"</formula>
    </cfRule>
  </conditionalFormatting>
  <conditionalFormatting sqref="A21:XFD24 A25 AD25:IZ25 A26:XFD28 A29:AB29 AD29:IZ34 A30:C30 E30:O30 Q30:X30 K31:O31 Q31:W31 E31:I32 B31:C34 X31:X34 J31:J102 R32:W34 K32:L100 Q32:Q100 M32:O102 F33:I34 AF35:IZ35 U35:X42 AD35:AD43 E36:I36 B36:C43 AE36:IZ43 E37:G38 F39:G40 E41:G42 F43:G43 U43:W100 X43:X296 AD44:IZ49 E46:G50 B46:C54 AD50 AF50:IZ50 F51:G51 AD51:IZ68 E52:G52 F53:G54 S53:S71 E57:I59 B57:C68 E60:G61 H60:I66 F62:G62 E63:G64 F65:G66 F67:I68 T67:T68 H69 R70:R71 T70:T71 E70:I74 B70:C81 AD70:IZ81 R72:T78 F75:I75 E76:I76 F77:I77 E78:I81 R79:R81 T79:T81 S79:S100 H82 B83:C83 E83:G83 AD83:IZ83 H83:I84 R83:R100 T83:T100 D84:G84 AD84 AF84:IZ84 F85:I85 B85:C100 E86:I87 E88:G89 H88:I91 F90:G91 F92:I92 E93:I93 F94:I96 F97:G98 H97:I99 E99:G99 F100:I100 L101:L102 F103:I103 AD103:IZ103 B103:C129 R103:T129 Q103:Q227 U103:W227 J103:O284 E104:G104 AE104:IZ109 AD104:AD120 H104:I129 F105:G108 E109:G109 AF110:IZ110 F110:G120 AE111:IZ120 E121:G125 AD121:IZ129 F126:G129 H130 S130 E131:G133 AE131:IZ164 H131:I196 R131:T227 B131:C284 F134:G134 E135:G138 F139:G139 E140:G143 F144:G145 E146:G148 F149:G150 E151:G156 F157:G164 E165:G176 AD165:IZ201 F177:G177 E178:G178 F179:G179 E180:G190 F191:G191 E192:G195 F196:G196 E197:I199 E200:G208 H200:I222 AE202:IZ206 AD202:AD207 AF207:IZ207 AD208:IZ214 F209:G209 E210:G219 AE215:IZ215 AD215:AD227 AF216:IZ216 AE217:IZ217 AF218:IZ218 AE219:IZ227 F220:G220 E221:G222 E223:I233 AD228:IZ228 Q228:W287 AE229:IZ236 AD229:AD257 E234:G235 H234:I284 F236:G236 AF237:IZ237 E237:G252 AE238:IZ257 F253:G258 AD258:IZ258 AD259 AF259:IZ259 E259:G271 AD260:IZ267 AD268 AF268:IZ268 AD269:IZ272 G272:G284 AD273:AD284 AF273:IZ284 D285 F285:O287 E288:G294 U288:W296 K288:O298 J288:J362 F295:G298 U297:X298 A363:AC366 A367:U367 A368 K368 P368 U368 A369:XFD375 A376 K376 P376 U376 AD376:IZ376 A377:XFD65623">
    <cfRule type="cellIs" dxfId="1363" priority="244" stopIfTrue="1" operator="equal">
      <formula>"A DN"</formula>
    </cfRule>
  </conditionalFormatting>
  <conditionalFormatting sqref="A21:XFD24 A25 AD25:IZ25 A26:XFD28 A29:AB29 AD29:IZ34 A30:C30 E30:O30 Q30:X30 K31:O31 Q31:W31 E31:I32 B31:C34 X31:X34 J31:J102 R32:W34 K32:L100 Q32:Q100 M32:O102 F33:I34 AF35:IZ35 U35:X42 AD35:AD43 E36:I36 B36:C43 AE36:IZ43 E37:G38 F39:G40 E41:G42 F43:G43 U43:W100 X43:X296 AD44:IZ49 E46:G50 B46:C54 AD50 AF50:IZ50 F51:G51 AD51:IZ68 E52:G52 F53:G54 S53:S71 E57:I59 B57:C68 R57:R68 E60:G61 H60:I66 F62:G62 E63:G64 F65:G66 F67:I68 T67:T68 H69 R70:R71 T70:T71 E70:I74 B70:C81 AD70:IZ81 R72:T78 F75:I75 E76:I76 F77:I77 E78:I81 R79:R81 T79:T81 S79:S100 H82 B83:C83 E83:G83 AD83:IZ83 H83:I84 R83:R100 T83:T100 D84:G84 AD84 AF84:IZ84 F85:I85 B85:C100 E86:I87 E88:G89 H88:I91 F90:G91 F92:I92 E93:I93 F94:I96 F97:G98 H97:I99 E99:G99 F100:I100 L101:L102 F103:I103 AD103:IZ103 B103:C129 R103:T129 Q103:Q227 U103:W227 J103:O284 E104:G104 AE104:IZ109 AD104:AD120 H104:I129 F105:G108 E109:G109 AF110:IZ110 F110:G120 AE111:IZ120 E121:G125 AD121:IZ129 F126:G129 H130 S130 E131:G133 AE131:IZ164 H131:I196 R131:T227 B131:C284 F134:G134 E135:G138 F139:G139 E140:G143 F144:G145 E146:G148 F149:G150 E151:G156 F157:G164 E165:G176 AD165:IZ201 F177:G177 E178:G178 F179:G179 E180:G190 F191:G191 E192:G195 F196:G196 E197:I199 E200:G208 H200:I222 AE202:IZ206 AD202:AD207 AF207:IZ207 AD208:IZ214 F209:G209 E210:G219 AE215:IZ215 AD215:AD227 AF216:IZ216 AE217:IZ217 AF218:IZ218 AE219:IZ227 F220:G220 E221:G222 E223:I233 AD228:IZ228 Q228:W287 AE229:IZ236 AD229:AD257 E234:G235 H234:I284 F236:G236 AF237:IZ237 E237:G252 AE238:IZ257 F253:G258 AD258:IZ258 AD259 AF259:IZ259 E259:G271 AD260:IZ267 AD268 AF268:IZ268 AD269:IZ272 G272:G284 AD273:AD284 AF273:IZ284 D285 F285:O287 E288:G294 U288:W296 K288:O298 J288:J362 F295:G298 U297:X298 A363:AC366 A367:U367 A368 K368 P368 U368 A369:XFD375 A376 K376 P376 U376 AD376:IZ376 A377:XFD65623">
    <cfRule type="cellIs" dxfId="1362" priority="246" stopIfTrue="1" operator="equal">
      <formula>"B"</formula>
    </cfRule>
  </conditionalFormatting>
  <conditionalFormatting sqref="B69:C69 F69:G69 I69 R69 T69 AD69:IZ69 AD82:IZ82 AD130:IZ130 AD131:AD164">
    <cfRule type="cellIs" dxfId="1361" priority="237" stopIfTrue="1" operator="equal">
      <formula>"B"</formula>
    </cfRule>
    <cfRule type="cellIs" dxfId="1360" priority="236" stopIfTrue="1" operator="equal">
      <formula>"C"</formula>
    </cfRule>
  </conditionalFormatting>
  <conditionalFormatting sqref="B82:C82 F82:G82 I82 R82 T82">
    <cfRule type="cellIs" dxfId="1359" priority="235" stopIfTrue="1" operator="equal">
      <formula>"A DN"</formula>
    </cfRule>
    <cfRule type="cellIs" dxfId="1358" priority="234" stopIfTrue="1" operator="equal">
      <formula>"B"</formula>
    </cfRule>
    <cfRule type="cellIs" dxfId="1357" priority="233" stopIfTrue="1" operator="equal">
      <formula>"C"</formula>
    </cfRule>
  </conditionalFormatting>
  <conditionalFormatting sqref="B130:C130 F130:G130 I130 R130 T130">
    <cfRule type="cellIs" dxfId="1356" priority="232" stopIfTrue="1" operator="equal">
      <formula>"A DN"</formula>
    </cfRule>
    <cfRule type="cellIs" dxfId="1355" priority="230" stopIfTrue="1" operator="equal">
      <formula>"C"</formula>
    </cfRule>
    <cfRule type="cellIs" dxfId="1354" priority="231" stopIfTrue="1" operator="equal">
      <formula>"B"</formula>
    </cfRule>
  </conditionalFormatting>
  <conditionalFormatting sqref="B286:C298 Q288:T298">
    <cfRule type="cellIs" dxfId="1353" priority="241" stopIfTrue="1" operator="equal">
      <formula>"C"</formula>
    </cfRule>
    <cfRule type="cellIs" dxfId="1352" priority="239" stopIfTrue="1" operator="equal">
      <formula>"KXL"</formula>
    </cfRule>
    <cfRule type="cellIs" dxfId="1351" priority="240" stopIfTrue="1" operator="equal">
      <formula>"A DN"</formula>
    </cfRule>
    <cfRule type="cellIs" dxfId="1350" priority="242" stopIfTrue="1" operator="equal">
      <formula>"B"</formula>
    </cfRule>
  </conditionalFormatting>
  <conditionalFormatting sqref="D316:G319">
    <cfRule type="cellIs" dxfId="1349" priority="88" stopIfTrue="1" operator="equal">
      <formula>"C"</formula>
    </cfRule>
    <cfRule type="cellIs" dxfId="1348" priority="86" stopIfTrue="1" operator="equal">
      <formula>"KXL"</formula>
    </cfRule>
    <cfRule type="cellIs" dxfId="1347" priority="87" stopIfTrue="1" operator="equal">
      <formula>"A DN"</formula>
    </cfRule>
    <cfRule type="cellIs" dxfId="1346" priority="89" stopIfTrue="1" operator="equal">
      <formula>"B"</formula>
    </cfRule>
  </conditionalFormatting>
  <conditionalFormatting sqref="D329:G332">
    <cfRule type="cellIs" dxfId="1345" priority="74" stopIfTrue="1" operator="equal">
      <formula>"KXL"</formula>
    </cfRule>
    <cfRule type="cellIs" dxfId="1344" priority="75" stopIfTrue="1" operator="equal">
      <formula>"A DN"</formula>
    </cfRule>
    <cfRule type="cellIs" dxfId="1343" priority="77" stopIfTrue="1" operator="equal">
      <formula>"B"</formula>
    </cfRule>
    <cfRule type="cellIs" dxfId="1342" priority="76" stopIfTrue="1" operator="equal">
      <formula>"C"</formula>
    </cfRule>
  </conditionalFormatting>
  <conditionalFormatting sqref="D35:I35">
    <cfRule type="cellIs" dxfId="1341" priority="224" stopIfTrue="1" operator="equal">
      <formula>"C"</formula>
    </cfRule>
    <cfRule type="cellIs" dxfId="1340" priority="225" stopIfTrue="1" operator="equal">
      <formula>"B"</formula>
    </cfRule>
    <cfRule type="cellIs" dxfId="1339" priority="222" stopIfTrue="1" operator="equal">
      <formula>"KXL"</formula>
    </cfRule>
    <cfRule type="cellIs" dxfId="1338" priority="223" stopIfTrue="1" operator="equal">
      <formula>"A DN"</formula>
    </cfRule>
  </conditionalFormatting>
  <conditionalFormatting sqref="D346:I362">
    <cfRule type="cellIs" dxfId="1337" priority="58" stopIfTrue="1" operator="equal">
      <formula>"KXL"</formula>
    </cfRule>
    <cfRule type="cellIs" dxfId="1336" priority="59" stopIfTrue="1" operator="equal">
      <formula>"A DN"</formula>
    </cfRule>
    <cfRule type="cellIs" dxfId="1335" priority="60" stopIfTrue="1" operator="equal">
      <formula>"C"</formula>
    </cfRule>
    <cfRule type="cellIs" dxfId="1334" priority="61" stopIfTrue="1" operator="equal">
      <formula>"B"</formula>
    </cfRule>
  </conditionalFormatting>
  <conditionalFormatting sqref="E130">
    <cfRule type="cellIs" dxfId="1333" priority="226" stopIfTrue="1" operator="equal">
      <formula>"KXL"</formula>
    </cfRule>
    <cfRule type="cellIs" dxfId="1332" priority="227" stopIfTrue="1" operator="equal">
      <formula>"A DN"</formula>
    </cfRule>
    <cfRule type="cellIs" dxfId="1331" priority="228" stopIfTrue="1" operator="equal">
      <formula>"C"</formula>
    </cfRule>
    <cfRule type="cellIs" dxfId="1330" priority="229" stopIfTrue="1" operator="equal">
      <formula>"B"</formula>
    </cfRule>
  </conditionalFormatting>
  <conditionalFormatting sqref="E310:G315">
    <cfRule type="cellIs" dxfId="1329" priority="82" stopIfTrue="1" operator="equal">
      <formula>"KXL"</formula>
    </cfRule>
    <cfRule type="cellIs" dxfId="1328" priority="83" stopIfTrue="1" operator="equal">
      <formula>"A DN"</formula>
    </cfRule>
    <cfRule type="cellIs" dxfId="1327" priority="85" stopIfTrue="1" operator="equal">
      <formula>"B"</formula>
    </cfRule>
    <cfRule type="cellIs" dxfId="1326" priority="84" stopIfTrue="1" operator="equal">
      <formula>"C"</formula>
    </cfRule>
  </conditionalFormatting>
  <conditionalFormatting sqref="E320:G320">
    <cfRule type="cellIs" dxfId="1325" priority="96" stopIfTrue="1" operator="equal">
      <formula>"C"</formula>
    </cfRule>
    <cfRule type="cellIs" dxfId="1324" priority="95" stopIfTrue="1" operator="equal">
      <formula>"A DN"</formula>
    </cfRule>
    <cfRule type="cellIs" dxfId="1323" priority="94" stopIfTrue="1" operator="equal">
      <formula>"KXL"</formula>
    </cfRule>
    <cfRule type="cellIs" dxfId="1322" priority="97" stopIfTrue="1" operator="equal">
      <formula>"B"</formula>
    </cfRule>
  </conditionalFormatting>
  <conditionalFormatting sqref="E323:G323">
    <cfRule type="cellIs" dxfId="1321" priority="81" stopIfTrue="1" operator="equal">
      <formula>"B"</formula>
    </cfRule>
    <cfRule type="cellIs" dxfId="1320" priority="80" stopIfTrue="1" operator="equal">
      <formula>"C"</formula>
    </cfRule>
    <cfRule type="cellIs" dxfId="1319" priority="79" stopIfTrue="1" operator="equal">
      <formula>"A DN"</formula>
    </cfRule>
    <cfRule type="cellIs" dxfId="1318" priority="78" stopIfTrue="1" operator="equal">
      <formula>"KXL"</formula>
    </cfRule>
  </conditionalFormatting>
  <conditionalFormatting sqref="E333:G335">
    <cfRule type="cellIs" dxfId="1317" priority="72" stopIfTrue="1" operator="equal">
      <formula>"C"</formula>
    </cfRule>
    <cfRule type="cellIs" dxfId="1316" priority="73" stopIfTrue="1" operator="equal">
      <formula>"B"</formula>
    </cfRule>
    <cfRule type="cellIs" dxfId="1315" priority="70" stopIfTrue="1" operator="equal">
      <formula>"KXL"</formula>
    </cfRule>
    <cfRule type="cellIs" dxfId="1314" priority="71" stopIfTrue="1" operator="equal">
      <formula>"A DN"</formula>
    </cfRule>
  </conditionalFormatting>
  <conditionalFormatting sqref="E339:I345">
    <cfRule type="cellIs" dxfId="1313" priority="65" stopIfTrue="1" operator="equal">
      <formula>"B"</formula>
    </cfRule>
    <cfRule type="cellIs" dxfId="1312" priority="64" stopIfTrue="1" operator="equal">
      <formula>"C"</formula>
    </cfRule>
    <cfRule type="cellIs" dxfId="1311" priority="63" stopIfTrue="1" operator="equal">
      <formula>"A DN"</formula>
    </cfRule>
    <cfRule type="cellIs" dxfId="1310" priority="62" stopIfTrue="1" operator="equal">
      <formula>"KXL"</formula>
    </cfRule>
  </conditionalFormatting>
  <conditionalFormatting sqref="H302:H335">
    <cfRule type="cellIs" dxfId="1309" priority="55" stopIfTrue="1" operator="equal">
      <formula>"A DN"</formula>
    </cfRule>
    <cfRule type="cellIs" dxfId="1308" priority="56" stopIfTrue="1" operator="equal">
      <formula>"C"</formula>
    </cfRule>
    <cfRule type="cellIs" dxfId="1307" priority="54" stopIfTrue="1" operator="equal">
      <formula>"KXL"</formula>
    </cfRule>
    <cfRule type="cellIs" dxfId="1306" priority="57" stopIfTrue="1" operator="equal">
      <formula>"B"</formula>
    </cfRule>
  </conditionalFormatting>
  <conditionalFormatting sqref="H37:I56 R53:R56 T53:T65 D55:G55 D56 F56:G56">
    <cfRule type="cellIs" dxfId="1305" priority="215" stopIfTrue="1" operator="equal">
      <formula>"A DN"</formula>
    </cfRule>
    <cfRule type="cellIs" dxfId="1304" priority="216" stopIfTrue="1" operator="equal">
      <formula>"C"</formula>
    </cfRule>
    <cfRule type="cellIs" dxfId="1303" priority="217" stopIfTrue="1" operator="equal">
      <formula>"B"</formula>
    </cfRule>
  </conditionalFormatting>
  <conditionalFormatting sqref="H37:I56 T53:T65 R53:R68 D55:G55 D56 F56:G56">
    <cfRule type="cellIs" dxfId="1302" priority="214" stopIfTrue="1" operator="equal">
      <formula>"KXL"</formula>
    </cfRule>
  </conditionalFormatting>
  <conditionalFormatting sqref="J18">
    <cfRule type="cellIs" dxfId="1301" priority="40" stopIfTrue="1" operator="equal">
      <formula>"B"</formula>
    </cfRule>
    <cfRule type="cellIs" dxfId="1300" priority="39" stopIfTrue="1" operator="equal">
      <formula>"C"</formula>
    </cfRule>
    <cfRule type="cellIs" dxfId="1299" priority="38" stopIfTrue="1" operator="equal">
      <formula>"A DN"</formula>
    </cfRule>
    <cfRule type="cellIs" dxfId="1298" priority="37" stopIfTrue="1" operator="equal">
      <formula>"KXL"</formula>
    </cfRule>
  </conditionalFormatting>
  <conditionalFormatting sqref="J19:Z20">
    <cfRule type="cellIs" dxfId="1297" priority="33" stopIfTrue="1" operator="equal">
      <formula>"KXL"</formula>
    </cfRule>
    <cfRule type="cellIs" dxfId="1296" priority="36" stopIfTrue="1" operator="equal">
      <formula>"B"</formula>
    </cfRule>
    <cfRule type="cellIs" dxfId="1295" priority="35" stopIfTrue="1" operator="equal">
      <formula>"C"</formula>
    </cfRule>
    <cfRule type="cellIs" dxfId="1294" priority="34" stopIfTrue="1" operator="equal">
      <formula>"A DN"</formula>
    </cfRule>
  </conditionalFormatting>
  <conditionalFormatting sqref="K299:N362 AB30:AB362 A31:A362 H288:I301 Q299:X299 D299:G300 U300:W338 X300:X362 D301:D302 I302:I338 B320:C328 T321:T338 AE330:IZ330 AD331:IZ368 D333:D345 E336:H338 P339:W362">
    <cfRule type="cellIs" dxfId="1293" priority="103" stopIfTrue="1" operator="equal">
      <formula>"KXL"</formula>
    </cfRule>
  </conditionalFormatting>
  <conditionalFormatting sqref="K18:Z18 A8:M9 O8:S9 AF8:JB9 A10:XFD13 A14 AF14:JB14 A15:XFD17 AF18:XFD18 A18:I20">
    <cfRule type="cellIs" dxfId="1292" priority="49" stopIfTrue="1" operator="equal">
      <formula>"KXL"</formula>
    </cfRule>
  </conditionalFormatting>
  <conditionalFormatting sqref="L299:L362">
    <cfRule type="cellIs" dxfId="1291" priority="124" operator="equal">
      <formula>"B2"</formula>
    </cfRule>
    <cfRule type="cellIs" dxfId="1290" priority="123" operator="equal">
      <formula>"C"</formula>
    </cfRule>
    <cfRule type="cellIs" dxfId="1289" priority="122" operator="equal">
      <formula>"C1"</formula>
    </cfRule>
    <cfRule type="cellIs" dxfId="1288" priority="121" operator="equal">
      <formula>"C2"</formula>
    </cfRule>
    <cfRule type="cellIs" dxfId="1287" priority="120" operator="equal">
      <formula>"D"</formula>
    </cfRule>
    <cfRule type="cellIs" dxfId="1286" priority="119" operator="equal">
      <formula>"A DN"</formula>
    </cfRule>
    <cfRule type="cellIs" dxfId="1285" priority="125" operator="equal">
      <formula>"B1"</formula>
    </cfRule>
    <cfRule type="cellIs" dxfId="1281" priority="128" operator="greaterThan">
      <formula>B</formula>
    </cfRule>
    <cfRule type="cellIs" dxfId="1280" priority="127" operator="equal">
      <formula>"B1"</formula>
    </cfRule>
    <cfRule type="cellIs" dxfId="1279" priority="102" stopIfTrue="1" operator="equal">
      <formula>"D"</formula>
    </cfRule>
    <cfRule type="cellIs" dxfId="1278" priority="126" operator="equal">
      <formula>"B"</formula>
    </cfRule>
  </conditionalFormatting>
  <conditionalFormatting sqref="L310:L342">
    <cfRule type="cellIs" dxfId="1275" priority="152" operator="greaterThan">
      <formula>B</formula>
    </cfRule>
    <cfRule type="cellIs" dxfId="1274" priority="145" operator="equal">
      <formula>"C2"</formula>
    </cfRule>
    <cfRule type="cellIs" dxfId="1273" priority="144" operator="equal">
      <formula>"D"</formula>
    </cfRule>
    <cfRule type="cellIs" dxfId="1272" priority="143" operator="equal">
      <formula>"A DN"</formula>
    </cfRule>
    <cfRule type="cellIs" dxfId="1271" priority="147" operator="equal">
      <formula>"C"</formula>
    </cfRule>
    <cfRule type="cellIs" dxfId="1270" priority="148" operator="equal">
      <formula>"B2"</formula>
    </cfRule>
    <cfRule type="cellIs" dxfId="1269" priority="149" operator="equal">
      <formula>"B1"</formula>
    </cfRule>
    <cfRule type="cellIs" dxfId="1268" priority="150" operator="equal">
      <formula>"B"</formula>
    </cfRule>
    <cfRule type="cellIs" dxfId="1267" priority="146" operator="equal">
      <formula>"C1"</formula>
    </cfRule>
    <cfRule type="cellIs" dxfId="1266" priority="151" operator="equal">
      <formula>"B1"</formula>
    </cfRule>
  </conditionalFormatting>
  <conditionalFormatting sqref="L315:L328 L352:L362">
    <cfRule type="cellIs" dxfId="1263" priority="132" operator="equal">
      <formula>"D"</formula>
    </cfRule>
    <cfRule type="cellIs" dxfId="1262" priority="133" operator="equal">
      <formula>"C2"</formula>
    </cfRule>
    <cfRule type="cellIs" dxfId="1261" priority="134" operator="equal">
      <formula>"C1"</formula>
    </cfRule>
    <cfRule type="cellIs" dxfId="1260" priority="136" operator="equal">
      <formula>"B2"</formula>
    </cfRule>
    <cfRule type="cellIs" dxfId="1259" priority="137" operator="equal">
      <formula>"B1"</formula>
    </cfRule>
    <cfRule type="cellIs" dxfId="1258" priority="138" operator="equal">
      <formula>"B"</formula>
    </cfRule>
    <cfRule type="cellIs" dxfId="1257" priority="139" operator="equal">
      <formula>"B1"</formula>
    </cfRule>
    <cfRule type="cellIs" dxfId="1256" priority="140" operator="greaterThan">
      <formula>B</formula>
    </cfRule>
    <cfRule type="cellIs" dxfId="1255" priority="135" operator="equal">
      <formula>"C"</formula>
    </cfRule>
    <cfRule type="cellIs" dxfId="1254" priority="131" operator="equal">
      <formula>"A DN"</formula>
    </cfRule>
  </conditionalFormatting>
  <conditionalFormatting sqref="L329:L344">
    <cfRule type="cellIs" dxfId="1253" priority="111" operator="equal">
      <formula>"C"</formula>
    </cfRule>
    <cfRule type="cellIs" dxfId="1252" priority="110" operator="equal">
      <formula>"C1"</formula>
    </cfRule>
    <cfRule type="cellIs" dxfId="1250" priority="112" operator="equal">
      <formula>"B2"</formula>
    </cfRule>
    <cfRule type="cellIs" dxfId="1249" priority="116" operator="greaterThan">
      <formula>B</formula>
    </cfRule>
    <cfRule type="cellIs" dxfId="1248" priority="115" operator="equal">
      <formula>"B1"</formula>
    </cfRule>
    <cfRule type="cellIs" dxfId="1247" priority="114" operator="equal">
      <formula>"B"</formula>
    </cfRule>
    <cfRule type="cellIs" dxfId="1246" priority="113" operator="equal">
      <formula>"B1"</formula>
    </cfRule>
    <cfRule type="cellIs" dxfId="1245" priority="107" operator="equal">
      <formula>"A DN"</formula>
    </cfRule>
    <cfRule type="cellIs" dxfId="1244" priority="108" operator="equal">
      <formula>"D"</formula>
    </cfRule>
    <cfRule type="cellIs" dxfId="1243" priority="109" operator="equal">
      <formula>"C2"</formula>
    </cfRule>
  </conditionalFormatting>
  <conditionalFormatting sqref="L329:L352">
    <cfRule type="cellIs" dxfId="1242" priority="194" operator="equal">
      <formula>"C1"</formula>
    </cfRule>
    <cfRule type="cellIs" dxfId="1241" priority="193" operator="equal">
      <formula>"C2"</formula>
    </cfRule>
    <cfRule type="cellIs" dxfId="1240" priority="192" operator="equal">
      <formula>"D"</formula>
    </cfRule>
    <cfRule type="cellIs" dxfId="1239" priority="197" operator="equal">
      <formula>"B1"</formula>
    </cfRule>
    <cfRule type="cellIs" dxfId="1238" priority="198" operator="equal">
      <formula>"B"</formula>
    </cfRule>
    <cfRule type="cellIs" dxfId="1237" priority="199" operator="equal">
      <formula>"B1"</formula>
    </cfRule>
    <cfRule type="cellIs" dxfId="1236" priority="200" operator="greaterThan">
      <formula>B</formula>
    </cfRule>
    <cfRule type="cellIs" dxfId="1233" priority="191" operator="equal">
      <formula>"A DN"</formula>
    </cfRule>
    <cfRule type="cellIs" dxfId="1232" priority="196" operator="equal">
      <formula>"B2"</formula>
    </cfRule>
    <cfRule type="cellIs" dxfId="1231" priority="195" operator="equal">
      <formula>"C"</formula>
    </cfRule>
  </conditionalFormatting>
  <conditionalFormatting sqref="L329:L362">
    <cfRule type="cellIs" dxfId="1230" priority="180" operator="equal">
      <formula>"D"</formula>
    </cfRule>
    <cfRule type="cellIs" dxfId="1229" priority="181" operator="equal">
      <formula>"C2"</formula>
    </cfRule>
    <cfRule type="cellIs" dxfId="1228" priority="182" operator="equal">
      <formula>"C1"</formula>
    </cfRule>
    <cfRule type="cellIs" dxfId="1227" priority="183" operator="equal">
      <formula>"C"</formula>
    </cfRule>
    <cfRule type="cellIs" dxfId="1226" priority="184" operator="equal">
      <formula>"B2"</formula>
    </cfRule>
    <cfRule type="cellIs" dxfId="1225" priority="187" operator="equal">
      <formula>"B1"</formula>
    </cfRule>
    <cfRule type="cellIs" dxfId="1224" priority="188" operator="greaterThan">
      <formula>B</formula>
    </cfRule>
    <cfRule type="cellIs" dxfId="1222" priority="186" operator="equal">
      <formula>"B"</formula>
    </cfRule>
    <cfRule type="cellIs" dxfId="1220" priority="179" operator="equal">
      <formula>"A DN"</formula>
    </cfRule>
    <cfRule type="cellIs" dxfId="1219" priority="185" operator="equal">
      <formula>"B1"</formula>
    </cfRule>
  </conditionalFormatting>
  <conditionalFormatting sqref="L352:L362">
    <cfRule type="cellIs" dxfId="1218" priority="164" operator="greaterThan">
      <formula>B</formula>
    </cfRule>
    <cfRule type="cellIs" dxfId="1217" priority="163" operator="equal">
      <formula>"B1"</formula>
    </cfRule>
    <cfRule type="cellIs" dxfId="1216" priority="162" operator="equal">
      <formula>"B"</formula>
    </cfRule>
    <cfRule type="cellIs" dxfId="1215" priority="161" operator="equal">
      <formula>"B1"</formula>
    </cfRule>
    <cfRule type="cellIs" dxfId="1214" priority="160" operator="equal">
      <formula>"B2"</formula>
    </cfRule>
    <cfRule type="cellIs" dxfId="1213" priority="158" operator="equal">
      <formula>"C1"</formula>
    </cfRule>
    <cfRule type="cellIs" dxfId="1212" priority="157" operator="equal">
      <formula>"C2"</formula>
    </cfRule>
    <cfRule type="cellIs" dxfId="1211" priority="156" operator="equal">
      <formula>"D"</formula>
    </cfRule>
    <cfRule type="cellIs" dxfId="1210" priority="155" operator="equal">
      <formula>"A DN"</formula>
    </cfRule>
    <cfRule type="cellIs" dxfId="1209" priority="159" operator="equal">
      <formula>"C"</formula>
    </cfRule>
  </conditionalFormatting>
  <conditionalFormatting sqref="L355:L362">
    <cfRule type="cellIs" dxfId="1206" priority="168" operator="equal">
      <formula>"D"</formula>
    </cfRule>
    <cfRule type="cellIs" dxfId="1205" priority="170" operator="equal">
      <formula>"C1"</formula>
    </cfRule>
    <cfRule type="cellIs" dxfId="1204" priority="171" operator="equal">
      <formula>"C"</formula>
    </cfRule>
    <cfRule type="cellIs" dxfId="1203" priority="172" operator="equal">
      <formula>"B2"</formula>
    </cfRule>
    <cfRule type="cellIs" dxfId="1202" priority="173" operator="equal">
      <formula>"B1"</formula>
    </cfRule>
    <cfRule type="cellIs" dxfId="1201" priority="174" operator="equal">
      <formula>"B"</formula>
    </cfRule>
    <cfRule type="cellIs" dxfId="1200" priority="175" operator="equal">
      <formula>"B1"</formula>
    </cfRule>
    <cfRule type="cellIs" dxfId="1199" priority="176" operator="greaterThan">
      <formula>B</formula>
    </cfRule>
    <cfRule type="cellIs" dxfId="1198" priority="167" operator="equal">
      <formula>"A DN"</formula>
    </cfRule>
    <cfRule type="cellIs" dxfId="1197" priority="169" operator="equal">
      <formula>"C2"</formula>
    </cfRule>
  </conditionalFormatting>
  <conditionalFormatting sqref="M30:M31">
    <cfRule type="expression" dxfId="1194" priority="3167" stopIfTrue="1">
      <formula>"if=B1"</formula>
    </cfRule>
    <cfRule type="expression" dxfId="1193" priority="3168" stopIfTrue="1">
      <formula>#REF!</formula>
    </cfRule>
    <cfRule type="expression" dxfId="1192" priority="3169" stopIfTrue="1">
      <formula>#REF!</formula>
    </cfRule>
  </conditionalFormatting>
  <conditionalFormatting sqref="M30:M298">
    <cfRule type="cellIs" dxfId="1191" priority="3230" stopIfTrue="1" operator="equal">
      <formula>"B1"</formula>
    </cfRule>
    <cfRule type="cellIs" dxfId="1190" priority="3217" stopIfTrue="1" operator="equal">
      <formula>"C2"</formula>
    </cfRule>
    <cfRule type="cellIs" dxfId="1189" priority="3218" stopIfTrue="1" operator="equal">
      <formula>"C1"</formula>
    </cfRule>
    <cfRule type="cellIs" dxfId="1188" priority="3219" stopIfTrue="1" operator="equal">
      <formula>"C2"</formula>
    </cfRule>
    <cfRule type="cellIs" dxfId="1187" priority="3220" stopIfTrue="1" operator="equal">
      <formula>"D"</formula>
    </cfRule>
    <cfRule type="cellIs" dxfId="1186" priority="3221" stopIfTrue="1" operator="equal">
      <formula>"E"</formula>
    </cfRule>
    <cfRule type="cellIs" dxfId="1185" priority="3222" stopIfTrue="1" operator="equal">
      <formula>"A DN"</formula>
    </cfRule>
    <cfRule type="cellIs" dxfId="1184" priority="3223" stopIfTrue="1" operator="equal">
      <formula>"A DN"</formula>
    </cfRule>
    <cfRule type="cellIs" dxfId="1183" priority="3224" stopIfTrue="1" operator="equal">
      <formula>"E"</formula>
    </cfRule>
    <cfRule type="cellIs" dxfId="1182" priority="3225" stopIfTrue="1" operator="equal">
      <formula>"D"</formula>
    </cfRule>
    <cfRule type="cellIs" dxfId="1181" priority="3226" stopIfTrue="1" operator="equal">
      <formula>"D1"</formula>
    </cfRule>
    <cfRule type="cellIs" dxfId="1180" priority="3227" stopIfTrue="1" operator="equal">
      <formula>"C2"</formula>
    </cfRule>
    <cfRule type="cellIs" dxfId="1179" priority="3228" stopIfTrue="1" operator="equal">
      <formula>"C1"</formula>
    </cfRule>
    <cfRule type="cellIs" dxfId="1178" priority="3229" stopIfTrue="1" operator="equal">
      <formula>"B2"</formula>
    </cfRule>
    <cfRule type="expression" dxfId="1177" priority="3231" stopIfTrue="1">
      <formula>#REF!</formula>
    </cfRule>
    <cfRule type="cellIs" dxfId="1176" priority="3232" stopIfTrue="1" operator="equal">
      <formula>"D"</formula>
    </cfRule>
    <cfRule type="cellIs" dxfId="1175" priority="3233" stopIfTrue="1" operator="equal">
      <formula>"B1"</formula>
    </cfRule>
    <cfRule type="expression" dxfId="1174" priority="3234" stopIfTrue="1">
      <formula>#REF!</formula>
    </cfRule>
    <cfRule type="cellIs" dxfId="1173" priority="3235" stopIfTrue="1" operator="equal">
      <formula>"B2"</formula>
    </cfRule>
    <cfRule type="expression" dxfId="1172" priority="3236" stopIfTrue="1">
      <formula>#REF!</formula>
    </cfRule>
  </conditionalFormatting>
  <conditionalFormatting sqref="M32:M102 M114:M284">
    <cfRule type="expression" dxfId="1171" priority="212" stopIfTrue="1">
      <formula>$B21</formula>
    </cfRule>
    <cfRule type="expression" dxfId="1170" priority="211" stopIfTrue="1">
      <formula>"if=B1"</formula>
    </cfRule>
    <cfRule type="expression" dxfId="1169" priority="213" stopIfTrue="1">
      <formula>B21</formula>
    </cfRule>
  </conditionalFormatting>
  <conditionalFormatting sqref="M103:M110">
    <cfRule type="expression" dxfId="1168" priority="3390" stopIfTrue="1">
      <formula>B95</formula>
    </cfRule>
    <cfRule type="expression" dxfId="1167" priority="3389" stopIfTrue="1">
      <formula>$B95</formula>
    </cfRule>
  </conditionalFormatting>
  <conditionalFormatting sqref="M103:M113">
    <cfRule type="expression" dxfId="1166" priority="3385" stopIfTrue="1">
      <formula>"if=B1"</formula>
    </cfRule>
  </conditionalFormatting>
  <conditionalFormatting sqref="M111:M113">
    <cfRule type="expression" dxfId="1165" priority="3387" stopIfTrue="1">
      <formula>B285</formula>
    </cfRule>
    <cfRule type="expression" dxfId="1164" priority="3386" stopIfTrue="1">
      <formula>$B285</formula>
    </cfRule>
  </conditionalFormatting>
  <conditionalFormatting sqref="M180:M189">
    <cfRule type="expression" dxfId="1163" priority="252" stopIfTrue="1">
      <formula>B170</formula>
    </cfRule>
    <cfRule type="expression" dxfId="1162" priority="251" stopIfTrue="1">
      <formula>$B170</formula>
    </cfRule>
  </conditionalFormatting>
  <conditionalFormatting sqref="M180:M190">
    <cfRule type="expression" dxfId="1161" priority="247" stopIfTrue="1">
      <formula>"if=B1"</formula>
    </cfRule>
  </conditionalFormatting>
  <conditionalFormatting sqref="M180:M284">
    <cfRule type="cellIs" dxfId="1160" priority="263" stopIfTrue="1" operator="equal">
      <formula>"C2"</formula>
    </cfRule>
    <cfRule type="cellIs" dxfId="1159" priority="264" stopIfTrue="1" operator="equal">
      <formula>"C1"</formula>
    </cfRule>
    <cfRule type="cellIs" dxfId="1158" priority="265" stopIfTrue="1" operator="equal">
      <formula>"B2"</formula>
    </cfRule>
    <cfRule type="cellIs" dxfId="1157" priority="266" stopIfTrue="1" operator="equal">
      <formula>"B1"</formula>
    </cfRule>
    <cfRule type="expression" dxfId="1156" priority="267" stopIfTrue="1">
      <formula>B170</formula>
    </cfRule>
    <cfRule type="cellIs" dxfId="1155" priority="268" stopIfTrue="1" operator="equal">
      <formula>"D"</formula>
    </cfRule>
    <cfRule type="cellIs" dxfId="1154" priority="254" stopIfTrue="1" operator="equal">
      <formula>"C1"</formula>
    </cfRule>
    <cfRule type="cellIs" dxfId="1153" priority="269" stopIfTrue="1" operator="equal">
      <formula>"B1"</formula>
    </cfRule>
    <cfRule type="expression" dxfId="1152" priority="270" stopIfTrue="1">
      <formula>B170</formula>
    </cfRule>
    <cfRule type="cellIs" dxfId="1151" priority="271" stopIfTrue="1" operator="equal">
      <formula>"B2"</formula>
    </cfRule>
    <cfRule type="expression" dxfId="1150" priority="272" stopIfTrue="1">
      <formula>B170</formula>
    </cfRule>
    <cfRule type="cellIs" dxfId="1149" priority="253" stopIfTrue="1" operator="equal">
      <formula>"C2"</formula>
    </cfRule>
    <cfRule type="cellIs" dxfId="1148" priority="255" stopIfTrue="1" operator="equal">
      <formula>"C2"</formula>
    </cfRule>
    <cfRule type="cellIs" dxfId="1147" priority="256" stopIfTrue="1" operator="equal">
      <formula>"D"</formula>
    </cfRule>
    <cfRule type="cellIs" dxfId="1146" priority="257" stopIfTrue="1" operator="equal">
      <formula>"E"</formula>
    </cfRule>
    <cfRule type="cellIs" dxfId="1145" priority="258" stopIfTrue="1" operator="equal">
      <formula>"A DN"</formula>
    </cfRule>
    <cfRule type="cellIs" dxfId="1144" priority="259" stopIfTrue="1" operator="equal">
      <formula>"A DN"</formula>
    </cfRule>
    <cfRule type="cellIs" dxfId="1143" priority="260" stopIfTrue="1" operator="equal">
      <formula>"E"</formula>
    </cfRule>
    <cfRule type="cellIs" dxfId="1142" priority="261" stopIfTrue="1" operator="equal">
      <formula>"D"</formula>
    </cfRule>
    <cfRule type="cellIs" dxfId="1141" priority="262" stopIfTrue="1" operator="equal">
      <formula>"D1"</formula>
    </cfRule>
  </conditionalFormatting>
  <conditionalFormatting sqref="M190">
    <cfRule type="expression" dxfId="1140" priority="248" stopIfTrue="1">
      <formula>#REF!</formula>
    </cfRule>
    <cfRule type="expression" dxfId="1139" priority="249" stopIfTrue="1">
      <formula>#REF!</formula>
    </cfRule>
  </conditionalFormatting>
  <conditionalFormatting sqref="M285:M287">
    <cfRule type="expression" dxfId="1138" priority="3383" stopIfTrue="1">
      <formula>$B92</formula>
    </cfRule>
    <cfRule type="expression" dxfId="1137" priority="3384" stopIfTrue="1">
      <formula>B92</formula>
    </cfRule>
  </conditionalFormatting>
  <conditionalFormatting sqref="M285:M298">
    <cfRule type="expression" dxfId="1136" priority="3240" stopIfTrue="1">
      <formula>"if=B1"</formula>
    </cfRule>
  </conditionalFormatting>
  <conditionalFormatting sqref="M288:M298">
    <cfRule type="cellIs" dxfId="1135" priority="3268" stopIfTrue="1" operator="equal">
      <formula>"D1"</formula>
    </cfRule>
    <cfRule type="cellIs" dxfId="1134" priority="3267" stopIfTrue="1" operator="equal">
      <formula>"D"</formula>
    </cfRule>
    <cfRule type="cellIs" dxfId="1133" priority="3266" stopIfTrue="1" operator="equal">
      <formula>"E"</formula>
    </cfRule>
    <cfRule type="cellIs" dxfId="1132" priority="3265" stopIfTrue="1" operator="equal">
      <formula>"A DN"</formula>
    </cfRule>
    <cfRule type="cellIs" dxfId="1131" priority="3263" stopIfTrue="1" operator="equal">
      <formula>"E"</formula>
    </cfRule>
    <cfRule type="expression" dxfId="1130" priority="3242" stopIfTrue="1">
      <formula>B274</formula>
    </cfRule>
    <cfRule type="cellIs" dxfId="1129" priority="3261" stopIfTrue="1" operator="equal">
      <formula>"C2"</formula>
    </cfRule>
    <cfRule type="cellIs" dxfId="1128" priority="3260" stopIfTrue="1" operator="equal">
      <formula>"C1"</formula>
    </cfRule>
    <cfRule type="cellIs" dxfId="1127" priority="3264" stopIfTrue="1" operator="equal">
      <formula>"A DN"</formula>
    </cfRule>
    <cfRule type="cellIs" dxfId="1126" priority="3259" stopIfTrue="1" operator="equal">
      <formula>"C2"</formula>
    </cfRule>
    <cfRule type="cellIs" dxfId="1125" priority="3277" stopIfTrue="1" operator="equal">
      <formula>"B1"</formula>
    </cfRule>
    <cfRule type="cellIs" dxfId="1124" priority="3269" stopIfTrue="1" operator="equal">
      <formula>"C2"</formula>
    </cfRule>
    <cfRule type="cellIs" dxfId="1123" priority="3270" stopIfTrue="1" operator="equal">
      <formula>"C1"</formula>
    </cfRule>
    <cfRule type="cellIs" dxfId="1122" priority="3271" stopIfTrue="1" operator="equal">
      <formula>"B2"</formula>
    </cfRule>
    <cfRule type="cellIs" dxfId="1121" priority="3272" stopIfTrue="1" operator="equal">
      <formula>"B1"</formula>
    </cfRule>
    <cfRule type="expression" dxfId="1120" priority="3273" stopIfTrue="1">
      <formula>B275</formula>
    </cfRule>
    <cfRule type="cellIs" dxfId="1119" priority="3274" stopIfTrue="1" operator="equal">
      <formula>"D"</formula>
    </cfRule>
    <cfRule type="expression" dxfId="1118" priority="3278" stopIfTrue="1">
      <formula>B275</formula>
    </cfRule>
    <cfRule type="cellIs" dxfId="1117" priority="3281" stopIfTrue="1" operator="equal">
      <formula>"B2"</formula>
    </cfRule>
    <cfRule type="expression" dxfId="1116" priority="3282" stopIfTrue="1">
      <formula>B275</formula>
    </cfRule>
    <cfRule type="cellIs" dxfId="1115" priority="3262" stopIfTrue="1" operator="equal">
      <formula>"D"</formula>
    </cfRule>
    <cfRule type="expression" dxfId="1114" priority="3241" stopIfTrue="1">
      <formula>$B274</formula>
    </cfRule>
  </conditionalFormatting>
  <conditionalFormatting sqref="M32:O102 J103:O284 A21:XFD24 A25 AD25:IZ25 A26:XFD28 A29:AB29 AD29:IZ34 A30:C30 E30:O30 Q30:X30 K31:O31 Q31:W31 E31:I32 B31:C34 X31:X34 J31:J102 R32:W34 K32:L100 Q32:Q100 F33:I34 AF35:IZ35 U35:X42 AD35:AD43 E36:I36 B36:C43 AE36:IZ43 E37:G38 F39:G40 E41:G42 F43:G43 U43:W100 X43:X296 AD44:IZ49 E46:G50 B46:C54 AD50 AF50:IZ50 F51:G51 AD51:IZ68 E52:G52 F53:G54 S53:S71 E57:I59 B57:C68 E60:G61 H60:I66 F62:G62 E63:G64 F65:G66 F67:I68 T67:T68 H69 R70:R71 T70:T71 E70:I74 B70:C81 AD70:IZ81 R72:T78 F75:I75 E76:I76 F77:I77 E78:I81 R79:R81 T79:T81 S79:S100 H82 B83:C83 E83:G83 AD83:IZ83 H83:I84 R83:R100 T83:T100 D84:G84 AD84 AF84:IZ84 F85:I85 B85:C100 E86:I87 E88:G89 H88:I91 F90:G91 F92:I92 E93:I93 F94:I96 F97:G98 H97:I99 E99:G99 F100:I100 L101:L102 F103:I103 AD103:IZ103 B103:C129 R103:T129 Q103:Q227 U103:W227 E104:G104 AE104:IZ109 AD104:AD120 H104:I129 F105:G108 E109:G109 AF110:IZ110 F110:G120 AE111:IZ120 E121:G125 AD121:IZ129 F126:G129 H130 S130 E131:G133 AE131:IZ164 H131:I196 R131:T227 B131:C284 F134:G134 E135:G138 F139:G139 E140:G143 F144:G145 E146:G148 F149:G150 E151:G156 F157:G164 E165:G176 AD165:IZ201 F177:G177 E178:G178 F179:G179 E180:G190 F191:G191 E192:G195 F196:G196 E197:I199 E200:G208 H200:I222 AE202:IZ206 AD202:AD207 AF207:IZ207 AD208:IZ214 F209:G209 E210:G219 AE215:IZ215 AD215:AD227 AF216:IZ216 AE217:IZ217 AF218:IZ218 AE219:IZ227 F220:G220 E221:G222 E223:I233 AD228:IZ228 Q228:W287 AE229:IZ236 AD229:AD257 E234:G235 H234:I284 F236:G236 AF237:IZ237 E237:G252 AE238:IZ257 F253:G258 AD258:IZ258 AD259 AF259:IZ259 E259:G271 AD260:IZ267 AD268 AF268:IZ268 AD269:IZ272 G272:G284 AD273:AD284 AF273:IZ284 D285 F285:O287 E288:G294 U288:W296 K288:O298 J288:J362 F295:G298 U297:X298 A363:AC366 A367:U367 A368 K368 P368 U368 A369:XFD375 A376 K376 P376 U376 AD376:IZ376 A377:XFD65623">
    <cfRule type="cellIs" dxfId="1113" priority="243" stopIfTrue="1" operator="equal">
      <formula>"KXL"</formula>
    </cfRule>
  </conditionalFormatting>
  <conditionalFormatting sqref="R57:R69 B69:C69 F69:G69 I69 T69 AD69:IZ69 AD82:IZ82 AD130:IZ130 AD131:AD164">
    <cfRule type="cellIs" dxfId="1112" priority="238" stopIfTrue="1" operator="equal">
      <formula>"A DN"</formula>
    </cfRule>
  </conditionalFormatting>
  <conditionalFormatting sqref="R35:T52 D44:G45">
    <cfRule type="cellIs" dxfId="1111" priority="220" stopIfTrue="1" operator="equal">
      <formula>"C"</formula>
    </cfRule>
    <cfRule type="cellIs" dxfId="1110" priority="219" stopIfTrue="1" operator="equal">
      <formula>"A DN"</formula>
    </cfRule>
    <cfRule type="cellIs" dxfId="1109" priority="218" stopIfTrue="1" operator="equal">
      <formula>"KXL"</formula>
    </cfRule>
    <cfRule type="cellIs" dxfId="1108" priority="221" stopIfTrue="1" operator="equal">
      <formula>"B"</formula>
    </cfRule>
  </conditionalFormatting>
  <conditionalFormatting sqref="Y19:AC19 AA19:JB20">
    <cfRule type="cellIs" dxfId="1107" priority="32" stopIfTrue="1" operator="equal">
      <formula>"B"</formula>
    </cfRule>
    <cfRule type="cellIs" dxfId="1106" priority="31" stopIfTrue="1" operator="equal">
      <formula>"C"</formula>
    </cfRule>
    <cfRule type="cellIs" dxfId="1105" priority="29" stopIfTrue="1" operator="equal">
      <formula>"KXL"</formula>
    </cfRule>
    <cfRule type="cellIs" dxfId="1104" priority="30" stopIfTrue="1" operator="equal">
      <formula>"A DN"</formula>
    </cfRule>
  </conditionalFormatting>
  <conditionalFormatting sqref="Y18:AD18">
    <cfRule type="cellIs" dxfId="1103" priority="41" stopIfTrue="1" operator="equal">
      <formula>"KXL"</formula>
    </cfRule>
    <cfRule type="cellIs" dxfId="1102" priority="44" stopIfTrue="1" operator="equal">
      <formula>"B"</formula>
    </cfRule>
    <cfRule type="cellIs" dxfId="1101" priority="43" stopIfTrue="1" operator="equal">
      <formula>"C"</formula>
    </cfRule>
    <cfRule type="cellIs" dxfId="1100" priority="42" stopIfTrue="1" operator="equal">
      <formula>"A DN"</formula>
    </cfRule>
  </conditionalFormatting>
  <conditionalFormatting sqref="AA5">
    <cfRule type="cellIs" dxfId="1099" priority="5" stopIfTrue="1" operator="equal">
      <formula>"KXL"</formula>
    </cfRule>
    <cfRule type="cellIs" dxfId="1098" priority="6" stopIfTrue="1" operator="equal">
      <formula>"A DN"</formula>
    </cfRule>
    <cfRule type="cellIs" dxfId="1097" priority="7" stopIfTrue="1" operator="equal">
      <formula>"C"</formula>
    </cfRule>
    <cfRule type="cellIs" dxfId="1096" priority="8" stopIfTrue="1" operator="equal">
      <formula>"B"</formula>
    </cfRule>
  </conditionalFormatting>
  <conditionalFormatting sqref="AB18">
    <cfRule type="cellIs" dxfId="1095" priority="2" stopIfTrue="1" operator="equal">
      <formula>"A DN"</formula>
    </cfRule>
    <cfRule type="cellIs" dxfId="1094" priority="3" stopIfTrue="1" operator="equal">
      <formula>"C"</formula>
    </cfRule>
    <cfRule type="cellIs" dxfId="1093" priority="4" stopIfTrue="1" operator="equal">
      <formula>"B"</formula>
    </cfRule>
    <cfRule type="cellIs" dxfId="1092" priority="1" stopIfTrue="1" operator="equal">
      <formula>"KXL"</formula>
    </cfRule>
  </conditionalFormatting>
  <conditionalFormatting sqref="AB30:AB362 A31:A362 H288:I301 Q299:X299 D299:G300 K299:N362 U300:W338 X300:X362 D301:D302 I302:I338 B320:C328 T321:T338 AE330:IZ330 AD331:IZ368 D333:D345 E336:H338 P339:W362">
    <cfRule type="cellIs" dxfId="1091" priority="104" stopIfTrue="1" operator="equal">
      <formula>"A DN"</formula>
    </cfRule>
    <cfRule type="cellIs" dxfId="1090" priority="105" stopIfTrue="1" operator="equal">
      <formula>"C"</formula>
    </cfRule>
    <cfRule type="cellIs" dxfId="1089" priority="106" stopIfTrue="1" operator="equal">
      <formula>"B"</formula>
    </cfRule>
  </conditionalFormatting>
  <conditionalFormatting sqref="AD85:IZ101 D101:I101 K101 Q101:W101">
    <cfRule type="cellIs" dxfId="1088" priority="206" stopIfTrue="1" operator="equal">
      <formula>"B"</formula>
    </cfRule>
    <cfRule type="cellIs" dxfId="1087" priority="205" stopIfTrue="1" operator="equal">
      <formula>"C"</formula>
    </cfRule>
    <cfRule type="cellIs" dxfId="1086" priority="204" stopIfTrue="1" operator="equal">
      <formula>"A DN"</formula>
    </cfRule>
    <cfRule type="cellIs" dxfId="1085" priority="203" stopIfTrue="1" operator="equal">
      <formula>"KXL"</formula>
    </cfRule>
  </conditionalFormatting>
  <conditionalFormatting sqref="AD285:IZ311 P299:P338 T300:T319 Q300:S338 B303:C315 AE312:IZ312 AD313:IZ329">
    <cfRule type="cellIs" dxfId="1084" priority="101" stopIfTrue="1" operator="equal">
      <formula>"B"</formula>
    </cfRule>
    <cfRule type="cellIs" dxfId="1083" priority="98" stopIfTrue="1" operator="equal">
      <formula>"KXL"</formula>
    </cfRule>
    <cfRule type="cellIs" dxfId="1082" priority="99" stopIfTrue="1" operator="equal">
      <formula>"A DN"</formula>
    </cfRule>
    <cfRule type="cellIs" dxfId="1081" priority="100" stopIfTrue="1" operator="equal">
      <formula>"C"</formula>
    </cfRule>
  </conditionalFormatting>
  <conditionalFormatting sqref="AG1:IW7">
    <cfRule type="cellIs" dxfId="1080" priority="28" stopIfTrue="1" operator="equal">
      <formula>"B"</formula>
    </cfRule>
    <cfRule type="cellIs" dxfId="1079" priority="27" stopIfTrue="1" operator="equal">
      <formula>"C"</formula>
    </cfRule>
    <cfRule type="cellIs" dxfId="1078" priority="26" stopIfTrue="1" operator="equal">
      <formula>"A DN"</formula>
    </cfRule>
    <cfRule type="cellIs" dxfId="1077" priority="25" stopIfTrue="1" operator="equal">
      <formula>"KXL"</formula>
    </cfRule>
  </conditionalFormatting>
  <printOptions horizontalCentered="1"/>
  <pageMargins left="0.21" right="0.17" top="0.36" bottom="0.4" header="0.17" footer="0.17"/>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cellIs" priority="130" operator="equal" id="{F3BF6EF0-C9B8-442A-A4ED-10D88B9412F4}">
            <xm:f>'111'!B276</xm:f>
            <x14:dxf>
              <font>
                <color rgb="FF9C0006"/>
              </font>
            </x14:dxf>
          </x14:cfRule>
          <x14:cfRule type="expression" priority="129" id="{9D81B779-00AB-4EFB-85C8-699B2FE08DA2}">
            <xm:f>'111'!B276</xm:f>
            <x14:dxf>
              <fill>
                <patternFill>
                  <bgColor rgb="FFFFFF00"/>
                </patternFill>
              </fill>
            </x14:dxf>
          </x14:cfRule>
          <x14:cfRule type="containsText" priority="5255" operator="containsText" id="{6D88B1C1-288D-4C88-B464-22B6B1ECE964}">
            <xm:f>NOT(ISERROR(SEARCH(B,'111'!#REF!)))</xm:f>
            <xm:f>B</xm:f>
            <x14:dxf>
              <fill>
                <patternFill>
                  <bgColor theme="9" tint="0.59996337778862885"/>
                </patternFill>
              </fill>
            </x14:dxf>
          </x14:cfRule>
          <xm:sqref>L299:L362</xm:sqref>
        </x14:conditionalFormatting>
        <x14:conditionalFormatting xmlns:xm="http://schemas.microsoft.com/office/excel/2006/main">
          <x14:cfRule type="cellIs" priority="154" operator="equal" id="{46ECE27F-18B7-4C96-B896-3F501CF648E3}">
            <xm:f>'111'!B284</xm:f>
            <x14:dxf>
              <font>
                <color rgb="FF9C0006"/>
              </font>
            </x14:dxf>
          </x14:cfRule>
          <x14:cfRule type="expression" priority="153" id="{D236896C-F335-4628-90CA-02091B30052A}">
            <xm:f>'111'!B284</xm:f>
            <x14:dxf>
              <fill>
                <patternFill>
                  <bgColor rgb="FFFFFF00"/>
                </patternFill>
              </fill>
            </x14:dxf>
          </x14:cfRule>
          <xm:sqref>L310:L342 L355:L362</xm:sqref>
        </x14:conditionalFormatting>
        <x14:conditionalFormatting xmlns:xm="http://schemas.microsoft.com/office/excel/2006/main">
          <x14:cfRule type="expression" priority="141" id="{3436735F-7E6E-4078-AF58-DCEFDBED4DCA}">
            <xm:f>'111'!B288</xm:f>
            <x14:dxf>
              <fill>
                <patternFill>
                  <bgColor rgb="FFFFFF00"/>
                </patternFill>
              </fill>
            </x14:dxf>
          </x14:cfRule>
          <x14:cfRule type="cellIs" priority="142" operator="equal" id="{4BC76E7C-2EAF-4223-9207-F913E81B0605}">
            <xm:f>'111'!B288</xm:f>
            <x14:dxf>
              <font>
                <color rgb="FF9C0006"/>
              </font>
            </x14:dxf>
          </x14:cfRule>
          <xm:sqref>L315:L328 L352:L354</xm:sqref>
        </x14:conditionalFormatting>
        <x14:conditionalFormatting xmlns:xm="http://schemas.microsoft.com/office/excel/2006/main">
          <x14:cfRule type="expression" priority="117" id="{7DE1770D-B153-40C3-A0C4-3086D0DEFD42}">
            <xm:f>'111'!#REF!</xm:f>
            <x14:dxf>
              <fill>
                <patternFill>
                  <bgColor rgb="FFFFFF00"/>
                </patternFill>
              </fill>
            </x14:dxf>
          </x14:cfRule>
          <xm:sqref>L329:L344</xm:sqref>
        </x14:conditionalFormatting>
        <x14:conditionalFormatting xmlns:xm="http://schemas.microsoft.com/office/excel/2006/main">
          <x14:cfRule type="expression" priority="201" id="{7DCAFF02-6ADD-48E0-9173-30D3134EA030}">
            <xm:f>'111'!B304</xm:f>
            <x14:dxf>
              <fill>
                <patternFill>
                  <bgColor rgb="FFFFFF00"/>
                </patternFill>
              </fill>
            </x14:dxf>
          </x14:cfRule>
          <x14:cfRule type="cellIs" priority="202" operator="equal" id="{5403EB84-5D1B-4526-975E-417BFA84C883}">
            <xm:f>'111'!B304</xm:f>
            <x14:dxf>
              <font>
                <color rgb="FF9C0006"/>
              </font>
            </x14:dxf>
          </x14:cfRule>
          <xm:sqref>L329:L352</xm:sqref>
        </x14:conditionalFormatting>
        <x14:conditionalFormatting xmlns:xm="http://schemas.microsoft.com/office/excel/2006/main">
          <x14:cfRule type="expression" priority="189" id="{7E69C7BC-C3A7-4217-99BB-FBCCB72F3615}">
            <xm:f>'111'!#REF!</xm:f>
            <x14:dxf>
              <fill>
                <patternFill>
                  <bgColor rgb="FFFFFF00"/>
                </patternFill>
              </fill>
            </x14:dxf>
          </x14:cfRule>
          <x14:cfRule type="cellIs" priority="118" operator="equal" id="{931B2269-2D52-4373-BF04-D803C9C42010}">
            <xm:f>'111'!#REF!</xm:f>
            <x14:dxf>
              <font>
                <color rgb="FF9C0006"/>
              </font>
            </x14:dxf>
          </x14:cfRule>
          <xm:sqref>L329:L362</xm:sqref>
        </x14:conditionalFormatting>
        <x14:conditionalFormatting xmlns:xm="http://schemas.microsoft.com/office/excel/2006/main">
          <x14:cfRule type="cellIs" priority="166" operator="equal" id="{BC7CBCBD-1DEA-44B4-98AE-574FA4FDA029}">
            <xm:f>'111'!B328</xm:f>
            <x14:dxf>
              <font>
                <color rgb="FF9C0006"/>
              </font>
            </x14:dxf>
          </x14:cfRule>
          <x14:cfRule type="expression" priority="165" id="{339F0BAC-E7F7-485A-A7C2-2368183C99F7}">
            <xm:f>'111'!B328</xm:f>
            <x14:dxf>
              <fill>
                <patternFill>
                  <bgColor rgb="FFFFFF00"/>
                </patternFill>
              </fill>
            </x14:dxf>
          </x14:cfRule>
          <xm:sqref>L352:L362</xm:sqref>
        </x14:conditionalFormatting>
        <x14:conditionalFormatting xmlns:xm="http://schemas.microsoft.com/office/excel/2006/main">
          <x14:cfRule type="expression" priority="177" id="{05871A9C-C1DF-44C2-B10F-67F5FBDCB052}">
            <xm:f>'111'!B327</xm:f>
            <x14:dxf>
              <fill>
                <patternFill>
                  <bgColor rgb="FFFFFF00"/>
                </patternFill>
              </fill>
            </x14:dxf>
          </x14:cfRule>
          <x14:cfRule type="cellIs" priority="178" operator="equal" id="{65D4F21C-2B9D-4F14-B971-AC5D11EC55FC}">
            <xm:f>'111'!B327</xm:f>
            <x14:dxf>
              <font>
                <color rgb="FF9C0006"/>
              </font>
            </x14:dxf>
          </x14:cfRule>
          <xm:sqref>L355:L362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426"/>
  <sheetViews>
    <sheetView topLeftCell="A350" zoomScale="120" zoomScaleNormal="120" workbookViewId="0">
      <selection activeCell="A357" sqref="A357:XFD367"/>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09" hidden="1" customWidth="1"/>
    <col min="8" max="8" width="11.28515625" style="2" hidden="1" customWidth="1"/>
    <col min="9" max="9" width="5.28515625" style="2" hidden="1" customWidth="1"/>
    <col min="10" max="10" width="18" style="2" customWidth="1"/>
    <col min="11" max="11" width="9.5703125" style="79" hidden="1" customWidth="1"/>
    <col min="12" max="12" width="14.85546875" style="354"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59" hidden="1" customWidth="1"/>
    <col min="19" max="19" width="11.85546875" style="2" hidden="1" customWidth="1"/>
    <col min="20" max="20" width="5.28515625" style="389" hidden="1" customWidth="1"/>
    <col min="21" max="21" width="11.28515625" style="2" hidden="1" customWidth="1"/>
    <col min="22" max="22" width="11.85546875" style="589" hidden="1" customWidth="1"/>
    <col min="23" max="23" width="18.85546875" style="2" hidden="1" customWidth="1"/>
    <col min="24" max="24" width="14" style="2" hidden="1" customWidth="1"/>
    <col min="25" max="25" width="14.85546875" style="2" hidden="1" customWidth="1"/>
    <col min="26" max="26" width="13.5703125" style="2" customWidth="1"/>
    <col min="27" max="27" width="12.85546875" style="2" customWidth="1"/>
    <col min="28" max="28" width="17.140625" style="2" customWidth="1"/>
    <col min="29" max="29" width="3.85546875" style="2" customWidth="1"/>
    <col min="30" max="30" width="20.28515625" style="96" customWidth="1"/>
    <col min="31" max="31" width="23.5703125" style="219" bestFit="1" customWidth="1"/>
    <col min="32" max="32" width="12.7109375" style="2" customWidth="1"/>
    <col min="33" max="33" width="17.85546875" style="2" customWidth="1"/>
    <col min="34" max="34" width="10.42578125" style="151" bestFit="1" customWidth="1"/>
    <col min="35" max="16384" width="9.140625" style="2"/>
  </cols>
  <sheetData>
    <row r="1" spans="1:34" s="670" customFormat="1">
      <c r="A1" s="1557" t="s">
        <v>492</v>
      </c>
      <c r="B1" s="1557"/>
      <c r="C1" s="1557"/>
      <c r="D1" s="1557"/>
      <c r="E1" s="1557"/>
      <c r="F1" s="1557"/>
      <c r="G1" s="1557"/>
      <c r="H1" s="1557"/>
      <c r="I1" s="1557"/>
      <c r="J1" s="1557"/>
      <c r="K1" s="669"/>
      <c r="L1" s="669"/>
      <c r="M1" s="669"/>
      <c r="O1" s="671"/>
      <c r="P1" s="671"/>
      <c r="Q1" s="671"/>
      <c r="R1" s="671"/>
      <c r="S1" s="671"/>
      <c r="T1" s="672"/>
      <c r="U1" s="1555" t="s">
        <v>849</v>
      </c>
      <c r="V1" s="1555"/>
      <c r="W1" s="1555"/>
      <c r="X1" s="1555"/>
      <c r="Y1" s="1555"/>
      <c r="Z1" s="1555"/>
      <c r="AA1" s="1555"/>
      <c r="AB1" s="1555"/>
      <c r="AC1" s="1555"/>
      <c r="AD1" s="1555"/>
      <c r="AE1" s="671"/>
    </row>
    <row r="2" spans="1:34" s="670" customFormat="1" ht="14.25">
      <c r="A2" s="1555" t="s">
        <v>1563</v>
      </c>
      <c r="B2" s="1555"/>
      <c r="C2" s="1555"/>
      <c r="D2" s="1555"/>
      <c r="E2" s="1555"/>
      <c r="F2" s="1555"/>
      <c r="G2" s="1555"/>
      <c r="H2" s="1555"/>
      <c r="I2" s="1555"/>
      <c r="J2" s="1555"/>
      <c r="K2" s="673"/>
      <c r="L2" s="673"/>
      <c r="M2" s="673"/>
      <c r="O2" s="671"/>
      <c r="P2" s="671"/>
      <c r="Q2" s="671"/>
      <c r="R2" s="671"/>
      <c r="S2" s="671"/>
      <c r="T2" s="671"/>
      <c r="U2" s="671"/>
      <c r="V2" s="671"/>
      <c r="W2" s="671"/>
      <c r="X2" s="671"/>
      <c r="Y2" s="671"/>
      <c r="Z2" s="1555" t="s">
        <v>2179</v>
      </c>
      <c r="AA2" s="1555"/>
      <c r="AB2" s="1555"/>
      <c r="AC2" s="1555"/>
      <c r="AD2" s="1555"/>
      <c r="AE2" s="671"/>
    </row>
    <row r="3" spans="1:34" s="670" customFormat="1" ht="15" customHeight="1">
      <c r="A3" s="1555" t="s">
        <v>1564</v>
      </c>
      <c r="B3" s="1555"/>
      <c r="C3" s="1555"/>
      <c r="D3" s="1555"/>
      <c r="E3" s="1555"/>
      <c r="F3" s="1555"/>
      <c r="G3" s="1555"/>
      <c r="H3" s="1555"/>
      <c r="I3" s="1555"/>
      <c r="J3" s="1555"/>
      <c r="K3" s="1555"/>
      <c r="L3" s="1555"/>
      <c r="M3" s="1555"/>
      <c r="O3" s="671"/>
      <c r="P3" s="671"/>
      <c r="Q3" s="671"/>
      <c r="R3" s="671"/>
      <c r="S3" s="671"/>
      <c r="T3" s="671"/>
      <c r="U3" s="671"/>
      <c r="V3" s="671"/>
      <c r="W3" s="671"/>
      <c r="X3" s="671"/>
      <c r="Y3" s="671"/>
      <c r="Z3" s="671"/>
      <c r="AA3" s="671"/>
      <c r="AB3" s="1555" t="s">
        <v>2180</v>
      </c>
      <c r="AC3" s="1555"/>
      <c r="AD3" s="1555"/>
      <c r="AE3" s="671"/>
    </row>
    <row r="4" spans="1:34" s="670" customFormat="1" ht="16.5" customHeight="1">
      <c r="A4" s="1555"/>
      <c r="B4" s="1555"/>
      <c r="C4" s="1555"/>
      <c r="D4" s="1555"/>
      <c r="E4" s="1555"/>
      <c r="F4" s="1555"/>
      <c r="G4" s="1555"/>
      <c r="H4" s="1555"/>
      <c r="I4" s="1555"/>
      <c r="J4" s="1555"/>
      <c r="K4" s="1555"/>
      <c r="L4" s="1555"/>
      <c r="M4" s="1555"/>
      <c r="N4" s="674"/>
      <c r="O4" s="675"/>
      <c r="P4" s="669"/>
      <c r="Q4" s="669"/>
      <c r="R4" s="669"/>
      <c r="S4" s="675"/>
      <c r="T4" s="676"/>
      <c r="U4" s="675"/>
      <c r="V4" s="677"/>
      <c r="W4" s="675"/>
      <c r="X4" s="675"/>
      <c r="Y4" s="675"/>
      <c r="Z4" s="675"/>
      <c r="AA4" s="675"/>
      <c r="AB4" s="1557" t="s">
        <v>2181</v>
      </c>
      <c r="AC4" s="1557"/>
      <c r="AD4" s="1557"/>
      <c r="AE4" s="680"/>
    </row>
    <row r="5" spans="1:34" s="670" customFormat="1" ht="16.5" customHeight="1">
      <c r="A5" s="678"/>
      <c r="B5" s="679"/>
      <c r="C5" s="679"/>
      <c r="D5" s="679"/>
      <c r="E5" s="679"/>
      <c r="F5" s="679"/>
      <c r="G5" s="679"/>
      <c r="H5" s="679"/>
      <c r="I5" s="679"/>
      <c r="J5" s="679"/>
      <c r="K5" s="678"/>
      <c r="L5" s="678"/>
      <c r="M5" s="678"/>
      <c r="N5" s="674"/>
      <c r="O5" s="675"/>
      <c r="P5" s="669"/>
      <c r="Q5" s="669"/>
      <c r="R5" s="669"/>
      <c r="S5" s="675"/>
      <c r="T5" s="676"/>
      <c r="U5" s="675"/>
      <c r="V5" s="677"/>
      <c r="W5" s="675"/>
      <c r="X5" s="675"/>
      <c r="Y5" s="675"/>
      <c r="Z5" s="675"/>
      <c r="AA5" s="675"/>
      <c r="AB5" s="1557" t="s">
        <v>2182</v>
      </c>
      <c r="AC5" s="1557"/>
      <c r="AD5" s="1557"/>
      <c r="AE5" s="680"/>
    </row>
    <row r="6" spans="1:34" s="670" customFormat="1" ht="18.75" customHeight="1">
      <c r="A6" s="1554" t="s">
        <v>2183</v>
      </c>
      <c r="B6" s="1554"/>
      <c r="C6" s="1554"/>
      <c r="D6" s="1554"/>
      <c r="E6" s="1554"/>
      <c r="F6" s="1554"/>
      <c r="G6" s="1554"/>
      <c r="H6" s="1554"/>
      <c r="I6" s="1554"/>
      <c r="J6" s="1554"/>
      <c r="K6" s="1554"/>
      <c r="L6" s="1554"/>
      <c r="M6" s="1554"/>
      <c r="N6" s="1554"/>
      <c r="O6" s="1554"/>
      <c r="P6" s="1554"/>
      <c r="Q6" s="1554"/>
      <c r="R6" s="1554"/>
      <c r="S6" s="1554"/>
      <c r="T6" s="1554"/>
      <c r="U6" s="1554"/>
      <c r="V6" s="1554"/>
      <c r="W6" s="1554"/>
      <c r="X6" s="1554"/>
      <c r="Y6" s="1554"/>
      <c r="Z6" s="1554"/>
      <c r="AA6" s="1554"/>
      <c r="AB6" s="1554"/>
      <c r="AC6" s="1554"/>
      <c r="AD6" s="1554"/>
      <c r="AE6" s="681"/>
    </row>
    <row r="7" spans="1:34" s="670" customFormat="1" ht="18.75" customHeight="1">
      <c r="A7" s="1554" t="s">
        <v>2184</v>
      </c>
      <c r="B7" s="1554"/>
      <c r="C7" s="1554"/>
      <c r="D7" s="1554"/>
      <c r="E7" s="1554"/>
      <c r="F7" s="1554"/>
      <c r="G7" s="1554"/>
      <c r="H7" s="1554"/>
      <c r="I7" s="1554"/>
      <c r="J7" s="1554"/>
      <c r="K7" s="1554"/>
      <c r="L7" s="1554"/>
      <c r="M7" s="1554"/>
      <c r="N7" s="1554"/>
      <c r="O7" s="1554"/>
      <c r="P7" s="1554"/>
      <c r="Q7" s="1554"/>
      <c r="R7" s="1554"/>
      <c r="S7" s="1554"/>
      <c r="T7" s="1554"/>
      <c r="U7" s="1554"/>
      <c r="V7" s="1554"/>
      <c r="W7" s="1554"/>
      <c r="X7" s="1554"/>
      <c r="Y7" s="1554"/>
      <c r="Z7" s="1554"/>
      <c r="AA7" s="1554"/>
      <c r="AB7" s="1554"/>
      <c r="AC7" s="1554"/>
      <c r="AD7" s="1554"/>
      <c r="AE7" s="681"/>
    </row>
    <row r="8" spans="1:34" hidden="1">
      <c r="A8" s="1544" t="s">
        <v>492</v>
      </c>
      <c r="B8" s="1544"/>
      <c r="C8" s="1544"/>
      <c r="D8" s="1544"/>
      <c r="E8" s="1544"/>
      <c r="F8" s="1544"/>
      <c r="G8" s="1544"/>
      <c r="H8" s="1544"/>
      <c r="I8" s="1544"/>
      <c r="J8" s="1544"/>
      <c r="K8" s="1544"/>
      <c r="L8" s="1544"/>
      <c r="M8" s="1544"/>
      <c r="O8" s="14"/>
      <c r="P8" s="14"/>
      <c r="Q8" s="14"/>
      <c r="R8" s="449"/>
      <c r="S8" s="1543" t="s">
        <v>849</v>
      </c>
      <c r="T8" s="1543"/>
      <c r="U8" s="1543"/>
      <c r="V8" s="1543"/>
      <c r="W8" s="1543"/>
      <c r="X8" s="1543"/>
      <c r="Y8" s="1543"/>
      <c r="Z8" s="1543"/>
      <c r="AA8" s="1543"/>
      <c r="AB8" s="1543"/>
      <c r="AC8" s="1543"/>
      <c r="AD8" s="1543"/>
    </row>
    <row r="9" spans="1:34" ht="15" hidden="1" customHeight="1">
      <c r="A9" s="1543" t="s">
        <v>1563</v>
      </c>
      <c r="B9" s="1543"/>
      <c r="C9" s="1543"/>
      <c r="D9" s="1543"/>
      <c r="E9" s="1543"/>
      <c r="F9" s="1543"/>
      <c r="G9" s="1543"/>
      <c r="H9" s="1543"/>
      <c r="I9" s="1543"/>
      <c r="J9" s="1543"/>
      <c r="K9" s="1543"/>
      <c r="L9" s="1543"/>
      <c r="M9" s="1543"/>
      <c r="O9" s="14"/>
      <c r="P9" s="14"/>
      <c r="Q9" s="14"/>
      <c r="R9" s="449"/>
      <c r="S9" s="1543" t="s">
        <v>851</v>
      </c>
      <c r="T9" s="1543"/>
      <c r="U9" s="1543"/>
      <c r="V9" s="1543"/>
      <c r="W9" s="1543"/>
      <c r="X9" s="1543"/>
      <c r="Y9" s="1543"/>
      <c r="Z9" s="1543"/>
      <c r="AA9" s="1543"/>
      <c r="AB9" s="1543"/>
      <c r="AC9" s="1543"/>
      <c r="AD9" s="1543"/>
    </row>
    <row r="10" spans="1:34" ht="16.5" hidden="1" customHeight="1">
      <c r="A10" s="1543" t="s">
        <v>1564</v>
      </c>
      <c r="B10" s="1543"/>
      <c r="C10" s="1543"/>
      <c r="D10" s="1543"/>
      <c r="E10" s="1543"/>
      <c r="F10" s="1543"/>
      <c r="G10" s="1543"/>
      <c r="H10" s="1543"/>
      <c r="I10" s="1543"/>
      <c r="J10" s="1543"/>
      <c r="K10" s="1543"/>
      <c r="L10" s="1543"/>
      <c r="M10" s="1543"/>
      <c r="N10" s="99"/>
      <c r="O10" s="18"/>
      <c r="P10" s="18"/>
      <c r="Q10" s="17"/>
      <c r="R10" s="450"/>
      <c r="S10" s="17"/>
      <c r="T10" s="381"/>
      <c r="U10" s="17"/>
      <c r="V10" s="579"/>
      <c r="W10" s="17"/>
      <c r="X10" s="17"/>
      <c r="Y10" s="17"/>
      <c r="Z10" s="17"/>
      <c r="AA10" s="17"/>
      <c r="AB10" s="17"/>
      <c r="AC10" s="16"/>
    </row>
    <row r="11" spans="1:34" ht="9" hidden="1" customHeight="1">
      <c r="A11" s="187"/>
      <c r="B11" s="187"/>
      <c r="C11" s="187"/>
      <c r="D11" s="187"/>
      <c r="E11" s="187"/>
      <c r="F11" s="187"/>
      <c r="G11" s="187"/>
      <c r="H11" s="187"/>
      <c r="I11" s="187"/>
      <c r="J11" s="187"/>
      <c r="K11" s="187"/>
      <c r="L11" s="187"/>
      <c r="M11" s="187"/>
      <c r="N11" s="99"/>
      <c r="O11" s="18"/>
      <c r="P11" s="18"/>
      <c r="Q11" s="17"/>
      <c r="R11" s="450"/>
      <c r="S11" s="17"/>
      <c r="T11" s="381"/>
      <c r="U11" s="17"/>
      <c r="V11" s="579"/>
      <c r="W11" s="17"/>
      <c r="X11" s="17"/>
      <c r="Y11" s="17"/>
      <c r="Z11" s="17"/>
      <c r="AA11" s="17"/>
      <c r="AB11" s="17"/>
      <c r="AC11" s="16"/>
    </row>
    <row r="12" spans="1:34" ht="18.75" hidden="1" customHeight="1">
      <c r="A12" s="1547" t="s">
        <v>2159</v>
      </c>
      <c r="B12" s="1547"/>
      <c r="C12" s="1547"/>
      <c r="D12" s="1547"/>
      <c r="E12" s="1547"/>
      <c r="F12" s="1547"/>
      <c r="G12" s="1547"/>
      <c r="H12" s="1547"/>
      <c r="I12" s="1547"/>
      <c r="J12" s="1547"/>
      <c r="K12" s="1547"/>
      <c r="L12" s="1547"/>
      <c r="M12" s="1547"/>
      <c r="N12" s="1547"/>
      <c r="O12" s="1547"/>
      <c r="P12" s="1547"/>
      <c r="Q12" s="1547"/>
      <c r="R12" s="1547"/>
      <c r="S12" s="1547"/>
      <c r="T12" s="1547"/>
      <c r="U12" s="1547"/>
      <c r="V12" s="1547"/>
      <c r="W12" s="1547"/>
      <c r="X12" s="1547"/>
      <c r="Y12" s="1547"/>
      <c r="Z12" s="1547"/>
      <c r="AA12" s="1547"/>
      <c r="AB12" s="1547"/>
      <c r="AC12" s="1547"/>
      <c r="AD12" s="1547"/>
    </row>
    <row r="13" spans="1:34" ht="18.75" hidden="1" customHeight="1">
      <c r="A13" s="1547" t="s">
        <v>1600</v>
      </c>
      <c r="B13" s="1547"/>
      <c r="C13" s="1547"/>
      <c r="D13" s="1547"/>
      <c r="E13" s="1547"/>
      <c r="F13" s="1547"/>
      <c r="G13" s="1547"/>
      <c r="H13" s="1547"/>
      <c r="I13" s="1547"/>
      <c r="J13" s="1547"/>
      <c r="K13" s="1547"/>
      <c r="L13" s="1547"/>
      <c r="M13" s="1547"/>
      <c r="N13" s="1547"/>
      <c r="O13" s="1547"/>
      <c r="P13" s="1547"/>
      <c r="Q13" s="1547"/>
      <c r="R13" s="1547"/>
      <c r="S13" s="1547"/>
      <c r="T13" s="1547"/>
      <c r="U13" s="1547"/>
      <c r="V13" s="1547"/>
      <c r="W13" s="1547"/>
      <c r="X13" s="1547"/>
      <c r="Y13" s="1547"/>
      <c r="Z13" s="1547"/>
      <c r="AA13" s="1547"/>
      <c r="AB13" s="1547"/>
      <c r="AC13" s="1547"/>
      <c r="AD13" s="1547"/>
    </row>
    <row r="14" spans="1:34" ht="54" hidden="1" customHeight="1">
      <c r="A14" s="1548" t="s">
        <v>2007</v>
      </c>
      <c r="B14" s="1548"/>
      <c r="C14" s="1548"/>
      <c r="D14" s="1548"/>
      <c r="E14" s="1548"/>
      <c r="F14" s="1548"/>
      <c r="G14" s="1548"/>
      <c r="H14" s="1548"/>
      <c r="I14" s="1548"/>
      <c r="J14" s="1548"/>
      <c r="K14" s="1548"/>
      <c r="L14" s="1548"/>
      <c r="M14" s="1548"/>
      <c r="N14" s="1548"/>
      <c r="O14" s="1548"/>
      <c r="P14" s="1548"/>
      <c r="Q14" s="1548"/>
      <c r="R14" s="1548"/>
      <c r="S14" s="1548"/>
      <c r="T14" s="1548"/>
      <c r="U14" s="1548"/>
      <c r="V14" s="1548"/>
      <c r="W14" s="1548"/>
      <c r="X14" s="1548"/>
      <c r="Y14" s="1548"/>
      <c r="Z14" s="1548"/>
      <c r="AA14" s="1548"/>
      <c r="AB14" s="1548"/>
      <c r="AC14" s="1548"/>
      <c r="AD14" s="1548"/>
    </row>
    <row r="15" spans="1:34" s="500" customFormat="1" ht="16.5" hidden="1" customHeight="1">
      <c r="A15" s="499" t="s">
        <v>2013</v>
      </c>
      <c r="C15" s="501">
        <v>1490000</v>
      </c>
      <c r="D15" s="502"/>
      <c r="E15" s="502"/>
      <c r="F15" s="503"/>
      <c r="G15" s="504">
        <v>1800000</v>
      </c>
      <c r="H15" s="504"/>
      <c r="I15" s="505"/>
      <c r="J15" s="505"/>
      <c r="K15" s="506"/>
      <c r="L15" s="507"/>
      <c r="M15" s="505"/>
      <c r="N15" s="508"/>
      <c r="O15" s="1549"/>
      <c r="P15" s="1549"/>
      <c r="Q15" s="1549"/>
      <c r="R15" s="1549"/>
      <c r="S15" s="1549"/>
      <c r="T15" s="509"/>
      <c r="U15" s="510"/>
      <c r="V15" s="580"/>
      <c r="W15" s="651" t="s">
        <v>1181</v>
      </c>
      <c r="X15" s="651"/>
      <c r="Y15" s="651"/>
      <c r="Z15" s="651"/>
      <c r="AA15" s="651"/>
      <c r="AB15" s="651"/>
      <c r="AC15" s="505"/>
      <c r="AD15" s="511"/>
      <c r="AE15" s="512"/>
      <c r="AH15" s="513"/>
    </row>
    <row r="16" spans="1:34" ht="10.5" hidden="1" customHeight="1">
      <c r="A16" s="1"/>
      <c r="B16" s="7"/>
      <c r="C16" s="7"/>
      <c r="D16" s="7"/>
      <c r="E16" s="14"/>
      <c r="F16" s="188"/>
      <c r="G16" s="222"/>
      <c r="H16" s="1"/>
      <c r="I16" s="1"/>
      <c r="J16" s="1"/>
      <c r="K16" s="73"/>
      <c r="L16" s="356"/>
      <c r="M16" s="1"/>
      <c r="N16" s="3"/>
      <c r="O16" s="1"/>
      <c r="P16" s="1"/>
      <c r="Q16" s="3"/>
      <c r="R16" s="451"/>
      <c r="S16" s="3"/>
      <c r="T16" s="382"/>
      <c r="U16" s="3"/>
      <c r="V16" s="581"/>
      <c r="W16" s="27"/>
      <c r="X16" s="27"/>
      <c r="Y16" s="27"/>
      <c r="Z16" s="27"/>
      <c r="AA16" s="27"/>
      <c r="AB16" s="27"/>
      <c r="AC16" s="1"/>
    </row>
    <row r="17" spans="1:44" ht="10.5" customHeight="1">
      <c r="A17" s="1"/>
      <c r="B17" s="7"/>
      <c r="C17" s="7"/>
      <c r="D17" s="7"/>
      <c r="E17" s="14"/>
      <c r="F17" s="188"/>
      <c r="G17" s="222"/>
      <c r="H17" s="1"/>
      <c r="I17" s="1"/>
      <c r="J17" s="1"/>
      <c r="K17" s="73"/>
      <c r="L17" s="356"/>
      <c r="M17" s="1"/>
      <c r="N17" s="3"/>
      <c r="O17" s="1"/>
      <c r="P17" s="1"/>
      <c r="Q17" s="3"/>
      <c r="R17" s="451"/>
      <c r="S17" s="3"/>
      <c r="T17" s="382"/>
      <c r="U17" s="3"/>
      <c r="V17" s="581"/>
      <c r="W17" s="27"/>
      <c r="X17" s="27"/>
      <c r="Y17" s="27"/>
      <c r="Z17" s="27"/>
      <c r="AA17" s="27"/>
      <c r="AB17" s="27"/>
      <c r="AC17" s="1"/>
    </row>
    <row r="18" spans="1:44" s="111" customFormat="1" ht="26.25" customHeight="1">
      <c r="A18" s="28" t="s">
        <v>853</v>
      </c>
      <c r="B18" s="1550" t="s">
        <v>854</v>
      </c>
      <c r="C18" s="1550"/>
      <c r="D18" s="88" t="s">
        <v>1598</v>
      </c>
      <c r="E18" s="420" t="s">
        <v>50</v>
      </c>
      <c r="F18" s="40" t="s">
        <v>1137</v>
      </c>
      <c r="G18" s="220" t="s">
        <v>1138</v>
      </c>
      <c r="H18" s="40" t="s">
        <v>1139</v>
      </c>
      <c r="I18" s="40" t="s">
        <v>1140</v>
      </c>
      <c r="J18" s="667" t="s">
        <v>2176</v>
      </c>
      <c r="K18" s="78" t="s">
        <v>855</v>
      </c>
      <c r="L18" s="350" t="s">
        <v>1141</v>
      </c>
      <c r="M18" s="28" t="s">
        <v>860</v>
      </c>
      <c r="N18" s="28" t="s">
        <v>1186</v>
      </c>
      <c r="O18" s="28" t="s">
        <v>861</v>
      </c>
      <c r="P18" s="28" t="s">
        <v>857</v>
      </c>
      <c r="Q18" s="28" t="s">
        <v>1187</v>
      </c>
      <c r="R18" s="452" t="s">
        <v>1247</v>
      </c>
      <c r="S18" s="93" t="s">
        <v>1188</v>
      </c>
      <c r="T18" s="383" t="s">
        <v>1184</v>
      </c>
      <c r="U18" s="28" t="s">
        <v>1189</v>
      </c>
      <c r="V18" s="582" t="s">
        <v>1190</v>
      </c>
      <c r="W18" s="28" t="s">
        <v>1100</v>
      </c>
      <c r="X18" s="441" t="s">
        <v>2169</v>
      </c>
      <c r="Y18" s="441" t="s">
        <v>2170</v>
      </c>
      <c r="Z18" s="666" t="s">
        <v>2172</v>
      </c>
      <c r="AA18" s="666" t="s">
        <v>2173</v>
      </c>
      <c r="AB18" s="666" t="s">
        <v>2174</v>
      </c>
      <c r="AC18" s="1545" t="s">
        <v>2175</v>
      </c>
      <c r="AD18" s="1546"/>
      <c r="AE18" s="437"/>
      <c r="AH18" s="153"/>
    </row>
    <row r="19" spans="1:44" s="108" customFormat="1" ht="15" customHeight="1">
      <c r="A19" s="29" t="s">
        <v>858</v>
      </c>
      <c r="B19" s="1558" t="s">
        <v>525</v>
      </c>
      <c r="C19" s="1558"/>
      <c r="D19" s="29"/>
      <c r="E19" s="421"/>
      <c r="F19" s="29" t="s">
        <v>1112</v>
      </c>
      <c r="G19" s="29" t="s">
        <v>1113</v>
      </c>
      <c r="H19" s="29" t="s">
        <v>1114</v>
      </c>
      <c r="I19" s="29" t="s">
        <v>1115</v>
      </c>
      <c r="J19" s="652" t="s">
        <v>786</v>
      </c>
      <c r="K19" s="652">
        <v>2</v>
      </c>
      <c r="L19" s="652" t="s">
        <v>2177</v>
      </c>
      <c r="M19" s="668"/>
      <c r="N19" s="658" t="s">
        <v>2178</v>
      </c>
      <c r="O19" s="29" t="s">
        <v>1115</v>
      </c>
      <c r="P19" s="29" t="s">
        <v>1116</v>
      </c>
      <c r="Q19" s="29" t="s">
        <v>1117</v>
      </c>
      <c r="R19" s="453" t="s">
        <v>1125</v>
      </c>
      <c r="S19" s="29" t="s">
        <v>1118</v>
      </c>
      <c r="T19" s="384" t="s">
        <v>1127</v>
      </c>
      <c r="U19" s="29">
        <v>10</v>
      </c>
      <c r="V19" s="583" t="s">
        <v>2022</v>
      </c>
      <c r="W19" s="29">
        <v>11</v>
      </c>
      <c r="X19" s="652"/>
      <c r="Y19" s="652"/>
      <c r="Z19" s="652">
        <v>1</v>
      </c>
      <c r="AA19" s="652">
        <v>2</v>
      </c>
      <c r="AB19" s="652" t="s">
        <v>2177</v>
      </c>
      <c r="AC19" s="668"/>
      <c r="AD19" s="658" t="s">
        <v>2178</v>
      </c>
      <c r="AE19" s="141"/>
      <c r="AH19" s="154"/>
    </row>
    <row r="20" spans="1:44" s="108" customFormat="1" ht="21" customHeight="1">
      <c r="A20" s="771"/>
      <c r="B20" s="772" t="s">
        <v>2187</v>
      </c>
      <c r="C20" s="773"/>
      <c r="D20" s="774"/>
      <c r="E20" s="775"/>
      <c r="F20" s="771"/>
      <c r="G20" s="771"/>
      <c r="H20" s="771"/>
      <c r="I20" s="771"/>
      <c r="J20" s="779"/>
      <c r="K20" s="779"/>
      <c r="L20" s="779"/>
      <c r="M20" s="780"/>
      <c r="N20" s="773"/>
      <c r="O20" s="771"/>
      <c r="P20" s="771"/>
      <c r="Q20" s="771"/>
      <c r="R20" s="776"/>
      <c r="S20" s="771"/>
      <c r="T20" s="777"/>
      <c r="U20" s="771"/>
      <c r="V20" s="771"/>
      <c r="W20" s="771"/>
      <c r="X20" s="778"/>
      <c r="Y20" s="779"/>
      <c r="Z20" s="779"/>
      <c r="AA20" s="779"/>
      <c r="AB20" s="779"/>
      <c r="AC20" s="780"/>
      <c r="AD20" s="773"/>
      <c r="AE20" s="141"/>
      <c r="AH20" s="154"/>
    </row>
    <row r="21" spans="1:44" s="372" customFormat="1" ht="24.75" customHeight="1">
      <c r="A21" s="379">
        <f>_xlfn.AGGREGATE(4,7,A$19:A19)+1</f>
        <v>1</v>
      </c>
      <c r="B21" s="363" t="s">
        <v>1433</v>
      </c>
      <c r="C21" s="375" t="s">
        <v>1434</v>
      </c>
      <c r="D21" s="394" t="s">
        <v>1613</v>
      </c>
      <c r="E21" s="478" t="s">
        <v>1435</v>
      </c>
      <c r="F21" s="366">
        <v>5.76</v>
      </c>
      <c r="G21" s="367">
        <v>0</v>
      </c>
      <c r="H21" s="368">
        <f t="shared" ref="H21:H84" si="0">F21+(F21*G21)</f>
        <v>5.76</v>
      </c>
      <c r="I21" s="368">
        <v>0.9</v>
      </c>
      <c r="J21" s="368" t="str">
        <f>VLOOKUP(B21,[4]CN!$B$33:$J$365,9,FALSE)</f>
        <v>Hiệu trưởng</v>
      </c>
      <c r="K21" s="369">
        <f t="shared" ref="K21:K84" si="1">H21+I21</f>
        <v>6.66</v>
      </c>
      <c r="L21" s="362">
        <f t="shared" ref="L21:L84" si="2">K21*$G$15</f>
        <v>11988000</v>
      </c>
      <c r="M21" s="366" t="str">
        <f>VLOOKUP(B21,'[5]Gui chi Quynh'!$B$11:$E$400,4,FALSE)</f>
        <v>A1</v>
      </c>
      <c r="N21" s="494">
        <f t="shared" ref="N21:N84" si="3">IF(M21="A1",L21*1.6,IF(M21="A2",L21*1.4,IF(M21="A3",L21*1.2,IF(M21="A4",L21*1,IF(M21="B1",L21*0.7,IF(M21="B2",L21*0.5,IF(M21="C1",L21*0.3,IF(M21="C2",L21*0.2,0))))))))</f>
        <v>19180800</v>
      </c>
      <c r="O21" s="657">
        <v>16</v>
      </c>
      <c r="P21" s="440">
        <f>IFERROR(INDEX('[6]CN BC'!$J$10:$J$277,MATCH(B21,'[6]CN BC'!$H$10:$H$277,0)),"")</f>
        <v>23</v>
      </c>
      <c r="Q21" s="494">
        <f t="shared" ref="Q21:Q84" si="4">IF(P21&gt;=O21,N21,N21/O21*P21)</f>
        <v>19180800</v>
      </c>
      <c r="R21" s="460"/>
      <c r="S21" s="362">
        <f>R21*$G$15*1.6</f>
        <v>0</v>
      </c>
      <c r="T21" s="370"/>
      <c r="U21" s="362">
        <f t="shared" ref="U21:U84" si="5">T21*$G$15*1</f>
        <v>0</v>
      </c>
      <c r="V21" s="584">
        <f t="shared" ref="V21:V84" si="6">IF(OR(M21="A DN",M21="KXL", M21=""),"0",ROUND(K21*0.01*$G$15+R21*1%*$G$15+T21*1%*$G$15,))</f>
        <v>119880</v>
      </c>
      <c r="W21" s="371">
        <f>(Q21+S21+U21)</f>
        <v>19180800</v>
      </c>
      <c r="X21" s="439" t="str">
        <f>IFERROR(INDEX([7]TL!$X$12:$X$200,MATCH(B21,[7]TL!$B$12:$B$200,0)),"0")</f>
        <v>0</v>
      </c>
      <c r="Y21" s="663">
        <f>ROUND(W21+X21,0)</f>
        <v>19180800</v>
      </c>
      <c r="Z21" s="664">
        <f>Y21/AA21</f>
        <v>10.656000000000001</v>
      </c>
      <c r="AA21" s="662">
        <v>1800000</v>
      </c>
      <c r="AB21" s="663">
        <f>Z21*AA21</f>
        <v>19180800</v>
      </c>
      <c r="AC21" s="568">
        <f t="shared" ref="AC21:AC84" si="7">A21</f>
        <v>1</v>
      </c>
      <c r="AD21" s="493">
        <f>IFERROR(INDEX('[6]CN BC'!$M$10:$M$276,MATCH(B21,'[6]CN BC'!$H$10:$H$276,0)),"")</f>
        <v>0</v>
      </c>
      <c r="AE21" s="141" t="s">
        <v>2014</v>
      </c>
      <c r="AF21" s="495"/>
      <c r="AG21" s="108"/>
      <c r="AH21" s="155"/>
      <c r="AI21" s="108"/>
      <c r="AJ21" s="108"/>
      <c r="AK21" s="108"/>
      <c r="AL21" s="108"/>
      <c r="AM21" s="108"/>
      <c r="AN21" s="108"/>
      <c r="AO21" s="108"/>
      <c r="AP21" s="108"/>
      <c r="AQ21" s="108"/>
      <c r="AR21" s="108"/>
    </row>
    <row r="22" spans="1:44" s="372" customFormat="1" ht="27.75" customHeight="1">
      <c r="A22" s="379">
        <f>_xlfn.AGGREGATE(4,7,A$19:A21)+1</f>
        <v>2</v>
      </c>
      <c r="B22" s="363" t="s">
        <v>1447</v>
      </c>
      <c r="C22" s="375" t="s">
        <v>1439</v>
      </c>
      <c r="D22" s="406" t="s">
        <v>1614</v>
      </c>
      <c r="E22" s="422" t="s">
        <v>1442</v>
      </c>
      <c r="F22" s="366">
        <v>4.9800000000000004</v>
      </c>
      <c r="G22" s="367">
        <v>7.0000000000000007E-2</v>
      </c>
      <c r="H22" s="368">
        <f t="shared" si="0"/>
        <v>5.3286000000000007</v>
      </c>
      <c r="I22" s="368">
        <v>0.7</v>
      </c>
      <c r="J22" s="368" t="str">
        <f>VLOOKUP(B22,[4]CN!$B$33:$J$365,9,FALSE)</f>
        <v>Phó Hiệu trưởng</v>
      </c>
      <c r="K22" s="369">
        <f t="shared" si="1"/>
        <v>6.0286000000000008</v>
      </c>
      <c r="L22" s="362">
        <f t="shared" si="2"/>
        <v>10851480.000000002</v>
      </c>
      <c r="M22" s="366" t="str">
        <f>VLOOKUP(B22,'[5]Gui chi Quynh'!$B$11:$E$400,4,FALSE)</f>
        <v>A1</v>
      </c>
      <c r="N22" s="494">
        <f t="shared" si="3"/>
        <v>17362368.000000004</v>
      </c>
      <c r="O22" s="366">
        <v>16</v>
      </c>
      <c r="P22" s="440">
        <f>IFERROR(INDEX('[6]CN BC'!$J$10:$J$277,MATCH(B22,'[6]CN BC'!$H$10:$H$277,0)),"")</f>
        <v>21</v>
      </c>
      <c r="Q22" s="494">
        <f t="shared" si="4"/>
        <v>17362368.000000004</v>
      </c>
      <c r="R22" s="460"/>
      <c r="S22" s="362">
        <f>R22*$G$15*1.6</f>
        <v>0</v>
      </c>
      <c r="T22" s="385"/>
      <c r="U22" s="362">
        <f t="shared" si="5"/>
        <v>0</v>
      </c>
      <c r="V22" s="584">
        <f t="shared" si="6"/>
        <v>108515</v>
      </c>
      <c r="W22" s="371">
        <f>(Q22+S22+U22)</f>
        <v>17362368.000000004</v>
      </c>
      <c r="X22" s="440" t="str">
        <f>IFERROR(INDEX([7]TL!$X$12:$X$200,MATCH(B22,[7]TL!$B$12:$B$200,0)),"0")</f>
        <v>0</v>
      </c>
      <c r="Y22" s="663">
        <f t="shared" ref="Y22:Y85" si="8">W22+X22</f>
        <v>17362368.000000004</v>
      </c>
      <c r="Z22" s="664">
        <f t="shared" ref="Z22:Z85" si="9">Y22/AA22</f>
        <v>9.6457600000000028</v>
      </c>
      <c r="AA22" s="662">
        <v>1800000</v>
      </c>
      <c r="AB22" s="663">
        <f t="shared" ref="AB22:AB85" si="10">Z22*AA22</f>
        <v>17362368.000000004</v>
      </c>
      <c r="AC22" s="568">
        <f t="shared" si="7"/>
        <v>2</v>
      </c>
      <c r="AD22" s="493">
        <f>IFERROR(INDEX('[6]CN BC'!$M$10:$M$276,MATCH(B22,'[6]CN BC'!$H$10:$H$276,0)),"")</f>
        <v>0</v>
      </c>
      <c r="AE22" s="141" t="s">
        <v>2014</v>
      </c>
      <c r="AF22" s="496"/>
      <c r="AG22" s="465"/>
      <c r="AH22" s="155"/>
      <c r="AI22" s="108"/>
      <c r="AJ22" s="108"/>
      <c r="AK22" s="108"/>
      <c r="AL22" s="108"/>
      <c r="AM22" s="108"/>
      <c r="AN22" s="108"/>
      <c r="AO22" s="108"/>
      <c r="AP22" s="108"/>
      <c r="AQ22" s="108"/>
      <c r="AR22" s="108"/>
    </row>
    <row r="23" spans="1:44" s="372" customFormat="1" ht="27" customHeight="1">
      <c r="A23" s="379">
        <f>_xlfn.AGGREGATE(4,7,A$19:A22)+1</f>
        <v>3</v>
      </c>
      <c r="B23" s="363" t="s">
        <v>1845</v>
      </c>
      <c r="C23" s="375" t="s">
        <v>867</v>
      </c>
      <c r="D23" s="434" t="s">
        <v>1615</v>
      </c>
      <c r="E23" s="423" t="s">
        <v>1255</v>
      </c>
      <c r="F23" s="366">
        <v>4.9800000000000004</v>
      </c>
      <c r="G23" s="367">
        <v>0.08</v>
      </c>
      <c r="H23" s="368">
        <f t="shared" si="0"/>
        <v>5.3784000000000001</v>
      </c>
      <c r="I23" s="368">
        <v>0.7</v>
      </c>
      <c r="J23" s="368" t="str">
        <f>VLOOKUP(B23,[4]CN!$B$33:$J$365,9,FALSE)</f>
        <v>Phó Hiệu trưởng</v>
      </c>
      <c r="K23" s="369">
        <f t="shared" si="1"/>
        <v>6.0784000000000002</v>
      </c>
      <c r="L23" s="362">
        <f t="shared" si="2"/>
        <v>10941120</v>
      </c>
      <c r="M23" s="366" t="str">
        <f>VLOOKUP(B23,'[5]Gui chi Quynh'!$B$11:$E$400,4,FALSE)</f>
        <v>A1</v>
      </c>
      <c r="N23" s="494">
        <f t="shared" si="3"/>
        <v>17505792</v>
      </c>
      <c r="O23" s="366">
        <v>16</v>
      </c>
      <c r="P23" s="440">
        <f>IFERROR(INDEX('[6]CN BC'!$J$10:$J$277,MATCH(B23,'[6]CN BC'!$H$10:$H$277,0)),"")</f>
        <v>22</v>
      </c>
      <c r="Q23" s="494">
        <f t="shared" si="4"/>
        <v>17505792</v>
      </c>
      <c r="R23" s="460"/>
      <c r="S23" s="362">
        <f>R23*$G$15*1.6</f>
        <v>0</v>
      </c>
      <c r="T23" s="370"/>
      <c r="U23" s="362">
        <f t="shared" si="5"/>
        <v>0</v>
      </c>
      <c r="V23" s="362">
        <f t="shared" si="6"/>
        <v>109411</v>
      </c>
      <c r="W23" s="371">
        <f t="shared" ref="W23:W86" si="11">(Q23+S23+U23)</f>
        <v>17505792</v>
      </c>
      <c r="X23" s="440" t="str">
        <f>IFERROR(INDEX([7]TL!$X$12:$X$200,MATCH(B23,[7]TL!$B$12:$B$200,0)),"0")</f>
        <v>0</v>
      </c>
      <c r="Y23" s="663">
        <f t="shared" si="8"/>
        <v>17505792</v>
      </c>
      <c r="Z23" s="664">
        <f t="shared" si="9"/>
        <v>9.7254400000000008</v>
      </c>
      <c r="AA23" s="662">
        <v>1800000</v>
      </c>
      <c r="AB23" s="663">
        <f t="shared" si="10"/>
        <v>17505792</v>
      </c>
      <c r="AC23" s="568">
        <f t="shared" si="7"/>
        <v>3</v>
      </c>
      <c r="AD23" s="493">
        <f>IFERROR(INDEX('[6]CN BC'!$M$10:$M$276,MATCH(B23,'[6]CN BC'!$H$10:$H$276,0)),"")</f>
        <v>0</v>
      </c>
      <c r="AE23" s="536" t="s">
        <v>2014</v>
      </c>
      <c r="AF23" s="590"/>
      <c r="AG23" s="591"/>
      <c r="AH23" s="487"/>
    </row>
    <row r="24" spans="1:44" s="372" customFormat="1" ht="24.75" customHeight="1">
      <c r="A24" s="379">
        <f>_xlfn.AGGREGATE(4,7,A$19:A23)+1</f>
        <v>4</v>
      </c>
      <c r="B24" s="363" t="s">
        <v>1533</v>
      </c>
      <c r="C24" s="375"/>
      <c r="D24" s="434" t="s">
        <v>1954</v>
      </c>
      <c r="E24" s="102" t="s">
        <v>1937</v>
      </c>
      <c r="F24" s="373">
        <v>4.6500000000000004</v>
      </c>
      <c r="G24" s="367"/>
      <c r="H24" s="368">
        <f t="shared" si="0"/>
        <v>4.6500000000000004</v>
      </c>
      <c r="I24" s="368">
        <v>0.7</v>
      </c>
      <c r="J24" s="368" t="str">
        <f>VLOOKUP(B24,[4]CN!$B$33:$J$365,9,FALSE)</f>
        <v>Phó Hiệu trưởng</v>
      </c>
      <c r="K24" s="369">
        <f t="shared" si="1"/>
        <v>5.3500000000000005</v>
      </c>
      <c r="L24" s="362">
        <f t="shared" si="2"/>
        <v>9630000.0000000019</v>
      </c>
      <c r="M24" s="366" t="str">
        <f>VLOOKUP(B24,'[5]Gui chi Quynh'!$B$11:$E$400,4,FALSE)</f>
        <v>A1</v>
      </c>
      <c r="N24" s="494">
        <f t="shared" si="3"/>
        <v>15408000.000000004</v>
      </c>
      <c r="O24" s="366">
        <v>16</v>
      </c>
      <c r="P24" s="440">
        <f>IFERROR(INDEX('[6]CN BC'!$J$10:$J$277,MATCH(B24,'[6]CN BC'!$H$10:$H$277,0)),"")</f>
        <v>20</v>
      </c>
      <c r="Q24" s="494">
        <f t="shared" si="4"/>
        <v>15408000.000000004</v>
      </c>
      <c r="R24" s="460"/>
      <c r="S24" s="362">
        <f t="shared" ref="S24:S32" si="12">R24*$G$15*1</f>
        <v>0</v>
      </c>
      <c r="T24" s="370"/>
      <c r="U24" s="362">
        <f t="shared" si="5"/>
        <v>0</v>
      </c>
      <c r="V24" s="584">
        <f t="shared" si="6"/>
        <v>96300</v>
      </c>
      <c r="W24" s="371">
        <f t="shared" si="11"/>
        <v>15408000.000000004</v>
      </c>
      <c r="X24" s="440" t="str">
        <f>IFERROR(INDEX([7]TL!$X$12:$X$200,MATCH(B24,[7]TL!$B$12:$B$200,0)),"0")</f>
        <v>0</v>
      </c>
      <c r="Y24" s="663">
        <f t="shared" si="8"/>
        <v>15408000.000000004</v>
      </c>
      <c r="Z24" s="664">
        <f t="shared" si="9"/>
        <v>8.5600000000000023</v>
      </c>
      <c r="AA24" s="662">
        <v>1800000</v>
      </c>
      <c r="AB24" s="663">
        <f t="shared" si="10"/>
        <v>15408000.000000004</v>
      </c>
      <c r="AC24" s="568">
        <f t="shared" si="7"/>
        <v>4</v>
      </c>
      <c r="AD24" s="493">
        <f>IFERROR(INDEX('[6]CN BC'!$M$10:$M$276,MATCH(B24,'[6]CN BC'!$H$10:$H$276,0)),"")</f>
        <v>0</v>
      </c>
      <c r="AE24" s="141" t="s">
        <v>2014</v>
      </c>
      <c r="AF24" s="497"/>
      <c r="AG24" s="497"/>
      <c r="AH24" s="155"/>
      <c r="AI24" s="108"/>
      <c r="AJ24" s="108"/>
      <c r="AK24" s="108"/>
      <c r="AL24" s="108"/>
      <c r="AM24" s="108"/>
      <c r="AN24" s="108"/>
    </row>
    <row r="25" spans="1:44" s="372" customFormat="1" ht="27.75" customHeight="1">
      <c r="A25" s="379">
        <f>_xlfn.AGGREGATE(4,7,A$19:A24)+1</f>
        <v>5</v>
      </c>
      <c r="B25" s="363" t="s">
        <v>1458</v>
      </c>
      <c r="C25" s="375" t="s">
        <v>891</v>
      </c>
      <c r="D25" s="30" t="s">
        <v>1995</v>
      </c>
      <c r="E25" s="432" t="s">
        <v>1577</v>
      </c>
      <c r="F25" s="366">
        <v>4.9800000000000004</v>
      </c>
      <c r="G25" s="367">
        <v>0.05</v>
      </c>
      <c r="H25" s="368">
        <f t="shared" si="0"/>
        <v>5.2290000000000001</v>
      </c>
      <c r="I25" s="368">
        <v>0.45</v>
      </c>
      <c r="J25" s="368" t="str">
        <f>VLOOKUP(B25,[4]CN!$B$33:$J$365,9,FALSE)</f>
        <v>Trưởng phòng TC - HC - TH</v>
      </c>
      <c r="K25" s="369">
        <f t="shared" si="1"/>
        <v>5.6790000000000003</v>
      </c>
      <c r="L25" s="362">
        <f t="shared" si="2"/>
        <v>10222200</v>
      </c>
      <c r="M25" s="366" t="str">
        <f>VLOOKUP(B25,'[5]Gui chi Quynh'!$B$11:$E$400,4,FALSE)</f>
        <v>A1</v>
      </c>
      <c r="N25" s="494">
        <f t="shared" si="3"/>
        <v>16355520</v>
      </c>
      <c r="O25" s="366">
        <v>16</v>
      </c>
      <c r="P25" s="440">
        <f>IFERROR(INDEX('[6]CN BC'!$J$10:$J$277,MATCH(B25,'[6]CN BC'!$H$10:$H$277,0)),"")</f>
        <v>23</v>
      </c>
      <c r="Q25" s="494">
        <f t="shared" si="4"/>
        <v>16355520</v>
      </c>
      <c r="R25" s="392"/>
      <c r="S25" s="362">
        <f t="shared" si="12"/>
        <v>0</v>
      </c>
      <c r="T25" s="385"/>
      <c r="U25" s="362">
        <f t="shared" si="5"/>
        <v>0</v>
      </c>
      <c r="V25" s="584">
        <f t="shared" si="6"/>
        <v>102222</v>
      </c>
      <c r="W25" s="371">
        <f t="shared" si="11"/>
        <v>16355520</v>
      </c>
      <c r="X25" s="440" t="str">
        <f>IFERROR(INDEX([7]TL!$X$12:$X$200,MATCH(B25,[7]TL!$B$12:$B$200,0)),"0")</f>
        <v>0</v>
      </c>
      <c r="Y25" s="663">
        <f t="shared" si="8"/>
        <v>16355520</v>
      </c>
      <c r="Z25" s="664">
        <f t="shared" si="9"/>
        <v>9.0863999999999994</v>
      </c>
      <c r="AA25" s="662">
        <v>1800000</v>
      </c>
      <c r="AB25" s="663">
        <f t="shared" si="10"/>
        <v>16355519.999999998</v>
      </c>
      <c r="AC25" s="568">
        <f t="shared" si="7"/>
        <v>5</v>
      </c>
      <c r="AD25" s="493">
        <f>IFERROR(INDEX('[6]CN BC'!$M$10:$M$276,MATCH(B25,'[6]CN BC'!$H$10:$H$276,0)),"")</f>
        <v>0</v>
      </c>
      <c r="AE25" s="141" t="s">
        <v>2015</v>
      </c>
      <c r="AF25" s="497"/>
      <c r="AG25" s="497"/>
      <c r="AH25" s="155"/>
      <c r="AI25" s="108"/>
      <c r="AJ25" s="108"/>
      <c r="AK25" s="108"/>
      <c r="AL25" s="108"/>
      <c r="AM25" s="108"/>
      <c r="AN25" s="108"/>
      <c r="AO25" s="108"/>
      <c r="AP25" s="108"/>
      <c r="AQ25" s="108"/>
      <c r="AR25" s="108"/>
    </row>
    <row r="26" spans="1:44" s="372" customFormat="1" ht="31.5" customHeight="1">
      <c r="A26" s="379">
        <f>_xlfn.AGGREGATE(4,7,A$19:A25)+1</f>
        <v>6</v>
      </c>
      <c r="B26" s="444" t="s">
        <v>1596</v>
      </c>
      <c r="C26" s="419" t="s">
        <v>979</v>
      </c>
      <c r="D26" s="418" t="s">
        <v>1623</v>
      </c>
      <c r="E26" s="426">
        <v>1603205353720</v>
      </c>
      <c r="F26" s="373">
        <v>3.33</v>
      </c>
      <c r="G26" s="367"/>
      <c r="H26" s="445">
        <f t="shared" si="0"/>
        <v>3.33</v>
      </c>
      <c r="I26" s="368">
        <v>0.35</v>
      </c>
      <c r="J26" s="368" t="str">
        <f>VLOOKUP(B26,[4]CN!$B$33:$J$365,9,FALSE)</f>
        <v>Phó Trưởng phòng Tổ chức - Hành chính - TH</v>
      </c>
      <c r="K26" s="369">
        <f t="shared" si="1"/>
        <v>3.68</v>
      </c>
      <c r="L26" s="362">
        <f t="shared" si="2"/>
        <v>6624000</v>
      </c>
      <c r="M26" s="366" t="str">
        <f>VLOOKUP(B26,'[5]Gui chi Quynh'!$B$11:$E$400,4,FALSE)</f>
        <v>A1</v>
      </c>
      <c r="N26" s="494">
        <f t="shared" si="3"/>
        <v>10598400</v>
      </c>
      <c r="O26" s="366">
        <v>16</v>
      </c>
      <c r="P26" s="440">
        <f>IFERROR(INDEX('[6]CN BC'!$J$10:$J$277,MATCH(B26,'[6]CN BC'!$H$10:$H$277,0)),"")</f>
        <v>18</v>
      </c>
      <c r="Q26" s="494">
        <f t="shared" si="4"/>
        <v>10598400</v>
      </c>
      <c r="R26" s="392"/>
      <c r="S26" s="362">
        <f t="shared" si="12"/>
        <v>0</v>
      </c>
      <c r="T26" s="370"/>
      <c r="U26" s="362">
        <f t="shared" si="5"/>
        <v>0</v>
      </c>
      <c r="V26" s="584">
        <f t="shared" si="6"/>
        <v>66240</v>
      </c>
      <c r="W26" s="371">
        <f t="shared" si="11"/>
        <v>10598400</v>
      </c>
      <c r="X26" s="440" t="str">
        <f>IFERROR(INDEX([7]TL!$X$12:$X$200,MATCH(B26,[7]TL!$B$12:$B$200,0)),"0")</f>
        <v>0</v>
      </c>
      <c r="Y26" s="663">
        <f t="shared" si="8"/>
        <v>10598400</v>
      </c>
      <c r="Z26" s="664">
        <f t="shared" si="9"/>
        <v>5.8879999999999999</v>
      </c>
      <c r="AA26" s="662">
        <v>1800000</v>
      </c>
      <c r="AB26" s="663">
        <f t="shared" si="10"/>
        <v>10598400</v>
      </c>
      <c r="AC26" s="568">
        <f t="shared" si="7"/>
        <v>6</v>
      </c>
      <c r="AD26" s="493">
        <f>IFERROR(INDEX('[6]CN BC'!$M$10:$M$276,MATCH(B26,'[6]CN BC'!$H$10:$H$276,0)),"")</f>
        <v>0</v>
      </c>
      <c r="AE26" s="141" t="s">
        <v>2015</v>
      </c>
      <c r="AF26" s="471"/>
      <c r="AG26" s="497"/>
      <c r="AH26" s="155"/>
      <c r="AI26" s="108"/>
      <c r="AJ26" s="108"/>
      <c r="AK26" s="108"/>
      <c r="AL26" s="108"/>
      <c r="AM26" s="108"/>
      <c r="AN26" s="108"/>
    </row>
    <row r="27" spans="1:44" s="372" customFormat="1" ht="31.5" customHeight="1">
      <c r="A27" s="379">
        <f>_xlfn.AGGREGATE(4,7,A$19:A26)+1</f>
        <v>7</v>
      </c>
      <c r="B27" s="363" t="s">
        <v>1464</v>
      </c>
      <c r="C27" s="375" t="s">
        <v>266</v>
      </c>
      <c r="D27" s="434" t="s">
        <v>1660</v>
      </c>
      <c r="E27" s="428">
        <v>1603205185719</v>
      </c>
      <c r="F27" s="373">
        <v>3</v>
      </c>
      <c r="G27" s="367"/>
      <c r="H27" s="368">
        <f t="shared" si="0"/>
        <v>3</v>
      </c>
      <c r="I27" s="368">
        <v>0.35</v>
      </c>
      <c r="J27" s="368" t="str">
        <f>VLOOKUP(B27,[4]CN!$B$33:$J$365,9,FALSE)</f>
        <v>Phó Trưởng phòng Tổ chức - Hành chính - TH</v>
      </c>
      <c r="K27" s="369">
        <f t="shared" si="1"/>
        <v>3.35</v>
      </c>
      <c r="L27" s="362">
        <f t="shared" si="2"/>
        <v>6030000</v>
      </c>
      <c r="M27" s="366" t="str">
        <f>VLOOKUP(B27,'[5]Gui chi Quynh'!$B$11:$E$400,4,FALSE)</f>
        <v>A1</v>
      </c>
      <c r="N27" s="494">
        <f t="shared" si="3"/>
        <v>9648000</v>
      </c>
      <c r="O27" s="366">
        <v>16</v>
      </c>
      <c r="P27" s="440">
        <f>IFERROR(INDEX('[6]CN BC'!$J$10:$J$277,MATCH(B27,'[6]CN BC'!$H$10:$H$277,0)),"")</f>
        <v>22</v>
      </c>
      <c r="Q27" s="494">
        <f t="shared" si="4"/>
        <v>9648000</v>
      </c>
      <c r="R27" s="460"/>
      <c r="S27" s="362">
        <f t="shared" si="12"/>
        <v>0</v>
      </c>
      <c r="T27" s="370"/>
      <c r="U27" s="362">
        <f t="shared" si="5"/>
        <v>0</v>
      </c>
      <c r="V27" s="584">
        <f t="shared" si="6"/>
        <v>60300</v>
      </c>
      <c r="W27" s="371">
        <f t="shared" si="11"/>
        <v>9648000</v>
      </c>
      <c r="X27" s="440" t="str">
        <f>IFERROR(INDEX([7]TL!$X$12:$X$200,MATCH(B27,[7]TL!$B$12:$B$200,0)),"0")</f>
        <v>0</v>
      </c>
      <c r="Y27" s="663">
        <f t="shared" si="8"/>
        <v>9648000</v>
      </c>
      <c r="Z27" s="664">
        <f t="shared" si="9"/>
        <v>5.36</v>
      </c>
      <c r="AA27" s="662">
        <v>1800000</v>
      </c>
      <c r="AB27" s="663">
        <f t="shared" si="10"/>
        <v>9648000</v>
      </c>
      <c r="AC27" s="568">
        <f t="shared" si="7"/>
        <v>7</v>
      </c>
      <c r="AD27" s="493">
        <f>IFERROR(INDEX('[6]CN BC'!$M$10:$M$276,MATCH(B27,'[6]CN BC'!$H$10:$H$276,0)),"")</f>
        <v>0</v>
      </c>
      <c r="AE27" s="141" t="s">
        <v>2015</v>
      </c>
      <c r="AF27" s="108">
        <f>52+50+124+99</f>
        <v>325</v>
      </c>
      <c r="AG27" s="497"/>
      <c r="AH27" s="155"/>
      <c r="AI27" s="108"/>
      <c r="AJ27" s="108"/>
      <c r="AK27" s="108"/>
      <c r="AL27" s="108"/>
      <c r="AM27" s="108"/>
      <c r="AN27" s="108"/>
    </row>
    <row r="28" spans="1:44" s="372" customFormat="1" ht="31.5" customHeight="1">
      <c r="A28" s="379">
        <f>_xlfn.AGGREGATE(4,7,A$19:A27)+1</f>
        <v>8</v>
      </c>
      <c r="B28" s="363" t="s">
        <v>1846</v>
      </c>
      <c r="C28" s="375" t="s">
        <v>996</v>
      </c>
      <c r="D28" s="434" t="s">
        <v>1618</v>
      </c>
      <c r="E28" s="423" t="s">
        <v>1264</v>
      </c>
      <c r="F28" s="366">
        <v>3.66</v>
      </c>
      <c r="G28" s="367"/>
      <c r="H28" s="368">
        <f t="shared" si="0"/>
        <v>3.66</v>
      </c>
      <c r="I28" s="368"/>
      <c r="J28" s="368" t="str">
        <f>VLOOKUP(B28,[4]CN!$B$33:$J$365,9,FALSE)</f>
        <v>NV Phòng Tổ chức - Hành chính - Tổng hợp</v>
      </c>
      <c r="K28" s="369">
        <f t="shared" si="1"/>
        <v>3.66</v>
      </c>
      <c r="L28" s="362">
        <f t="shared" si="2"/>
        <v>6588000</v>
      </c>
      <c r="M28" s="366" t="str">
        <f>VLOOKUP(B28,'[5]Gui chi Quynh'!$B$11:$E$400,4,FALSE)</f>
        <v>A1</v>
      </c>
      <c r="N28" s="494">
        <f t="shared" si="3"/>
        <v>10540800</v>
      </c>
      <c r="O28" s="366">
        <v>16</v>
      </c>
      <c r="P28" s="440">
        <f>IFERROR(INDEX('[6]CN BC'!$J$10:$J$277,MATCH(B28,'[6]CN BC'!$H$10:$H$277,0)),"")</f>
        <v>17</v>
      </c>
      <c r="Q28" s="494">
        <f t="shared" si="4"/>
        <v>10540800</v>
      </c>
      <c r="R28" s="460"/>
      <c r="S28" s="362">
        <f t="shared" si="12"/>
        <v>0</v>
      </c>
      <c r="T28" s="370"/>
      <c r="U28" s="362">
        <f t="shared" si="5"/>
        <v>0</v>
      </c>
      <c r="V28" s="584">
        <f t="shared" si="6"/>
        <v>65880</v>
      </c>
      <c r="W28" s="371">
        <f t="shared" si="11"/>
        <v>10540800</v>
      </c>
      <c r="X28" s="440" t="str">
        <f>IFERROR(INDEX([7]TL!$X$12:$X$200,MATCH(B28,[7]TL!$B$12:$B$200,0)),"0")</f>
        <v>0</v>
      </c>
      <c r="Y28" s="663">
        <f t="shared" si="8"/>
        <v>10540800</v>
      </c>
      <c r="Z28" s="664">
        <f t="shared" si="9"/>
        <v>5.8559999999999999</v>
      </c>
      <c r="AA28" s="662">
        <v>1800000</v>
      </c>
      <c r="AB28" s="663">
        <f t="shared" si="10"/>
        <v>10540800</v>
      </c>
      <c r="AC28" s="568">
        <f t="shared" si="7"/>
        <v>8</v>
      </c>
      <c r="AD28" s="493">
        <f>IFERROR(INDEX('[6]CN BC'!$M$10:$M$276,MATCH(B28,'[6]CN BC'!$H$10:$H$276,0)),"")</f>
        <v>0</v>
      </c>
      <c r="AE28" s="141" t="s">
        <v>2015</v>
      </c>
      <c r="AF28" s="497"/>
      <c r="AG28" s="497"/>
      <c r="AH28" s="155"/>
      <c r="AI28" s="108"/>
      <c r="AJ28" s="108"/>
      <c r="AK28" s="108"/>
      <c r="AL28" s="108"/>
      <c r="AM28" s="108"/>
      <c r="AN28" s="108"/>
    </row>
    <row r="29" spans="1:44" s="372" customFormat="1" ht="31.5" customHeight="1">
      <c r="A29" s="379">
        <f>_xlfn.AGGREGATE(4,7,A$19:A28)+1</f>
        <v>9</v>
      </c>
      <c r="B29" s="363" t="s">
        <v>1827</v>
      </c>
      <c r="C29" s="375" t="s">
        <v>1169</v>
      </c>
      <c r="D29" s="434" t="s">
        <v>1619</v>
      </c>
      <c r="E29" s="423" t="s">
        <v>1265</v>
      </c>
      <c r="F29" s="373">
        <v>3.66</v>
      </c>
      <c r="G29" s="367"/>
      <c r="H29" s="368">
        <f t="shared" si="0"/>
        <v>3.66</v>
      </c>
      <c r="I29" s="368"/>
      <c r="J29" s="368" t="str">
        <f>VLOOKUP(B29,[4]CN!$B$33:$J$365,9,FALSE)</f>
        <v>NV Phòng Tổ chức - Hành chính - Tổng hợp</v>
      </c>
      <c r="K29" s="369">
        <f t="shared" si="1"/>
        <v>3.66</v>
      </c>
      <c r="L29" s="362">
        <f t="shared" si="2"/>
        <v>6588000</v>
      </c>
      <c r="M29" s="366" t="str">
        <f>VLOOKUP(B29,'[5]Gui chi Quynh'!$B$11:$E$400,4,FALSE)</f>
        <v>A1</v>
      </c>
      <c r="N29" s="494">
        <f t="shared" si="3"/>
        <v>10540800</v>
      </c>
      <c r="O29" s="366">
        <v>16</v>
      </c>
      <c r="P29" s="440">
        <f>IFERROR(INDEX('[6]CN BC'!$J$10:$J$277,MATCH(B29,'[6]CN BC'!$H$10:$H$277,0)),"")</f>
        <v>16.5</v>
      </c>
      <c r="Q29" s="494">
        <f t="shared" si="4"/>
        <v>10540800</v>
      </c>
      <c r="R29" s="460"/>
      <c r="S29" s="362">
        <f t="shared" si="12"/>
        <v>0</v>
      </c>
      <c r="T29" s="370"/>
      <c r="U29" s="362">
        <f t="shared" si="5"/>
        <v>0</v>
      </c>
      <c r="V29" s="584">
        <f t="shared" si="6"/>
        <v>65880</v>
      </c>
      <c r="W29" s="371">
        <f t="shared" si="11"/>
        <v>10540800</v>
      </c>
      <c r="X29" s="440" t="str">
        <f>IFERROR(INDEX([7]TL!$X$12:$X$200,MATCH(B29,[7]TL!$B$12:$B$200,0)),"0")</f>
        <v>0</v>
      </c>
      <c r="Y29" s="663">
        <f t="shared" si="8"/>
        <v>10540800</v>
      </c>
      <c r="Z29" s="664">
        <f t="shared" si="9"/>
        <v>5.8559999999999999</v>
      </c>
      <c r="AA29" s="662">
        <v>1800000</v>
      </c>
      <c r="AB29" s="663">
        <f t="shared" si="10"/>
        <v>10540800</v>
      </c>
      <c r="AC29" s="568">
        <f t="shared" si="7"/>
        <v>9</v>
      </c>
      <c r="AD29" s="493">
        <f>IFERROR(INDEX('[6]CN BC'!$M$10:$M$276,MATCH(B29,'[6]CN BC'!$H$10:$H$276,0)),"")</f>
        <v>0</v>
      </c>
      <c r="AE29" s="141" t="s">
        <v>2015</v>
      </c>
      <c r="AF29" s="497"/>
      <c r="AG29" s="497"/>
      <c r="AH29" s="155"/>
      <c r="AI29" s="108"/>
      <c r="AJ29" s="108"/>
      <c r="AK29" s="108"/>
      <c r="AL29" s="108"/>
      <c r="AM29" s="108"/>
      <c r="AN29" s="108"/>
    </row>
    <row r="30" spans="1:44" s="372" customFormat="1" ht="31.5" customHeight="1">
      <c r="A30" s="379">
        <f>_xlfn.AGGREGATE(4,7,A$19:A29)+1</f>
        <v>10</v>
      </c>
      <c r="B30" s="363" t="s">
        <v>1448</v>
      </c>
      <c r="C30" s="375" t="s">
        <v>951</v>
      </c>
      <c r="D30" s="434" t="s">
        <v>1620</v>
      </c>
      <c r="E30" s="426" t="s">
        <v>1574</v>
      </c>
      <c r="F30" s="366">
        <v>3.46</v>
      </c>
      <c r="G30" s="367"/>
      <c r="H30" s="368">
        <f t="shared" si="0"/>
        <v>3.46</v>
      </c>
      <c r="I30" s="368"/>
      <c r="J30" s="368" t="str">
        <f>VLOOKUP(B30,[4]CN!$B$33:$J$365,9,FALSE)</f>
        <v>NV Phòng Tổ chức - Hành chính - Tổng hợp</v>
      </c>
      <c r="K30" s="369">
        <f t="shared" si="1"/>
        <v>3.46</v>
      </c>
      <c r="L30" s="362">
        <f t="shared" si="2"/>
        <v>6228000</v>
      </c>
      <c r="M30" s="366" t="str">
        <f>VLOOKUP(B30,'[5]Gui chi Quynh'!$B$11:$E$400,4,FALSE)</f>
        <v>A1</v>
      </c>
      <c r="N30" s="494">
        <f t="shared" si="3"/>
        <v>9964800</v>
      </c>
      <c r="O30" s="366">
        <v>16</v>
      </c>
      <c r="P30" s="440">
        <f>IFERROR(INDEX('[6]CN BC'!$J$10:$J$277,MATCH(B30,'[6]CN BC'!$H$10:$H$277,0)),"")</f>
        <v>17</v>
      </c>
      <c r="Q30" s="494">
        <f t="shared" si="4"/>
        <v>9964800</v>
      </c>
      <c r="R30" s="460"/>
      <c r="S30" s="362">
        <f t="shared" si="12"/>
        <v>0</v>
      </c>
      <c r="T30" s="370"/>
      <c r="U30" s="362">
        <f t="shared" si="5"/>
        <v>0</v>
      </c>
      <c r="V30" s="584">
        <f t="shared" si="6"/>
        <v>62280</v>
      </c>
      <c r="W30" s="371">
        <f t="shared" si="11"/>
        <v>9964800</v>
      </c>
      <c r="X30" s="440" t="str">
        <f>IFERROR(INDEX([7]TL!$X$12:$X$200,MATCH(B30,[7]TL!$B$12:$B$200,0)),"0")</f>
        <v>0</v>
      </c>
      <c r="Y30" s="663">
        <f t="shared" si="8"/>
        <v>9964800</v>
      </c>
      <c r="Z30" s="664">
        <f t="shared" si="9"/>
        <v>5.5359999999999996</v>
      </c>
      <c r="AA30" s="662">
        <v>1800000</v>
      </c>
      <c r="AB30" s="663">
        <f t="shared" si="10"/>
        <v>9964800</v>
      </c>
      <c r="AC30" s="568">
        <f t="shared" si="7"/>
        <v>10</v>
      </c>
      <c r="AD30" s="493">
        <f>IFERROR(INDEX('[6]CN BC'!$M$10:$M$276,MATCH(B30,'[6]CN BC'!$H$10:$H$276,0)),"")</f>
        <v>0</v>
      </c>
      <c r="AE30" s="141" t="s">
        <v>2015</v>
      </c>
      <c r="AF30" s="108"/>
      <c r="AG30" s="497"/>
      <c r="AH30" s="155"/>
      <c r="AI30" s="108"/>
      <c r="AJ30" s="108"/>
      <c r="AK30" s="108"/>
      <c r="AL30" s="108"/>
      <c r="AM30" s="108"/>
      <c r="AN30" s="108"/>
    </row>
    <row r="31" spans="1:44" s="372" customFormat="1" ht="31.5" customHeight="1">
      <c r="A31" s="379">
        <f>_xlfn.AGGREGATE(4,7,A$19:A30)+1</f>
        <v>11</v>
      </c>
      <c r="B31" s="363" t="s">
        <v>1449</v>
      </c>
      <c r="C31" s="375" t="s">
        <v>1436</v>
      </c>
      <c r="D31" s="406" t="s">
        <v>1621</v>
      </c>
      <c r="E31" s="427">
        <v>1603205280047</v>
      </c>
      <c r="F31" s="373">
        <v>3.66</v>
      </c>
      <c r="G31" s="378"/>
      <c r="H31" s="368">
        <f t="shared" si="0"/>
        <v>3.66</v>
      </c>
      <c r="I31" s="368"/>
      <c r="J31" s="368" t="str">
        <f>VLOOKUP(B31,[4]CN!$B$33:$J$365,9,FALSE)</f>
        <v>NV Phòng Tổ chức - Hành chính - Tổng hợp</v>
      </c>
      <c r="K31" s="369">
        <f t="shared" si="1"/>
        <v>3.66</v>
      </c>
      <c r="L31" s="362">
        <f t="shared" si="2"/>
        <v>6588000</v>
      </c>
      <c r="M31" s="366" t="str">
        <f>VLOOKUP(B31,'[5]Gui chi Quynh'!$B$11:$E$400,4,FALSE)</f>
        <v>A4</v>
      </c>
      <c r="N31" s="494">
        <f t="shared" si="3"/>
        <v>6588000</v>
      </c>
      <c r="O31" s="366">
        <v>16</v>
      </c>
      <c r="P31" s="440">
        <f>IFERROR(INDEX('[6]CN BC'!$J$10:$J$277,MATCH(B31,'[6]CN BC'!$H$10:$H$277,0)),"")</f>
        <v>14</v>
      </c>
      <c r="Q31" s="494">
        <f t="shared" si="4"/>
        <v>5764500</v>
      </c>
      <c r="R31" s="392"/>
      <c r="S31" s="362">
        <f t="shared" si="12"/>
        <v>0</v>
      </c>
      <c r="T31" s="385"/>
      <c r="U31" s="362">
        <f t="shared" si="5"/>
        <v>0</v>
      </c>
      <c r="V31" s="584">
        <f t="shared" si="6"/>
        <v>65880</v>
      </c>
      <c r="W31" s="371">
        <f t="shared" si="11"/>
        <v>5764500</v>
      </c>
      <c r="X31" s="440" t="str">
        <f>IFERROR(INDEX([7]TL!$X$12:$X$200,MATCH(B31,[7]TL!$B$12:$B$200,0)),"0")</f>
        <v>0</v>
      </c>
      <c r="Y31" s="663">
        <f t="shared" si="8"/>
        <v>5764500</v>
      </c>
      <c r="Z31" s="664">
        <f t="shared" si="9"/>
        <v>3.2025000000000001</v>
      </c>
      <c r="AA31" s="662">
        <v>1800000</v>
      </c>
      <c r="AB31" s="663">
        <f t="shared" si="10"/>
        <v>5764500</v>
      </c>
      <c r="AC31" s="568">
        <f t="shared" si="7"/>
        <v>11</v>
      </c>
      <c r="AD31" s="493">
        <f>IFERROR(INDEX('[6]CN BC'!$M$10:$M$276,MATCH(B31,'[6]CN BC'!$H$10:$H$276,0)),"")</f>
        <v>0</v>
      </c>
      <c r="AE31" s="141" t="s">
        <v>2015</v>
      </c>
      <c r="AF31" s="108"/>
      <c r="AG31" s="108"/>
      <c r="AH31" s="155"/>
      <c r="AI31" s="108"/>
      <c r="AJ31" s="108"/>
      <c r="AK31" s="108"/>
      <c r="AL31" s="108"/>
      <c r="AM31" s="108"/>
      <c r="AN31" s="108"/>
      <c r="AO31" s="108"/>
      <c r="AP31" s="108"/>
      <c r="AQ31" s="108"/>
      <c r="AR31" s="108"/>
    </row>
    <row r="32" spans="1:44" s="372" customFormat="1" ht="31.5" customHeight="1">
      <c r="A32" s="379">
        <f>_xlfn.AGGREGATE(4,7,A$19:A31)+1</f>
        <v>12</v>
      </c>
      <c r="B32" s="363" t="s">
        <v>1828</v>
      </c>
      <c r="C32" s="375" t="s">
        <v>996</v>
      </c>
      <c r="D32" s="434" t="s">
        <v>1622</v>
      </c>
      <c r="E32" s="428" t="s">
        <v>385</v>
      </c>
      <c r="F32" s="366">
        <v>3.33</v>
      </c>
      <c r="G32" s="367"/>
      <c r="H32" s="368">
        <f t="shared" si="0"/>
        <v>3.33</v>
      </c>
      <c r="I32" s="368"/>
      <c r="J32" s="368" t="str">
        <f>VLOOKUP(B32,[4]CN!$B$33:$J$365,9,FALSE)</f>
        <v>NV Phòng Tổ chức - Hành chính - Tổng hợp</v>
      </c>
      <c r="K32" s="369">
        <f t="shared" si="1"/>
        <v>3.33</v>
      </c>
      <c r="L32" s="362">
        <f t="shared" si="2"/>
        <v>5994000</v>
      </c>
      <c r="M32" s="366" t="str">
        <f>VLOOKUP(B32,'[5]Gui chi Quynh'!$B$11:$E$400,4,FALSE)</f>
        <v>A1</v>
      </c>
      <c r="N32" s="494">
        <f t="shared" si="3"/>
        <v>9590400</v>
      </c>
      <c r="O32" s="366">
        <v>16</v>
      </c>
      <c r="P32" s="440">
        <f>IFERROR(INDEX('[6]CN BC'!$J$10:$J$277,MATCH(B32,'[6]CN BC'!$H$10:$H$277,0)),"")</f>
        <v>16.5</v>
      </c>
      <c r="Q32" s="494">
        <f t="shared" si="4"/>
        <v>9590400</v>
      </c>
      <c r="R32" s="460"/>
      <c r="S32" s="362">
        <f t="shared" si="12"/>
        <v>0</v>
      </c>
      <c r="T32" s="370"/>
      <c r="U32" s="362">
        <f t="shared" si="5"/>
        <v>0</v>
      </c>
      <c r="V32" s="584">
        <f t="shared" si="6"/>
        <v>59940</v>
      </c>
      <c r="W32" s="371">
        <f t="shared" si="11"/>
        <v>9590400</v>
      </c>
      <c r="X32" s="440" t="str">
        <f>IFERROR(INDEX([7]TL!$X$12:$X$200,MATCH(B32,[7]TL!$B$12:$B$200,0)),"0")</f>
        <v>0</v>
      </c>
      <c r="Y32" s="663">
        <f t="shared" si="8"/>
        <v>9590400</v>
      </c>
      <c r="Z32" s="664">
        <f t="shared" si="9"/>
        <v>5.3280000000000003</v>
      </c>
      <c r="AA32" s="662">
        <v>1800000</v>
      </c>
      <c r="AB32" s="663">
        <f t="shared" si="10"/>
        <v>9590400</v>
      </c>
      <c r="AC32" s="568">
        <f t="shared" si="7"/>
        <v>12</v>
      </c>
      <c r="AD32" s="493">
        <f>IFERROR(INDEX('[6]CN BC'!$M$10:$M$276,MATCH(B32,'[6]CN BC'!$H$10:$H$276,0)),"")</f>
        <v>0</v>
      </c>
      <c r="AE32" s="141" t="s">
        <v>2015</v>
      </c>
      <c r="AF32" s="108"/>
      <c r="AG32" s="108"/>
      <c r="AH32" s="155"/>
      <c r="AI32" s="108"/>
      <c r="AJ32" s="108"/>
      <c r="AK32" s="108"/>
      <c r="AL32" s="108"/>
      <c r="AM32" s="108"/>
      <c r="AN32" s="108"/>
    </row>
    <row r="33" spans="1:44" s="372" customFormat="1" ht="31.5" customHeight="1">
      <c r="A33" s="379">
        <f>_xlfn.AGGREGATE(4,7,A$19:A32)+1</f>
        <v>13</v>
      </c>
      <c r="B33" s="363" t="s">
        <v>1847</v>
      </c>
      <c r="C33" s="375" t="s">
        <v>1094</v>
      </c>
      <c r="D33" s="406" t="s">
        <v>1643</v>
      </c>
      <c r="E33" s="423" t="s">
        <v>8</v>
      </c>
      <c r="F33" s="366">
        <v>3.66</v>
      </c>
      <c r="G33" s="367"/>
      <c r="H33" s="368">
        <f t="shared" si="0"/>
        <v>3.66</v>
      </c>
      <c r="I33" s="368"/>
      <c r="J33" s="368" t="str">
        <f>VLOOKUP(B33,[4]CN!$B$33:$J$365,9,FALSE)</f>
        <v>NV Phòng Tổ chức - Hành chính - Tổng hợp</v>
      </c>
      <c r="K33" s="369">
        <f t="shared" si="1"/>
        <v>3.66</v>
      </c>
      <c r="L33" s="362">
        <f t="shared" si="2"/>
        <v>6588000</v>
      </c>
      <c r="M33" s="366" t="str">
        <f>VLOOKUP(B33,'[5]Gui chi Quynh'!$B$11:$E$400,4,FALSE)</f>
        <v>A3</v>
      </c>
      <c r="N33" s="494">
        <f t="shared" si="3"/>
        <v>7905600</v>
      </c>
      <c r="O33" s="366">
        <v>16</v>
      </c>
      <c r="P33" s="440">
        <f>IFERROR(INDEX('[6]CN BC'!$J$10:$J$277,MATCH(B33,'[6]CN BC'!$H$10:$H$277,0)),"")</f>
        <v>16</v>
      </c>
      <c r="Q33" s="494">
        <f t="shared" si="4"/>
        <v>7905600</v>
      </c>
      <c r="R33" s="460"/>
      <c r="S33" s="362">
        <f>R33*$G$15*1.4</f>
        <v>0</v>
      </c>
      <c r="T33" s="370"/>
      <c r="U33" s="362">
        <f t="shared" si="5"/>
        <v>0</v>
      </c>
      <c r="V33" s="584">
        <f t="shared" si="6"/>
        <v>65880</v>
      </c>
      <c r="W33" s="371">
        <f t="shared" si="11"/>
        <v>7905600</v>
      </c>
      <c r="X33" s="440" t="str">
        <f>IFERROR(INDEX([7]TL!$X$12:$X$200,MATCH(B33,[7]TL!$B$12:$B$200,0)),"0")</f>
        <v>0</v>
      </c>
      <c r="Y33" s="663">
        <f t="shared" si="8"/>
        <v>7905600</v>
      </c>
      <c r="Z33" s="664">
        <f t="shared" si="9"/>
        <v>4.3920000000000003</v>
      </c>
      <c r="AA33" s="662">
        <v>1800000</v>
      </c>
      <c r="AB33" s="663">
        <f t="shared" si="10"/>
        <v>7905600.0000000009</v>
      </c>
      <c r="AC33" s="568">
        <f t="shared" si="7"/>
        <v>13</v>
      </c>
      <c r="AD33" s="493">
        <f>IFERROR(INDEX('[6]CN BC'!$M$10:$M$276,MATCH(B33,'[6]CN BC'!$H$10:$H$276,0)),"")</f>
        <v>0</v>
      </c>
      <c r="AE33" s="141" t="s">
        <v>2015</v>
      </c>
      <c r="AF33" s="108"/>
      <c r="AG33" s="108"/>
      <c r="AH33" s="155"/>
      <c r="AI33" s="108"/>
      <c r="AJ33" s="108"/>
      <c r="AK33" s="108"/>
      <c r="AL33" s="108"/>
      <c r="AM33" s="108"/>
      <c r="AN33" s="108"/>
      <c r="AO33" s="108"/>
      <c r="AP33" s="108"/>
      <c r="AQ33" s="108"/>
      <c r="AR33" s="108"/>
    </row>
    <row r="34" spans="1:44" s="372" customFormat="1" ht="31.5" customHeight="1">
      <c r="A34" s="379">
        <f>_xlfn.AGGREGATE(4,7,A$19:A33)+1</f>
        <v>14</v>
      </c>
      <c r="B34" s="363" t="s">
        <v>1848</v>
      </c>
      <c r="C34" s="375" t="s">
        <v>1431</v>
      </c>
      <c r="D34" s="434" t="s">
        <v>1644</v>
      </c>
      <c r="E34" s="426">
        <v>1603205360856</v>
      </c>
      <c r="F34" s="373">
        <v>3.33</v>
      </c>
      <c r="G34" s="367"/>
      <c r="H34" s="445">
        <f t="shared" si="0"/>
        <v>3.33</v>
      </c>
      <c r="I34" s="368"/>
      <c r="J34" s="368" t="str">
        <f>VLOOKUP(B34,[4]CN!$B$33:$J$365,9,FALSE)</f>
        <v>NV Phòng Tổ chức - Hành chính - Tổng hợp</v>
      </c>
      <c r="K34" s="369">
        <f t="shared" si="1"/>
        <v>3.33</v>
      </c>
      <c r="L34" s="362">
        <f t="shared" si="2"/>
        <v>5994000</v>
      </c>
      <c r="M34" s="366" t="str">
        <f>VLOOKUP(B34,'[5]Gui chi Quynh'!$B$11:$E$400,4,FALSE)</f>
        <v>A4</v>
      </c>
      <c r="N34" s="494">
        <f t="shared" si="3"/>
        <v>5994000</v>
      </c>
      <c r="O34" s="366">
        <v>16</v>
      </c>
      <c r="P34" s="440">
        <f>IFERROR(INDEX('[6]CN BC'!$J$10:$J$277,MATCH(B34,'[6]CN BC'!$H$10:$H$277,0)),"")</f>
        <v>13</v>
      </c>
      <c r="Q34" s="494">
        <f t="shared" si="4"/>
        <v>4870125</v>
      </c>
      <c r="R34" s="460"/>
      <c r="S34" s="362">
        <f t="shared" ref="S34:S45" si="13">R34*$G$15*1</f>
        <v>0</v>
      </c>
      <c r="T34" s="370"/>
      <c r="U34" s="362">
        <f t="shared" si="5"/>
        <v>0</v>
      </c>
      <c r="V34" s="584">
        <f t="shared" si="6"/>
        <v>59940</v>
      </c>
      <c r="W34" s="371">
        <f t="shared" si="11"/>
        <v>4870125</v>
      </c>
      <c r="X34" s="440" t="str">
        <f>IFERROR(INDEX([7]TL!$X$12:$X$200,MATCH(B34,[7]TL!$B$12:$B$200,0)),"0")</f>
        <v>0</v>
      </c>
      <c r="Y34" s="663">
        <f t="shared" si="8"/>
        <v>4870125</v>
      </c>
      <c r="Z34" s="664">
        <f t="shared" si="9"/>
        <v>2.7056249999999999</v>
      </c>
      <c r="AA34" s="662">
        <v>1800000</v>
      </c>
      <c r="AB34" s="663">
        <f t="shared" si="10"/>
        <v>4870125</v>
      </c>
      <c r="AC34" s="568">
        <f t="shared" si="7"/>
        <v>14</v>
      </c>
      <c r="AD34" s="493" t="str">
        <f>IFERROR(INDEX('[6]CN BC'!$M$10:$M$276,MATCH(B34,'[6]CN BC'!$H$10:$H$276,0)),"")</f>
        <v>Trừ 3 ngày nghỉ phép 5+6+7/2</v>
      </c>
      <c r="AE34" s="536" t="s">
        <v>2015</v>
      </c>
      <c r="AH34" s="487"/>
    </row>
    <row r="35" spans="1:44" s="372" customFormat="1" ht="31.5" customHeight="1">
      <c r="A35" s="379">
        <f>_xlfn.AGGREGATE(4,7,A$19:A34)+1</f>
        <v>15</v>
      </c>
      <c r="B35" s="444" t="s">
        <v>1603</v>
      </c>
      <c r="C35" s="419" t="s">
        <v>1602</v>
      </c>
      <c r="D35" s="418" t="s">
        <v>1624</v>
      </c>
      <c r="E35" s="426">
        <v>1603205545491</v>
      </c>
      <c r="F35" s="373">
        <v>2.41</v>
      </c>
      <c r="G35" s="367"/>
      <c r="H35" s="368">
        <f t="shared" si="0"/>
        <v>2.41</v>
      </c>
      <c r="I35" s="368"/>
      <c r="J35" s="368" t="str">
        <f>VLOOKUP(B35,[4]CN!$B$33:$J$365,9,FALSE)</f>
        <v>NV Phòng Tổ chức - Hành chính - Tổng hợp</v>
      </c>
      <c r="K35" s="369">
        <f t="shared" si="1"/>
        <v>2.41</v>
      </c>
      <c r="L35" s="362">
        <f t="shared" si="2"/>
        <v>4338000</v>
      </c>
      <c r="M35" s="366" t="str">
        <f>VLOOKUP(B35,'[5]Gui chi Quynh'!$B$11:$E$400,4,FALSE)</f>
        <v>A2</v>
      </c>
      <c r="N35" s="494">
        <f t="shared" si="3"/>
        <v>6073200</v>
      </c>
      <c r="O35" s="366">
        <v>16</v>
      </c>
      <c r="P35" s="440">
        <f>IFERROR(INDEX('[6]CN BC'!$J$10:$J$277,MATCH(B35,'[6]CN BC'!$H$10:$H$277,0)),"")</f>
        <v>18</v>
      </c>
      <c r="Q35" s="494">
        <f t="shared" si="4"/>
        <v>6073200</v>
      </c>
      <c r="R35" s="460"/>
      <c r="S35" s="362">
        <f t="shared" si="13"/>
        <v>0</v>
      </c>
      <c r="T35" s="370"/>
      <c r="U35" s="362">
        <f t="shared" si="5"/>
        <v>0</v>
      </c>
      <c r="V35" s="584">
        <f t="shared" si="6"/>
        <v>43380</v>
      </c>
      <c r="W35" s="371">
        <f t="shared" si="11"/>
        <v>6073200</v>
      </c>
      <c r="X35" s="440" t="str">
        <f>IFERROR(INDEX([7]TL!$X$12:$X$200,MATCH(B35,[7]TL!$B$12:$B$200,0)),"0")</f>
        <v>0</v>
      </c>
      <c r="Y35" s="663">
        <f t="shared" si="8"/>
        <v>6073200</v>
      </c>
      <c r="Z35" s="664">
        <f t="shared" si="9"/>
        <v>3.3740000000000001</v>
      </c>
      <c r="AA35" s="662">
        <v>1800000</v>
      </c>
      <c r="AB35" s="663">
        <f t="shared" si="10"/>
        <v>6073200</v>
      </c>
      <c r="AC35" s="568">
        <f t="shared" si="7"/>
        <v>15</v>
      </c>
      <c r="AD35" s="493">
        <f>IFERROR(INDEX('[6]CN BC'!$M$10:$M$276,MATCH(B35,'[6]CN BC'!$H$10:$H$276,0)),"")</f>
        <v>0</v>
      </c>
      <c r="AE35" s="141"/>
      <c r="AF35" s="108"/>
      <c r="AG35" s="108"/>
      <c r="AH35" s="155"/>
      <c r="AI35" s="108"/>
      <c r="AJ35" s="108"/>
      <c r="AK35" s="108"/>
      <c r="AL35" s="108"/>
      <c r="AM35" s="108"/>
      <c r="AN35" s="108"/>
    </row>
    <row r="36" spans="1:44" s="372" customFormat="1" ht="31.5" customHeight="1">
      <c r="A36" s="379">
        <f>_xlfn.AGGREGATE(4,7,A$19:A35)+1</f>
        <v>16</v>
      </c>
      <c r="B36" s="444" t="s">
        <v>2009</v>
      </c>
      <c r="C36" s="419"/>
      <c r="D36" s="418"/>
      <c r="E36" s="426"/>
      <c r="F36" s="373">
        <v>3.66</v>
      </c>
      <c r="G36" s="367"/>
      <c r="H36" s="368">
        <f t="shared" si="0"/>
        <v>3.66</v>
      </c>
      <c r="I36" s="368"/>
      <c r="J36" s="368" t="str">
        <f>VLOOKUP(B36,[4]CN!$B$33:$J$365,9,FALSE)</f>
        <v>NV Phòng Tổ chức - Hành chính - Tổng hợp</v>
      </c>
      <c r="K36" s="369">
        <f t="shared" si="1"/>
        <v>3.66</v>
      </c>
      <c r="L36" s="362">
        <f t="shared" si="2"/>
        <v>6588000</v>
      </c>
      <c r="M36" s="366" t="str">
        <f>VLOOKUP(B36,'[5]Gui chi Quynh'!$B$11:$E$400,4,FALSE)</f>
        <v>A3</v>
      </c>
      <c r="N36" s="494">
        <f t="shared" si="3"/>
        <v>7905600</v>
      </c>
      <c r="O36" s="366">
        <v>16</v>
      </c>
      <c r="P36" s="440">
        <f>IFERROR(INDEX('[6]CN BC'!$J$10:$J$277,MATCH(B36,'[6]CN BC'!$H$10:$H$277,0)),"")</f>
        <v>16</v>
      </c>
      <c r="Q36" s="494">
        <f t="shared" si="4"/>
        <v>7905600</v>
      </c>
      <c r="R36" s="460"/>
      <c r="S36" s="362">
        <f t="shared" si="13"/>
        <v>0</v>
      </c>
      <c r="T36" s="370"/>
      <c r="U36" s="362">
        <f t="shared" si="5"/>
        <v>0</v>
      </c>
      <c r="V36" s="584">
        <f t="shared" si="6"/>
        <v>65880</v>
      </c>
      <c r="W36" s="371">
        <f t="shared" si="11"/>
        <v>7905600</v>
      </c>
      <c r="X36" s="440" t="str">
        <f>IFERROR(INDEX([7]TL!$X$12:$X$200,MATCH(B36,[7]TL!$B$12:$B$200,0)),"0")</f>
        <v>0</v>
      </c>
      <c r="Y36" s="663">
        <f t="shared" si="8"/>
        <v>7905600</v>
      </c>
      <c r="Z36" s="664">
        <f t="shared" si="9"/>
        <v>4.3920000000000003</v>
      </c>
      <c r="AA36" s="662">
        <v>1800000</v>
      </c>
      <c r="AB36" s="663">
        <f t="shared" si="10"/>
        <v>7905600.0000000009</v>
      </c>
      <c r="AC36" s="568">
        <f t="shared" si="7"/>
        <v>16</v>
      </c>
      <c r="AD36" s="493">
        <f>IFERROR(INDEX('[6]CN BC'!$M$10:$M$276,MATCH(B36,'[6]CN BC'!$H$10:$H$276,0)),"")</f>
        <v>0</v>
      </c>
      <c r="AE36" s="536"/>
      <c r="AH36" s="487"/>
    </row>
    <row r="37" spans="1:44" s="372" customFormat="1" ht="31.5" customHeight="1">
      <c r="A37" s="379">
        <f>_xlfn.AGGREGATE(4,7,A$19:A36)+1</f>
        <v>17</v>
      </c>
      <c r="B37" s="363" t="s">
        <v>1450</v>
      </c>
      <c r="C37" s="375" t="s">
        <v>1440</v>
      </c>
      <c r="D37" s="406" t="s">
        <v>1625</v>
      </c>
      <c r="E37" s="422" t="s">
        <v>1441</v>
      </c>
      <c r="F37" s="366">
        <v>4.9800000000000004</v>
      </c>
      <c r="G37" s="367">
        <v>0.05</v>
      </c>
      <c r="H37" s="368">
        <f t="shared" si="0"/>
        <v>5.2290000000000001</v>
      </c>
      <c r="I37" s="368">
        <v>0.45</v>
      </c>
      <c r="J37" s="368" t="str">
        <f>VLOOKUP(B37,[4]CN!$B$33:$J$365,9,FALSE)</f>
        <v>Trưởng phòng Quản trị - Dịch vụ</v>
      </c>
      <c r="K37" s="369">
        <f t="shared" si="1"/>
        <v>5.6790000000000003</v>
      </c>
      <c r="L37" s="362">
        <f t="shared" si="2"/>
        <v>10222200</v>
      </c>
      <c r="M37" s="366" t="str">
        <f>VLOOKUP(B37,'[5]Gui chi Quynh'!$B$11:$E$400,4,FALSE)</f>
        <v>A1</v>
      </c>
      <c r="N37" s="494">
        <f t="shared" si="3"/>
        <v>16355520</v>
      </c>
      <c r="O37" s="366">
        <v>16</v>
      </c>
      <c r="P37" s="440">
        <f>IFERROR(INDEX('[6]CN BC'!$J$10:$J$277,MATCH(B37,'[6]CN BC'!$H$10:$H$277,0)),"")</f>
        <v>19</v>
      </c>
      <c r="Q37" s="494">
        <f t="shared" si="4"/>
        <v>16355520</v>
      </c>
      <c r="R37" s="392"/>
      <c r="S37" s="362">
        <f t="shared" si="13"/>
        <v>0</v>
      </c>
      <c r="T37" s="385"/>
      <c r="U37" s="362">
        <f t="shared" si="5"/>
        <v>0</v>
      </c>
      <c r="V37" s="584">
        <f t="shared" si="6"/>
        <v>102222</v>
      </c>
      <c r="W37" s="371">
        <f t="shared" si="11"/>
        <v>16355520</v>
      </c>
      <c r="X37" s="440" t="str">
        <f>IFERROR(INDEX([7]TL!$X$12:$X$200,MATCH(B37,[7]TL!$B$12:$B$200,0)),"0")</f>
        <v>0</v>
      </c>
      <c r="Y37" s="663">
        <f t="shared" si="8"/>
        <v>16355520</v>
      </c>
      <c r="Z37" s="664">
        <f t="shared" si="9"/>
        <v>9.0863999999999994</v>
      </c>
      <c r="AA37" s="662">
        <v>1800000</v>
      </c>
      <c r="AB37" s="663">
        <f t="shared" si="10"/>
        <v>16355519.999999998</v>
      </c>
      <c r="AC37" s="568">
        <f t="shared" si="7"/>
        <v>17</v>
      </c>
      <c r="AD37" s="493">
        <f>IFERROR(INDEX('[6]CN BC'!$M$10:$M$276,MATCH(B37,'[6]CN BC'!$H$10:$H$276,0)),"")</f>
        <v>0</v>
      </c>
      <c r="AE37" s="141"/>
      <c r="AF37" s="108"/>
      <c r="AG37" s="108"/>
      <c r="AH37" s="155"/>
      <c r="AI37" s="108"/>
      <c r="AJ37" s="108"/>
      <c r="AK37" s="108"/>
      <c r="AL37" s="108"/>
      <c r="AM37" s="108"/>
      <c r="AN37" s="108"/>
      <c r="AO37" s="108"/>
      <c r="AP37" s="108"/>
      <c r="AQ37" s="108"/>
      <c r="AR37" s="108"/>
    </row>
    <row r="38" spans="1:44" s="372" customFormat="1" ht="31.5" customHeight="1">
      <c r="A38" s="379">
        <f>_xlfn.AGGREGATE(4,7,A$19:A37)+1</f>
        <v>18</v>
      </c>
      <c r="B38" s="363" t="s">
        <v>1996</v>
      </c>
      <c r="C38" s="375" t="s">
        <v>1028</v>
      </c>
      <c r="D38" s="406" t="s">
        <v>1626</v>
      </c>
      <c r="E38" s="423" t="s">
        <v>1393</v>
      </c>
      <c r="F38" s="366">
        <v>4.9800000000000004</v>
      </c>
      <c r="G38" s="367">
        <v>7.0000000000000007E-2</v>
      </c>
      <c r="H38" s="368">
        <f t="shared" si="0"/>
        <v>5.3286000000000007</v>
      </c>
      <c r="I38" s="368">
        <v>0.35</v>
      </c>
      <c r="J38" s="368" t="str">
        <f>VLOOKUP(B38,[4]CN!$B$33:$J$365,9,FALSE)</f>
        <v>Phó TP. Quản trị - 
Dịch vụ</v>
      </c>
      <c r="K38" s="369">
        <f t="shared" si="1"/>
        <v>5.6786000000000003</v>
      </c>
      <c r="L38" s="362">
        <f t="shared" si="2"/>
        <v>10221480</v>
      </c>
      <c r="M38" s="366" t="str">
        <f>VLOOKUP(B38,'[5]Gui chi Quynh'!$B$11:$E$400,4,FALSE)</f>
        <v>A1</v>
      </c>
      <c r="N38" s="494">
        <f t="shared" si="3"/>
        <v>16354368</v>
      </c>
      <c r="O38" s="366">
        <v>16</v>
      </c>
      <c r="P38" s="440">
        <f>IFERROR(INDEX('[6]CN BC'!$J$10:$J$277,MATCH(B38,'[6]CN BC'!$H$10:$H$277,0)),"")</f>
        <v>19</v>
      </c>
      <c r="Q38" s="494">
        <f t="shared" si="4"/>
        <v>16354368</v>
      </c>
      <c r="R38" s="392"/>
      <c r="S38" s="362">
        <f t="shared" si="13"/>
        <v>0</v>
      </c>
      <c r="T38" s="385"/>
      <c r="U38" s="362">
        <f t="shared" si="5"/>
        <v>0</v>
      </c>
      <c r="V38" s="584">
        <f t="shared" si="6"/>
        <v>102215</v>
      </c>
      <c r="W38" s="371">
        <f t="shared" si="11"/>
        <v>16354368</v>
      </c>
      <c r="X38" s="440" t="str">
        <f>IFERROR(INDEX([7]TL!$X$12:$X$200,MATCH(B38,[7]TL!$B$12:$B$200,0)),"0")</f>
        <v>0</v>
      </c>
      <c r="Y38" s="663">
        <f t="shared" si="8"/>
        <v>16354368</v>
      </c>
      <c r="Z38" s="664">
        <f t="shared" si="9"/>
        <v>9.0857600000000005</v>
      </c>
      <c r="AA38" s="662">
        <v>1800000</v>
      </c>
      <c r="AB38" s="663">
        <f t="shared" si="10"/>
        <v>16354368</v>
      </c>
      <c r="AC38" s="568">
        <f t="shared" si="7"/>
        <v>18</v>
      </c>
      <c r="AD38" s="493">
        <f>IFERROR(INDEX('[6]CN BC'!$M$10:$M$276,MATCH(B38,'[6]CN BC'!$H$10:$H$276,0)),"")</f>
        <v>0</v>
      </c>
      <c r="AE38" s="141"/>
      <c r="AF38" s="108"/>
      <c r="AG38" s="108"/>
      <c r="AH38" s="155"/>
      <c r="AI38" s="108"/>
      <c r="AJ38" s="108"/>
      <c r="AK38" s="108"/>
      <c r="AL38" s="108"/>
      <c r="AM38" s="108"/>
      <c r="AN38" s="108"/>
      <c r="AO38" s="108"/>
      <c r="AP38" s="108"/>
      <c r="AQ38" s="108"/>
      <c r="AR38" s="108"/>
    </row>
    <row r="39" spans="1:44" s="108" customFormat="1" ht="31.5" customHeight="1">
      <c r="A39" s="379">
        <f>_xlfn.AGGREGATE(4,7,A$19:A38)+1</f>
        <v>19</v>
      </c>
      <c r="B39" s="33" t="s">
        <v>1849</v>
      </c>
      <c r="C39" s="149" t="s">
        <v>1172</v>
      </c>
      <c r="D39" s="406" t="s">
        <v>1627</v>
      </c>
      <c r="E39" s="424" t="s">
        <v>1267</v>
      </c>
      <c r="F39" s="10">
        <v>3.65</v>
      </c>
      <c r="G39" s="157"/>
      <c r="H39" s="368">
        <f t="shared" si="0"/>
        <v>3.65</v>
      </c>
      <c r="I39" s="81">
        <v>0.25</v>
      </c>
      <c r="J39" s="368" t="str">
        <f>VLOOKUP(B39,[4]CN!$B$33:$J$365,9,FALSE)</f>
        <v>NV Phòng Quản trị - Dịch vụ</v>
      </c>
      <c r="K39" s="369">
        <f t="shared" si="1"/>
        <v>3.9</v>
      </c>
      <c r="L39" s="362">
        <f t="shared" si="2"/>
        <v>7020000</v>
      </c>
      <c r="M39" s="366" t="str">
        <f>VLOOKUP(B39,'[5]Gui chi Quynh'!$B$11:$E$400,4,FALSE)</f>
        <v>A4</v>
      </c>
      <c r="N39" s="494">
        <f t="shared" si="3"/>
        <v>7020000</v>
      </c>
      <c r="O39" s="366">
        <v>16</v>
      </c>
      <c r="P39" s="440">
        <f>IFERROR(INDEX('[6]CN BC'!$J$10:$J$277,MATCH(B39,'[6]CN BC'!$H$10:$H$277,0)),"")</f>
        <v>14</v>
      </c>
      <c r="Q39" s="494">
        <f t="shared" si="4"/>
        <v>6142500</v>
      </c>
      <c r="R39" s="392"/>
      <c r="S39" s="362">
        <f t="shared" si="13"/>
        <v>0</v>
      </c>
      <c r="T39" s="385"/>
      <c r="U39" s="362">
        <f t="shared" si="5"/>
        <v>0</v>
      </c>
      <c r="V39" s="584">
        <f t="shared" si="6"/>
        <v>70200</v>
      </c>
      <c r="W39" s="371">
        <f t="shared" si="11"/>
        <v>6142500</v>
      </c>
      <c r="X39" s="440" t="str">
        <f>IFERROR(INDEX([7]TL!$X$12:$X$200,MATCH(B39,[7]TL!$B$12:$B$200,0)),"0")</f>
        <v>0</v>
      </c>
      <c r="Y39" s="663">
        <f t="shared" si="8"/>
        <v>6142500</v>
      </c>
      <c r="Z39" s="664">
        <f t="shared" si="9"/>
        <v>3.4125000000000001</v>
      </c>
      <c r="AA39" s="662">
        <v>1800000</v>
      </c>
      <c r="AB39" s="663">
        <f t="shared" si="10"/>
        <v>6142500</v>
      </c>
      <c r="AC39" s="568">
        <f t="shared" si="7"/>
        <v>19</v>
      </c>
      <c r="AD39" s="493" t="str">
        <f>IFERROR(INDEX('[6]CN BC'!$M$10:$M$276,MATCH(B39,'[6]CN BC'!$H$10:$H$276,0)),"")</f>
        <v>Trừ 4 ngày nghỉ phép 5+6+7+15/2</v>
      </c>
      <c r="AE39" s="141"/>
      <c r="AH39" s="155"/>
    </row>
    <row r="40" spans="1:44" s="372" customFormat="1" ht="31.5" customHeight="1">
      <c r="A40" s="379">
        <f>_xlfn.AGGREGATE(4,7,A$19:A39)+1</f>
        <v>20</v>
      </c>
      <c r="B40" s="363" t="s">
        <v>1850</v>
      </c>
      <c r="C40" s="375" t="s">
        <v>1035</v>
      </c>
      <c r="D40" s="434" t="s">
        <v>1628</v>
      </c>
      <c r="E40" s="423" t="s">
        <v>1268</v>
      </c>
      <c r="F40" s="366">
        <v>3.26</v>
      </c>
      <c r="G40" s="367"/>
      <c r="H40" s="368">
        <f t="shared" si="0"/>
        <v>3.26</v>
      </c>
      <c r="I40" s="368"/>
      <c r="J40" s="368" t="str">
        <f>VLOOKUP(B40,[4]CN!$B$33:$J$365,9,FALSE)</f>
        <v>NV Phòng Quản trị - Dịch vụ</v>
      </c>
      <c r="K40" s="369">
        <f t="shared" si="1"/>
        <v>3.26</v>
      </c>
      <c r="L40" s="362">
        <f t="shared" si="2"/>
        <v>5868000</v>
      </c>
      <c r="M40" s="366" t="str">
        <f>VLOOKUP(B40,'[5]Gui chi Quynh'!$B$11:$E$400,4,FALSE)</f>
        <v>A3</v>
      </c>
      <c r="N40" s="494">
        <f t="shared" si="3"/>
        <v>7041600</v>
      </c>
      <c r="O40" s="366">
        <v>16</v>
      </c>
      <c r="P40" s="440">
        <f>IFERROR(INDEX('[6]CN BC'!$J$10:$J$277,MATCH(B40,'[6]CN BC'!$H$10:$H$277,0)),"")</f>
        <v>15</v>
      </c>
      <c r="Q40" s="494">
        <f t="shared" si="4"/>
        <v>6601500</v>
      </c>
      <c r="R40" s="460"/>
      <c r="S40" s="362">
        <f t="shared" si="13"/>
        <v>0</v>
      </c>
      <c r="T40" s="370"/>
      <c r="U40" s="362">
        <f t="shared" si="5"/>
        <v>0</v>
      </c>
      <c r="V40" s="584">
        <f t="shared" si="6"/>
        <v>58680</v>
      </c>
      <c r="W40" s="371">
        <f t="shared" si="11"/>
        <v>6601500</v>
      </c>
      <c r="X40" s="440" t="str">
        <f>IFERROR(INDEX([7]TL!$X$12:$X$200,MATCH(B40,[7]TL!$B$12:$B$200,0)),"0")</f>
        <v>0</v>
      </c>
      <c r="Y40" s="663">
        <f t="shared" si="8"/>
        <v>6601500</v>
      </c>
      <c r="Z40" s="664">
        <f t="shared" si="9"/>
        <v>3.6675</v>
      </c>
      <c r="AA40" s="662">
        <v>1800000</v>
      </c>
      <c r="AB40" s="663">
        <f t="shared" si="10"/>
        <v>6601500</v>
      </c>
      <c r="AC40" s="568">
        <f t="shared" si="7"/>
        <v>20</v>
      </c>
      <c r="AD40" s="493" t="str">
        <f>IFERROR(INDEX('[6]CN BC'!$M$10:$M$276,MATCH(B40,'[6]CN BC'!$H$10:$H$276,0)),"")</f>
        <v>Trừ 1 ngày nghỉ phép 7/2</v>
      </c>
      <c r="AE40" s="141"/>
      <c r="AF40" s="108"/>
      <c r="AG40" s="108"/>
      <c r="AH40" s="155"/>
      <c r="AI40" s="108"/>
      <c r="AJ40" s="108"/>
      <c r="AK40" s="108"/>
      <c r="AL40" s="108"/>
      <c r="AM40" s="108"/>
      <c r="AN40" s="108"/>
    </row>
    <row r="41" spans="1:44" s="108" customFormat="1" ht="31.5" customHeight="1">
      <c r="A41" s="379">
        <f>_xlfn.AGGREGATE(4,7,A$19:A40)+1</f>
        <v>21</v>
      </c>
      <c r="B41" s="33" t="s">
        <v>1451</v>
      </c>
      <c r="C41" s="149" t="s">
        <v>1087</v>
      </c>
      <c r="D41" s="406" t="s">
        <v>1629</v>
      </c>
      <c r="E41" s="431" t="s">
        <v>367</v>
      </c>
      <c r="F41" s="10">
        <v>3.46</v>
      </c>
      <c r="G41" s="157"/>
      <c r="H41" s="368">
        <f t="shared" si="0"/>
        <v>3.46</v>
      </c>
      <c r="I41" s="81"/>
      <c r="J41" s="368" t="str">
        <f>VLOOKUP(B41,[4]CN!$B$33:$J$365,9,FALSE)</f>
        <v>Nhân viên phòng Quản trị - Dịch vụ</v>
      </c>
      <c r="K41" s="369">
        <f t="shared" si="1"/>
        <v>3.46</v>
      </c>
      <c r="L41" s="362">
        <f t="shared" si="2"/>
        <v>6228000</v>
      </c>
      <c r="M41" s="366" t="str">
        <f>VLOOKUP(B41,'[5]Gui chi Quynh'!$B$11:$E$400,4,FALSE)</f>
        <v>A1</v>
      </c>
      <c r="N41" s="494">
        <f t="shared" si="3"/>
        <v>9964800</v>
      </c>
      <c r="O41" s="366">
        <v>16</v>
      </c>
      <c r="P41" s="440">
        <f>IFERROR(INDEX('[6]CN BC'!$J$10:$J$277,MATCH(B41,'[6]CN BC'!$H$10:$H$277,0)),"")</f>
        <v>16</v>
      </c>
      <c r="Q41" s="494">
        <f t="shared" si="4"/>
        <v>9964800</v>
      </c>
      <c r="R41" s="392"/>
      <c r="S41" s="362">
        <f t="shared" si="13"/>
        <v>0</v>
      </c>
      <c r="T41" s="385"/>
      <c r="U41" s="362">
        <f t="shared" si="5"/>
        <v>0</v>
      </c>
      <c r="V41" s="584">
        <f t="shared" si="6"/>
        <v>62280</v>
      </c>
      <c r="W41" s="371">
        <f t="shared" si="11"/>
        <v>9964800</v>
      </c>
      <c r="X41" s="440" t="str">
        <f>IFERROR(INDEX([7]TL!$X$12:$X$200,MATCH(B41,[7]TL!$B$12:$B$200,0)),"0")</f>
        <v>0</v>
      </c>
      <c r="Y41" s="663">
        <f t="shared" si="8"/>
        <v>9964800</v>
      </c>
      <c r="Z41" s="664">
        <f t="shared" si="9"/>
        <v>5.5359999999999996</v>
      </c>
      <c r="AA41" s="662">
        <v>1800000</v>
      </c>
      <c r="AB41" s="663">
        <f t="shared" si="10"/>
        <v>9964800</v>
      </c>
      <c r="AC41" s="568">
        <f t="shared" si="7"/>
        <v>21</v>
      </c>
      <c r="AD41" s="493">
        <f>IFERROR(INDEX('[6]CN BC'!$M$10:$M$276,MATCH(B41,'[6]CN BC'!$H$10:$H$276,0)),"")</f>
        <v>0</v>
      </c>
      <c r="AE41" s="141"/>
      <c r="AF41" s="471"/>
      <c r="AH41" s="155"/>
    </row>
    <row r="42" spans="1:44" s="372" customFormat="1" ht="31.5" customHeight="1">
      <c r="A42" s="379">
        <f>_xlfn.AGGREGATE(4,7,A$19:A41)+1</f>
        <v>22</v>
      </c>
      <c r="B42" s="363" t="s">
        <v>1452</v>
      </c>
      <c r="C42" s="375" t="s">
        <v>876</v>
      </c>
      <c r="D42" s="434" t="s">
        <v>1630</v>
      </c>
      <c r="E42" s="426">
        <v>1603205348129</v>
      </c>
      <c r="F42" s="366">
        <v>3.34</v>
      </c>
      <c r="G42" s="367"/>
      <c r="H42" s="368">
        <f t="shared" si="0"/>
        <v>3.34</v>
      </c>
      <c r="I42" s="368"/>
      <c r="J42" s="368" t="str">
        <f>VLOOKUP(B42,[4]CN!$B$33:$J$365,9,FALSE)</f>
        <v>Nhân viên phòng Quản trị - Dịch vụ</v>
      </c>
      <c r="K42" s="369">
        <f t="shared" si="1"/>
        <v>3.34</v>
      </c>
      <c r="L42" s="362">
        <f t="shared" si="2"/>
        <v>6012000</v>
      </c>
      <c r="M42" s="366" t="str">
        <f>VLOOKUP(B42,'[5]Gui chi Quynh'!$B$11:$E$400,4,FALSE)</f>
        <v>A1</v>
      </c>
      <c r="N42" s="494">
        <f t="shared" si="3"/>
        <v>9619200</v>
      </c>
      <c r="O42" s="366">
        <v>16</v>
      </c>
      <c r="P42" s="440">
        <f>IFERROR(INDEX('[6]CN BC'!$J$10:$J$277,MATCH(B42,'[6]CN BC'!$H$10:$H$277,0)),"")</f>
        <v>16</v>
      </c>
      <c r="Q42" s="494">
        <f t="shared" si="4"/>
        <v>9619200</v>
      </c>
      <c r="R42" s="460"/>
      <c r="S42" s="362">
        <f t="shared" si="13"/>
        <v>0</v>
      </c>
      <c r="T42" s="370"/>
      <c r="U42" s="362">
        <f t="shared" si="5"/>
        <v>0</v>
      </c>
      <c r="V42" s="584">
        <f t="shared" si="6"/>
        <v>60120</v>
      </c>
      <c r="W42" s="371">
        <f t="shared" si="11"/>
        <v>9619200</v>
      </c>
      <c r="X42" s="440" t="str">
        <f>IFERROR(INDEX([7]TL!$X$12:$X$200,MATCH(B42,[7]TL!$B$12:$B$200,0)),"0")</f>
        <v>0</v>
      </c>
      <c r="Y42" s="663">
        <f t="shared" si="8"/>
        <v>9619200</v>
      </c>
      <c r="Z42" s="664">
        <f t="shared" si="9"/>
        <v>5.3440000000000003</v>
      </c>
      <c r="AA42" s="662">
        <v>1800000</v>
      </c>
      <c r="AB42" s="663">
        <f t="shared" si="10"/>
        <v>9619200</v>
      </c>
      <c r="AC42" s="568">
        <f t="shared" si="7"/>
        <v>22</v>
      </c>
      <c r="AD42" s="493">
        <f>IFERROR(INDEX('[6]CN BC'!$M$10:$M$276,MATCH(B42,'[6]CN BC'!$H$10:$H$276,0)),"")</f>
        <v>0</v>
      </c>
      <c r="AE42" s="141"/>
      <c r="AF42" s="108"/>
      <c r="AG42" s="108"/>
      <c r="AH42" s="155"/>
      <c r="AI42" s="108"/>
      <c r="AJ42" s="108"/>
      <c r="AK42" s="108"/>
      <c r="AL42" s="108"/>
      <c r="AM42" s="108"/>
      <c r="AN42" s="108"/>
    </row>
    <row r="43" spans="1:44" s="108" customFormat="1" ht="31.5" customHeight="1">
      <c r="A43" s="379">
        <f>_xlfn.AGGREGATE(4,7,A$19:A42)+1</f>
        <v>23</v>
      </c>
      <c r="B43" s="33" t="s">
        <v>1453</v>
      </c>
      <c r="C43" s="149" t="s">
        <v>939</v>
      </c>
      <c r="D43" s="406" t="s">
        <v>1631</v>
      </c>
      <c r="E43" s="431" t="s">
        <v>384</v>
      </c>
      <c r="F43" s="83">
        <v>3.66</v>
      </c>
      <c r="G43" s="157"/>
      <c r="H43" s="445">
        <f t="shared" si="0"/>
        <v>3.66</v>
      </c>
      <c r="I43" s="81"/>
      <c r="J43" s="368" t="str">
        <f>VLOOKUP(B43,[4]CN!$B$33:$J$365,9,FALSE)</f>
        <v>Nhân viên phòng Quản trị - Dịch vụ</v>
      </c>
      <c r="K43" s="369">
        <f t="shared" si="1"/>
        <v>3.66</v>
      </c>
      <c r="L43" s="362">
        <f t="shared" si="2"/>
        <v>6588000</v>
      </c>
      <c r="M43" s="366" t="str">
        <f>VLOOKUP(B43,'[5]Gui chi Quynh'!$B$11:$E$400,4,FALSE)</f>
        <v>A3</v>
      </c>
      <c r="N43" s="494">
        <f t="shared" si="3"/>
        <v>7905600</v>
      </c>
      <c r="O43" s="366">
        <v>16</v>
      </c>
      <c r="P43" s="440">
        <f>IFERROR(INDEX('[6]CN BC'!$J$10:$J$277,MATCH(B43,'[6]CN BC'!$H$10:$H$277,0)),"")</f>
        <v>16</v>
      </c>
      <c r="Q43" s="494">
        <f t="shared" si="4"/>
        <v>7905600</v>
      </c>
      <c r="R43" s="392"/>
      <c r="S43" s="362">
        <f t="shared" si="13"/>
        <v>0</v>
      </c>
      <c r="T43" s="385"/>
      <c r="U43" s="362">
        <f t="shared" si="5"/>
        <v>0</v>
      </c>
      <c r="V43" s="584">
        <f t="shared" si="6"/>
        <v>65880</v>
      </c>
      <c r="W43" s="371">
        <f t="shared" si="11"/>
        <v>7905600</v>
      </c>
      <c r="X43" s="440" t="str">
        <f>IFERROR(INDEX([7]TL!$X$12:$X$200,MATCH(B43,[7]TL!$B$12:$B$200,0)),"0")</f>
        <v>0</v>
      </c>
      <c r="Y43" s="663">
        <f t="shared" si="8"/>
        <v>7905600</v>
      </c>
      <c r="Z43" s="664">
        <f t="shared" si="9"/>
        <v>4.3920000000000003</v>
      </c>
      <c r="AA43" s="662">
        <v>1800000</v>
      </c>
      <c r="AB43" s="663">
        <f t="shared" si="10"/>
        <v>7905600.0000000009</v>
      </c>
      <c r="AC43" s="568">
        <f t="shared" si="7"/>
        <v>23</v>
      </c>
      <c r="AD43" s="493">
        <f>IFERROR(INDEX('[6]CN BC'!$M$10:$M$276,MATCH(B43,'[6]CN BC'!$H$10:$H$276,0)),"")</f>
        <v>0</v>
      </c>
      <c r="AE43" s="141"/>
      <c r="AH43" s="155"/>
    </row>
    <row r="44" spans="1:44" s="372" customFormat="1" ht="25.5" customHeight="1">
      <c r="A44" s="379">
        <f>_xlfn.AGGREGATE(4,7,A$19:A43)+1</f>
        <v>24</v>
      </c>
      <c r="B44" s="363" t="s">
        <v>1522</v>
      </c>
      <c r="C44" s="380" t="s">
        <v>891</v>
      </c>
      <c r="D44" s="434" t="s">
        <v>1633</v>
      </c>
      <c r="E44" s="430">
        <v>1603205357238</v>
      </c>
      <c r="F44" s="366">
        <v>3.03</v>
      </c>
      <c r="G44" s="367"/>
      <c r="H44" s="368">
        <f t="shared" si="0"/>
        <v>3.03</v>
      </c>
      <c r="I44" s="368"/>
      <c r="J44" s="368" t="str">
        <f>VLOOKUP(B44,[4]CN!$B$33:$J$365,9,FALSE)</f>
        <v>Nhân viên P. QT-DV</v>
      </c>
      <c r="K44" s="369">
        <f t="shared" si="1"/>
        <v>3.03</v>
      </c>
      <c r="L44" s="362">
        <f t="shared" si="2"/>
        <v>5454000</v>
      </c>
      <c r="M44" s="366" t="str">
        <f>VLOOKUP(B44,'[5]Gui chi Quynh'!$B$11:$E$400,4,FALSE)</f>
        <v>A4</v>
      </c>
      <c r="N44" s="494">
        <f t="shared" si="3"/>
        <v>5454000</v>
      </c>
      <c r="O44" s="366">
        <v>16</v>
      </c>
      <c r="P44" s="440">
        <f>IFERROR(INDEX('[6]CN BC'!$J$10:$J$277,MATCH(B44,'[6]CN BC'!$H$10:$H$277,0)),"")</f>
        <v>16</v>
      </c>
      <c r="Q44" s="494">
        <f t="shared" si="4"/>
        <v>5454000</v>
      </c>
      <c r="R44" s="460"/>
      <c r="S44" s="362">
        <f t="shared" si="13"/>
        <v>0</v>
      </c>
      <c r="T44" s="370"/>
      <c r="U44" s="362">
        <f t="shared" si="5"/>
        <v>0</v>
      </c>
      <c r="V44" s="584">
        <f t="shared" si="6"/>
        <v>54540</v>
      </c>
      <c r="W44" s="371">
        <f t="shared" si="11"/>
        <v>5454000</v>
      </c>
      <c r="X44" s="440" t="str">
        <f>IFERROR(INDEX([7]TL!$X$12:$X$200,MATCH(B44,[7]TL!$B$12:$B$200,0)),"0")</f>
        <v>0</v>
      </c>
      <c r="Y44" s="663">
        <f t="shared" si="8"/>
        <v>5454000</v>
      </c>
      <c r="Z44" s="664">
        <f t="shared" si="9"/>
        <v>3.03</v>
      </c>
      <c r="AA44" s="662">
        <v>1800000</v>
      </c>
      <c r="AB44" s="663">
        <f t="shared" si="10"/>
        <v>5454000</v>
      </c>
      <c r="AC44" s="568">
        <f t="shared" si="7"/>
        <v>24</v>
      </c>
      <c r="AD44" s="493">
        <f>IFERROR(INDEX('[6]CN BC'!$M$10:$M$276,MATCH(B44,'[6]CN BC'!$H$10:$H$276,0)),"")</f>
        <v>0</v>
      </c>
      <c r="AE44" s="141"/>
      <c r="AF44" s="108"/>
      <c r="AG44" s="108"/>
      <c r="AH44" s="155"/>
      <c r="AI44" s="108"/>
      <c r="AJ44" s="108"/>
      <c r="AK44" s="108"/>
      <c r="AL44" s="108"/>
      <c r="AM44" s="108"/>
      <c r="AN44" s="108"/>
    </row>
    <row r="45" spans="1:44" s="372" customFormat="1" ht="29.25" customHeight="1">
      <c r="A45" s="379">
        <f>_xlfn.AGGREGATE(4,7,A$19:A44)+1</f>
        <v>25</v>
      </c>
      <c r="B45" s="363" t="s">
        <v>1523</v>
      </c>
      <c r="C45" s="380" t="s">
        <v>876</v>
      </c>
      <c r="D45" s="434" t="s">
        <v>1634</v>
      </c>
      <c r="E45" s="426">
        <v>1603205302590</v>
      </c>
      <c r="F45" s="366">
        <v>3.34</v>
      </c>
      <c r="G45" s="367"/>
      <c r="H45" s="368">
        <f t="shared" si="0"/>
        <v>3.34</v>
      </c>
      <c r="I45" s="368"/>
      <c r="J45" s="368" t="str">
        <f>VLOOKUP(B45,[4]CN!$B$33:$J$365,9,FALSE)</f>
        <v>Nhân viên P. QT-DV</v>
      </c>
      <c r="K45" s="369">
        <f t="shared" si="1"/>
        <v>3.34</v>
      </c>
      <c r="L45" s="362">
        <f t="shared" si="2"/>
        <v>6012000</v>
      </c>
      <c r="M45" s="366" t="str">
        <f>VLOOKUP(B45,'[5]Gui chi Quynh'!$B$11:$E$400,4,FALSE)</f>
        <v>A3</v>
      </c>
      <c r="N45" s="494">
        <f t="shared" si="3"/>
        <v>7214400</v>
      </c>
      <c r="O45" s="366">
        <v>16</v>
      </c>
      <c r="P45" s="440">
        <f>IFERROR(INDEX('[6]CN BC'!$J$10:$J$277,MATCH(B45,'[6]CN BC'!$H$10:$H$277,0)),"")</f>
        <v>16</v>
      </c>
      <c r="Q45" s="494">
        <f t="shared" si="4"/>
        <v>7214400</v>
      </c>
      <c r="R45" s="460"/>
      <c r="S45" s="362">
        <f t="shared" si="13"/>
        <v>0</v>
      </c>
      <c r="T45" s="370"/>
      <c r="U45" s="362">
        <f t="shared" si="5"/>
        <v>0</v>
      </c>
      <c r="V45" s="584">
        <f t="shared" si="6"/>
        <v>60120</v>
      </c>
      <c r="W45" s="371">
        <f t="shared" si="11"/>
        <v>7214400</v>
      </c>
      <c r="X45" s="440" t="str">
        <f>IFERROR(INDEX([7]TL!$X$12:$X$200,MATCH(B45,[7]TL!$B$12:$B$200,0)),"0")</f>
        <v>0</v>
      </c>
      <c r="Y45" s="663">
        <f t="shared" si="8"/>
        <v>7214400</v>
      </c>
      <c r="Z45" s="664">
        <f t="shared" si="9"/>
        <v>4.008</v>
      </c>
      <c r="AA45" s="662">
        <v>1800000</v>
      </c>
      <c r="AB45" s="663">
        <f t="shared" si="10"/>
        <v>7214400</v>
      </c>
      <c r="AC45" s="568">
        <f t="shared" si="7"/>
        <v>25</v>
      </c>
      <c r="AD45" s="493">
        <f>IFERROR(INDEX('[6]CN BC'!$M$10:$M$276,MATCH(B45,'[6]CN BC'!$H$10:$H$276,0)),"")</f>
        <v>0</v>
      </c>
      <c r="AE45" s="141"/>
      <c r="AF45" s="108"/>
      <c r="AG45" s="108"/>
      <c r="AH45" s="155"/>
      <c r="AI45" s="108"/>
      <c r="AJ45" s="108"/>
      <c r="AK45" s="108"/>
      <c r="AL45" s="108"/>
      <c r="AM45" s="108"/>
      <c r="AN45" s="108"/>
    </row>
    <row r="46" spans="1:44" s="372" customFormat="1" ht="26.25" customHeight="1">
      <c r="A46" s="379">
        <f>_xlfn.AGGREGATE(4,7,A$19:A45)+1</f>
        <v>26</v>
      </c>
      <c r="B46" s="444" t="s">
        <v>1606</v>
      </c>
      <c r="C46" s="419" t="s">
        <v>1605</v>
      </c>
      <c r="D46" s="418" t="s">
        <v>1635</v>
      </c>
      <c r="E46" s="488" t="s">
        <v>1604</v>
      </c>
      <c r="F46" s="373">
        <v>3</v>
      </c>
      <c r="G46" s="367"/>
      <c r="H46" s="445">
        <f t="shared" si="0"/>
        <v>3</v>
      </c>
      <c r="I46" s="368">
        <v>0.35</v>
      </c>
      <c r="J46" s="368" t="str">
        <f>VLOOKUP(B46,[4]CN!$B$33:$J$365,9,FALSE)</f>
        <v>NV P. QT 
Dịch vụ</v>
      </c>
      <c r="K46" s="369">
        <f t="shared" si="1"/>
        <v>3.35</v>
      </c>
      <c r="L46" s="362">
        <f t="shared" si="2"/>
        <v>6030000</v>
      </c>
      <c r="M46" s="366" t="str">
        <f>VLOOKUP(B46,'[5]Gui chi Quynh'!$B$11:$E$400,4,FALSE)</f>
        <v>A1</v>
      </c>
      <c r="N46" s="494">
        <f t="shared" si="3"/>
        <v>9648000</v>
      </c>
      <c r="O46" s="366">
        <v>16</v>
      </c>
      <c r="P46" s="440">
        <f>IFERROR(INDEX('[6]CN BC'!$J$10:$J$277,MATCH(B46,'[6]CN BC'!$H$10:$H$277,0)),"")</f>
        <v>19</v>
      </c>
      <c r="Q46" s="494">
        <f t="shared" si="4"/>
        <v>9648000</v>
      </c>
      <c r="R46" s="460"/>
      <c r="S46" s="362">
        <f>R46*$G$15*1.6</f>
        <v>0</v>
      </c>
      <c r="T46" s="370"/>
      <c r="U46" s="362">
        <f t="shared" si="5"/>
        <v>0</v>
      </c>
      <c r="V46" s="584">
        <f t="shared" si="6"/>
        <v>60300</v>
      </c>
      <c r="W46" s="371">
        <f t="shared" si="11"/>
        <v>9648000</v>
      </c>
      <c r="X46" s="440" t="str">
        <f>IFERROR(INDEX([7]TL!$X$12:$X$200,MATCH(B46,[7]TL!$B$12:$B$200,0)),"0")</f>
        <v>0</v>
      </c>
      <c r="Y46" s="663">
        <f t="shared" si="8"/>
        <v>9648000</v>
      </c>
      <c r="Z46" s="664">
        <f t="shared" si="9"/>
        <v>5.36</v>
      </c>
      <c r="AA46" s="662">
        <v>1800000</v>
      </c>
      <c r="AB46" s="663">
        <f t="shared" si="10"/>
        <v>9648000</v>
      </c>
      <c r="AC46" s="568">
        <f t="shared" si="7"/>
        <v>26</v>
      </c>
      <c r="AD46" s="493">
        <f>IFERROR(INDEX('[6]CN BC'!$M$10:$M$276,MATCH(B46,'[6]CN BC'!$H$10:$H$276,0)),"")</f>
        <v>0</v>
      </c>
      <c r="AE46" s="141"/>
      <c r="AF46" s="108"/>
      <c r="AG46" s="108"/>
      <c r="AH46" s="155"/>
    </row>
    <row r="47" spans="1:44" s="372" customFormat="1" ht="26.25" customHeight="1">
      <c r="A47" s="379">
        <f>_xlfn.AGGREGATE(4,7,A$19:A46)+1</f>
        <v>27</v>
      </c>
      <c r="B47" s="444" t="s">
        <v>1843</v>
      </c>
      <c r="C47" s="419"/>
      <c r="D47" s="418" t="s">
        <v>1955</v>
      </c>
      <c r="E47" s="479" t="s">
        <v>1936</v>
      </c>
      <c r="F47" s="366">
        <v>2.67</v>
      </c>
      <c r="G47" s="367"/>
      <c r="H47" s="368">
        <f t="shared" si="0"/>
        <v>2.67</v>
      </c>
      <c r="I47" s="368"/>
      <c r="J47" s="368" t="str">
        <f>VLOOKUP(B47,[4]CN!$B$33:$J$365,9,FALSE)</f>
        <v>NV P. QT 
Dịch vụ</v>
      </c>
      <c r="K47" s="369">
        <f t="shared" si="1"/>
        <v>2.67</v>
      </c>
      <c r="L47" s="362">
        <f t="shared" si="2"/>
        <v>4806000</v>
      </c>
      <c r="M47" s="366" t="str">
        <f>VLOOKUP(B47,'[5]Gui chi Quynh'!$B$11:$E$400,4,FALSE)</f>
        <v>A3</v>
      </c>
      <c r="N47" s="494">
        <f t="shared" si="3"/>
        <v>5767200</v>
      </c>
      <c r="O47" s="366">
        <v>16</v>
      </c>
      <c r="P47" s="440">
        <f>IFERROR(INDEX('[6]CN BC'!$J$10:$J$277,MATCH(B47,'[6]CN BC'!$H$10:$H$277,0)),"")</f>
        <v>16</v>
      </c>
      <c r="Q47" s="494">
        <f t="shared" si="4"/>
        <v>5767200</v>
      </c>
      <c r="R47" s="460"/>
      <c r="S47" s="362">
        <f>R47*$G$15*1</f>
        <v>0</v>
      </c>
      <c r="T47" s="370"/>
      <c r="U47" s="362">
        <f t="shared" si="5"/>
        <v>0</v>
      </c>
      <c r="V47" s="584">
        <f t="shared" si="6"/>
        <v>48060</v>
      </c>
      <c r="W47" s="371">
        <f t="shared" si="11"/>
        <v>5767200</v>
      </c>
      <c r="X47" s="440" t="str">
        <f>IFERROR(INDEX([7]TL!$X$12:$X$200,MATCH(B47,[7]TL!$B$12:$B$200,0)),"0")</f>
        <v>0</v>
      </c>
      <c r="Y47" s="663">
        <f t="shared" si="8"/>
        <v>5767200</v>
      </c>
      <c r="Z47" s="664">
        <f t="shared" si="9"/>
        <v>3.2040000000000002</v>
      </c>
      <c r="AA47" s="662">
        <v>1800000</v>
      </c>
      <c r="AB47" s="663">
        <f t="shared" si="10"/>
        <v>5767200</v>
      </c>
      <c r="AC47" s="568">
        <f t="shared" si="7"/>
        <v>27</v>
      </c>
      <c r="AD47" s="493">
        <f>IFERROR(INDEX('[6]CN BC'!$M$10:$M$276,MATCH(B47,'[6]CN BC'!$H$10:$H$276,0)),"")</f>
        <v>0</v>
      </c>
      <c r="AE47" s="141"/>
      <c r="AF47" s="108"/>
      <c r="AG47" s="108"/>
      <c r="AH47" s="155"/>
      <c r="AI47" s="108"/>
      <c r="AJ47" s="108"/>
      <c r="AK47" s="108"/>
      <c r="AL47" s="108"/>
      <c r="AM47" s="108"/>
      <c r="AN47" s="108"/>
    </row>
    <row r="48" spans="1:44" s="108" customFormat="1" ht="27" customHeight="1">
      <c r="A48" s="379">
        <f>_xlfn.AGGREGATE(4,7,A$19:A47)+1</f>
        <v>28</v>
      </c>
      <c r="B48" s="33" t="s">
        <v>1856</v>
      </c>
      <c r="C48" s="149" t="s">
        <v>880</v>
      </c>
      <c r="D48" s="406" t="s">
        <v>1652</v>
      </c>
      <c r="E48" s="424" t="s">
        <v>1293</v>
      </c>
      <c r="F48" s="10">
        <v>4.9800000000000004</v>
      </c>
      <c r="G48" s="157">
        <v>0.05</v>
      </c>
      <c r="H48" s="368">
        <f t="shared" si="0"/>
        <v>5.2290000000000001</v>
      </c>
      <c r="I48" s="368">
        <v>0.25</v>
      </c>
      <c r="J48" s="368" t="str">
        <f>VLOOKUP(B48,[4]CN!$B$33:$J$365,9,FALSE)</f>
        <v>Nhân viên phòng Quản trị - Dịch vụ</v>
      </c>
      <c r="K48" s="369">
        <f t="shared" si="1"/>
        <v>5.4790000000000001</v>
      </c>
      <c r="L48" s="362">
        <f t="shared" si="2"/>
        <v>9862200</v>
      </c>
      <c r="M48" s="366" t="str">
        <f>VLOOKUP(B48,'[5]Gui chi Quynh'!$B$11:$E$400,4,FALSE)</f>
        <v>A3</v>
      </c>
      <c r="N48" s="494">
        <f t="shared" si="3"/>
        <v>11834640</v>
      </c>
      <c r="O48" s="366">
        <v>16</v>
      </c>
      <c r="P48" s="440">
        <f>IFERROR(INDEX('[6]CN BC'!$J$10:$J$277,MATCH(B48,'[6]CN BC'!$H$10:$H$277,0)),"")</f>
        <v>19</v>
      </c>
      <c r="Q48" s="494">
        <f t="shared" si="4"/>
        <v>11834640</v>
      </c>
      <c r="R48" s="392"/>
      <c r="S48" s="362">
        <f>R48*$G$15*1</f>
        <v>0</v>
      </c>
      <c r="T48" s="385"/>
      <c r="U48" s="362">
        <f t="shared" si="5"/>
        <v>0</v>
      </c>
      <c r="V48" s="584">
        <f t="shared" si="6"/>
        <v>98622</v>
      </c>
      <c r="W48" s="371">
        <f t="shared" si="11"/>
        <v>11834640</v>
      </c>
      <c r="X48" s="440" t="str">
        <f>IFERROR(INDEX([7]TL!$X$12:$X$200,MATCH(B48,[7]TL!$B$12:$B$200,0)),"0")</f>
        <v>0</v>
      </c>
      <c r="Y48" s="663">
        <f t="shared" si="8"/>
        <v>11834640</v>
      </c>
      <c r="Z48" s="664">
        <f t="shared" si="9"/>
        <v>6.5747999999999998</v>
      </c>
      <c r="AA48" s="662">
        <v>1800000</v>
      </c>
      <c r="AB48" s="663">
        <f t="shared" si="10"/>
        <v>11834640</v>
      </c>
      <c r="AC48" s="568">
        <f t="shared" si="7"/>
        <v>28</v>
      </c>
      <c r="AD48" s="493">
        <f>IFERROR(INDEX('[6]CN BC'!$M$10:$M$276,MATCH(B48,'[6]CN BC'!$H$10:$H$276,0)),"")</f>
        <v>0</v>
      </c>
      <c r="AE48" s="141"/>
      <c r="AH48" s="155"/>
    </row>
    <row r="49" spans="1:44" s="372" customFormat="1" ht="27" customHeight="1">
      <c r="A49" s="379">
        <f>_xlfn.AGGREGATE(4,7,A$19:A48)+1</f>
        <v>29</v>
      </c>
      <c r="B49" s="363" t="s">
        <v>1462</v>
      </c>
      <c r="C49" s="375" t="s">
        <v>962</v>
      </c>
      <c r="D49" s="434" t="s">
        <v>1654</v>
      </c>
      <c r="E49" s="428">
        <v>1603205182619</v>
      </c>
      <c r="F49" s="366">
        <v>3.66</v>
      </c>
      <c r="G49" s="367"/>
      <c r="H49" s="368">
        <f t="shared" si="0"/>
        <v>3.66</v>
      </c>
      <c r="I49" s="368"/>
      <c r="J49" s="368" t="str">
        <f>VLOOKUP(B49,[4]CN!$B$33:$J$365,9,FALSE)</f>
        <v>Nhân viên phòng Quản trị - Dịch vụ</v>
      </c>
      <c r="K49" s="369">
        <f t="shared" si="1"/>
        <v>3.66</v>
      </c>
      <c r="L49" s="362">
        <f t="shared" si="2"/>
        <v>6588000</v>
      </c>
      <c r="M49" s="366" t="str">
        <f>VLOOKUP(B49,'[5]Gui chi Quynh'!$B$11:$E$400,4,FALSE)</f>
        <v>A4</v>
      </c>
      <c r="N49" s="494">
        <f t="shared" si="3"/>
        <v>6588000</v>
      </c>
      <c r="O49" s="366">
        <v>16</v>
      </c>
      <c r="P49" s="440">
        <f>IFERROR(INDEX('[6]CN BC'!$J$10:$J$277,MATCH(B49,'[6]CN BC'!$H$10:$H$277,0)),"")</f>
        <v>19</v>
      </c>
      <c r="Q49" s="494">
        <f t="shared" si="4"/>
        <v>6588000</v>
      </c>
      <c r="R49" s="460"/>
      <c r="S49" s="362">
        <f>R49*$G$15*0.8</f>
        <v>0</v>
      </c>
      <c r="T49" s="370"/>
      <c r="U49" s="362">
        <f t="shared" si="5"/>
        <v>0</v>
      </c>
      <c r="V49" s="362">
        <f t="shared" si="6"/>
        <v>65880</v>
      </c>
      <c r="W49" s="371">
        <f t="shared" si="11"/>
        <v>6588000</v>
      </c>
      <c r="X49" s="440" t="str">
        <f>IFERROR(INDEX([7]TL!$X$12:$X$200,MATCH(B49,[7]TL!$B$12:$B$200,0)),"0")</f>
        <v>0</v>
      </c>
      <c r="Y49" s="663">
        <f t="shared" si="8"/>
        <v>6588000</v>
      </c>
      <c r="Z49" s="664">
        <f t="shared" si="9"/>
        <v>3.66</v>
      </c>
      <c r="AA49" s="662">
        <v>1800000</v>
      </c>
      <c r="AB49" s="663">
        <f t="shared" si="10"/>
        <v>6588000</v>
      </c>
      <c r="AC49" s="568">
        <f t="shared" si="7"/>
        <v>29</v>
      </c>
      <c r="AD49" s="551">
        <f>IFERROR(INDEX('[6]CN BC'!$M$10:$M$276,MATCH(B49,'[6]CN BC'!$H$10:$H$276,0)),"")</f>
        <v>0</v>
      </c>
      <c r="AE49" s="542"/>
      <c r="AH49" s="487"/>
    </row>
    <row r="50" spans="1:44" s="372" customFormat="1" ht="27" customHeight="1">
      <c r="A50" s="379">
        <f>_xlfn.AGGREGATE(4,7,A$19:A49)+1</f>
        <v>30</v>
      </c>
      <c r="B50" s="363" t="s">
        <v>2012</v>
      </c>
      <c r="C50" s="375"/>
      <c r="D50" s="434"/>
      <c r="E50" s="428"/>
      <c r="F50" s="366">
        <v>4.0599999999999996</v>
      </c>
      <c r="G50" s="367">
        <v>0.1</v>
      </c>
      <c r="H50" s="368">
        <f t="shared" si="0"/>
        <v>4.4659999999999993</v>
      </c>
      <c r="I50" s="368">
        <v>0.35</v>
      </c>
      <c r="J50" s="368" t="str">
        <f>VLOOKUP(B50,[4]CN!$B$33:$J$365,9,FALSE)</f>
        <v>Nhân viên phòng Quản trị - Dịch vụ</v>
      </c>
      <c r="K50" s="369">
        <f t="shared" si="1"/>
        <v>4.8159999999999989</v>
      </c>
      <c r="L50" s="362">
        <f t="shared" si="2"/>
        <v>8668799.9999999981</v>
      </c>
      <c r="M50" s="366" t="str">
        <f>VLOOKUP(B50,'[5]Gui chi Quynh'!$B$11:$E$400,4,FALSE)</f>
        <v>A1</v>
      </c>
      <c r="N50" s="494">
        <f t="shared" si="3"/>
        <v>13870079.999999998</v>
      </c>
      <c r="O50" s="366">
        <v>16</v>
      </c>
      <c r="P50" s="440">
        <f>IFERROR(INDEX('[6]CN BC'!$J$10:$J$277,MATCH(B50,'[6]CN BC'!$H$10:$H$277,0)),"")</f>
        <v>19</v>
      </c>
      <c r="Q50" s="494">
        <f t="shared" si="4"/>
        <v>13870079.999999998</v>
      </c>
      <c r="R50" s="460"/>
      <c r="S50" s="362">
        <f>R50*$G$15*0.8</f>
        <v>0</v>
      </c>
      <c r="T50" s="370"/>
      <c r="U50" s="362">
        <f t="shared" si="5"/>
        <v>0</v>
      </c>
      <c r="V50" s="584">
        <f t="shared" si="6"/>
        <v>86688</v>
      </c>
      <c r="W50" s="371">
        <f t="shared" si="11"/>
        <v>13870079.999999998</v>
      </c>
      <c r="X50" s="440" t="str">
        <f>IFERROR(INDEX([7]TL!$X$12:$X$200,MATCH(B50,[7]TL!$B$12:$B$200,0)),"0")</f>
        <v>0</v>
      </c>
      <c r="Y50" s="663">
        <f t="shared" si="8"/>
        <v>13870079.999999998</v>
      </c>
      <c r="Z50" s="664">
        <f t="shared" si="9"/>
        <v>7.7055999999999987</v>
      </c>
      <c r="AA50" s="662">
        <v>1800000</v>
      </c>
      <c r="AB50" s="663">
        <f t="shared" si="10"/>
        <v>13870079.999999998</v>
      </c>
      <c r="AC50" s="568">
        <f t="shared" si="7"/>
        <v>30</v>
      </c>
      <c r="AD50" s="493">
        <f>IFERROR(INDEX('[6]CN BC'!$M$10:$M$276,MATCH(B50,'[6]CN BC'!$H$10:$H$276,0)),"")</f>
        <v>0</v>
      </c>
      <c r="AE50" s="542"/>
      <c r="AH50" s="487"/>
    </row>
    <row r="51" spans="1:44" s="108" customFormat="1" ht="27" customHeight="1">
      <c r="A51" s="379">
        <f>_xlfn.AGGREGATE(4,7,A$19:A50)+1</f>
        <v>31</v>
      </c>
      <c r="B51" s="33" t="s">
        <v>1852</v>
      </c>
      <c r="C51" s="149" t="s">
        <v>900</v>
      </c>
      <c r="D51" s="406" t="s">
        <v>1636</v>
      </c>
      <c r="E51" s="424" t="s">
        <v>1258</v>
      </c>
      <c r="F51" s="83">
        <v>4.6500000000000004</v>
      </c>
      <c r="G51" s="161"/>
      <c r="H51" s="368">
        <f t="shared" si="0"/>
        <v>4.6500000000000004</v>
      </c>
      <c r="I51" s="81">
        <v>0.45</v>
      </c>
      <c r="J51" s="368" t="str">
        <f>VLOOKUP(B51,[4]CN!$B$33:$J$365,9,FALSE)</f>
        <v>Trưởng TT Y tế</v>
      </c>
      <c r="K51" s="369">
        <f t="shared" si="1"/>
        <v>5.1000000000000005</v>
      </c>
      <c r="L51" s="362">
        <f t="shared" si="2"/>
        <v>9180000.0000000019</v>
      </c>
      <c r="M51" s="366" t="str">
        <f>VLOOKUP(B51,'[5]Gui chi Quynh'!$B$11:$E$400,4,FALSE)</f>
        <v>A3</v>
      </c>
      <c r="N51" s="494">
        <f t="shared" si="3"/>
        <v>11016000.000000002</v>
      </c>
      <c r="O51" s="366">
        <v>16</v>
      </c>
      <c r="P51" s="440">
        <f>IFERROR(INDEX('[6]CN BC'!$J$10:$J$277,MATCH(B51,'[6]CN BC'!$H$10:$H$277,0)),"")</f>
        <v>19</v>
      </c>
      <c r="Q51" s="494">
        <f t="shared" si="4"/>
        <v>11016000.000000002</v>
      </c>
      <c r="R51" s="392"/>
      <c r="S51" s="362">
        <f>R51*$G$15*1</f>
        <v>0</v>
      </c>
      <c r="T51" s="385"/>
      <c r="U51" s="362">
        <f t="shared" si="5"/>
        <v>0</v>
      </c>
      <c r="V51" s="584">
        <f t="shared" si="6"/>
        <v>91800</v>
      </c>
      <c r="W51" s="371">
        <f t="shared" si="11"/>
        <v>11016000.000000002</v>
      </c>
      <c r="X51" s="440" t="str">
        <f>IFERROR(INDEX([7]TL!$X$12:$X$200,MATCH(B51,[7]TL!$B$12:$B$200,0)),"0")</f>
        <v>0</v>
      </c>
      <c r="Y51" s="663">
        <f t="shared" si="8"/>
        <v>11016000.000000002</v>
      </c>
      <c r="Z51" s="664">
        <f t="shared" si="9"/>
        <v>6.120000000000001</v>
      </c>
      <c r="AA51" s="662">
        <v>1800000</v>
      </c>
      <c r="AB51" s="663">
        <f t="shared" si="10"/>
        <v>11016000.000000002</v>
      </c>
      <c r="AC51" s="568">
        <f t="shared" si="7"/>
        <v>31</v>
      </c>
      <c r="AD51" s="493">
        <f>IFERROR(INDEX('[6]CN BC'!$M$10:$M$276,MATCH(B51,'[6]CN BC'!$H$10:$H$276,0)),"")</f>
        <v>0</v>
      </c>
      <c r="AE51" s="141"/>
      <c r="AH51" s="155"/>
    </row>
    <row r="52" spans="1:44" s="108" customFormat="1" ht="27" customHeight="1">
      <c r="A52" s="379">
        <f>_xlfn.AGGREGATE(4,7,A$19:A51)+1</f>
        <v>32</v>
      </c>
      <c r="B52" s="33" t="s">
        <v>1454</v>
      </c>
      <c r="C52" s="149" t="s">
        <v>885</v>
      </c>
      <c r="D52" s="406" t="s">
        <v>1637</v>
      </c>
      <c r="E52" s="431">
        <v>1603205247426</v>
      </c>
      <c r="F52" s="10">
        <v>3.66</v>
      </c>
      <c r="G52" s="157"/>
      <c r="H52" s="368">
        <f t="shared" si="0"/>
        <v>3.66</v>
      </c>
      <c r="I52" s="81"/>
      <c r="J52" s="368" t="str">
        <f>VLOOKUP(B52,[4]CN!$B$33:$J$365,9,FALSE)</f>
        <v>Nhân viên Trung tâm Y tế</v>
      </c>
      <c r="K52" s="369">
        <f t="shared" si="1"/>
        <v>3.66</v>
      </c>
      <c r="L52" s="362">
        <f t="shared" si="2"/>
        <v>6588000</v>
      </c>
      <c r="M52" s="366" t="str">
        <f>VLOOKUP(B52,'[5]Gui chi Quynh'!$B$11:$E$400,4,FALSE)</f>
        <v>A3</v>
      </c>
      <c r="N52" s="494">
        <f t="shared" si="3"/>
        <v>7905600</v>
      </c>
      <c r="O52" s="366">
        <v>16</v>
      </c>
      <c r="P52" s="440">
        <f>IFERROR(INDEX('[6]CN BC'!$J$10:$J$277,MATCH(B52,'[6]CN BC'!$H$10:$H$277,0)),"")</f>
        <v>19</v>
      </c>
      <c r="Q52" s="494">
        <f t="shared" si="4"/>
        <v>7905600</v>
      </c>
      <c r="R52" s="392"/>
      <c r="S52" s="362">
        <f>R52*$G$15*1</f>
        <v>0</v>
      </c>
      <c r="T52" s="385"/>
      <c r="U52" s="362">
        <f t="shared" si="5"/>
        <v>0</v>
      </c>
      <c r="V52" s="584">
        <f t="shared" si="6"/>
        <v>65880</v>
      </c>
      <c r="W52" s="371">
        <f t="shared" si="11"/>
        <v>7905600</v>
      </c>
      <c r="X52" s="440" t="str">
        <f>IFERROR(INDEX([7]TL!$X$12:$X$200,MATCH(B52,[7]TL!$B$12:$B$200,0)),"0")</f>
        <v>0</v>
      </c>
      <c r="Y52" s="663">
        <f t="shared" si="8"/>
        <v>7905600</v>
      </c>
      <c r="Z52" s="664">
        <f t="shared" si="9"/>
        <v>4.3920000000000003</v>
      </c>
      <c r="AA52" s="662">
        <v>1800000</v>
      </c>
      <c r="AB52" s="663">
        <f t="shared" si="10"/>
        <v>7905600.0000000009</v>
      </c>
      <c r="AC52" s="568">
        <f t="shared" si="7"/>
        <v>32</v>
      </c>
      <c r="AD52" s="493">
        <f>IFERROR(INDEX('[6]CN BC'!$M$10:$M$276,MATCH(B52,'[6]CN BC'!$H$10:$H$276,0)),"")</f>
        <v>0</v>
      </c>
      <c r="AE52" s="141"/>
      <c r="AH52" s="155"/>
    </row>
    <row r="53" spans="1:44" s="372" customFormat="1" ht="27" customHeight="1">
      <c r="A53" s="379">
        <f>_xlfn.AGGREGATE(4,7,A$19:A52)+1</f>
        <v>33</v>
      </c>
      <c r="B53" s="363" t="s">
        <v>1445</v>
      </c>
      <c r="C53" s="375" t="s">
        <v>1443</v>
      </c>
      <c r="D53" s="406" t="s">
        <v>1638</v>
      </c>
      <c r="E53" s="422" t="s">
        <v>1576</v>
      </c>
      <c r="F53" s="373">
        <v>4.9800000000000004</v>
      </c>
      <c r="G53" s="367">
        <v>0.37</v>
      </c>
      <c r="H53" s="368">
        <f t="shared" si="0"/>
        <v>6.8226000000000004</v>
      </c>
      <c r="I53" s="368">
        <v>0.45</v>
      </c>
      <c r="J53" s="368" t="str">
        <f>VLOOKUP(B53,[4]CN!$B$33:$J$365,9,FALSE)</f>
        <v>TP. Kế hoạch - Tài chính</v>
      </c>
      <c r="K53" s="369">
        <f t="shared" si="1"/>
        <v>7.2726000000000006</v>
      </c>
      <c r="L53" s="362">
        <f t="shared" si="2"/>
        <v>13090680.000000002</v>
      </c>
      <c r="M53" s="366" t="str">
        <f>VLOOKUP(B53,'[5]Gui chi Quynh'!$B$11:$E$400,4,FALSE)</f>
        <v>A1</v>
      </c>
      <c r="N53" s="494">
        <f t="shared" si="3"/>
        <v>20945088.000000004</v>
      </c>
      <c r="O53" s="366">
        <v>16</v>
      </c>
      <c r="P53" s="440">
        <f>IFERROR(INDEX('[6]CN BC'!$J$10:$J$277,MATCH(B53,'[6]CN BC'!$H$10:$H$277,0)),"")</f>
        <v>19</v>
      </c>
      <c r="Q53" s="494">
        <f t="shared" si="4"/>
        <v>20945088.000000004</v>
      </c>
      <c r="R53" s="392"/>
      <c r="S53" s="362">
        <f>R53*$G$15*1</f>
        <v>0</v>
      </c>
      <c r="T53" s="385"/>
      <c r="U53" s="362">
        <f t="shared" si="5"/>
        <v>0</v>
      </c>
      <c r="V53" s="584">
        <f t="shared" si="6"/>
        <v>130907</v>
      </c>
      <c r="W53" s="371">
        <f t="shared" si="11"/>
        <v>20945088.000000004</v>
      </c>
      <c r="X53" s="440" t="str">
        <f>IFERROR(INDEX([7]TL!$X$12:$X$200,MATCH(B53,[7]TL!$B$12:$B$200,0)),"0")</f>
        <v>0</v>
      </c>
      <c r="Y53" s="663">
        <f t="shared" si="8"/>
        <v>20945088.000000004</v>
      </c>
      <c r="Z53" s="664">
        <f t="shared" si="9"/>
        <v>11.636160000000002</v>
      </c>
      <c r="AA53" s="662">
        <v>1800000</v>
      </c>
      <c r="AB53" s="663">
        <f t="shared" si="10"/>
        <v>20945088.000000004</v>
      </c>
      <c r="AC53" s="568">
        <f t="shared" si="7"/>
        <v>33</v>
      </c>
      <c r="AD53" s="493">
        <f>IFERROR(INDEX('[6]CN BC'!$M$10:$M$276,MATCH(B53,'[6]CN BC'!$H$10:$H$276,0)),"")</f>
        <v>0</v>
      </c>
      <c r="AE53" s="141"/>
      <c r="AF53" s="108"/>
      <c r="AG53" s="108"/>
      <c r="AH53" s="155"/>
      <c r="AI53" s="108"/>
      <c r="AJ53" s="108"/>
      <c r="AK53" s="108"/>
      <c r="AL53" s="108"/>
      <c r="AM53" s="108"/>
      <c r="AN53" s="108"/>
      <c r="AO53" s="108"/>
      <c r="AP53" s="108"/>
      <c r="AQ53" s="108"/>
      <c r="AR53" s="108"/>
    </row>
    <row r="54" spans="1:44" s="108" customFormat="1" ht="26.25" customHeight="1">
      <c r="A54" s="379">
        <f>_xlfn.AGGREGATE(4,7,A$19:A53)+1</f>
        <v>34</v>
      </c>
      <c r="B54" s="33" t="s">
        <v>1455</v>
      </c>
      <c r="C54" s="149" t="s">
        <v>912</v>
      </c>
      <c r="D54" s="406" t="s">
        <v>1640</v>
      </c>
      <c r="E54" s="424" t="s">
        <v>368</v>
      </c>
      <c r="F54" s="10">
        <v>3.99</v>
      </c>
      <c r="G54" s="157"/>
      <c r="H54" s="368">
        <f t="shared" si="0"/>
        <v>3.99</v>
      </c>
      <c r="I54" s="81"/>
      <c r="J54" s="368" t="str">
        <f>VLOOKUP(B54,[4]CN!$B$33:$J$365,9,FALSE)</f>
        <v>NV phòng KH-TC</v>
      </c>
      <c r="K54" s="369">
        <f t="shared" si="1"/>
        <v>3.99</v>
      </c>
      <c r="L54" s="362">
        <f t="shared" si="2"/>
        <v>7182000</v>
      </c>
      <c r="M54" s="366" t="str">
        <f>VLOOKUP(B54,'[5]Gui chi Quynh'!$B$11:$E$400,4,FALSE)</f>
        <v>A1</v>
      </c>
      <c r="N54" s="494">
        <f t="shared" si="3"/>
        <v>11491200</v>
      </c>
      <c r="O54" s="366">
        <v>16</v>
      </c>
      <c r="P54" s="440">
        <f>IFERROR(INDEX('[6]CN BC'!$J$10:$J$277,MATCH(B54,'[6]CN BC'!$H$10:$H$277,0)),"")</f>
        <v>18</v>
      </c>
      <c r="Q54" s="494">
        <f t="shared" si="4"/>
        <v>11491200</v>
      </c>
      <c r="R54" s="392"/>
      <c r="S54" s="362">
        <f>R54*$G$15*1</f>
        <v>0</v>
      </c>
      <c r="T54" s="385"/>
      <c r="U54" s="362">
        <f t="shared" si="5"/>
        <v>0</v>
      </c>
      <c r="V54" s="584">
        <f t="shared" si="6"/>
        <v>71820</v>
      </c>
      <c r="W54" s="371">
        <f t="shared" si="11"/>
        <v>11491200</v>
      </c>
      <c r="X54" s="440" t="str">
        <f>IFERROR(INDEX([7]TL!$X$12:$X$200,MATCH(B54,[7]TL!$B$12:$B$200,0)),"0")</f>
        <v>0</v>
      </c>
      <c r="Y54" s="663">
        <f t="shared" si="8"/>
        <v>11491200</v>
      </c>
      <c r="Z54" s="664">
        <f t="shared" si="9"/>
        <v>6.3840000000000003</v>
      </c>
      <c r="AA54" s="662">
        <v>1800000</v>
      </c>
      <c r="AB54" s="663">
        <f t="shared" si="10"/>
        <v>11491200</v>
      </c>
      <c r="AC54" s="568">
        <f t="shared" si="7"/>
        <v>34</v>
      </c>
      <c r="AD54" s="493">
        <f>IFERROR(INDEX('[6]CN BC'!$M$10:$M$276,MATCH(B54,'[6]CN BC'!$H$10:$H$276,0)),"")</f>
        <v>0</v>
      </c>
      <c r="AE54" s="141"/>
      <c r="AH54" s="155"/>
    </row>
    <row r="55" spans="1:44" s="372" customFormat="1" ht="27" customHeight="1">
      <c r="A55" s="379">
        <f>_xlfn.AGGREGATE(4,7,A$19:A54)+1</f>
        <v>35</v>
      </c>
      <c r="B55" s="363" t="s">
        <v>1456</v>
      </c>
      <c r="C55" s="375" t="s">
        <v>494</v>
      </c>
      <c r="D55" s="434" t="s">
        <v>1641</v>
      </c>
      <c r="E55" s="428">
        <v>1603205178873</v>
      </c>
      <c r="F55" s="366">
        <v>3.66</v>
      </c>
      <c r="G55" s="367"/>
      <c r="H55" s="368">
        <f t="shared" si="0"/>
        <v>3.66</v>
      </c>
      <c r="I55" s="368"/>
      <c r="J55" s="368" t="str">
        <f>VLOOKUP(B55,[4]CN!$B$33:$J$365,9,FALSE)</f>
        <v>NV phòng KH-TC</v>
      </c>
      <c r="K55" s="369">
        <f t="shared" si="1"/>
        <v>3.66</v>
      </c>
      <c r="L55" s="362">
        <f t="shared" si="2"/>
        <v>6588000</v>
      </c>
      <c r="M55" s="366" t="str">
        <f>VLOOKUP(B55,'[5]Gui chi Quynh'!$B$11:$E$400,4,FALSE)</f>
        <v>A1</v>
      </c>
      <c r="N55" s="494">
        <f t="shared" si="3"/>
        <v>10540800</v>
      </c>
      <c r="O55" s="366">
        <v>16</v>
      </c>
      <c r="P55" s="440">
        <f>IFERROR(INDEX('[6]CN BC'!$J$10:$J$277,MATCH(B55,'[6]CN BC'!$H$10:$H$277,0)),"")</f>
        <v>18</v>
      </c>
      <c r="Q55" s="494">
        <f t="shared" si="4"/>
        <v>10540800</v>
      </c>
      <c r="R55" s="460"/>
      <c r="S55" s="362">
        <f>R55*$G$15*1.6</f>
        <v>0</v>
      </c>
      <c r="T55" s="370"/>
      <c r="U55" s="362">
        <f t="shared" si="5"/>
        <v>0</v>
      </c>
      <c r="V55" s="584">
        <f t="shared" si="6"/>
        <v>65880</v>
      </c>
      <c r="W55" s="371">
        <f t="shared" si="11"/>
        <v>10540800</v>
      </c>
      <c r="X55" s="440" t="str">
        <f>IFERROR(INDEX([7]TL!$X$12:$X$200,MATCH(B55,[7]TL!$B$12:$B$200,0)),"0")</f>
        <v>0</v>
      </c>
      <c r="Y55" s="663">
        <f>W55+X55</f>
        <v>10540800</v>
      </c>
      <c r="Z55" s="664">
        <f t="shared" si="9"/>
        <v>5.8559999999999999</v>
      </c>
      <c r="AA55" s="662">
        <v>1800000</v>
      </c>
      <c r="AB55" s="663">
        <f t="shared" si="10"/>
        <v>10540800</v>
      </c>
      <c r="AC55" s="568">
        <f t="shared" si="7"/>
        <v>35</v>
      </c>
      <c r="AD55" s="493">
        <f>IFERROR(INDEX('[6]CN BC'!$M$10:$M$276,MATCH(B55,'[6]CN BC'!$H$10:$H$276,0)),"")</f>
        <v>0</v>
      </c>
      <c r="AE55" s="141"/>
      <c r="AF55" s="108"/>
      <c r="AG55" s="108"/>
      <c r="AH55" s="155"/>
      <c r="AI55" s="108"/>
      <c r="AJ55" s="108"/>
      <c r="AK55" s="108"/>
      <c r="AL55" s="108"/>
      <c r="AM55" s="108"/>
      <c r="AN55" s="108"/>
    </row>
    <row r="56" spans="1:44" s="372" customFormat="1" ht="27" customHeight="1">
      <c r="A56" s="379">
        <f>_xlfn.AGGREGATE(4,7,A$19:A55)+1</f>
        <v>36</v>
      </c>
      <c r="B56" s="363" t="s">
        <v>1457</v>
      </c>
      <c r="C56" s="375" t="s">
        <v>1178</v>
      </c>
      <c r="D56" s="434" t="s">
        <v>1642</v>
      </c>
      <c r="E56" s="426">
        <v>1603205372861</v>
      </c>
      <c r="F56" s="366">
        <v>2.67</v>
      </c>
      <c r="G56" s="367"/>
      <c r="H56" s="368">
        <f t="shared" si="0"/>
        <v>2.67</v>
      </c>
      <c r="I56" s="368"/>
      <c r="J56" s="368" t="str">
        <f>VLOOKUP(B56,[4]CN!$B$33:$J$365,9,FALSE)</f>
        <v>NV phòng KH-TC</v>
      </c>
      <c r="K56" s="369">
        <f t="shared" si="1"/>
        <v>2.67</v>
      </c>
      <c r="L56" s="362">
        <f t="shared" si="2"/>
        <v>4806000</v>
      </c>
      <c r="M56" s="366" t="str">
        <f>VLOOKUP(B56,'[5]Gui chi Quynh'!$B$11:$E$400,4,FALSE)</f>
        <v>A2</v>
      </c>
      <c r="N56" s="494">
        <f t="shared" si="3"/>
        <v>6728400</v>
      </c>
      <c r="O56" s="366">
        <v>16</v>
      </c>
      <c r="P56" s="440">
        <f>IFERROR(INDEX('[6]CN BC'!$J$10:$J$277,MATCH(B56,'[6]CN BC'!$H$10:$H$277,0)),"")</f>
        <v>17</v>
      </c>
      <c r="Q56" s="494">
        <f t="shared" si="4"/>
        <v>6728400</v>
      </c>
      <c r="R56" s="460"/>
      <c r="S56" s="362">
        <f>R56*$G$15*1</f>
        <v>0</v>
      </c>
      <c r="T56" s="370"/>
      <c r="U56" s="362">
        <f t="shared" si="5"/>
        <v>0</v>
      </c>
      <c r="V56" s="584">
        <f t="shared" si="6"/>
        <v>48060</v>
      </c>
      <c r="W56" s="371">
        <f t="shared" si="11"/>
        <v>6728400</v>
      </c>
      <c r="X56" s="440" t="str">
        <f>IFERROR(INDEX([7]TL!$X$12:$X$200,MATCH(B56,[7]TL!$B$12:$B$200,0)),"0")</f>
        <v>0</v>
      </c>
      <c r="Y56" s="663">
        <f t="shared" si="8"/>
        <v>6728400</v>
      </c>
      <c r="Z56" s="664">
        <f t="shared" si="9"/>
        <v>3.738</v>
      </c>
      <c r="AA56" s="662">
        <v>1800000</v>
      </c>
      <c r="AB56" s="663">
        <f t="shared" si="10"/>
        <v>6728400</v>
      </c>
      <c r="AC56" s="568">
        <f t="shared" si="7"/>
        <v>36</v>
      </c>
      <c r="AD56" s="493" t="str">
        <f>IFERROR(INDEX('[6]CN BC'!$M$10:$M$276,MATCH(B56,'[6]CN BC'!$H$10:$H$276,0)),"")</f>
        <v>Trừ 1 ngày nghỉ phép 15/2</v>
      </c>
      <c r="AE56" s="141"/>
      <c r="AF56" s="108"/>
      <c r="AG56" s="108"/>
      <c r="AH56" s="155"/>
      <c r="AI56" s="108"/>
      <c r="AJ56" s="108"/>
      <c r="AK56" s="108"/>
      <c r="AL56" s="108"/>
      <c r="AM56" s="108"/>
      <c r="AN56" s="108"/>
    </row>
    <row r="57" spans="1:44" s="372" customFormat="1" ht="27" customHeight="1">
      <c r="A57" s="379">
        <f>_xlfn.AGGREGATE(4,7,A$19:A56)+1</f>
        <v>37</v>
      </c>
      <c r="B57" s="363" t="s">
        <v>1859</v>
      </c>
      <c r="C57" s="375" t="s">
        <v>986</v>
      </c>
      <c r="D57" s="434" t="s">
        <v>1665</v>
      </c>
      <c r="E57" s="430">
        <v>1603205185357</v>
      </c>
      <c r="F57" s="373">
        <v>3.66</v>
      </c>
      <c r="G57" s="367"/>
      <c r="H57" s="368">
        <f t="shared" si="0"/>
        <v>3.66</v>
      </c>
      <c r="I57" s="368"/>
      <c r="J57" s="368" t="str">
        <f>VLOOKUP(B57,[4]CN!$B$33:$J$365,9,FALSE)</f>
        <v>NV Phòng KH-TC</v>
      </c>
      <c r="K57" s="369">
        <f t="shared" si="1"/>
        <v>3.66</v>
      </c>
      <c r="L57" s="362">
        <f t="shared" si="2"/>
        <v>6588000</v>
      </c>
      <c r="M57" s="366" t="str">
        <f>VLOOKUP(B57,'[5]Gui chi Quynh'!$B$11:$E$400,4,FALSE)</f>
        <v>A1</v>
      </c>
      <c r="N57" s="494">
        <f t="shared" si="3"/>
        <v>10540800</v>
      </c>
      <c r="O57" s="366">
        <v>16</v>
      </c>
      <c r="P57" s="440">
        <f>IFERROR(INDEX('[6]CN BC'!$J$10:$J$277,MATCH(B57,'[6]CN BC'!$H$10:$H$277,0)),"")</f>
        <v>19</v>
      </c>
      <c r="Q57" s="494">
        <f t="shared" si="4"/>
        <v>10540800</v>
      </c>
      <c r="R57" s="460"/>
      <c r="S57" s="362">
        <f>R57*$G$15*1</f>
        <v>0</v>
      </c>
      <c r="T57" s="537"/>
      <c r="U57" s="362">
        <f t="shared" si="5"/>
        <v>0</v>
      </c>
      <c r="V57" s="584">
        <f t="shared" si="6"/>
        <v>65880</v>
      </c>
      <c r="W57" s="371">
        <f t="shared" si="11"/>
        <v>10540800</v>
      </c>
      <c r="X57" s="440" t="str">
        <f>IFERROR(INDEX([7]TL!$X$12:$X$200,MATCH(B57,[7]TL!$B$12:$B$200,0)),"0")</f>
        <v>0</v>
      </c>
      <c r="Y57" s="663">
        <f t="shared" si="8"/>
        <v>10540800</v>
      </c>
      <c r="Z57" s="664">
        <f t="shared" si="9"/>
        <v>5.8559999999999999</v>
      </c>
      <c r="AA57" s="662">
        <v>1800000</v>
      </c>
      <c r="AB57" s="663">
        <f t="shared" si="10"/>
        <v>10540800</v>
      </c>
      <c r="AC57" s="568">
        <f t="shared" si="7"/>
        <v>37</v>
      </c>
      <c r="AD57" s="493">
        <f>IFERROR(INDEX('[6]CN BC'!$M$10:$M$276,MATCH(B57,'[6]CN BC'!$H$10:$H$276,0)),"")</f>
        <v>0</v>
      </c>
      <c r="AE57" s="536"/>
      <c r="AH57" s="487"/>
    </row>
    <row r="58" spans="1:44" s="372" customFormat="1" ht="24.75" customHeight="1">
      <c r="A58" s="379">
        <f>_xlfn.AGGREGATE(4,7,A$19:A57)+1</f>
        <v>38</v>
      </c>
      <c r="B58" s="363" t="s">
        <v>1459</v>
      </c>
      <c r="C58" s="375" t="s">
        <v>1437</v>
      </c>
      <c r="D58" s="434" t="s">
        <v>1645</v>
      </c>
      <c r="E58" s="426" t="s">
        <v>1578</v>
      </c>
      <c r="F58" s="366">
        <v>4.32</v>
      </c>
      <c r="G58" s="367"/>
      <c r="H58" s="368">
        <f t="shared" si="0"/>
        <v>4.32</v>
      </c>
      <c r="I58" s="368">
        <v>0.45</v>
      </c>
      <c r="J58" s="368" t="str">
        <f>VLOOKUP(B58,[4]CN!$B$33:$J$365,9,FALSE)</f>
        <v>Phu trách TT QHDN</v>
      </c>
      <c r="K58" s="369">
        <f t="shared" si="1"/>
        <v>4.7700000000000005</v>
      </c>
      <c r="L58" s="362">
        <f t="shared" si="2"/>
        <v>8586000</v>
      </c>
      <c r="M58" s="366" t="str">
        <f>VLOOKUP(B58,'[5]Gui chi Quynh'!$B$11:$E$400,4,FALSE)</f>
        <v>A1</v>
      </c>
      <c r="N58" s="494">
        <f t="shared" si="3"/>
        <v>13737600</v>
      </c>
      <c r="O58" s="366">
        <v>16</v>
      </c>
      <c r="P58" s="440">
        <f>IFERROR(INDEX('[6]CN BC'!$J$10:$J$277,MATCH(B58,'[6]CN BC'!$H$10:$H$277,0)),"")</f>
        <v>18</v>
      </c>
      <c r="Q58" s="494">
        <f t="shared" si="4"/>
        <v>13737600</v>
      </c>
      <c r="R58" s="460"/>
      <c r="S58" s="362">
        <v>0</v>
      </c>
      <c r="T58" s="370"/>
      <c r="U58" s="362">
        <f t="shared" si="5"/>
        <v>0</v>
      </c>
      <c r="V58" s="584">
        <f t="shared" si="6"/>
        <v>85860</v>
      </c>
      <c r="W58" s="371">
        <f t="shared" si="11"/>
        <v>13737600</v>
      </c>
      <c r="X58" s="440" t="str">
        <f>IFERROR(INDEX([7]TL!$X$12:$X$200,MATCH(B58,[7]TL!$B$12:$B$200,0)),"0")</f>
        <v>0</v>
      </c>
      <c r="Y58" s="663">
        <f t="shared" si="8"/>
        <v>13737600</v>
      </c>
      <c r="Z58" s="664">
        <f t="shared" si="9"/>
        <v>7.6319999999999997</v>
      </c>
      <c r="AA58" s="662">
        <v>1800000</v>
      </c>
      <c r="AB58" s="663">
        <f t="shared" si="10"/>
        <v>13737600</v>
      </c>
      <c r="AC58" s="568">
        <f t="shared" si="7"/>
        <v>38</v>
      </c>
      <c r="AD58" s="493">
        <f>IFERROR(INDEX('[6]CN BC'!$M$10:$M$276,MATCH(B58,'[6]CN BC'!$H$10:$H$276,0)),"")</f>
        <v>0</v>
      </c>
      <c r="AE58" s="141"/>
      <c r="AF58" s="108"/>
      <c r="AG58" s="108"/>
      <c r="AH58" s="155"/>
    </row>
    <row r="59" spans="1:44" s="372" customFormat="1" ht="29.25" customHeight="1">
      <c r="A59" s="379">
        <f>_xlfn.AGGREGATE(4,7,A$19:A58)+1</f>
        <v>39</v>
      </c>
      <c r="B59" s="363" t="s">
        <v>1541</v>
      </c>
      <c r="C59" s="364" t="s">
        <v>962</v>
      </c>
      <c r="D59" s="434" t="s">
        <v>1802</v>
      </c>
      <c r="E59" s="426">
        <v>1603205356140</v>
      </c>
      <c r="F59" s="366">
        <v>3.99</v>
      </c>
      <c r="G59" s="367"/>
      <c r="H59" s="368">
        <f t="shared" si="0"/>
        <v>3.99</v>
      </c>
      <c r="I59" s="368"/>
      <c r="J59" s="368" t="str">
        <f>VLOOKUP(B59,[4]CN!$B$33:$J$365,9,FALSE)</f>
        <v>NV Trung tâm QHDN</v>
      </c>
      <c r="K59" s="369">
        <f t="shared" si="1"/>
        <v>3.99</v>
      </c>
      <c r="L59" s="362">
        <f t="shared" si="2"/>
        <v>7182000</v>
      </c>
      <c r="M59" s="366" t="str">
        <f>VLOOKUP(B59,'[5]Gui chi Quynh'!$B$11:$E$400,4,FALSE)</f>
        <v>A4</v>
      </c>
      <c r="N59" s="494">
        <f t="shared" si="3"/>
        <v>7182000</v>
      </c>
      <c r="O59" s="366">
        <v>16</v>
      </c>
      <c r="P59" s="440">
        <f>IFERROR(INDEX('[6]CN BC'!$J$10:$J$277,MATCH(B59,'[6]CN BC'!$H$10:$H$277,0)),"")</f>
        <v>14</v>
      </c>
      <c r="Q59" s="494">
        <f t="shared" si="4"/>
        <v>6284250</v>
      </c>
      <c r="R59" s="460"/>
      <c r="S59" s="362">
        <f t="shared" ref="S59:S73" si="14">R59*$G$15*1</f>
        <v>0</v>
      </c>
      <c r="T59" s="370"/>
      <c r="U59" s="362">
        <f t="shared" si="5"/>
        <v>0</v>
      </c>
      <c r="V59" s="584">
        <f t="shared" si="6"/>
        <v>71820</v>
      </c>
      <c r="W59" s="371">
        <f t="shared" si="11"/>
        <v>6284250</v>
      </c>
      <c r="X59" s="440" t="str">
        <f>IFERROR(INDEX([7]TL!$X$12:$X$200,MATCH(B59,[7]TL!$B$12:$B$200,0)),"0")</f>
        <v>0</v>
      </c>
      <c r="Y59" s="663">
        <f t="shared" si="8"/>
        <v>6284250</v>
      </c>
      <c r="Z59" s="664">
        <f t="shared" si="9"/>
        <v>3.49125</v>
      </c>
      <c r="AA59" s="662">
        <v>1800000</v>
      </c>
      <c r="AB59" s="663">
        <f t="shared" si="10"/>
        <v>6284250</v>
      </c>
      <c r="AC59" s="568">
        <f t="shared" si="7"/>
        <v>39</v>
      </c>
      <c r="AD59" s="493" t="str">
        <f>IFERROR(INDEX('[6]CN BC'!$M$10:$M$276,MATCH(B59,'[6]CN BC'!$H$10:$H$276,0)),"")</f>
        <v>Trừ 2 ngày nghỉ phép 15+16/2</v>
      </c>
      <c r="AE59" s="536"/>
      <c r="AH59" s="487"/>
    </row>
    <row r="60" spans="1:44" s="372" customFormat="1" ht="24.75" customHeight="1">
      <c r="A60" s="379">
        <f>_xlfn.AGGREGATE(4,7,A$19:A59)+1</f>
        <v>40</v>
      </c>
      <c r="B60" s="377" t="s">
        <v>1556</v>
      </c>
      <c r="C60" s="364" t="s">
        <v>885</v>
      </c>
      <c r="D60" s="434" t="s">
        <v>1648</v>
      </c>
      <c r="E60" s="430">
        <v>1603205182727</v>
      </c>
      <c r="F60" s="373">
        <v>4.32</v>
      </c>
      <c r="G60" s="374"/>
      <c r="H60" s="368">
        <f t="shared" si="0"/>
        <v>4.32</v>
      </c>
      <c r="I60" s="366"/>
      <c r="J60" s="368" t="str">
        <f>VLOOKUP(B60,[4]CN!$B$33:$J$365,9,FALSE)</f>
        <v>Nhân viên phòng Thanh tra GD - Công tác SV</v>
      </c>
      <c r="K60" s="369">
        <f t="shared" si="1"/>
        <v>4.32</v>
      </c>
      <c r="L60" s="362">
        <f t="shared" si="2"/>
        <v>7776000.0000000009</v>
      </c>
      <c r="M60" s="366" t="str">
        <f>VLOOKUP(B60,'[5]Gui chi Quynh'!$B$11:$E$400,4,FALSE)</f>
        <v>A2</v>
      </c>
      <c r="N60" s="494">
        <f t="shared" si="3"/>
        <v>10886400</v>
      </c>
      <c r="O60" s="366">
        <v>16</v>
      </c>
      <c r="P60" s="440">
        <f>IFERROR(INDEX('[6]CN BC'!$J$10:$J$277,MATCH(B60,'[6]CN BC'!$H$10:$H$277,0)),"")</f>
        <v>15</v>
      </c>
      <c r="Q60" s="494">
        <f t="shared" si="4"/>
        <v>10206000</v>
      </c>
      <c r="R60" s="476">
        <v>0</v>
      </c>
      <c r="S60" s="362">
        <f t="shared" si="14"/>
        <v>0</v>
      </c>
      <c r="T60" s="370"/>
      <c r="U60" s="362">
        <f t="shared" si="5"/>
        <v>0</v>
      </c>
      <c r="V60" s="584">
        <f t="shared" si="6"/>
        <v>77760</v>
      </c>
      <c r="W60" s="371">
        <f t="shared" si="11"/>
        <v>10206000</v>
      </c>
      <c r="X60" s="440" t="str">
        <f>IFERROR(INDEX([7]TL!$X$12:$X$200,MATCH(B60,[7]TL!$B$12:$B$200,0)),"0")</f>
        <v>0</v>
      </c>
      <c r="Y60" s="663">
        <f t="shared" si="8"/>
        <v>10206000</v>
      </c>
      <c r="Z60" s="664">
        <f t="shared" si="9"/>
        <v>5.67</v>
      </c>
      <c r="AA60" s="662">
        <v>1800000</v>
      </c>
      <c r="AB60" s="663">
        <f t="shared" si="10"/>
        <v>10206000</v>
      </c>
      <c r="AC60" s="568">
        <f t="shared" si="7"/>
        <v>40</v>
      </c>
      <c r="AD60" s="493" t="str">
        <f>IFERROR(INDEX('[6]CN BC'!$M$10:$M$276,MATCH(B60,'[6]CN BC'!$H$10:$H$276,0)),"")</f>
        <v>Trừ 1 ngày nghỉ phép 19/2</v>
      </c>
      <c r="AE60" s="141"/>
      <c r="AF60" s="108"/>
      <c r="AG60" s="108"/>
      <c r="AH60" s="155"/>
      <c r="AI60" s="108"/>
      <c r="AJ60" s="108"/>
      <c r="AK60" s="108"/>
      <c r="AL60" s="108"/>
      <c r="AM60" s="108"/>
      <c r="AN60" s="108"/>
    </row>
    <row r="61" spans="1:44" s="372" customFormat="1" ht="29.25" customHeight="1">
      <c r="A61" s="379">
        <f>_xlfn.AGGREGATE(4,7,A$19:A60)+1</f>
        <v>41</v>
      </c>
      <c r="B61" s="363" t="s">
        <v>1854</v>
      </c>
      <c r="C61" s="375" t="s">
        <v>903</v>
      </c>
      <c r="D61" s="406" t="s">
        <v>1616</v>
      </c>
      <c r="E61" s="423" t="s">
        <v>1260</v>
      </c>
      <c r="F61" s="366">
        <v>4.9800000000000004</v>
      </c>
      <c r="G61" s="367">
        <v>7.0000000000000007E-2</v>
      </c>
      <c r="H61" s="368">
        <f t="shared" si="0"/>
        <v>5.3286000000000007</v>
      </c>
      <c r="I61" s="368">
        <v>0.45</v>
      </c>
      <c r="J61" s="368" t="str">
        <f>VLOOKUP(B61,[4]CN!$B$33:$J$365,9,FALSE)</f>
        <v>Trưởng phòng Thanh tra GD - CTSV</v>
      </c>
      <c r="K61" s="369">
        <f t="shared" si="1"/>
        <v>5.7786000000000008</v>
      </c>
      <c r="L61" s="362">
        <f t="shared" si="2"/>
        <v>10401480.000000002</v>
      </c>
      <c r="M61" s="366" t="str">
        <f>VLOOKUP(B61,'[5]Gui chi Quynh'!$B$11:$E$400,4,FALSE)</f>
        <v>A2</v>
      </c>
      <c r="N61" s="494">
        <f t="shared" si="3"/>
        <v>14562072.000000002</v>
      </c>
      <c r="O61" s="366">
        <v>16</v>
      </c>
      <c r="P61" s="440">
        <f>IFERROR(INDEX('[6]CN BC'!$J$10:$J$277,MATCH(B61,'[6]CN BC'!$H$10:$H$277,0)),"")</f>
        <v>19</v>
      </c>
      <c r="Q61" s="494">
        <f t="shared" si="4"/>
        <v>14562072.000000002</v>
      </c>
      <c r="R61" s="392"/>
      <c r="S61" s="362">
        <f t="shared" si="14"/>
        <v>0</v>
      </c>
      <c r="T61" s="385"/>
      <c r="U61" s="362">
        <f t="shared" si="5"/>
        <v>0</v>
      </c>
      <c r="V61" s="584">
        <f t="shared" si="6"/>
        <v>104015</v>
      </c>
      <c r="W61" s="371">
        <f t="shared" si="11"/>
        <v>14562072.000000002</v>
      </c>
      <c r="X61" s="440" t="str">
        <f>IFERROR(INDEX([7]TL!$X$12:$X$200,MATCH(B61,[7]TL!$B$12:$B$200,0)),"0")</f>
        <v>0</v>
      </c>
      <c r="Y61" s="663">
        <f t="shared" si="8"/>
        <v>14562072.000000002</v>
      </c>
      <c r="Z61" s="664">
        <f t="shared" si="9"/>
        <v>8.0900400000000019</v>
      </c>
      <c r="AA61" s="662">
        <v>1800000</v>
      </c>
      <c r="AB61" s="663">
        <f t="shared" si="10"/>
        <v>14562072.000000004</v>
      </c>
      <c r="AC61" s="568">
        <f t="shared" si="7"/>
        <v>41</v>
      </c>
      <c r="AD61" s="493">
        <f>IFERROR(INDEX('[6]CN BC'!$M$10:$M$276,MATCH(B61,'[6]CN BC'!$H$10:$H$276,0)),"")</f>
        <v>0</v>
      </c>
      <c r="AE61" s="141"/>
      <c r="AF61" s="154"/>
      <c r="AG61" s="155"/>
      <c r="AH61" s="155">
        <v>5000000</v>
      </c>
      <c r="AI61" s="108"/>
      <c r="AJ61" s="108"/>
      <c r="AK61" s="108"/>
      <c r="AL61" s="108"/>
      <c r="AM61" s="108"/>
      <c r="AN61" s="108"/>
      <c r="AO61" s="108"/>
      <c r="AP61" s="108"/>
      <c r="AQ61" s="108"/>
      <c r="AR61" s="108"/>
    </row>
    <row r="62" spans="1:44" s="372" customFormat="1" ht="28.5" customHeight="1">
      <c r="A62" s="379">
        <f>_xlfn.AGGREGATE(4,7,A$19:A61)+1</f>
        <v>42</v>
      </c>
      <c r="B62" s="363" t="s">
        <v>1460</v>
      </c>
      <c r="C62" s="375" t="s">
        <v>885</v>
      </c>
      <c r="D62" s="434" t="s">
        <v>1650</v>
      </c>
      <c r="E62" s="428">
        <v>1603205189653</v>
      </c>
      <c r="F62" s="366">
        <v>3.99</v>
      </c>
      <c r="G62" s="367"/>
      <c r="H62" s="368">
        <f t="shared" si="0"/>
        <v>3.99</v>
      </c>
      <c r="I62" s="368"/>
      <c r="J62" s="368" t="str">
        <f>VLOOKUP(B62,[4]CN!$B$33:$J$365,9,FALSE)</f>
        <v>NV phòng Thanh tra Giáo dục - Sinh viên</v>
      </c>
      <c r="K62" s="369">
        <f t="shared" si="1"/>
        <v>3.99</v>
      </c>
      <c r="L62" s="362">
        <f t="shared" si="2"/>
        <v>7182000</v>
      </c>
      <c r="M62" s="366" t="str">
        <f>VLOOKUP(B62,'[5]Gui chi Quynh'!$B$11:$E$400,4,FALSE)</f>
        <v>A3</v>
      </c>
      <c r="N62" s="494">
        <f t="shared" si="3"/>
        <v>8618400</v>
      </c>
      <c r="O62" s="366">
        <v>16</v>
      </c>
      <c r="P62" s="440">
        <f>IFERROR(INDEX('[6]CN BC'!$J$10:$J$277,MATCH(B62,'[6]CN BC'!$H$10:$H$277,0)),"")</f>
        <v>16</v>
      </c>
      <c r="Q62" s="494">
        <f t="shared" si="4"/>
        <v>8618400</v>
      </c>
      <c r="R62" s="460"/>
      <c r="S62" s="362">
        <f t="shared" si="14"/>
        <v>0</v>
      </c>
      <c r="T62" s="370"/>
      <c r="U62" s="362">
        <f t="shared" si="5"/>
        <v>0</v>
      </c>
      <c r="V62" s="584">
        <f t="shared" si="6"/>
        <v>71820</v>
      </c>
      <c r="W62" s="371">
        <f t="shared" si="11"/>
        <v>8618400</v>
      </c>
      <c r="X62" s="440" t="str">
        <f>IFERROR(INDEX([7]TL!$X$12:$X$200,MATCH(B62,[7]TL!$B$12:$B$200,0)),"0")</f>
        <v>0</v>
      </c>
      <c r="Y62" s="663">
        <f t="shared" si="8"/>
        <v>8618400</v>
      </c>
      <c r="Z62" s="664">
        <f t="shared" si="9"/>
        <v>4.7880000000000003</v>
      </c>
      <c r="AA62" s="662">
        <v>1800000</v>
      </c>
      <c r="AB62" s="663">
        <f t="shared" si="10"/>
        <v>8618400</v>
      </c>
      <c r="AC62" s="568">
        <f t="shared" si="7"/>
        <v>42</v>
      </c>
      <c r="AD62" s="493">
        <f>IFERROR(INDEX('[6]CN BC'!$M$10:$M$276,MATCH(B62,'[6]CN BC'!$H$10:$H$276,0)),"")</f>
        <v>0</v>
      </c>
      <c r="AE62" s="536"/>
      <c r="AH62" s="487"/>
    </row>
    <row r="63" spans="1:44" s="372" customFormat="1" ht="27" customHeight="1">
      <c r="A63" s="379">
        <f>_xlfn.AGGREGATE(4,7,A$19:A62)+1</f>
        <v>43</v>
      </c>
      <c r="B63" s="363" t="s">
        <v>1461</v>
      </c>
      <c r="C63" s="375" t="s">
        <v>270</v>
      </c>
      <c r="D63" s="434" t="s">
        <v>1653</v>
      </c>
      <c r="E63" s="423" t="s">
        <v>370</v>
      </c>
      <c r="F63" s="373">
        <v>3.66</v>
      </c>
      <c r="G63" s="367"/>
      <c r="H63" s="368">
        <f t="shared" si="0"/>
        <v>3.66</v>
      </c>
      <c r="I63" s="368"/>
      <c r="J63" s="368" t="str">
        <f>VLOOKUP(B63,[4]CN!$B$33:$J$365,9,FALSE)</f>
        <v>NV phòng Thanh tra Giáo dục - Sinh viên</v>
      </c>
      <c r="K63" s="369">
        <f t="shared" si="1"/>
        <v>3.66</v>
      </c>
      <c r="L63" s="362">
        <f t="shared" si="2"/>
        <v>6588000</v>
      </c>
      <c r="M63" s="366" t="str">
        <f>VLOOKUP(B63,'[5]Gui chi Quynh'!$B$11:$E$400,4,FALSE)</f>
        <v>A4</v>
      </c>
      <c r="N63" s="494">
        <f t="shared" si="3"/>
        <v>6588000</v>
      </c>
      <c r="O63" s="366">
        <v>16</v>
      </c>
      <c r="P63" s="440">
        <f>IFERROR(INDEX('[6]CN BC'!$J$10:$J$277,MATCH(B63,'[6]CN BC'!$H$10:$H$277,0)),"")</f>
        <v>15</v>
      </c>
      <c r="Q63" s="494">
        <f t="shared" si="4"/>
        <v>6176250</v>
      </c>
      <c r="R63" s="460"/>
      <c r="S63" s="362">
        <f t="shared" si="14"/>
        <v>0</v>
      </c>
      <c r="T63" s="370"/>
      <c r="U63" s="362">
        <f t="shared" si="5"/>
        <v>0</v>
      </c>
      <c r="V63" s="584">
        <f t="shared" si="6"/>
        <v>65880</v>
      </c>
      <c r="W63" s="371">
        <f t="shared" si="11"/>
        <v>6176250</v>
      </c>
      <c r="X63" s="440" t="str">
        <f>IFERROR(INDEX([7]TL!$X$12:$X$200,MATCH(B63,[7]TL!$B$12:$B$200,0)),"0")</f>
        <v>0</v>
      </c>
      <c r="Y63" s="663">
        <f t="shared" si="8"/>
        <v>6176250</v>
      </c>
      <c r="Z63" s="664">
        <f t="shared" si="9"/>
        <v>3.4312499999999999</v>
      </c>
      <c r="AA63" s="662">
        <v>1800000</v>
      </c>
      <c r="AB63" s="663">
        <f t="shared" si="10"/>
        <v>6176250</v>
      </c>
      <c r="AC63" s="568">
        <f t="shared" si="7"/>
        <v>43</v>
      </c>
      <c r="AD63" s="493" t="str">
        <f>IFERROR(INDEX('[6]CN BC'!$M$10:$M$276,MATCH(B63,'[6]CN BC'!$H$10:$H$276,0)),"")</f>
        <v>Trừ 1 ngày nghỉ phép 15/2</v>
      </c>
      <c r="AE63" s="469"/>
      <c r="AF63" s="108"/>
      <c r="AG63" s="108"/>
      <c r="AH63" s="155"/>
      <c r="AI63" s="108"/>
      <c r="AJ63" s="108"/>
      <c r="AK63" s="108"/>
      <c r="AL63" s="108"/>
      <c r="AM63" s="108"/>
      <c r="AN63" s="108"/>
    </row>
    <row r="64" spans="1:44" s="372" customFormat="1" ht="27" customHeight="1">
      <c r="A64" s="379">
        <f>_xlfn.AGGREGATE(4,7,A$19:A63)+1</f>
        <v>44</v>
      </c>
      <c r="B64" s="363" t="s">
        <v>848</v>
      </c>
      <c r="C64" s="375" t="s">
        <v>883</v>
      </c>
      <c r="D64" s="434" t="s">
        <v>1655</v>
      </c>
      <c r="E64" s="423" t="s">
        <v>1263</v>
      </c>
      <c r="F64" s="366">
        <v>4.32</v>
      </c>
      <c r="G64" s="367"/>
      <c r="H64" s="368">
        <f t="shared" si="0"/>
        <v>4.32</v>
      </c>
      <c r="I64" s="368"/>
      <c r="J64" s="368" t="str">
        <f>VLOOKUP(B64,[4]CN!$B$33:$J$365,9,FALSE)</f>
        <v>NV phòng Thanh tra Giáo dục - Sinh viên</v>
      </c>
      <c r="K64" s="369">
        <f t="shared" si="1"/>
        <v>4.32</v>
      </c>
      <c r="L64" s="362">
        <f t="shared" si="2"/>
        <v>7776000.0000000009</v>
      </c>
      <c r="M64" s="366" t="str">
        <f>VLOOKUP(B64,'[5]Gui chi Quynh'!$B$11:$E$400,4,FALSE)</f>
        <v>A3</v>
      </c>
      <c r="N64" s="494">
        <f t="shared" si="3"/>
        <v>9331200</v>
      </c>
      <c r="O64" s="366">
        <v>16</v>
      </c>
      <c r="P64" s="440">
        <f>IFERROR(INDEX('[6]CN BC'!$J$10:$J$277,MATCH(B64,'[6]CN BC'!$H$10:$H$277,0)),"")</f>
        <v>17</v>
      </c>
      <c r="Q64" s="494">
        <f t="shared" si="4"/>
        <v>9331200</v>
      </c>
      <c r="R64" s="460"/>
      <c r="S64" s="362">
        <f t="shared" si="14"/>
        <v>0</v>
      </c>
      <c r="T64" s="370"/>
      <c r="U64" s="362">
        <f t="shared" si="5"/>
        <v>0</v>
      </c>
      <c r="V64" s="584">
        <f t="shared" si="6"/>
        <v>77760</v>
      </c>
      <c r="W64" s="371">
        <f t="shared" si="11"/>
        <v>9331200</v>
      </c>
      <c r="X64" s="440" t="str">
        <f>IFERROR(INDEX([7]TL!$X$12:$X$200,MATCH(B64,[7]TL!$B$12:$B$200,0)),"0")</f>
        <v>0</v>
      </c>
      <c r="Y64" s="663">
        <f t="shared" si="8"/>
        <v>9331200</v>
      </c>
      <c r="Z64" s="664">
        <f t="shared" si="9"/>
        <v>5.1840000000000002</v>
      </c>
      <c r="AA64" s="662">
        <v>1800000</v>
      </c>
      <c r="AB64" s="663">
        <f t="shared" si="10"/>
        <v>9331200</v>
      </c>
      <c r="AC64" s="568">
        <f t="shared" si="7"/>
        <v>44</v>
      </c>
      <c r="AD64" s="493" t="str">
        <f>IFERROR(INDEX('[6]CN BC'!$M$10:$M$276,MATCH(B64,'[6]CN BC'!$H$10:$H$276,0)),"")</f>
        <v>Trừ 2 ngày nghỉ phép 6+7/2</v>
      </c>
      <c r="AE64" s="141"/>
      <c r="AF64" s="108"/>
      <c r="AG64" s="108"/>
      <c r="AH64" s="155"/>
      <c r="AI64" s="108"/>
      <c r="AJ64" s="108"/>
      <c r="AK64" s="108"/>
      <c r="AL64" s="108"/>
      <c r="AM64" s="108"/>
      <c r="AN64" s="108"/>
    </row>
    <row r="65" spans="1:44" s="372" customFormat="1" ht="27" customHeight="1">
      <c r="A65" s="379">
        <f>_xlfn.AGGREGATE(4,7,A$19:A64)+1</f>
        <v>45</v>
      </c>
      <c r="B65" s="363" t="s">
        <v>1857</v>
      </c>
      <c r="C65" s="375" t="s">
        <v>942</v>
      </c>
      <c r="D65" s="434" t="s">
        <v>1656</v>
      </c>
      <c r="E65" s="428" t="s">
        <v>1358</v>
      </c>
      <c r="F65" s="366">
        <v>4.32</v>
      </c>
      <c r="G65" s="367"/>
      <c r="H65" s="368">
        <f t="shared" si="0"/>
        <v>4.32</v>
      </c>
      <c r="I65" s="368"/>
      <c r="J65" s="368" t="str">
        <f>VLOOKUP(B65,[4]CN!$B$33:$J$365,9,FALSE)</f>
        <v>NV phòng Thanh tra Giáo dục - Sinh viên</v>
      </c>
      <c r="K65" s="369">
        <f t="shared" si="1"/>
        <v>4.32</v>
      </c>
      <c r="L65" s="362">
        <f t="shared" si="2"/>
        <v>7776000.0000000009</v>
      </c>
      <c r="M65" s="366" t="str">
        <f>VLOOKUP(B65,'[5]Gui chi Quynh'!$B$11:$E$400,4,FALSE)</f>
        <v>A4</v>
      </c>
      <c r="N65" s="494">
        <f t="shared" si="3"/>
        <v>7776000.0000000009</v>
      </c>
      <c r="O65" s="366">
        <v>16</v>
      </c>
      <c r="P65" s="440">
        <f>IFERROR(INDEX('[6]CN BC'!$J$10:$J$277,MATCH(B65,'[6]CN BC'!$H$10:$H$277,0)),"")</f>
        <v>15</v>
      </c>
      <c r="Q65" s="494">
        <f t="shared" si="4"/>
        <v>7290000.0000000009</v>
      </c>
      <c r="R65" s="460"/>
      <c r="S65" s="362">
        <f t="shared" si="14"/>
        <v>0</v>
      </c>
      <c r="T65" s="370"/>
      <c r="U65" s="362">
        <f t="shared" si="5"/>
        <v>0</v>
      </c>
      <c r="V65" s="584">
        <f t="shared" si="6"/>
        <v>77760</v>
      </c>
      <c r="W65" s="371">
        <f t="shared" si="11"/>
        <v>7290000.0000000009</v>
      </c>
      <c r="X65" s="440" t="str">
        <f>IFERROR(INDEX([7]TL!$X$12:$X$200,MATCH(B65,[7]TL!$B$12:$B$200,0)),"0")</f>
        <v>0</v>
      </c>
      <c r="Y65" s="663">
        <f t="shared" si="8"/>
        <v>7290000.0000000009</v>
      </c>
      <c r="Z65" s="664">
        <f t="shared" si="9"/>
        <v>4.0500000000000007</v>
      </c>
      <c r="AA65" s="662">
        <v>1800000</v>
      </c>
      <c r="AB65" s="663">
        <f t="shared" si="10"/>
        <v>7290000.0000000009</v>
      </c>
      <c r="AC65" s="568">
        <f t="shared" si="7"/>
        <v>45</v>
      </c>
      <c r="AD65" s="493" t="str">
        <f>IFERROR(INDEX('[6]CN BC'!$M$10:$M$276,MATCH(B65,'[6]CN BC'!$H$10:$H$276,0)),"")</f>
        <v>Trừ 1 ngày nghỉ phép 26/2</v>
      </c>
      <c r="AE65" s="141"/>
      <c r="AF65" s="108"/>
      <c r="AG65" s="108"/>
      <c r="AH65" s="155"/>
      <c r="AI65" s="108"/>
      <c r="AJ65" s="108"/>
      <c r="AK65" s="108"/>
      <c r="AL65" s="108"/>
      <c r="AM65" s="108"/>
      <c r="AN65" s="108"/>
    </row>
    <row r="66" spans="1:44" s="372" customFormat="1" ht="27" customHeight="1">
      <c r="A66" s="379">
        <f>_xlfn.AGGREGATE(4,7,A$19:A65)+1</f>
        <v>46</v>
      </c>
      <c r="B66" s="363" t="s">
        <v>1851</v>
      </c>
      <c r="C66" s="375" t="s">
        <v>886</v>
      </c>
      <c r="D66" s="406" t="s">
        <v>1632</v>
      </c>
      <c r="E66" s="429" t="s">
        <v>1575</v>
      </c>
      <c r="F66" s="373">
        <v>3.66</v>
      </c>
      <c r="G66" s="367"/>
      <c r="H66" s="445">
        <f t="shared" si="0"/>
        <v>3.66</v>
      </c>
      <c r="I66" s="368"/>
      <c r="J66" s="368" t="str">
        <f>VLOOKUP(B66,[4]CN!$B$33:$J$365,9,FALSE)</f>
        <v>NV Phòng Thanh tra GD - Sinh viên</v>
      </c>
      <c r="K66" s="369">
        <f t="shared" si="1"/>
        <v>3.66</v>
      </c>
      <c r="L66" s="362">
        <f t="shared" si="2"/>
        <v>6588000</v>
      </c>
      <c r="M66" s="366" t="str">
        <f>VLOOKUP(B66,'[5]Gui chi Quynh'!$B$11:$E$400,4,FALSE)</f>
        <v>A4</v>
      </c>
      <c r="N66" s="494">
        <f t="shared" si="3"/>
        <v>6588000</v>
      </c>
      <c r="O66" s="366">
        <v>16</v>
      </c>
      <c r="P66" s="440">
        <f>IFERROR(INDEX('[6]CN BC'!$J$10:$J$277,MATCH(B66,'[6]CN BC'!$H$10:$H$277,0)),"")</f>
        <v>16</v>
      </c>
      <c r="Q66" s="494">
        <f t="shared" si="4"/>
        <v>6588000</v>
      </c>
      <c r="R66" s="392"/>
      <c r="S66" s="362">
        <f t="shared" si="14"/>
        <v>0</v>
      </c>
      <c r="T66" s="370"/>
      <c r="U66" s="362">
        <f t="shared" si="5"/>
        <v>0</v>
      </c>
      <c r="V66" s="584">
        <f t="shared" si="6"/>
        <v>65880</v>
      </c>
      <c r="W66" s="371">
        <f t="shared" si="11"/>
        <v>6588000</v>
      </c>
      <c r="X66" s="440" t="str">
        <f>IFERROR(INDEX([7]TL!$X$12:$X$200,MATCH(B66,[7]TL!$B$12:$B$200,0)),"0")</f>
        <v>0</v>
      </c>
      <c r="Y66" s="663">
        <f t="shared" si="8"/>
        <v>6588000</v>
      </c>
      <c r="Z66" s="664">
        <f t="shared" si="9"/>
        <v>3.66</v>
      </c>
      <c r="AA66" s="662">
        <v>1800000</v>
      </c>
      <c r="AB66" s="663">
        <f t="shared" si="10"/>
        <v>6588000</v>
      </c>
      <c r="AC66" s="568">
        <f t="shared" si="7"/>
        <v>46</v>
      </c>
      <c r="AD66" s="493">
        <f>IFERROR(INDEX('[6]CN BC'!$M$10:$M$276,MATCH(B66,'[6]CN BC'!$H$10:$H$276,0)),"")</f>
        <v>0</v>
      </c>
      <c r="AE66" s="141"/>
      <c r="AF66" s="108"/>
      <c r="AG66" s="108"/>
      <c r="AH66" s="155"/>
      <c r="AI66" s="108"/>
      <c r="AJ66" s="108"/>
      <c r="AK66" s="108"/>
      <c r="AL66" s="108"/>
      <c r="AM66" s="108"/>
      <c r="AN66" s="108"/>
      <c r="AO66" s="108"/>
      <c r="AP66" s="108"/>
      <c r="AQ66" s="108"/>
      <c r="AR66" s="108"/>
    </row>
    <row r="67" spans="1:44" s="372" customFormat="1" ht="27" customHeight="1">
      <c r="A67" s="379">
        <f>_xlfn.AGGREGATE(4,7,A$19:A66)+1</f>
        <v>47</v>
      </c>
      <c r="B67" s="363" t="s">
        <v>1561</v>
      </c>
      <c r="C67" s="375" t="s">
        <v>915</v>
      </c>
      <c r="D67" s="434" t="s">
        <v>1657</v>
      </c>
      <c r="E67" s="422" t="s">
        <v>1562</v>
      </c>
      <c r="F67" s="373">
        <v>3.66</v>
      </c>
      <c r="G67" s="367"/>
      <c r="H67" s="368">
        <f t="shared" si="0"/>
        <v>3.66</v>
      </c>
      <c r="I67" s="368"/>
      <c r="J67" s="368" t="str">
        <f>VLOOKUP(B67,[4]CN!$B$33:$J$365,9,FALSE)</f>
        <v>Nhân viên phòng Tuyển sinh - Đào tạo</v>
      </c>
      <c r="K67" s="369">
        <f t="shared" si="1"/>
        <v>3.66</v>
      </c>
      <c r="L67" s="362">
        <f t="shared" si="2"/>
        <v>6588000</v>
      </c>
      <c r="M67" s="366" t="str">
        <f>VLOOKUP(B67,'[5]Gui chi Quynh'!$B$11:$E$400,4,FALSE)</f>
        <v>A3</v>
      </c>
      <c r="N67" s="494">
        <f t="shared" si="3"/>
        <v>7905600</v>
      </c>
      <c r="O67" s="366">
        <v>16</v>
      </c>
      <c r="P67" s="440">
        <f>IFERROR(INDEX('[6]CN BC'!$J$10:$J$277,MATCH(B67,'[6]CN BC'!$H$10:$H$277,0)),"")</f>
        <v>13.5</v>
      </c>
      <c r="Q67" s="494">
        <f t="shared" si="4"/>
        <v>6670350</v>
      </c>
      <c r="R67" s="460"/>
      <c r="S67" s="362">
        <f t="shared" si="14"/>
        <v>0</v>
      </c>
      <c r="T67" s="370"/>
      <c r="U67" s="362">
        <f t="shared" si="5"/>
        <v>0</v>
      </c>
      <c r="V67" s="584">
        <f t="shared" si="6"/>
        <v>65880</v>
      </c>
      <c r="W67" s="371">
        <f t="shared" si="11"/>
        <v>6670350</v>
      </c>
      <c r="X67" s="440" t="str">
        <f>IFERROR(INDEX([7]TL!$X$12:$X$200,MATCH(B67,[7]TL!$B$12:$B$200,0)),"0")</f>
        <v>0</v>
      </c>
      <c r="Y67" s="663">
        <f t="shared" si="8"/>
        <v>6670350</v>
      </c>
      <c r="Z67" s="664">
        <f t="shared" si="9"/>
        <v>3.7057500000000001</v>
      </c>
      <c r="AA67" s="662">
        <v>1800000</v>
      </c>
      <c r="AB67" s="663">
        <f t="shared" si="10"/>
        <v>6670350</v>
      </c>
      <c r="AC67" s="568">
        <f t="shared" si="7"/>
        <v>47</v>
      </c>
      <c r="AD67" s="493">
        <f>IFERROR(INDEX('[6]CN BC'!$M$10:$M$276,MATCH(B67,'[6]CN BC'!$H$10:$H$276,0)),"")</f>
        <v>0</v>
      </c>
      <c r="AE67" s="141"/>
      <c r="AF67" s="108"/>
      <c r="AG67" s="108"/>
      <c r="AH67" s="487"/>
    </row>
    <row r="68" spans="1:44" s="372" customFormat="1" ht="30" customHeight="1">
      <c r="A68" s="379">
        <f>_xlfn.AGGREGATE(4,7,A$19:A67)+1</f>
        <v>48</v>
      </c>
      <c r="B68" s="363" t="s">
        <v>1463</v>
      </c>
      <c r="C68" s="375" t="s">
        <v>1030</v>
      </c>
      <c r="D68" s="434" t="s">
        <v>1617</v>
      </c>
      <c r="E68" s="423" t="s">
        <v>1573</v>
      </c>
      <c r="F68" s="373">
        <v>4.4000000000000004</v>
      </c>
      <c r="G68" s="367"/>
      <c r="H68" s="368">
        <f t="shared" si="0"/>
        <v>4.4000000000000004</v>
      </c>
      <c r="I68" s="368">
        <v>0.45</v>
      </c>
      <c r="J68" s="368" t="str">
        <f>VLOOKUP(B68,[4]CN!$B$33:$J$365,9,FALSE)</f>
        <v>Trưởng phòng Tuyển sinh - Đào tạo</v>
      </c>
      <c r="K68" s="369">
        <f t="shared" si="1"/>
        <v>4.8500000000000005</v>
      </c>
      <c r="L68" s="362">
        <f t="shared" si="2"/>
        <v>8730000.0000000019</v>
      </c>
      <c r="M68" s="366" t="str">
        <f>VLOOKUP(B68,'[5]Gui chi Quynh'!$B$11:$E$400,4,FALSE)</f>
        <v>A1</v>
      </c>
      <c r="N68" s="494">
        <f t="shared" si="3"/>
        <v>13968000.000000004</v>
      </c>
      <c r="O68" s="366">
        <v>16</v>
      </c>
      <c r="P68" s="440">
        <f>IFERROR(INDEX('[6]CN BC'!$J$10:$J$277,MATCH(B68,'[6]CN BC'!$H$10:$H$277,0)),"")</f>
        <v>18</v>
      </c>
      <c r="Q68" s="494">
        <f t="shared" si="4"/>
        <v>13968000.000000004</v>
      </c>
      <c r="R68" s="460"/>
      <c r="S68" s="362">
        <f>R68*$G$15*1.6</f>
        <v>0</v>
      </c>
      <c r="T68" s="370"/>
      <c r="U68" s="362">
        <f t="shared" si="5"/>
        <v>0</v>
      </c>
      <c r="V68" s="584">
        <f t="shared" si="6"/>
        <v>87300</v>
      </c>
      <c r="W68" s="371">
        <f t="shared" si="11"/>
        <v>13968000.000000004</v>
      </c>
      <c r="X68" s="440" t="str">
        <f>IFERROR(INDEX([7]TL!$X$12:$X$200,MATCH(B68,[7]TL!$B$12:$B$200,0)),"0")</f>
        <v>0</v>
      </c>
      <c r="Y68" s="663">
        <f t="shared" si="8"/>
        <v>13968000.000000004</v>
      </c>
      <c r="Z68" s="664">
        <f t="shared" si="9"/>
        <v>7.7600000000000025</v>
      </c>
      <c r="AA68" s="662">
        <v>1800000</v>
      </c>
      <c r="AB68" s="663">
        <f t="shared" si="10"/>
        <v>13968000.000000004</v>
      </c>
      <c r="AC68" s="568">
        <f t="shared" si="7"/>
        <v>48</v>
      </c>
      <c r="AD68" s="493">
        <f>IFERROR(INDEX('[6]CN BC'!$M$10:$M$276,MATCH(B68,'[6]CN BC'!$H$10:$H$276,0)),"")</f>
        <v>0</v>
      </c>
      <c r="AE68" s="141"/>
      <c r="AF68" s="154"/>
      <c r="AG68" s="108"/>
      <c r="AH68" s="155"/>
      <c r="AI68" s="108"/>
      <c r="AJ68" s="108"/>
      <c r="AK68" s="108"/>
      <c r="AL68" s="108"/>
      <c r="AM68" s="108"/>
      <c r="AN68" s="108"/>
    </row>
    <row r="69" spans="1:44" s="108" customFormat="1" ht="24.75" customHeight="1">
      <c r="A69" s="379">
        <f>_xlfn.AGGREGATE(4,7,A$19:A68)+1</f>
        <v>49</v>
      </c>
      <c r="B69" s="33" t="s">
        <v>1902</v>
      </c>
      <c r="C69" s="34" t="s">
        <v>1056</v>
      </c>
      <c r="D69" s="406" t="s">
        <v>1785</v>
      </c>
      <c r="E69" s="424" t="s">
        <v>1391</v>
      </c>
      <c r="F69" s="10">
        <v>4.32</v>
      </c>
      <c r="G69" s="157"/>
      <c r="H69" s="368">
        <f>F69+(F69*G69)</f>
        <v>4.32</v>
      </c>
      <c r="I69" s="81">
        <v>0.35</v>
      </c>
      <c r="J69" s="368" t="str">
        <f>VLOOKUP(B69,[4]CN!$B$33:$J$365,9,FALSE)</f>
        <v>Phó TP. Tuyể sinh - Đào tạo</v>
      </c>
      <c r="K69" s="369">
        <f>H69+I69</f>
        <v>4.67</v>
      </c>
      <c r="L69" s="362">
        <f>K69*$G$15</f>
        <v>8406000</v>
      </c>
      <c r="M69" s="366" t="str">
        <f>VLOOKUP(B69,'[5]Gui chi Quynh'!$B$11:$E$400,4,FALSE)</f>
        <v>A1</v>
      </c>
      <c r="N69" s="494">
        <f>IF(M69="A1",L69*1.6,IF(M69="A2",L69*1.4,IF(M69="A3",L69*1.2,IF(M69="A4",L69*1,IF(M69="B1",L69*0.7,IF(M69="B2",L69*0.5,IF(M69="C1",L69*0.3,IF(M69="C2",L69*0.2,0))))))))</f>
        <v>13449600</v>
      </c>
      <c r="O69" s="366">
        <v>16</v>
      </c>
      <c r="P69" s="440">
        <f>IFERROR(INDEX('[6]CN BC'!$J$10:$J$277,MATCH(B69,'[6]CN BC'!$H$10:$H$277,0)),"")</f>
        <v>16</v>
      </c>
      <c r="Q69" s="494">
        <f>IF(P69&gt;=O69,N69,N69/O69*P69)</f>
        <v>13449600</v>
      </c>
      <c r="R69" s="392"/>
      <c r="S69" s="362">
        <f>R69*$G$15*1</f>
        <v>0</v>
      </c>
      <c r="T69" s="385"/>
      <c r="U69" s="362">
        <f>T69*$G$15*1</f>
        <v>0</v>
      </c>
      <c r="V69" s="584">
        <f>IF(OR(M69="A DN",M69="KXL", M69=""),"0",ROUND(K69*0.01*$G$15+R69*1%*$G$15+T69*1%*$G$15,))</f>
        <v>84060</v>
      </c>
      <c r="W69" s="371">
        <f t="shared" si="11"/>
        <v>13449600</v>
      </c>
      <c r="X69" s="440" t="str">
        <f>IFERROR(INDEX([7]TL!$X$12:$X$200,MATCH(B69,[7]TL!$B$12:$B$200,0)),"0")</f>
        <v>0</v>
      </c>
      <c r="Y69" s="663">
        <f t="shared" si="8"/>
        <v>13449600</v>
      </c>
      <c r="Z69" s="664">
        <f t="shared" si="9"/>
        <v>7.4720000000000004</v>
      </c>
      <c r="AA69" s="662">
        <v>1800000</v>
      </c>
      <c r="AB69" s="663">
        <f t="shared" si="10"/>
        <v>13449600</v>
      </c>
      <c r="AC69" s="568">
        <f>A69</f>
        <v>49</v>
      </c>
      <c r="AD69" s="493">
        <f>IFERROR(INDEX('[6]CN BC'!$M$10:$M$276,MATCH(B69,'[6]CN BC'!$H$10:$H$276,0)),"")</f>
        <v>0</v>
      </c>
      <c r="AE69" s="522"/>
      <c r="AH69" s="155"/>
    </row>
    <row r="70" spans="1:44" s="372" customFormat="1" ht="29.25" customHeight="1">
      <c r="A70" s="379">
        <f>_xlfn.AGGREGATE(4,7,A$19:A69)+1</f>
        <v>50</v>
      </c>
      <c r="B70" s="363" t="s">
        <v>1858</v>
      </c>
      <c r="C70" s="375" t="s">
        <v>929</v>
      </c>
      <c r="D70" s="434" t="s">
        <v>1659</v>
      </c>
      <c r="E70" s="423" t="s">
        <v>1285</v>
      </c>
      <c r="F70" s="366">
        <v>4.6500000000000004</v>
      </c>
      <c r="G70" s="367"/>
      <c r="H70" s="368">
        <f t="shared" si="0"/>
        <v>4.6500000000000004</v>
      </c>
      <c r="I70" s="368"/>
      <c r="J70" s="368" t="str">
        <f>VLOOKUP(B70,[4]CN!$B$33:$J$365,9,FALSE)</f>
        <v>Nhân viên phòng TS - Đào tạo</v>
      </c>
      <c r="K70" s="369">
        <f t="shared" si="1"/>
        <v>4.6500000000000004</v>
      </c>
      <c r="L70" s="362">
        <f t="shared" si="2"/>
        <v>8370000.0000000009</v>
      </c>
      <c r="M70" s="366" t="str">
        <f>VLOOKUP(B70,'[5]Gui chi Quynh'!$B$11:$E$400,4,FALSE)</f>
        <v>A2</v>
      </c>
      <c r="N70" s="494">
        <f t="shared" si="3"/>
        <v>11718000</v>
      </c>
      <c r="O70" s="366">
        <v>16</v>
      </c>
      <c r="P70" s="440">
        <f>IFERROR(INDEX('[6]CN BC'!$J$10:$J$277,MATCH(B70,'[6]CN BC'!$H$10:$H$277,0)),"")</f>
        <v>17</v>
      </c>
      <c r="Q70" s="494">
        <f t="shared" si="4"/>
        <v>11718000</v>
      </c>
      <c r="R70" s="460"/>
      <c r="S70" s="362">
        <f t="shared" si="14"/>
        <v>0</v>
      </c>
      <c r="T70" s="370"/>
      <c r="U70" s="362">
        <f t="shared" si="5"/>
        <v>0</v>
      </c>
      <c r="V70" s="584">
        <f t="shared" si="6"/>
        <v>83700</v>
      </c>
      <c r="W70" s="371">
        <f t="shared" si="11"/>
        <v>11718000</v>
      </c>
      <c r="X70" s="440" t="str">
        <f>IFERROR(INDEX([7]TL!$X$12:$X$200,MATCH(B70,[7]TL!$B$12:$B$200,0)),"0")</f>
        <v>0</v>
      </c>
      <c r="Y70" s="663">
        <f t="shared" si="8"/>
        <v>11718000</v>
      </c>
      <c r="Z70" s="664">
        <f t="shared" si="9"/>
        <v>6.51</v>
      </c>
      <c r="AA70" s="662">
        <v>1800000</v>
      </c>
      <c r="AB70" s="663">
        <f t="shared" si="10"/>
        <v>11718000</v>
      </c>
      <c r="AC70" s="568">
        <f t="shared" si="7"/>
        <v>50</v>
      </c>
      <c r="AD70" s="493">
        <f>IFERROR(INDEX('[6]CN BC'!$M$10:$M$276,MATCH(B70,'[6]CN BC'!$H$10:$H$276,0)),"")</f>
        <v>0</v>
      </c>
      <c r="AE70" s="141"/>
      <c r="AF70" s="108"/>
      <c r="AG70" s="108"/>
      <c r="AH70" s="155"/>
      <c r="AI70" s="108"/>
      <c r="AJ70" s="108"/>
      <c r="AK70" s="108"/>
      <c r="AL70" s="108"/>
      <c r="AM70" s="108"/>
      <c r="AN70" s="108"/>
    </row>
    <row r="71" spans="1:44" s="372" customFormat="1" ht="30.75" customHeight="1">
      <c r="A71" s="379">
        <f>_xlfn.AGGREGATE(4,7,A$19:A70)+1</f>
        <v>51</v>
      </c>
      <c r="B71" s="363" t="s">
        <v>1465</v>
      </c>
      <c r="C71" s="375" t="s">
        <v>1103</v>
      </c>
      <c r="D71" s="434" t="s">
        <v>1661</v>
      </c>
      <c r="E71" s="428">
        <v>1603205182394</v>
      </c>
      <c r="F71" s="366">
        <v>3.99</v>
      </c>
      <c r="G71" s="367"/>
      <c r="H71" s="368">
        <f t="shared" si="0"/>
        <v>3.99</v>
      </c>
      <c r="I71" s="368"/>
      <c r="J71" s="368" t="str">
        <f>VLOOKUP(B71,[4]CN!$B$33:$J$365,9,FALSE)</f>
        <v>Nhân viên phòng TS - Đào tạo</v>
      </c>
      <c r="K71" s="369">
        <f t="shared" si="1"/>
        <v>3.99</v>
      </c>
      <c r="L71" s="362">
        <f t="shared" si="2"/>
        <v>7182000</v>
      </c>
      <c r="M71" s="366" t="str">
        <f>VLOOKUP(B71,'[5]Gui chi Quynh'!$B$11:$E$400,4,FALSE)</f>
        <v>A2</v>
      </c>
      <c r="N71" s="494">
        <f t="shared" si="3"/>
        <v>10054800</v>
      </c>
      <c r="O71" s="366">
        <v>16</v>
      </c>
      <c r="P71" s="440">
        <f>IFERROR(INDEX('[6]CN BC'!$J$10:$J$277,MATCH(B71,'[6]CN BC'!$H$10:$H$277,0)),"")</f>
        <v>16.5</v>
      </c>
      <c r="Q71" s="494">
        <f t="shared" si="4"/>
        <v>10054800</v>
      </c>
      <c r="R71" s="460"/>
      <c r="S71" s="362">
        <f t="shared" si="14"/>
        <v>0</v>
      </c>
      <c r="T71" s="370"/>
      <c r="U71" s="362">
        <f t="shared" si="5"/>
        <v>0</v>
      </c>
      <c r="V71" s="584">
        <f t="shared" si="6"/>
        <v>71820</v>
      </c>
      <c r="W71" s="371">
        <f t="shared" si="11"/>
        <v>10054800</v>
      </c>
      <c r="X71" s="440" t="str">
        <f>IFERROR(INDEX([7]TL!$X$12:$X$200,MATCH(B71,[7]TL!$B$12:$B$200,0)),"0")</f>
        <v>0</v>
      </c>
      <c r="Y71" s="663">
        <f t="shared" si="8"/>
        <v>10054800</v>
      </c>
      <c r="Z71" s="664">
        <f t="shared" si="9"/>
        <v>5.5860000000000003</v>
      </c>
      <c r="AA71" s="662">
        <v>1800000</v>
      </c>
      <c r="AB71" s="663">
        <f t="shared" si="10"/>
        <v>10054800</v>
      </c>
      <c r="AC71" s="568">
        <f t="shared" si="7"/>
        <v>51</v>
      </c>
      <c r="AD71" s="493">
        <f>IFERROR(INDEX('[6]CN BC'!$M$10:$M$276,MATCH(B71,'[6]CN BC'!$H$10:$H$276,0)),"")</f>
        <v>0</v>
      </c>
      <c r="AE71" s="141"/>
      <c r="AF71" s="108"/>
      <c r="AG71" s="108"/>
      <c r="AH71" s="155"/>
      <c r="AI71" s="108"/>
      <c r="AJ71" s="108"/>
      <c r="AK71" s="108"/>
      <c r="AL71" s="108"/>
      <c r="AM71" s="108"/>
      <c r="AN71" s="108"/>
    </row>
    <row r="72" spans="1:44" s="372" customFormat="1" ht="27" customHeight="1">
      <c r="A72" s="379">
        <f>_xlfn.AGGREGATE(4,7,A$19:A71)+1</f>
        <v>52</v>
      </c>
      <c r="B72" s="363" t="s">
        <v>844</v>
      </c>
      <c r="C72" s="375" t="s">
        <v>267</v>
      </c>
      <c r="D72" s="434" t="s">
        <v>1662</v>
      </c>
      <c r="E72" s="428" t="s">
        <v>369</v>
      </c>
      <c r="F72" s="366">
        <v>3.33</v>
      </c>
      <c r="G72" s="367"/>
      <c r="H72" s="368">
        <f t="shared" si="0"/>
        <v>3.33</v>
      </c>
      <c r="I72" s="368"/>
      <c r="J72" s="368" t="str">
        <f>VLOOKUP(B72,[4]CN!$B$33:$J$365,9,FALSE)</f>
        <v>Nhân viên phòng TS - Đào tạo</v>
      </c>
      <c r="K72" s="369">
        <f t="shared" si="1"/>
        <v>3.33</v>
      </c>
      <c r="L72" s="362">
        <f t="shared" si="2"/>
        <v>5994000</v>
      </c>
      <c r="M72" s="366" t="str">
        <f>VLOOKUP(B72,'[5]Gui chi Quynh'!$B$11:$E$400,4,FALSE)</f>
        <v>A3</v>
      </c>
      <c r="N72" s="494">
        <f t="shared" si="3"/>
        <v>7192800</v>
      </c>
      <c r="O72" s="366">
        <v>16</v>
      </c>
      <c r="P72" s="440">
        <f>IFERROR(INDEX('[6]CN BC'!$J$10:$J$277,MATCH(B72,'[6]CN BC'!$H$10:$H$277,0)),"")</f>
        <v>14</v>
      </c>
      <c r="Q72" s="494">
        <f t="shared" si="4"/>
        <v>6293700</v>
      </c>
      <c r="R72" s="460">
        <v>0</v>
      </c>
      <c r="S72" s="362">
        <f t="shared" si="14"/>
        <v>0</v>
      </c>
      <c r="T72" s="370"/>
      <c r="U72" s="362">
        <f t="shared" si="5"/>
        <v>0</v>
      </c>
      <c r="V72" s="584">
        <f t="shared" si="6"/>
        <v>59940</v>
      </c>
      <c r="W72" s="371">
        <f t="shared" si="11"/>
        <v>6293700</v>
      </c>
      <c r="X72" s="440" t="str">
        <f>IFERROR(INDEX([7]TL!$X$12:$X$200,MATCH(B72,[7]TL!$B$12:$B$200,0)),"0")</f>
        <v>0</v>
      </c>
      <c r="Y72" s="663">
        <f t="shared" si="8"/>
        <v>6293700</v>
      </c>
      <c r="Z72" s="664">
        <f t="shared" si="9"/>
        <v>3.4965000000000002</v>
      </c>
      <c r="AA72" s="662">
        <v>1800000</v>
      </c>
      <c r="AB72" s="663">
        <f t="shared" si="10"/>
        <v>6293700</v>
      </c>
      <c r="AC72" s="568">
        <f t="shared" si="7"/>
        <v>52</v>
      </c>
      <c r="AD72" s="493">
        <f>IFERROR(INDEX('[6]CN BC'!$M$10:$M$276,MATCH(B72,'[6]CN BC'!$H$10:$H$276,0)),"")</f>
        <v>0</v>
      </c>
      <c r="AE72" s="141"/>
      <c r="AF72" s="108"/>
      <c r="AG72" s="108"/>
      <c r="AH72" s="155"/>
      <c r="AI72" s="108"/>
      <c r="AJ72" s="108"/>
      <c r="AK72" s="108"/>
      <c r="AL72" s="108"/>
      <c r="AM72" s="108"/>
      <c r="AN72" s="108"/>
    </row>
    <row r="73" spans="1:44" s="372" customFormat="1" ht="27" customHeight="1">
      <c r="A73" s="379">
        <f>_xlfn.AGGREGATE(4,7,A$19:A72)+1</f>
        <v>53</v>
      </c>
      <c r="B73" s="377" t="s">
        <v>1557</v>
      </c>
      <c r="C73" s="364" t="s">
        <v>272</v>
      </c>
      <c r="D73" s="434" t="s">
        <v>1664</v>
      </c>
      <c r="E73" s="430">
        <v>1603205182762</v>
      </c>
      <c r="F73" s="373">
        <v>3.96</v>
      </c>
      <c r="G73" s="374"/>
      <c r="H73" s="368">
        <f t="shared" si="0"/>
        <v>3.96</v>
      </c>
      <c r="I73" s="366"/>
      <c r="J73" s="368" t="str">
        <f>VLOOKUP(B73,[4]CN!$B$33:$J$365,9,FALSE)</f>
        <v>Nhân viên phòng TS - Đào tạo</v>
      </c>
      <c r="K73" s="369">
        <f t="shared" si="1"/>
        <v>3.96</v>
      </c>
      <c r="L73" s="362">
        <f t="shared" si="2"/>
        <v>7128000</v>
      </c>
      <c r="M73" s="366" t="str">
        <f>VLOOKUP(B73,'[5]Gui chi Quynh'!$B$11:$E$400,4,FALSE)</f>
        <v>A2</v>
      </c>
      <c r="N73" s="494">
        <f t="shared" si="3"/>
        <v>9979200</v>
      </c>
      <c r="O73" s="366">
        <v>16</v>
      </c>
      <c r="P73" s="440">
        <f>IFERROR(INDEX('[6]CN BC'!$J$10:$J$277,MATCH(B73,'[6]CN BC'!$H$10:$H$277,0)),"")</f>
        <v>16.5</v>
      </c>
      <c r="Q73" s="494">
        <f t="shared" si="4"/>
        <v>9979200</v>
      </c>
      <c r="R73" s="476"/>
      <c r="S73" s="362">
        <f t="shared" si="14"/>
        <v>0</v>
      </c>
      <c r="T73" s="370"/>
      <c r="U73" s="362">
        <f t="shared" si="5"/>
        <v>0</v>
      </c>
      <c r="V73" s="584">
        <f t="shared" si="6"/>
        <v>71280</v>
      </c>
      <c r="W73" s="371">
        <f t="shared" si="11"/>
        <v>9979200</v>
      </c>
      <c r="X73" s="440" t="str">
        <f>IFERROR(INDEX([7]TL!$X$12:$X$200,MATCH(B73,[7]TL!$B$12:$B$200,0)),"0")</f>
        <v>0</v>
      </c>
      <c r="Y73" s="663">
        <f t="shared" si="8"/>
        <v>9979200</v>
      </c>
      <c r="Z73" s="664">
        <f t="shared" si="9"/>
        <v>5.5439999999999996</v>
      </c>
      <c r="AA73" s="662">
        <v>1800000</v>
      </c>
      <c r="AB73" s="663">
        <f t="shared" si="10"/>
        <v>9979200</v>
      </c>
      <c r="AC73" s="568">
        <f t="shared" si="7"/>
        <v>53</v>
      </c>
      <c r="AD73" s="493" t="str">
        <f>IFERROR(INDEX('[6]CN BC'!$M$10:$M$276,MATCH(B73,'[6]CN BC'!$H$10:$H$276,0)),"")</f>
        <v>Trừ 2 ngày nghỉ phép 15+16/2</v>
      </c>
      <c r="AE73" s="141"/>
      <c r="AF73" s="108"/>
      <c r="AG73" s="108"/>
      <c r="AH73" s="155"/>
      <c r="AI73" s="108"/>
      <c r="AJ73" s="108"/>
      <c r="AK73" s="108"/>
      <c r="AL73" s="108"/>
      <c r="AM73" s="108"/>
      <c r="AN73" s="108"/>
    </row>
    <row r="74" spans="1:44" s="372" customFormat="1" ht="32.25" customHeight="1">
      <c r="A74" s="379">
        <f>_xlfn.AGGREGATE(4,7,A$19:A73)+1</f>
        <v>54</v>
      </c>
      <c r="B74" s="363" t="s">
        <v>1524</v>
      </c>
      <c r="C74" s="375" t="s">
        <v>883</v>
      </c>
      <c r="D74" s="434" t="s">
        <v>1666</v>
      </c>
      <c r="E74" s="428">
        <v>1603205182178</v>
      </c>
      <c r="F74" s="366">
        <v>3.66</v>
      </c>
      <c r="G74" s="367"/>
      <c r="H74" s="368">
        <f t="shared" si="0"/>
        <v>3.66</v>
      </c>
      <c r="I74" s="368"/>
      <c r="J74" s="368" t="str">
        <f>VLOOKUP(B74,[4]CN!$B$33:$J$365,9,FALSE)</f>
        <v>Nhân viên phòng TS - Đào tạo</v>
      </c>
      <c r="K74" s="369">
        <f t="shared" si="1"/>
        <v>3.66</v>
      </c>
      <c r="L74" s="362">
        <f t="shared" si="2"/>
        <v>6588000</v>
      </c>
      <c r="M74" s="366" t="str">
        <f>VLOOKUP(B74,'[5]Gui chi Quynh'!$B$11:$E$400,4,FALSE)</f>
        <v>A1</v>
      </c>
      <c r="N74" s="494">
        <f t="shared" si="3"/>
        <v>10540800</v>
      </c>
      <c r="O74" s="366">
        <v>16</v>
      </c>
      <c r="P74" s="440">
        <f>IFERROR(INDEX('[6]CN BC'!$J$10:$J$277,MATCH(B74,'[6]CN BC'!$H$10:$H$277,0)),"")</f>
        <v>17.5</v>
      </c>
      <c r="Q74" s="494">
        <f t="shared" si="4"/>
        <v>10540800</v>
      </c>
      <c r="R74" s="460"/>
      <c r="S74" s="362">
        <f>R74*$G$15*1.6</f>
        <v>0</v>
      </c>
      <c r="T74" s="370"/>
      <c r="U74" s="362">
        <f t="shared" si="5"/>
        <v>0</v>
      </c>
      <c r="V74" s="584">
        <f t="shared" si="6"/>
        <v>65880</v>
      </c>
      <c r="W74" s="371">
        <f t="shared" si="11"/>
        <v>10540800</v>
      </c>
      <c r="X74" s="440" t="str">
        <f>IFERROR(INDEX([7]TL!$X$12:$X$200,MATCH(B74,[7]TL!$B$12:$B$200,0)),"0")</f>
        <v>0</v>
      </c>
      <c r="Y74" s="663">
        <f t="shared" si="8"/>
        <v>10540800</v>
      </c>
      <c r="Z74" s="664">
        <f t="shared" si="9"/>
        <v>5.8559999999999999</v>
      </c>
      <c r="AA74" s="662">
        <v>1800000</v>
      </c>
      <c r="AB74" s="663">
        <f t="shared" si="10"/>
        <v>10540800</v>
      </c>
      <c r="AC74" s="568">
        <f t="shared" si="7"/>
        <v>54</v>
      </c>
      <c r="AD74" s="493">
        <f>IFERROR(INDEX('[6]CN BC'!$M$10:$M$276,MATCH(B74,'[6]CN BC'!$H$10:$H$276,0)),"")</f>
        <v>0</v>
      </c>
      <c r="AE74" s="141"/>
      <c r="AF74" s="108"/>
      <c r="AG74" s="108"/>
      <c r="AH74" s="155"/>
    </row>
    <row r="75" spans="1:44" s="372" customFormat="1" ht="28.5" customHeight="1">
      <c r="A75" s="379">
        <f>_xlfn.AGGREGATE(4,7,A$19:A74)+1</f>
        <v>55</v>
      </c>
      <c r="B75" s="444" t="s">
        <v>1860</v>
      </c>
      <c r="C75" s="419" t="s">
        <v>1601</v>
      </c>
      <c r="D75" s="418" t="s">
        <v>1667</v>
      </c>
      <c r="E75" s="426">
        <v>1603205351697</v>
      </c>
      <c r="F75" s="373">
        <v>3.33</v>
      </c>
      <c r="G75" s="367"/>
      <c r="H75" s="445">
        <f t="shared" si="0"/>
        <v>3.33</v>
      </c>
      <c r="I75" s="368"/>
      <c r="J75" s="368" t="str">
        <f>VLOOKUP(B75,[4]CN!$B$33:$J$365,9,FALSE)</f>
        <v>Nhân viên phòng TS - Đào tạo</v>
      </c>
      <c r="K75" s="369">
        <f t="shared" si="1"/>
        <v>3.33</v>
      </c>
      <c r="L75" s="362">
        <f t="shared" si="2"/>
        <v>5994000</v>
      </c>
      <c r="M75" s="366" t="str">
        <f>VLOOKUP(B75,'[5]Gui chi Quynh'!$B$11:$E$400,4,FALSE)</f>
        <v>A3</v>
      </c>
      <c r="N75" s="494">
        <f t="shared" si="3"/>
        <v>7192800</v>
      </c>
      <c r="O75" s="366">
        <v>16</v>
      </c>
      <c r="P75" s="440">
        <f>IFERROR(INDEX('[6]CN BC'!$J$10:$J$277,MATCH(B75,'[6]CN BC'!$H$10:$H$277,0)),"")</f>
        <v>13.5</v>
      </c>
      <c r="Q75" s="494">
        <f t="shared" si="4"/>
        <v>6068925</v>
      </c>
      <c r="R75" s="460"/>
      <c r="S75" s="362">
        <f>R75*$G$15*1</f>
        <v>0</v>
      </c>
      <c r="T75" s="370"/>
      <c r="U75" s="362">
        <f t="shared" si="5"/>
        <v>0</v>
      </c>
      <c r="V75" s="584">
        <f t="shared" si="6"/>
        <v>59940</v>
      </c>
      <c r="W75" s="371">
        <f t="shared" si="11"/>
        <v>6068925</v>
      </c>
      <c r="X75" s="440" t="str">
        <f>IFERROR(INDEX([7]TL!$X$12:$X$200,MATCH(B75,[7]TL!$B$12:$B$200,0)),"0")</f>
        <v>0</v>
      </c>
      <c r="Y75" s="663">
        <f>W75+X75</f>
        <v>6068925</v>
      </c>
      <c r="Z75" s="664">
        <f t="shared" si="9"/>
        <v>3.3716249999999999</v>
      </c>
      <c r="AA75" s="662">
        <v>1800000</v>
      </c>
      <c r="AB75" s="663">
        <f t="shared" si="10"/>
        <v>6068925</v>
      </c>
      <c r="AC75" s="568">
        <f t="shared" si="7"/>
        <v>55</v>
      </c>
      <c r="AD75" s="493">
        <f>IFERROR(INDEX('[6]CN BC'!$M$10:$M$276,MATCH(B75,'[6]CN BC'!$H$10:$H$276,0)),"")</f>
        <v>0</v>
      </c>
      <c r="AE75" s="141"/>
      <c r="AF75" s="471"/>
      <c r="AG75" s="108"/>
      <c r="AH75" s="155"/>
      <c r="AI75" s="108"/>
      <c r="AJ75" s="108"/>
      <c r="AK75" s="108"/>
      <c r="AL75" s="108"/>
      <c r="AM75" s="108"/>
      <c r="AN75" s="108"/>
    </row>
    <row r="76" spans="1:44" s="372" customFormat="1" ht="29.25" customHeight="1">
      <c r="A76" s="379">
        <f>_xlfn.AGGREGATE(4,7,A$19:A75)+1</f>
        <v>56</v>
      </c>
      <c r="B76" s="363" t="s">
        <v>1484</v>
      </c>
      <c r="C76" s="380" t="s">
        <v>979</v>
      </c>
      <c r="D76" s="434" t="s">
        <v>1649</v>
      </c>
      <c r="E76" s="426">
        <v>1603205357194</v>
      </c>
      <c r="F76" s="489">
        <v>3.33</v>
      </c>
      <c r="G76" s="367"/>
      <c r="H76" s="445">
        <f t="shared" si="0"/>
        <v>3.33</v>
      </c>
      <c r="I76" s="368"/>
      <c r="J76" s="368" t="str">
        <f>VLOOKUP(B76,[4]CN!$B$33:$J$365,9,FALSE)</f>
        <v>Nhân viên phòng Tuyển sinh - Đào tạo</v>
      </c>
      <c r="K76" s="369">
        <f t="shared" si="1"/>
        <v>3.33</v>
      </c>
      <c r="L76" s="362">
        <f t="shared" si="2"/>
        <v>5994000</v>
      </c>
      <c r="M76" s="366" t="str">
        <f>VLOOKUP(B76,'[5]Gui chi Quynh'!$B$11:$E$400,4,FALSE)</f>
        <v>A3</v>
      </c>
      <c r="N76" s="494">
        <f t="shared" si="3"/>
        <v>7192800</v>
      </c>
      <c r="O76" s="366">
        <v>16</v>
      </c>
      <c r="P76" s="440">
        <f>IFERROR(INDEX('[6]CN BC'!$J$10:$J$277,MATCH(B76,'[6]CN BC'!$H$10:$H$277,0)),"")</f>
        <v>17.5</v>
      </c>
      <c r="Q76" s="494">
        <f t="shared" si="4"/>
        <v>7192800</v>
      </c>
      <c r="R76" s="460"/>
      <c r="S76" s="362">
        <f>R76*$G$15*1</f>
        <v>0</v>
      </c>
      <c r="T76" s="370"/>
      <c r="U76" s="362">
        <f t="shared" si="5"/>
        <v>0</v>
      </c>
      <c r="V76" s="584">
        <f t="shared" si="6"/>
        <v>59940</v>
      </c>
      <c r="W76" s="371">
        <f t="shared" si="11"/>
        <v>7192800</v>
      </c>
      <c r="X76" s="440" t="str">
        <f>IFERROR(INDEX([7]TL!$X$12:$X$200,MATCH(B76,[7]TL!$B$12:$B$200,0)),"0")</f>
        <v>0</v>
      </c>
      <c r="Y76" s="663">
        <f t="shared" si="8"/>
        <v>7192800</v>
      </c>
      <c r="Z76" s="664">
        <f t="shared" si="9"/>
        <v>3.996</v>
      </c>
      <c r="AA76" s="662">
        <v>1800000</v>
      </c>
      <c r="AB76" s="663">
        <f t="shared" si="10"/>
        <v>7192800</v>
      </c>
      <c r="AC76" s="568">
        <f t="shared" si="7"/>
        <v>56</v>
      </c>
      <c r="AD76" s="493">
        <f>IFERROR(INDEX('[6]CN BC'!$M$10:$M$276,MATCH(B76,'[6]CN BC'!$H$10:$H$276,0)),"")</f>
        <v>0</v>
      </c>
      <c r="AE76" s="141"/>
      <c r="AF76" s="108"/>
      <c r="AG76" s="108"/>
      <c r="AH76" s="155"/>
    </row>
    <row r="77" spans="1:44" s="108" customFormat="1" ht="27" customHeight="1">
      <c r="A77" s="379">
        <f>_xlfn.AGGREGATE(4,7,A$19:A76)+1</f>
        <v>57</v>
      </c>
      <c r="B77" s="33" t="s">
        <v>1861</v>
      </c>
      <c r="C77" s="149" t="s">
        <v>1026</v>
      </c>
      <c r="D77" s="406" t="s">
        <v>1668</v>
      </c>
      <c r="E77" s="424" t="s">
        <v>1361</v>
      </c>
      <c r="F77" s="10">
        <v>4.6500000000000004</v>
      </c>
      <c r="G77" s="157"/>
      <c r="H77" s="368">
        <f t="shared" si="0"/>
        <v>4.6500000000000004</v>
      </c>
      <c r="I77" s="368">
        <v>0.45</v>
      </c>
      <c r="J77" s="368" t="str">
        <f>VLOOKUP(B77,[4]CN!$B$33:$J$365,9,FALSE)</f>
        <v>Trưởng phòng Khảo thí và ĐBCL</v>
      </c>
      <c r="K77" s="369">
        <f t="shared" si="1"/>
        <v>5.1000000000000005</v>
      </c>
      <c r="L77" s="362">
        <f t="shared" si="2"/>
        <v>9180000.0000000019</v>
      </c>
      <c r="M77" s="366" t="str">
        <f>VLOOKUP(B77,'[5]Gui chi Quynh'!$B$11:$E$400,4,FALSE)</f>
        <v>A1</v>
      </c>
      <c r="N77" s="494">
        <f t="shared" si="3"/>
        <v>14688000.000000004</v>
      </c>
      <c r="O77" s="366">
        <v>16</v>
      </c>
      <c r="P77" s="440">
        <f>IFERROR(INDEX('[6]CN BC'!$J$10:$J$277,MATCH(B77,'[6]CN BC'!$H$10:$H$277,0)),"")</f>
        <v>19</v>
      </c>
      <c r="Q77" s="494">
        <f t="shared" si="4"/>
        <v>14688000.000000004</v>
      </c>
      <c r="R77" s="392"/>
      <c r="S77" s="362">
        <f>R77*$G$15*1</f>
        <v>0</v>
      </c>
      <c r="T77" s="385"/>
      <c r="U77" s="362">
        <f t="shared" si="5"/>
        <v>0</v>
      </c>
      <c r="V77" s="584">
        <f t="shared" si="6"/>
        <v>91800</v>
      </c>
      <c r="W77" s="371">
        <f t="shared" si="11"/>
        <v>14688000.000000004</v>
      </c>
      <c r="X77" s="440" t="str">
        <f>IFERROR(INDEX([7]TL!$X$12:$X$200,MATCH(B77,[7]TL!$B$12:$B$200,0)),"0")</f>
        <v>0</v>
      </c>
      <c r="Y77" s="663">
        <f t="shared" si="8"/>
        <v>14688000.000000004</v>
      </c>
      <c r="Z77" s="664">
        <f t="shared" si="9"/>
        <v>8.1600000000000019</v>
      </c>
      <c r="AA77" s="662">
        <v>1800000</v>
      </c>
      <c r="AB77" s="663">
        <f t="shared" si="10"/>
        <v>14688000.000000004</v>
      </c>
      <c r="AC77" s="568">
        <f t="shared" si="7"/>
        <v>57</v>
      </c>
      <c r="AD77" s="493">
        <f>IFERROR(INDEX('[6]CN BC'!$M$10:$M$276,MATCH(B77,'[6]CN BC'!$H$10:$H$276,0)),"")</f>
        <v>0</v>
      </c>
      <c r="AE77" s="141"/>
      <c r="AH77" s="155"/>
    </row>
    <row r="78" spans="1:44" s="108" customFormat="1" ht="27" customHeight="1">
      <c r="A78" s="379">
        <f>_xlfn.AGGREGATE(4,7,A$19:A77)+1</f>
        <v>58</v>
      </c>
      <c r="B78" s="33" t="s">
        <v>1853</v>
      </c>
      <c r="C78" s="149" t="s">
        <v>912</v>
      </c>
      <c r="D78" s="406" t="s">
        <v>1639</v>
      </c>
      <c r="E78" s="424" t="s">
        <v>1271</v>
      </c>
      <c r="F78" s="366">
        <v>4.32</v>
      </c>
      <c r="G78" s="157"/>
      <c r="H78" s="368">
        <f>F78+(F78*G78)</f>
        <v>4.32</v>
      </c>
      <c r="I78" s="81">
        <v>0.35</v>
      </c>
      <c r="J78" s="368" t="str">
        <f>VLOOKUP(B78,[4]CN!$B$33:$J$365,9,FALSE)</f>
        <v>Phó TP. Kế hoạch - Tài chính</v>
      </c>
      <c r="K78" s="369">
        <f>H78+I78</f>
        <v>4.67</v>
      </c>
      <c r="L78" s="362">
        <f>K78*$G$15</f>
        <v>8406000</v>
      </c>
      <c r="M78" s="366" t="str">
        <f>VLOOKUP(B78,'[5]Gui chi Quynh'!$B$11:$E$400,4,FALSE)</f>
        <v>A3</v>
      </c>
      <c r="N78" s="494">
        <f>IF(M78="A1",L78*1.6,IF(M78="A2",L78*1.4,IF(M78="A3",L78*1.2,IF(M78="A4",L78*1,IF(M78="B1",L78*0.7,IF(M78="B2",L78*0.5,IF(M78="C1",L78*0.3,IF(M78="C2",L78*0.2,0))))))))</f>
        <v>10087200</v>
      </c>
      <c r="O78" s="366">
        <v>16</v>
      </c>
      <c r="P78" s="440">
        <f>IFERROR(INDEX('[6]CN BC'!$J$10:$J$277,MATCH(B78,'[6]CN BC'!$H$10:$H$277,0)),"")</f>
        <v>14</v>
      </c>
      <c r="Q78" s="494">
        <f>IF(P78&gt;=O78,N78,N78/O78*P78)</f>
        <v>8826300</v>
      </c>
      <c r="R78" s="392"/>
      <c r="S78" s="362">
        <f>R78*$G$15*1</f>
        <v>0</v>
      </c>
      <c r="T78" s="385"/>
      <c r="U78" s="362">
        <f>T78*$G$15*1</f>
        <v>0</v>
      </c>
      <c r="V78" s="584">
        <f>IF(OR(M78="A DN",M78="KXL", M78=""),"0",ROUND(K78*0.01*$G$15+R78*1%*$G$15+T78*1%*$G$15,))</f>
        <v>84060</v>
      </c>
      <c r="W78" s="371">
        <f t="shared" si="11"/>
        <v>8826300</v>
      </c>
      <c r="X78" s="440" t="str">
        <f>IFERROR(INDEX([7]TL!$X$12:$X$200,MATCH(B78,[7]TL!$B$12:$B$200,0)),"0")</f>
        <v>0</v>
      </c>
      <c r="Y78" s="663">
        <f t="shared" si="8"/>
        <v>8826300</v>
      </c>
      <c r="Z78" s="664">
        <f t="shared" si="9"/>
        <v>4.9035000000000002</v>
      </c>
      <c r="AA78" s="662">
        <v>1800000</v>
      </c>
      <c r="AB78" s="663">
        <f t="shared" si="10"/>
        <v>8826300</v>
      </c>
      <c r="AC78" s="568">
        <f>A78</f>
        <v>58</v>
      </c>
      <c r="AD78" s="493" t="str">
        <f>IFERROR(INDEX('[6]CN BC'!$M$10:$M$276,MATCH(B78,'[6]CN BC'!$H$10:$H$276,0)),"")</f>
        <v>Trừ 3 ngày nghỉ phép 5+6+7/2</v>
      </c>
      <c r="AE78" s="141"/>
      <c r="AF78" s="141"/>
      <c r="AH78" s="155"/>
    </row>
    <row r="79" spans="1:44" s="372" customFormat="1" ht="27.75" customHeight="1">
      <c r="A79" s="379">
        <f>_xlfn.AGGREGATE(4,7,A$19:A78)+1</f>
        <v>59</v>
      </c>
      <c r="B79" s="363" t="s">
        <v>1862</v>
      </c>
      <c r="C79" s="375" t="s">
        <v>499</v>
      </c>
      <c r="D79" s="434" t="s">
        <v>1669</v>
      </c>
      <c r="E79" s="423" t="s">
        <v>497</v>
      </c>
      <c r="F79" s="366">
        <v>4.9800000000000004</v>
      </c>
      <c r="G79" s="378">
        <v>0.2</v>
      </c>
      <c r="H79" s="368">
        <f t="shared" si="0"/>
        <v>5.9760000000000009</v>
      </c>
      <c r="I79" s="368"/>
      <c r="J79" s="368" t="str">
        <f>VLOOKUP(B79,[4]CN!$B$33:$J$365,9,FALSE)</f>
        <v>Nhân viên phòng Khảo thí và ĐBCL</v>
      </c>
      <c r="K79" s="369">
        <f t="shared" si="1"/>
        <v>5.9760000000000009</v>
      </c>
      <c r="L79" s="362">
        <f t="shared" si="2"/>
        <v>10756800.000000002</v>
      </c>
      <c r="M79" s="366" t="str">
        <f>VLOOKUP(B79,'[5]Gui chi Quynh'!$B$11:$E$400,4,FALSE)</f>
        <v>A4</v>
      </c>
      <c r="N79" s="494">
        <f t="shared" si="3"/>
        <v>10756800.000000002</v>
      </c>
      <c r="O79" s="366">
        <v>16</v>
      </c>
      <c r="P79" s="440">
        <f>IFERROR(INDEX('[6]CN BC'!$J$10:$J$277,MATCH(B79,'[6]CN BC'!$H$10:$H$277,0)),"")</f>
        <v>15</v>
      </c>
      <c r="Q79" s="494">
        <f t="shared" si="4"/>
        <v>10084500.000000002</v>
      </c>
      <c r="R79" s="460"/>
      <c r="S79" s="362">
        <f>R79*$G$15*1</f>
        <v>0</v>
      </c>
      <c r="T79" s="370"/>
      <c r="U79" s="362">
        <f t="shared" si="5"/>
        <v>0</v>
      </c>
      <c r="V79" s="584">
        <f t="shared" si="6"/>
        <v>107568</v>
      </c>
      <c r="W79" s="371">
        <f t="shared" si="11"/>
        <v>10084500.000000002</v>
      </c>
      <c r="X79" s="440" t="str">
        <f>IFERROR(INDEX([7]TL!$X$12:$X$200,MATCH(B79,[7]TL!$B$12:$B$200,0)),"0")</f>
        <v>0</v>
      </c>
      <c r="Y79" s="663">
        <f t="shared" si="8"/>
        <v>10084500.000000002</v>
      </c>
      <c r="Z79" s="664">
        <f t="shared" si="9"/>
        <v>5.6025000000000009</v>
      </c>
      <c r="AA79" s="662">
        <v>1800000</v>
      </c>
      <c r="AB79" s="663">
        <f t="shared" si="10"/>
        <v>10084500.000000002</v>
      </c>
      <c r="AC79" s="568">
        <f t="shared" si="7"/>
        <v>59</v>
      </c>
      <c r="AD79" s="493" t="str">
        <f>IFERROR(INDEX('[6]CN BC'!$M$10:$M$276,MATCH(B79,'[6]CN BC'!$H$10:$H$276,0)),"")</f>
        <v>Trừ 1 ngày nghỉ phép 15/2</v>
      </c>
      <c r="AE79" s="536"/>
      <c r="AH79" s="487"/>
    </row>
    <row r="80" spans="1:44" s="372" customFormat="1" ht="27" customHeight="1">
      <c r="A80" s="379">
        <f>_xlfn.AGGREGATE(4,7,A$19:A79)+1</f>
        <v>60</v>
      </c>
      <c r="B80" s="363" t="s">
        <v>842</v>
      </c>
      <c r="C80" s="375" t="s">
        <v>874</v>
      </c>
      <c r="D80" s="434" t="s">
        <v>1671</v>
      </c>
      <c r="E80" s="423" t="s">
        <v>396</v>
      </c>
      <c r="F80" s="366">
        <v>3.66</v>
      </c>
      <c r="G80" s="367"/>
      <c r="H80" s="368">
        <f t="shared" si="0"/>
        <v>3.66</v>
      </c>
      <c r="I80" s="368"/>
      <c r="J80" s="368" t="str">
        <f>VLOOKUP(B80,[4]CN!$B$33:$J$365,9,FALSE)</f>
        <v>Nhân viên phòng Khảo thí và ĐBCL</v>
      </c>
      <c r="K80" s="369">
        <f t="shared" si="1"/>
        <v>3.66</v>
      </c>
      <c r="L80" s="362">
        <f t="shared" si="2"/>
        <v>6588000</v>
      </c>
      <c r="M80" s="366" t="str">
        <f>VLOOKUP(B80,'[5]Gui chi Quynh'!$B$11:$E$400,4,FALSE)</f>
        <v>A3</v>
      </c>
      <c r="N80" s="494">
        <f t="shared" si="3"/>
        <v>7905600</v>
      </c>
      <c r="O80" s="366">
        <v>16</v>
      </c>
      <c r="P80" s="440">
        <f>IFERROR(INDEX('[6]CN BC'!$J$10:$J$277,MATCH(B80,'[6]CN BC'!$H$10:$H$277,0)),"")</f>
        <v>16</v>
      </c>
      <c r="Q80" s="494">
        <f t="shared" si="4"/>
        <v>7905600</v>
      </c>
      <c r="R80" s="460"/>
      <c r="S80" s="362">
        <f>R80*$G$15*0.8</f>
        <v>0</v>
      </c>
      <c r="T80" s="370"/>
      <c r="U80" s="362">
        <f t="shared" si="5"/>
        <v>0</v>
      </c>
      <c r="V80" s="584">
        <f t="shared" si="6"/>
        <v>65880</v>
      </c>
      <c r="W80" s="371">
        <f t="shared" si="11"/>
        <v>7905600</v>
      </c>
      <c r="X80" s="440" t="str">
        <f>IFERROR(INDEX([7]TL!$X$12:$X$200,MATCH(B80,[7]TL!$B$12:$B$200,0)),"0")</f>
        <v>0</v>
      </c>
      <c r="Y80" s="663">
        <f t="shared" si="8"/>
        <v>7905600</v>
      </c>
      <c r="Z80" s="664">
        <f t="shared" si="9"/>
        <v>4.3920000000000003</v>
      </c>
      <c r="AA80" s="662">
        <v>1800000</v>
      </c>
      <c r="AB80" s="663">
        <f t="shared" si="10"/>
        <v>7905600.0000000009</v>
      </c>
      <c r="AC80" s="568">
        <f t="shared" si="7"/>
        <v>60</v>
      </c>
      <c r="AD80" s="493">
        <f>IFERROR(INDEX('[6]CN BC'!$M$10:$M$276,MATCH(B80,'[6]CN BC'!$H$10:$H$276,0)),"")</f>
        <v>0</v>
      </c>
      <c r="AE80" s="141"/>
      <c r="AF80" s="108"/>
      <c r="AG80" s="108"/>
      <c r="AH80" s="155"/>
      <c r="AI80" s="108"/>
      <c r="AJ80" s="108"/>
      <c r="AK80" s="108"/>
      <c r="AL80" s="108"/>
      <c r="AM80" s="108"/>
      <c r="AN80" s="108"/>
    </row>
    <row r="81" spans="1:44" s="372" customFormat="1" ht="27" customHeight="1">
      <c r="A81" s="379">
        <f>_xlfn.AGGREGATE(4,7,A$19:A80)+1</f>
        <v>61</v>
      </c>
      <c r="B81" s="363" t="s">
        <v>1551</v>
      </c>
      <c r="C81" s="375" t="s">
        <v>896</v>
      </c>
      <c r="D81" s="406" t="s">
        <v>1672</v>
      </c>
      <c r="E81" s="430">
        <v>1603205182756</v>
      </c>
      <c r="F81" s="366">
        <v>3.66</v>
      </c>
      <c r="G81" s="367"/>
      <c r="H81" s="368">
        <f t="shared" si="0"/>
        <v>3.66</v>
      </c>
      <c r="I81" s="368"/>
      <c r="J81" s="368" t="str">
        <f>VLOOKUP(B81,[4]CN!$B$33:$J$365,9,FALSE)</f>
        <v>Nhân viên phòng Khảo thí và ĐBCL</v>
      </c>
      <c r="K81" s="369">
        <f t="shared" si="1"/>
        <v>3.66</v>
      </c>
      <c r="L81" s="362">
        <f t="shared" si="2"/>
        <v>6588000</v>
      </c>
      <c r="M81" s="366" t="str">
        <f>VLOOKUP(B81,'[5]Gui chi Quynh'!$B$11:$E$400,4,FALSE)</f>
        <v>A2</v>
      </c>
      <c r="N81" s="494">
        <f t="shared" si="3"/>
        <v>9223200</v>
      </c>
      <c r="O81" s="366">
        <v>16</v>
      </c>
      <c r="P81" s="440">
        <f>IFERROR(INDEX('[6]CN BC'!$J$10:$J$277,MATCH(B81,'[6]CN BC'!$H$10:$H$277,0)),"")</f>
        <v>16</v>
      </c>
      <c r="Q81" s="494">
        <f t="shared" si="4"/>
        <v>9223200</v>
      </c>
      <c r="R81" s="460"/>
      <c r="S81" s="362">
        <f>R81*$G$15*0.8</f>
        <v>0</v>
      </c>
      <c r="T81" s="370"/>
      <c r="U81" s="362">
        <f t="shared" si="5"/>
        <v>0</v>
      </c>
      <c r="V81" s="584">
        <f t="shared" si="6"/>
        <v>65880</v>
      </c>
      <c r="W81" s="371">
        <f t="shared" si="11"/>
        <v>9223200</v>
      </c>
      <c r="X81" s="440" t="str">
        <f>IFERROR(INDEX([7]TL!$X$12:$X$200,MATCH(B81,[7]TL!$B$12:$B$200,0)),"0")</f>
        <v>0</v>
      </c>
      <c r="Y81" s="663">
        <f t="shared" si="8"/>
        <v>9223200</v>
      </c>
      <c r="Z81" s="664">
        <f t="shared" si="9"/>
        <v>5.1239999999999997</v>
      </c>
      <c r="AA81" s="662">
        <v>1800000</v>
      </c>
      <c r="AB81" s="663">
        <f t="shared" si="10"/>
        <v>9223200</v>
      </c>
      <c r="AC81" s="568">
        <f t="shared" si="7"/>
        <v>61</v>
      </c>
      <c r="AD81" s="493">
        <f>IFERROR(INDEX('[6]CN BC'!$M$10:$M$276,MATCH(B81,'[6]CN BC'!$H$10:$H$276,0)),"")</f>
        <v>0</v>
      </c>
      <c r="AE81" s="141"/>
      <c r="AF81" s="108"/>
      <c r="AG81" s="659"/>
      <c r="AH81" s="155"/>
      <c r="AI81" s="108"/>
      <c r="AJ81" s="108"/>
      <c r="AK81" s="108"/>
      <c r="AL81" s="108"/>
      <c r="AM81" s="108"/>
      <c r="AN81" s="108"/>
      <c r="AO81" s="108"/>
      <c r="AP81" s="108"/>
      <c r="AQ81" s="108"/>
      <c r="AR81" s="108"/>
    </row>
    <row r="82" spans="1:44" s="372" customFormat="1" ht="27" customHeight="1">
      <c r="A82" s="379">
        <f>_xlfn.AGGREGATE(4,7,A$19:A81)+1</f>
        <v>62</v>
      </c>
      <c r="B82" s="363" t="s">
        <v>1521</v>
      </c>
      <c r="C82" s="380" t="s">
        <v>891</v>
      </c>
      <c r="D82" s="406" t="s">
        <v>1673</v>
      </c>
      <c r="E82" s="429">
        <v>1603205286752</v>
      </c>
      <c r="F82" s="373">
        <v>3.66</v>
      </c>
      <c r="G82" s="367"/>
      <c r="H82" s="445">
        <f t="shared" si="0"/>
        <v>3.66</v>
      </c>
      <c r="I82" s="368"/>
      <c r="J82" s="368" t="str">
        <f>VLOOKUP(B82,[4]CN!$B$33:$J$365,9,FALSE)</f>
        <v>Nhân viên phòng Khảo thí và ĐBCL</v>
      </c>
      <c r="K82" s="369">
        <f t="shared" si="1"/>
        <v>3.66</v>
      </c>
      <c r="L82" s="362">
        <f t="shared" si="2"/>
        <v>6588000</v>
      </c>
      <c r="M82" s="366" t="str">
        <f>VLOOKUP(B82,'[5]Gui chi Quynh'!$B$11:$E$400,4,FALSE)</f>
        <v>A3</v>
      </c>
      <c r="N82" s="494">
        <f t="shared" si="3"/>
        <v>7905600</v>
      </c>
      <c r="O82" s="366">
        <v>16</v>
      </c>
      <c r="P82" s="440">
        <f>IFERROR(INDEX('[6]CN BC'!$J$10:$J$277,MATCH(B82,'[6]CN BC'!$H$10:$H$277,0)),"")</f>
        <v>12</v>
      </c>
      <c r="Q82" s="494">
        <f t="shared" si="4"/>
        <v>5929200</v>
      </c>
      <c r="R82" s="392"/>
      <c r="S82" s="362">
        <f>R82*$G$15*0.8</f>
        <v>0</v>
      </c>
      <c r="T82" s="385"/>
      <c r="U82" s="362">
        <f t="shared" si="5"/>
        <v>0</v>
      </c>
      <c r="V82" s="584">
        <f t="shared" si="6"/>
        <v>65880</v>
      </c>
      <c r="W82" s="371">
        <f t="shared" si="11"/>
        <v>5929200</v>
      </c>
      <c r="X82" s="440" t="str">
        <f>IFERROR(INDEX([7]TL!$X$12:$X$200,MATCH(B82,[7]TL!$B$12:$B$200,0)),"0")</f>
        <v>0</v>
      </c>
      <c r="Y82" s="663">
        <f t="shared" si="8"/>
        <v>5929200</v>
      </c>
      <c r="Z82" s="664">
        <f t="shared" si="9"/>
        <v>3.294</v>
      </c>
      <c r="AA82" s="662">
        <v>1800000</v>
      </c>
      <c r="AB82" s="663">
        <f t="shared" si="10"/>
        <v>5929200</v>
      </c>
      <c r="AC82" s="568">
        <f t="shared" si="7"/>
        <v>62</v>
      </c>
      <c r="AD82" s="493" t="str">
        <f>IFERROR(INDEX('[6]CN BC'!$M$10:$M$276,MATCH(B82,'[6]CN BC'!$H$10:$H$276,0)),"")</f>
        <v>Trừ 1 ngày nghỉ phép 2/2 và 3 ngày nghỉ chế độ tang 5+6+7/2</v>
      </c>
      <c r="AE82" s="141"/>
      <c r="AF82" s="108"/>
      <c r="AG82" s="108"/>
      <c r="AH82" s="461"/>
      <c r="AI82" s="108"/>
      <c r="AJ82" s="108"/>
      <c r="AK82" s="108"/>
      <c r="AL82" s="108"/>
      <c r="AM82" s="108"/>
      <c r="AN82" s="108"/>
      <c r="AO82" s="108"/>
      <c r="AP82" s="108"/>
      <c r="AQ82" s="108"/>
      <c r="AR82" s="108"/>
    </row>
    <row r="83" spans="1:44" s="372" customFormat="1" ht="27" customHeight="1">
      <c r="A83" s="379">
        <f>_xlfn.AGGREGATE(4,7,A$19:A82)+1</f>
        <v>63</v>
      </c>
      <c r="B83" s="363" t="s">
        <v>1841</v>
      </c>
      <c r="C83" s="364"/>
      <c r="D83" s="434" t="s">
        <v>1956</v>
      </c>
      <c r="E83" s="480" t="s">
        <v>1931</v>
      </c>
      <c r="F83" s="373">
        <v>3</v>
      </c>
      <c r="G83" s="367"/>
      <c r="H83" s="445">
        <f t="shared" si="0"/>
        <v>3</v>
      </c>
      <c r="I83" s="368">
        <v>0.35</v>
      </c>
      <c r="J83" s="368" t="str">
        <f>VLOOKUP(B83,[4]CN!$B$33:$J$365,9,FALSE)</f>
        <v>Nhân viên phòng Khảo thí và ĐBCL</v>
      </c>
      <c r="K83" s="369">
        <f t="shared" si="1"/>
        <v>3.35</v>
      </c>
      <c r="L83" s="362">
        <f t="shared" si="2"/>
        <v>6030000</v>
      </c>
      <c r="M83" s="366" t="str">
        <f>VLOOKUP(B83,'[5]Gui chi Quynh'!$B$11:$E$400,4,FALSE)</f>
        <v>A1</v>
      </c>
      <c r="N83" s="494">
        <f t="shared" si="3"/>
        <v>9648000</v>
      </c>
      <c r="O83" s="366">
        <v>16</v>
      </c>
      <c r="P83" s="440">
        <f>IFERROR(INDEX('[6]CN BC'!$J$10:$J$277,MATCH(B83,'[6]CN BC'!$H$10:$H$277,0)),"")</f>
        <v>19</v>
      </c>
      <c r="Q83" s="494">
        <f t="shared" si="4"/>
        <v>9648000</v>
      </c>
      <c r="R83" s="460"/>
      <c r="S83" s="362">
        <f>R83*$G$15*1</f>
        <v>0</v>
      </c>
      <c r="T83" s="370"/>
      <c r="U83" s="362">
        <f t="shared" si="5"/>
        <v>0</v>
      </c>
      <c r="V83" s="584">
        <f t="shared" si="6"/>
        <v>60300</v>
      </c>
      <c r="W83" s="371">
        <f t="shared" si="11"/>
        <v>9648000</v>
      </c>
      <c r="X83" s="440" t="str">
        <f>IFERROR(INDEX([7]TL!$X$12:$X$200,MATCH(B83,[7]TL!$B$12:$B$200,0)),"0")</f>
        <v>0</v>
      </c>
      <c r="Y83" s="663">
        <f t="shared" si="8"/>
        <v>9648000</v>
      </c>
      <c r="Z83" s="664">
        <f t="shared" si="9"/>
        <v>5.36</v>
      </c>
      <c r="AA83" s="662">
        <v>1800000</v>
      </c>
      <c r="AB83" s="663">
        <f t="shared" si="10"/>
        <v>9648000</v>
      </c>
      <c r="AC83" s="568">
        <f t="shared" si="7"/>
        <v>63</v>
      </c>
      <c r="AD83" s="493">
        <f>IFERROR(INDEX('[6]CN BC'!$M$10:$M$276,MATCH(B83,'[6]CN BC'!$H$10:$H$276,0)),"")</f>
        <v>0</v>
      </c>
      <c r="AE83" s="141"/>
      <c r="AF83" s="108"/>
      <c r="AG83" s="108"/>
      <c r="AH83" s="155"/>
      <c r="AI83" s="108"/>
      <c r="AJ83" s="108"/>
      <c r="AK83" s="108"/>
      <c r="AL83" s="108"/>
      <c r="AM83" s="108"/>
      <c r="AN83" s="108"/>
    </row>
    <row r="84" spans="1:44" s="108" customFormat="1" ht="27" customHeight="1">
      <c r="A84" s="379">
        <f>_xlfn.AGGREGATE(4,7,A$19:A83)+1</f>
        <v>64</v>
      </c>
      <c r="B84" s="33" t="s">
        <v>1863</v>
      </c>
      <c r="C84" s="149" t="s">
        <v>903</v>
      </c>
      <c r="D84" s="406" t="s">
        <v>1675</v>
      </c>
      <c r="E84" s="424" t="s">
        <v>1357</v>
      </c>
      <c r="F84" s="83">
        <v>3.66</v>
      </c>
      <c r="G84" s="157"/>
      <c r="H84" s="368">
        <f t="shared" si="0"/>
        <v>3.66</v>
      </c>
      <c r="I84" s="81">
        <v>0.45</v>
      </c>
      <c r="J84" s="368" t="str">
        <f>VLOOKUP(B84,[4]CN!$B$33:$J$365,9,FALSE)</f>
        <v>Trưởng TT Điều hành và QLDL</v>
      </c>
      <c r="K84" s="369">
        <f t="shared" si="1"/>
        <v>4.1100000000000003</v>
      </c>
      <c r="L84" s="362">
        <f t="shared" si="2"/>
        <v>7398000.0000000009</v>
      </c>
      <c r="M84" s="366" t="str">
        <f>VLOOKUP(B84,'[5]Gui chi Quynh'!$B$11:$E$400,4,FALSE)</f>
        <v>A1</v>
      </c>
      <c r="N84" s="494">
        <f t="shared" si="3"/>
        <v>11836800.000000002</v>
      </c>
      <c r="O84" s="366">
        <v>16</v>
      </c>
      <c r="P84" s="440">
        <f>IFERROR(INDEX('[6]CN BC'!$J$10:$J$277,MATCH(B84,'[6]CN BC'!$H$10:$H$277,0)),"")</f>
        <v>19</v>
      </c>
      <c r="Q84" s="494">
        <f t="shared" si="4"/>
        <v>11836800.000000002</v>
      </c>
      <c r="R84" s="392"/>
      <c r="S84" s="362">
        <f>R84*$G$15*1</f>
        <v>0</v>
      </c>
      <c r="T84" s="385"/>
      <c r="U84" s="362">
        <f t="shared" si="5"/>
        <v>0</v>
      </c>
      <c r="V84" s="584">
        <f t="shared" si="6"/>
        <v>73980</v>
      </c>
      <c r="W84" s="371">
        <f t="shared" si="11"/>
        <v>11836800.000000002</v>
      </c>
      <c r="X84" s="440" t="str">
        <f>IFERROR(INDEX([7]TL!$X$12:$X$200,MATCH(B84,[7]TL!$B$12:$B$200,0)),"0")</f>
        <v>0</v>
      </c>
      <c r="Y84" s="663">
        <f t="shared" si="8"/>
        <v>11836800.000000002</v>
      </c>
      <c r="Z84" s="664">
        <f t="shared" si="9"/>
        <v>6.5760000000000014</v>
      </c>
      <c r="AA84" s="662">
        <v>1800000</v>
      </c>
      <c r="AB84" s="663">
        <f t="shared" si="10"/>
        <v>11836800.000000002</v>
      </c>
      <c r="AC84" s="568">
        <f t="shared" si="7"/>
        <v>64</v>
      </c>
      <c r="AD84" s="493">
        <f>IFERROR(INDEX('[6]CN BC'!$M$10:$M$276,MATCH(B84,'[6]CN BC'!$H$10:$H$276,0)),"")</f>
        <v>0</v>
      </c>
      <c r="AE84" s="141"/>
      <c r="AH84" s="155"/>
    </row>
    <row r="85" spans="1:44" s="372" customFormat="1" ht="27" customHeight="1">
      <c r="A85" s="379">
        <f>_xlfn.AGGREGATE(4,7,A$19:A84)+1</f>
        <v>65</v>
      </c>
      <c r="B85" s="363" t="s">
        <v>1470</v>
      </c>
      <c r="C85" s="380" t="s">
        <v>1434</v>
      </c>
      <c r="D85" s="406" t="s">
        <v>1679</v>
      </c>
      <c r="E85" s="426" t="s">
        <v>1438</v>
      </c>
      <c r="F85" s="366">
        <v>3.66</v>
      </c>
      <c r="G85" s="367"/>
      <c r="H85" s="368">
        <f t="shared" ref="H85:H117" si="15">F85+(F85*G85)</f>
        <v>3.66</v>
      </c>
      <c r="I85" s="368"/>
      <c r="J85" s="368" t="str">
        <f>VLOOKUP(B85,[4]CN!$B$33:$J$365,9,FALSE)</f>
        <v>NV Trung tâm ĐH và QLDL</v>
      </c>
      <c r="K85" s="369">
        <f t="shared" ref="K85:K117" si="16">H85+I85</f>
        <v>3.66</v>
      </c>
      <c r="L85" s="362">
        <f t="shared" ref="L85:L114" si="17">K85*$G$15</f>
        <v>6588000</v>
      </c>
      <c r="M85" s="366" t="str">
        <f>VLOOKUP(B85,'[5]Gui chi Quynh'!$B$11:$E$400,4,FALSE)</f>
        <v>A1</v>
      </c>
      <c r="N85" s="494">
        <f t="shared" ref="N85:N148" si="18">IF(M85="A1",L85*1.6,IF(M85="A2",L85*1.4,IF(M85="A3",L85*1.2,IF(M85="A4",L85*1,IF(M85="B1",L85*0.7,IF(M85="B2",L85*0.5,IF(M85="C1",L85*0.3,IF(M85="C2",L85*0.2,0))))))))</f>
        <v>10540800</v>
      </c>
      <c r="O85" s="366">
        <v>16</v>
      </c>
      <c r="P85" s="440">
        <f>IFERROR(INDEX('[6]CN BC'!$J$10:$J$277,MATCH(B85,'[6]CN BC'!$H$10:$H$277,0)),"")</f>
        <v>19</v>
      </c>
      <c r="Q85" s="494">
        <f t="shared" ref="Q85:Q148" si="19">IF(P85&gt;=O85,N85,N85/O85*P85)</f>
        <v>10540800</v>
      </c>
      <c r="R85" s="392"/>
      <c r="S85" s="362">
        <f>R85*$G$15*1</f>
        <v>0</v>
      </c>
      <c r="T85" s="385"/>
      <c r="U85" s="362">
        <f t="shared" ref="U85:U148" si="20">T85*$G$15*1</f>
        <v>0</v>
      </c>
      <c r="V85" s="584">
        <f t="shared" ref="V85:V148" si="21">IF(OR(M85="A DN",M85="KXL", M85=""),"0",ROUND(K85*0.01*$G$15+R85*1%*$G$15+T85*1%*$G$15,))</f>
        <v>65880</v>
      </c>
      <c r="W85" s="371">
        <f t="shared" si="11"/>
        <v>10540800</v>
      </c>
      <c r="X85" s="440" t="str">
        <f>IFERROR(INDEX([7]TL!$X$12:$X$200,MATCH(B85,[7]TL!$B$12:$B$200,0)),"0")</f>
        <v>0</v>
      </c>
      <c r="Y85" s="663">
        <f t="shared" si="8"/>
        <v>10540800</v>
      </c>
      <c r="Z85" s="664">
        <f t="shared" si="9"/>
        <v>5.8559999999999999</v>
      </c>
      <c r="AA85" s="662">
        <v>1800000</v>
      </c>
      <c r="AB85" s="663">
        <f t="shared" si="10"/>
        <v>10540800</v>
      </c>
      <c r="AC85" s="568">
        <f t="shared" ref="AC85:AC148" si="22">A85</f>
        <v>65</v>
      </c>
      <c r="AD85" s="493">
        <f>IFERROR(INDEX('[6]CN BC'!$M$10:$M$276,MATCH(B85,'[6]CN BC'!$H$10:$H$276,0)),"")</f>
        <v>0</v>
      </c>
      <c r="AE85" s="141"/>
      <c r="AF85" s="141"/>
      <c r="AG85" s="108"/>
      <c r="AH85" s="461"/>
      <c r="AI85" s="108"/>
      <c r="AJ85" s="108"/>
      <c r="AK85" s="108"/>
      <c r="AL85" s="108"/>
      <c r="AM85" s="108"/>
      <c r="AN85" s="108"/>
      <c r="AO85" s="108"/>
      <c r="AP85" s="108"/>
      <c r="AQ85" s="108"/>
      <c r="AR85" s="108"/>
    </row>
    <row r="86" spans="1:44" s="372" customFormat="1" ht="27" customHeight="1">
      <c r="A86" s="379">
        <f>_xlfn.AGGREGATE(4,7,A$19:A85)+1</f>
        <v>66</v>
      </c>
      <c r="B86" s="363" t="s">
        <v>1466</v>
      </c>
      <c r="C86" s="375" t="s">
        <v>1211</v>
      </c>
      <c r="D86" s="434" t="s">
        <v>1663</v>
      </c>
      <c r="E86" s="426" t="s">
        <v>1579</v>
      </c>
      <c r="F86" s="366">
        <v>3.26</v>
      </c>
      <c r="G86" s="367"/>
      <c r="H86" s="368">
        <f t="shared" si="15"/>
        <v>3.26</v>
      </c>
      <c r="I86" s="368"/>
      <c r="J86" s="368" t="str">
        <f>VLOOKUP(B86,[4]CN!$B$33:$J$365,9,FALSE)</f>
        <v>Nhân viên TT Điều hành và QLDL</v>
      </c>
      <c r="K86" s="369">
        <f t="shared" si="16"/>
        <v>3.26</v>
      </c>
      <c r="L86" s="362">
        <f t="shared" si="17"/>
        <v>5868000</v>
      </c>
      <c r="M86" s="366" t="str">
        <f>VLOOKUP(B86,'[5]Gui chi Quynh'!$B$11:$E$400,4,FALSE)</f>
        <v>A2</v>
      </c>
      <c r="N86" s="494">
        <f t="shared" si="18"/>
        <v>8215199.9999999991</v>
      </c>
      <c r="O86" s="366">
        <v>16</v>
      </c>
      <c r="P86" s="440">
        <f>IFERROR(INDEX('[6]CN BC'!$J$10:$J$277,MATCH(B86,'[6]CN BC'!$H$10:$H$277,0)),"")</f>
        <v>18</v>
      </c>
      <c r="Q86" s="494">
        <f t="shared" si="19"/>
        <v>8215199.9999999991</v>
      </c>
      <c r="R86" s="460"/>
      <c r="S86" s="362">
        <f>R86*$G$15*1.2</f>
        <v>0</v>
      </c>
      <c r="T86" s="370"/>
      <c r="U86" s="362">
        <f t="shared" si="20"/>
        <v>0</v>
      </c>
      <c r="V86" s="584">
        <f t="shared" si="21"/>
        <v>58680</v>
      </c>
      <c r="W86" s="371">
        <f t="shared" si="11"/>
        <v>8215199.9999999991</v>
      </c>
      <c r="X86" s="440" t="str">
        <f>IFERROR(INDEX([7]TL!$X$12:$X$200,MATCH(B86,[7]TL!$B$12:$B$200,0)),"0")</f>
        <v>0</v>
      </c>
      <c r="Y86" s="663">
        <f t="shared" ref="Y86:Y149" si="23">W86+X86</f>
        <v>8215199.9999999991</v>
      </c>
      <c r="Z86" s="664">
        <f t="shared" ref="Z86:Z149" si="24">Y86/AA86</f>
        <v>4.5639999999999992</v>
      </c>
      <c r="AA86" s="662">
        <v>1800000</v>
      </c>
      <c r="AB86" s="663">
        <f t="shared" ref="AB86:AB149" si="25">Z86*AA86</f>
        <v>8215199.9999999981</v>
      </c>
      <c r="AC86" s="568">
        <f t="shared" si="22"/>
        <v>66</v>
      </c>
      <c r="AD86" s="493">
        <f>IFERROR(INDEX('[6]CN BC'!$M$10:$M$276,MATCH(B86,'[6]CN BC'!$H$10:$H$276,0)),"")</f>
        <v>0</v>
      </c>
      <c r="AE86" s="141"/>
      <c r="AF86" s="108"/>
      <c r="AG86" s="108"/>
      <c r="AH86" s="155"/>
      <c r="AI86" s="108"/>
      <c r="AJ86" s="108"/>
      <c r="AK86" s="108"/>
      <c r="AL86" s="108"/>
      <c r="AM86" s="108"/>
      <c r="AN86" s="108"/>
    </row>
    <row r="87" spans="1:44" s="372" customFormat="1" ht="23.25" customHeight="1">
      <c r="A87" s="379">
        <f>_xlfn.AGGREGATE(4,7,A$19:A86)+1</f>
        <v>67</v>
      </c>
      <c r="B87" s="363" t="s">
        <v>1834</v>
      </c>
      <c r="C87" s="364"/>
      <c r="D87" s="434" t="s">
        <v>1967</v>
      </c>
      <c r="E87" s="480">
        <v>1603215005599</v>
      </c>
      <c r="F87" s="373">
        <v>3.66</v>
      </c>
      <c r="G87" s="367"/>
      <c r="H87" s="368">
        <f t="shared" si="15"/>
        <v>3.66</v>
      </c>
      <c r="I87" s="368">
        <v>0.45</v>
      </c>
      <c r="J87" s="368" t="str">
        <f>VLOOKUP(B87,[4]CN!$B$33:$J$365,9,FALSE)</f>
        <v>Phụ trách TT Thư viện</v>
      </c>
      <c r="K87" s="369">
        <f t="shared" si="16"/>
        <v>4.1100000000000003</v>
      </c>
      <c r="L87" s="362">
        <f t="shared" si="17"/>
        <v>7398000.0000000009</v>
      </c>
      <c r="M87" s="366" t="str">
        <f>VLOOKUP(B87,'[5]Gui chi Quynh'!$B$11:$E$400,4,FALSE)</f>
        <v>A1</v>
      </c>
      <c r="N87" s="494">
        <f t="shared" si="18"/>
        <v>11836800.000000002</v>
      </c>
      <c r="O87" s="366">
        <v>16</v>
      </c>
      <c r="P87" s="440">
        <f>IFERROR(INDEX('[6]CN BC'!$J$10:$J$277,MATCH(B87,'[6]CN BC'!$H$10:$H$277,0)),"")</f>
        <v>16</v>
      </c>
      <c r="Q87" s="494">
        <f t="shared" si="19"/>
        <v>11836800.000000002</v>
      </c>
      <c r="R87" s="460"/>
      <c r="S87" s="362">
        <f t="shared" ref="S87:S140" si="26">R87*$G$15*1</f>
        <v>0</v>
      </c>
      <c r="T87" s="370"/>
      <c r="U87" s="362">
        <f t="shared" si="20"/>
        <v>0</v>
      </c>
      <c r="V87" s="584">
        <f t="shared" si="21"/>
        <v>73980</v>
      </c>
      <c r="W87" s="371">
        <f t="shared" ref="W87:W150" si="27">(Q87+S87+U87)</f>
        <v>11836800.000000002</v>
      </c>
      <c r="X87" s="440" t="str">
        <f>IFERROR(INDEX([7]TL!$X$12:$X$200,MATCH(B87,[7]TL!$B$12:$B$200,0)),"0")</f>
        <v>0</v>
      </c>
      <c r="Y87" s="663">
        <f t="shared" si="23"/>
        <v>11836800.000000002</v>
      </c>
      <c r="Z87" s="664">
        <f t="shared" si="24"/>
        <v>6.5760000000000014</v>
      </c>
      <c r="AA87" s="662">
        <v>1800000</v>
      </c>
      <c r="AB87" s="663">
        <f t="shared" si="25"/>
        <v>11836800.000000002</v>
      </c>
      <c r="AC87" s="568">
        <f t="shared" si="22"/>
        <v>67</v>
      </c>
      <c r="AD87" s="493">
        <f>IFERROR(INDEX('[6]CN BC'!$M$10:$M$276,MATCH(B87,'[6]CN BC'!$H$10:$H$276,0)),"")</f>
        <v>0</v>
      </c>
      <c r="AE87" s="141"/>
      <c r="AF87" s="108"/>
      <c r="AG87" s="108"/>
      <c r="AH87" s="155"/>
      <c r="AI87" s="108"/>
      <c r="AJ87" s="108"/>
      <c r="AK87" s="108"/>
      <c r="AL87" s="108"/>
      <c r="AM87" s="108"/>
      <c r="AN87" s="108"/>
    </row>
    <row r="88" spans="1:44" s="372" customFormat="1" ht="27" customHeight="1">
      <c r="A88" s="379">
        <f>_xlfn.AGGREGATE(4,7,A$19:A87)+1</f>
        <v>68</v>
      </c>
      <c r="B88" s="363" t="s">
        <v>1468</v>
      </c>
      <c r="C88" s="375" t="s">
        <v>883</v>
      </c>
      <c r="D88" s="434" t="s">
        <v>1676</v>
      </c>
      <c r="E88" s="426" t="s">
        <v>1580</v>
      </c>
      <c r="F88" s="373">
        <v>3.33</v>
      </c>
      <c r="G88" s="367"/>
      <c r="H88" s="445">
        <f t="shared" si="15"/>
        <v>3.33</v>
      </c>
      <c r="I88" s="368"/>
      <c r="J88" s="368" t="str">
        <f>VLOOKUP(B88,[4]CN!$B$33:$J$365,9,FALSE)</f>
        <v>Nhân viên TT Thư viện</v>
      </c>
      <c r="K88" s="369">
        <f t="shared" si="16"/>
        <v>3.33</v>
      </c>
      <c r="L88" s="362">
        <f t="shared" si="17"/>
        <v>5994000</v>
      </c>
      <c r="M88" s="366" t="str">
        <f>VLOOKUP(B88,'[5]Gui chi Quynh'!$B$11:$E$400,4,FALSE)</f>
        <v>A3</v>
      </c>
      <c r="N88" s="494">
        <f t="shared" si="18"/>
        <v>7192800</v>
      </c>
      <c r="O88" s="366">
        <v>16</v>
      </c>
      <c r="P88" s="440">
        <f>IFERROR(INDEX('[6]CN BC'!$J$10:$J$277,MATCH(B88,'[6]CN BC'!$H$10:$H$277,0)),"")</f>
        <v>17</v>
      </c>
      <c r="Q88" s="494">
        <f t="shared" si="19"/>
        <v>7192800</v>
      </c>
      <c r="R88" s="392"/>
      <c r="S88" s="362">
        <f t="shared" si="26"/>
        <v>0</v>
      </c>
      <c r="T88" s="370"/>
      <c r="U88" s="362">
        <f t="shared" si="20"/>
        <v>0</v>
      </c>
      <c r="V88" s="584">
        <f t="shared" si="21"/>
        <v>59940</v>
      </c>
      <c r="W88" s="371">
        <f t="shared" si="27"/>
        <v>7192800</v>
      </c>
      <c r="X88" s="440" t="str">
        <f>IFERROR(INDEX([7]TL!$X$12:$X$200,MATCH(B88,[7]TL!$B$12:$B$200,0)),"0")</f>
        <v>0</v>
      </c>
      <c r="Y88" s="663">
        <f t="shared" si="23"/>
        <v>7192800</v>
      </c>
      <c r="Z88" s="664">
        <f t="shared" si="24"/>
        <v>3.996</v>
      </c>
      <c r="AA88" s="662">
        <v>1800000</v>
      </c>
      <c r="AB88" s="663">
        <f t="shared" si="25"/>
        <v>7192800</v>
      </c>
      <c r="AC88" s="568">
        <f t="shared" si="22"/>
        <v>68</v>
      </c>
      <c r="AD88" s="493">
        <f>IFERROR(INDEX('[6]CN BC'!$M$10:$M$276,MATCH(B88,'[6]CN BC'!$H$10:$H$276,0)),"")</f>
        <v>0</v>
      </c>
      <c r="AE88" s="141"/>
      <c r="AF88" s="108"/>
      <c r="AG88" s="108"/>
      <c r="AH88" s="155"/>
      <c r="AI88" s="108"/>
      <c r="AJ88" s="108"/>
      <c r="AK88" s="108"/>
      <c r="AL88" s="108"/>
      <c r="AM88" s="108"/>
      <c r="AN88" s="108"/>
    </row>
    <row r="89" spans="1:44" s="372" customFormat="1" ht="27" customHeight="1">
      <c r="A89" s="379">
        <f>_xlfn.AGGREGATE(4,7,A$19:A88)+1</f>
        <v>69</v>
      </c>
      <c r="B89" s="363" t="s">
        <v>1469</v>
      </c>
      <c r="C89" s="375" t="s">
        <v>49</v>
      </c>
      <c r="D89" s="434" t="s">
        <v>1677</v>
      </c>
      <c r="E89" s="430">
        <v>1603205185623</v>
      </c>
      <c r="F89" s="373">
        <v>3.33</v>
      </c>
      <c r="G89" s="367"/>
      <c r="H89" s="445">
        <f t="shared" si="15"/>
        <v>3.33</v>
      </c>
      <c r="I89" s="368"/>
      <c r="J89" s="368" t="str">
        <f>VLOOKUP(B89,[4]CN!$B$33:$J$365,9,FALSE)</f>
        <v>Nhân viên TT Thư viện</v>
      </c>
      <c r="K89" s="369">
        <f t="shared" si="16"/>
        <v>3.33</v>
      </c>
      <c r="L89" s="362">
        <f t="shared" si="17"/>
        <v>5994000</v>
      </c>
      <c r="M89" s="366" t="str">
        <f>VLOOKUP(B89,'[5]Gui chi Quynh'!$B$11:$E$400,4,FALSE)</f>
        <v>A4</v>
      </c>
      <c r="N89" s="494">
        <f t="shared" si="18"/>
        <v>5994000</v>
      </c>
      <c r="O89" s="366">
        <v>16</v>
      </c>
      <c r="P89" s="440">
        <f>IFERROR(INDEX('[6]CN BC'!$J$10:$J$277,MATCH(B89,'[6]CN BC'!$H$10:$H$277,0)),"")</f>
        <v>13</v>
      </c>
      <c r="Q89" s="494">
        <f t="shared" si="19"/>
        <v>4870125</v>
      </c>
      <c r="R89" s="460"/>
      <c r="S89" s="362">
        <f t="shared" si="26"/>
        <v>0</v>
      </c>
      <c r="T89" s="370"/>
      <c r="U89" s="362">
        <f t="shared" si="20"/>
        <v>0</v>
      </c>
      <c r="V89" s="584">
        <f t="shared" si="21"/>
        <v>59940</v>
      </c>
      <c r="W89" s="371">
        <f t="shared" si="27"/>
        <v>4870125</v>
      </c>
      <c r="X89" s="440" t="str">
        <f>IFERROR(INDEX([7]TL!$X$12:$X$200,MATCH(B89,[7]TL!$B$12:$B$200,0)),"0")</f>
        <v>0</v>
      </c>
      <c r="Y89" s="663">
        <f t="shared" si="23"/>
        <v>4870125</v>
      </c>
      <c r="Z89" s="664">
        <f t="shared" si="24"/>
        <v>2.7056249999999999</v>
      </c>
      <c r="AA89" s="662">
        <v>1800000</v>
      </c>
      <c r="AB89" s="663">
        <f t="shared" si="25"/>
        <v>4870125</v>
      </c>
      <c r="AC89" s="568">
        <f t="shared" si="22"/>
        <v>69</v>
      </c>
      <c r="AD89" s="493" t="str">
        <f>IFERROR(INDEX('[6]CN BC'!$M$10:$M$276,MATCH(B89,'[6]CN BC'!$H$10:$H$276,0)),"")</f>
        <v>Trừ 3 ngày nghỉ phép 7+15+16/2</v>
      </c>
      <c r="AE89" s="470"/>
      <c r="AF89" s="108"/>
      <c r="AG89" s="108"/>
      <c r="AH89" s="155"/>
      <c r="AI89" s="108"/>
      <c r="AJ89" s="108"/>
      <c r="AK89" s="108"/>
      <c r="AL89" s="108"/>
      <c r="AM89" s="108"/>
      <c r="AN89" s="108"/>
    </row>
    <row r="90" spans="1:44" s="372" customFormat="1" ht="27" customHeight="1">
      <c r="A90" s="379">
        <f>_xlfn.AGGREGATE(4,7,A$19:A89)+1</f>
        <v>70</v>
      </c>
      <c r="B90" s="363" t="s">
        <v>1864</v>
      </c>
      <c r="C90" s="380" t="s">
        <v>1066</v>
      </c>
      <c r="D90" s="434" t="s">
        <v>1678</v>
      </c>
      <c r="E90" s="423" t="s">
        <v>1402</v>
      </c>
      <c r="F90" s="366">
        <v>4.9800000000000004</v>
      </c>
      <c r="G90" s="367">
        <v>0.05</v>
      </c>
      <c r="H90" s="368">
        <f t="shared" si="15"/>
        <v>5.2290000000000001</v>
      </c>
      <c r="I90" s="368"/>
      <c r="J90" s="368" t="str">
        <f>VLOOKUP(B90,[4]CN!$B$33:$J$365,9,FALSE)</f>
        <v>Nhân viên TT Thư viện</v>
      </c>
      <c r="K90" s="369">
        <f t="shared" si="16"/>
        <v>5.2290000000000001</v>
      </c>
      <c r="L90" s="362">
        <f t="shared" si="17"/>
        <v>9412200</v>
      </c>
      <c r="M90" s="366" t="str">
        <f>VLOOKUP(B90,'[5]Gui chi Quynh'!$B$11:$E$400,4,FALSE)</f>
        <v>A4</v>
      </c>
      <c r="N90" s="494">
        <f t="shared" si="18"/>
        <v>9412200</v>
      </c>
      <c r="O90" s="366">
        <v>16</v>
      </c>
      <c r="P90" s="440">
        <f>IFERROR(INDEX('[6]CN BC'!$J$10:$J$277,MATCH(B90,'[6]CN BC'!$H$10:$H$277,0)),"")</f>
        <v>16</v>
      </c>
      <c r="Q90" s="494">
        <f t="shared" si="19"/>
        <v>9412200</v>
      </c>
      <c r="R90" s="460"/>
      <c r="S90" s="362">
        <f t="shared" si="26"/>
        <v>0</v>
      </c>
      <c r="T90" s="370"/>
      <c r="U90" s="362">
        <f t="shared" si="20"/>
        <v>0</v>
      </c>
      <c r="V90" s="584">
        <f t="shared" si="21"/>
        <v>94122</v>
      </c>
      <c r="W90" s="371">
        <f t="shared" si="27"/>
        <v>9412200</v>
      </c>
      <c r="X90" s="440" t="str">
        <f>IFERROR(INDEX([7]TL!$X$12:$X$200,MATCH(B90,[7]TL!$B$12:$B$200,0)),"0")</f>
        <v>0</v>
      </c>
      <c r="Y90" s="663">
        <f t="shared" si="23"/>
        <v>9412200</v>
      </c>
      <c r="Z90" s="664">
        <f t="shared" si="24"/>
        <v>5.2290000000000001</v>
      </c>
      <c r="AA90" s="662">
        <v>1800000</v>
      </c>
      <c r="AB90" s="663">
        <f t="shared" si="25"/>
        <v>9412200</v>
      </c>
      <c r="AC90" s="568">
        <f t="shared" si="22"/>
        <v>70</v>
      </c>
      <c r="AD90" s="493">
        <f>IFERROR(INDEX('[6]CN BC'!$M$10:$M$276,MATCH(B90,'[6]CN BC'!$H$10:$H$276,0)),"")</f>
        <v>0</v>
      </c>
      <c r="AE90" s="141"/>
      <c r="AF90" s="108"/>
      <c r="AG90" s="108"/>
      <c r="AH90" s="487"/>
    </row>
    <row r="91" spans="1:44" s="372" customFormat="1" ht="31.5" customHeight="1">
      <c r="A91" s="379">
        <f>_xlfn.AGGREGATE(4,7,A$19:A90)+1</f>
        <v>71</v>
      </c>
      <c r="B91" s="363" t="s">
        <v>1471</v>
      </c>
      <c r="C91" s="364" t="s">
        <v>1060</v>
      </c>
      <c r="D91" s="434" t="s">
        <v>1680</v>
      </c>
      <c r="E91" s="426" t="s">
        <v>1581</v>
      </c>
      <c r="F91" s="366">
        <v>4.9800000000000004</v>
      </c>
      <c r="G91" s="367"/>
      <c r="H91" s="368">
        <f t="shared" si="15"/>
        <v>4.9800000000000004</v>
      </c>
      <c r="I91" s="368">
        <v>0.45</v>
      </c>
      <c r="J91" s="368" t="str">
        <f>VLOOKUP(B91,[4]CN!$B$33:$J$365,9,FALSE)</f>
        <v>Trưởng phòng KHCN &amp; HTQT</v>
      </c>
      <c r="K91" s="369">
        <f t="shared" si="16"/>
        <v>5.4300000000000006</v>
      </c>
      <c r="L91" s="362">
        <f t="shared" si="17"/>
        <v>9774000.0000000019</v>
      </c>
      <c r="M91" s="366" t="str">
        <f>VLOOKUP(B91,'[5]Gui chi Quynh'!$B$11:$E$400,4,FALSE)</f>
        <v>A1</v>
      </c>
      <c r="N91" s="494">
        <f t="shared" si="18"/>
        <v>15638400.000000004</v>
      </c>
      <c r="O91" s="366">
        <v>16</v>
      </c>
      <c r="P91" s="440">
        <f>IFERROR(INDEX('[6]CN BC'!$J$10:$J$277,MATCH(B91,'[6]CN BC'!$H$10:$H$277,0)),"")</f>
        <v>16</v>
      </c>
      <c r="Q91" s="494">
        <f t="shared" si="19"/>
        <v>15638400.000000004</v>
      </c>
      <c r="R91" s="460"/>
      <c r="S91" s="362">
        <f t="shared" si="26"/>
        <v>0</v>
      </c>
      <c r="T91" s="370"/>
      <c r="U91" s="362">
        <f t="shared" si="20"/>
        <v>0</v>
      </c>
      <c r="V91" s="584">
        <f t="shared" si="21"/>
        <v>97740</v>
      </c>
      <c r="W91" s="371">
        <f t="shared" si="27"/>
        <v>15638400.000000004</v>
      </c>
      <c r="X91" s="440" t="str">
        <f>IFERROR(INDEX([7]TL!$X$12:$X$200,MATCH(B91,[7]TL!$B$12:$B$200,0)),"0")</f>
        <v>0</v>
      </c>
      <c r="Y91" s="663">
        <f t="shared" si="23"/>
        <v>15638400.000000004</v>
      </c>
      <c r="Z91" s="664">
        <f t="shared" si="24"/>
        <v>8.6880000000000024</v>
      </c>
      <c r="AA91" s="662">
        <v>1800000</v>
      </c>
      <c r="AB91" s="663">
        <f t="shared" si="25"/>
        <v>15638400.000000004</v>
      </c>
      <c r="AC91" s="568">
        <f t="shared" si="22"/>
        <v>71</v>
      </c>
      <c r="AD91" s="493">
        <f>IFERROR(INDEX('[6]CN BC'!$M$10:$M$276,MATCH(B91,'[6]CN BC'!$H$10:$H$276,0)),"")</f>
        <v>0</v>
      </c>
      <c r="AE91" s="536"/>
      <c r="AH91" s="487"/>
    </row>
    <row r="92" spans="1:44" s="372" customFormat="1" ht="28.5" customHeight="1">
      <c r="A92" s="379">
        <f>_xlfn.AGGREGATE(4,7,A$19:A91)+1</f>
        <v>72</v>
      </c>
      <c r="B92" s="444" t="s">
        <v>1830</v>
      </c>
      <c r="C92" s="419" t="s">
        <v>1087</v>
      </c>
      <c r="D92" s="418" t="s">
        <v>1829</v>
      </c>
      <c r="E92" s="446">
        <v>1603205354978</v>
      </c>
      <c r="F92" s="366">
        <v>2.67</v>
      </c>
      <c r="G92" s="367"/>
      <c r="H92" s="368">
        <f>F92+(F92*G92)</f>
        <v>2.67</v>
      </c>
      <c r="I92" s="368">
        <v>0.45</v>
      </c>
      <c r="J92" s="368" t="str">
        <f>VLOOKUP(B92,[4]CN!$B$33:$J$365,9,FALSE)</f>
        <v>Giám đốc TT Đào tạo Lý Tự Trọng</v>
      </c>
      <c r="K92" s="369">
        <f>H92+I92</f>
        <v>3.12</v>
      </c>
      <c r="L92" s="362">
        <f>K92*TH!$G$15</f>
        <v>5616000</v>
      </c>
      <c r="M92" s="366" t="str">
        <f>VLOOKUP(B92,'[5]Gui chi Quynh'!$B$11:$E$400,4,FALSE)</f>
        <v>A1</v>
      </c>
      <c r="N92" s="494">
        <f t="shared" si="18"/>
        <v>8985600</v>
      </c>
      <c r="O92" s="366">
        <v>16</v>
      </c>
      <c r="P92" s="440">
        <f>IFERROR(INDEX('[6]CN BC'!$J$10:$J$277,MATCH(B92,'[6]CN BC'!$H$10:$H$277,0)),"")</f>
        <v>19</v>
      </c>
      <c r="Q92" s="362">
        <f>IF(P92&gt;=O92,N92,N92/O92*P92)</f>
        <v>8985600</v>
      </c>
      <c r="R92" s="392"/>
      <c r="S92" s="362">
        <f>R92*TH!$G$15*1</f>
        <v>0</v>
      </c>
      <c r="T92" s="370"/>
      <c r="U92" s="362">
        <f>T92*[3]CN!$G$8*0.65</f>
        <v>0</v>
      </c>
      <c r="V92" s="584">
        <f>IF(OR(M92="A DN",M92="KXL", M92=""),"0",ROUND(K92*0.01*TH!$G$15+R92*1%*TH!$G$15+T92*1%*TH!$G$15,))</f>
        <v>56160</v>
      </c>
      <c r="W92" s="371">
        <f t="shared" si="27"/>
        <v>8985600</v>
      </c>
      <c r="X92" s="440" t="str">
        <f>IFERROR(INDEX([7]TL!$X$12:$X$200,MATCH(B92,[7]TL!$B$12:$B$200,0)),"0")</f>
        <v>0</v>
      </c>
      <c r="Y92" s="663">
        <f t="shared" si="23"/>
        <v>8985600</v>
      </c>
      <c r="Z92" s="664">
        <f t="shared" si="24"/>
        <v>4.992</v>
      </c>
      <c r="AA92" s="662">
        <v>1800000</v>
      </c>
      <c r="AB92" s="663">
        <f t="shared" si="25"/>
        <v>8985600</v>
      </c>
      <c r="AC92" s="569">
        <f>A92</f>
        <v>72</v>
      </c>
      <c r="AD92" s="493">
        <f>IFERROR(INDEX('[6]CN BC'!$M$10:$M$276,MATCH(B92,'[6]CN BC'!$H$10:$H$276,0)),"")</f>
        <v>0</v>
      </c>
      <c r="AE92" s="108"/>
      <c r="AF92" s="155"/>
      <c r="AG92" s="108"/>
      <c r="AH92" s="108"/>
      <c r="AI92" s="108"/>
      <c r="AJ92" s="108"/>
      <c r="AK92" s="108"/>
      <c r="AL92" s="108"/>
      <c r="AM92" s="108"/>
      <c r="AN92" s="108"/>
    </row>
    <row r="93" spans="1:44" s="108" customFormat="1" ht="28.5" customHeight="1">
      <c r="A93" s="379">
        <f>_xlfn.AGGREGATE(4,7,A$19:A92)+1</f>
        <v>73</v>
      </c>
      <c r="B93" s="33" t="s">
        <v>2005</v>
      </c>
      <c r="C93" s="149" t="s">
        <v>987</v>
      </c>
      <c r="D93" s="62" t="s">
        <v>1826</v>
      </c>
      <c r="E93" s="75" t="s">
        <v>12</v>
      </c>
      <c r="F93" s="81">
        <v>3.34</v>
      </c>
      <c r="G93" s="172"/>
      <c r="H93" s="81">
        <f>F93+(F93*G93)</f>
        <v>3.34</v>
      </c>
      <c r="I93" s="172">
        <v>0</v>
      </c>
      <c r="J93" s="368" t="str">
        <f>VLOOKUP(B93,[4]CN!$B$33:$J$365,9,FALSE)</f>
        <v>Nhân viên Trung tâm Lý Tự Trọng</v>
      </c>
      <c r="K93" s="10">
        <f>I93+H93</f>
        <v>3.34</v>
      </c>
      <c r="L93" s="362">
        <f>K93*TH!$G$15</f>
        <v>6012000</v>
      </c>
      <c r="M93" s="366" t="str">
        <f>VLOOKUP(B93,'[5]Gui chi Quynh'!$B$11:$E$400,4,FALSE)</f>
        <v>A4</v>
      </c>
      <c r="N93" s="494">
        <f t="shared" si="18"/>
        <v>6012000</v>
      </c>
      <c r="O93" s="366">
        <v>16</v>
      </c>
      <c r="P93" s="440">
        <f>IFERROR(INDEX('[6]CN BC'!$J$10:$J$277,MATCH(B93,'[6]CN BC'!$H$10:$H$277,0)),"")</f>
        <v>16</v>
      </c>
      <c r="Q93" s="31">
        <f>IF(P93&gt;=O93,N93,N93/O93*P93)</f>
        <v>6012000</v>
      </c>
      <c r="R93" s="517"/>
      <c r="S93" s="31">
        <f>R93*$H$16*0.65</f>
        <v>0</v>
      </c>
      <c r="T93" s="74"/>
      <c r="U93" s="31">
        <f>T93*$H$16*0.65</f>
        <v>0</v>
      </c>
      <c r="V93" s="585">
        <f>L93*1%</f>
        <v>60120</v>
      </c>
      <c r="W93" s="371">
        <f t="shared" si="27"/>
        <v>6012000</v>
      </c>
      <c r="X93" s="440" t="str">
        <f>IFERROR(INDEX([7]TL!$X$12:$X$200,MATCH(B93,[7]TL!$B$12:$B$200,0)),"0")</f>
        <v>0</v>
      </c>
      <c r="Y93" s="663">
        <f t="shared" si="23"/>
        <v>6012000</v>
      </c>
      <c r="Z93" s="664">
        <f t="shared" si="24"/>
        <v>3.34</v>
      </c>
      <c r="AA93" s="662">
        <v>1800000</v>
      </c>
      <c r="AB93" s="663">
        <f t="shared" si="25"/>
        <v>6012000</v>
      </c>
      <c r="AC93" s="570">
        <f>A93</f>
        <v>73</v>
      </c>
      <c r="AD93" s="493" t="str">
        <f>IFERROR(INDEX('[6]CN BC'!$M$10:$M$276,MATCH(B93,'[6]CN BC'!$H$10:$H$276,0)),"")</f>
        <v>Trừ 3 ngày nghỉ phép 15+16+17/2</v>
      </c>
    </row>
    <row r="94" spans="1:44" s="372" customFormat="1" ht="27" customHeight="1">
      <c r="A94" s="379">
        <f>_xlfn.AGGREGATE(4,7,A$19:A93)+1</f>
        <v>74</v>
      </c>
      <c r="B94" s="444" t="s">
        <v>1607</v>
      </c>
      <c r="C94" s="419" t="s">
        <v>1009</v>
      </c>
      <c r="D94" s="418" t="s">
        <v>1957</v>
      </c>
      <c r="E94" s="479">
        <v>1603215003961</v>
      </c>
      <c r="F94" s="373">
        <v>3.66</v>
      </c>
      <c r="G94" s="367"/>
      <c r="H94" s="445">
        <f t="shared" si="15"/>
        <v>3.66</v>
      </c>
      <c r="I94" s="368">
        <v>0.45</v>
      </c>
      <c r="J94" s="368" t="str">
        <f>VLOOKUP(B94,[4]CN!$B$33:$J$365,9,FALSE)</f>
        <v>Trưởng khoa Xây dựng</v>
      </c>
      <c r="K94" s="369">
        <f t="shared" si="16"/>
        <v>4.1100000000000003</v>
      </c>
      <c r="L94" s="362">
        <f>K94*TH!$G$15</f>
        <v>7398000.0000000009</v>
      </c>
      <c r="M94" s="366" t="str">
        <f>VLOOKUP(B94,'[5]Gui chi Quynh'!$B$11:$E$400,4,FALSE)</f>
        <v>A3</v>
      </c>
      <c r="N94" s="494">
        <f t="shared" si="18"/>
        <v>8877600</v>
      </c>
      <c r="O94" s="376">
        <v>9</v>
      </c>
      <c r="P94" s="467">
        <f>IFERROR(INDEX('[6]CN BC'!$J$10:$J$277,MATCH(B94,'[6]CN BC'!$H$10:$H$277,0)),"")</f>
        <v>9</v>
      </c>
      <c r="Q94" s="494">
        <f t="shared" si="19"/>
        <v>8877600</v>
      </c>
      <c r="R94" s="460"/>
      <c r="S94" s="362">
        <f t="shared" si="26"/>
        <v>0</v>
      </c>
      <c r="T94" s="370"/>
      <c r="U94" s="362">
        <f t="shared" si="20"/>
        <v>0</v>
      </c>
      <c r="V94" s="362">
        <f t="shared" si="21"/>
        <v>73980</v>
      </c>
      <c r="W94" s="371">
        <f t="shared" si="27"/>
        <v>8877600</v>
      </c>
      <c r="X94" s="440">
        <f>IFERROR(INDEX([7]TL!$X$12:$X$200,MATCH(B94,[7]TL!$B$12:$B$200,0)),"0")</f>
        <v>1412345.4545454551</v>
      </c>
      <c r="Y94" s="663">
        <f t="shared" si="23"/>
        <v>10289945.454545455</v>
      </c>
      <c r="Z94" s="664">
        <f t="shared" si="24"/>
        <v>5.716636363636364</v>
      </c>
      <c r="AA94" s="662">
        <v>1800000</v>
      </c>
      <c r="AB94" s="663">
        <f t="shared" si="25"/>
        <v>10289945.454545455</v>
      </c>
      <c r="AC94" s="568">
        <f t="shared" si="22"/>
        <v>74</v>
      </c>
      <c r="AD94" s="551">
        <f>IFERROR(INDEX('[6]CN BC'!$M$10:$M$276,MATCH(B94,'[6]CN BC'!$H$10:$H$276,0)),"")</f>
        <v>0</v>
      </c>
      <c r="AE94" s="536"/>
      <c r="AH94" s="487"/>
    </row>
    <row r="95" spans="1:44" s="372" customFormat="1" ht="25.5" customHeight="1">
      <c r="A95" s="379">
        <f>_xlfn.AGGREGATE(4,7,A$19:A94)+1</f>
        <v>75</v>
      </c>
      <c r="B95" s="363" t="s">
        <v>1924</v>
      </c>
      <c r="C95" s="364"/>
      <c r="D95" s="434" t="s">
        <v>1958</v>
      </c>
      <c r="E95" s="480" t="s">
        <v>1935</v>
      </c>
      <c r="F95" s="366">
        <v>2.67</v>
      </c>
      <c r="G95" s="367"/>
      <c r="H95" s="445">
        <f t="shared" si="15"/>
        <v>2.67</v>
      </c>
      <c r="I95" s="368"/>
      <c r="J95" s="368" t="str">
        <f>VLOOKUP(B95,[4]CN!$B$33:$J$365,9,FALSE)</f>
        <v>Giảng viên khoa Xây dựng</v>
      </c>
      <c r="K95" s="369">
        <f t="shared" si="16"/>
        <v>2.67</v>
      </c>
      <c r="L95" s="362">
        <f t="shared" si="17"/>
        <v>4806000</v>
      </c>
      <c r="M95" s="366" t="str">
        <f>VLOOKUP(B95,'[5]Gui chi Quynh'!$B$11:$E$400,4,FALSE)</f>
        <v>A4</v>
      </c>
      <c r="N95" s="494">
        <f t="shared" si="18"/>
        <v>4806000</v>
      </c>
      <c r="O95" s="376">
        <v>9</v>
      </c>
      <c r="P95" s="467">
        <f>IFERROR(INDEX('[6]CN BC'!$J$10:$J$277,MATCH(B95,'[6]CN BC'!$H$10:$H$277,0)),"")</f>
        <v>9</v>
      </c>
      <c r="Q95" s="494">
        <f t="shared" si="19"/>
        <v>4806000</v>
      </c>
      <c r="R95" s="460"/>
      <c r="S95" s="362">
        <f t="shared" si="26"/>
        <v>0</v>
      </c>
      <c r="T95" s="370"/>
      <c r="U95" s="362">
        <f t="shared" si="20"/>
        <v>0</v>
      </c>
      <c r="V95" s="362">
        <f t="shared" si="21"/>
        <v>48060</v>
      </c>
      <c r="W95" s="371">
        <f t="shared" si="27"/>
        <v>4806000</v>
      </c>
      <c r="X95" s="440">
        <f>IFERROR(INDEX([7]TL!$X$12:$X$200,MATCH(B95,[7]TL!$B$12:$B$200,0)),"0")</f>
        <v>655363.6363636367</v>
      </c>
      <c r="Y95" s="663">
        <f t="shared" si="23"/>
        <v>5461363.6363636367</v>
      </c>
      <c r="Z95" s="664">
        <f t="shared" si="24"/>
        <v>3.0340909090909092</v>
      </c>
      <c r="AA95" s="662">
        <v>1800000</v>
      </c>
      <c r="AB95" s="663">
        <f t="shared" si="25"/>
        <v>5461363.6363636367</v>
      </c>
      <c r="AC95" s="568">
        <f t="shared" si="22"/>
        <v>75</v>
      </c>
      <c r="AD95" s="551">
        <f>IFERROR(INDEX('[6]CN BC'!$M$10:$M$276,MATCH(B95,'[6]CN BC'!$H$10:$H$276,0)),"")</f>
        <v>0</v>
      </c>
      <c r="AE95" s="536"/>
      <c r="AH95" s="487"/>
    </row>
    <row r="96" spans="1:44" s="372" customFormat="1" ht="25.15" customHeight="1">
      <c r="A96" s="379">
        <f>_xlfn.AGGREGATE(4,7,A$19:A95)+1</f>
        <v>76</v>
      </c>
      <c r="B96" s="363" t="s">
        <v>1944</v>
      </c>
      <c r="C96" s="364"/>
      <c r="D96" s="434" t="s">
        <v>1959</v>
      </c>
      <c r="E96" s="479"/>
      <c r="F96" s="366">
        <v>2.34</v>
      </c>
      <c r="G96" s="367"/>
      <c r="H96" s="445">
        <f t="shared" si="15"/>
        <v>2.34</v>
      </c>
      <c r="I96" s="368"/>
      <c r="J96" s="368" t="str">
        <f>VLOOKUP(B96,[4]CN!$B$33:$J$365,9,FALSE)</f>
        <v>Giảng viên khoa Xây dựng</v>
      </c>
      <c r="K96" s="369">
        <f t="shared" si="16"/>
        <v>2.34</v>
      </c>
      <c r="L96" s="362">
        <f t="shared" si="17"/>
        <v>4212000</v>
      </c>
      <c r="M96" s="366" t="str">
        <f>VLOOKUP(B96,'[5]Gui chi Quynh'!$B$11:$E$400,4,FALSE)</f>
        <v>A3</v>
      </c>
      <c r="N96" s="494">
        <f t="shared" si="18"/>
        <v>5054400</v>
      </c>
      <c r="O96" s="376">
        <v>9</v>
      </c>
      <c r="P96" s="467">
        <f>IFERROR(INDEX('[6]CN BC'!$J$10:$J$277,MATCH(B96,'[6]CN BC'!$H$10:$H$277,0)),"")</f>
        <v>9</v>
      </c>
      <c r="Q96" s="494">
        <f t="shared" si="19"/>
        <v>5054400</v>
      </c>
      <c r="R96" s="460"/>
      <c r="S96" s="362">
        <f t="shared" si="26"/>
        <v>0</v>
      </c>
      <c r="T96" s="370"/>
      <c r="U96" s="362">
        <f t="shared" si="20"/>
        <v>0</v>
      </c>
      <c r="V96" s="362">
        <f t="shared" si="21"/>
        <v>42120</v>
      </c>
      <c r="W96" s="371">
        <f t="shared" si="27"/>
        <v>5054400</v>
      </c>
      <c r="X96" s="440">
        <f>IFERROR(INDEX([7]TL!$X$12:$X$200,MATCH(B96,[7]TL!$B$12:$B$200,0)),"0")</f>
        <v>689236.3636363633</v>
      </c>
      <c r="Y96" s="663">
        <f t="shared" si="23"/>
        <v>5743636.3636363633</v>
      </c>
      <c r="Z96" s="664">
        <f t="shared" si="24"/>
        <v>3.1909090909090909</v>
      </c>
      <c r="AA96" s="662">
        <v>1800000</v>
      </c>
      <c r="AB96" s="663">
        <f t="shared" si="25"/>
        <v>5743636.3636363633</v>
      </c>
      <c r="AC96" s="568">
        <f t="shared" si="22"/>
        <v>76</v>
      </c>
      <c r="AD96" s="551">
        <f>IFERROR(INDEX('[6]CN BC'!$M$10:$M$276,MATCH(B96,'[6]CN BC'!$H$10:$H$276,0)),"")</f>
        <v>0</v>
      </c>
      <c r="AE96" s="536"/>
      <c r="AH96" s="487"/>
    </row>
    <row r="97" spans="1:44" s="372" customFormat="1" ht="25.5" customHeight="1">
      <c r="A97" s="379">
        <f>_xlfn.AGGREGATE(4,7,A$19:A96)+1</f>
        <v>77</v>
      </c>
      <c r="B97" s="363" t="s">
        <v>1472</v>
      </c>
      <c r="C97" s="364" t="s">
        <v>939</v>
      </c>
      <c r="D97" s="406" t="s">
        <v>1682</v>
      </c>
      <c r="E97" s="426" t="s">
        <v>1582</v>
      </c>
      <c r="F97" s="373">
        <v>3.99</v>
      </c>
      <c r="G97" s="367"/>
      <c r="H97" s="368">
        <f t="shared" si="15"/>
        <v>3.99</v>
      </c>
      <c r="I97" s="368">
        <v>0.45</v>
      </c>
      <c r="J97" s="368" t="str">
        <f>VLOOKUP(B97,[4]CN!$B$33:$J$365,9,FALSE)</f>
        <v>Phó Trưởng khoa, Phụ trách khoa Kinh tế</v>
      </c>
      <c r="K97" s="369">
        <f t="shared" si="16"/>
        <v>4.4400000000000004</v>
      </c>
      <c r="L97" s="362">
        <f t="shared" si="17"/>
        <v>7992000.0000000009</v>
      </c>
      <c r="M97" s="366" t="str">
        <f>VLOOKUP(B97,'[5]Gui chi Quynh'!$B$11:$E$400,4,FALSE)</f>
        <v>A2</v>
      </c>
      <c r="N97" s="494">
        <f t="shared" si="18"/>
        <v>11188800</v>
      </c>
      <c r="O97" s="376">
        <v>9</v>
      </c>
      <c r="P97" s="440">
        <f>IFERROR(INDEX('[6]CN BC'!$J$10:$J$277,MATCH(B97,'[6]CN BC'!$H$10:$H$277,0)),"")</f>
        <v>9</v>
      </c>
      <c r="Q97" s="494">
        <f t="shared" si="19"/>
        <v>11188800</v>
      </c>
      <c r="R97" s="392"/>
      <c r="S97" s="362">
        <f t="shared" si="26"/>
        <v>0</v>
      </c>
      <c r="T97" s="370"/>
      <c r="U97" s="362">
        <f t="shared" si="20"/>
        <v>0</v>
      </c>
      <c r="V97" s="584">
        <f t="shared" si="21"/>
        <v>79920</v>
      </c>
      <c r="W97" s="371">
        <f t="shared" si="27"/>
        <v>11188800</v>
      </c>
      <c r="X97" s="440">
        <f>IFERROR(INDEX([7]TL!$X$12:$X$200,MATCH(B97,[7]TL!$B$12:$B$200,0)),"0")</f>
        <v>1307781.8181818184</v>
      </c>
      <c r="Y97" s="663">
        <f t="shared" si="23"/>
        <v>12496581.818181818</v>
      </c>
      <c r="Z97" s="664">
        <f t="shared" si="24"/>
        <v>6.9425454545454546</v>
      </c>
      <c r="AA97" s="662">
        <v>1800000</v>
      </c>
      <c r="AB97" s="663">
        <f t="shared" si="25"/>
        <v>12496581.818181818</v>
      </c>
      <c r="AC97" s="568">
        <f t="shared" si="22"/>
        <v>77</v>
      </c>
      <c r="AD97" s="493">
        <f>IFERROR(INDEX('[6]CN BC'!$M$10:$M$276,MATCH(B97,'[6]CN BC'!$H$10:$H$276,0)),"")</f>
        <v>0</v>
      </c>
      <c r="AE97" s="522" t="s">
        <v>812</v>
      </c>
      <c r="AF97" s="108"/>
      <c r="AG97" s="108"/>
      <c r="AH97" s="155"/>
      <c r="AI97" s="108"/>
      <c r="AJ97" s="108"/>
      <c r="AK97" s="108"/>
      <c r="AL97" s="108"/>
      <c r="AM97" s="108"/>
      <c r="AN97" s="108"/>
      <c r="AO97" s="108"/>
      <c r="AP97" s="108"/>
      <c r="AQ97" s="108"/>
      <c r="AR97" s="108"/>
    </row>
    <row r="98" spans="1:44" s="372" customFormat="1" ht="25.15" customHeight="1">
      <c r="A98" s="379">
        <f>_xlfn.AGGREGATE(4,7,A$19:A97)+1</f>
        <v>78</v>
      </c>
      <c r="B98" s="363" t="s">
        <v>1566</v>
      </c>
      <c r="C98" s="364"/>
      <c r="D98" s="434" t="s">
        <v>1681</v>
      </c>
      <c r="E98" s="435" t="s">
        <v>1567</v>
      </c>
      <c r="F98" s="369">
        <v>3</v>
      </c>
      <c r="G98" s="367"/>
      <c r="H98" s="445">
        <f t="shared" si="15"/>
        <v>3</v>
      </c>
      <c r="I98" s="368"/>
      <c r="J98" s="368" t="str">
        <f>VLOOKUP(B98,[4]CN!$B$33:$J$365,9,FALSE)</f>
        <v>Giảng viên khoa Kinh tế</v>
      </c>
      <c r="K98" s="369">
        <f t="shared" si="16"/>
        <v>3</v>
      </c>
      <c r="L98" s="362">
        <f t="shared" si="17"/>
        <v>5400000</v>
      </c>
      <c r="M98" s="366" t="str">
        <f>VLOOKUP(B98,'[5]Gui chi Quynh'!$B$11:$E$400,4,FALSE)</f>
        <v>A4</v>
      </c>
      <c r="N98" s="494">
        <f t="shared" si="18"/>
        <v>5400000</v>
      </c>
      <c r="O98" s="376">
        <v>9</v>
      </c>
      <c r="P98" s="440">
        <f>IFERROR(INDEX('[6]CN BC'!$J$10:$J$277,MATCH(B98,'[6]CN BC'!$H$10:$H$277,0)),"")</f>
        <v>9</v>
      </c>
      <c r="Q98" s="494">
        <f t="shared" si="19"/>
        <v>5400000</v>
      </c>
      <c r="R98" s="460"/>
      <c r="S98" s="362">
        <f t="shared" si="26"/>
        <v>0</v>
      </c>
      <c r="T98" s="370"/>
      <c r="U98" s="362">
        <f t="shared" si="20"/>
        <v>0</v>
      </c>
      <c r="V98" s="584">
        <f t="shared" si="21"/>
        <v>54000</v>
      </c>
      <c r="W98" s="371">
        <f t="shared" si="27"/>
        <v>5400000</v>
      </c>
      <c r="X98" s="440">
        <f>IFERROR(INDEX([7]TL!$X$12:$X$200,MATCH(B98,[7]TL!$B$12:$B$200,0)),"0")</f>
        <v>736363.6363636367</v>
      </c>
      <c r="Y98" s="663">
        <f t="shared" si="23"/>
        <v>6136363.6363636367</v>
      </c>
      <c r="Z98" s="664">
        <f t="shared" si="24"/>
        <v>3.4090909090909092</v>
      </c>
      <c r="AA98" s="662">
        <v>1800000</v>
      </c>
      <c r="AB98" s="663">
        <f t="shared" si="25"/>
        <v>6136363.6363636367</v>
      </c>
      <c r="AC98" s="568">
        <f t="shared" si="22"/>
        <v>78</v>
      </c>
      <c r="AD98" s="493">
        <f>IFERROR(INDEX('[6]CN BC'!$M$10:$M$276,MATCH(B98,'[6]CN BC'!$H$10:$H$276,0)),"")</f>
        <v>0</v>
      </c>
      <c r="AE98" s="522" t="s">
        <v>813</v>
      </c>
      <c r="AF98" s="108"/>
      <c r="AG98" s="108"/>
      <c r="AH98" s="155"/>
    </row>
    <row r="99" spans="1:44" s="372" customFormat="1" ht="25.15" customHeight="1">
      <c r="A99" s="379">
        <f>_xlfn.AGGREGATE(4,7,A$19:A98)+1</f>
        <v>79</v>
      </c>
      <c r="B99" s="363" t="s">
        <v>1831</v>
      </c>
      <c r="C99" s="364"/>
      <c r="D99" s="434" t="s">
        <v>1960</v>
      </c>
      <c r="E99" s="481">
        <v>1603215005603</v>
      </c>
      <c r="F99" s="369">
        <v>3</v>
      </c>
      <c r="G99" s="367"/>
      <c r="H99" s="445">
        <f t="shared" si="15"/>
        <v>3</v>
      </c>
      <c r="I99" s="368"/>
      <c r="J99" s="368" t="str">
        <f>VLOOKUP(B99,[4]CN!$B$33:$J$365,9,FALSE)</f>
        <v>Giảng viên khoa 
Kinh tế</v>
      </c>
      <c r="K99" s="369">
        <f t="shared" si="16"/>
        <v>3</v>
      </c>
      <c r="L99" s="362">
        <f t="shared" si="17"/>
        <v>5400000</v>
      </c>
      <c r="M99" s="366" t="str">
        <f>VLOOKUP(B99,'[5]Gui chi Quynh'!$B$11:$E$400,4,FALSE)</f>
        <v>A4</v>
      </c>
      <c r="N99" s="494">
        <f t="shared" si="18"/>
        <v>5400000</v>
      </c>
      <c r="O99" s="376">
        <v>9</v>
      </c>
      <c r="P99" s="440">
        <f>IFERROR(INDEX('[6]CN BC'!$J$10:$J$277,MATCH(B99,'[6]CN BC'!$H$10:$H$277,0)),"")</f>
        <v>9</v>
      </c>
      <c r="Q99" s="494">
        <f t="shared" si="19"/>
        <v>5400000</v>
      </c>
      <c r="R99" s="460"/>
      <c r="S99" s="362">
        <f t="shared" si="26"/>
        <v>0</v>
      </c>
      <c r="T99" s="370"/>
      <c r="U99" s="362">
        <f t="shared" si="20"/>
        <v>0</v>
      </c>
      <c r="V99" s="584">
        <f t="shared" si="21"/>
        <v>54000</v>
      </c>
      <c r="W99" s="371">
        <f t="shared" si="27"/>
        <v>5400000</v>
      </c>
      <c r="X99" s="440">
        <f>IFERROR(INDEX([7]TL!$X$12:$X$200,MATCH(B99,[7]TL!$B$12:$B$200,0)),"0")</f>
        <v>736363.6363636367</v>
      </c>
      <c r="Y99" s="663">
        <f t="shared" si="23"/>
        <v>6136363.6363636367</v>
      </c>
      <c r="Z99" s="664">
        <f t="shared" si="24"/>
        <v>3.4090909090909092</v>
      </c>
      <c r="AA99" s="662">
        <v>1800000</v>
      </c>
      <c r="AB99" s="663">
        <f t="shared" si="25"/>
        <v>6136363.6363636367</v>
      </c>
      <c r="AC99" s="568">
        <f t="shared" si="22"/>
        <v>79</v>
      </c>
      <c r="AD99" s="493">
        <f>IFERROR(INDEX('[6]CN BC'!$M$10:$M$276,MATCH(B99,'[6]CN BC'!$H$10:$H$276,0)),"")</f>
        <v>0</v>
      </c>
      <c r="AE99" s="522" t="s">
        <v>814</v>
      </c>
      <c r="AF99" s="108"/>
      <c r="AG99" s="108"/>
      <c r="AH99" s="155"/>
      <c r="AI99" s="108"/>
      <c r="AJ99" s="108"/>
      <c r="AK99" s="108"/>
      <c r="AL99" s="108"/>
      <c r="AM99" s="108"/>
      <c r="AN99" s="108"/>
    </row>
    <row r="100" spans="1:44" s="372" customFormat="1" ht="26.25" customHeight="1">
      <c r="A100" s="379">
        <f>_xlfn.AGGREGATE(4,7,A$19:A99)+1</f>
        <v>80</v>
      </c>
      <c r="B100" s="363" t="s">
        <v>1473</v>
      </c>
      <c r="C100" s="364" t="s">
        <v>1444</v>
      </c>
      <c r="D100" s="434" t="s">
        <v>1683</v>
      </c>
      <c r="E100" s="426" t="s">
        <v>1583</v>
      </c>
      <c r="F100" s="373">
        <v>3.66</v>
      </c>
      <c r="G100" s="367"/>
      <c r="H100" s="368">
        <f t="shared" si="15"/>
        <v>3.66</v>
      </c>
      <c r="I100" s="368">
        <v>0.35</v>
      </c>
      <c r="J100" s="368" t="str">
        <f>VLOOKUP(B100,[4]CN!$B$33:$J$365,9,FALSE)</f>
        <v>Phó Trưởng khoa Kinh tế</v>
      </c>
      <c r="K100" s="369">
        <f t="shared" si="16"/>
        <v>4.01</v>
      </c>
      <c r="L100" s="362">
        <f t="shared" si="17"/>
        <v>7218000</v>
      </c>
      <c r="M100" s="366" t="str">
        <f>VLOOKUP(B100,'[5]Gui chi Quynh'!$B$11:$E$400,4,FALSE)</f>
        <v>A2</v>
      </c>
      <c r="N100" s="494">
        <f t="shared" si="18"/>
        <v>10105200</v>
      </c>
      <c r="O100" s="376">
        <v>9</v>
      </c>
      <c r="P100" s="440">
        <f>IFERROR(INDEX('[6]CN BC'!$J$10:$J$277,MATCH(B100,'[6]CN BC'!$H$10:$H$277,0)),"")</f>
        <v>9</v>
      </c>
      <c r="Q100" s="494">
        <f t="shared" si="19"/>
        <v>10105200</v>
      </c>
      <c r="R100" s="460"/>
      <c r="S100" s="362">
        <f t="shared" si="26"/>
        <v>0</v>
      </c>
      <c r="T100" s="370"/>
      <c r="U100" s="362">
        <f t="shared" si="20"/>
        <v>0</v>
      </c>
      <c r="V100" s="584">
        <f t="shared" si="21"/>
        <v>72180</v>
      </c>
      <c r="W100" s="371">
        <f t="shared" si="27"/>
        <v>10105200</v>
      </c>
      <c r="X100" s="440">
        <f>IFERROR(INDEX([7]TL!$X$12:$X$200,MATCH(B100,[7]TL!$B$12:$B$200,0)),"0")</f>
        <v>1377981.8181818184</v>
      </c>
      <c r="Y100" s="663">
        <f t="shared" si="23"/>
        <v>11483181.818181818</v>
      </c>
      <c r="Z100" s="664">
        <f t="shared" si="24"/>
        <v>6.3795454545454549</v>
      </c>
      <c r="AA100" s="662">
        <v>1800000</v>
      </c>
      <c r="AB100" s="663">
        <f t="shared" si="25"/>
        <v>11483181.818181818</v>
      </c>
      <c r="AC100" s="568">
        <f t="shared" si="22"/>
        <v>80</v>
      </c>
      <c r="AD100" s="493">
        <f>IFERROR(INDEX('[6]CN BC'!$M$10:$M$276,MATCH(B100,'[6]CN BC'!$H$10:$H$276,0)),"")</f>
        <v>0</v>
      </c>
      <c r="AE100" s="540" t="s">
        <v>815</v>
      </c>
      <c r="AH100" s="487"/>
    </row>
    <row r="101" spans="1:44" s="372" customFormat="1" ht="26.25" customHeight="1">
      <c r="A101" s="379">
        <f>_xlfn.AGGREGATE(4,7,A$19:A100)+1</f>
        <v>81</v>
      </c>
      <c r="B101" s="462" t="s">
        <v>1928</v>
      </c>
      <c r="C101" s="364"/>
      <c r="D101" s="434" t="s">
        <v>1961</v>
      </c>
      <c r="E101" s="479" t="s">
        <v>1934</v>
      </c>
      <c r="F101" s="369">
        <v>2.34</v>
      </c>
      <c r="G101" s="367"/>
      <c r="H101" s="368">
        <f t="shared" si="15"/>
        <v>2.34</v>
      </c>
      <c r="I101" s="368"/>
      <c r="J101" s="368" t="str">
        <f>VLOOKUP(B101,[4]CN!$B$33:$J$365,9,FALSE)</f>
        <v>Giảng viên khoa Kinh tế</v>
      </c>
      <c r="K101" s="369">
        <f t="shared" si="16"/>
        <v>2.34</v>
      </c>
      <c r="L101" s="362">
        <f t="shared" si="17"/>
        <v>4212000</v>
      </c>
      <c r="M101" s="366" t="str">
        <f>VLOOKUP(B101,'[5]Gui chi Quynh'!$B$11:$E$400,4,FALSE)</f>
        <v>A3</v>
      </c>
      <c r="N101" s="494">
        <f t="shared" si="18"/>
        <v>5054400</v>
      </c>
      <c r="O101" s="376">
        <v>9</v>
      </c>
      <c r="P101" s="440">
        <f>IFERROR(INDEX('[6]CN BC'!$J$10:$J$277,MATCH(B101,'[6]CN BC'!$H$10:$H$277,0)),"")</f>
        <v>9</v>
      </c>
      <c r="Q101" s="494">
        <f t="shared" si="19"/>
        <v>5054400</v>
      </c>
      <c r="R101" s="460"/>
      <c r="S101" s="362">
        <f t="shared" si="26"/>
        <v>0</v>
      </c>
      <c r="T101" s="370"/>
      <c r="U101" s="362">
        <f t="shared" si="20"/>
        <v>0</v>
      </c>
      <c r="V101" s="584">
        <f t="shared" si="21"/>
        <v>42120</v>
      </c>
      <c r="W101" s="371">
        <f t="shared" si="27"/>
        <v>5054400</v>
      </c>
      <c r="X101" s="440">
        <f>IFERROR(INDEX([7]TL!$X$12:$X$200,MATCH(B101,[7]TL!$B$12:$B$200,0)),"0")</f>
        <v>689236.3636363633</v>
      </c>
      <c r="Y101" s="663">
        <f t="shared" si="23"/>
        <v>5743636.3636363633</v>
      </c>
      <c r="Z101" s="664">
        <f t="shared" si="24"/>
        <v>3.1909090909090909</v>
      </c>
      <c r="AA101" s="662">
        <v>1800000</v>
      </c>
      <c r="AB101" s="663">
        <f t="shared" si="25"/>
        <v>5743636.3636363633</v>
      </c>
      <c r="AC101" s="568">
        <f t="shared" si="22"/>
        <v>81</v>
      </c>
      <c r="AD101" s="493">
        <f>IFERROR(INDEX('[6]CN BC'!$M$10:$M$276,MATCH(B101,'[6]CN BC'!$H$10:$H$276,0)),"")</f>
        <v>0</v>
      </c>
      <c r="AE101" s="540" t="s">
        <v>816</v>
      </c>
      <c r="AH101" s="487"/>
    </row>
    <row r="102" spans="1:44" s="372" customFormat="1" ht="32.25" customHeight="1">
      <c r="A102" s="379">
        <f>_xlfn.AGGREGATE(4,7,A$19:A101)+1</f>
        <v>82</v>
      </c>
      <c r="B102" s="363" t="s">
        <v>1474</v>
      </c>
      <c r="C102" s="364" t="s">
        <v>1103</v>
      </c>
      <c r="D102" s="434" t="s">
        <v>1684</v>
      </c>
      <c r="E102" s="426" t="s">
        <v>1584</v>
      </c>
      <c r="F102" s="373">
        <v>3.33</v>
      </c>
      <c r="G102" s="367"/>
      <c r="H102" s="445">
        <f t="shared" si="15"/>
        <v>3.33</v>
      </c>
      <c r="I102" s="368"/>
      <c r="J102" s="368" t="str">
        <f>VLOOKUP(B102,[4]CN!$B$33:$J$365,9,FALSE)</f>
        <v>Giảng viên khoa Kinh tế</v>
      </c>
      <c r="K102" s="369">
        <f t="shared" si="16"/>
        <v>3.33</v>
      </c>
      <c r="L102" s="362">
        <f t="shared" si="17"/>
        <v>5994000</v>
      </c>
      <c r="M102" s="366" t="str">
        <f>VLOOKUP(B102,'[5]Gui chi Quynh'!$B$11:$E$400,4,FALSE)</f>
        <v>A4</v>
      </c>
      <c r="N102" s="494">
        <f t="shared" si="18"/>
        <v>5994000</v>
      </c>
      <c r="O102" s="376">
        <v>9</v>
      </c>
      <c r="P102" s="440">
        <f>IFERROR(INDEX('[6]CN BC'!$J$10:$J$277,MATCH(B102,'[6]CN BC'!$H$10:$H$277,0)),"")</f>
        <v>9</v>
      </c>
      <c r="Q102" s="494">
        <f t="shared" si="19"/>
        <v>5994000</v>
      </c>
      <c r="R102" s="460"/>
      <c r="S102" s="362">
        <f t="shared" si="26"/>
        <v>0</v>
      </c>
      <c r="T102" s="370"/>
      <c r="U102" s="362">
        <f t="shared" si="20"/>
        <v>0</v>
      </c>
      <c r="V102" s="584">
        <f t="shared" si="21"/>
        <v>59940</v>
      </c>
      <c r="W102" s="371">
        <f t="shared" si="27"/>
        <v>5994000</v>
      </c>
      <c r="X102" s="440">
        <f>IFERROR(INDEX([7]TL!$X$12:$X$200,MATCH(B102,[7]TL!$B$12:$B$200,0)),"0")</f>
        <v>817363.63636363577</v>
      </c>
      <c r="Y102" s="663">
        <f t="shared" si="23"/>
        <v>6811363.6363636358</v>
      </c>
      <c r="Z102" s="664">
        <f t="shared" si="24"/>
        <v>3.7840909090909087</v>
      </c>
      <c r="AA102" s="662">
        <v>1800000</v>
      </c>
      <c r="AB102" s="663">
        <f t="shared" si="25"/>
        <v>6811363.6363636358</v>
      </c>
      <c r="AC102" s="568">
        <f t="shared" si="22"/>
        <v>82</v>
      </c>
      <c r="AD102" s="493">
        <f>IFERROR(INDEX('[6]CN BC'!$M$10:$M$276,MATCH(B102,'[6]CN BC'!$H$10:$H$276,0)),"")</f>
        <v>0</v>
      </c>
      <c r="AE102" s="540" t="s">
        <v>818</v>
      </c>
      <c r="AH102" s="487"/>
    </row>
    <row r="103" spans="1:44" s="372" customFormat="1" ht="28.5" customHeight="1">
      <c r="A103" s="379">
        <f>_xlfn.AGGREGATE(4,7,A$19:A102)+1</f>
        <v>83</v>
      </c>
      <c r="B103" s="363" t="s">
        <v>1571</v>
      </c>
      <c r="C103" s="364"/>
      <c r="D103" s="434" t="s">
        <v>1685</v>
      </c>
      <c r="E103" s="435" t="s">
        <v>1572</v>
      </c>
      <c r="F103" s="369">
        <v>3</v>
      </c>
      <c r="G103" s="367"/>
      <c r="H103" s="445">
        <f t="shared" si="15"/>
        <v>3</v>
      </c>
      <c r="I103" s="368"/>
      <c r="J103" s="368" t="str">
        <f>VLOOKUP(B103,[4]CN!$B$33:$J$365,9,FALSE)</f>
        <v>Giảng viên khoa Kinh tế</v>
      </c>
      <c r="K103" s="369">
        <f t="shared" si="16"/>
        <v>3</v>
      </c>
      <c r="L103" s="362">
        <f t="shared" si="17"/>
        <v>5400000</v>
      </c>
      <c r="M103" s="366" t="str">
        <f>VLOOKUP(B103,'[5]Gui chi Quynh'!$B$11:$E$400,4,FALSE)</f>
        <v>A4</v>
      </c>
      <c r="N103" s="494">
        <f t="shared" si="18"/>
        <v>5400000</v>
      </c>
      <c r="O103" s="376">
        <v>9</v>
      </c>
      <c r="P103" s="440">
        <f>IFERROR(INDEX('[6]CN BC'!$J$10:$J$277,MATCH(B103,'[6]CN BC'!$H$10:$H$277,0)),"")</f>
        <v>9</v>
      </c>
      <c r="Q103" s="494">
        <f t="shared" si="19"/>
        <v>5400000</v>
      </c>
      <c r="R103" s="392"/>
      <c r="S103" s="362">
        <f t="shared" si="26"/>
        <v>0</v>
      </c>
      <c r="T103" s="370"/>
      <c r="U103" s="362">
        <f t="shared" si="20"/>
        <v>0</v>
      </c>
      <c r="V103" s="584">
        <f t="shared" si="21"/>
        <v>54000</v>
      </c>
      <c r="W103" s="371">
        <f t="shared" si="27"/>
        <v>5400000</v>
      </c>
      <c r="X103" s="440">
        <f>IFERROR(INDEX([7]TL!$X$12:$X$200,MATCH(B103,[7]TL!$B$12:$B$200,0)),"0")</f>
        <v>736363.6363636367</v>
      </c>
      <c r="Y103" s="663">
        <f t="shared" si="23"/>
        <v>6136363.6363636367</v>
      </c>
      <c r="Z103" s="664">
        <f t="shared" si="24"/>
        <v>3.4090909090909092</v>
      </c>
      <c r="AA103" s="662">
        <v>1800000</v>
      </c>
      <c r="AB103" s="663">
        <f t="shared" si="25"/>
        <v>6136363.6363636367</v>
      </c>
      <c r="AC103" s="568">
        <f t="shared" si="22"/>
        <v>83</v>
      </c>
      <c r="AD103" s="493">
        <f>IFERROR(INDEX('[6]CN BC'!$M$10:$M$276,MATCH(B103,'[6]CN BC'!$H$10:$H$276,0)),"")</f>
        <v>0</v>
      </c>
      <c r="AE103" s="522" t="s">
        <v>819</v>
      </c>
      <c r="AF103" s="108"/>
      <c r="AG103" s="108"/>
      <c r="AH103" s="155"/>
      <c r="AI103" s="108"/>
      <c r="AJ103" s="108"/>
      <c r="AK103" s="108"/>
      <c r="AL103" s="108"/>
      <c r="AM103" s="108"/>
      <c r="AN103" s="108"/>
    </row>
    <row r="104" spans="1:44" s="372" customFormat="1" ht="28.5" customHeight="1">
      <c r="A104" s="379">
        <f>_xlfn.AGGREGATE(4,7,A$19:A103)+1</f>
        <v>84</v>
      </c>
      <c r="B104" s="363" t="s">
        <v>1475</v>
      </c>
      <c r="C104" s="364" t="s">
        <v>49</v>
      </c>
      <c r="D104" s="434" t="s">
        <v>1686</v>
      </c>
      <c r="E104" s="426" t="s">
        <v>1585</v>
      </c>
      <c r="F104" s="373">
        <v>3.66</v>
      </c>
      <c r="G104" s="367"/>
      <c r="H104" s="445">
        <f t="shared" si="15"/>
        <v>3.66</v>
      </c>
      <c r="I104" s="368"/>
      <c r="J104" s="368" t="str">
        <f>VLOOKUP(B104,[4]CN!$B$33:$J$365,9,FALSE)</f>
        <v>Giảng viên khoa Kinh tế</v>
      </c>
      <c r="K104" s="369">
        <f t="shared" si="16"/>
        <v>3.66</v>
      </c>
      <c r="L104" s="362">
        <f t="shared" si="17"/>
        <v>6588000</v>
      </c>
      <c r="M104" s="366" t="str">
        <f>VLOOKUP(B104,'[5]Gui chi Quynh'!$B$11:$E$400,4,FALSE)</f>
        <v>A4</v>
      </c>
      <c r="N104" s="494">
        <f t="shared" si="18"/>
        <v>6588000</v>
      </c>
      <c r="O104" s="376">
        <v>9</v>
      </c>
      <c r="P104" s="440">
        <f>IFERROR(INDEX('[6]CN BC'!$J$10:$J$277,MATCH(B104,'[6]CN BC'!$H$10:$H$277,0)),"")</f>
        <v>9</v>
      </c>
      <c r="Q104" s="494">
        <f t="shared" si="19"/>
        <v>6588000</v>
      </c>
      <c r="R104" s="460"/>
      <c r="S104" s="362">
        <f t="shared" si="26"/>
        <v>0</v>
      </c>
      <c r="T104" s="370"/>
      <c r="U104" s="362">
        <f t="shared" si="20"/>
        <v>0</v>
      </c>
      <c r="V104" s="584">
        <f t="shared" si="21"/>
        <v>65880</v>
      </c>
      <c r="W104" s="371">
        <f t="shared" si="27"/>
        <v>6588000</v>
      </c>
      <c r="X104" s="440">
        <f>IFERROR(INDEX([7]TL!$X$12:$X$200,MATCH(B104,[7]TL!$B$12:$B$200,0)),"0")</f>
        <v>1078036.3636363642</v>
      </c>
      <c r="Y104" s="663">
        <f t="shared" si="23"/>
        <v>7666036.3636363642</v>
      </c>
      <c r="Z104" s="664">
        <f t="shared" si="24"/>
        <v>4.258909090909091</v>
      </c>
      <c r="AA104" s="662">
        <v>1800000</v>
      </c>
      <c r="AB104" s="663">
        <f t="shared" si="25"/>
        <v>7666036.3636363633</v>
      </c>
      <c r="AC104" s="568">
        <f t="shared" si="22"/>
        <v>84</v>
      </c>
      <c r="AD104" s="493">
        <f>IFERROR(INDEX('[6]CN BC'!$M$10:$M$276,MATCH(B104,'[6]CN BC'!$H$10:$H$276,0)),"")</f>
        <v>0</v>
      </c>
      <c r="AE104" s="522" t="s">
        <v>820</v>
      </c>
      <c r="AF104" s="471"/>
      <c r="AG104" s="108"/>
      <c r="AH104" s="155"/>
    </row>
    <row r="105" spans="1:44" s="372" customFormat="1" ht="28.5" customHeight="1">
      <c r="A105" s="379">
        <f>_xlfn.AGGREGATE(4,7,A$19:A104)+1</f>
        <v>85</v>
      </c>
      <c r="B105" s="363" t="s">
        <v>1476</v>
      </c>
      <c r="C105" s="364" t="s">
        <v>1209</v>
      </c>
      <c r="D105" s="434" t="s">
        <v>1687</v>
      </c>
      <c r="E105" s="426" t="s">
        <v>1586</v>
      </c>
      <c r="F105" s="373">
        <v>3</v>
      </c>
      <c r="G105" s="367"/>
      <c r="H105" s="445">
        <f t="shared" si="15"/>
        <v>3</v>
      </c>
      <c r="I105" s="368"/>
      <c r="J105" s="368" t="str">
        <f>VLOOKUP(B105,[4]CN!$B$33:$J$365,9,FALSE)</f>
        <v>Giảng viên khoa Du lịch - Khách sạn</v>
      </c>
      <c r="K105" s="369">
        <f t="shared" si="16"/>
        <v>3</v>
      </c>
      <c r="L105" s="362">
        <f t="shared" si="17"/>
        <v>5400000</v>
      </c>
      <c r="M105" s="366" t="str">
        <f>VLOOKUP(B105,'[5]Gui chi Quynh'!$B$11:$E$400,4,FALSE)</f>
        <v>A4</v>
      </c>
      <c r="N105" s="494">
        <f t="shared" si="18"/>
        <v>5400000</v>
      </c>
      <c r="O105" s="376">
        <v>9</v>
      </c>
      <c r="P105" s="440">
        <f>IFERROR(INDEX('[6]CN BC'!$J$10:$J$277,MATCH(B105,'[6]CN BC'!$H$10:$H$277,0)),"")</f>
        <v>9</v>
      </c>
      <c r="Q105" s="494">
        <f t="shared" si="19"/>
        <v>5400000</v>
      </c>
      <c r="R105" s="392"/>
      <c r="S105" s="362">
        <f t="shared" si="26"/>
        <v>0</v>
      </c>
      <c r="T105" s="370"/>
      <c r="U105" s="362">
        <f t="shared" si="20"/>
        <v>0</v>
      </c>
      <c r="V105" s="584">
        <f t="shared" si="21"/>
        <v>54000</v>
      </c>
      <c r="W105" s="371">
        <f t="shared" si="27"/>
        <v>5400000</v>
      </c>
      <c r="X105" s="440">
        <f>IFERROR(INDEX([7]TL!$X$12:$X$200,MATCH(B105,[7]TL!$B$12:$B$200,0)),"0")</f>
        <v>883636.36363636423</v>
      </c>
      <c r="Y105" s="663">
        <f t="shared" si="23"/>
        <v>6283636.3636363642</v>
      </c>
      <c r="Z105" s="664">
        <f t="shared" si="24"/>
        <v>3.4909090909090912</v>
      </c>
      <c r="AA105" s="662">
        <v>1800000</v>
      </c>
      <c r="AB105" s="663">
        <f t="shared" si="25"/>
        <v>6283636.3636363642</v>
      </c>
      <c r="AC105" s="568">
        <f t="shared" si="22"/>
        <v>85</v>
      </c>
      <c r="AD105" s="493">
        <f>IFERROR(INDEX('[6]CN BC'!$M$10:$M$276,MATCH(B105,'[6]CN BC'!$H$10:$H$276,0)),"")</f>
        <v>0</v>
      </c>
      <c r="AE105" s="522" t="s">
        <v>1119</v>
      </c>
      <c r="AF105" s="108"/>
      <c r="AG105" s="108"/>
      <c r="AH105" s="155"/>
      <c r="AI105" s="108"/>
      <c r="AJ105" s="108"/>
      <c r="AK105" s="108"/>
      <c r="AL105" s="108"/>
      <c r="AM105" s="108"/>
      <c r="AN105" s="108"/>
    </row>
    <row r="106" spans="1:44" s="372" customFormat="1" ht="28.5" customHeight="1">
      <c r="A106" s="379">
        <f>_xlfn.AGGREGATE(4,7,A$19:A105)+1</f>
        <v>86</v>
      </c>
      <c r="B106" s="363" t="s">
        <v>1477</v>
      </c>
      <c r="C106" s="364" t="s">
        <v>920</v>
      </c>
      <c r="D106" s="434" t="s">
        <v>1688</v>
      </c>
      <c r="E106" s="426" t="s">
        <v>1587</v>
      </c>
      <c r="F106" s="373">
        <v>3.66</v>
      </c>
      <c r="G106" s="367"/>
      <c r="H106" s="445">
        <f t="shared" si="15"/>
        <v>3.66</v>
      </c>
      <c r="I106" s="368">
        <v>0.25</v>
      </c>
      <c r="J106" s="368" t="str">
        <f>VLOOKUP(B106,[4]CN!$B$33:$J$365,9,FALSE)</f>
        <v>Giảng viên khoa Du lịch - Khách sạn</v>
      </c>
      <c r="K106" s="369">
        <f t="shared" si="16"/>
        <v>3.91</v>
      </c>
      <c r="L106" s="362">
        <f t="shared" si="17"/>
        <v>7038000</v>
      </c>
      <c r="M106" s="366" t="str">
        <f>VLOOKUP(B106,'[5]Gui chi Quynh'!$B$11:$E$400,4,FALSE)</f>
        <v>A3</v>
      </c>
      <c r="N106" s="494">
        <f t="shared" si="18"/>
        <v>8445600</v>
      </c>
      <c r="O106" s="376">
        <v>9</v>
      </c>
      <c r="P106" s="440">
        <f>IFERROR(INDEX('[6]CN BC'!$J$10:$J$277,MATCH(B106,'[6]CN BC'!$H$10:$H$277,0)),"")</f>
        <v>9</v>
      </c>
      <c r="Q106" s="494">
        <f t="shared" si="19"/>
        <v>8445600</v>
      </c>
      <c r="R106" s="460"/>
      <c r="S106" s="362">
        <f t="shared" si="26"/>
        <v>0</v>
      </c>
      <c r="T106" s="370"/>
      <c r="U106" s="362">
        <f t="shared" si="20"/>
        <v>0</v>
      </c>
      <c r="V106" s="584">
        <f t="shared" si="21"/>
        <v>70380</v>
      </c>
      <c r="W106" s="371">
        <f t="shared" si="27"/>
        <v>8445600</v>
      </c>
      <c r="X106" s="440">
        <f>IFERROR(INDEX([7]TL!$X$12:$X$200,MATCH(B106,[7]TL!$B$12:$B$200,0)),"0")</f>
        <v>1535563.6363636367</v>
      </c>
      <c r="Y106" s="663">
        <f t="shared" si="23"/>
        <v>9981163.6363636367</v>
      </c>
      <c r="Z106" s="664">
        <f t="shared" si="24"/>
        <v>5.5450909090909093</v>
      </c>
      <c r="AA106" s="662">
        <v>1800000</v>
      </c>
      <c r="AB106" s="663">
        <f t="shared" si="25"/>
        <v>9981163.6363636367</v>
      </c>
      <c r="AC106" s="568">
        <f t="shared" si="22"/>
        <v>86</v>
      </c>
      <c r="AD106" s="493">
        <f>IFERROR(INDEX('[6]CN BC'!$M$10:$M$276,MATCH(B106,'[6]CN BC'!$H$10:$H$276,0)),"")</f>
        <v>0</v>
      </c>
      <c r="AE106" s="522" t="s">
        <v>1120</v>
      </c>
      <c r="AF106" s="108"/>
      <c r="AG106" s="108"/>
      <c r="AH106" s="155"/>
      <c r="AI106" s="108"/>
      <c r="AJ106" s="108"/>
      <c r="AK106" s="108"/>
      <c r="AL106" s="108"/>
      <c r="AM106" s="108"/>
      <c r="AN106" s="108"/>
    </row>
    <row r="107" spans="1:44" s="372" customFormat="1" ht="28.5" customHeight="1">
      <c r="A107" s="379">
        <f>_xlfn.AGGREGATE(4,7,A$19:A106)+1</f>
        <v>87</v>
      </c>
      <c r="B107" s="462" t="s">
        <v>1842</v>
      </c>
      <c r="C107" s="364"/>
      <c r="D107" s="434" t="s">
        <v>1962</v>
      </c>
      <c r="E107" s="479" t="s">
        <v>1933</v>
      </c>
      <c r="F107" s="373">
        <v>3</v>
      </c>
      <c r="G107" s="367"/>
      <c r="H107" s="445">
        <f t="shared" si="15"/>
        <v>3</v>
      </c>
      <c r="I107" s="368"/>
      <c r="J107" s="368" t="str">
        <f>VLOOKUP(B107,[4]CN!$B$33:$J$365,9,FALSE)</f>
        <v>Giảng viên khoa Kinh tế</v>
      </c>
      <c r="K107" s="369">
        <f t="shared" si="16"/>
        <v>3</v>
      </c>
      <c r="L107" s="362">
        <f t="shared" si="17"/>
        <v>5400000</v>
      </c>
      <c r="M107" s="366" t="str">
        <f>VLOOKUP(B107,'[5]Gui chi Quynh'!$B$11:$E$400,4,FALSE)</f>
        <v>A3</v>
      </c>
      <c r="N107" s="494">
        <f t="shared" si="18"/>
        <v>6480000</v>
      </c>
      <c r="O107" s="376">
        <v>9</v>
      </c>
      <c r="P107" s="440">
        <f>IFERROR(INDEX('[6]CN BC'!$J$10:$J$277,MATCH(B107,'[6]CN BC'!$H$10:$H$277,0)),"")</f>
        <v>18</v>
      </c>
      <c r="Q107" s="494">
        <f t="shared" si="19"/>
        <v>6480000</v>
      </c>
      <c r="R107" s="460"/>
      <c r="S107" s="362">
        <f t="shared" si="26"/>
        <v>0</v>
      </c>
      <c r="T107" s="370"/>
      <c r="U107" s="362">
        <f t="shared" si="20"/>
        <v>0</v>
      </c>
      <c r="V107" s="584">
        <f t="shared" si="21"/>
        <v>54000</v>
      </c>
      <c r="W107" s="371">
        <f t="shared" si="27"/>
        <v>6480000</v>
      </c>
      <c r="X107" s="440" t="str">
        <f>IFERROR(INDEX([7]TL!$X$12:$X$200,MATCH(B107,[7]TL!$B$12:$B$200,0)),"0")</f>
        <v>0</v>
      </c>
      <c r="Y107" s="663">
        <f t="shared" si="23"/>
        <v>6480000</v>
      </c>
      <c r="Z107" s="664">
        <f t="shared" si="24"/>
        <v>3.6</v>
      </c>
      <c r="AA107" s="662">
        <v>1800000</v>
      </c>
      <c r="AB107" s="663">
        <f t="shared" si="25"/>
        <v>6480000</v>
      </c>
      <c r="AC107" s="568">
        <f t="shared" si="22"/>
        <v>87</v>
      </c>
      <c r="AD107" s="493">
        <f>IFERROR(INDEX('[6]CN BC'!$M$10:$M$276,MATCH(B107,'[6]CN BC'!$H$10:$H$276,0)),"")</f>
        <v>0</v>
      </c>
      <c r="AE107" s="522" t="s">
        <v>1121</v>
      </c>
      <c r="AF107" s="108"/>
      <c r="AG107" s="108"/>
      <c r="AH107" s="155"/>
      <c r="AI107" s="108"/>
      <c r="AJ107" s="108"/>
      <c r="AK107" s="108"/>
      <c r="AL107" s="108"/>
      <c r="AM107" s="108"/>
      <c r="AN107" s="108"/>
    </row>
    <row r="108" spans="1:44" s="372" customFormat="1" ht="28.5" customHeight="1">
      <c r="A108" s="379">
        <f>_xlfn.AGGREGATE(4,7,A$19:A107)+1</f>
        <v>88</v>
      </c>
      <c r="B108" s="462" t="s">
        <v>1946</v>
      </c>
      <c r="C108" s="364"/>
      <c r="D108" s="379" t="s">
        <v>1950</v>
      </c>
      <c r="E108" s="479" t="s">
        <v>1951</v>
      </c>
      <c r="F108" s="369">
        <v>2.34</v>
      </c>
      <c r="G108" s="367"/>
      <c r="H108" s="445">
        <f t="shared" si="15"/>
        <v>2.34</v>
      </c>
      <c r="I108" s="368">
        <v>0.45</v>
      </c>
      <c r="J108" s="368" t="str">
        <f>VLOOKUP(B108,[4]CN!$B$33:$J$365,9,FALSE)</f>
        <v>Trưởng khoa Du lịch - Khách sạn</v>
      </c>
      <c r="K108" s="369">
        <f t="shared" si="16"/>
        <v>2.79</v>
      </c>
      <c r="L108" s="362">
        <f t="shared" si="17"/>
        <v>5022000</v>
      </c>
      <c r="M108" s="366" t="str">
        <f>VLOOKUP(B108,'[5]Gui chi Quynh'!$B$11:$E$400,4,FALSE)</f>
        <v>A2</v>
      </c>
      <c r="N108" s="494">
        <f t="shared" si="18"/>
        <v>7030800</v>
      </c>
      <c r="O108" s="376">
        <v>9</v>
      </c>
      <c r="P108" s="440">
        <f>IFERROR(INDEX('[6]CN BC'!$J$10:$J$277,MATCH(B108,'[6]CN BC'!$H$10:$H$277,0)),"")</f>
        <v>9</v>
      </c>
      <c r="Q108" s="494">
        <f t="shared" si="19"/>
        <v>7030800</v>
      </c>
      <c r="R108" s="460"/>
      <c r="S108" s="362">
        <f t="shared" si="26"/>
        <v>0</v>
      </c>
      <c r="T108" s="370"/>
      <c r="U108" s="362">
        <f t="shared" si="20"/>
        <v>0</v>
      </c>
      <c r="V108" s="584">
        <f t="shared" si="21"/>
        <v>50220</v>
      </c>
      <c r="W108" s="371">
        <f t="shared" si="27"/>
        <v>7030800</v>
      </c>
      <c r="X108" s="440">
        <f>IFERROR(INDEX([7]TL!$X$12:$X$200,MATCH(B108,[7]TL!$B$12:$B$200,0)),"0")</f>
        <v>1095709.0909090908</v>
      </c>
      <c r="Y108" s="663">
        <f t="shared" si="23"/>
        <v>8126509.0909090908</v>
      </c>
      <c r="Z108" s="664">
        <f t="shared" si="24"/>
        <v>4.5147272727272725</v>
      </c>
      <c r="AA108" s="662">
        <v>1800000</v>
      </c>
      <c r="AB108" s="663">
        <f t="shared" si="25"/>
        <v>8126509.0909090908</v>
      </c>
      <c r="AC108" s="568">
        <f t="shared" si="22"/>
        <v>88</v>
      </c>
      <c r="AD108" s="493">
        <f>IFERROR(INDEX('[6]CN BC'!$M$10:$M$276,MATCH(B108,'[6]CN BC'!$H$10:$H$276,0)),"")</f>
        <v>0</v>
      </c>
      <c r="AE108" s="522" t="s">
        <v>1122</v>
      </c>
      <c r="AF108" s="108"/>
      <c r="AG108" s="108"/>
      <c r="AH108" s="155"/>
      <c r="AI108" s="108"/>
      <c r="AJ108" s="108"/>
      <c r="AK108" s="108"/>
      <c r="AL108" s="108"/>
      <c r="AM108" s="108"/>
      <c r="AN108" s="108"/>
    </row>
    <row r="109" spans="1:44" s="372" customFormat="1" ht="36.75" customHeight="1">
      <c r="A109" s="543">
        <f>_xlfn.AGGREGATE(4,7,A$19:A108)+1</f>
        <v>89</v>
      </c>
      <c r="B109" s="544" t="s">
        <v>1947</v>
      </c>
      <c r="C109" s="527"/>
      <c r="D109" s="543" t="s">
        <v>1952</v>
      </c>
      <c r="E109" s="545" t="s">
        <v>1953</v>
      </c>
      <c r="F109" s="529">
        <v>2.34</v>
      </c>
      <c r="G109" s="528"/>
      <c r="H109" s="546">
        <f t="shared" si="15"/>
        <v>2.34</v>
      </c>
      <c r="I109" s="472"/>
      <c r="J109" s="472" t="str">
        <f>VLOOKUP(B109,[4]CN!$B$33:$J$365,9,FALSE)</f>
        <v>Giảng viên khoa Du lịch - Khách sạn</v>
      </c>
      <c r="K109" s="529">
        <f t="shared" si="16"/>
        <v>2.34</v>
      </c>
      <c r="L109" s="530">
        <f t="shared" si="17"/>
        <v>4212000</v>
      </c>
      <c r="M109" s="548" t="str">
        <f>VLOOKUP(B109,'[5]Gui chi Quynh'!$B$11:$E$400,4,FALSE)</f>
        <v>A DN</v>
      </c>
      <c r="N109" s="531">
        <f t="shared" si="18"/>
        <v>0</v>
      </c>
      <c r="O109" s="549">
        <v>9</v>
      </c>
      <c r="P109" s="532">
        <f>IFERROR(INDEX('[6]CN BC'!$J$10:$J$277,MATCH(B109,'[6]CN BC'!$H$10:$H$277,0)),"")</f>
        <v>0</v>
      </c>
      <c r="Q109" s="531">
        <f t="shared" si="19"/>
        <v>0</v>
      </c>
      <c r="R109" s="533"/>
      <c r="S109" s="530">
        <f t="shared" si="26"/>
        <v>0</v>
      </c>
      <c r="T109" s="534"/>
      <c r="U109" s="530">
        <f t="shared" si="20"/>
        <v>0</v>
      </c>
      <c r="V109" s="530" t="str">
        <f t="shared" si="21"/>
        <v>0</v>
      </c>
      <c r="W109" s="547">
        <f t="shared" si="27"/>
        <v>0</v>
      </c>
      <c r="X109" s="532" t="str">
        <f>IFERROR(INDEX([7]TL!$X$12:$X$200,MATCH(B109,[7]TL!$B$12:$B$200,0)),"0")</f>
        <v>0</v>
      </c>
      <c r="Y109" s="706">
        <f>W109+X109</f>
        <v>0</v>
      </c>
      <c r="Z109" s="707">
        <f t="shared" si="24"/>
        <v>0</v>
      </c>
      <c r="AA109" s="708">
        <v>1800000</v>
      </c>
      <c r="AB109" s="706">
        <f t="shared" si="25"/>
        <v>0</v>
      </c>
      <c r="AC109" s="571">
        <f t="shared" si="22"/>
        <v>89</v>
      </c>
      <c r="AD109" s="550" t="str">
        <f>IFERROR(INDEX('[6]CN BC'!$M$10:$M$276,MATCH(B109,'[6]CN BC'!$H$10:$H$276,0)),"")</f>
        <v>Đi du học nước ngoài từ 28/2/2023</v>
      </c>
      <c r="AE109" s="522" t="s">
        <v>1123</v>
      </c>
      <c r="AF109" s="108"/>
      <c r="AG109" s="108"/>
      <c r="AH109" s="155"/>
      <c r="AI109" s="108"/>
      <c r="AJ109" s="108"/>
      <c r="AK109" s="108"/>
      <c r="AL109" s="108"/>
      <c r="AM109" s="108"/>
      <c r="AN109" s="108"/>
    </row>
    <row r="110" spans="1:44" s="372" customFormat="1" ht="28.5" customHeight="1">
      <c r="A110" s="379">
        <f>_xlfn.AGGREGATE(4,7,A$19:A109)+1</f>
        <v>90</v>
      </c>
      <c r="B110" s="462" t="s">
        <v>1997</v>
      </c>
      <c r="C110" s="364"/>
      <c r="D110" s="379"/>
      <c r="E110" s="479"/>
      <c r="F110" s="369">
        <v>2.34</v>
      </c>
      <c r="G110" s="367"/>
      <c r="H110" s="445">
        <f t="shared" si="15"/>
        <v>2.34</v>
      </c>
      <c r="I110" s="368"/>
      <c r="J110" s="368" t="str">
        <f>VLOOKUP(B110,[4]CN!$B$33:$J$365,9,FALSE)</f>
        <v>Giảng viên khoa Kinh tế</v>
      </c>
      <c r="K110" s="369">
        <f t="shared" si="16"/>
        <v>2.34</v>
      </c>
      <c r="L110" s="362">
        <f t="shared" si="17"/>
        <v>4212000</v>
      </c>
      <c r="M110" s="366" t="str">
        <f>VLOOKUP(B110,'[5]Gui chi Quynh'!$B$11:$E$400,4,FALSE)</f>
        <v>A3</v>
      </c>
      <c r="N110" s="494">
        <f t="shared" si="18"/>
        <v>5054400</v>
      </c>
      <c r="O110" s="376">
        <v>9</v>
      </c>
      <c r="P110" s="440">
        <f>IFERROR(INDEX('[6]CN BC'!$J$10:$J$277,MATCH(B110,'[6]CN BC'!$H$10:$H$277,0)),"")</f>
        <v>9</v>
      </c>
      <c r="Q110" s="494">
        <f t="shared" si="19"/>
        <v>5054400</v>
      </c>
      <c r="R110" s="460"/>
      <c r="S110" s="362">
        <f>R110*$G$15*1.4</f>
        <v>0</v>
      </c>
      <c r="T110" s="370"/>
      <c r="U110" s="362">
        <f t="shared" si="20"/>
        <v>0</v>
      </c>
      <c r="V110" s="584">
        <f t="shared" si="21"/>
        <v>42120</v>
      </c>
      <c r="W110" s="371">
        <f t="shared" si="27"/>
        <v>5054400</v>
      </c>
      <c r="X110" s="440">
        <f>IFERROR(INDEX([7]TL!$X$12:$X$200,MATCH(B110,[7]TL!$B$12:$B$200,0)),"0")</f>
        <v>689236.3636363633</v>
      </c>
      <c r="Y110" s="663">
        <f t="shared" si="23"/>
        <v>5743636.3636363633</v>
      </c>
      <c r="Z110" s="664">
        <f t="shared" si="24"/>
        <v>3.1909090909090909</v>
      </c>
      <c r="AA110" s="662">
        <v>1800000</v>
      </c>
      <c r="AB110" s="663">
        <f t="shared" si="25"/>
        <v>5743636.3636363633</v>
      </c>
      <c r="AC110" s="568">
        <f t="shared" si="22"/>
        <v>90</v>
      </c>
      <c r="AD110" s="493">
        <f>IFERROR(INDEX('[6]CN BC'!$M$10:$M$276,MATCH(B110,'[6]CN BC'!$H$10:$H$276,0)),"")</f>
        <v>0</v>
      </c>
      <c r="AE110" s="522" t="s">
        <v>1124</v>
      </c>
      <c r="AF110" s="108"/>
      <c r="AG110" s="108"/>
      <c r="AH110" s="487"/>
    </row>
    <row r="111" spans="1:44" s="372" customFormat="1" ht="28.5" customHeight="1">
      <c r="A111" s="379">
        <f>_xlfn.AGGREGATE(4,7,A$19:A110)+1</f>
        <v>91</v>
      </c>
      <c r="B111" s="462" t="s">
        <v>1998</v>
      </c>
      <c r="C111" s="364"/>
      <c r="D111" s="379"/>
      <c r="E111" s="479"/>
      <c r="F111" s="373">
        <v>3.33</v>
      </c>
      <c r="G111" s="367"/>
      <c r="H111" s="445">
        <f t="shared" si="15"/>
        <v>3.33</v>
      </c>
      <c r="I111" s="368"/>
      <c r="J111" s="368" t="str">
        <f>VLOOKUP(B111,[4]CN!$B$33:$J$365,9,FALSE)</f>
        <v>Giảng viên khoa Du lịch - Khách sạn</v>
      </c>
      <c r="K111" s="369">
        <f t="shared" si="16"/>
        <v>3.33</v>
      </c>
      <c r="L111" s="362">
        <f t="shared" si="17"/>
        <v>5994000</v>
      </c>
      <c r="M111" s="366" t="str">
        <f>VLOOKUP(B111,'[5]Gui chi Quynh'!$B$11:$E$400,4,FALSE)</f>
        <v>A3</v>
      </c>
      <c r="N111" s="494">
        <f t="shared" si="18"/>
        <v>7192800</v>
      </c>
      <c r="O111" s="376">
        <v>9</v>
      </c>
      <c r="P111" s="440">
        <f>IFERROR(INDEX('[6]CN BC'!$J$10:$J$277,MATCH(B111,'[6]CN BC'!$H$10:$H$277,0)),"")</f>
        <v>9</v>
      </c>
      <c r="Q111" s="494">
        <f t="shared" si="19"/>
        <v>7192800</v>
      </c>
      <c r="R111" s="460"/>
      <c r="S111" s="362">
        <f t="shared" si="26"/>
        <v>0</v>
      </c>
      <c r="T111" s="370"/>
      <c r="U111" s="362">
        <f t="shared" si="20"/>
        <v>0</v>
      </c>
      <c r="V111" s="584">
        <f t="shared" si="21"/>
        <v>59940</v>
      </c>
      <c r="W111" s="371">
        <f t="shared" si="27"/>
        <v>7192800</v>
      </c>
      <c r="X111" s="440">
        <f>IFERROR(INDEX([7]TL!$X$12:$X$200,MATCH(B111,[7]TL!$B$12:$B$200,0)),"0")</f>
        <v>1144309.0909090908</v>
      </c>
      <c r="Y111" s="663">
        <f t="shared" si="23"/>
        <v>8337109.0909090908</v>
      </c>
      <c r="Z111" s="664">
        <f t="shared" si="24"/>
        <v>4.6317272727272725</v>
      </c>
      <c r="AA111" s="662">
        <v>1800000</v>
      </c>
      <c r="AB111" s="663">
        <f t="shared" si="25"/>
        <v>8337109.0909090908</v>
      </c>
      <c r="AC111" s="568">
        <f t="shared" si="22"/>
        <v>91</v>
      </c>
      <c r="AD111" s="493">
        <f>IFERROR(INDEX('[6]CN BC'!$M$10:$M$276,MATCH(B111,'[6]CN BC'!$H$10:$H$276,0)),"")</f>
        <v>0</v>
      </c>
      <c r="AE111" s="522" t="s">
        <v>1125</v>
      </c>
      <c r="AF111" s="108"/>
      <c r="AG111" s="108"/>
      <c r="AH111" s="487"/>
    </row>
    <row r="112" spans="1:44" s="372" customFormat="1" ht="28.5" customHeight="1">
      <c r="A112" s="379">
        <f>_xlfn.AGGREGATE(4,7,A$19:A111)+1</f>
        <v>92</v>
      </c>
      <c r="B112" s="462" t="s">
        <v>1999</v>
      </c>
      <c r="C112" s="364"/>
      <c r="D112" s="379"/>
      <c r="E112" s="479"/>
      <c r="F112" s="373">
        <v>3.66</v>
      </c>
      <c r="G112" s="367"/>
      <c r="H112" s="445">
        <f t="shared" si="15"/>
        <v>3.66</v>
      </c>
      <c r="I112" s="368"/>
      <c r="J112" s="368" t="str">
        <f>VLOOKUP(B112,[4]CN!$B$33:$J$365,9,FALSE)</f>
        <v>Giảng viên khoa Kinh tế</v>
      </c>
      <c r="K112" s="369">
        <f t="shared" si="16"/>
        <v>3.66</v>
      </c>
      <c r="L112" s="362">
        <f t="shared" si="17"/>
        <v>6588000</v>
      </c>
      <c r="M112" s="366" t="str">
        <f>VLOOKUP(B112,'[5]Gui chi Quynh'!$B$11:$E$400,4,FALSE)</f>
        <v>A3</v>
      </c>
      <c r="N112" s="494">
        <f t="shared" si="18"/>
        <v>7905600</v>
      </c>
      <c r="O112" s="376">
        <v>9</v>
      </c>
      <c r="P112" s="440">
        <f>IFERROR(INDEX('[6]CN BC'!$J$10:$J$277,MATCH(B112,'[6]CN BC'!$H$10:$H$277,0)),"")</f>
        <v>9</v>
      </c>
      <c r="Q112" s="494">
        <f t="shared" si="19"/>
        <v>7905600</v>
      </c>
      <c r="R112" s="460"/>
      <c r="S112" s="362">
        <f t="shared" si="26"/>
        <v>0</v>
      </c>
      <c r="T112" s="370"/>
      <c r="U112" s="362">
        <f t="shared" si="20"/>
        <v>0</v>
      </c>
      <c r="V112" s="584">
        <f t="shared" si="21"/>
        <v>65880</v>
      </c>
      <c r="W112" s="371">
        <f t="shared" si="27"/>
        <v>7905600</v>
      </c>
      <c r="X112" s="440">
        <f>IFERROR(INDEX([7]TL!$X$12:$X$200,MATCH(B112,[7]TL!$B$12:$B$200,0)),"0")</f>
        <v>1078036.3636363642</v>
      </c>
      <c r="Y112" s="663">
        <f t="shared" si="23"/>
        <v>8983636.3636363633</v>
      </c>
      <c r="Z112" s="664">
        <f t="shared" si="24"/>
        <v>4.9909090909090903</v>
      </c>
      <c r="AA112" s="662">
        <v>1800000</v>
      </c>
      <c r="AB112" s="663">
        <f t="shared" si="25"/>
        <v>8983636.3636363633</v>
      </c>
      <c r="AC112" s="568">
        <f t="shared" si="22"/>
        <v>92</v>
      </c>
      <c r="AD112" s="493">
        <f>IFERROR(INDEX('[6]CN BC'!$M$10:$M$276,MATCH(B112,'[6]CN BC'!$H$10:$H$276,0)),"")</f>
        <v>0</v>
      </c>
      <c r="AE112" s="522" t="s">
        <v>1126</v>
      </c>
      <c r="AF112" s="108"/>
      <c r="AG112" s="108"/>
      <c r="AH112" s="487"/>
    </row>
    <row r="113" spans="1:44" s="372" customFormat="1" ht="28.5" customHeight="1">
      <c r="A113" s="379">
        <f>_xlfn.AGGREGATE(4,7,A$19:A112)+1</f>
        <v>93</v>
      </c>
      <c r="B113" s="462" t="s">
        <v>2001</v>
      </c>
      <c r="C113" s="364"/>
      <c r="D113" s="379"/>
      <c r="E113" s="479"/>
      <c r="F113" s="373">
        <v>3</v>
      </c>
      <c r="G113" s="367"/>
      <c r="H113" s="445">
        <f t="shared" si="15"/>
        <v>3</v>
      </c>
      <c r="I113" s="368"/>
      <c r="J113" s="368" t="str">
        <f>VLOOKUP(B113,[4]CN!$B$33:$J$365,9,FALSE)</f>
        <v>Giảng viên khoa Du lịch - Khách sạn</v>
      </c>
      <c r="K113" s="369">
        <f t="shared" si="16"/>
        <v>3</v>
      </c>
      <c r="L113" s="362">
        <f t="shared" si="17"/>
        <v>5400000</v>
      </c>
      <c r="M113" s="366" t="str">
        <f>VLOOKUP(B113,'[5]Gui chi Quynh'!$B$11:$E$400,4,FALSE)</f>
        <v>A3</v>
      </c>
      <c r="N113" s="494">
        <f t="shared" si="18"/>
        <v>6480000</v>
      </c>
      <c r="O113" s="376">
        <v>9</v>
      </c>
      <c r="P113" s="440">
        <f>IFERROR(INDEX('[6]CN BC'!$J$10:$J$277,MATCH(B113,'[6]CN BC'!$H$10:$H$277,0)),"")</f>
        <v>9</v>
      </c>
      <c r="Q113" s="494">
        <f t="shared" si="19"/>
        <v>6480000</v>
      </c>
      <c r="R113" s="460"/>
      <c r="S113" s="362">
        <f t="shared" si="26"/>
        <v>0</v>
      </c>
      <c r="T113" s="370"/>
      <c r="U113" s="362">
        <f t="shared" si="20"/>
        <v>0</v>
      </c>
      <c r="V113" s="584">
        <f t="shared" si="21"/>
        <v>54000</v>
      </c>
      <c r="W113" s="371">
        <f t="shared" si="27"/>
        <v>6480000</v>
      </c>
      <c r="X113" s="440">
        <f>IFERROR(INDEX([7]TL!$X$12:$X$200,MATCH(B113,[7]TL!$B$12:$B$200,0)),"0")</f>
        <v>883636.36363636423</v>
      </c>
      <c r="Y113" s="663">
        <f t="shared" si="23"/>
        <v>7363636.3636363642</v>
      </c>
      <c r="Z113" s="664">
        <f t="shared" si="24"/>
        <v>4.0909090909090908</v>
      </c>
      <c r="AA113" s="662">
        <v>1800000</v>
      </c>
      <c r="AB113" s="663">
        <f t="shared" si="25"/>
        <v>7363636.3636363633</v>
      </c>
      <c r="AC113" s="568">
        <f t="shared" si="22"/>
        <v>93</v>
      </c>
      <c r="AD113" s="493">
        <f>IFERROR(INDEX('[6]CN BC'!$M$10:$M$276,MATCH(B113,'[6]CN BC'!$H$10:$H$276,0)),"")</f>
        <v>0</v>
      </c>
      <c r="AE113" s="522" t="s">
        <v>1127</v>
      </c>
      <c r="AF113" s="108"/>
      <c r="AG113" s="108"/>
      <c r="AH113" s="487"/>
    </row>
    <row r="114" spans="1:44" s="372" customFormat="1" ht="37.5" customHeight="1">
      <c r="A114" s="379">
        <f>_xlfn.AGGREGATE(4,7,A$19:A113)+1</f>
        <v>94</v>
      </c>
      <c r="B114" s="462" t="s">
        <v>2021</v>
      </c>
      <c r="C114" s="364"/>
      <c r="D114" s="379"/>
      <c r="E114" s="479"/>
      <c r="F114" s="373">
        <v>3.66</v>
      </c>
      <c r="G114" s="367"/>
      <c r="H114" s="445">
        <f t="shared" si="15"/>
        <v>3.66</v>
      </c>
      <c r="I114" s="368"/>
      <c r="J114" s="368" t="str">
        <f>VLOOKUP(B114,[4]CN!$B$33:$J$365,9,FALSE)</f>
        <v>Giảng viên khoa Kinh tế</v>
      </c>
      <c r="K114" s="369">
        <f t="shared" si="16"/>
        <v>3.66</v>
      </c>
      <c r="L114" s="362">
        <f t="shared" si="17"/>
        <v>6588000</v>
      </c>
      <c r="M114" s="366" t="str">
        <f>VLOOKUP(B114,'[5]Gui chi Quynh'!$B$11:$E$400,4,FALSE)</f>
        <v>A3</v>
      </c>
      <c r="N114" s="494">
        <f t="shared" si="18"/>
        <v>7905600</v>
      </c>
      <c r="O114" s="376">
        <v>9</v>
      </c>
      <c r="P114" s="440">
        <f>IFERROR(INDEX('[6]CN BC'!$J$10:$J$277,MATCH(B114,'[6]CN BC'!$H$10:$H$277,0)),"")</f>
        <v>9</v>
      </c>
      <c r="Q114" s="494">
        <f t="shared" si="19"/>
        <v>7905600</v>
      </c>
      <c r="R114" s="460"/>
      <c r="S114" s="362">
        <f t="shared" si="26"/>
        <v>0</v>
      </c>
      <c r="T114" s="370"/>
      <c r="U114" s="362">
        <f t="shared" si="20"/>
        <v>0</v>
      </c>
      <c r="V114" s="584">
        <f t="shared" si="21"/>
        <v>65880</v>
      </c>
      <c r="W114" s="371">
        <f t="shared" si="27"/>
        <v>7905600</v>
      </c>
      <c r="X114" s="440">
        <f>IFERROR(INDEX([7]TL!$X$12:$X$200,MATCH(B114,[7]TL!$B$12:$B$200,0)),"0")</f>
        <v>898363.63636363577</v>
      </c>
      <c r="Y114" s="663">
        <f t="shared" si="23"/>
        <v>8803963.6363636367</v>
      </c>
      <c r="Z114" s="664">
        <f t="shared" si="24"/>
        <v>4.8910909090909094</v>
      </c>
      <c r="AA114" s="662">
        <v>1800000</v>
      </c>
      <c r="AB114" s="663">
        <f t="shared" si="25"/>
        <v>8803963.6363636367</v>
      </c>
      <c r="AC114" s="568">
        <f t="shared" si="22"/>
        <v>94</v>
      </c>
      <c r="AD114" s="493">
        <f>IFERROR(INDEX('[6]CN BC'!$M$10:$M$276,MATCH(B114,'[6]CN BC'!$H$10:$H$276,0)),"")</f>
        <v>0</v>
      </c>
      <c r="AE114" s="540"/>
      <c r="AH114" s="487"/>
    </row>
    <row r="115" spans="1:44" s="372" customFormat="1" ht="25.5" customHeight="1">
      <c r="A115" s="379">
        <f>_xlfn.AGGREGATE(4,7,A$19:A114)+1</f>
        <v>95</v>
      </c>
      <c r="B115" s="363" t="s">
        <v>1478</v>
      </c>
      <c r="C115" s="364" t="s">
        <v>272</v>
      </c>
      <c r="D115" s="434" t="s">
        <v>1689</v>
      </c>
      <c r="E115" s="423" t="s">
        <v>371</v>
      </c>
      <c r="F115" s="373">
        <v>3.66</v>
      </c>
      <c r="G115" s="367"/>
      <c r="H115" s="368">
        <f t="shared" si="15"/>
        <v>3.66</v>
      </c>
      <c r="I115" s="368"/>
      <c r="J115" s="368" t="str">
        <f>VLOOKUP(B115,[4]CN!$B$33:$J$365,9,FALSE)</f>
        <v>Giảng viên khoa May - Thời trang</v>
      </c>
      <c r="K115" s="369">
        <f t="shared" si="16"/>
        <v>3.66</v>
      </c>
      <c r="L115" s="362">
        <f>K115*$G$15</f>
        <v>6588000</v>
      </c>
      <c r="M115" s="366" t="str">
        <f>VLOOKUP(B115,'[5]Gui chi Quynh'!$B$11:$E$400,4,FALSE)</f>
        <v>A4</v>
      </c>
      <c r="N115" s="494">
        <f t="shared" si="18"/>
        <v>6588000</v>
      </c>
      <c r="O115" s="376">
        <v>9</v>
      </c>
      <c r="P115" s="440">
        <f>IFERROR(INDEX('[6]CN BC'!$J$10:$J$277,MATCH(B115,'[6]CN BC'!$H$10:$H$277,0)),"")</f>
        <v>9</v>
      </c>
      <c r="Q115" s="494">
        <f t="shared" si="19"/>
        <v>6588000</v>
      </c>
      <c r="R115" s="460"/>
      <c r="S115" s="362">
        <f t="shared" si="26"/>
        <v>0</v>
      </c>
      <c r="T115" s="370"/>
      <c r="U115" s="362">
        <f t="shared" si="20"/>
        <v>0</v>
      </c>
      <c r="V115" s="584">
        <f t="shared" si="21"/>
        <v>65880</v>
      </c>
      <c r="W115" s="371">
        <f t="shared" si="27"/>
        <v>6588000</v>
      </c>
      <c r="X115" s="440">
        <f>IFERROR(INDEX([7]TL!$X$12:$X$200,MATCH(B115,[7]TL!$B$12:$B$200,0)),"0")</f>
        <v>898363.63636363577</v>
      </c>
      <c r="Y115" s="663">
        <f t="shared" si="23"/>
        <v>7486363.6363636358</v>
      </c>
      <c r="Z115" s="664">
        <f t="shared" si="24"/>
        <v>4.1590909090909092</v>
      </c>
      <c r="AA115" s="662">
        <v>1800000</v>
      </c>
      <c r="AB115" s="663">
        <f t="shared" si="25"/>
        <v>7486363.6363636367</v>
      </c>
      <c r="AC115" s="568">
        <f t="shared" si="22"/>
        <v>95</v>
      </c>
      <c r="AD115" s="493">
        <f>IFERROR(INDEX('[6]CN BC'!$M$10:$M$276,MATCH(B115,'[6]CN BC'!$H$10:$H$276,0)),"")</f>
        <v>0</v>
      </c>
      <c r="AE115" s="141"/>
      <c r="AF115" s="108"/>
      <c r="AG115" s="108"/>
      <c r="AH115" s="155"/>
      <c r="AI115" s="108"/>
      <c r="AJ115" s="108"/>
      <c r="AK115" s="108"/>
      <c r="AL115" s="108"/>
      <c r="AM115" s="108"/>
      <c r="AN115" s="108"/>
    </row>
    <row r="116" spans="1:44" s="372" customFormat="1" ht="29.25" customHeight="1">
      <c r="A116" s="379">
        <f>_xlfn.AGGREGATE(4,7,A$19:A115)+1</f>
        <v>96</v>
      </c>
      <c r="B116" s="33" t="s">
        <v>1479</v>
      </c>
      <c r="C116" s="34" t="s">
        <v>912</v>
      </c>
      <c r="D116" s="406" t="s">
        <v>1690</v>
      </c>
      <c r="E116" s="424" t="s">
        <v>372</v>
      </c>
      <c r="F116" s="83">
        <v>3.66</v>
      </c>
      <c r="G116" s="157"/>
      <c r="H116" s="368">
        <f t="shared" si="15"/>
        <v>3.66</v>
      </c>
      <c r="I116" s="81"/>
      <c r="J116" s="368" t="str">
        <f>VLOOKUP(B116,[4]CN!$B$33:$J$365,9,FALSE)</f>
        <v>Giảng viên khoa May - Thời trang</v>
      </c>
      <c r="K116" s="369">
        <f t="shared" si="16"/>
        <v>3.66</v>
      </c>
      <c r="L116" s="362">
        <f>K116*$G$15</f>
        <v>6588000</v>
      </c>
      <c r="M116" s="366" t="str">
        <f>VLOOKUP(B116,'[5]Gui chi Quynh'!$B$11:$E$400,4,FALSE)</f>
        <v>A4</v>
      </c>
      <c r="N116" s="494">
        <f t="shared" si="18"/>
        <v>6588000</v>
      </c>
      <c r="O116" s="376">
        <v>9</v>
      </c>
      <c r="P116" s="440">
        <f>IFERROR(INDEX('[6]CN BC'!$J$10:$J$277,MATCH(B116,'[6]CN BC'!$H$10:$H$277,0)),"")</f>
        <v>9</v>
      </c>
      <c r="Q116" s="494">
        <f t="shared" si="19"/>
        <v>6588000</v>
      </c>
      <c r="R116" s="392"/>
      <c r="S116" s="362">
        <f t="shared" si="26"/>
        <v>0</v>
      </c>
      <c r="T116" s="74"/>
      <c r="U116" s="362">
        <f t="shared" si="20"/>
        <v>0</v>
      </c>
      <c r="V116" s="584">
        <f t="shared" si="21"/>
        <v>65880</v>
      </c>
      <c r="W116" s="371">
        <f t="shared" si="27"/>
        <v>6588000</v>
      </c>
      <c r="X116" s="440">
        <f>IFERROR(INDEX([7]TL!$X$12:$X$200,MATCH(B116,[7]TL!$B$12:$B$200,0)),"0")</f>
        <v>898363.63636363577</v>
      </c>
      <c r="Y116" s="663">
        <f t="shared" si="23"/>
        <v>7486363.6363636358</v>
      </c>
      <c r="Z116" s="664">
        <f t="shared" si="24"/>
        <v>4.1590909090909092</v>
      </c>
      <c r="AA116" s="662">
        <v>1800000</v>
      </c>
      <c r="AB116" s="663">
        <f t="shared" si="25"/>
        <v>7486363.6363636367</v>
      </c>
      <c r="AC116" s="568">
        <f t="shared" si="22"/>
        <v>96</v>
      </c>
      <c r="AD116" s="493">
        <f>IFERROR(INDEX('[6]CN BC'!$M$10:$M$276,MATCH(B116,'[6]CN BC'!$H$10:$H$276,0)),"")</f>
        <v>0</v>
      </c>
      <c r="AE116" s="141"/>
      <c r="AF116" s="108"/>
      <c r="AG116" s="108"/>
      <c r="AH116" s="155"/>
      <c r="AI116" s="108"/>
      <c r="AJ116" s="108"/>
      <c r="AK116" s="108"/>
      <c r="AL116" s="108"/>
      <c r="AM116" s="108"/>
      <c r="AN116" s="108"/>
      <c r="AO116" s="108"/>
      <c r="AP116" s="108"/>
      <c r="AQ116" s="108"/>
      <c r="AR116" s="108"/>
    </row>
    <row r="117" spans="1:44" s="372" customFormat="1" ht="30" customHeight="1">
      <c r="A117" s="379">
        <f>_xlfn.AGGREGATE(4,7,A$19:A116)+1</f>
        <v>97</v>
      </c>
      <c r="B117" s="363" t="s">
        <v>1480</v>
      </c>
      <c r="C117" s="364" t="s">
        <v>733</v>
      </c>
      <c r="D117" s="406" t="s">
        <v>1691</v>
      </c>
      <c r="E117" s="426" t="s">
        <v>735</v>
      </c>
      <c r="F117" s="373">
        <v>3.33</v>
      </c>
      <c r="G117" s="367"/>
      <c r="H117" s="445">
        <f t="shared" si="15"/>
        <v>3.33</v>
      </c>
      <c r="I117" s="368">
        <v>0.45</v>
      </c>
      <c r="J117" s="368" t="str">
        <f>VLOOKUP(B117,[4]CN!$B$33:$J$365,9,FALSE)</f>
        <v>Phó Trưởng khoa May - Thời trang</v>
      </c>
      <c r="K117" s="369">
        <f t="shared" si="16"/>
        <v>3.7800000000000002</v>
      </c>
      <c r="L117" s="362">
        <f>K117*$G$15</f>
        <v>6804000</v>
      </c>
      <c r="M117" s="366" t="str">
        <f>VLOOKUP(B117,'[5]Gui chi Quynh'!$B$11:$E$400,4,FALSE)</f>
        <v>A4</v>
      </c>
      <c r="N117" s="494">
        <f t="shared" si="18"/>
        <v>6804000</v>
      </c>
      <c r="O117" s="376">
        <v>9</v>
      </c>
      <c r="P117" s="440">
        <f>IFERROR(INDEX('[6]CN BC'!$J$10:$J$277,MATCH(B117,'[6]CN BC'!$H$10:$H$277,0)),"")</f>
        <v>9</v>
      </c>
      <c r="Q117" s="494">
        <f t="shared" si="19"/>
        <v>6804000</v>
      </c>
      <c r="R117" s="392"/>
      <c r="S117" s="362">
        <f t="shared" si="26"/>
        <v>0</v>
      </c>
      <c r="T117" s="370"/>
      <c r="U117" s="362">
        <f t="shared" si="20"/>
        <v>0</v>
      </c>
      <c r="V117" s="584">
        <f t="shared" si="21"/>
        <v>68040</v>
      </c>
      <c r="W117" s="371">
        <f t="shared" si="27"/>
        <v>6804000</v>
      </c>
      <c r="X117" s="440">
        <f>IFERROR(INDEX([7]TL!$X$12:$X$200,MATCH(B117,[7]TL!$B$12:$B$200,0)),"0")</f>
        <v>1113381.8181818184</v>
      </c>
      <c r="Y117" s="663">
        <f t="shared" si="23"/>
        <v>7917381.8181818184</v>
      </c>
      <c r="Z117" s="664">
        <f t="shared" si="24"/>
        <v>4.398545454545455</v>
      </c>
      <c r="AA117" s="662">
        <v>1800000</v>
      </c>
      <c r="AB117" s="663">
        <f t="shared" si="25"/>
        <v>7917381.8181818193</v>
      </c>
      <c r="AC117" s="568">
        <f t="shared" si="22"/>
        <v>97</v>
      </c>
      <c r="AD117" s="493">
        <f>IFERROR(INDEX('[6]CN BC'!$M$10:$M$276,MATCH(B117,'[6]CN BC'!$H$10:$H$276,0)),"")</f>
        <v>0</v>
      </c>
      <c r="AE117" s="141"/>
      <c r="AF117" s="108"/>
      <c r="AG117" s="108"/>
      <c r="AH117" s="155"/>
      <c r="AI117" s="108"/>
      <c r="AJ117" s="108"/>
      <c r="AK117" s="108"/>
      <c r="AL117" s="108"/>
      <c r="AM117" s="108"/>
      <c r="AN117" s="108"/>
      <c r="AO117" s="108"/>
      <c r="AP117" s="108"/>
      <c r="AQ117" s="108"/>
      <c r="AR117" s="108"/>
    </row>
    <row r="118" spans="1:44" s="372" customFormat="1" ht="30" customHeight="1">
      <c r="A118" s="379">
        <f>_xlfn.AGGREGATE(4,7,A$19:A117)+1</f>
        <v>98</v>
      </c>
      <c r="B118" s="363" t="s">
        <v>1481</v>
      </c>
      <c r="C118" s="364" t="s">
        <v>736</v>
      </c>
      <c r="D118" s="434" t="s">
        <v>1692</v>
      </c>
      <c r="E118" s="426">
        <v>1603205353742</v>
      </c>
      <c r="F118" s="373">
        <v>3.33</v>
      </c>
      <c r="G118" s="367"/>
      <c r="H118" s="445">
        <f>F118+(F118*G118)</f>
        <v>3.33</v>
      </c>
      <c r="I118" s="368"/>
      <c r="J118" s="368" t="str">
        <f>VLOOKUP(B118,[4]CN!$B$33:$J$365,9,FALSE)</f>
        <v>Giảng viên khoa May - Thời trang</v>
      </c>
      <c r="K118" s="369">
        <f>H118+I118</f>
        <v>3.33</v>
      </c>
      <c r="L118" s="362">
        <f>K118*$G$15</f>
        <v>5994000</v>
      </c>
      <c r="M118" s="366" t="str">
        <f>VLOOKUP(B118,'[5]Gui chi Quynh'!$B$11:$E$400,4,FALSE)</f>
        <v>A4</v>
      </c>
      <c r="N118" s="494">
        <f t="shared" si="18"/>
        <v>5994000</v>
      </c>
      <c r="O118" s="376">
        <v>9</v>
      </c>
      <c r="P118" s="440">
        <f>IFERROR(INDEX('[6]CN BC'!$J$10:$J$277,MATCH(B118,'[6]CN BC'!$H$10:$H$277,0)),"")</f>
        <v>9</v>
      </c>
      <c r="Q118" s="494">
        <f t="shared" si="19"/>
        <v>5994000</v>
      </c>
      <c r="R118" s="460"/>
      <c r="S118" s="362">
        <f t="shared" si="26"/>
        <v>0</v>
      </c>
      <c r="T118" s="370"/>
      <c r="U118" s="362">
        <f t="shared" si="20"/>
        <v>0</v>
      </c>
      <c r="V118" s="584">
        <f t="shared" si="21"/>
        <v>59940</v>
      </c>
      <c r="W118" s="371">
        <f t="shared" si="27"/>
        <v>5994000</v>
      </c>
      <c r="X118" s="440">
        <f>IFERROR(INDEX([7]TL!$X$12:$X$200,MATCH(B118,[7]TL!$B$12:$B$200,0)),"0")</f>
        <v>817363.63636363577</v>
      </c>
      <c r="Y118" s="663">
        <f t="shared" si="23"/>
        <v>6811363.6363636358</v>
      </c>
      <c r="Z118" s="664">
        <f t="shared" si="24"/>
        <v>3.7840909090909087</v>
      </c>
      <c r="AA118" s="662">
        <v>1800000</v>
      </c>
      <c r="AB118" s="663">
        <f t="shared" si="25"/>
        <v>6811363.6363636358</v>
      </c>
      <c r="AC118" s="568">
        <f t="shared" si="22"/>
        <v>98</v>
      </c>
      <c r="AD118" s="493">
        <f>IFERROR(INDEX('[6]CN BC'!$M$10:$M$276,MATCH(B118,'[6]CN BC'!$H$10:$H$276,0)),"")</f>
        <v>0</v>
      </c>
      <c r="AE118" s="141"/>
      <c r="AF118" s="108"/>
      <c r="AG118" s="108"/>
      <c r="AH118" s="155"/>
      <c r="AI118" s="108"/>
      <c r="AJ118" s="108"/>
      <c r="AK118" s="108"/>
      <c r="AL118" s="108"/>
      <c r="AM118" s="108"/>
      <c r="AN118" s="108"/>
    </row>
    <row r="119" spans="1:44" s="372" customFormat="1" ht="30" customHeight="1">
      <c r="A119" s="379">
        <f>_xlfn.AGGREGATE(4,7,A$19:A118)+1</f>
        <v>99</v>
      </c>
      <c r="B119" s="363" t="s">
        <v>1865</v>
      </c>
      <c r="C119" s="364" t="s">
        <v>737</v>
      </c>
      <c r="D119" s="406" t="s">
        <v>1693</v>
      </c>
      <c r="E119" s="426">
        <v>1603205357136</v>
      </c>
      <c r="F119" s="373">
        <v>3.33</v>
      </c>
      <c r="G119" s="367"/>
      <c r="H119" s="445">
        <f t="shared" ref="H119:H182" si="28">F119+(F119*G119)</f>
        <v>3.33</v>
      </c>
      <c r="I119" s="368"/>
      <c r="J119" s="368" t="str">
        <f>VLOOKUP(B119,[4]CN!$B$33:$J$365,9,FALSE)</f>
        <v>Giảng viên khoa May - Thời trang</v>
      </c>
      <c r="K119" s="369">
        <f t="shared" ref="K119:K182" si="29">H119+I119</f>
        <v>3.33</v>
      </c>
      <c r="L119" s="362">
        <f t="shared" ref="L119:L182" si="30">K119*$G$15</f>
        <v>5994000</v>
      </c>
      <c r="M119" s="366" t="str">
        <f>VLOOKUP(B119,'[5]Gui chi Quynh'!$B$11:$E$400,4,FALSE)</f>
        <v>A4</v>
      </c>
      <c r="N119" s="494">
        <f t="shared" si="18"/>
        <v>5994000</v>
      </c>
      <c r="O119" s="376">
        <v>9</v>
      </c>
      <c r="P119" s="440">
        <f>IFERROR(INDEX('[6]CN BC'!$J$10:$J$277,MATCH(B119,'[6]CN BC'!$H$10:$H$277,0)),"")</f>
        <v>9</v>
      </c>
      <c r="Q119" s="494">
        <f t="shared" si="19"/>
        <v>5994000</v>
      </c>
      <c r="R119" s="392"/>
      <c r="S119" s="362">
        <f t="shared" si="26"/>
        <v>0</v>
      </c>
      <c r="T119" s="370"/>
      <c r="U119" s="362">
        <f t="shared" si="20"/>
        <v>0</v>
      </c>
      <c r="V119" s="584">
        <f t="shared" si="21"/>
        <v>59940</v>
      </c>
      <c r="W119" s="371">
        <f t="shared" si="27"/>
        <v>5994000</v>
      </c>
      <c r="X119" s="440">
        <f>IFERROR(INDEX([7]TL!$X$12:$X$200,MATCH(B119,[7]TL!$B$12:$B$200,0)),"0")</f>
        <v>980836.36363636423</v>
      </c>
      <c r="Y119" s="663">
        <f t="shared" si="23"/>
        <v>6974836.3636363642</v>
      </c>
      <c r="Z119" s="664">
        <f t="shared" si="24"/>
        <v>3.8749090909090911</v>
      </c>
      <c r="AA119" s="662">
        <v>1800000</v>
      </c>
      <c r="AB119" s="663">
        <f t="shared" si="25"/>
        <v>6974836.3636363642</v>
      </c>
      <c r="AC119" s="568">
        <f t="shared" si="22"/>
        <v>99</v>
      </c>
      <c r="AD119" s="493">
        <f>IFERROR(INDEX('[6]CN BC'!$M$10:$M$276,MATCH(B119,'[6]CN BC'!$H$10:$H$276,0)),"")</f>
        <v>0</v>
      </c>
      <c r="AE119" s="141"/>
      <c r="AF119" s="108"/>
      <c r="AG119" s="108"/>
      <c r="AH119" s="155"/>
      <c r="AI119" s="108"/>
      <c r="AJ119" s="108"/>
      <c r="AK119" s="108"/>
      <c r="AL119" s="108"/>
      <c r="AM119" s="108"/>
      <c r="AN119" s="108"/>
      <c r="AO119" s="108"/>
      <c r="AP119" s="108"/>
      <c r="AQ119" s="108"/>
      <c r="AR119" s="108"/>
    </row>
    <row r="120" spans="1:44" s="372" customFormat="1" ht="30" customHeight="1">
      <c r="A120" s="379">
        <f>_xlfn.AGGREGATE(4,7,A$19:A119)+1</f>
        <v>100</v>
      </c>
      <c r="B120" s="363" t="s">
        <v>1482</v>
      </c>
      <c r="C120" s="364" t="s">
        <v>1421</v>
      </c>
      <c r="D120" s="406" t="s">
        <v>1694</v>
      </c>
      <c r="E120" s="422" t="s">
        <v>1422</v>
      </c>
      <c r="F120" s="373">
        <v>3.33</v>
      </c>
      <c r="G120" s="367"/>
      <c r="H120" s="445">
        <f t="shared" si="28"/>
        <v>3.33</v>
      </c>
      <c r="I120" s="368"/>
      <c r="J120" s="368" t="str">
        <f>VLOOKUP(B120,[4]CN!$B$33:$J$365,9,FALSE)</f>
        <v>Giảng viên khoa May - Thời trang</v>
      </c>
      <c r="K120" s="369">
        <f t="shared" si="29"/>
        <v>3.33</v>
      </c>
      <c r="L120" s="362">
        <f t="shared" si="30"/>
        <v>5994000</v>
      </c>
      <c r="M120" s="366" t="str">
        <f>VLOOKUP(B120,'[5]Gui chi Quynh'!$B$11:$E$400,4,FALSE)</f>
        <v>A4</v>
      </c>
      <c r="N120" s="494">
        <f t="shared" si="18"/>
        <v>5994000</v>
      </c>
      <c r="O120" s="376">
        <v>9</v>
      </c>
      <c r="P120" s="440">
        <f>IFERROR(INDEX('[6]CN BC'!$J$10:$J$277,MATCH(B120,'[6]CN BC'!$H$10:$H$277,0)),"")</f>
        <v>9</v>
      </c>
      <c r="Q120" s="494">
        <f t="shared" si="19"/>
        <v>5994000</v>
      </c>
      <c r="R120" s="392"/>
      <c r="S120" s="362">
        <f t="shared" si="26"/>
        <v>0</v>
      </c>
      <c r="T120" s="385"/>
      <c r="U120" s="362">
        <f t="shared" si="20"/>
        <v>0</v>
      </c>
      <c r="V120" s="584">
        <f t="shared" si="21"/>
        <v>59940</v>
      </c>
      <c r="W120" s="371">
        <f t="shared" si="27"/>
        <v>5994000</v>
      </c>
      <c r="X120" s="440">
        <f>IFERROR(INDEX([7]TL!$X$12:$X$200,MATCH(B120,[7]TL!$B$12:$B$200,0)),"0")</f>
        <v>980836.36363636423</v>
      </c>
      <c r="Y120" s="663">
        <f t="shared" si="23"/>
        <v>6974836.3636363642</v>
      </c>
      <c r="Z120" s="664">
        <f t="shared" si="24"/>
        <v>3.8749090909090911</v>
      </c>
      <c r="AA120" s="662">
        <v>1800000</v>
      </c>
      <c r="AB120" s="663">
        <f t="shared" si="25"/>
        <v>6974836.3636363642</v>
      </c>
      <c r="AC120" s="568">
        <f t="shared" si="22"/>
        <v>100</v>
      </c>
      <c r="AD120" s="493">
        <f>IFERROR(INDEX('[6]CN BC'!$M$10:$M$276,MATCH(B120,'[6]CN BC'!$H$10:$H$276,0)),"")</f>
        <v>0</v>
      </c>
      <c r="AE120" s="141"/>
      <c r="AF120" s="108"/>
      <c r="AG120" s="108"/>
      <c r="AH120" s="155"/>
      <c r="AI120" s="108"/>
      <c r="AJ120" s="108"/>
      <c r="AK120" s="108"/>
      <c r="AL120" s="108"/>
      <c r="AM120" s="108"/>
      <c r="AN120" s="108"/>
      <c r="AO120" s="108"/>
      <c r="AP120" s="108"/>
      <c r="AQ120" s="108"/>
      <c r="AR120" s="108"/>
    </row>
    <row r="121" spans="1:44" s="372" customFormat="1" ht="30" customHeight="1">
      <c r="A121" s="379">
        <f>_xlfn.AGGREGATE(4,7,A$19:A120)+1</f>
        <v>101</v>
      </c>
      <c r="B121" s="363" t="s">
        <v>1483</v>
      </c>
      <c r="C121" s="364" t="s">
        <v>49</v>
      </c>
      <c r="D121" s="406" t="s">
        <v>1695</v>
      </c>
      <c r="E121" s="422" t="s">
        <v>1432</v>
      </c>
      <c r="F121" s="366">
        <v>4.9800000000000004</v>
      </c>
      <c r="G121" s="367">
        <v>0.05</v>
      </c>
      <c r="H121" s="368">
        <f t="shared" si="28"/>
        <v>5.2290000000000001</v>
      </c>
      <c r="I121" s="395">
        <v>0.25</v>
      </c>
      <c r="J121" s="368" t="str">
        <f>VLOOKUP(B121,[4]CN!$B$33:$J$365,9,FALSE)</f>
        <v>Giảng viên khoa Du lịch - Khách sạn</v>
      </c>
      <c r="K121" s="369">
        <f t="shared" si="29"/>
        <v>5.4790000000000001</v>
      </c>
      <c r="L121" s="362">
        <f t="shared" si="30"/>
        <v>9862200</v>
      </c>
      <c r="M121" s="366" t="str">
        <f>VLOOKUP(B121,'[5]Gui chi Quynh'!$B$11:$E$400,4,FALSE)</f>
        <v>A4</v>
      </c>
      <c r="N121" s="494">
        <f t="shared" si="18"/>
        <v>9862200</v>
      </c>
      <c r="O121" s="376">
        <v>9</v>
      </c>
      <c r="P121" s="440">
        <f>IFERROR(INDEX('[6]CN BC'!$J$10:$J$277,MATCH(B121,'[6]CN BC'!$H$10:$H$277,0)),"")</f>
        <v>9</v>
      </c>
      <c r="Q121" s="494">
        <f t="shared" si="19"/>
        <v>9862200</v>
      </c>
      <c r="R121" s="392"/>
      <c r="S121" s="362">
        <f t="shared" si="26"/>
        <v>0</v>
      </c>
      <c r="T121" s="385"/>
      <c r="U121" s="362">
        <f t="shared" si="20"/>
        <v>0</v>
      </c>
      <c r="V121" s="584">
        <f t="shared" si="21"/>
        <v>98622</v>
      </c>
      <c r="W121" s="371">
        <f t="shared" si="27"/>
        <v>9862200</v>
      </c>
      <c r="X121" s="440">
        <f>IFERROR(INDEX([7]TL!$X$12:$X$200,MATCH(B121,[7]TL!$B$12:$B$200,0)),"0")</f>
        <v>1882783.6363636367</v>
      </c>
      <c r="Y121" s="663">
        <f t="shared" si="23"/>
        <v>11744983.636363637</v>
      </c>
      <c r="Z121" s="664">
        <f t="shared" si="24"/>
        <v>6.5249909090909091</v>
      </c>
      <c r="AA121" s="662">
        <v>1800000</v>
      </c>
      <c r="AB121" s="663">
        <f t="shared" si="25"/>
        <v>11744983.636363637</v>
      </c>
      <c r="AC121" s="568">
        <f t="shared" si="22"/>
        <v>101</v>
      </c>
      <c r="AD121" s="493">
        <f>IFERROR(INDEX('[6]CN BC'!$M$10:$M$276,MATCH(B121,'[6]CN BC'!$H$10:$H$276,0)),"")</f>
        <v>0</v>
      </c>
      <c r="AE121" s="141"/>
      <c r="AF121" s="108"/>
      <c r="AG121" s="108"/>
      <c r="AH121" s="155"/>
      <c r="AI121" s="108"/>
      <c r="AJ121" s="108"/>
      <c r="AK121" s="108"/>
      <c r="AL121" s="108"/>
      <c r="AM121" s="108"/>
      <c r="AN121" s="108"/>
      <c r="AO121" s="108"/>
      <c r="AP121" s="108"/>
      <c r="AQ121" s="108"/>
      <c r="AR121" s="108"/>
    </row>
    <row r="122" spans="1:44" s="372" customFormat="1" ht="30" customHeight="1">
      <c r="A122" s="379">
        <f>_xlfn.AGGREGATE(4,7,A$19:A121)+1</f>
        <v>102</v>
      </c>
      <c r="B122" s="33" t="s">
        <v>1568</v>
      </c>
      <c r="C122" s="34"/>
      <c r="D122" s="406" t="s">
        <v>1696</v>
      </c>
      <c r="E122" s="432" t="s">
        <v>1569</v>
      </c>
      <c r="F122" s="83">
        <v>3</v>
      </c>
      <c r="G122" s="157"/>
      <c r="H122" s="445">
        <f t="shared" si="28"/>
        <v>3</v>
      </c>
      <c r="I122" s="81"/>
      <c r="J122" s="368" t="str">
        <f>VLOOKUP(B122,[4]CN!$B$33:$J$365,9,FALSE)</f>
        <v>Giảng viên khoa May - Thời trang</v>
      </c>
      <c r="K122" s="369">
        <f t="shared" si="29"/>
        <v>3</v>
      </c>
      <c r="L122" s="362">
        <f t="shared" si="30"/>
        <v>5400000</v>
      </c>
      <c r="M122" s="366" t="str">
        <f>VLOOKUP(B122,'[5]Gui chi Quynh'!$B$11:$E$400,4,FALSE)</f>
        <v>A4</v>
      </c>
      <c r="N122" s="494">
        <f t="shared" si="18"/>
        <v>5400000</v>
      </c>
      <c r="O122" s="376">
        <v>9</v>
      </c>
      <c r="P122" s="440">
        <f>IFERROR(INDEX('[6]CN BC'!$J$10:$J$277,MATCH(B122,'[6]CN BC'!$H$10:$H$277,0)),"")</f>
        <v>9</v>
      </c>
      <c r="Q122" s="494">
        <f t="shared" si="19"/>
        <v>5400000</v>
      </c>
      <c r="R122" s="392"/>
      <c r="S122" s="362">
        <f t="shared" si="26"/>
        <v>0</v>
      </c>
      <c r="T122" s="74"/>
      <c r="U122" s="362">
        <f t="shared" si="20"/>
        <v>0</v>
      </c>
      <c r="V122" s="584">
        <f t="shared" si="21"/>
        <v>54000</v>
      </c>
      <c r="W122" s="371">
        <f t="shared" si="27"/>
        <v>5400000</v>
      </c>
      <c r="X122" s="440">
        <f>IFERROR(INDEX([7]TL!$X$12:$X$200,MATCH(B122,[7]TL!$B$12:$B$200,0)),"0")</f>
        <v>883636.36363636423</v>
      </c>
      <c r="Y122" s="663">
        <f t="shared" si="23"/>
        <v>6283636.3636363642</v>
      </c>
      <c r="Z122" s="664">
        <f t="shared" si="24"/>
        <v>3.4909090909090912</v>
      </c>
      <c r="AA122" s="662">
        <v>1800000</v>
      </c>
      <c r="AB122" s="663">
        <f t="shared" si="25"/>
        <v>6283636.3636363642</v>
      </c>
      <c r="AC122" s="568">
        <f t="shared" si="22"/>
        <v>102</v>
      </c>
      <c r="AD122" s="493">
        <f>IFERROR(INDEX('[6]CN BC'!$M$10:$M$276,MATCH(B122,'[6]CN BC'!$H$10:$H$276,0)),"")</f>
        <v>0</v>
      </c>
      <c r="AE122" s="141"/>
      <c r="AF122" s="108"/>
      <c r="AG122" s="108"/>
      <c r="AH122" s="155"/>
      <c r="AI122" s="108"/>
      <c r="AJ122" s="108"/>
      <c r="AK122" s="108"/>
      <c r="AL122" s="108"/>
      <c r="AM122" s="108"/>
      <c r="AN122" s="108"/>
      <c r="AO122" s="108"/>
      <c r="AP122" s="108"/>
      <c r="AQ122" s="108"/>
      <c r="AR122" s="108"/>
    </row>
    <row r="123" spans="1:44" s="372" customFormat="1" ht="30" customHeight="1">
      <c r="A123" s="379">
        <f>_xlfn.AGGREGATE(4,7,A$19:A122)+1</f>
        <v>103</v>
      </c>
      <c r="B123" s="363" t="s">
        <v>1832</v>
      </c>
      <c r="C123" s="364"/>
      <c r="D123" s="434" t="s">
        <v>1963</v>
      </c>
      <c r="E123" s="195">
        <v>1603215005610</v>
      </c>
      <c r="F123" s="373">
        <v>3</v>
      </c>
      <c r="G123" s="367"/>
      <c r="H123" s="368">
        <f t="shared" si="28"/>
        <v>3</v>
      </c>
      <c r="I123" s="368"/>
      <c r="J123" s="368" t="str">
        <f>VLOOKUP(B123,[4]CN!$B$33:$J$365,9,FALSE)</f>
        <v>Giảng viên khoa May - Thời trang</v>
      </c>
      <c r="K123" s="369">
        <f t="shared" si="29"/>
        <v>3</v>
      </c>
      <c r="L123" s="362">
        <f t="shared" si="30"/>
        <v>5400000</v>
      </c>
      <c r="M123" s="366" t="str">
        <f>VLOOKUP(B123,'[5]Gui chi Quynh'!$B$11:$E$400,4,FALSE)</f>
        <v>A4</v>
      </c>
      <c r="N123" s="494">
        <f t="shared" si="18"/>
        <v>5400000</v>
      </c>
      <c r="O123" s="376">
        <v>9</v>
      </c>
      <c r="P123" s="440">
        <f>IFERROR(INDEX('[6]CN BC'!$J$10:$J$277,MATCH(B123,'[6]CN BC'!$H$10:$H$277,0)),"")</f>
        <v>9</v>
      </c>
      <c r="Q123" s="494">
        <f t="shared" si="19"/>
        <v>5400000</v>
      </c>
      <c r="R123" s="392"/>
      <c r="S123" s="362">
        <f t="shared" si="26"/>
        <v>0</v>
      </c>
      <c r="T123" s="370"/>
      <c r="U123" s="362">
        <f t="shared" si="20"/>
        <v>0</v>
      </c>
      <c r="V123" s="584">
        <f t="shared" si="21"/>
        <v>54000</v>
      </c>
      <c r="W123" s="371">
        <f t="shared" si="27"/>
        <v>5400000</v>
      </c>
      <c r="X123" s="440">
        <f>IFERROR(INDEX([7]TL!$X$12:$X$200,MATCH(B123,[7]TL!$B$12:$B$200,0)),"0")</f>
        <v>736363.6363636367</v>
      </c>
      <c r="Y123" s="663">
        <f t="shared" si="23"/>
        <v>6136363.6363636367</v>
      </c>
      <c r="Z123" s="664">
        <f t="shared" si="24"/>
        <v>3.4090909090909092</v>
      </c>
      <c r="AA123" s="662">
        <v>1800000</v>
      </c>
      <c r="AB123" s="663">
        <f t="shared" si="25"/>
        <v>6136363.6363636367</v>
      </c>
      <c r="AC123" s="568">
        <f t="shared" si="22"/>
        <v>103</v>
      </c>
      <c r="AD123" s="493">
        <f>IFERROR(INDEX('[6]CN BC'!$M$10:$M$276,MATCH(B123,'[6]CN BC'!$H$10:$H$276,0)),"")</f>
        <v>0</v>
      </c>
      <c r="AE123" s="141"/>
      <c r="AF123" s="108"/>
      <c r="AG123" s="108"/>
      <c r="AH123" s="155"/>
      <c r="AI123" s="108"/>
      <c r="AJ123" s="108"/>
      <c r="AK123" s="108"/>
      <c r="AL123" s="108"/>
      <c r="AM123" s="108"/>
      <c r="AN123" s="108"/>
    </row>
    <row r="124" spans="1:44" s="108" customFormat="1" ht="27" customHeight="1">
      <c r="A124" s="379">
        <f>_xlfn.AGGREGATE(4,7,A$19:A123)+1</f>
        <v>104</v>
      </c>
      <c r="B124" s="33" t="s">
        <v>1555</v>
      </c>
      <c r="C124" s="149" t="s">
        <v>1105</v>
      </c>
      <c r="D124" s="406" t="s">
        <v>1658</v>
      </c>
      <c r="E124" s="424" t="s">
        <v>1278</v>
      </c>
      <c r="F124" s="10">
        <v>4.9800000000000004</v>
      </c>
      <c r="G124" s="45"/>
      <c r="H124" s="368">
        <f t="shared" si="28"/>
        <v>4.9800000000000004</v>
      </c>
      <c r="I124" s="464">
        <v>0.45</v>
      </c>
      <c r="J124" s="368" t="str">
        <f>VLOOKUP(B124,[4]CN!$B$33:$J$365,9,FALSE)</f>
        <v>Trưởng khoa KHCB</v>
      </c>
      <c r="K124" s="369">
        <f t="shared" si="29"/>
        <v>5.4300000000000006</v>
      </c>
      <c r="L124" s="362">
        <f t="shared" si="30"/>
        <v>9774000.0000000019</v>
      </c>
      <c r="M124" s="366" t="str">
        <f>VLOOKUP(B124,'[5]Gui chi Quynh'!$B$11:$E$400,4,FALSE)</f>
        <v>A4</v>
      </c>
      <c r="N124" s="494">
        <f t="shared" si="18"/>
        <v>9774000.0000000019</v>
      </c>
      <c r="O124" s="376">
        <v>9</v>
      </c>
      <c r="P124" s="440">
        <f>IFERROR(INDEX('[6]CN BC'!$J$10:$J$277,MATCH(B124,'[6]CN BC'!$H$10:$H$277,0)),"")</f>
        <v>9</v>
      </c>
      <c r="Q124" s="494">
        <f t="shared" si="19"/>
        <v>9774000.0000000019</v>
      </c>
      <c r="R124" s="454"/>
      <c r="S124" s="362">
        <f t="shared" si="26"/>
        <v>0</v>
      </c>
      <c r="T124" s="74"/>
      <c r="U124" s="362">
        <f t="shared" si="20"/>
        <v>0</v>
      </c>
      <c r="V124" s="584">
        <f t="shared" si="21"/>
        <v>97740</v>
      </c>
      <c r="W124" s="371">
        <f t="shared" si="27"/>
        <v>9774000.0000000019</v>
      </c>
      <c r="X124" s="440">
        <f>IFERROR(INDEX([7]TL!$X$12:$X$200,MATCH(B124,[7]TL!$B$12:$B$200,0)),"0")</f>
        <v>1066254.5454545449</v>
      </c>
      <c r="Y124" s="663">
        <f t="shared" si="23"/>
        <v>10840254.545454547</v>
      </c>
      <c r="Z124" s="664">
        <f t="shared" si="24"/>
        <v>6.0223636363636368</v>
      </c>
      <c r="AA124" s="662">
        <v>1800000</v>
      </c>
      <c r="AB124" s="663">
        <f t="shared" si="25"/>
        <v>10840254.545454547</v>
      </c>
      <c r="AC124" s="568">
        <f t="shared" si="22"/>
        <v>104</v>
      </c>
      <c r="AD124" s="493">
        <f>IFERROR(INDEX('[6]CN BC'!$M$10:$M$276,MATCH(B124,'[6]CN BC'!$H$10:$H$276,0)),"")</f>
        <v>0</v>
      </c>
      <c r="AE124" s="522" t="s">
        <v>812</v>
      </c>
      <c r="AH124" s="155"/>
    </row>
    <row r="125" spans="1:44" s="372" customFormat="1" ht="28.5" customHeight="1">
      <c r="A125" s="379">
        <f>_xlfn.AGGREGATE(4,7,A$19:A124)+1</f>
        <v>105</v>
      </c>
      <c r="B125" s="363" t="s">
        <v>1866</v>
      </c>
      <c r="C125" s="364" t="s">
        <v>873</v>
      </c>
      <c r="D125" s="434" t="s">
        <v>1697</v>
      </c>
      <c r="E125" s="423" t="s">
        <v>1300</v>
      </c>
      <c r="F125" s="366">
        <v>4.9800000000000004</v>
      </c>
      <c r="G125" s="367">
        <v>0.06</v>
      </c>
      <c r="H125" s="368">
        <f t="shared" si="28"/>
        <v>5.2788000000000004</v>
      </c>
      <c r="I125" s="368">
        <v>0.25</v>
      </c>
      <c r="J125" s="368" t="str">
        <f>VLOOKUP(B125,[4]CN!$B$33:$J$365,9,FALSE)</f>
        <v>Giảng viên Khoa KHCB</v>
      </c>
      <c r="K125" s="369">
        <f t="shared" si="29"/>
        <v>5.5288000000000004</v>
      </c>
      <c r="L125" s="362">
        <f t="shared" si="30"/>
        <v>9951840</v>
      </c>
      <c r="M125" s="366" t="str">
        <f>VLOOKUP(B125,'[5]Gui chi Quynh'!$B$11:$E$400,4,FALSE)</f>
        <v>A4</v>
      </c>
      <c r="N125" s="494">
        <f t="shared" si="18"/>
        <v>9951840</v>
      </c>
      <c r="O125" s="376">
        <v>9</v>
      </c>
      <c r="P125" s="440">
        <f>IFERROR(INDEX('[6]CN BC'!$J$10:$J$277,MATCH(B125,'[6]CN BC'!$H$10:$H$277,0)),"")</f>
        <v>9</v>
      </c>
      <c r="Q125" s="494">
        <f t="shared" si="19"/>
        <v>9951840</v>
      </c>
      <c r="R125" s="460"/>
      <c r="S125" s="362">
        <f t="shared" si="26"/>
        <v>0</v>
      </c>
      <c r="T125" s="370"/>
      <c r="U125" s="362">
        <f t="shared" si="20"/>
        <v>0</v>
      </c>
      <c r="V125" s="584">
        <f t="shared" si="21"/>
        <v>99518</v>
      </c>
      <c r="W125" s="371">
        <f t="shared" si="27"/>
        <v>9951840</v>
      </c>
      <c r="X125" s="440">
        <f>IFERROR(INDEX([7]TL!$X$12:$X$200,MATCH(B125,[7]TL!$B$12:$B$200,0)),"0")</f>
        <v>1357069.0909090899</v>
      </c>
      <c r="Y125" s="663">
        <f t="shared" si="23"/>
        <v>11308909.09090909</v>
      </c>
      <c r="Z125" s="664">
        <f t="shared" si="24"/>
        <v>6.2827272727272723</v>
      </c>
      <c r="AA125" s="662">
        <v>1800000</v>
      </c>
      <c r="AB125" s="663">
        <f t="shared" si="25"/>
        <v>11308909.09090909</v>
      </c>
      <c r="AC125" s="568">
        <f t="shared" si="22"/>
        <v>105</v>
      </c>
      <c r="AD125" s="493">
        <f>IFERROR(INDEX('[6]CN BC'!$M$10:$M$276,MATCH(B125,'[6]CN BC'!$H$10:$H$276,0)),"")</f>
        <v>0</v>
      </c>
      <c r="AE125" s="522" t="s">
        <v>813</v>
      </c>
      <c r="AF125" s="108"/>
      <c r="AG125" s="108"/>
      <c r="AH125" s="487"/>
    </row>
    <row r="126" spans="1:44" s="108" customFormat="1" ht="30" customHeight="1">
      <c r="A126" s="379">
        <f>_xlfn.AGGREGATE(4,7,A$19:A125)+1</f>
        <v>106</v>
      </c>
      <c r="B126" s="33" t="s">
        <v>1867</v>
      </c>
      <c r="C126" s="34" t="s">
        <v>883</v>
      </c>
      <c r="D126" s="406" t="s">
        <v>1698</v>
      </c>
      <c r="E126" s="424" t="s">
        <v>1299</v>
      </c>
      <c r="F126" s="10">
        <v>4.32</v>
      </c>
      <c r="G126" s="157"/>
      <c r="H126" s="368">
        <f t="shared" si="28"/>
        <v>4.32</v>
      </c>
      <c r="I126" s="81"/>
      <c r="J126" s="368" t="str">
        <f>VLOOKUP(B126,[4]CN!$B$33:$J$365,9,FALSE)</f>
        <v>Giảng viên Khoa KHCB</v>
      </c>
      <c r="K126" s="369">
        <f t="shared" si="29"/>
        <v>4.32</v>
      </c>
      <c r="L126" s="362">
        <f t="shared" si="30"/>
        <v>7776000.0000000009</v>
      </c>
      <c r="M126" s="366" t="str">
        <f>VLOOKUP(B126,'[5]Gui chi Quynh'!$B$11:$E$400,4,FALSE)</f>
        <v>A4</v>
      </c>
      <c r="N126" s="494">
        <f t="shared" si="18"/>
        <v>7776000.0000000009</v>
      </c>
      <c r="O126" s="376">
        <v>9</v>
      </c>
      <c r="P126" s="440">
        <f>IFERROR(INDEX('[6]CN BC'!$J$10:$J$277,MATCH(B126,'[6]CN BC'!$H$10:$H$277,0)),"")</f>
        <v>9</v>
      </c>
      <c r="Q126" s="494">
        <f t="shared" si="19"/>
        <v>7776000.0000000009</v>
      </c>
      <c r="R126" s="392"/>
      <c r="S126" s="362">
        <f t="shared" si="26"/>
        <v>0</v>
      </c>
      <c r="T126" s="385"/>
      <c r="U126" s="362">
        <f t="shared" si="20"/>
        <v>0</v>
      </c>
      <c r="V126" s="584">
        <f t="shared" si="21"/>
        <v>77760</v>
      </c>
      <c r="W126" s="371">
        <f t="shared" si="27"/>
        <v>7776000.0000000009</v>
      </c>
      <c r="X126" s="440">
        <f>IFERROR(INDEX([7]TL!$X$12:$X$200,MATCH(B126,[7]TL!$B$12:$B$200,0)),"0")</f>
        <v>1060363.6363636367</v>
      </c>
      <c r="Y126" s="663">
        <f t="shared" si="23"/>
        <v>8836363.6363636367</v>
      </c>
      <c r="Z126" s="664">
        <f t="shared" si="24"/>
        <v>4.9090909090909092</v>
      </c>
      <c r="AA126" s="662">
        <v>1800000</v>
      </c>
      <c r="AB126" s="663">
        <f t="shared" si="25"/>
        <v>8836363.6363636367</v>
      </c>
      <c r="AC126" s="568">
        <f t="shared" si="22"/>
        <v>106</v>
      </c>
      <c r="AD126" s="493">
        <f>IFERROR(INDEX('[6]CN BC'!$M$10:$M$276,MATCH(B126,'[6]CN BC'!$H$10:$H$276,0)),"")</f>
        <v>0</v>
      </c>
      <c r="AE126" s="522" t="s">
        <v>814</v>
      </c>
      <c r="AH126" s="155"/>
    </row>
    <row r="127" spans="1:44" s="372" customFormat="1" ht="30" customHeight="1">
      <c r="A127" s="379">
        <f>_xlfn.AGGREGATE(4,7,A$19:A126)+1</f>
        <v>107</v>
      </c>
      <c r="B127" s="363" t="s">
        <v>1485</v>
      </c>
      <c r="C127" s="364" t="s">
        <v>1009</v>
      </c>
      <c r="D127" s="406" t="s">
        <v>1699</v>
      </c>
      <c r="E127" s="423" t="s">
        <v>373</v>
      </c>
      <c r="F127" s="366">
        <v>3.99</v>
      </c>
      <c r="G127" s="367"/>
      <c r="H127" s="368">
        <f t="shared" si="28"/>
        <v>3.99</v>
      </c>
      <c r="I127" s="368"/>
      <c r="J127" s="368" t="str">
        <f>VLOOKUP(B127,[4]CN!$B$33:$J$365,9,FALSE)</f>
        <v>Giảng viên khoa KHCB</v>
      </c>
      <c r="K127" s="369">
        <f t="shared" si="29"/>
        <v>3.99</v>
      </c>
      <c r="L127" s="362">
        <f t="shared" si="30"/>
        <v>7182000</v>
      </c>
      <c r="M127" s="366" t="str">
        <f>VLOOKUP(B127,'[5]Gui chi Quynh'!$B$11:$E$400,4,FALSE)</f>
        <v>A4</v>
      </c>
      <c r="N127" s="494">
        <f t="shared" si="18"/>
        <v>7182000</v>
      </c>
      <c r="O127" s="376">
        <v>9</v>
      </c>
      <c r="P127" s="440">
        <f>IFERROR(INDEX('[6]CN BC'!$J$10:$J$277,MATCH(B127,'[6]CN BC'!$H$10:$H$277,0)),"")</f>
        <v>9</v>
      </c>
      <c r="Q127" s="494">
        <f t="shared" si="19"/>
        <v>7182000</v>
      </c>
      <c r="R127" s="392"/>
      <c r="S127" s="362">
        <f t="shared" si="26"/>
        <v>0</v>
      </c>
      <c r="T127" s="385"/>
      <c r="U127" s="362">
        <f t="shared" si="20"/>
        <v>0</v>
      </c>
      <c r="V127" s="584">
        <f t="shared" si="21"/>
        <v>71820</v>
      </c>
      <c r="W127" s="371">
        <f t="shared" si="27"/>
        <v>7182000</v>
      </c>
      <c r="X127" s="440">
        <f>IFERROR(INDEX([7]TL!$X$12:$X$200,MATCH(B127,[7]TL!$B$12:$B$200,0)),"0")</f>
        <v>979363.63636363577</v>
      </c>
      <c r="Y127" s="663">
        <f t="shared" si="23"/>
        <v>8161363.6363636358</v>
      </c>
      <c r="Z127" s="664">
        <f t="shared" si="24"/>
        <v>4.5340909090909092</v>
      </c>
      <c r="AA127" s="662">
        <v>1800000</v>
      </c>
      <c r="AB127" s="663">
        <f t="shared" si="25"/>
        <v>8161363.6363636367</v>
      </c>
      <c r="AC127" s="568">
        <f t="shared" si="22"/>
        <v>107</v>
      </c>
      <c r="AD127" s="493">
        <f>IFERROR(INDEX('[6]CN BC'!$M$10:$M$276,MATCH(B127,'[6]CN BC'!$H$10:$H$276,0)),"")</f>
        <v>0</v>
      </c>
      <c r="AE127" s="522" t="s">
        <v>815</v>
      </c>
      <c r="AF127" s="108"/>
      <c r="AG127" s="108"/>
      <c r="AH127" s="155"/>
      <c r="AI127" s="108"/>
      <c r="AJ127" s="108"/>
      <c r="AK127" s="108"/>
      <c r="AL127" s="108"/>
      <c r="AM127" s="108"/>
      <c r="AN127" s="108"/>
      <c r="AO127" s="108"/>
      <c r="AP127" s="108"/>
      <c r="AQ127" s="108"/>
      <c r="AR127" s="108"/>
    </row>
    <row r="128" spans="1:44" s="372" customFormat="1" ht="30" customHeight="1">
      <c r="A128" s="379">
        <f>_xlfn.AGGREGATE(4,7,A$19:A127)+1</f>
        <v>108</v>
      </c>
      <c r="B128" s="363" t="s">
        <v>1559</v>
      </c>
      <c r="C128" s="375"/>
      <c r="D128" s="406" t="s">
        <v>1647</v>
      </c>
      <c r="E128" s="423" t="s">
        <v>406</v>
      </c>
      <c r="F128" s="373">
        <v>3.66</v>
      </c>
      <c r="G128" s="378"/>
      <c r="H128" s="368">
        <f t="shared" si="28"/>
        <v>3.66</v>
      </c>
      <c r="I128" s="368"/>
      <c r="J128" s="368" t="str">
        <f>VLOOKUP(B128,[4]CN!$B$33:$J$365,9,FALSE)</f>
        <v>Giảng viên khoa KHCB</v>
      </c>
      <c r="K128" s="369">
        <f t="shared" si="29"/>
        <v>3.66</v>
      </c>
      <c r="L128" s="362">
        <f t="shared" si="30"/>
        <v>6588000</v>
      </c>
      <c r="M128" s="366" t="str">
        <f>VLOOKUP(B128,'[5]Gui chi Quynh'!$B$11:$E$400,4,FALSE)</f>
        <v>A4</v>
      </c>
      <c r="N128" s="494">
        <f t="shared" si="18"/>
        <v>6588000</v>
      </c>
      <c r="O128" s="376">
        <v>9</v>
      </c>
      <c r="P128" s="440">
        <f>IFERROR(INDEX('[6]CN BC'!$J$10:$J$277,MATCH(B128,'[6]CN BC'!$H$10:$H$277,0)),"")</f>
        <v>9</v>
      </c>
      <c r="Q128" s="494">
        <f t="shared" si="19"/>
        <v>6588000</v>
      </c>
      <c r="R128" s="392"/>
      <c r="S128" s="362">
        <f t="shared" si="26"/>
        <v>0</v>
      </c>
      <c r="T128" s="370"/>
      <c r="U128" s="362">
        <f t="shared" si="20"/>
        <v>0</v>
      </c>
      <c r="V128" s="584">
        <f t="shared" si="21"/>
        <v>65880</v>
      </c>
      <c r="W128" s="371">
        <f t="shared" si="27"/>
        <v>6588000</v>
      </c>
      <c r="X128" s="440">
        <f>IFERROR(INDEX([7]TL!$X$12:$X$200,MATCH(B128,[7]TL!$B$12:$B$200,0)),"0")</f>
        <v>898363.63636363577</v>
      </c>
      <c r="Y128" s="663">
        <f t="shared" si="23"/>
        <v>7486363.6363636358</v>
      </c>
      <c r="Z128" s="664">
        <f t="shared" si="24"/>
        <v>4.1590909090909092</v>
      </c>
      <c r="AA128" s="662">
        <v>1800000</v>
      </c>
      <c r="AB128" s="663">
        <f t="shared" si="25"/>
        <v>7486363.6363636367</v>
      </c>
      <c r="AC128" s="568">
        <f t="shared" si="22"/>
        <v>108</v>
      </c>
      <c r="AD128" s="493">
        <f>IFERROR(INDEX('[6]CN BC'!$M$10:$M$276,MATCH(B128,'[6]CN BC'!$H$10:$H$276,0)),"")</f>
        <v>0</v>
      </c>
      <c r="AE128" s="522" t="s">
        <v>816</v>
      </c>
      <c r="AF128" s="108"/>
      <c r="AG128" s="108"/>
      <c r="AH128" s="155"/>
      <c r="AI128" s="108"/>
      <c r="AJ128" s="108"/>
      <c r="AK128" s="108"/>
      <c r="AL128" s="108"/>
      <c r="AM128" s="108"/>
      <c r="AN128" s="108"/>
      <c r="AO128" s="108"/>
      <c r="AP128" s="108"/>
      <c r="AQ128" s="108"/>
      <c r="AR128" s="108"/>
    </row>
    <row r="129" spans="1:44" s="372" customFormat="1" ht="30" customHeight="1">
      <c r="A129" s="379">
        <f>_xlfn.AGGREGATE(4,7,A$19:A128)+1</f>
        <v>109</v>
      </c>
      <c r="B129" s="363" t="s">
        <v>1868</v>
      </c>
      <c r="C129" s="364" t="s">
        <v>956</v>
      </c>
      <c r="D129" s="434" t="s">
        <v>1700</v>
      </c>
      <c r="E129" s="423" t="s">
        <v>1303</v>
      </c>
      <c r="F129" s="366">
        <v>4.6500000000000004</v>
      </c>
      <c r="G129" s="367"/>
      <c r="H129" s="368">
        <f t="shared" si="28"/>
        <v>4.6500000000000004</v>
      </c>
      <c r="I129" s="368"/>
      <c r="J129" s="368" t="str">
        <f>VLOOKUP(B129,[4]CN!$B$33:$J$365,9,FALSE)</f>
        <v>Giảng viên Khoa KHCB</v>
      </c>
      <c r="K129" s="369">
        <f t="shared" si="29"/>
        <v>4.6500000000000004</v>
      </c>
      <c r="L129" s="362">
        <f t="shared" si="30"/>
        <v>8370000.0000000009</v>
      </c>
      <c r="M129" s="366" t="str">
        <f>VLOOKUP(B129,'[5]Gui chi Quynh'!$B$11:$E$400,4,FALSE)</f>
        <v>A4</v>
      </c>
      <c r="N129" s="494">
        <f t="shared" si="18"/>
        <v>8370000.0000000009</v>
      </c>
      <c r="O129" s="376">
        <v>9</v>
      </c>
      <c r="P129" s="440">
        <f>IFERROR(INDEX('[6]CN BC'!$J$10:$J$277,MATCH(B129,'[6]CN BC'!$H$10:$H$277,0)),"")</f>
        <v>9</v>
      </c>
      <c r="Q129" s="494">
        <f t="shared" si="19"/>
        <v>8370000.0000000009</v>
      </c>
      <c r="R129" s="392"/>
      <c r="S129" s="362">
        <f t="shared" si="26"/>
        <v>0</v>
      </c>
      <c r="T129" s="370"/>
      <c r="U129" s="362">
        <f t="shared" si="20"/>
        <v>0</v>
      </c>
      <c r="V129" s="584">
        <f t="shared" si="21"/>
        <v>83700</v>
      </c>
      <c r="W129" s="371">
        <f t="shared" si="27"/>
        <v>8370000.0000000009</v>
      </c>
      <c r="X129" s="440">
        <f>IFERROR(INDEX([7]TL!$X$12:$X$200,MATCH(B129,[7]TL!$B$12:$B$200,0)),"0")</f>
        <v>1141363.6363636367</v>
      </c>
      <c r="Y129" s="663">
        <f t="shared" si="23"/>
        <v>9511363.6363636367</v>
      </c>
      <c r="Z129" s="664">
        <f t="shared" si="24"/>
        <v>5.2840909090909092</v>
      </c>
      <c r="AA129" s="662">
        <v>1800000</v>
      </c>
      <c r="AB129" s="663">
        <f t="shared" si="25"/>
        <v>9511363.6363636367</v>
      </c>
      <c r="AC129" s="568">
        <f t="shared" si="22"/>
        <v>109</v>
      </c>
      <c r="AD129" s="493">
        <f>IFERROR(INDEX('[6]CN BC'!$M$10:$M$276,MATCH(B129,'[6]CN BC'!$H$10:$H$276,0)),"")</f>
        <v>0</v>
      </c>
      <c r="AE129" s="522" t="s">
        <v>817</v>
      </c>
      <c r="AF129" s="108"/>
      <c r="AG129" s="108"/>
      <c r="AH129" s="155"/>
      <c r="AI129" s="108"/>
      <c r="AJ129" s="108"/>
      <c r="AK129" s="108"/>
      <c r="AL129" s="108"/>
      <c r="AM129" s="108"/>
      <c r="AN129" s="108"/>
    </row>
    <row r="130" spans="1:44" s="372" customFormat="1" ht="30" customHeight="1">
      <c r="A130" s="379">
        <f>_xlfn.AGGREGATE(4,7,A$19:A129)+1</f>
        <v>110</v>
      </c>
      <c r="B130" s="363" t="s">
        <v>1869</v>
      </c>
      <c r="C130" s="364" t="s">
        <v>958</v>
      </c>
      <c r="D130" s="406" t="s">
        <v>1701</v>
      </c>
      <c r="E130" s="423" t="s">
        <v>1304</v>
      </c>
      <c r="F130" s="373">
        <v>4.32</v>
      </c>
      <c r="G130" s="367"/>
      <c r="H130" s="368">
        <f t="shared" si="28"/>
        <v>4.32</v>
      </c>
      <c r="I130" s="368"/>
      <c r="J130" s="368" t="str">
        <f>VLOOKUP(B130,[4]CN!$B$33:$J$365,9,FALSE)</f>
        <v>Giảng viên Khoa KHCB</v>
      </c>
      <c r="K130" s="369">
        <f t="shared" si="29"/>
        <v>4.32</v>
      </c>
      <c r="L130" s="362">
        <f t="shared" si="30"/>
        <v>7776000.0000000009</v>
      </c>
      <c r="M130" s="366" t="str">
        <f>VLOOKUP(B130,'[5]Gui chi Quynh'!$B$11:$E$400,4,FALSE)</f>
        <v>A4</v>
      </c>
      <c r="N130" s="494">
        <f t="shared" si="18"/>
        <v>7776000.0000000009</v>
      </c>
      <c r="O130" s="376">
        <v>9</v>
      </c>
      <c r="P130" s="440">
        <f>IFERROR(INDEX('[6]CN BC'!$J$10:$J$277,MATCH(B130,'[6]CN BC'!$H$10:$H$277,0)),"")</f>
        <v>9</v>
      </c>
      <c r="Q130" s="494">
        <f t="shared" si="19"/>
        <v>7776000.0000000009</v>
      </c>
      <c r="R130" s="392"/>
      <c r="S130" s="362">
        <f t="shared" si="26"/>
        <v>0</v>
      </c>
      <c r="T130" s="385"/>
      <c r="U130" s="362">
        <f t="shared" si="20"/>
        <v>0</v>
      </c>
      <c r="V130" s="584">
        <f t="shared" si="21"/>
        <v>77760</v>
      </c>
      <c r="W130" s="371">
        <f t="shared" si="27"/>
        <v>7776000.0000000009</v>
      </c>
      <c r="X130" s="440">
        <f>IFERROR(INDEX([7]TL!$X$12:$X$200,MATCH(B130,[7]TL!$B$12:$B$200,0)),"0")</f>
        <v>1272436.3636363642</v>
      </c>
      <c r="Y130" s="663">
        <f t="shared" si="23"/>
        <v>9048436.3636363652</v>
      </c>
      <c r="Z130" s="664">
        <f t="shared" si="24"/>
        <v>5.0269090909090917</v>
      </c>
      <c r="AA130" s="662">
        <v>1800000</v>
      </c>
      <c r="AB130" s="653">
        <f t="shared" si="25"/>
        <v>9048436.3636363652</v>
      </c>
      <c r="AC130" s="572">
        <f t="shared" si="22"/>
        <v>110</v>
      </c>
      <c r="AD130" s="493">
        <f>IFERROR(INDEX('[6]CN BC'!$M$10:$M$276,MATCH(B130,'[6]CN BC'!$H$10:$H$276,0)),"")</f>
        <v>0</v>
      </c>
      <c r="AE130" s="522" t="s">
        <v>818</v>
      </c>
      <c r="AF130" s="108"/>
      <c r="AG130" s="108"/>
      <c r="AH130" s="155"/>
      <c r="AI130" s="108"/>
      <c r="AJ130" s="108"/>
      <c r="AK130" s="108"/>
      <c r="AL130" s="108"/>
      <c r="AM130" s="108"/>
      <c r="AN130" s="108"/>
      <c r="AO130" s="108"/>
      <c r="AP130" s="108"/>
      <c r="AQ130" s="108"/>
      <c r="AR130" s="108"/>
    </row>
    <row r="131" spans="1:44" s="372" customFormat="1" ht="30" customHeight="1">
      <c r="A131" s="379">
        <f>_xlfn.AGGREGATE(4,7,A$19:A130)+1</f>
        <v>111</v>
      </c>
      <c r="B131" s="363" t="s">
        <v>1870</v>
      </c>
      <c r="C131" s="364" t="s">
        <v>967</v>
      </c>
      <c r="D131" s="434" t="s">
        <v>1702</v>
      </c>
      <c r="E131" s="423" t="s">
        <v>1306</v>
      </c>
      <c r="F131" s="366">
        <v>4.9800000000000004</v>
      </c>
      <c r="G131" s="367">
        <v>0.08</v>
      </c>
      <c r="H131" s="368">
        <f t="shared" si="28"/>
        <v>5.3784000000000001</v>
      </c>
      <c r="I131" s="368"/>
      <c r="J131" s="368" t="str">
        <f>VLOOKUP(B131,[4]CN!$B$33:$J$365,9,FALSE)</f>
        <v>Giảng viên Khoa KHCB</v>
      </c>
      <c r="K131" s="369">
        <f t="shared" si="29"/>
        <v>5.3784000000000001</v>
      </c>
      <c r="L131" s="362">
        <f t="shared" si="30"/>
        <v>9681120</v>
      </c>
      <c r="M131" s="366" t="str">
        <f>VLOOKUP(B131,'[5]Gui chi Quynh'!$B$11:$E$400,4,FALSE)</f>
        <v>A4</v>
      </c>
      <c r="N131" s="494">
        <f t="shared" si="18"/>
        <v>9681120</v>
      </c>
      <c r="O131" s="376">
        <v>9</v>
      </c>
      <c r="P131" s="440">
        <f>IFERROR(INDEX('[6]CN BC'!$J$10:$J$277,MATCH(B131,'[6]CN BC'!$H$10:$H$277,0)),"")</f>
        <v>9</v>
      </c>
      <c r="Q131" s="494">
        <f t="shared" si="19"/>
        <v>9681120</v>
      </c>
      <c r="R131" s="460"/>
      <c r="S131" s="362">
        <f t="shared" si="26"/>
        <v>0</v>
      </c>
      <c r="T131" s="370"/>
      <c r="U131" s="362">
        <f t="shared" si="20"/>
        <v>0</v>
      </c>
      <c r="V131" s="584">
        <f t="shared" si="21"/>
        <v>96811</v>
      </c>
      <c r="W131" s="371">
        <f t="shared" si="27"/>
        <v>9681120</v>
      </c>
      <c r="X131" s="440">
        <f>IFERROR(INDEX([7]TL!$X$12:$X$200,MATCH(B131,[7]TL!$B$12:$B$200,0)),"0")</f>
        <v>1584183.2727272715</v>
      </c>
      <c r="Y131" s="663">
        <f t="shared" si="23"/>
        <v>11265303.272727272</v>
      </c>
      <c r="Z131" s="664">
        <f t="shared" si="24"/>
        <v>6.2585018181818173</v>
      </c>
      <c r="AA131" s="662">
        <v>1800000</v>
      </c>
      <c r="AB131" s="767">
        <f t="shared" si="25"/>
        <v>11265303.272727272</v>
      </c>
      <c r="AC131" s="572">
        <f t="shared" si="22"/>
        <v>111</v>
      </c>
      <c r="AD131" s="493">
        <f>IFERROR(INDEX('[6]CN BC'!$M$10:$M$276,MATCH(B131,'[6]CN BC'!$H$10:$H$276,0)),"")</f>
        <v>0</v>
      </c>
      <c r="AE131" s="522" t="s">
        <v>819</v>
      </c>
      <c r="AF131" s="108"/>
      <c r="AG131" s="108"/>
      <c r="AH131" s="487"/>
    </row>
    <row r="132" spans="1:44" s="372" customFormat="1" ht="26.25" customHeight="1">
      <c r="A132" s="379">
        <f>_xlfn.AGGREGATE(4,7,A$19:A131)+1</f>
        <v>112</v>
      </c>
      <c r="B132" s="363" t="s">
        <v>847</v>
      </c>
      <c r="C132" s="364" t="s">
        <v>896</v>
      </c>
      <c r="D132" s="434" t="s">
        <v>1703</v>
      </c>
      <c r="E132" s="423" t="s">
        <v>1307</v>
      </c>
      <c r="F132" s="373">
        <v>3.99</v>
      </c>
      <c r="G132" s="367"/>
      <c r="H132" s="368">
        <f t="shared" si="28"/>
        <v>3.99</v>
      </c>
      <c r="I132" s="368"/>
      <c r="J132" s="368" t="str">
        <f>VLOOKUP(B132,[4]CN!$B$33:$J$365,9,FALSE)</f>
        <v>Giảng viên khoa KHCB</v>
      </c>
      <c r="K132" s="369">
        <f t="shared" si="29"/>
        <v>3.99</v>
      </c>
      <c r="L132" s="362">
        <f t="shared" si="30"/>
        <v>7182000</v>
      </c>
      <c r="M132" s="366" t="str">
        <f>VLOOKUP(B132,'[5]Gui chi Quynh'!$B$11:$E$400,4,FALSE)</f>
        <v>A4</v>
      </c>
      <c r="N132" s="494">
        <f t="shared" si="18"/>
        <v>7182000</v>
      </c>
      <c r="O132" s="376">
        <v>9</v>
      </c>
      <c r="P132" s="440">
        <f>IFERROR(INDEX('[6]CN BC'!$J$10:$J$277,MATCH(B132,'[6]CN BC'!$H$10:$H$277,0)),"")</f>
        <v>9</v>
      </c>
      <c r="Q132" s="494">
        <f t="shared" si="19"/>
        <v>7182000</v>
      </c>
      <c r="R132" s="460"/>
      <c r="S132" s="362">
        <f t="shared" si="26"/>
        <v>0</v>
      </c>
      <c r="T132" s="370"/>
      <c r="U132" s="362">
        <f t="shared" si="20"/>
        <v>0</v>
      </c>
      <c r="V132" s="362">
        <f t="shared" si="21"/>
        <v>71820</v>
      </c>
      <c r="W132" s="371">
        <f t="shared" si="27"/>
        <v>7182000</v>
      </c>
      <c r="X132" s="440">
        <f>IFERROR(INDEX([7]TL!$X$12:$X$200,MATCH(B132,[7]TL!$B$12:$B$200,0)),"0")</f>
        <v>979363.63636363577</v>
      </c>
      <c r="Y132" s="663">
        <f t="shared" si="23"/>
        <v>8161363.6363636358</v>
      </c>
      <c r="Z132" s="664">
        <f t="shared" si="24"/>
        <v>4.5340909090909092</v>
      </c>
      <c r="AA132" s="662">
        <v>1800000</v>
      </c>
      <c r="AB132" s="767">
        <f t="shared" si="25"/>
        <v>8161363.6363636367</v>
      </c>
      <c r="AC132" s="572">
        <f t="shared" si="22"/>
        <v>112</v>
      </c>
      <c r="AD132" s="493">
        <f>IFERROR(INDEX('[6]CN BC'!$M$10:$M$276,MATCH(B132,'[6]CN BC'!$H$10:$H$276,0)),"")</f>
        <v>0</v>
      </c>
      <c r="AE132" s="540" t="s">
        <v>820</v>
      </c>
      <c r="AH132" s="487"/>
    </row>
    <row r="133" spans="1:44" s="372" customFormat="1" ht="30" customHeight="1">
      <c r="A133" s="379">
        <f>_xlfn.AGGREGATE(4,7,A$19:A132)+1</f>
        <v>113</v>
      </c>
      <c r="B133" s="363" t="s">
        <v>1486</v>
      </c>
      <c r="C133" s="364" t="s">
        <v>1218</v>
      </c>
      <c r="D133" s="406" t="s">
        <v>1704</v>
      </c>
      <c r="E133" s="426" t="s">
        <v>1588</v>
      </c>
      <c r="F133" s="373">
        <v>3.66</v>
      </c>
      <c r="G133" s="367"/>
      <c r="H133" s="368">
        <f t="shared" si="28"/>
        <v>3.66</v>
      </c>
      <c r="I133" s="368"/>
      <c r="J133" s="368" t="str">
        <f>VLOOKUP(B133,[4]CN!$B$33:$J$365,9,FALSE)</f>
        <v>Giảng viên khoa KHCB</v>
      </c>
      <c r="K133" s="369">
        <f t="shared" si="29"/>
        <v>3.66</v>
      </c>
      <c r="L133" s="362">
        <f t="shared" si="30"/>
        <v>6588000</v>
      </c>
      <c r="M133" s="366" t="str">
        <f>VLOOKUP(B133,'[5]Gui chi Quynh'!$B$11:$E$400,4,FALSE)</f>
        <v>A4</v>
      </c>
      <c r="N133" s="494">
        <f t="shared" si="18"/>
        <v>6588000</v>
      </c>
      <c r="O133" s="376">
        <v>9</v>
      </c>
      <c r="P133" s="440">
        <f>IFERROR(INDEX('[6]CN BC'!$J$10:$J$277,MATCH(B133,'[6]CN BC'!$H$10:$H$277,0)),"")</f>
        <v>9</v>
      </c>
      <c r="Q133" s="494">
        <f t="shared" si="19"/>
        <v>6588000</v>
      </c>
      <c r="R133" s="392"/>
      <c r="S133" s="362">
        <f t="shared" si="26"/>
        <v>0</v>
      </c>
      <c r="T133" s="370"/>
      <c r="U133" s="362">
        <f t="shared" si="20"/>
        <v>0</v>
      </c>
      <c r="V133" s="584">
        <f t="shared" si="21"/>
        <v>65880</v>
      </c>
      <c r="W133" s="371">
        <f t="shared" si="27"/>
        <v>6588000</v>
      </c>
      <c r="X133" s="440">
        <f>IFERROR(INDEX([7]TL!$X$12:$X$200,MATCH(B133,[7]TL!$B$12:$B$200,0)),"0")</f>
        <v>898363.63636363577</v>
      </c>
      <c r="Y133" s="663">
        <f t="shared" si="23"/>
        <v>7486363.6363636358</v>
      </c>
      <c r="Z133" s="664">
        <f t="shared" si="24"/>
        <v>4.1590909090909092</v>
      </c>
      <c r="AA133" s="662">
        <v>1800000</v>
      </c>
      <c r="AB133" s="767">
        <f t="shared" si="25"/>
        <v>7486363.6363636367</v>
      </c>
      <c r="AC133" s="572">
        <f t="shared" si="22"/>
        <v>113</v>
      </c>
      <c r="AD133" s="493">
        <f>IFERROR(INDEX('[6]CN BC'!$M$10:$M$276,MATCH(B133,'[6]CN BC'!$H$10:$H$276,0)),"")</f>
        <v>0</v>
      </c>
      <c r="AE133" s="522" t="s">
        <v>1119</v>
      </c>
      <c r="AF133" s="108"/>
      <c r="AG133" s="108"/>
      <c r="AH133" s="155"/>
      <c r="AI133" s="108"/>
      <c r="AJ133" s="108"/>
      <c r="AK133" s="108"/>
      <c r="AL133" s="108"/>
      <c r="AM133" s="108"/>
      <c r="AN133" s="108"/>
      <c r="AO133" s="108"/>
      <c r="AP133" s="108"/>
      <c r="AQ133" s="108"/>
      <c r="AR133" s="108"/>
    </row>
    <row r="134" spans="1:44" s="108" customFormat="1" ht="30" customHeight="1">
      <c r="A134" s="379">
        <f>_xlfn.AGGREGATE(4,7,A$19:A133)+1</f>
        <v>114</v>
      </c>
      <c r="B134" s="363" t="s">
        <v>1871</v>
      </c>
      <c r="C134" s="364" t="s">
        <v>873</v>
      </c>
      <c r="D134" s="434" t="s">
        <v>1705</v>
      </c>
      <c r="E134" s="423" t="s">
        <v>1309</v>
      </c>
      <c r="F134" s="366">
        <v>4.9800000000000004</v>
      </c>
      <c r="G134" s="367"/>
      <c r="H134" s="368">
        <f t="shared" si="28"/>
        <v>4.9800000000000004</v>
      </c>
      <c r="I134" s="368">
        <v>0.35</v>
      </c>
      <c r="J134" s="368" t="str">
        <f>VLOOKUP(B134,[4]CN!$B$33:$J$365,9,FALSE)</f>
        <v>Phó TK Khoa KHCB</v>
      </c>
      <c r="K134" s="369">
        <f t="shared" si="29"/>
        <v>5.33</v>
      </c>
      <c r="L134" s="362">
        <f t="shared" si="30"/>
        <v>9594000</v>
      </c>
      <c r="M134" s="366" t="str">
        <f>VLOOKUP(B134,'[5]Gui chi Quynh'!$B$11:$E$400,4,FALSE)</f>
        <v>A4</v>
      </c>
      <c r="N134" s="494">
        <f t="shared" si="18"/>
        <v>9594000</v>
      </c>
      <c r="O134" s="376">
        <v>9</v>
      </c>
      <c r="P134" s="440">
        <f>IFERROR(INDEX('[6]CN BC'!$J$10:$J$277,MATCH(B134,'[6]CN BC'!$H$10:$H$277,0)),"")</f>
        <v>9</v>
      </c>
      <c r="Q134" s="494">
        <f t="shared" si="19"/>
        <v>9594000</v>
      </c>
      <c r="R134" s="460"/>
      <c r="S134" s="362">
        <f t="shared" si="26"/>
        <v>0</v>
      </c>
      <c r="T134" s="370"/>
      <c r="U134" s="362">
        <f t="shared" si="20"/>
        <v>0</v>
      </c>
      <c r="V134" s="584">
        <f t="shared" si="21"/>
        <v>95940</v>
      </c>
      <c r="W134" s="371">
        <f t="shared" si="27"/>
        <v>9594000</v>
      </c>
      <c r="X134" s="440">
        <f>IFERROR(INDEX([7]TL!$X$12:$X$200,MATCH(B134,[7]TL!$B$12:$B$200,0)),"0")</f>
        <v>1046618.1818181816</v>
      </c>
      <c r="Y134" s="663">
        <f t="shared" si="23"/>
        <v>10640618.181818182</v>
      </c>
      <c r="Z134" s="664">
        <f t="shared" si="24"/>
        <v>5.9114545454545455</v>
      </c>
      <c r="AA134" s="662">
        <v>1800000</v>
      </c>
      <c r="AB134" s="767">
        <f t="shared" si="25"/>
        <v>10640618.181818182</v>
      </c>
      <c r="AC134" s="572">
        <f t="shared" si="22"/>
        <v>114</v>
      </c>
      <c r="AD134" s="493">
        <f>IFERROR(INDEX('[6]CN BC'!$M$10:$M$276,MATCH(B134,'[6]CN BC'!$H$10:$H$276,0)),"")</f>
        <v>0</v>
      </c>
      <c r="AE134" s="522" t="s">
        <v>1120</v>
      </c>
      <c r="AH134" s="155"/>
    </row>
    <row r="135" spans="1:44" s="372" customFormat="1" ht="30" customHeight="1">
      <c r="A135" s="379">
        <f>_xlfn.AGGREGATE(4,7,A$19:A134)+1</f>
        <v>115</v>
      </c>
      <c r="B135" s="363" t="s">
        <v>1872</v>
      </c>
      <c r="C135" s="364" t="s">
        <v>966</v>
      </c>
      <c r="D135" s="434" t="s">
        <v>1706</v>
      </c>
      <c r="E135" s="423" t="s">
        <v>1311</v>
      </c>
      <c r="F135" s="366">
        <v>4.9800000000000004</v>
      </c>
      <c r="G135" s="367">
        <v>0.05</v>
      </c>
      <c r="H135" s="368">
        <f t="shared" si="28"/>
        <v>5.2290000000000001</v>
      </c>
      <c r="I135" s="368"/>
      <c r="J135" s="368" t="str">
        <f>VLOOKUP(B135,[4]CN!$B$33:$J$365,9,FALSE)</f>
        <v>Giảng viên Khoa KHCB</v>
      </c>
      <c r="K135" s="369">
        <f t="shared" si="29"/>
        <v>5.2290000000000001</v>
      </c>
      <c r="L135" s="362">
        <f t="shared" si="30"/>
        <v>9412200</v>
      </c>
      <c r="M135" s="366" t="str">
        <f>VLOOKUP(B135,'[5]Gui chi Quynh'!$B$11:$E$400,4,FALSE)</f>
        <v>A4</v>
      </c>
      <c r="N135" s="494">
        <f t="shared" si="18"/>
        <v>9412200</v>
      </c>
      <c r="O135" s="376">
        <v>9</v>
      </c>
      <c r="P135" s="440">
        <f>IFERROR(INDEX('[6]CN BC'!$J$10:$J$277,MATCH(B135,'[6]CN BC'!$H$10:$H$277,0)),"")</f>
        <v>9</v>
      </c>
      <c r="Q135" s="494">
        <f t="shared" si="19"/>
        <v>9412200</v>
      </c>
      <c r="R135" s="460"/>
      <c r="S135" s="362">
        <f t="shared" si="26"/>
        <v>0</v>
      </c>
      <c r="T135" s="370"/>
      <c r="U135" s="362">
        <f t="shared" si="20"/>
        <v>0</v>
      </c>
      <c r="V135" s="584">
        <f t="shared" si="21"/>
        <v>94122</v>
      </c>
      <c r="W135" s="371">
        <f t="shared" si="27"/>
        <v>9412200</v>
      </c>
      <c r="X135" s="440">
        <f>IFERROR(INDEX([7]TL!$X$12:$X$200,MATCH(B135,[7]TL!$B$12:$B$200,0)),"0")</f>
        <v>1283481.8181818184</v>
      </c>
      <c r="Y135" s="663">
        <f t="shared" si="23"/>
        <v>10695681.818181818</v>
      </c>
      <c r="Z135" s="664">
        <f t="shared" si="24"/>
        <v>5.9420454545454549</v>
      </c>
      <c r="AA135" s="662">
        <v>1800000</v>
      </c>
      <c r="AB135" s="767">
        <f t="shared" si="25"/>
        <v>10695681.818181818</v>
      </c>
      <c r="AC135" s="572">
        <f t="shared" si="22"/>
        <v>115</v>
      </c>
      <c r="AD135" s="493">
        <f>IFERROR(INDEX('[6]CN BC'!$M$10:$M$276,MATCH(B135,'[6]CN BC'!$H$10:$H$276,0)),"")</f>
        <v>0</v>
      </c>
      <c r="AE135" s="522" t="s">
        <v>1121</v>
      </c>
      <c r="AF135" s="108"/>
      <c r="AG135" s="108"/>
      <c r="AH135" s="487"/>
    </row>
    <row r="136" spans="1:44" s="372" customFormat="1" ht="32.25" customHeight="1">
      <c r="A136" s="379">
        <f>_xlfn.AGGREGATE(4,7,A$19:A135)+1</f>
        <v>116</v>
      </c>
      <c r="B136" s="363" t="s">
        <v>1487</v>
      </c>
      <c r="C136" s="364" t="s">
        <v>917</v>
      </c>
      <c r="D136" s="434" t="s">
        <v>1707</v>
      </c>
      <c r="E136" s="423" t="s">
        <v>1312</v>
      </c>
      <c r="F136" s="373">
        <v>3.99</v>
      </c>
      <c r="G136" s="367"/>
      <c r="H136" s="368">
        <f t="shared" si="28"/>
        <v>3.99</v>
      </c>
      <c r="I136" s="368"/>
      <c r="J136" s="368" t="str">
        <f>VLOOKUP(B136,[4]CN!$B$33:$J$365,9,FALSE)</f>
        <v>Giảng viên khoa KHCB</v>
      </c>
      <c r="K136" s="369">
        <f t="shared" si="29"/>
        <v>3.99</v>
      </c>
      <c r="L136" s="362">
        <f t="shared" si="30"/>
        <v>7182000</v>
      </c>
      <c r="M136" s="366" t="str">
        <f>VLOOKUP(B136,'[5]Gui chi Quynh'!$B$11:$E$400,4,FALSE)</f>
        <v>A4</v>
      </c>
      <c r="N136" s="494">
        <f t="shared" si="18"/>
        <v>7182000</v>
      </c>
      <c r="O136" s="376">
        <v>9</v>
      </c>
      <c r="P136" s="440">
        <f>IFERROR(INDEX('[6]CN BC'!$J$10:$J$277,MATCH(B136,'[6]CN BC'!$H$10:$H$277,0)),"")</f>
        <v>9</v>
      </c>
      <c r="Q136" s="494">
        <f t="shared" si="19"/>
        <v>7182000</v>
      </c>
      <c r="R136" s="460"/>
      <c r="S136" s="362">
        <f t="shared" si="26"/>
        <v>0</v>
      </c>
      <c r="T136" s="370"/>
      <c r="U136" s="362">
        <f t="shared" si="20"/>
        <v>0</v>
      </c>
      <c r="V136" s="584">
        <f t="shared" si="21"/>
        <v>71820</v>
      </c>
      <c r="W136" s="371">
        <f t="shared" si="27"/>
        <v>7182000</v>
      </c>
      <c r="X136" s="440">
        <f>IFERROR(INDEX([7]TL!$X$12:$X$200,MATCH(B136,[7]TL!$B$12:$B$200,0)),"0")</f>
        <v>1175236.3636363642</v>
      </c>
      <c r="Y136" s="663">
        <f t="shared" si="23"/>
        <v>8357236.3636363642</v>
      </c>
      <c r="Z136" s="664">
        <f t="shared" si="24"/>
        <v>4.6429090909090913</v>
      </c>
      <c r="AA136" s="662">
        <v>1800000</v>
      </c>
      <c r="AB136" s="767">
        <f t="shared" si="25"/>
        <v>8357236.3636363642</v>
      </c>
      <c r="AC136" s="572">
        <f t="shared" si="22"/>
        <v>116</v>
      </c>
      <c r="AD136" s="493">
        <f>IFERROR(INDEX('[6]CN BC'!$M$10:$M$276,MATCH(B136,'[6]CN BC'!$H$10:$H$276,0)),"")</f>
        <v>0</v>
      </c>
      <c r="AE136" s="522" t="s">
        <v>1122</v>
      </c>
      <c r="AF136" s="108"/>
      <c r="AG136" s="108"/>
      <c r="AH136" s="487"/>
    </row>
    <row r="137" spans="1:44" s="372" customFormat="1" ht="30" customHeight="1">
      <c r="A137" s="379">
        <f>_xlfn.AGGREGATE(4,7,A$19:A136)+1</f>
        <v>117</v>
      </c>
      <c r="B137" s="363" t="s">
        <v>1488</v>
      </c>
      <c r="C137" s="364" t="s">
        <v>874</v>
      </c>
      <c r="D137" s="434" t="s">
        <v>1708</v>
      </c>
      <c r="E137" s="423" t="s">
        <v>374</v>
      </c>
      <c r="F137" s="373">
        <v>3.66</v>
      </c>
      <c r="G137" s="367"/>
      <c r="H137" s="368">
        <f t="shared" si="28"/>
        <v>3.66</v>
      </c>
      <c r="I137" s="368"/>
      <c r="J137" s="368" t="str">
        <f>VLOOKUP(B137,[4]CN!$B$33:$J$365,9,FALSE)</f>
        <v>Giảng viên khoa KHCB</v>
      </c>
      <c r="K137" s="369">
        <f t="shared" si="29"/>
        <v>3.66</v>
      </c>
      <c r="L137" s="362">
        <f t="shared" si="30"/>
        <v>6588000</v>
      </c>
      <c r="M137" s="366" t="str">
        <f>VLOOKUP(B137,'[5]Gui chi Quynh'!$B$11:$E$400,4,FALSE)</f>
        <v>A4</v>
      </c>
      <c r="N137" s="494">
        <f t="shared" si="18"/>
        <v>6588000</v>
      </c>
      <c r="O137" s="376">
        <v>9</v>
      </c>
      <c r="P137" s="440">
        <f>IFERROR(INDEX('[6]CN BC'!$J$10:$J$277,MATCH(B137,'[6]CN BC'!$H$10:$H$277,0)),"")</f>
        <v>9</v>
      </c>
      <c r="Q137" s="494">
        <f t="shared" si="19"/>
        <v>6588000</v>
      </c>
      <c r="R137" s="460"/>
      <c r="S137" s="362">
        <f t="shared" si="26"/>
        <v>0</v>
      </c>
      <c r="T137" s="370"/>
      <c r="U137" s="362">
        <f t="shared" si="20"/>
        <v>0</v>
      </c>
      <c r="V137" s="584">
        <f t="shared" si="21"/>
        <v>65880</v>
      </c>
      <c r="W137" s="371">
        <f t="shared" si="27"/>
        <v>6588000</v>
      </c>
      <c r="X137" s="440">
        <f>IFERROR(INDEX([7]TL!$X$12:$X$200,MATCH(B137,[7]TL!$B$12:$B$200,0)),"0")</f>
        <v>898363.63636363577</v>
      </c>
      <c r="Y137" s="663">
        <f t="shared" si="23"/>
        <v>7486363.6363636358</v>
      </c>
      <c r="Z137" s="664">
        <f t="shared" si="24"/>
        <v>4.1590909090909092</v>
      </c>
      <c r="AA137" s="662">
        <v>1800000</v>
      </c>
      <c r="AB137" s="767">
        <f t="shared" si="25"/>
        <v>7486363.6363636367</v>
      </c>
      <c r="AC137" s="572">
        <f t="shared" si="22"/>
        <v>117</v>
      </c>
      <c r="AD137" s="493">
        <f>IFERROR(INDEX('[6]CN BC'!$M$10:$M$276,MATCH(B137,'[6]CN BC'!$H$10:$H$276,0)),"")</f>
        <v>0</v>
      </c>
      <c r="AE137" s="522" t="s">
        <v>1123</v>
      </c>
      <c r="AF137" s="108"/>
      <c r="AG137" s="108"/>
      <c r="AH137" s="155"/>
      <c r="AI137" s="108"/>
      <c r="AJ137" s="108"/>
      <c r="AK137" s="108"/>
      <c r="AL137" s="108"/>
      <c r="AM137" s="108"/>
      <c r="AN137" s="108"/>
    </row>
    <row r="138" spans="1:44" s="372" customFormat="1" ht="30" customHeight="1">
      <c r="A138" s="379">
        <f>_xlfn.AGGREGATE(4,7,A$19:A137)+1</f>
        <v>118</v>
      </c>
      <c r="B138" s="363" t="s">
        <v>1489</v>
      </c>
      <c r="C138" s="364" t="s">
        <v>1423</v>
      </c>
      <c r="D138" s="434" t="s">
        <v>1709</v>
      </c>
      <c r="E138" s="422" t="s">
        <v>1424</v>
      </c>
      <c r="F138" s="373">
        <v>3.33</v>
      </c>
      <c r="G138" s="367"/>
      <c r="H138" s="445">
        <f t="shared" si="28"/>
        <v>3.33</v>
      </c>
      <c r="I138" s="368"/>
      <c r="J138" s="368" t="str">
        <f>VLOOKUP(B138,[4]CN!$B$33:$J$365,9,FALSE)</f>
        <v>Giảng viên khoa KHCB</v>
      </c>
      <c r="K138" s="369">
        <f t="shared" si="29"/>
        <v>3.33</v>
      </c>
      <c r="L138" s="362">
        <f t="shared" si="30"/>
        <v>5994000</v>
      </c>
      <c r="M138" s="366" t="str">
        <f>VLOOKUP(B138,'[5]Gui chi Quynh'!$B$11:$E$400,4,FALSE)</f>
        <v>A4</v>
      </c>
      <c r="N138" s="494">
        <f t="shared" si="18"/>
        <v>5994000</v>
      </c>
      <c r="O138" s="376">
        <v>9</v>
      </c>
      <c r="P138" s="440">
        <f>IFERROR(INDEX('[6]CN BC'!$J$10:$J$277,MATCH(B138,'[6]CN BC'!$H$10:$H$277,0)),"")</f>
        <v>9</v>
      </c>
      <c r="Q138" s="494">
        <f t="shared" si="19"/>
        <v>5994000</v>
      </c>
      <c r="R138" s="460"/>
      <c r="S138" s="362">
        <f t="shared" si="26"/>
        <v>0</v>
      </c>
      <c r="T138" s="370"/>
      <c r="U138" s="362">
        <f t="shared" si="20"/>
        <v>0</v>
      </c>
      <c r="V138" s="584">
        <f t="shared" si="21"/>
        <v>59940</v>
      </c>
      <c r="W138" s="371">
        <f t="shared" si="27"/>
        <v>5994000</v>
      </c>
      <c r="X138" s="440">
        <f>IFERROR(INDEX([7]TL!$X$12:$X$200,MATCH(B138,[7]TL!$B$12:$B$200,0)),"0")</f>
        <v>653890.90909090918</v>
      </c>
      <c r="Y138" s="663">
        <f t="shared" si="23"/>
        <v>6647890.9090909092</v>
      </c>
      <c r="Z138" s="664">
        <f t="shared" si="24"/>
        <v>3.6932727272727273</v>
      </c>
      <c r="AA138" s="662">
        <v>1800000</v>
      </c>
      <c r="AB138" s="663">
        <f t="shared" si="25"/>
        <v>6647890.9090909092</v>
      </c>
      <c r="AC138" s="568">
        <f t="shared" si="22"/>
        <v>118</v>
      </c>
      <c r="AD138" s="493">
        <f>IFERROR(INDEX('[6]CN BC'!$M$10:$M$276,MATCH(B138,'[6]CN BC'!$H$10:$H$276,0)),"")</f>
        <v>0</v>
      </c>
      <c r="AE138" s="522" t="s">
        <v>1124</v>
      </c>
      <c r="AF138" s="108"/>
      <c r="AG138" s="108"/>
      <c r="AH138" s="155"/>
      <c r="AI138" s="108"/>
      <c r="AJ138" s="108"/>
      <c r="AK138" s="108"/>
      <c r="AL138" s="108"/>
      <c r="AM138" s="108"/>
      <c r="AN138" s="108"/>
    </row>
    <row r="139" spans="1:44" s="372" customFormat="1" ht="30" customHeight="1">
      <c r="A139" s="379">
        <f>_xlfn.AGGREGATE(4,7,A$19:A138)+1</f>
        <v>119</v>
      </c>
      <c r="B139" s="363" t="s">
        <v>1490</v>
      </c>
      <c r="C139" s="364" t="s">
        <v>960</v>
      </c>
      <c r="D139" s="434" t="s">
        <v>1710</v>
      </c>
      <c r="E139" s="422" t="s">
        <v>1425</v>
      </c>
      <c r="F139" s="373">
        <v>3.33</v>
      </c>
      <c r="G139" s="367"/>
      <c r="H139" s="445">
        <f t="shared" si="28"/>
        <v>3.33</v>
      </c>
      <c r="I139" s="368"/>
      <c r="J139" s="368" t="str">
        <f>VLOOKUP(B139,[4]CN!$B$33:$J$365,9,FALSE)</f>
        <v>Giảng viên khoa KHCB</v>
      </c>
      <c r="K139" s="369">
        <f t="shared" si="29"/>
        <v>3.33</v>
      </c>
      <c r="L139" s="362">
        <f t="shared" si="30"/>
        <v>5994000</v>
      </c>
      <c r="M139" s="366" t="str">
        <f>VLOOKUP(B139,'[5]Gui chi Quynh'!$B$11:$E$400,4,FALSE)</f>
        <v>A4</v>
      </c>
      <c r="N139" s="494">
        <f t="shared" si="18"/>
        <v>5994000</v>
      </c>
      <c r="O139" s="376">
        <v>9</v>
      </c>
      <c r="P139" s="440">
        <f>IFERROR(INDEX('[6]CN BC'!$J$10:$J$277,MATCH(B139,'[6]CN BC'!$H$10:$H$277,0)),"")</f>
        <v>9</v>
      </c>
      <c r="Q139" s="494">
        <f t="shared" si="19"/>
        <v>5994000</v>
      </c>
      <c r="R139" s="460"/>
      <c r="S139" s="362">
        <f t="shared" si="26"/>
        <v>0</v>
      </c>
      <c r="T139" s="370"/>
      <c r="U139" s="362">
        <f t="shared" si="20"/>
        <v>0</v>
      </c>
      <c r="V139" s="584">
        <f t="shared" si="21"/>
        <v>59940</v>
      </c>
      <c r="W139" s="371">
        <f t="shared" si="27"/>
        <v>5994000</v>
      </c>
      <c r="X139" s="440">
        <f>IFERROR(INDEX([7]TL!$X$12:$X$200,MATCH(B139,[7]TL!$B$12:$B$200,0)),"0")</f>
        <v>980836.36363636423</v>
      </c>
      <c r="Y139" s="663">
        <f t="shared" si="23"/>
        <v>6974836.3636363642</v>
      </c>
      <c r="Z139" s="664">
        <f t="shared" si="24"/>
        <v>3.8749090909090911</v>
      </c>
      <c r="AA139" s="662">
        <v>1800000</v>
      </c>
      <c r="AB139" s="663">
        <f t="shared" si="25"/>
        <v>6974836.3636363642</v>
      </c>
      <c r="AC139" s="568">
        <f t="shared" si="22"/>
        <v>119</v>
      </c>
      <c r="AD139" s="493">
        <f>IFERROR(INDEX('[6]CN BC'!$M$10:$M$276,MATCH(B139,'[6]CN BC'!$H$10:$H$276,0)),"")</f>
        <v>0</v>
      </c>
      <c r="AE139" s="522" t="s">
        <v>1125</v>
      </c>
      <c r="AF139" s="108"/>
      <c r="AG139" s="108"/>
      <c r="AH139" s="155"/>
      <c r="AI139" s="108"/>
      <c r="AJ139" s="108"/>
      <c r="AK139" s="108"/>
      <c r="AL139" s="108"/>
      <c r="AM139" s="108"/>
      <c r="AN139" s="108"/>
    </row>
    <row r="140" spans="1:44" s="372" customFormat="1" ht="30" customHeight="1">
      <c r="A140" s="379">
        <f>_xlfn.AGGREGATE(4,7,A$19:A139)+1</f>
        <v>120</v>
      </c>
      <c r="B140" s="363" t="s">
        <v>1873</v>
      </c>
      <c r="C140" s="364" t="s">
        <v>889</v>
      </c>
      <c r="D140" s="406" t="s">
        <v>1711</v>
      </c>
      <c r="E140" s="423" t="s">
        <v>1322</v>
      </c>
      <c r="F140" s="373">
        <v>3.99</v>
      </c>
      <c r="G140" s="367"/>
      <c r="H140" s="368">
        <f t="shared" si="28"/>
        <v>3.99</v>
      </c>
      <c r="I140" s="368">
        <f>0.25</f>
        <v>0.25</v>
      </c>
      <c r="J140" s="368" t="str">
        <f>VLOOKUP(B140,[4]CN!$B$33:$J$365,9,FALSE)</f>
        <v>Giảng viên Khoa KHCB</v>
      </c>
      <c r="K140" s="369">
        <f t="shared" si="29"/>
        <v>4.24</v>
      </c>
      <c r="L140" s="362">
        <f t="shared" si="30"/>
        <v>7632000</v>
      </c>
      <c r="M140" s="366" t="str">
        <f>VLOOKUP(B140,'[5]Gui chi Quynh'!$B$11:$E$400,4,FALSE)</f>
        <v>A4</v>
      </c>
      <c r="N140" s="494">
        <f t="shared" si="18"/>
        <v>7632000</v>
      </c>
      <c r="O140" s="376">
        <v>9</v>
      </c>
      <c r="P140" s="440">
        <f>IFERROR(INDEX('[6]CN BC'!$J$10:$J$277,MATCH(B140,'[6]CN BC'!$H$10:$H$277,0)),"")</f>
        <v>9</v>
      </c>
      <c r="Q140" s="494">
        <f t="shared" si="19"/>
        <v>7632000</v>
      </c>
      <c r="R140" s="392"/>
      <c r="S140" s="362">
        <f t="shared" si="26"/>
        <v>0</v>
      </c>
      <c r="T140" s="370"/>
      <c r="U140" s="362">
        <f t="shared" si="20"/>
        <v>0</v>
      </c>
      <c r="V140" s="584">
        <f t="shared" si="21"/>
        <v>76320</v>
      </c>
      <c r="W140" s="371">
        <f t="shared" si="27"/>
        <v>7632000</v>
      </c>
      <c r="X140" s="440">
        <f>IFERROR(INDEX([7]TL!$X$12:$X$200,MATCH(B140,[7]TL!$B$12:$B$200,0)),"0")</f>
        <v>832581.81818181742</v>
      </c>
      <c r="Y140" s="663">
        <f t="shared" si="23"/>
        <v>8464581.8181818165</v>
      </c>
      <c r="Z140" s="664">
        <f t="shared" si="24"/>
        <v>4.7025454545454535</v>
      </c>
      <c r="AA140" s="662">
        <v>1800000</v>
      </c>
      <c r="AB140" s="663">
        <f t="shared" si="25"/>
        <v>8464581.8181818165</v>
      </c>
      <c r="AC140" s="568">
        <f t="shared" si="22"/>
        <v>120</v>
      </c>
      <c r="AD140" s="493">
        <f>IFERROR(INDEX('[6]CN BC'!$M$10:$M$276,MATCH(B140,'[6]CN BC'!$H$10:$H$276,0)),"")</f>
        <v>0</v>
      </c>
      <c r="AE140" s="522" t="s">
        <v>1126</v>
      </c>
      <c r="AF140" s="108"/>
      <c r="AG140" s="108"/>
      <c r="AH140" s="155"/>
      <c r="AI140" s="108"/>
      <c r="AJ140" s="108"/>
      <c r="AK140" s="108"/>
      <c r="AL140" s="108"/>
      <c r="AM140" s="108"/>
      <c r="AN140" s="108"/>
      <c r="AO140" s="108"/>
      <c r="AP140" s="108"/>
      <c r="AQ140" s="108"/>
      <c r="AR140" s="108"/>
    </row>
    <row r="141" spans="1:44" s="372" customFormat="1" ht="30" customHeight="1">
      <c r="A141" s="379">
        <f>_xlfn.AGGREGATE(4,7,A$19:A140)+1</f>
        <v>121</v>
      </c>
      <c r="B141" s="363" t="s">
        <v>1491</v>
      </c>
      <c r="C141" s="364" t="s">
        <v>1206</v>
      </c>
      <c r="D141" s="434" t="s">
        <v>1712</v>
      </c>
      <c r="E141" s="423" t="s">
        <v>1323</v>
      </c>
      <c r="F141" s="373">
        <v>3.99</v>
      </c>
      <c r="G141" s="367"/>
      <c r="H141" s="368">
        <f t="shared" si="28"/>
        <v>3.99</v>
      </c>
      <c r="I141" s="368"/>
      <c r="J141" s="368" t="str">
        <f>VLOOKUP(B141,[4]CN!$B$33:$J$365,9,FALSE)</f>
        <v>Giảng viên khoa KHCB</v>
      </c>
      <c r="K141" s="369">
        <f t="shared" si="29"/>
        <v>3.99</v>
      </c>
      <c r="L141" s="362">
        <f t="shared" si="30"/>
        <v>7182000</v>
      </c>
      <c r="M141" s="366" t="str">
        <f>VLOOKUP(B141,'[5]Gui chi Quynh'!$B$11:$E$400,4,FALSE)</f>
        <v>A4</v>
      </c>
      <c r="N141" s="494">
        <f t="shared" si="18"/>
        <v>7182000</v>
      </c>
      <c r="O141" s="376">
        <v>9</v>
      </c>
      <c r="P141" s="440">
        <f>IFERROR(INDEX('[6]CN BC'!$J$10:$J$277,MATCH(B141,'[6]CN BC'!$H$10:$H$277,0)),"")</f>
        <v>9</v>
      </c>
      <c r="Q141" s="494">
        <f t="shared" si="19"/>
        <v>7182000</v>
      </c>
      <c r="R141" s="460">
        <v>0</v>
      </c>
      <c r="S141" s="362">
        <f>R141*$G$15*0.8</f>
        <v>0</v>
      </c>
      <c r="T141" s="370"/>
      <c r="U141" s="362">
        <f t="shared" si="20"/>
        <v>0</v>
      </c>
      <c r="V141" s="584">
        <f t="shared" si="21"/>
        <v>71820</v>
      </c>
      <c r="W141" s="371">
        <f t="shared" si="27"/>
        <v>7182000</v>
      </c>
      <c r="X141" s="440">
        <f>IFERROR(INDEX([7]TL!$X$12:$X$200,MATCH(B141,[7]TL!$B$12:$B$200,0)),"0")</f>
        <v>783490.90909090918</v>
      </c>
      <c r="Y141" s="663">
        <f t="shared" si="23"/>
        <v>7965490.9090909092</v>
      </c>
      <c r="Z141" s="664">
        <f t="shared" si="24"/>
        <v>4.425272727272727</v>
      </c>
      <c r="AA141" s="662">
        <v>1800000</v>
      </c>
      <c r="AB141" s="663">
        <f t="shared" si="25"/>
        <v>7965490.9090909082</v>
      </c>
      <c r="AC141" s="568">
        <f t="shared" si="22"/>
        <v>121</v>
      </c>
      <c r="AD141" s="493">
        <f>IFERROR(INDEX('[6]CN BC'!$M$10:$M$276,MATCH(B141,'[6]CN BC'!$H$10:$H$276,0)),"")</f>
        <v>0</v>
      </c>
      <c r="AE141" s="522" t="s">
        <v>1127</v>
      </c>
      <c r="AF141" s="108"/>
      <c r="AG141" s="108"/>
      <c r="AH141" s="155"/>
      <c r="AI141" s="108"/>
      <c r="AJ141" s="108"/>
      <c r="AK141" s="108"/>
      <c r="AL141" s="108"/>
      <c r="AM141" s="108"/>
      <c r="AN141" s="108"/>
    </row>
    <row r="142" spans="1:44" s="372" customFormat="1" ht="30" customHeight="1">
      <c r="A142" s="379">
        <f>_xlfn.AGGREGATE(4,7,A$19:A141)+1</f>
        <v>122</v>
      </c>
      <c r="B142" s="363" t="s">
        <v>845</v>
      </c>
      <c r="C142" s="364" t="s">
        <v>992</v>
      </c>
      <c r="D142" s="434" t="s">
        <v>1713</v>
      </c>
      <c r="E142" s="423" t="s">
        <v>1324</v>
      </c>
      <c r="F142" s="373">
        <v>3.99</v>
      </c>
      <c r="G142" s="367"/>
      <c r="H142" s="368">
        <f t="shared" si="28"/>
        <v>3.99</v>
      </c>
      <c r="I142" s="368"/>
      <c r="J142" s="368" t="str">
        <f>VLOOKUP(B142,[4]CN!$B$33:$J$365,9,FALSE)</f>
        <v>Giảng viên khoa KHCB</v>
      </c>
      <c r="K142" s="369">
        <f t="shared" si="29"/>
        <v>3.99</v>
      </c>
      <c r="L142" s="362">
        <f t="shared" si="30"/>
        <v>7182000</v>
      </c>
      <c r="M142" s="366" t="str">
        <f>VLOOKUP(B142,'[5]Gui chi Quynh'!$B$11:$E$400,4,FALSE)</f>
        <v>A4</v>
      </c>
      <c r="N142" s="494">
        <f t="shared" si="18"/>
        <v>7182000</v>
      </c>
      <c r="O142" s="376">
        <v>9</v>
      </c>
      <c r="P142" s="440">
        <f>IFERROR(INDEX('[6]CN BC'!$J$10:$J$277,MATCH(B142,'[6]CN BC'!$H$10:$H$277,0)),"")</f>
        <v>9</v>
      </c>
      <c r="Q142" s="494">
        <f t="shared" si="19"/>
        <v>7182000</v>
      </c>
      <c r="R142" s="392"/>
      <c r="S142" s="362">
        <f t="shared" ref="S142:S205" si="31">R142*$G$15*1</f>
        <v>0</v>
      </c>
      <c r="T142" s="370"/>
      <c r="U142" s="362">
        <f t="shared" si="20"/>
        <v>0</v>
      </c>
      <c r="V142" s="584">
        <f t="shared" si="21"/>
        <v>71820</v>
      </c>
      <c r="W142" s="371">
        <f t="shared" si="27"/>
        <v>7182000</v>
      </c>
      <c r="X142" s="440">
        <f>IFERROR(INDEX([7]TL!$X$12:$X$200,MATCH(B142,[7]TL!$B$12:$B$200,0)),"0")</f>
        <v>783490.90909090918</v>
      </c>
      <c r="Y142" s="663">
        <f t="shared" si="23"/>
        <v>7965490.9090909092</v>
      </c>
      <c r="Z142" s="664">
        <f t="shared" si="24"/>
        <v>4.425272727272727</v>
      </c>
      <c r="AA142" s="662">
        <v>1800000</v>
      </c>
      <c r="AB142" s="663">
        <f t="shared" si="25"/>
        <v>7965490.9090909082</v>
      </c>
      <c r="AC142" s="568">
        <f t="shared" si="22"/>
        <v>122</v>
      </c>
      <c r="AD142" s="493">
        <f>IFERROR(INDEX('[6]CN BC'!$M$10:$M$276,MATCH(B142,'[6]CN BC'!$H$10:$H$276,0)),"")</f>
        <v>0</v>
      </c>
      <c r="AE142" s="522" t="s">
        <v>1131</v>
      </c>
      <c r="AF142" s="108"/>
      <c r="AG142" s="108"/>
      <c r="AH142" s="155"/>
      <c r="AI142" s="108"/>
      <c r="AJ142" s="108"/>
      <c r="AK142" s="108"/>
      <c r="AL142" s="108"/>
      <c r="AM142" s="108"/>
      <c r="AN142" s="108"/>
    </row>
    <row r="143" spans="1:44" s="372" customFormat="1" ht="31.5" customHeight="1">
      <c r="A143" s="379">
        <f>_xlfn.AGGREGATE(4,7,A$19:A142)+1</f>
        <v>123</v>
      </c>
      <c r="B143" s="363" t="s">
        <v>1492</v>
      </c>
      <c r="C143" s="364" t="s">
        <v>889</v>
      </c>
      <c r="D143" s="406" t="s">
        <v>1714</v>
      </c>
      <c r="E143" s="194" t="s">
        <v>1938</v>
      </c>
      <c r="F143" s="373">
        <v>3.99</v>
      </c>
      <c r="G143" s="367"/>
      <c r="H143" s="368">
        <f t="shared" si="28"/>
        <v>3.99</v>
      </c>
      <c r="I143" s="368"/>
      <c r="J143" s="368" t="str">
        <f>VLOOKUP(B143,[4]CN!$B$33:$J$365,9,FALSE)</f>
        <v>Giảng viên khoa KHCB</v>
      </c>
      <c r="K143" s="369">
        <f t="shared" si="29"/>
        <v>3.99</v>
      </c>
      <c r="L143" s="362">
        <f t="shared" si="30"/>
        <v>7182000</v>
      </c>
      <c r="M143" s="366" t="str">
        <f>VLOOKUP(B143,'[5]Gui chi Quynh'!$B$11:$E$400,4,FALSE)</f>
        <v>A4</v>
      </c>
      <c r="N143" s="494">
        <f t="shared" si="18"/>
        <v>7182000</v>
      </c>
      <c r="O143" s="376">
        <v>9</v>
      </c>
      <c r="P143" s="440">
        <f>IFERROR(INDEX('[6]CN BC'!$J$10:$J$277,MATCH(B143,'[6]CN BC'!$H$10:$H$277,0)),"")</f>
        <v>9</v>
      </c>
      <c r="Q143" s="494">
        <f t="shared" si="19"/>
        <v>7182000</v>
      </c>
      <c r="R143" s="392"/>
      <c r="S143" s="362">
        <f t="shared" si="31"/>
        <v>0</v>
      </c>
      <c r="T143" s="385"/>
      <c r="U143" s="362">
        <f t="shared" si="20"/>
        <v>0</v>
      </c>
      <c r="V143" s="584">
        <f t="shared" si="21"/>
        <v>71820</v>
      </c>
      <c r="W143" s="371">
        <f t="shared" si="27"/>
        <v>7182000</v>
      </c>
      <c r="X143" s="440">
        <f>IFERROR(INDEX([7]TL!$X$12:$X$200,MATCH(B143,[7]TL!$B$12:$B$200,0)),"0")</f>
        <v>783490.90909090918</v>
      </c>
      <c r="Y143" s="663">
        <f t="shared" si="23"/>
        <v>7965490.9090909092</v>
      </c>
      <c r="Z143" s="664">
        <f t="shared" si="24"/>
        <v>4.425272727272727</v>
      </c>
      <c r="AA143" s="662">
        <v>1800000</v>
      </c>
      <c r="AB143" s="663">
        <f t="shared" si="25"/>
        <v>7965490.9090909082</v>
      </c>
      <c r="AC143" s="568">
        <f t="shared" si="22"/>
        <v>123</v>
      </c>
      <c r="AD143" s="493">
        <f>IFERROR(INDEX('[6]CN BC'!$M$10:$M$276,MATCH(B143,'[6]CN BC'!$H$10:$H$276,0)),"")</f>
        <v>0</v>
      </c>
      <c r="AE143" s="522" t="s">
        <v>1132</v>
      </c>
      <c r="AF143" s="108"/>
      <c r="AG143" s="108"/>
      <c r="AH143" s="155"/>
      <c r="AI143" s="108"/>
      <c r="AJ143" s="108"/>
      <c r="AK143" s="108"/>
      <c r="AL143" s="108"/>
      <c r="AM143" s="108"/>
      <c r="AN143" s="108"/>
      <c r="AO143" s="108"/>
      <c r="AP143" s="108"/>
      <c r="AQ143" s="108"/>
      <c r="AR143" s="108"/>
    </row>
    <row r="144" spans="1:44" s="372" customFormat="1" ht="31.5" customHeight="1">
      <c r="A144" s="379">
        <f>_xlfn.AGGREGATE(4,7,A$19:A143)+1</f>
        <v>124</v>
      </c>
      <c r="B144" s="363" t="s">
        <v>1558</v>
      </c>
      <c r="C144" s="364"/>
      <c r="D144" s="434" t="s">
        <v>1715</v>
      </c>
      <c r="E144" s="423" t="s">
        <v>21</v>
      </c>
      <c r="F144" s="373">
        <v>4.32</v>
      </c>
      <c r="G144" s="367"/>
      <c r="H144" s="368">
        <f t="shared" si="28"/>
        <v>4.32</v>
      </c>
      <c r="I144" s="368"/>
      <c r="J144" s="368" t="str">
        <f>VLOOKUP(B144,[4]CN!$B$33:$J$365,9,FALSE)</f>
        <v>Giảng viên khoa KHCB</v>
      </c>
      <c r="K144" s="369">
        <f t="shared" si="29"/>
        <v>4.32</v>
      </c>
      <c r="L144" s="362">
        <f t="shared" si="30"/>
        <v>7776000.0000000009</v>
      </c>
      <c r="M144" s="366" t="str">
        <f>VLOOKUP(B144,'[5]Gui chi Quynh'!$B$11:$E$400,4,FALSE)</f>
        <v>A4</v>
      </c>
      <c r="N144" s="494">
        <f t="shared" si="18"/>
        <v>7776000.0000000009</v>
      </c>
      <c r="O144" s="376">
        <v>9</v>
      </c>
      <c r="P144" s="440">
        <f>IFERROR(INDEX('[6]CN BC'!$J$10:$J$277,MATCH(B144,'[6]CN BC'!$H$10:$H$277,0)),"")</f>
        <v>9</v>
      </c>
      <c r="Q144" s="494">
        <f t="shared" si="19"/>
        <v>7776000.0000000009</v>
      </c>
      <c r="R144" s="392"/>
      <c r="S144" s="362">
        <f t="shared" si="31"/>
        <v>0</v>
      </c>
      <c r="T144" s="370"/>
      <c r="U144" s="362">
        <f t="shared" si="20"/>
        <v>0</v>
      </c>
      <c r="V144" s="584">
        <f t="shared" si="21"/>
        <v>77760</v>
      </c>
      <c r="W144" s="371">
        <f t="shared" si="27"/>
        <v>7776000.0000000009</v>
      </c>
      <c r="X144" s="440">
        <f>IFERROR(INDEX([7]TL!$X$12:$X$200,MATCH(B144,[7]TL!$B$12:$B$200,0)),"0")</f>
        <v>848290.90909091011</v>
      </c>
      <c r="Y144" s="663">
        <f t="shared" si="23"/>
        <v>8624290.9090909101</v>
      </c>
      <c r="Z144" s="664">
        <f t="shared" si="24"/>
        <v>4.7912727272727276</v>
      </c>
      <c r="AA144" s="662">
        <v>1800000</v>
      </c>
      <c r="AB144" s="663">
        <f t="shared" si="25"/>
        <v>8624290.9090909101</v>
      </c>
      <c r="AC144" s="568">
        <f t="shared" si="22"/>
        <v>124</v>
      </c>
      <c r="AD144" s="493">
        <f>IFERROR(INDEX('[6]CN BC'!$M$10:$M$276,MATCH(B144,'[6]CN BC'!$H$10:$H$276,0)),"")</f>
        <v>0</v>
      </c>
      <c r="AE144" s="522" t="s">
        <v>1133</v>
      </c>
      <c r="AF144" s="108"/>
      <c r="AG144" s="108"/>
      <c r="AH144" s="155"/>
      <c r="AI144" s="108"/>
      <c r="AJ144" s="108"/>
      <c r="AK144" s="108"/>
      <c r="AL144" s="108"/>
      <c r="AM144" s="108"/>
      <c r="AN144" s="108"/>
    </row>
    <row r="145" spans="1:40" s="372" customFormat="1" ht="31.5" customHeight="1">
      <c r="A145" s="379">
        <f>_xlfn.AGGREGATE(4,7,A$19:A144)+1</f>
        <v>125</v>
      </c>
      <c r="B145" s="363" t="s">
        <v>1493</v>
      </c>
      <c r="C145" s="364" t="s">
        <v>874</v>
      </c>
      <c r="D145" s="434" t="s">
        <v>1716</v>
      </c>
      <c r="E145" s="423" t="s">
        <v>1330</v>
      </c>
      <c r="F145" s="366">
        <v>4.6500000000000004</v>
      </c>
      <c r="G145" s="367"/>
      <c r="H145" s="368">
        <f t="shared" si="28"/>
        <v>4.6500000000000004</v>
      </c>
      <c r="I145" s="368"/>
      <c r="J145" s="368" t="str">
        <f>VLOOKUP(B145,[4]CN!$B$33:$J$365,9,FALSE)</f>
        <v>Giảng viên khoa Ngoại ngữ</v>
      </c>
      <c r="K145" s="369">
        <f t="shared" si="29"/>
        <v>4.6500000000000004</v>
      </c>
      <c r="L145" s="362">
        <f t="shared" si="30"/>
        <v>8370000.0000000009</v>
      </c>
      <c r="M145" s="366" t="str">
        <f>VLOOKUP(B145,'[5]Gui chi Quynh'!$B$11:$E$400,4,FALSE)</f>
        <v>A4</v>
      </c>
      <c r="N145" s="494">
        <f t="shared" si="18"/>
        <v>8370000.0000000009</v>
      </c>
      <c r="O145" s="376">
        <v>9</v>
      </c>
      <c r="P145" s="440">
        <f>IFERROR(INDEX('[6]CN BC'!$J$10:$J$277,MATCH(B145,'[6]CN BC'!$H$10:$H$277,0)),"")</f>
        <v>9</v>
      </c>
      <c r="Q145" s="494">
        <f t="shared" si="19"/>
        <v>8370000.0000000009</v>
      </c>
      <c r="R145" s="460"/>
      <c r="S145" s="362">
        <f t="shared" si="31"/>
        <v>0</v>
      </c>
      <c r="T145" s="370"/>
      <c r="U145" s="362">
        <f t="shared" si="20"/>
        <v>0</v>
      </c>
      <c r="V145" s="584">
        <f t="shared" si="21"/>
        <v>83700</v>
      </c>
      <c r="W145" s="371">
        <f t="shared" si="27"/>
        <v>8370000.0000000009</v>
      </c>
      <c r="X145" s="440">
        <f>IFERROR(INDEX([7]TL!$X$12:$X$200,MATCH(B145,[7]TL!$B$12:$B$200,0)),"0")</f>
        <v>1369636.3636363633</v>
      </c>
      <c r="Y145" s="663">
        <f t="shared" si="23"/>
        <v>9739636.3636363633</v>
      </c>
      <c r="Z145" s="664">
        <f t="shared" si="24"/>
        <v>5.4109090909090911</v>
      </c>
      <c r="AA145" s="662">
        <v>1800000</v>
      </c>
      <c r="AB145" s="663">
        <f t="shared" si="25"/>
        <v>9739636.3636363633</v>
      </c>
      <c r="AC145" s="568">
        <f t="shared" si="22"/>
        <v>125</v>
      </c>
      <c r="AD145" s="493">
        <f>IFERROR(INDEX('[6]CN BC'!$M$10:$M$276,MATCH(B145,'[6]CN BC'!$H$10:$H$276,0)),"")</f>
        <v>0</v>
      </c>
      <c r="AE145" s="522" t="s">
        <v>1142</v>
      </c>
      <c r="AF145" s="108"/>
      <c r="AG145" s="108"/>
      <c r="AH145" s="155"/>
    </row>
    <row r="146" spans="1:40" s="372" customFormat="1" ht="31.5" customHeight="1">
      <c r="A146" s="379">
        <f>_xlfn.AGGREGATE(4,7,A$19:A145)+1</f>
        <v>126</v>
      </c>
      <c r="B146" s="363" t="s">
        <v>1874</v>
      </c>
      <c r="C146" s="364" t="s">
        <v>986</v>
      </c>
      <c r="D146" s="434" t="s">
        <v>1717</v>
      </c>
      <c r="E146" s="423" t="s">
        <v>1331</v>
      </c>
      <c r="F146" s="366">
        <v>4.6500000000000004</v>
      </c>
      <c r="G146" s="367"/>
      <c r="H146" s="368">
        <f t="shared" si="28"/>
        <v>4.6500000000000004</v>
      </c>
      <c r="I146" s="368"/>
      <c r="J146" s="368" t="str">
        <f>VLOOKUP(B146,[4]CN!$B$33:$J$365,9,FALSE)</f>
        <v>Giảng viên khoa Ngoại ngữ</v>
      </c>
      <c r="K146" s="369">
        <f t="shared" si="29"/>
        <v>4.6500000000000004</v>
      </c>
      <c r="L146" s="362">
        <f t="shared" si="30"/>
        <v>8370000.0000000009</v>
      </c>
      <c r="M146" s="366" t="str">
        <f>VLOOKUP(B146,'[5]Gui chi Quynh'!$B$11:$E$400,4,FALSE)</f>
        <v>A4</v>
      </c>
      <c r="N146" s="494">
        <f t="shared" si="18"/>
        <v>8370000.0000000009</v>
      </c>
      <c r="O146" s="376">
        <v>9</v>
      </c>
      <c r="P146" s="440">
        <f>IFERROR(INDEX('[6]CN BC'!$J$10:$J$277,MATCH(B146,'[6]CN BC'!$H$10:$H$277,0)),"")</f>
        <v>9</v>
      </c>
      <c r="Q146" s="494">
        <f t="shared" si="19"/>
        <v>8370000.0000000009</v>
      </c>
      <c r="R146" s="460"/>
      <c r="S146" s="362">
        <f t="shared" si="31"/>
        <v>0</v>
      </c>
      <c r="T146" s="370"/>
      <c r="U146" s="362">
        <f t="shared" si="20"/>
        <v>0</v>
      </c>
      <c r="V146" s="584">
        <f t="shared" si="21"/>
        <v>83700</v>
      </c>
      <c r="W146" s="371">
        <f t="shared" si="27"/>
        <v>8370000.0000000009</v>
      </c>
      <c r="X146" s="440">
        <f>IFERROR(INDEX([7]TL!$X$12:$X$200,MATCH(B146,[7]TL!$B$12:$B$200,0)),"0")</f>
        <v>1141363.6363636367</v>
      </c>
      <c r="Y146" s="663">
        <f t="shared" si="23"/>
        <v>9511363.6363636367</v>
      </c>
      <c r="Z146" s="664">
        <f t="shared" si="24"/>
        <v>5.2840909090909092</v>
      </c>
      <c r="AA146" s="662">
        <v>1800000</v>
      </c>
      <c r="AB146" s="663">
        <f t="shared" si="25"/>
        <v>9511363.6363636367</v>
      </c>
      <c r="AC146" s="568">
        <f t="shared" si="22"/>
        <v>126</v>
      </c>
      <c r="AD146" s="493">
        <f>IFERROR(INDEX('[6]CN BC'!$M$10:$M$276,MATCH(B146,'[6]CN BC'!$H$10:$H$276,0)),"")</f>
        <v>0</v>
      </c>
      <c r="AE146" s="522" t="s">
        <v>1143</v>
      </c>
      <c r="AF146" s="108"/>
      <c r="AG146" s="108"/>
      <c r="AH146" s="155"/>
      <c r="AI146" s="108"/>
      <c r="AJ146" s="108"/>
      <c r="AK146" s="108"/>
      <c r="AL146" s="108"/>
      <c r="AM146" s="108"/>
      <c r="AN146" s="108"/>
    </row>
    <row r="147" spans="1:40" s="372" customFormat="1" ht="31.5" customHeight="1">
      <c r="A147" s="379">
        <f>_xlfn.AGGREGATE(4,7,A$19:A146)+1</f>
        <v>127</v>
      </c>
      <c r="B147" s="363" t="s">
        <v>1875</v>
      </c>
      <c r="C147" s="364" t="s">
        <v>987</v>
      </c>
      <c r="D147" s="434" t="s">
        <v>1718</v>
      </c>
      <c r="E147" s="423" t="s">
        <v>1332</v>
      </c>
      <c r="F147" s="366">
        <v>4.6500000000000004</v>
      </c>
      <c r="G147" s="367"/>
      <c r="H147" s="368">
        <f t="shared" si="28"/>
        <v>4.6500000000000004</v>
      </c>
      <c r="I147" s="368"/>
      <c r="J147" s="368" t="str">
        <f>VLOOKUP(B147,[4]CN!$B$33:$J$365,9,FALSE)</f>
        <v>Giảng viên khoa Ngoại ngữ</v>
      </c>
      <c r="K147" s="369">
        <f t="shared" si="29"/>
        <v>4.6500000000000004</v>
      </c>
      <c r="L147" s="362">
        <f t="shared" si="30"/>
        <v>8370000.0000000009</v>
      </c>
      <c r="M147" s="366" t="str">
        <f>VLOOKUP(B147,'[5]Gui chi Quynh'!$B$11:$E$400,4,FALSE)</f>
        <v>A4</v>
      </c>
      <c r="N147" s="494">
        <f t="shared" si="18"/>
        <v>8370000.0000000009</v>
      </c>
      <c r="O147" s="376">
        <v>9</v>
      </c>
      <c r="P147" s="440">
        <f>IFERROR(INDEX('[6]CN BC'!$J$10:$J$277,MATCH(B147,'[6]CN BC'!$H$10:$H$277,0)),"")</f>
        <v>9</v>
      </c>
      <c r="Q147" s="494">
        <f t="shared" si="19"/>
        <v>8370000.0000000009</v>
      </c>
      <c r="R147" s="460"/>
      <c r="S147" s="362">
        <f t="shared" si="31"/>
        <v>0</v>
      </c>
      <c r="T147" s="370"/>
      <c r="U147" s="362">
        <f t="shared" si="20"/>
        <v>0</v>
      </c>
      <c r="V147" s="584">
        <f t="shared" si="21"/>
        <v>83700</v>
      </c>
      <c r="W147" s="371">
        <f t="shared" si="27"/>
        <v>8370000.0000000009</v>
      </c>
      <c r="X147" s="440">
        <f>IFERROR(INDEX([7]TL!$X$12:$X$200,MATCH(B147,[7]TL!$B$12:$B$200,0)),"0")</f>
        <v>1369636.3636363633</v>
      </c>
      <c r="Y147" s="663">
        <f t="shared" si="23"/>
        <v>9739636.3636363633</v>
      </c>
      <c r="Z147" s="664">
        <f t="shared" si="24"/>
        <v>5.4109090909090911</v>
      </c>
      <c r="AA147" s="662">
        <v>1800000</v>
      </c>
      <c r="AB147" s="663">
        <f t="shared" si="25"/>
        <v>9739636.3636363633</v>
      </c>
      <c r="AC147" s="568">
        <f t="shared" si="22"/>
        <v>127</v>
      </c>
      <c r="AD147" s="493">
        <f>IFERROR(INDEX('[6]CN BC'!$M$10:$M$276,MATCH(B147,'[6]CN BC'!$H$10:$H$276,0)),"")</f>
        <v>0</v>
      </c>
      <c r="AE147" s="522" t="s">
        <v>1144</v>
      </c>
      <c r="AF147" s="108"/>
      <c r="AG147" s="108"/>
      <c r="AH147" s="155"/>
    </row>
    <row r="148" spans="1:40" s="372" customFormat="1" ht="31.5" customHeight="1">
      <c r="A148" s="379">
        <f>_xlfn.AGGREGATE(4,7,A$19:A147)+1</f>
        <v>128</v>
      </c>
      <c r="B148" s="363" t="s">
        <v>1494</v>
      </c>
      <c r="C148" s="364" t="s">
        <v>967</v>
      </c>
      <c r="D148" s="434" t="s">
        <v>1719</v>
      </c>
      <c r="E148" s="423" t="s">
        <v>1333</v>
      </c>
      <c r="F148" s="373">
        <v>3.99</v>
      </c>
      <c r="G148" s="367"/>
      <c r="H148" s="368">
        <f t="shared" si="28"/>
        <v>3.99</v>
      </c>
      <c r="I148" s="368"/>
      <c r="J148" s="368" t="str">
        <f>VLOOKUP(B148,[4]CN!$B$33:$J$365,9,FALSE)</f>
        <v>Giảng viên khoa Ngoại ngữ</v>
      </c>
      <c r="K148" s="369">
        <f t="shared" si="29"/>
        <v>3.99</v>
      </c>
      <c r="L148" s="362">
        <f t="shared" si="30"/>
        <v>7182000</v>
      </c>
      <c r="M148" s="366" t="str">
        <f>VLOOKUP(B148,'[5]Gui chi Quynh'!$B$11:$E$400,4,FALSE)</f>
        <v>A4</v>
      </c>
      <c r="N148" s="494">
        <f t="shared" si="18"/>
        <v>7182000</v>
      </c>
      <c r="O148" s="376">
        <v>9</v>
      </c>
      <c r="P148" s="440">
        <f>IFERROR(INDEX('[6]CN BC'!$J$10:$J$277,MATCH(B148,'[6]CN BC'!$H$10:$H$277,0)),"")</f>
        <v>9</v>
      </c>
      <c r="Q148" s="494">
        <f t="shared" si="19"/>
        <v>7182000</v>
      </c>
      <c r="R148" s="460"/>
      <c r="S148" s="362">
        <f t="shared" si="31"/>
        <v>0</v>
      </c>
      <c r="T148" s="370"/>
      <c r="U148" s="362">
        <f t="shared" si="20"/>
        <v>0</v>
      </c>
      <c r="V148" s="584">
        <f t="shared" si="21"/>
        <v>71820</v>
      </c>
      <c r="W148" s="371">
        <f t="shared" si="27"/>
        <v>7182000</v>
      </c>
      <c r="X148" s="440">
        <f>IFERROR(INDEX([7]TL!$X$12:$X$200,MATCH(B148,[7]TL!$B$12:$B$200,0)),"0")</f>
        <v>1175236.3636363642</v>
      </c>
      <c r="Y148" s="663">
        <f t="shared" si="23"/>
        <v>8357236.3636363642</v>
      </c>
      <c r="Z148" s="664">
        <f t="shared" si="24"/>
        <v>4.6429090909090913</v>
      </c>
      <c r="AA148" s="662">
        <v>1800000</v>
      </c>
      <c r="AB148" s="663">
        <f t="shared" si="25"/>
        <v>8357236.3636363642</v>
      </c>
      <c r="AC148" s="568">
        <f t="shared" si="22"/>
        <v>128</v>
      </c>
      <c r="AD148" s="493">
        <f>IFERROR(INDEX('[6]CN BC'!$M$10:$M$276,MATCH(B148,'[6]CN BC'!$H$10:$H$276,0)),"")</f>
        <v>0</v>
      </c>
      <c r="AE148" s="522" t="s">
        <v>1145</v>
      </c>
      <c r="AF148" s="108"/>
      <c r="AG148" s="108"/>
      <c r="AH148" s="155"/>
      <c r="AI148" s="108"/>
      <c r="AJ148" s="108"/>
      <c r="AK148" s="108"/>
      <c r="AL148" s="108"/>
      <c r="AM148" s="108"/>
      <c r="AN148" s="108"/>
    </row>
    <row r="149" spans="1:40" s="372" customFormat="1" ht="31.5" customHeight="1">
      <c r="A149" s="379">
        <f>_xlfn.AGGREGATE(4,7,A$19:A148)+1</f>
        <v>129</v>
      </c>
      <c r="B149" s="363" t="s">
        <v>1495</v>
      </c>
      <c r="C149" s="364" t="s">
        <v>1200</v>
      </c>
      <c r="D149" s="434" t="s">
        <v>1720</v>
      </c>
      <c r="E149" s="423" t="s">
        <v>1335</v>
      </c>
      <c r="F149" s="366">
        <v>4.9800000000000004</v>
      </c>
      <c r="G149" s="367"/>
      <c r="H149" s="368">
        <f t="shared" si="28"/>
        <v>4.9800000000000004</v>
      </c>
      <c r="I149" s="368"/>
      <c r="J149" s="368" t="str">
        <f>VLOOKUP(B149,[4]CN!$B$33:$J$365,9,FALSE)</f>
        <v>Giảng viên khoa Ngoại ngữ</v>
      </c>
      <c r="K149" s="369">
        <f t="shared" si="29"/>
        <v>4.9800000000000004</v>
      </c>
      <c r="L149" s="362">
        <f t="shared" si="30"/>
        <v>8964000</v>
      </c>
      <c r="M149" s="366" t="str">
        <f>VLOOKUP(B149,'[5]Gui chi Quynh'!$B$11:$E$400,4,FALSE)</f>
        <v>A4</v>
      </c>
      <c r="N149" s="494">
        <f t="shared" ref="N149:N212" si="32">IF(M149="A1",L149*1.6,IF(M149="A2",L149*1.4,IF(M149="A3",L149*1.2,IF(M149="A4",L149*1,IF(M149="B1",L149*0.7,IF(M149="B2",L149*0.5,IF(M149="C1",L149*0.3,IF(M149="C2",L149*0.2,0))))))))</f>
        <v>8964000</v>
      </c>
      <c r="O149" s="376">
        <v>9</v>
      </c>
      <c r="P149" s="440">
        <f>IFERROR(INDEX('[6]CN BC'!$J$10:$J$277,MATCH(B149,'[6]CN BC'!$H$10:$H$277,0)),"")</f>
        <v>9</v>
      </c>
      <c r="Q149" s="494">
        <f t="shared" ref="Q149" si="33">IF(P149&gt;=O149,N149,N149/O149*P149)</f>
        <v>8964000</v>
      </c>
      <c r="R149" s="460"/>
      <c r="S149" s="362">
        <f t="shared" si="31"/>
        <v>0</v>
      </c>
      <c r="T149" s="370"/>
      <c r="U149" s="362">
        <f t="shared" ref="U149" si="34">T149*$G$15*1</f>
        <v>0</v>
      </c>
      <c r="V149" s="584">
        <f t="shared" ref="V149:V212" si="35">IF(OR(M149="A DN",M149="KXL", M149=""),"0",ROUND(K149*0.01*$G$15+R149*1%*$G$15+T149*1%*$G$15,))</f>
        <v>89640</v>
      </c>
      <c r="W149" s="371">
        <f t="shared" si="27"/>
        <v>8964000</v>
      </c>
      <c r="X149" s="440">
        <f>IFERROR(INDEX([7]TL!$X$12:$X$200,MATCH(B149,[7]TL!$B$12:$B$200,0)),"0")</f>
        <v>1466836.3636363633</v>
      </c>
      <c r="Y149" s="663">
        <f t="shared" si="23"/>
        <v>10430836.363636363</v>
      </c>
      <c r="Z149" s="664">
        <f t="shared" si="24"/>
        <v>5.7949090909090906</v>
      </c>
      <c r="AA149" s="662">
        <v>1800000</v>
      </c>
      <c r="AB149" s="663">
        <f t="shared" si="25"/>
        <v>10430836.363636363</v>
      </c>
      <c r="AC149" s="568">
        <f t="shared" ref="AC149:AC212" si="36">A149</f>
        <v>129</v>
      </c>
      <c r="AD149" s="493">
        <f>IFERROR(INDEX('[6]CN BC'!$M$10:$M$276,MATCH(B149,'[6]CN BC'!$H$10:$H$276,0)),"")</f>
        <v>0</v>
      </c>
      <c r="AE149" s="522" t="s">
        <v>1146</v>
      </c>
      <c r="AF149" s="108"/>
      <c r="AG149" s="108"/>
      <c r="AH149" s="155"/>
      <c r="AI149" s="108"/>
      <c r="AJ149" s="108"/>
      <c r="AK149" s="108"/>
      <c r="AL149" s="108"/>
      <c r="AM149" s="108"/>
      <c r="AN149" s="108"/>
    </row>
    <row r="150" spans="1:40" s="372" customFormat="1" ht="31.5" customHeight="1">
      <c r="A150" s="379">
        <f>_xlfn.AGGREGATE(4,7,A$19:A149)+1</f>
        <v>130</v>
      </c>
      <c r="B150" s="363" t="s">
        <v>1876</v>
      </c>
      <c r="C150" s="364" t="s">
        <v>448</v>
      </c>
      <c r="D150" s="434" t="s">
        <v>1721</v>
      </c>
      <c r="E150" s="423" t="s">
        <v>504</v>
      </c>
      <c r="F150" s="373">
        <v>3.99</v>
      </c>
      <c r="G150" s="367"/>
      <c r="H150" s="368">
        <f t="shared" si="28"/>
        <v>3.99</v>
      </c>
      <c r="I150" s="368"/>
      <c r="J150" s="368" t="str">
        <f>VLOOKUP(B150,[4]CN!$B$33:$J$365,9,FALSE)</f>
        <v>Giảng viên khoa Ngoại ngữ</v>
      </c>
      <c r="K150" s="369">
        <f t="shared" si="29"/>
        <v>3.99</v>
      </c>
      <c r="L150" s="362">
        <f t="shared" si="30"/>
        <v>7182000</v>
      </c>
      <c r="M150" s="366" t="str">
        <f>VLOOKUP(B150,'[5]Gui chi Quynh'!$B$11:$E$400,4,FALSE)</f>
        <v>A4</v>
      </c>
      <c r="N150" s="494">
        <f t="shared" si="32"/>
        <v>7182000</v>
      </c>
      <c r="O150" s="376">
        <v>9</v>
      </c>
      <c r="P150" s="440">
        <f>IFERROR(INDEX('[6]CN BC'!$J$10:$J$277,MATCH(B150,'[6]CN BC'!$H$10:$H$277,0)),"")</f>
        <v>9</v>
      </c>
      <c r="Q150" s="494">
        <f>IF(P150&gt;=O150,N150,N150/O150*P150)</f>
        <v>7182000</v>
      </c>
      <c r="R150" s="460"/>
      <c r="S150" s="362">
        <f t="shared" si="31"/>
        <v>0</v>
      </c>
      <c r="T150" s="370"/>
      <c r="U150" s="362">
        <f>T150*$G$15*1</f>
        <v>0</v>
      </c>
      <c r="V150" s="584">
        <f t="shared" si="35"/>
        <v>71820</v>
      </c>
      <c r="W150" s="371">
        <f t="shared" si="27"/>
        <v>7182000</v>
      </c>
      <c r="X150" s="440">
        <f>IFERROR(INDEX([7]TL!$X$12:$X$200,MATCH(B150,[7]TL!$B$12:$B$200,0)),"0")</f>
        <v>1175236.3636363642</v>
      </c>
      <c r="Y150" s="663">
        <f t="shared" ref="Y150:Y213" si="37">W150+X150</f>
        <v>8357236.3636363642</v>
      </c>
      <c r="Z150" s="664">
        <f t="shared" ref="Z150:Z213" si="38">Y150/AA150</f>
        <v>4.6429090909090913</v>
      </c>
      <c r="AA150" s="662">
        <v>1800000</v>
      </c>
      <c r="AB150" s="663">
        <f t="shared" ref="AB150:AB213" si="39">Z150*AA150</f>
        <v>8357236.3636363642</v>
      </c>
      <c r="AC150" s="568">
        <f t="shared" si="36"/>
        <v>130</v>
      </c>
      <c r="AD150" s="493">
        <f>IFERROR(INDEX('[6]CN BC'!$M$10:$M$276,MATCH(B150,'[6]CN BC'!$H$10:$H$276,0)),"")</f>
        <v>0</v>
      </c>
      <c r="AE150" s="522" t="s">
        <v>1147</v>
      </c>
      <c r="AF150" s="108"/>
      <c r="AG150" s="108"/>
      <c r="AH150" s="155"/>
      <c r="AI150" s="108"/>
      <c r="AJ150" s="108"/>
      <c r="AK150" s="108"/>
      <c r="AL150" s="108"/>
      <c r="AM150" s="108"/>
      <c r="AN150" s="108"/>
    </row>
    <row r="151" spans="1:40" s="372" customFormat="1" ht="31.5" customHeight="1">
      <c r="A151" s="379">
        <f>_xlfn.AGGREGATE(4,7,A$19:A150)+1</f>
        <v>131</v>
      </c>
      <c r="B151" s="363" t="s">
        <v>1496</v>
      </c>
      <c r="C151" s="364" t="s">
        <v>883</v>
      </c>
      <c r="D151" s="434" t="s">
        <v>1722</v>
      </c>
      <c r="E151" s="422" t="s">
        <v>1589</v>
      </c>
      <c r="F151" s="373">
        <v>3.33</v>
      </c>
      <c r="G151" s="367"/>
      <c r="H151" s="445">
        <f t="shared" si="28"/>
        <v>3.33</v>
      </c>
      <c r="I151" s="368">
        <v>0.45</v>
      </c>
      <c r="J151" s="368" t="str">
        <f>VLOOKUP(B151,[4]CN!$B$33:$J$365,9,FALSE)</f>
        <v>Giảng viên khoa Ngoại ngữ</v>
      </c>
      <c r="K151" s="369">
        <f t="shared" si="29"/>
        <v>3.7800000000000002</v>
      </c>
      <c r="L151" s="362">
        <f t="shared" si="30"/>
        <v>6804000</v>
      </c>
      <c r="M151" s="366" t="str">
        <f>VLOOKUP(B151,'[5]Gui chi Quynh'!$B$11:$E$400,4,FALSE)</f>
        <v>A4</v>
      </c>
      <c r="N151" s="494">
        <f t="shared" si="32"/>
        <v>6804000</v>
      </c>
      <c r="O151" s="376">
        <v>9</v>
      </c>
      <c r="P151" s="440">
        <f>IFERROR(INDEX('[6]CN BC'!$J$10:$J$277,MATCH(B151,'[6]CN BC'!$H$10:$H$277,0)),"")</f>
        <v>9</v>
      </c>
      <c r="Q151" s="494">
        <f>IF(P151&gt;=O151,N151,N151/O151*P151)</f>
        <v>6804000</v>
      </c>
      <c r="R151" s="392"/>
      <c r="S151" s="362">
        <f t="shared" si="31"/>
        <v>0</v>
      </c>
      <c r="T151" s="370"/>
      <c r="U151" s="362">
        <f>T151*$G$15*1</f>
        <v>0</v>
      </c>
      <c r="V151" s="584">
        <f t="shared" si="35"/>
        <v>68040</v>
      </c>
      <c r="W151" s="371">
        <f t="shared" ref="W151:W215" si="40">(Q151+S151+U151)</f>
        <v>6804000</v>
      </c>
      <c r="X151" s="440">
        <f>IFERROR(INDEX([7]TL!$X$12:$X$200,MATCH(B151,[7]TL!$B$12:$B$200,0)),"0")</f>
        <v>1113381.8181818184</v>
      </c>
      <c r="Y151" s="663">
        <f t="shared" si="37"/>
        <v>7917381.8181818184</v>
      </c>
      <c r="Z151" s="664">
        <f t="shared" si="38"/>
        <v>4.398545454545455</v>
      </c>
      <c r="AA151" s="662">
        <v>1800000</v>
      </c>
      <c r="AB151" s="663">
        <f t="shared" si="39"/>
        <v>7917381.8181818193</v>
      </c>
      <c r="AC151" s="568">
        <f t="shared" si="36"/>
        <v>131</v>
      </c>
      <c r="AD151" s="493">
        <f>IFERROR(INDEX('[6]CN BC'!$M$10:$M$276,MATCH(B151,'[6]CN BC'!$H$10:$H$276,0)),"")</f>
        <v>0</v>
      </c>
      <c r="AE151" s="522" t="s">
        <v>1148</v>
      </c>
      <c r="AF151" s="108"/>
      <c r="AG151" s="108"/>
      <c r="AH151" s="155"/>
      <c r="AI151" s="108"/>
      <c r="AJ151" s="108"/>
      <c r="AK151" s="108"/>
      <c r="AL151" s="108"/>
      <c r="AM151" s="108"/>
      <c r="AN151" s="108"/>
    </row>
    <row r="152" spans="1:40" s="372" customFormat="1" ht="31.5" customHeight="1">
      <c r="A152" s="379">
        <f>_xlfn.AGGREGATE(4,7,A$19:A151)+1</f>
        <v>132</v>
      </c>
      <c r="B152" s="363" t="s">
        <v>1497</v>
      </c>
      <c r="C152" s="364" t="s">
        <v>1078</v>
      </c>
      <c r="D152" s="434" t="s">
        <v>1723</v>
      </c>
      <c r="E152" s="422" t="s">
        <v>1590</v>
      </c>
      <c r="F152" s="373">
        <v>3</v>
      </c>
      <c r="G152" s="367"/>
      <c r="H152" s="445">
        <f t="shared" si="28"/>
        <v>3</v>
      </c>
      <c r="I152" s="368"/>
      <c r="J152" s="368" t="str">
        <f>VLOOKUP(B152,[4]CN!$B$33:$J$365,9,FALSE)</f>
        <v>Giảng viên khoa Ngoại ngữ</v>
      </c>
      <c r="K152" s="369">
        <f t="shared" si="29"/>
        <v>3</v>
      </c>
      <c r="L152" s="362">
        <f t="shared" si="30"/>
        <v>5400000</v>
      </c>
      <c r="M152" s="366" t="str">
        <f>VLOOKUP(B152,'[5]Gui chi Quynh'!$B$11:$E$400,4,FALSE)</f>
        <v>A4</v>
      </c>
      <c r="N152" s="494">
        <f t="shared" si="32"/>
        <v>5400000</v>
      </c>
      <c r="O152" s="376">
        <v>9</v>
      </c>
      <c r="P152" s="440">
        <f>IFERROR(INDEX('[6]CN BC'!$J$10:$J$277,MATCH(B152,'[6]CN BC'!$H$10:$H$277,0)),"")</f>
        <v>9</v>
      </c>
      <c r="Q152" s="494">
        <f t="shared" ref="Q152:Q216" si="41">IF(P152&gt;=O152,N152,N152/O152*P152)</f>
        <v>5400000</v>
      </c>
      <c r="R152" s="460"/>
      <c r="S152" s="362">
        <f t="shared" si="31"/>
        <v>0</v>
      </c>
      <c r="T152" s="370"/>
      <c r="U152" s="362">
        <f>T152*$G$15*1</f>
        <v>0</v>
      </c>
      <c r="V152" s="584">
        <f t="shared" si="35"/>
        <v>54000</v>
      </c>
      <c r="W152" s="371">
        <f t="shared" si="40"/>
        <v>5400000</v>
      </c>
      <c r="X152" s="440">
        <f>IFERROR(INDEX([7]TL!$X$12:$X$200,MATCH(B152,[7]TL!$B$12:$B$200,0)),"0")</f>
        <v>883636.36363636423</v>
      </c>
      <c r="Y152" s="663">
        <f t="shared" si="37"/>
        <v>6283636.3636363642</v>
      </c>
      <c r="Z152" s="664">
        <f t="shared" si="38"/>
        <v>3.4909090909090912</v>
      </c>
      <c r="AA152" s="662">
        <v>1800000</v>
      </c>
      <c r="AB152" s="663">
        <f t="shared" si="39"/>
        <v>6283636.3636363642</v>
      </c>
      <c r="AC152" s="568">
        <f t="shared" si="36"/>
        <v>132</v>
      </c>
      <c r="AD152" s="493">
        <f>IFERROR(INDEX('[6]CN BC'!$M$10:$M$276,MATCH(B152,'[6]CN BC'!$H$10:$H$276,0)),"")</f>
        <v>0</v>
      </c>
      <c r="AE152" s="522" t="s">
        <v>1149</v>
      </c>
      <c r="AF152" s="108"/>
      <c r="AG152" s="108"/>
      <c r="AH152" s="155"/>
      <c r="AI152" s="108"/>
      <c r="AJ152" s="108"/>
      <c r="AK152" s="108"/>
      <c r="AL152" s="108"/>
      <c r="AM152" s="108"/>
      <c r="AN152" s="108"/>
    </row>
    <row r="153" spans="1:40" s="372" customFormat="1" ht="31.5" customHeight="1">
      <c r="A153" s="379">
        <f>_xlfn.AGGREGATE(4,7,A$19:A152)+1</f>
        <v>133</v>
      </c>
      <c r="B153" s="363" t="s">
        <v>1929</v>
      </c>
      <c r="C153" s="364"/>
      <c r="D153" s="434" t="s">
        <v>1964</v>
      </c>
      <c r="E153" s="480" t="s">
        <v>1932</v>
      </c>
      <c r="F153" s="366">
        <v>2.34</v>
      </c>
      <c r="G153" s="367"/>
      <c r="H153" s="368">
        <f t="shared" si="28"/>
        <v>2.34</v>
      </c>
      <c r="I153" s="368"/>
      <c r="J153" s="368" t="str">
        <f>VLOOKUP(B153,[4]CN!$B$33:$J$365,9,FALSE)</f>
        <v>Giảng viên khoa Ngoại ngữ</v>
      </c>
      <c r="K153" s="369">
        <f t="shared" si="29"/>
        <v>2.34</v>
      </c>
      <c r="L153" s="362">
        <f t="shared" si="30"/>
        <v>4212000</v>
      </c>
      <c r="M153" s="366" t="str">
        <f>VLOOKUP(B153,'[5]Gui chi Quynh'!$B$11:$E$400,4,FALSE)</f>
        <v>A4</v>
      </c>
      <c r="N153" s="494">
        <f t="shared" si="32"/>
        <v>4212000</v>
      </c>
      <c r="O153" s="376">
        <v>9</v>
      </c>
      <c r="P153" s="440">
        <f>IFERROR(INDEX('[6]CN BC'!$J$10:$J$277,MATCH(B153,'[6]CN BC'!$H$10:$H$277,0)),"")</f>
        <v>9</v>
      </c>
      <c r="Q153" s="494">
        <f t="shared" si="41"/>
        <v>4212000</v>
      </c>
      <c r="R153" s="460"/>
      <c r="S153" s="362">
        <f t="shared" si="31"/>
        <v>0</v>
      </c>
      <c r="T153" s="370"/>
      <c r="U153" s="362">
        <f>T153*$G$15*1</f>
        <v>0</v>
      </c>
      <c r="V153" s="584">
        <f t="shared" si="35"/>
        <v>42120</v>
      </c>
      <c r="W153" s="371">
        <f t="shared" si="40"/>
        <v>4212000</v>
      </c>
      <c r="X153" s="440">
        <f>IFERROR(INDEX([7]TL!$X$12:$X$200,MATCH(B153,[7]TL!$B$12:$B$200,0)),"0")</f>
        <v>574363.6363636367</v>
      </c>
      <c r="Y153" s="663">
        <f t="shared" si="37"/>
        <v>4786363.6363636367</v>
      </c>
      <c r="Z153" s="664">
        <f t="shared" si="38"/>
        <v>2.6590909090909092</v>
      </c>
      <c r="AA153" s="662">
        <v>1800000</v>
      </c>
      <c r="AB153" s="663">
        <f t="shared" si="39"/>
        <v>4786363.6363636367</v>
      </c>
      <c r="AC153" s="568">
        <f t="shared" si="36"/>
        <v>133</v>
      </c>
      <c r="AD153" s="493">
        <f>IFERROR(INDEX('[6]CN BC'!$M$10:$M$276,MATCH(B153,'[6]CN BC'!$H$10:$H$276,0)),"")</f>
        <v>0</v>
      </c>
      <c r="AE153" s="522" t="s">
        <v>1150</v>
      </c>
      <c r="AF153" s="108"/>
      <c r="AG153" s="108"/>
      <c r="AH153" s="155"/>
      <c r="AI153" s="108"/>
      <c r="AJ153" s="108"/>
      <c r="AK153" s="108"/>
      <c r="AL153" s="108"/>
      <c r="AM153" s="108"/>
      <c r="AN153" s="108"/>
    </row>
    <row r="154" spans="1:40" s="372" customFormat="1" ht="31.5" customHeight="1">
      <c r="A154" s="379">
        <f>_xlfn.AGGREGATE(4,7,A$19:A153)+1</f>
        <v>134</v>
      </c>
      <c r="B154" s="363" t="s">
        <v>1498</v>
      </c>
      <c r="C154" s="364" t="s">
        <v>958</v>
      </c>
      <c r="D154" s="434" t="s">
        <v>1724</v>
      </c>
      <c r="E154" s="422" t="s">
        <v>1591</v>
      </c>
      <c r="F154" s="373">
        <v>3</v>
      </c>
      <c r="G154" s="367"/>
      <c r="H154" s="445">
        <f t="shared" si="28"/>
        <v>3</v>
      </c>
      <c r="I154" s="368"/>
      <c r="J154" s="368" t="str">
        <f>VLOOKUP(B154,[4]CN!$B$33:$J$365,9,FALSE)</f>
        <v>Giảng viên khoa Ngoại ngữ</v>
      </c>
      <c r="K154" s="369">
        <f t="shared" si="29"/>
        <v>3</v>
      </c>
      <c r="L154" s="362">
        <f t="shared" si="30"/>
        <v>5400000</v>
      </c>
      <c r="M154" s="366" t="str">
        <f>VLOOKUP(B154,'[5]Gui chi Quynh'!$B$11:$E$400,4,FALSE)</f>
        <v>A4</v>
      </c>
      <c r="N154" s="494">
        <f t="shared" si="32"/>
        <v>5400000</v>
      </c>
      <c r="O154" s="376">
        <v>9</v>
      </c>
      <c r="P154" s="440">
        <f>IFERROR(INDEX('[6]CN BC'!$J$10:$J$277,MATCH(B154,'[6]CN BC'!$H$10:$H$277,0)),"")</f>
        <v>9</v>
      </c>
      <c r="Q154" s="494">
        <f t="shared" si="41"/>
        <v>5400000</v>
      </c>
      <c r="R154" s="460"/>
      <c r="S154" s="362">
        <f t="shared" si="31"/>
        <v>0</v>
      </c>
      <c r="T154" s="370"/>
      <c r="U154" s="362">
        <f t="shared" ref="U154:U218" si="42">T154*$G$15*1</f>
        <v>0</v>
      </c>
      <c r="V154" s="584">
        <f t="shared" si="35"/>
        <v>54000</v>
      </c>
      <c r="W154" s="371">
        <f t="shared" si="40"/>
        <v>5400000</v>
      </c>
      <c r="X154" s="440">
        <f>IFERROR(INDEX([7]TL!$X$12:$X$200,MATCH(B154,[7]TL!$B$12:$B$200,0)),"0")</f>
        <v>883636.36363636423</v>
      </c>
      <c r="Y154" s="663">
        <f t="shared" si="37"/>
        <v>6283636.3636363642</v>
      </c>
      <c r="Z154" s="664">
        <f t="shared" si="38"/>
        <v>3.4909090909090912</v>
      </c>
      <c r="AA154" s="662">
        <v>1800000</v>
      </c>
      <c r="AB154" s="663">
        <f t="shared" si="39"/>
        <v>6283636.3636363642</v>
      </c>
      <c r="AC154" s="568">
        <f t="shared" si="36"/>
        <v>134</v>
      </c>
      <c r="AD154" s="493">
        <f>IFERROR(INDEX('[6]CN BC'!$M$10:$M$276,MATCH(B154,'[6]CN BC'!$H$10:$H$276,0)),"")</f>
        <v>0</v>
      </c>
      <c r="AE154" s="522" t="s">
        <v>1151</v>
      </c>
      <c r="AF154" s="108"/>
      <c r="AG154" s="108"/>
      <c r="AH154" s="487"/>
    </row>
    <row r="155" spans="1:40" s="372" customFormat="1" ht="30.75" customHeight="1">
      <c r="A155" s="379">
        <f>_xlfn.AGGREGATE(4,7,A$19:A154)+1</f>
        <v>135</v>
      </c>
      <c r="B155" s="363" t="s">
        <v>1925</v>
      </c>
      <c r="C155" s="364"/>
      <c r="D155" s="434" t="s">
        <v>1965</v>
      </c>
      <c r="E155" s="515" t="s">
        <v>1930</v>
      </c>
      <c r="F155" s="366">
        <v>2.34</v>
      </c>
      <c r="G155" s="367"/>
      <c r="H155" s="368">
        <f t="shared" si="28"/>
        <v>2.34</v>
      </c>
      <c r="I155" s="368"/>
      <c r="J155" s="368" t="str">
        <f>VLOOKUP(B155,[4]CN!$B$33:$J$365,9,FALSE)</f>
        <v>Giảng viên khoa Ngoại ngữ</v>
      </c>
      <c r="K155" s="369">
        <f t="shared" si="29"/>
        <v>2.34</v>
      </c>
      <c r="L155" s="362">
        <f t="shared" si="30"/>
        <v>4212000</v>
      </c>
      <c r="M155" s="366" t="str">
        <f>VLOOKUP(B155,'[5]Gui chi Quynh'!$B$11:$E$400,4,FALSE)</f>
        <v>A4</v>
      </c>
      <c r="N155" s="494">
        <f t="shared" si="32"/>
        <v>4212000</v>
      </c>
      <c r="O155" s="376">
        <v>9</v>
      </c>
      <c r="P155" s="440">
        <f>IFERROR(INDEX('[6]CN BC'!$J$10:$J$277,MATCH(B155,'[6]CN BC'!$H$10:$H$277,0)),"")</f>
        <v>9</v>
      </c>
      <c r="Q155" s="494">
        <f t="shared" si="41"/>
        <v>4212000</v>
      </c>
      <c r="R155" s="460"/>
      <c r="S155" s="362">
        <f t="shared" si="31"/>
        <v>0</v>
      </c>
      <c r="T155" s="370"/>
      <c r="U155" s="362">
        <f t="shared" si="42"/>
        <v>0</v>
      </c>
      <c r="V155" s="584">
        <f t="shared" si="35"/>
        <v>42120</v>
      </c>
      <c r="W155" s="371">
        <f t="shared" si="40"/>
        <v>4212000</v>
      </c>
      <c r="X155" s="440">
        <f>IFERROR(INDEX([7]TL!$X$12:$X$200,MATCH(B155,[7]TL!$B$12:$B$200,0)),"0")</f>
        <v>689236.3636363633</v>
      </c>
      <c r="Y155" s="663">
        <f t="shared" si="37"/>
        <v>4901236.3636363633</v>
      </c>
      <c r="Z155" s="664">
        <f t="shared" si="38"/>
        <v>2.7229090909090905</v>
      </c>
      <c r="AA155" s="662">
        <v>1800000</v>
      </c>
      <c r="AB155" s="663">
        <f t="shared" si="39"/>
        <v>4901236.3636363633</v>
      </c>
      <c r="AC155" s="568">
        <f t="shared" si="36"/>
        <v>135</v>
      </c>
      <c r="AD155" s="493">
        <f>IFERROR(INDEX('[6]CN BC'!$M$10:$M$276,MATCH(B155,'[6]CN BC'!$H$10:$H$276,0)),"")</f>
        <v>0</v>
      </c>
      <c r="AE155" s="522" t="s">
        <v>1152</v>
      </c>
      <c r="AF155" s="108"/>
      <c r="AG155" s="108"/>
      <c r="AH155" s="487"/>
    </row>
    <row r="156" spans="1:40" s="372" customFormat="1" ht="30.75" customHeight="1">
      <c r="A156" s="379">
        <f>_xlfn.AGGREGATE(4,7,A$19:A155)+1</f>
        <v>136</v>
      </c>
      <c r="B156" s="363" t="s">
        <v>2018</v>
      </c>
      <c r="C156" s="364"/>
      <c r="D156" s="434"/>
      <c r="E156" s="515"/>
      <c r="F156" s="366">
        <v>1.9890000000000001</v>
      </c>
      <c r="G156" s="367"/>
      <c r="H156" s="368">
        <f t="shared" si="28"/>
        <v>1.9890000000000001</v>
      </c>
      <c r="I156" s="368"/>
      <c r="J156" s="368" t="str">
        <f>VLOOKUP(B156,[4]CN!$B$33:$J$365,9,FALSE)</f>
        <v>Giảng viên khoa Ngoại ngữ</v>
      </c>
      <c r="K156" s="369">
        <f t="shared" si="29"/>
        <v>1.9890000000000001</v>
      </c>
      <c r="L156" s="362">
        <f t="shared" si="30"/>
        <v>3580200</v>
      </c>
      <c r="M156" s="366" t="str">
        <f>VLOOKUP(B156,'[5]Gui chi Quynh'!$B$11:$E$400,4,FALSE)</f>
        <v>A4</v>
      </c>
      <c r="N156" s="494">
        <f t="shared" si="32"/>
        <v>3580200</v>
      </c>
      <c r="O156" s="376">
        <v>9</v>
      </c>
      <c r="P156" s="440">
        <f>IFERROR(INDEX('[6]CN BC'!$J$10:$J$277,MATCH(B156,'[6]CN BC'!$H$10:$H$277,0)),"")</f>
        <v>9</v>
      </c>
      <c r="Q156" s="494">
        <f t="shared" si="41"/>
        <v>3580200</v>
      </c>
      <c r="R156" s="460"/>
      <c r="S156" s="362">
        <f t="shared" si="31"/>
        <v>0</v>
      </c>
      <c r="T156" s="370"/>
      <c r="U156" s="362">
        <f t="shared" si="42"/>
        <v>0</v>
      </c>
      <c r="V156" s="584">
        <f t="shared" si="35"/>
        <v>35802</v>
      </c>
      <c r="W156" s="371">
        <f t="shared" si="40"/>
        <v>3580200</v>
      </c>
      <c r="X156" s="440">
        <f>IFERROR(INDEX([7]TL!$X$12:$X$200,MATCH(B156,[7]TL!$B$12:$B$200,0)),"0")</f>
        <v>488209.09090909082</v>
      </c>
      <c r="Y156" s="663">
        <f t="shared" si="37"/>
        <v>4068409.0909090908</v>
      </c>
      <c r="Z156" s="664">
        <f t="shared" si="38"/>
        <v>2.2602272727272728</v>
      </c>
      <c r="AA156" s="662">
        <v>1800000</v>
      </c>
      <c r="AB156" s="663">
        <f t="shared" si="39"/>
        <v>4068409.0909090908</v>
      </c>
      <c r="AC156" s="568">
        <f t="shared" si="36"/>
        <v>136</v>
      </c>
      <c r="AD156" s="493">
        <f>IFERROR(INDEX('[6]CN BC'!$M$10:$M$276,MATCH(B156,'[6]CN BC'!$H$10:$H$276,0)),"")</f>
        <v>0</v>
      </c>
      <c r="AE156" s="540"/>
      <c r="AH156" s="487"/>
    </row>
    <row r="157" spans="1:40" s="372" customFormat="1" ht="30.75" customHeight="1">
      <c r="A157" s="379">
        <f>_xlfn.AGGREGATE(4,7,A$19:A156)+1</f>
        <v>137</v>
      </c>
      <c r="B157" s="363" t="s">
        <v>2024</v>
      </c>
      <c r="C157" s="364"/>
      <c r="D157" s="434"/>
      <c r="E157" s="515"/>
      <c r="F157" s="366"/>
      <c r="G157" s="367"/>
      <c r="H157" s="368"/>
      <c r="I157" s="368"/>
      <c r="J157" s="368" t="str">
        <f>VLOOKUP(B157,[4]CN!$B$33:$J$365,9,FALSE)</f>
        <v>Giảng viên khoa Ngoại ngữ</v>
      </c>
      <c r="K157" s="369">
        <v>1.9890000000000001</v>
      </c>
      <c r="L157" s="362">
        <f t="shared" si="30"/>
        <v>3580200</v>
      </c>
      <c r="M157" s="366" t="str">
        <f>VLOOKUP(B157,'[5]Gui chi Quynh'!$B$11:$E$400,4,FALSE)</f>
        <v>A4</v>
      </c>
      <c r="N157" s="494">
        <f t="shared" si="32"/>
        <v>3580200</v>
      </c>
      <c r="O157" s="376">
        <v>9</v>
      </c>
      <c r="P157" s="440">
        <f>IFERROR(INDEX('[6]CN BC'!$J$10:$J$277,MATCH(B157,'[6]CN BC'!$H$10:$H$277,0)),"")</f>
        <v>9</v>
      </c>
      <c r="Q157" s="494">
        <f t="shared" si="41"/>
        <v>3580200</v>
      </c>
      <c r="R157" s="460"/>
      <c r="S157" s="362">
        <f t="shared" si="31"/>
        <v>0</v>
      </c>
      <c r="T157" s="370"/>
      <c r="U157" s="362">
        <f t="shared" si="42"/>
        <v>0</v>
      </c>
      <c r="V157" s="362"/>
      <c r="W157" s="371">
        <f t="shared" si="40"/>
        <v>3580200</v>
      </c>
      <c r="X157" s="440">
        <f>IFERROR(INDEX([7]TL!$X$12:$X$200,MATCH(B157,[7]TL!$B$12:$B$200,0)),"0")</f>
        <v>488209.09090909082</v>
      </c>
      <c r="Y157" s="663">
        <f t="shared" si="37"/>
        <v>4068409.0909090908</v>
      </c>
      <c r="Z157" s="664">
        <f t="shared" si="38"/>
        <v>2.2602272727272728</v>
      </c>
      <c r="AA157" s="662">
        <v>1800000</v>
      </c>
      <c r="AB157" s="663">
        <f t="shared" si="39"/>
        <v>4068409.0909090908</v>
      </c>
      <c r="AC157" s="568">
        <f t="shared" si="36"/>
        <v>137</v>
      </c>
      <c r="AD157" s="551">
        <f>IFERROR(INDEX('[6]CN BC'!$M$10:$M$276,MATCH(B157,'[6]CN BC'!$H$10:$H$276,0)),"")</f>
        <v>0</v>
      </c>
      <c r="AE157" s="540"/>
      <c r="AH157" s="487"/>
    </row>
    <row r="158" spans="1:40" s="372" customFormat="1" ht="30.75" customHeight="1">
      <c r="A158" s="660">
        <f>_xlfn.AGGREGATE(4,7,A$19:A157)+1</f>
        <v>138</v>
      </c>
      <c r="B158" s="563" t="s">
        <v>2006</v>
      </c>
      <c r="C158" s="552"/>
      <c r="D158" s="564"/>
      <c r="E158" s="565"/>
      <c r="F158" s="557">
        <v>1.9890000000000001</v>
      </c>
      <c r="G158" s="553"/>
      <c r="H158" s="554">
        <f t="shared" si="28"/>
        <v>1.9890000000000001</v>
      </c>
      <c r="I158" s="554"/>
      <c r="J158" s="554" t="str">
        <f>VLOOKUP(B158,[4]CN!$B$33:$J$365,9,FALSE)</f>
        <v>Giảng viên khoa Ngoại ngữ</v>
      </c>
      <c r="K158" s="555">
        <f t="shared" si="29"/>
        <v>1.9890000000000001</v>
      </c>
      <c r="L158" s="556">
        <f t="shared" si="30"/>
        <v>3580200</v>
      </c>
      <c r="M158" s="557" t="str">
        <f>VLOOKUP(B158,'[5]Gui chi Quynh'!$B$11:$E$400,4,FALSE)</f>
        <v>KXL</v>
      </c>
      <c r="N158" s="558">
        <f t="shared" si="32"/>
        <v>0</v>
      </c>
      <c r="O158" s="655">
        <v>9</v>
      </c>
      <c r="P158" s="559">
        <f>IFERROR(INDEX('[6]CN BC'!$J$10:$J$277,MATCH(B158,'[6]CN BC'!$H$10:$H$277,0)),"")</f>
        <v>0</v>
      </c>
      <c r="Q158" s="558">
        <f t="shared" si="41"/>
        <v>0</v>
      </c>
      <c r="R158" s="560"/>
      <c r="S158" s="556">
        <f t="shared" si="31"/>
        <v>0</v>
      </c>
      <c r="T158" s="561"/>
      <c r="U158" s="556">
        <f t="shared" si="42"/>
        <v>0</v>
      </c>
      <c r="V158" s="556" t="str">
        <f t="shared" si="35"/>
        <v>0</v>
      </c>
      <c r="W158" s="656">
        <f t="shared" si="40"/>
        <v>0</v>
      </c>
      <c r="X158" s="559" t="str">
        <f>IFERROR(INDEX([7]TL!$X$12:$X$200,MATCH(B158,[7]TL!$B$12:$B$200,0)),"0")</f>
        <v>0</v>
      </c>
      <c r="Y158" s="703">
        <f t="shared" si="37"/>
        <v>0</v>
      </c>
      <c r="Z158" s="704">
        <f t="shared" si="38"/>
        <v>0</v>
      </c>
      <c r="AA158" s="705">
        <v>1800000</v>
      </c>
      <c r="AB158" s="703">
        <f t="shared" si="39"/>
        <v>0</v>
      </c>
      <c r="AC158" s="573">
        <f t="shared" si="36"/>
        <v>138</v>
      </c>
      <c r="AD158" s="562" t="str">
        <f>IFERROR(INDEX('[6]CN BC'!$M$10:$M$276,MATCH(B158,'[6]CN BC'!$H$10:$H$276,0)),"")</f>
        <v>Nghỉ không hưởng lương</v>
      </c>
      <c r="AE158" s="540" t="s">
        <v>1153</v>
      </c>
      <c r="AH158" s="487"/>
    </row>
    <row r="159" spans="1:40" s="372" customFormat="1" ht="30" customHeight="1">
      <c r="A159" s="379">
        <f>_xlfn.AGGREGATE(4,7,A$19:A158)+1</f>
        <v>139</v>
      </c>
      <c r="B159" s="363" t="s">
        <v>1499</v>
      </c>
      <c r="C159" s="525" t="s">
        <v>365</v>
      </c>
      <c r="D159" s="434" t="s">
        <v>1725</v>
      </c>
      <c r="E159" s="423" t="s">
        <v>378</v>
      </c>
      <c r="F159" s="373">
        <v>3.99</v>
      </c>
      <c r="G159" s="526"/>
      <c r="H159" s="368">
        <f t="shared" si="28"/>
        <v>3.99</v>
      </c>
      <c r="I159" s="368">
        <v>0.35</v>
      </c>
      <c r="J159" s="368" t="str">
        <f>VLOOKUP(B159,[4]CN!$B$33:$J$365,9,FALSE)</f>
        <v>Phó Trưởng khoa LLCT</v>
      </c>
      <c r="K159" s="369">
        <f t="shared" si="29"/>
        <v>4.34</v>
      </c>
      <c r="L159" s="362">
        <f t="shared" si="30"/>
        <v>7812000</v>
      </c>
      <c r="M159" s="366" t="str">
        <f>VLOOKUP(B159,'[5]Gui chi Quynh'!$B$11:$E$400,4,FALSE)</f>
        <v>A4</v>
      </c>
      <c r="N159" s="494">
        <f t="shared" si="32"/>
        <v>7812000</v>
      </c>
      <c r="O159" s="376">
        <v>9</v>
      </c>
      <c r="P159" s="440">
        <f>IFERROR(INDEX('[6]CN BC'!$J$10:$J$277,MATCH(B159,'[6]CN BC'!$H$10:$H$277,0)),"")</f>
        <v>9</v>
      </c>
      <c r="Q159" s="494">
        <f t="shared" si="41"/>
        <v>7812000</v>
      </c>
      <c r="R159" s="460"/>
      <c r="S159" s="362">
        <f t="shared" si="31"/>
        <v>0</v>
      </c>
      <c r="T159" s="370"/>
      <c r="U159" s="362">
        <f t="shared" si="42"/>
        <v>0</v>
      </c>
      <c r="V159" s="584">
        <f t="shared" si="35"/>
        <v>78120</v>
      </c>
      <c r="W159" s="371">
        <f t="shared" si="40"/>
        <v>7812000</v>
      </c>
      <c r="X159" s="440">
        <f>IFERROR(INDEX([7]TL!$X$12:$X$200,MATCH(B159,[7]TL!$B$12:$B$200,0)),"0")</f>
        <v>1278327.2727272734</v>
      </c>
      <c r="Y159" s="663">
        <f t="shared" si="37"/>
        <v>9090327.2727272734</v>
      </c>
      <c r="Z159" s="664">
        <f t="shared" si="38"/>
        <v>5.0501818181818185</v>
      </c>
      <c r="AA159" s="662">
        <v>1800000</v>
      </c>
      <c r="AB159" s="663">
        <f t="shared" si="39"/>
        <v>9090327.2727272734</v>
      </c>
      <c r="AC159" s="568">
        <f t="shared" si="36"/>
        <v>139</v>
      </c>
      <c r="AD159" s="493">
        <f>IFERROR(INDEX('[6]CN BC'!$M$10:$M$276,MATCH(B159,'[6]CN BC'!$H$10:$H$276,0)),"")</f>
        <v>0</v>
      </c>
      <c r="AE159" s="522" t="s">
        <v>812</v>
      </c>
      <c r="AF159" s="108"/>
      <c r="AG159" s="108"/>
      <c r="AH159" s="487"/>
    </row>
    <row r="160" spans="1:40" s="108" customFormat="1" ht="28.5" customHeight="1">
      <c r="A160" s="379">
        <f>_xlfn.AGGREGATE(4,7,A$19:A159)+1</f>
        <v>140</v>
      </c>
      <c r="B160" s="33" t="s">
        <v>843</v>
      </c>
      <c r="C160" s="34" t="s">
        <v>865</v>
      </c>
      <c r="D160" s="406" t="s">
        <v>1726</v>
      </c>
      <c r="E160" s="424" t="s">
        <v>1316</v>
      </c>
      <c r="F160" s="83">
        <v>3.99</v>
      </c>
      <c r="G160" s="157"/>
      <c r="H160" s="368">
        <f t="shared" si="28"/>
        <v>3.99</v>
      </c>
      <c r="I160" s="81">
        <v>0.45</v>
      </c>
      <c r="J160" s="368" t="str">
        <f>VLOOKUP(B160,[4]CN!$B$33:$J$365,9,FALSE)</f>
        <v>Phó Trưởng khoa LLCT</v>
      </c>
      <c r="K160" s="369">
        <f t="shared" si="29"/>
        <v>4.4400000000000004</v>
      </c>
      <c r="L160" s="362">
        <f t="shared" si="30"/>
        <v>7992000.0000000009</v>
      </c>
      <c r="M160" s="366" t="str">
        <f>VLOOKUP(B160,'[5]Gui chi Quynh'!$B$11:$E$400,4,FALSE)</f>
        <v>A4</v>
      </c>
      <c r="N160" s="494">
        <f t="shared" si="32"/>
        <v>7992000.0000000009</v>
      </c>
      <c r="O160" s="376">
        <v>9</v>
      </c>
      <c r="P160" s="440">
        <f>IFERROR(INDEX('[6]CN BC'!$J$10:$J$277,MATCH(B160,'[6]CN BC'!$H$10:$H$277,0)),"")</f>
        <v>9</v>
      </c>
      <c r="Q160" s="494">
        <f t="shared" si="41"/>
        <v>7992000.0000000009</v>
      </c>
      <c r="R160" s="392"/>
      <c r="S160" s="362">
        <f t="shared" si="31"/>
        <v>0</v>
      </c>
      <c r="T160" s="385"/>
      <c r="U160" s="362">
        <f t="shared" si="42"/>
        <v>0</v>
      </c>
      <c r="V160" s="584">
        <f t="shared" si="35"/>
        <v>79920</v>
      </c>
      <c r="W160" s="371">
        <f t="shared" si="40"/>
        <v>7992000.0000000009</v>
      </c>
      <c r="X160" s="440">
        <f>IFERROR(INDEX([7]TL!$X$12:$X$200,MATCH(B160,[7]TL!$B$12:$B$200,0)),"0")</f>
        <v>1307781.8181818184</v>
      </c>
      <c r="Y160" s="663">
        <f t="shared" si="37"/>
        <v>9299781.8181818202</v>
      </c>
      <c r="Z160" s="664">
        <f t="shared" si="38"/>
        <v>5.1665454545454557</v>
      </c>
      <c r="AA160" s="662">
        <v>1800000</v>
      </c>
      <c r="AB160" s="663">
        <f t="shared" si="39"/>
        <v>9299781.8181818202</v>
      </c>
      <c r="AC160" s="568">
        <f t="shared" si="36"/>
        <v>140</v>
      </c>
      <c r="AD160" s="493">
        <f>IFERROR(INDEX('[6]CN BC'!$M$10:$M$276,MATCH(B160,'[6]CN BC'!$H$10:$H$276,0)),"")</f>
        <v>0</v>
      </c>
      <c r="AE160" s="522" t="s">
        <v>813</v>
      </c>
      <c r="AH160" s="155"/>
    </row>
    <row r="161" spans="1:44" s="372" customFormat="1" ht="28.5" customHeight="1">
      <c r="A161" s="379">
        <f>_xlfn.AGGREGATE(4,7,A$19:A160)+1</f>
        <v>141</v>
      </c>
      <c r="B161" s="363" t="s">
        <v>846</v>
      </c>
      <c r="C161" s="364" t="s">
        <v>920</v>
      </c>
      <c r="D161" s="406" t="s">
        <v>1727</v>
      </c>
      <c r="E161" s="423" t="s">
        <v>1317</v>
      </c>
      <c r="F161" s="373">
        <v>3.99</v>
      </c>
      <c r="G161" s="367"/>
      <c r="H161" s="368">
        <f t="shared" si="28"/>
        <v>3.99</v>
      </c>
      <c r="I161" s="368">
        <v>0.25</v>
      </c>
      <c r="J161" s="368" t="str">
        <f>VLOOKUP(B161,[4]CN!$B$33:$J$365,9,FALSE)</f>
        <v>Trưởng BM khoa LLCT</v>
      </c>
      <c r="K161" s="369">
        <f t="shared" si="29"/>
        <v>4.24</v>
      </c>
      <c r="L161" s="362">
        <f t="shared" si="30"/>
        <v>7632000</v>
      </c>
      <c r="M161" s="366" t="str">
        <f>VLOOKUP(B161,'[5]Gui chi Quynh'!$B$11:$E$400,4,FALSE)</f>
        <v>A4</v>
      </c>
      <c r="N161" s="494">
        <f t="shared" si="32"/>
        <v>7632000</v>
      </c>
      <c r="O161" s="376">
        <v>9</v>
      </c>
      <c r="P161" s="440">
        <f>IFERROR(INDEX('[6]CN BC'!$J$10:$J$277,MATCH(B161,'[6]CN BC'!$H$10:$H$277,0)),"")</f>
        <v>9</v>
      </c>
      <c r="Q161" s="494">
        <f t="shared" si="41"/>
        <v>7632000</v>
      </c>
      <c r="R161" s="392"/>
      <c r="S161" s="362">
        <f t="shared" si="31"/>
        <v>0</v>
      </c>
      <c r="T161" s="370"/>
      <c r="U161" s="362">
        <f t="shared" si="42"/>
        <v>0</v>
      </c>
      <c r="V161" s="584">
        <f t="shared" si="35"/>
        <v>76320</v>
      </c>
      <c r="W161" s="371">
        <f t="shared" si="40"/>
        <v>7632000</v>
      </c>
      <c r="X161" s="440">
        <f>IFERROR(INDEX([7]TL!$X$12:$X$200,MATCH(B161,[7]TL!$B$12:$B$200,0)),"0")</f>
        <v>1248872.7272727266</v>
      </c>
      <c r="Y161" s="663">
        <f t="shared" si="37"/>
        <v>8880872.7272727266</v>
      </c>
      <c r="Z161" s="664">
        <f t="shared" si="38"/>
        <v>4.9338181818181814</v>
      </c>
      <c r="AA161" s="662">
        <v>1800000</v>
      </c>
      <c r="AB161" s="663">
        <f t="shared" si="39"/>
        <v>8880872.7272727266</v>
      </c>
      <c r="AC161" s="568">
        <f t="shared" si="36"/>
        <v>141</v>
      </c>
      <c r="AD161" s="493">
        <f>IFERROR(INDEX('[6]CN BC'!$M$10:$M$276,MATCH(B161,'[6]CN BC'!$H$10:$H$276,0)),"")</f>
        <v>0</v>
      </c>
      <c r="AE161" s="522" t="s">
        <v>814</v>
      </c>
      <c r="AF161" s="108"/>
      <c r="AG161" s="108"/>
      <c r="AH161" s="155"/>
      <c r="AI161" s="108"/>
      <c r="AJ161" s="108"/>
      <c r="AK161" s="108"/>
      <c r="AL161" s="108"/>
      <c r="AM161" s="108"/>
      <c r="AN161" s="108"/>
      <c r="AO161" s="108"/>
      <c r="AP161" s="108"/>
      <c r="AQ161" s="108"/>
      <c r="AR161" s="108"/>
    </row>
    <row r="162" spans="1:44" s="372" customFormat="1" ht="33" customHeight="1">
      <c r="A162" s="379">
        <f>_xlfn.AGGREGATE(4,7,A$19:A161)+1</f>
        <v>142</v>
      </c>
      <c r="B162" s="363" t="s">
        <v>1500</v>
      </c>
      <c r="C162" s="364" t="s">
        <v>277</v>
      </c>
      <c r="D162" s="434" t="s">
        <v>1728</v>
      </c>
      <c r="E162" s="423" t="s">
        <v>377</v>
      </c>
      <c r="F162" s="373">
        <v>3.99</v>
      </c>
      <c r="G162" s="367"/>
      <c r="H162" s="368">
        <f t="shared" si="28"/>
        <v>3.99</v>
      </c>
      <c r="I162" s="368"/>
      <c r="J162" s="368" t="str">
        <f>VLOOKUP(B162,[4]CN!$B$33:$J$365,9,FALSE)</f>
        <v>Giảng viên khoa LLCT</v>
      </c>
      <c r="K162" s="369">
        <f t="shared" si="29"/>
        <v>3.99</v>
      </c>
      <c r="L162" s="362">
        <f t="shared" si="30"/>
        <v>7182000</v>
      </c>
      <c r="M162" s="366" t="str">
        <f>VLOOKUP(B162,'[5]Gui chi Quynh'!$B$11:$E$400,4,FALSE)</f>
        <v>A3</v>
      </c>
      <c r="N162" s="494">
        <f t="shared" si="32"/>
        <v>8618400</v>
      </c>
      <c r="O162" s="376">
        <v>9</v>
      </c>
      <c r="P162" s="440">
        <f>IFERROR(INDEX('[6]CN BC'!$J$10:$J$277,MATCH(B162,'[6]CN BC'!$H$10:$H$277,0)),"")</f>
        <v>9</v>
      </c>
      <c r="Q162" s="494">
        <f t="shared" si="41"/>
        <v>8618400</v>
      </c>
      <c r="R162" s="460"/>
      <c r="S162" s="362">
        <f t="shared" si="31"/>
        <v>0</v>
      </c>
      <c r="T162" s="370"/>
      <c r="U162" s="362">
        <f t="shared" si="42"/>
        <v>0</v>
      </c>
      <c r="V162" s="584">
        <f t="shared" si="35"/>
        <v>71820</v>
      </c>
      <c r="W162" s="371">
        <f t="shared" si="40"/>
        <v>8618400</v>
      </c>
      <c r="X162" s="440">
        <f>IFERROR(INDEX([7]TL!$X$12:$X$200,MATCH(B162,[7]TL!$B$12:$B$200,0)),"0")</f>
        <v>1175236.3636363642</v>
      </c>
      <c r="Y162" s="663">
        <f t="shared" si="37"/>
        <v>9793636.3636363633</v>
      </c>
      <c r="Z162" s="664">
        <f t="shared" si="38"/>
        <v>5.4409090909090905</v>
      </c>
      <c r="AA162" s="662">
        <v>1800000</v>
      </c>
      <c r="AB162" s="663">
        <f t="shared" si="39"/>
        <v>9793636.3636363633</v>
      </c>
      <c r="AC162" s="568">
        <f t="shared" si="36"/>
        <v>142</v>
      </c>
      <c r="AD162" s="493">
        <f>IFERROR(INDEX('[6]CN BC'!$M$10:$M$276,MATCH(B162,'[6]CN BC'!$H$10:$H$276,0)),"")</f>
        <v>0</v>
      </c>
      <c r="AE162" s="540" t="s">
        <v>815</v>
      </c>
      <c r="AH162" s="487"/>
    </row>
    <row r="163" spans="1:44" s="372" customFormat="1" ht="30.75" customHeight="1">
      <c r="A163" s="379">
        <f>_xlfn.AGGREGATE(4,7,A$19:A162)+1</f>
        <v>143</v>
      </c>
      <c r="B163" s="363" t="s">
        <v>1877</v>
      </c>
      <c r="C163" s="364" t="s">
        <v>973</v>
      </c>
      <c r="D163" s="434" t="s">
        <v>1729</v>
      </c>
      <c r="E163" s="423" t="s">
        <v>1320</v>
      </c>
      <c r="F163" s="366">
        <v>4.6500000000000004</v>
      </c>
      <c r="G163" s="367"/>
      <c r="H163" s="368">
        <f t="shared" si="28"/>
        <v>4.6500000000000004</v>
      </c>
      <c r="I163" s="368"/>
      <c r="J163" s="368" t="str">
        <f>VLOOKUP(B163,[4]CN!$B$33:$J$365,9,FALSE)</f>
        <v>Giảng viên khoa LLCT</v>
      </c>
      <c r="K163" s="369">
        <f t="shared" si="29"/>
        <v>4.6500000000000004</v>
      </c>
      <c r="L163" s="362">
        <f t="shared" si="30"/>
        <v>8370000.0000000009</v>
      </c>
      <c r="M163" s="366" t="str">
        <f>VLOOKUP(B163,'[5]Gui chi Quynh'!$B$11:$E$400,4,FALSE)</f>
        <v>A4</v>
      </c>
      <c r="N163" s="494">
        <f t="shared" si="32"/>
        <v>8370000.0000000009</v>
      </c>
      <c r="O163" s="376">
        <v>9</v>
      </c>
      <c r="P163" s="440">
        <f>IFERROR(INDEX('[6]CN BC'!$J$10:$J$277,MATCH(B163,'[6]CN BC'!$H$10:$H$277,0)),"")</f>
        <v>9</v>
      </c>
      <c r="Q163" s="494">
        <f t="shared" si="41"/>
        <v>8370000.0000000009</v>
      </c>
      <c r="R163" s="460"/>
      <c r="S163" s="362">
        <f t="shared" si="31"/>
        <v>0</v>
      </c>
      <c r="T163" s="370"/>
      <c r="U163" s="362">
        <f t="shared" si="42"/>
        <v>0</v>
      </c>
      <c r="V163" s="584">
        <f t="shared" si="35"/>
        <v>83700</v>
      </c>
      <c r="W163" s="371">
        <f t="shared" si="40"/>
        <v>8370000.0000000009</v>
      </c>
      <c r="X163" s="440">
        <f>IFERROR(INDEX([7]TL!$X$12:$X$200,MATCH(B163,[7]TL!$B$12:$B$200,0)),"0")</f>
        <v>1369636.3636363633</v>
      </c>
      <c r="Y163" s="663">
        <f t="shared" si="37"/>
        <v>9739636.3636363633</v>
      </c>
      <c r="Z163" s="664">
        <f t="shared" si="38"/>
        <v>5.4109090909090911</v>
      </c>
      <c r="AA163" s="662">
        <v>1800000</v>
      </c>
      <c r="AB163" s="663">
        <f t="shared" si="39"/>
        <v>9739636.3636363633</v>
      </c>
      <c r="AC163" s="568">
        <f t="shared" si="36"/>
        <v>143</v>
      </c>
      <c r="AD163" s="493">
        <f>IFERROR(INDEX('[6]CN BC'!$M$10:$M$276,MATCH(B163,'[6]CN BC'!$H$10:$H$276,0)),"")</f>
        <v>0</v>
      </c>
      <c r="AE163" s="540" t="s">
        <v>816</v>
      </c>
      <c r="AH163" s="487"/>
    </row>
    <row r="164" spans="1:44" s="372" customFormat="1" ht="28.5" customHeight="1">
      <c r="A164" s="379">
        <f>_xlfn.AGGREGATE(4,7,A$19:A163)+1</f>
        <v>144</v>
      </c>
      <c r="B164" s="363" t="s">
        <v>1501</v>
      </c>
      <c r="C164" s="364" t="s">
        <v>313</v>
      </c>
      <c r="D164" s="434" t="s">
        <v>1730</v>
      </c>
      <c r="E164" s="422" t="s">
        <v>314</v>
      </c>
      <c r="F164" s="373">
        <v>3.66</v>
      </c>
      <c r="G164" s="367"/>
      <c r="H164" s="368">
        <f t="shared" si="28"/>
        <v>3.66</v>
      </c>
      <c r="I164" s="368"/>
      <c r="J164" s="368" t="str">
        <f>VLOOKUP(B164,[4]CN!$B$33:$J$365,9,FALSE)</f>
        <v>Giảng viên khoa LLCT</v>
      </c>
      <c r="K164" s="369">
        <f t="shared" si="29"/>
        <v>3.66</v>
      </c>
      <c r="L164" s="362">
        <f t="shared" si="30"/>
        <v>6588000</v>
      </c>
      <c r="M164" s="366" t="str">
        <f>VLOOKUP(B164,'[5]Gui chi Quynh'!$B$11:$E$400,4,FALSE)</f>
        <v>A4</v>
      </c>
      <c r="N164" s="494">
        <f t="shared" si="32"/>
        <v>6588000</v>
      </c>
      <c r="O164" s="376">
        <v>9</v>
      </c>
      <c r="P164" s="440">
        <f>IFERROR(INDEX('[6]CN BC'!$J$10:$J$277,MATCH(B164,'[6]CN BC'!$H$10:$H$277,0)),"")</f>
        <v>9</v>
      </c>
      <c r="Q164" s="494">
        <f t="shared" si="41"/>
        <v>6588000</v>
      </c>
      <c r="R164" s="460"/>
      <c r="S164" s="362">
        <f t="shared" si="31"/>
        <v>0</v>
      </c>
      <c r="T164" s="370"/>
      <c r="U164" s="362">
        <f t="shared" si="42"/>
        <v>0</v>
      </c>
      <c r="V164" s="584">
        <f t="shared" si="35"/>
        <v>65880</v>
      </c>
      <c r="W164" s="371">
        <f t="shared" si="40"/>
        <v>6588000</v>
      </c>
      <c r="X164" s="440">
        <f>IFERROR(INDEX([7]TL!$X$12:$X$200,MATCH(B164,[7]TL!$B$12:$B$200,0)),"0")</f>
        <v>1078036.3636363642</v>
      </c>
      <c r="Y164" s="663">
        <f t="shared" si="37"/>
        <v>7666036.3636363642</v>
      </c>
      <c r="Z164" s="664">
        <f t="shared" si="38"/>
        <v>4.258909090909091</v>
      </c>
      <c r="AA164" s="662">
        <v>1800000</v>
      </c>
      <c r="AB164" s="663">
        <f t="shared" si="39"/>
        <v>7666036.3636363633</v>
      </c>
      <c r="AC164" s="568">
        <f t="shared" si="36"/>
        <v>144</v>
      </c>
      <c r="AD164" s="493">
        <f>IFERROR(INDEX('[6]CN BC'!$M$10:$M$276,MATCH(B164,'[6]CN BC'!$H$10:$H$276,0)),"")</f>
        <v>0</v>
      </c>
      <c r="AE164" s="522" t="s">
        <v>817</v>
      </c>
      <c r="AF164" s="108"/>
      <c r="AG164" s="108"/>
      <c r="AH164" s="155"/>
      <c r="AI164" s="108"/>
      <c r="AJ164" s="108"/>
      <c r="AK164" s="108"/>
      <c r="AL164" s="108"/>
      <c r="AM164" s="108"/>
      <c r="AN164" s="108"/>
    </row>
    <row r="165" spans="1:44" s="372" customFormat="1" ht="28.5" customHeight="1">
      <c r="A165" s="379">
        <f>_xlfn.AGGREGATE(4,7,A$19:A164)+1</f>
        <v>145</v>
      </c>
      <c r="B165" s="363" t="s">
        <v>1878</v>
      </c>
      <c r="C165" s="364" t="s">
        <v>970</v>
      </c>
      <c r="D165" s="434" t="s">
        <v>1731</v>
      </c>
      <c r="E165" s="423" t="s">
        <v>1314</v>
      </c>
      <c r="F165" s="366">
        <v>4.32</v>
      </c>
      <c r="G165" s="367"/>
      <c r="H165" s="368">
        <f t="shared" si="28"/>
        <v>4.32</v>
      </c>
      <c r="I165" s="368"/>
      <c r="J165" s="368" t="str">
        <f>VLOOKUP(B165,[4]CN!$B$33:$J$365,9,FALSE)</f>
        <v>Giảng viên khoa LLCT</v>
      </c>
      <c r="K165" s="369">
        <f t="shared" si="29"/>
        <v>4.32</v>
      </c>
      <c r="L165" s="362">
        <f t="shared" si="30"/>
        <v>7776000.0000000009</v>
      </c>
      <c r="M165" s="366" t="str">
        <f>VLOOKUP(B165,'[5]Gui chi Quynh'!$B$11:$E$400,4,FALSE)</f>
        <v>A4</v>
      </c>
      <c r="N165" s="494">
        <f t="shared" si="32"/>
        <v>7776000.0000000009</v>
      </c>
      <c r="O165" s="376">
        <v>9</v>
      </c>
      <c r="P165" s="440">
        <f>IFERROR(INDEX('[6]CN BC'!$J$10:$J$277,MATCH(B165,'[6]CN BC'!$H$10:$H$277,0)),"")</f>
        <v>9</v>
      </c>
      <c r="Q165" s="494">
        <f t="shared" si="41"/>
        <v>7776000.0000000009</v>
      </c>
      <c r="R165" s="460"/>
      <c r="S165" s="362">
        <f t="shared" si="31"/>
        <v>0</v>
      </c>
      <c r="T165" s="370"/>
      <c r="U165" s="362">
        <f t="shared" si="42"/>
        <v>0</v>
      </c>
      <c r="V165" s="584">
        <f t="shared" si="35"/>
        <v>77760</v>
      </c>
      <c r="W165" s="371">
        <f t="shared" si="40"/>
        <v>7776000.0000000009</v>
      </c>
      <c r="X165" s="440">
        <f>IFERROR(INDEX([7]TL!$X$12:$X$200,MATCH(B165,[7]TL!$B$12:$B$200,0)),"0")</f>
        <v>1060363.6363636367</v>
      </c>
      <c r="Y165" s="663">
        <f t="shared" si="37"/>
        <v>8836363.6363636367</v>
      </c>
      <c r="Z165" s="664">
        <f t="shared" si="38"/>
        <v>4.9090909090909092</v>
      </c>
      <c r="AA165" s="662">
        <v>1800000</v>
      </c>
      <c r="AB165" s="663">
        <f t="shared" si="39"/>
        <v>8836363.6363636367</v>
      </c>
      <c r="AC165" s="568">
        <f t="shared" si="36"/>
        <v>145</v>
      </c>
      <c r="AD165" s="493">
        <f>IFERROR(INDEX('[6]CN BC'!$M$10:$M$276,MATCH(B165,'[6]CN BC'!$H$10:$H$276,0)),"")</f>
        <v>0</v>
      </c>
      <c r="AE165" s="522" t="s">
        <v>818</v>
      </c>
      <c r="AF165" s="108"/>
      <c r="AG165" s="108"/>
      <c r="AH165" s="155"/>
      <c r="AI165" s="108"/>
      <c r="AJ165" s="108"/>
      <c r="AK165" s="108"/>
      <c r="AL165" s="108"/>
      <c r="AM165" s="108"/>
      <c r="AN165" s="108"/>
    </row>
    <row r="166" spans="1:44" s="372" customFormat="1" ht="28.5" customHeight="1">
      <c r="A166" s="379">
        <f>_xlfn.AGGREGATE(4,7,A$19:A165)+1</f>
        <v>146</v>
      </c>
      <c r="B166" s="363" t="s">
        <v>1879</v>
      </c>
      <c r="C166" s="364" t="s">
        <v>927</v>
      </c>
      <c r="D166" s="434" t="s">
        <v>1732</v>
      </c>
      <c r="E166" s="423" t="s">
        <v>1315</v>
      </c>
      <c r="F166" s="373">
        <v>4.32</v>
      </c>
      <c r="G166" s="367"/>
      <c r="H166" s="368">
        <f t="shared" si="28"/>
        <v>4.32</v>
      </c>
      <c r="I166" s="368"/>
      <c r="J166" s="368" t="str">
        <f>VLOOKUP(B166,[4]CN!$B$33:$J$365,9,FALSE)</f>
        <v>Giảng viên khoa LLCT</v>
      </c>
      <c r="K166" s="369">
        <f t="shared" si="29"/>
        <v>4.32</v>
      </c>
      <c r="L166" s="362">
        <f t="shared" si="30"/>
        <v>7776000.0000000009</v>
      </c>
      <c r="M166" s="366" t="str">
        <f>VLOOKUP(B166,'[5]Gui chi Quynh'!$B$11:$E$400,4,FALSE)</f>
        <v>A3</v>
      </c>
      <c r="N166" s="494">
        <f t="shared" si="32"/>
        <v>9331200</v>
      </c>
      <c r="O166" s="376">
        <v>9</v>
      </c>
      <c r="P166" s="440">
        <f>IFERROR(INDEX('[6]CN BC'!$J$10:$J$277,MATCH(B166,'[6]CN BC'!$H$10:$H$277,0)),"")</f>
        <v>9</v>
      </c>
      <c r="Q166" s="494">
        <f t="shared" si="41"/>
        <v>9331200</v>
      </c>
      <c r="R166" s="460"/>
      <c r="S166" s="362">
        <f t="shared" si="31"/>
        <v>0</v>
      </c>
      <c r="T166" s="370"/>
      <c r="U166" s="362">
        <f t="shared" si="42"/>
        <v>0</v>
      </c>
      <c r="V166" s="584">
        <f t="shared" si="35"/>
        <v>77760</v>
      </c>
      <c r="W166" s="371">
        <f t="shared" si="40"/>
        <v>9331200</v>
      </c>
      <c r="X166" s="440">
        <f>IFERROR(INDEX([7]TL!$X$12:$X$200,MATCH(B166,[7]TL!$B$12:$B$200,0)),"0")</f>
        <v>1272436.3636363642</v>
      </c>
      <c r="Y166" s="663">
        <f t="shared" si="37"/>
        <v>10603636.363636363</v>
      </c>
      <c r="Z166" s="664">
        <f t="shared" si="38"/>
        <v>5.8909090909090907</v>
      </c>
      <c r="AA166" s="662">
        <v>1800000</v>
      </c>
      <c r="AB166" s="663">
        <f t="shared" si="39"/>
        <v>10603636.363636363</v>
      </c>
      <c r="AC166" s="568">
        <f t="shared" si="36"/>
        <v>146</v>
      </c>
      <c r="AD166" s="493">
        <f>IFERROR(INDEX('[6]CN BC'!$M$10:$M$276,MATCH(B166,'[6]CN BC'!$H$10:$H$276,0)),"")</f>
        <v>0</v>
      </c>
      <c r="AE166" s="522" t="s">
        <v>819</v>
      </c>
      <c r="AF166" s="108"/>
      <c r="AG166" s="108"/>
      <c r="AH166" s="155"/>
      <c r="AI166" s="108"/>
      <c r="AJ166" s="108"/>
      <c r="AK166" s="108"/>
      <c r="AL166" s="108"/>
      <c r="AM166" s="108"/>
      <c r="AN166" s="108"/>
    </row>
    <row r="167" spans="1:44" s="372" customFormat="1" ht="28.5" customHeight="1">
      <c r="A167" s="379">
        <f>_xlfn.AGGREGATE(4,7,A$19:A166)+1</f>
        <v>147</v>
      </c>
      <c r="B167" s="363" t="s">
        <v>1502</v>
      </c>
      <c r="C167" s="364" t="s">
        <v>1205</v>
      </c>
      <c r="D167" s="434" t="s">
        <v>1733</v>
      </c>
      <c r="E167" s="423" t="s">
        <v>1318</v>
      </c>
      <c r="F167" s="373">
        <v>3.66</v>
      </c>
      <c r="G167" s="367"/>
      <c r="H167" s="368">
        <f t="shared" si="28"/>
        <v>3.66</v>
      </c>
      <c r="I167" s="368"/>
      <c r="J167" s="368" t="str">
        <f>VLOOKUP(B167,[4]CN!$B$33:$J$365,9,FALSE)</f>
        <v>Trưởng BM khoa LLCT</v>
      </c>
      <c r="K167" s="369">
        <f t="shared" si="29"/>
        <v>3.66</v>
      </c>
      <c r="L167" s="362">
        <f t="shared" si="30"/>
        <v>6588000</v>
      </c>
      <c r="M167" s="366" t="str">
        <f>VLOOKUP(B167,'[5]Gui chi Quynh'!$B$11:$E$400,4,FALSE)</f>
        <v>A4</v>
      </c>
      <c r="N167" s="494">
        <f t="shared" si="32"/>
        <v>6588000</v>
      </c>
      <c r="O167" s="376">
        <v>9</v>
      </c>
      <c r="P167" s="440">
        <f>IFERROR(INDEX('[6]CN BC'!$J$10:$J$277,MATCH(B167,'[6]CN BC'!$H$10:$H$277,0)),"")</f>
        <v>9</v>
      </c>
      <c r="Q167" s="494">
        <f t="shared" si="41"/>
        <v>6588000</v>
      </c>
      <c r="R167" s="460"/>
      <c r="S167" s="362">
        <f t="shared" si="31"/>
        <v>0</v>
      </c>
      <c r="T167" s="370"/>
      <c r="U167" s="362">
        <f t="shared" si="42"/>
        <v>0</v>
      </c>
      <c r="V167" s="584">
        <f t="shared" si="35"/>
        <v>65880</v>
      </c>
      <c r="W167" s="371">
        <f t="shared" si="40"/>
        <v>6588000</v>
      </c>
      <c r="X167" s="440">
        <f>IFERROR(INDEX([7]TL!$X$12:$X$200,MATCH(B167,[7]TL!$B$12:$B$200,0)),"0")</f>
        <v>1078036.3636363642</v>
      </c>
      <c r="Y167" s="663">
        <f t="shared" si="37"/>
        <v>7666036.3636363642</v>
      </c>
      <c r="Z167" s="664">
        <f t="shared" si="38"/>
        <v>4.258909090909091</v>
      </c>
      <c r="AA167" s="662">
        <v>1800000</v>
      </c>
      <c r="AB167" s="663">
        <f t="shared" si="39"/>
        <v>7666036.3636363633</v>
      </c>
      <c r="AC167" s="568">
        <f t="shared" si="36"/>
        <v>147</v>
      </c>
      <c r="AD167" s="493">
        <f>IFERROR(INDEX('[6]CN BC'!$M$10:$M$276,MATCH(B167,'[6]CN BC'!$H$10:$H$276,0)),"")</f>
        <v>0</v>
      </c>
      <c r="AE167" s="522" t="s">
        <v>820</v>
      </c>
      <c r="AF167" s="108"/>
      <c r="AG167" s="108"/>
      <c r="AH167" s="155"/>
      <c r="AI167" s="108"/>
      <c r="AJ167" s="108"/>
      <c r="AK167" s="108"/>
      <c r="AL167" s="108"/>
      <c r="AM167" s="108"/>
      <c r="AN167" s="108"/>
    </row>
    <row r="168" spans="1:44" s="372" customFormat="1" ht="28.5" customHeight="1">
      <c r="A168" s="660">
        <f>_xlfn.AGGREGATE(4,7,A$19:A167)+1</f>
        <v>148</v>
      </c>
      <c r="B168" s="563" t="s">
        <v>1880</v>
      </c>
      <c r="C168" s="552" t="s">
        <v>1178</v>
      </c>
      <c r="D168" s="564" t="s">
        <v>1734</v>
      </c>
      <c r="E168" s="567" t="s">
        <v>375</v>
      </c>
      <c r="F168" s="566">
        <v>3.66</v>
      </c>
      <c r="G168" s="553"/>
      <c r="H168" s="554">
        <f t="shared" si="28"/>
        <v>3.66</v>
      </c>
      <c r="I168" s="554"/>
      <c r="J168" s="554" t="str">
        <f>VLOOKUP(B168,[4]CN!$B$33:$J$365,9,FALSE)</f>
        <v>Giảng viên khoa LLCT</v>
      </c>
      <c r="K168" s="555">
        <f t="shared" si="29"/>
        <v>3.66</v>
      </c>
      <c r="L168" s="556">
        <f t="shared" si="30"/>
        <v>6588000</v>
      </c>
      <c r="M168" s="557" t="str">
        <f>VLOOKUP(B168,'[5]Gui chi Quynh'!$B$11:$E$400,4,FALSE)</f>
        <v>A DN</v>
      </c>
      <c r="N168" s="558">
        <f t="shared" si="32"/>
        <v>0</v>
      </c>
      <c r="O168" s="655">
        <v>9</v>
      </c>
      <c r="P168" s="559">
        <f>IFERROR(INDEX('[6]CN BC'!$J$10:$J$277,MATCH(B168,'[6]CN BC'!$H$10:$H$277,0)),"")</f>
        <v>0</v>
      </c>
      <c r="Q168" s="558">
        <f t="shared" si="41"/>
        <v>0</v>
      </c>
      <c r="R168" s="560"/>
      <c r="S168" s="556">
        <f t="shared" si="31"/>
        <v>0</v>
      </c>
      <c r="T168" s="561"/>
      <c r="U168" s="556">
        <f t="shared" si="42"/>
        <v>0</v>
      </c>
      <c r="V168" s="556">
        <v>0</v>
      </c>
      <c r="W168" s="656">
        <f t="shared" si="40"/>
        <v>0</v>
      </c>
      <c r="X168" s="559" t="str">
        <f>IFERROR(INDEX([7]TL!$X$12:$X$200,MATCH(B168,[7]TL!$B$12:$B$200,0)),"0")</f>
        <v>0</v>
      </c>
      <c r="Y168" s="703">
        <f t="shared" si="37"/>
        <v>0</v>
      </c>
      <c r="Z168" s="704">
        <f t="shared" si="38"/>
        <v>0</v>
      </c>
      <c r="AA168" s="705">
        <v>1800000</v>
      </c>
      <c r="AB168" s="703">
        <f t="shared" si="39"/>
        <v>0</v>
      </c>
      <c r="AC168" s="573">
        <f t="shared" si="36"/>
        <v>148</v>
      </c>
      <c r="AD168" s="562" t="str">
        <f>IFERROR(INDEX('[6]CN BC'!$M$10:$M$276,MATCH(B168,'[6]CN BC'!$H$10:$H$276,0)),"")</f>
        <v>Nghỉ hộ sản hưởng chế độ BHXH từ 12/12/2023</v>
      </c>
      <c r="AE168" s="522" t="s">
        <v>1119</v>
      </c>
      <c r="AF168" s="108"/>
      <c r="AG168" s="108"/>
      <c r="AH168" s="155"/>
      <c r="AI168" s="108"/>
      <c r="AJ168" s="108"/>
      <c r="AK168" s="108"/>
      <c r="AL168" s="108"/>
      <c r="AM168" s="108"/>
      <c r="AN168" s="108"/>
    </row>
    <row r="169" spans="1:44" s="372" customFormat="1" ht="28.5" customHeight="1">
      <c r="A169" s="379">
        <f>_xlfn.AGGREGATE(4,7,A$19:A168)+1</f>
        <v>149</v>
      </c>
      <c r="B169" s="363" t="s">
        <v>1503</v>
      </c>
      <c r="C169" s="364" t="s">
        <v>276</v>
      </c>
      <c r="D169" s="434" t="s">
        <v>1735</v>
      </c>
      <c r="E169" s="423" t="s">
        <v>376</v>
      </c>
      <c r="F169" s="373">
        <v>3.66</v>
      </c>
      <c r="G169" s="367"/>
      <c r="H169" s="368">
        <f t="shared" si="28"/>
        <v>3.66</v>
      </c>
      <c r="I169" s="368"/>
      <c r="J169" s="368" t="str">
        <f>VLOOKUP(B169,[4]CN!$B$33:$J$365,9,FALSE)</f>
        <v>Giảng viên khoa LLCT</v>
      </c>
      <c r="K169" s="369">
        <f t="shared" si="29"/>
        <v>3.66</v>
      </c>
      <c r="L169" s="362">
        <f t="shared" si="30"/>
        <v>6588000</v>
      </c>
      <c r="M169" s="366" t="str">
        <f>VLOOKUP(B169,'[5]Gui chi Quynh'!$B$11:$E$400,4,FALSE)</f>
        <v>A3</v>
      </c>
      <c r="N169" s="494">
        <f t="shared" si="32"/>
        <v>7905600</v>
      </c>
      <c r="O169" s="376">
        <v>9</v>
      </c>
      <c r="P169" s="440">
        <f>IFERROR(INDEX('[6]CN BC'!$J$10:$J$277,MATCH(B169,'[6]CN BC'!$H$10:$H$277,0)),"")</f>
        <v>9</v>
      </c>
      <c r="Q169" s="494">
        <f t="shared" si="41"/>
        <v>7905600</v>
      </c>
      <c r="R169" s="460"/>
      <c r="S169" s="362">
        <f t="shared" si="31"/>
        <v>0</v>
      </c>
      <c r="T169" s="370"/>
      <c r="U169" s="362">
        <f t="shared" si="42"/>
        <v>0</v>
      </c>
      <c r="V169" s="584">
        <f t="shared" si="35"/>
        <v>65880</v>
      </c>
      <c r="W169" s="371">
        <f t="shared" si="40"/>
        <v>7905600</v>
      </c>
      <c r="X169" s="440">
        <f>IFERROR(INDEX([7]TL!$X$12:$X$200,MATCH(B169,[7]TL!$B$12:$B$200,0)),"0")</f>
        <v>1078036.3636363642</v>
      </c>
      <c r="Y169" s="663">
        <f t="shared" si="37"/>
        <v>8983636.3636363633</v>
      </c>
      <c r="Z169" s="664">
        <f t="shared" si="38"/>
        <v>4.9909090909090903</v>
      </c>
      <c r="AA169" s="662">
        <v>1800000</v>
      </c>
      <c r="AB169" s="663">
        <f t="shared" si="39"/>
        <v>8983636.3636363633</v>
      </c>
      <c r="AC169" s="568">
        <f t="shared" si="36"/>
        <v>149</v>
      </c>
      <c r="AD169" s="493">
        <f>IFERROR(INDEX('[6]CN BC'!$M$10:$M$276,MATCH(B169,'[6]CN BC'!$H$10:$H$276,0)),"")</f>
        <v>0</v>
      </c>
      <c r="AE169" s="522" t="s">
        <v>1120</v>
      </c>
      <c r="AF169" s="108"/>
      <c r="AG169" s="108"/>
      <c r="AH169" s="155"/>
      <c r="AI169" s="108"/>
      <c r="AJ169" s="108"/>
      <c r="AK169" s="108"/>
      <c r="AL169" s="108"/>
      <c r="AM169" s="108"/>
      <c r="AN169" s="108"/>
    </row>
    <row r="170" spans="1:44" s="372" customFormat="1" ht="26.25" customHeight="1">
      <c r="A170" s="379">
        <f>_xlfn.AGGREGATE(4,7,A$19:A169)+1</f>
        <v>150</v>
      </c>
      <c r="B170" s="363" t="s">
        <v>1504</v>
      </c>
      <c r="C170" s="364" t="s">
        <v>1041</v>
      </c>
      <c r="D170" s="434" t="s">
        <v>1736</v>
      </c>
      <c r="E170" s="434" t="s">
        <v>503</v>
      </c>
      <c r="F170" s="373">
        <v>4.32</v>
      </c>
      <c r="G170" s="367"/>
      <c r="H170" s="368">
        <f t="shared" si="28"/>
        <v>4.32</v>
      </c>
      <c r="I170" s="368"/>
      <c r="J170" s="368" t="str">
        <f>VLOOKUP(B170,[4]CN!$B$33:$J$365,9,FALSE)</f>
        <v>Giảng viên khoa LLCT</v>
      </c>
      <c r="K170" s="369">
        <f t="shared" si="29"/>
        <v>4.32</v>
      </c>
      <c r="L170" s="362">
        <f t="shared" si="30"/>
        <v>7776000.0000000009</v>
      </c>
      <c r="M170" s="366" t="str">
        <f>VLOOKUP(B170,'[5]Gui chi Quynh'!$B$11:$E$400,4,FALSE)</f>
        <v>A4</v>
      </c>
      <c r="N170" s="494">
        <f t="shared" si="32"/>
        <v>7776000.0000000009</v>
      </c>
      <c r="O170" s="376">
        <v>9</v>
      </c>
      <c r="P170" s="440">
        <f>IFERROR(INDEX('[6]CN BC'!$J$10:$J$277,MATCH(B170,'[6]CN BC'!$H$10:$H$277,0)),"")</f>
        <v>9</v>
      </c>
      <c r="Q170" s="494">
        <f t="shared" si="41"/>
        <v>7776000.0000000009</v>
      </c>
      <c r="R170" s="460"/>
      <c r="S170" s="362">
        <f t="shared" si="31"/>
        <v>0</v>
      </c>
      <c r="T170" s="370"/>
      <c r="U170" s="362">
        <f t="shared" si="42"/>
        <v>0</v>
      </c>
      <c r="V170" s="584">
        <f t="shared" si="35"/>
        <v>77760</v>
      </c>
      <c r="W170" s="371">
        <f t="shared" si="40"/>
        <v>7776000.0000000009</v>
      </c>
      <c r="X170" s="440">
        <f>IFERROR(INDEX([7]TL!$X$12:$X$200,MATCH(B170,[7]TL!$B$12:$B$200,0)),"0")</f>
        <v>1272436.3636363642</v>
      </c>
      <c r="Y170" s="663">
        <f t="shared" si="37"/>
        <v>9048436.3636363652</v>
      </c>
      <c r="Z170" s="664">
        <f t="shared" si="38"/>
        <v>5.0269090909090917</v>
      </c>
      <c r="AA170" s="662">
        <v>1800000</v>
      </c>
      <c r="AB170" s="663">
        <f t="shared" si="39"/>
        <v>9048436.3636363652</v>
      </c>
      <c r="AC170" s="568">
        <f t="shared" si="36"/>
        <v>150</v>
      </c>
      <c r="AD170" s="493">
        <f>IFERROR(INDEX('[6]CN BC'!$M$10:$M$276,MATCH(B170,'[6]CN BC'!$H$10:$H$276,0)),"")</f>
        <v>0</v>
      </c>
      <c r="AE170" s="522" t="s">
        <v>1121</v>
      </c>
      <c r="AF170" s="108"/>
      <c r="AG170" s="108"/>
      <c r="AH170" s="155"/>
      <c r="AI170" s="108"/>
      <c r="AJ170" s="108"/>
      <c r="AK170" s="108"/>
      <c r="AL170" s="108"/>
      <c r="AM170" s="108"/>
      <c r="AN170" s="108"/>
    </row>
    <row r="171" spans="1:44" s="372" customFormat="1" ht="27" customHeight="1">
      <c r="A171" s="379">
        <f>_xlfn.AGGREGATE(4,7,A$19:A170)+1</f>
        <v>151</v>
      </c>
      <c r="B171" s="363" t="s">
        <v>1505</v>
      </c>
      <c r="C171" s="364" t="s">
        <v>920</v>
      </c>
      <c r="D171" s="434" t="s">
        <v>1737</v>
      </c>
      <c r="E171" s="422" t="s">
        <v>1592</v>
      </c>
      <c r="F171" s="373">
        <v>3.33</v>
      </c>
      <c r="G171" s="367"/>
      <c r="H171" s="445">
        <f t="shared" si="28"/>
        <v>3.33</v>
      </c>
      <c r="I171" s="368"/>
      <c r="J171" s="368" t="str">
        <f>VLOOKUP(B171,[4]CN!$B$33:$J$365,9,FALSE)</f>
        <v>Giảng viên khoa LLCT</v>
      </c>
      <c r="K171" s="369">
        <f t="shared" si="29"/>
        <v>3.33</v>
      </c>
      <c r="L171" s="362">
        <f t="shared" si="30"/>
        <v>5994000</v>
      </c>
      <c r="M171" s="366" t="str">
        <f>VLOOKUP(B171,'[5]Gui chi Quynh'!$B$11:$E$400,4,FALSE)</f>
        <v>A4</v>
      </c>
      <c r="N171" s="494">
        <f t="shared" si="32"/>
        <v>5994000</v>
      </c>
      <c r="O171" s="376">
        <v>9</v>
      </c>
      <c r="P171" s="440">
        <f>IFERROR(INDEX('[6]CN BC'!$J$10:$J$277,MATCH(B171,'[6]CN BC'!$H$10:$H$277,0)),"")</f>
        <v>9</v>
      </c>
      <c r="Q171" s="494">
        <f t="shared" si="41"/>
        <v>5994000</v>
      </c>
      <c r="R171" s="460"/>
      <c r="S171" s="362">
        <f t="shared" si="31"/>
        <v>0</v>
      </c>
      <c r="T171" s="370"/>
      <c r="U171" s="362">
        <f t="shared" si="42"/>
        <v>0</v>
      </c>
      <c r="V171" s="584">
        <f t="shared" si="35"/>
        <v>59940</v>
      </c>
      <c r="W171" s="371">
        <f t="shared" si="40"/>
        <v>5994000</v>
      </c>
      <c r="X171" s="440">
        <f>IFERROR(INDEX([7]TL!$X$12:$X$200,MATCH(B171,[7]TL!$B$12:$B$200,0)),"0")</f>
        <v>980836.36363636423</v>
      </c>
      <c r="Y171" s="663">
        <f t="shared" si="37"/>
        <v>6974836.3636363642</v>
      </c>
      <c r="Z171" s="664">
        <f t="shared" si="38"/>
        <v>3.8749090909090911</v>
      </c>
      <c r="AA171" s="662">
        <v>1800000</v>
      </c>
      <c r="AB171" s="663">
        <f t="shared" si="39"/>
        <v>6974836.3636363642</v>
      </c>
      <c r="AC171" s="568">
        <f t="shared" si="36"/>
        <v>151</v>
      </c>
      <c r="AD171" s="493">
        <f>IFERROR(INDEX('[6]CN BC'!$M$10:$M$276,MATCH(B171,'[6]CN BC'!$H$10:$H$276,0)),"")</f>
        <v>0</v>
      </c>
      <c r="AE171" s="522" t="s">
        <v>1122</v>
      </c>
      <c r="AF171" s="108"/>
      <c r="AG171" s="108"/>
      <c r="AH171" s="155"/>
      <c r="AI171" s="108"/>
      <c r="AJ171" s="108"/>
      <c r="AK171" s="108"/>
      <c r="AL171" s="108"/>
      <c r="AM171" s="108"/>
      <c r="AN171" s="108"/>
    </row>
    <row r="172" spans="1:44" s="372" customFormat="1" ht="28.15" customHeight="1">
      <c r="A172" s="379">
        <f>_xlfn.AGGREGATE(4,7,A$19:A171)+1</f>
        <v>152</v>
      </c>
      <c r="B172" s="363" t="s">
        <v>1881</v>
      </c>
      <c r="C172" s="364" t="s">
        <v>891</v>
      </c>
      <c r="D172" s="434" t="s">
        <v>1738</v>
      </c>
      <c r="E172" s="423" t="s">
        <v>379</v>
      </c>
      <c r="F172" s="373">
        <v>3.66</v>
      </c>
      <c r="G172" s="367"/>
      <c r="H172" s="368">
        <f t="shared" si="28"/>
        <v>3.66</v>
      </c>
      <c r="I172" s="368"/>
      <c r="J172" s="368" t="str">
        <f>VLOOKUP(B172,[4]CN!$B$33:$J$365,9,FALSE)</f>
        <v>Giảng viên khoa LLCT</v>
      </c>
      <c r="K172" s="369">
        <f t="shared" si="29"/>
        <v>3.66</v>
      </c>
      <c r="L172" s="362">
        <f t="shared" si="30"/>
        <v>6588000</v>
      </c>
      <c r="M172" s="366" t="str">
        <f>VLOOKUP(B172,'[5]Gui chi Quynh'!$B$11:$E$400,4,FALSE)</f>
        <v>A4</v>
      </c>
      <c r="N172" s="494">
        <f t="shared" si="32"/>
        <v>6588000</v>
      </c>
      <c r="O172" s="376">
        <v>9</v>
      </c>
      <c r="P172" s="440">
        <f>IFERROR(INDEX('[6]CN BC'!$J$10:$J$277,MATCH(B172,'[6]CN BC'!$H$10:$H$277,0)),"")</f>
        <v>9</v>
      </c>
      <c r="Q172" s="494">
        <f t="shared" si="41"/>
        <v>6588000</v>
      </c>
      <c r="R172" s="460">
        <v>0</v>
      </c>
      <c r="S172" s="362">
        <f t="shared" si="31"/>
        <v>0</v>
      </c>
      <c r="T172" s="370"/>
      <c r="U172" s="362">
        <f t="shared" si="42"/>
        <v>0</v>
      </c>
      <c r="V172" s="584">
        <f t="shared" si="35"/>
        <v>65880</v>
      </c>
      <c r="W172" s="371">
        <f t="shared" si="40"/>
        <v>6588000</v>
      </c>
      <c r="X172" s="440">
        <f>IFERROR(INDEX([7]TL!$X$12:$X$200,MATCH(B172,[7]TL!$B$12:$B$200,0)),"0")</f>
        <v>898363.63636363577</v>
      </c>
      <c r="Y172" s="663">
        <f t="shared" si="37"/>
        <v>7486363.6363636358</v>
      </c>
      <c r="Z172" s="664">
        <f t="shared" si="38"/>
        <v>4.1590909090909092</v>
      </c>
      <c r="AA172" s="662">
        <v>1800000</v>
      </c>
      <c r="AB172" s="663">
        <f t="shared" si="39"/>
        <v>7486363.6363636367</v>
      </c>
      <c r="AC172" s="568">
        <f t="shared" si="36"/>
        <v>152</v>
      </c>
      <c r="AD172" s="493">
        <f>IFERROR(INDEX('[6]CN BC'!$M$10:$M$276,MATCH(B172,'[6]CN BC'!$H$10:$H$276,0)),"")</f>
        <v>0</v>
      </c>
      <c r="AE172" s="522" t="s">
        <v>1124</v>
      </c>
      <c r="AF172" s="108"/>
      <c r="AG172" s="108"/>
      <c r="AH172" s="155"/>
      <c r="AI172" s="108"/>
      <c r="AJ172" s="108"/>
      <c r="AK172" s="108"/>
      <c r="AL172" s="108"/>
      <c r="AM172" s="108"/>
      <c r="AN172" s="108"/>
    </row>
    <row r="173" spans="1:44" s="372" customFormat="1" ht="27.75" customHeight="1">
      <c r="A173" s="379">
        <f>_xlfn.AGGREGATE(4,7,A$19:A172)+1</f>
        <v>153</v>
      </c>
      <c r="B173" s="390" t="s">
        <v>1506</v>
      </c>
      <c r="C173" s="490" t="s">
        <v>1426</v>
      </c>
      <c r="D173" s="434" t="s">
        <v>1739</v>
      </c>
      <c r="E173" s="422" t="s">
        <v>1427</v>
      </c>
      <c r="F173" s="373">
        <v>3.33</v>
      </c>
      <c r="G173" s="367"/>
      <c r="H173" s="445">
        <f t="shared" si="28"/>
        <v>3.33</v>
      </c>
      <c r="I173" s="368"/>
      <c r="J173" s="368" t="str">
        <f>VLOOKUP(B173,[4]CN!$B$33:$J$365,9,FALSE)</f>
        <v>Giảng viên khoa LLCT</v>
      </c>
      <c r="K173" s="369">
        <f t="shared" si="29"/>
        <v>3.33</v>
      </c>
      <c r="L173" s="362">
        <f t="shared" si="30"/>
        <v>5994000</v>
      </c>
      <c r="M173" s="366" t="str">
        <f>VLOOKUP(B173,'[5]Gui chi Quynh'!$B$11:$E$400,4,FALSE)</f>
        <v>A4</v>
      </c>
      <c r="N173" s="494">
        <f t="shared" si="32"/>
        <v>5994000</v>
      </c>
      <c r="O173" s="376">
        <v>9</v>
      </c>
      <c r="P173" s="440">
        <f>IFERROR(INDEX('[6]CN BC'!$J$10:$J$277,MATCH(B173,'[6]CN BC'!$H$10:$H$277,0)),"")</f>
        <v>9</v>
      </c>
      <c r="Q173" s="494">
        <f t="shared" si="41"/>
        <v>5994000</v>
      </c>
      <c r="R173" s="460"/>
      <c r="S173" s="362">
        <f t="shared" si="31"/>
        <v>0</v>
      </c>
      <c r="T173" s="370"/>
      <c r="U173" s="362">
        <f t="shared" si="42"/>
        <v>0</v>
      </c>
      <c r="V173" s="584">
        <f t="shared" si="35"/>
        <v>59940</v>
      </c>
      <c r="W173" s="371">
        <f t="shared" si="40"/>
        <v>5994000</v>
      </c>
      <c r="X173" s="440">
        <f>IFERROR(INDEX([7]TL!$X$12:$X$200,MATCH(B173,[7]TL!$B$12:$B$200,0)),"0")</f>
        <v>980836.36363636423</v>
      </c>
      <c r="Y173" s="663">
        <f t="shared" si="37"/>
        <v>6974836.3636363642</v>
      </c>
      <c r="Z173" s="664">
        <f t="shared" si="38"/>
        <v>3.8749090909090911</v>
      </c>
      <c r="AA173" s="662">
        <v>1800000</v>
      </c>
      <c r="AB173" s="663">
        <f t="shared" si="39"/>
        <v>6974836.3636363642</v>
      </c>
      <c r="AC173" s="568">
        <f t="shared" si="36"/>
        <v>153</v>
      </c>
      <c r="AD173" s="493">
        <f>IFERROR(INDEX('[6]CN BC'!$M$10:$M$276,MATCH(B173,'[6]CN BC'!$H$10:$H$276,0)),"")</f>
        <v>0</v>
      </c>
      <c r="AE173" s="522" t="s">
        <v>1125</v>
      </c>
      <c r="AF173" s="108"/>
      <c r="AG173" s="108"/>
      <c r="AH173" s="155"/>
    </row>
    <row r="174" spans="1:44" s="372" customFormat="1" ht="36.75" customHeight="1">
      <c r="A174" s="682">
        <f>_xlfn.AGGREGATE(4,7,A$19:A173)+1</f>
        <v>154</v>
      </c>
      <c r="B174" s="683" t="s">
        <v>1507</v>
      </c>
      <c r="C174" s="684" t="s">
        <v>1016</v>
      </c>
      <c r="D174" s="685" t="s">
        <v>1740</v>
      </c>
      <c r="E174" s="686" t="s">
        <v>1340</v>
      </c>
      <c r="F174" s="687">
        <v>3.99</v>
      </c>
      <c r="G174" s="688"/>
      <c r="H174" s="689">
        <f t="shared" si="28"/>
        <v>3.99</v>
      </c>
      <c r="I174" s="689"/>
      <c r="J174" s="689" t="str">
        <f>VLOOKUP(B174,[4]CN!$B$33:$J$365,9,FALSE)</f>
        <v>Giảng viên khoa CNTT</v>
      </c>
      <c r="K174" s="690">
        <f t="shared" si="29"/>
        <v>3.99</v>
      </c>
      <c r="L174" s="691">
        <f t="shared" si="30"/>
        <v>7182000</v>
      </c>
      <c r="M174" s="687"/>
      <c r="N174" s="692">
        <f t="shared" si="32"/>
        <v>0</v>
      </c>
      <c r="O174" s="693">
        <v>9</v>
      </c>
      <c r="P174" s="694" t="str">
        <f>IFERROR(INDEX('[6]CN BC'!$J$10:$J$277,MATCH(B174,'[6]CN BC'!$H$10:$H$277,0)),"")</f>
        <v/>
      </c>
      <c r="Q174" s="692">
        <f t="shared" si="41"/>
        <v>0</v>
      </c>
      <c r="R174" s="695"/>
      <c r="S174" s="691">
        <f t="shared" si="31"/>
        <v>0</v>
      </c>
      <c r="T174" s="696"/>
      <c r="U174" s="691">
        <f t="shared" si="42"/>
        <v>0</v>
      </c>
      <c r="V174" s="691" t="str">
        <f t="shared" si="35"/>
        <v>0</v>
      </c>
      <c r="W174" s="697">
        <f t="shared" si="40"/>
        <v>0</v>
      </c>
      <c r="X174" s="694">
        <f>IFERROR(INDEX([7]TL!$X$12:$X$200,MATCH(B174,[7]TL!$B$12:$B$200,0)),"0")</f>
        <v>979363.63636363577</v>
      </c>
      <c r="Y174" s="698">
        <f t="shared" si="37"/>
        <v>979363.63636363577</v>
      </c>
      <c r="Z174" s="699">
        <f t="shared" si="38"/>
        <v>0.54409090909090874</v>
      </c>
      <c r="AA174" s="700">
        <v>1800000</v>
      </c>
      <c r="AB174" s="698">
        <f t="shared" si="39"/>
        <v>979363.63636363577</v>
      </c>
      <c r="AC174" s="701">
        <f t="shared" si="36"/>
        <v>154</v>
      </c>
      <c r="AD174" s="702" t="str">
        <f>IFERROR(INDEX('[6]CN BC'!$M$10:$M$276,MATCH(B174,'[6]CN BC'!$H$10:$H$276,0)),"")</f>
        <v/>
      </c>
      <c r="AE174" s="539" t="s">
        <v>812</v>
      </c>
      <c r="AH174" s="487"/>
    </row>
    <row r="175" spans="1:44" s="372" customFormat="1" ht="27" customHeight="1">
      <c r="A175" s="379">
        <f>_xlfn.AGGREGATE(4,7,A$19:A174)+1</f>
        <v>155</v>
      </c>
      <c r="B175" s="363" t="s">
        <v>1882</v>
      </c>
      <c r="C175" s="364" t="s">
        <v>947</v>
      </c>
      <c r="D175" s="434" t="s">
        <v>1741</v>
      </c>
      <c r="E175" s="423" t="s">
        <v>1341</v>
      </c>
      <c r="F175" s="373">
        <v>4.32</v>
      </c>
      <c r="G175" s="367"/>
      <c r="H175" s="368">
        <f t="shared" si="28"/>
        <v>4.32</v>
      </c>
      <c r="I175" s="368"/>
      <c r="J175" s="368" t="str">
        <f>VLOOKUP(B175,[4]CN!$B$33:$J$365,9,FALSE)</f>
        <v>Giảng viên khoa CNTT</v>
      </c>
      <c r="K175" s="369">
        <f t="shared" si="29"/>
        <v>4.32</v>
      </c>
      <c r="L175" s="362">
        <f t="shared" si="30"/>
        <v>7776000.0000000009</v>
      </c>
      <c r="M175" s="366" t="str">
        <f>VLOOKUP(B175,'[5]Gui chi Quynh'!$B$11:$E$400,4,FALSE)</f>
        <v>A4</v>
      </c>
      <c r="N175" s="494">
        <f t="shared" si="32"/>
        <v>7776000.0000000009</v>
      </c>
      <c r="O175" s="376">
        <v>9</v>
      </c>
      <c r="P175" s="440">
        <f>IFERROR(INDEX('[6]CN BC'!$J$10:$J$277,MATCH(B175,'[6]CN BC'!$H$10:$H$277,0)),"")</f>
        <v>9</v>
      </c>
      <c r="Q175" s="494">
        <f t="shared" si="41"/>
        <v>7776000.0000000009</v>
      </c>
      <c r="R175" s="460"/>
      <c r="S175" s="362">
        <f t="shared" si="31"/>
        <v>0</v>
      </c>
      <c r="T175" s="370"/>
      <c r="U175" s="362">
        <f t="shared" si="42"/>
        <v>0</v>
      </c>
      <c r="V175" s="584">
        <f t="shared" si="35"/>
        <v>77760</v>
      </c>
      <c r="W175" s="371">
        <f t="shared" si="40"/>
        <v>7776000.0000000009</v>
      </c>
      <c r="X175" s="440">
        <f>IFERROR(INDEX([7]TL!$X$12:$X$200,MATCH(B175,[7]TL!$B$12:$B$200,0)),"0")</f>
        <v>1060363.6363636367</v>
      </c>
      <c r="Y175" s="663">
        <f t="shared" si="37"/>
        <v>8836363.6363636367</v>
      </c>
      <c r="Z175" s="664">
        <f t="shared" si="38"/>
        <v>4.9090909090909092</v>
      </c>
      <c r="AA175" s="662">
        <v>1800000</v>
      </c>
      <c r="AB175" s="663">
        <f t="shared" si="39"/>
        <v>8836363.6363636367</v>
      </c>
      <c r="AC175" s="568">
        <f t="shared" si="36"/>
        <v>155</v>
      </c>
      <c r="AD175" s="493">
        <f>IFERROR(INDEX('[6]CN BC'!$M$10:$M$276,MATCH(B175,'[6]CN BC'!$H$10:$H$276,0)),"")</f>
        <v>0</v>
      </c>
      <c r="AE175" s="523" t="s">
        <v>813</v>
      </c>
      <c r="AF175" s="108"/>
      <c r="AG175" s="108"/>
      <c r="AH175" s="155"/>
    </row>
    <row r="176" spans="1:44" s="108" customFormat="1" ht="28.5" customHeight="1">
      <c r="A176" s="379">
        <f>_xlfn.AGGREGATE(4,7,A$19:A175)+1</f>
        <v>156</v>
      </c>
      <c r="B176" s="33" t="s">
        <v>1508</v>
      </c>
      <c r="C176" s="34" t="s">
        <v>1019</v>
      </c>
      <c r="D176" s="406" t="s">
        <v>1742</v>
      </c>
      <c r="E176" s="424" t="s">
        <v>1342</v>
      </c>
      <c r="F176" s="83">
        <v>3.99</v>
      </c>
      <c r="G176" s="157"/>
      <c r="H176" s="368">
        <f t="shared" si="28"/>
        <v>3.99</v>
      </c>
      <c r="I176" s="81"/>
      <c r="J176" s="368" t="str">
        <f>VLOOKUP(B176,[4]CN!$B$33:$J$365,9,FALSE)</f>
        <v>Giảng viên khoa CNTT</v>
      </c>
      <c r="K176" s="369">
        <f t="shared" si="29"/>
        <v>3.99</v>
      </c>
      <c r="L176" s="362">
        <f t="shared" si="30"/>
        <v>7182000</v>
      </c>
      <c r="M176" s="366" t="str">
        <f>VLOOKUP(B176,'[5]Gui chi Quynh'!$B$11:$E$400,4,FALSE)</f>
        <v>A4</v>
      </c>
      <c r="N176" s="494">
        <f t="shared" si="32"/>
        <v>7182000</v>
      </c>
      <c r="O176" s="376">
        <v>9</v>
      </c>
      <c r="P176" s="440">
        <f>IFERROR(INDEX('[6]CN BC'!$J$10:$J$277,MATCH(B176,'[6]CN BC'!$H$10:$H$277,0)),"")</f>
        <v>9</v>
      </c>
      <c r="Q176" s="494">
        <f t="shared" si="41"/>
        <v>7182000</v>
      </c>
      <c r="R176" s="392"/>
      <c r="S176" s="362">
        <f t="shared" si="31"/>
        <v>0</v>
      </c>
      <c r="T176" s="385"/>
      <c r="U176" s="362">
        <f t="shared" si="42"/>
        <v>0</v>
      </c>
      <c r="V176" s="584">
        <f t="shared" si="35"/>
        <v>71820</v>
      </c>
      <c r="W176" s="371">
        <f t="shared" si="40"/>
        <v>7182000</v>
      </c>
      <c r="X176" s="440">
        <f>IFERROR(INDEX([7]TL!$X$12:$X$200,MATCH(B176,[7]TL!$B$12:$B$200,0)),"0")</f>
        <v>1175236.3636363642</v>
      </c>
      <c r="Y176" s="663">
        <f t="shared" si="37"/>
        <v>8357236.3636363642</v>
      </c>
      <c r="Z176" s="664">
        <f t="shared" si="38"/>
        <v>4.6429090909090913</v>
      </c>
      <c r="AA176" s="662">
        <v>1800000</v>
      </c>
      <c r="AB176" s="663">
        <f t="shared" si="39"/>
        <v>8357236.3636363642</v>
      </c>
      <c r="AC176" s="568">
        <f t="shared" si="36"/>
        <v>156</v>
      </c>
      <c r="AD176" s="493">
        <f>IFERROR(INDEX('[6]CN BC'!$M$10:$M$276,MATCH(B176,'[6]CN BC'!$H$10:$H$276,0)),"")</f>
        <v>0</v>
      </c>
      <c r="AE176" s="523" t="s">
        <v>814</v>
      </c>
      <c r="AH176" s="155"/>
    </row>
    <row r="177" spans="1:44" s="108" customFormat="1" ht="26.25" customHeight="1">
      <c r="A177" s="379">
        <f>_xlfn.AGGREGATE(4,7,A$19:A176)+1</f>
        <v>157</v>
      </c>
      <c r="B177" s="33" t="s">
        <v>1509</v>
      </c>
      <c r="C177" s="34" t="s">
        <v>1023</v>
      </c>
      <c r="D177" s="406" t="s">
        <v>1743</v>
      </c>
      <c r="E177" s="424" t="s">
        <v>1344</v>
      </c>
      <c r="F177" s="10">
        <v>3.99</v>
      </c>
      <c r="G177" s="157"/>
      <c r="H177" s="368">
        <f t="shared" si="28"/>
        <v>3.99</v>
      </c>
      <c r="I177" s="81"/>
      <c r="J177" s="368" t="str">
        <f>VLOOKUP(B177,[4]CN!$B$33:$J$365,9,FALSE)</f>
        <v>Giảng viên khoa CNTT</v>
      </c>
      <c r="K177" s="369">
        <f t="shared" si="29"/>
        <v>3.99</v>
      </c>
      <c r="L177" s="362">
        <f t="shared" si="30"/>
        <v>7182000</v>
      </c>
      <c r="M177" s="366" t="str">
        <f>VLOOKUP(B177,'[5]Gui chi Quynh'!$B$11:$E$400,4,FALSE)</f>
        <v>A4</v>
      </c>
      <c r="N177" s="494">
        <f t="shared" si="32"/>
        <v>7182000</v>
      </c>
      <c r="O177" s="376">
        <v>9</v>
      </c>
      <c r="P177" s="440">
        <f>IFERROR(INDEX('[6]CN BC'!$J$10:$J$277,MATCH(B177,'[6]CN BC'!$H$10:$H$277,0)),"")</f>
        <v>9</v>
      </c>
      <c r="Q177" s="494">
        <f t="shared" si="41"/>
        <v>7182000</v>
      </c>
      <c r="R177" s="392"/>
      <c r="S177" s="362">
        <f t="shared" si="31"/>
        <v>0</v>
      </c>
      <c r="T177" s="385"/>
      <c r="U177" s="362">
        <f t="shared" si="42"/>
        <v>0</v>
      </c>
      <c r="V177" s="584">
        <f t="shared" si="35"/>
        <v>71820</v>
      </c>
      <c r="W177" s="371">
        <f t="shared" si="40"/>
        <v>7182000</v>
      </c>
      <c r="X177" s="440">
        <f>IFERROR(INDEX([7]TL!$X$12:$X$200,MATCH(B177,[7]TL!$B$12:$B$200,0)),"0")</f>
        <v>979363.63636363577</v>
      </c>
      <c r="Y177" s="663">
        <f t="shared" si="37"/>
        <v>8161363.6363636358</v>
      </c>
      <c r="Z177" s="664">
        <f t="shared" si="38"/>
        <v>4.5340909090909092</v>
      </c>
      <c r="AA177" s="662">
        <v>1800000</v>
      </c>
      <c r="AB177" s="663">
        <f t="shared" si="39"/>
        <v>8161363.6363636367</v>
      </c>
      <c r="AC177" s="568">
        <f t="shared" si="36"/>
        <v>157</v>
      </c>
      <c r="AD177" s="493">
        <f>IFERROR(INDEX('[6]CN BC'!$M$10:$M$276,MATCH(B177,'[6]CN BC'!$H$10:$H$276,0)),"")</f>
        <v>0</v>
      </c>
      <c r="AE177" s="523" t="s">
        <v>815</v>
      </c>
      <c r="AH177" s="155"/>
    </row>
    <row r="178" spans="1:44" s="372" customFormat="1" ht="25.5" customHeight="1">
      <c r="A178" s="379">
        <f>_xlfn.AGGREGATE(4,7,A$19:A177)+1</f>
        <v>158</v>
      </c>
      <c r="B178" s="363" t="s">
        <v>1510</v>
      </c>
      <c r="C178" s="364" t="s">
        <v>891</v>
      </c>
      <c r="D178" s="434" t="s">
        <v>1744</v>
      </c>
      <c r="E178" s="423" t="s">
        <v>1347</v>
      </c>
      <c r="F178" s="373">
        <v>3.66</v>
      </c>
      <c r="G178" s="367"/>
      <c r="H178" s="368">
        <f t="shared" si="28"/>
        <v>3.66</v>
      </c>
      <c r="I178" s="368"/>
      <c r="J178" s="368" t="str">
        <f>VLOOKUP(B178,[4]CN!$B$33:$J$365,9,FALSE)</f>
        <v>Giảng viên khoa CNTT</v>
      </c>
      <c r="K178" s="369">
        <f t="shared" si="29"/>
        <v>3.66</v>
      </c>
      <c r="L178" s="362">
        <f t="shared" si="30"/>
        <v>6588000</v>
      </c>
      <c r="M178" s="366" t="str">
        <f>VLOOKUP(B178,'[5]Gui chi Quynh'!$B$11:$E$400,4,FALSE)</f>
        <v>A4</v>
      </c>
      <c r="N178" s="494">
        <f t="shared" si="32"/>
        <v>6588000</v>
      </c>
      <c r="O178" s="376">
        <v>9</v>
      </c>
      <c r="P178" s="440">
        <f>IFERROR(INDEX('[6]CN BC'!$J$10:$J$277,MATCH(B178,'[6]CN BC'!$H$10:$H$277,0)),"")</f>
        <v>9</v>
      </c>
      <c r="Q178" s="494">
        <f t="shared" si="41"/>
        <v>6588000</v>
      </c>
      <c r="R178" s="460"/>
      <c r="S178" s="362">
        <f t="shared" si="31"/>
        <v>0</v>
      </c>
      <c r="T178" s="370"/>
      <c r="U178" s="362">
        <f t="shared" si="42"/>
        <v>0</v>
      </c>
      <c r="V178" s="584">
        <f t="shared" si="35"/>
        <v>65880</v>
      </c>
      <c r="W178" s="371">
        <f t="shared" si="40"/>
        <v>6588000</v>
      </c>
      <c r="X178" s="440">
        <f>IFERROR(INDEX([7]TL!$X$12:$X$200,MATCH(B178,[7]TL!$B$12:$B$200,0)),"0")</f>
        <v>898363.63636363577</v>
      </c>
      <c r="Y178" s="663">
        <f t="shared" si="37"/>
        <v>7486363.6363636358</v>
      </c>
      <c r="Z178" s="664">
        <f t="shared" si="38"/>
        <v>4.1590909090909092</v>
      </c>
      <c r="AA178" s="662">
        <v>1800000</v>
      </c>
      <c r="AB178" s="663">
        <f t="shared" si="39"/>
        <v>7486363.6363636367</v>
      </c>
      <c r="AC178" s="568">
        <f t="shared" si="36"/>
        <v>158</v>
      </c>
      <c r="AD178" s="493">
        <f>IFERROR(INDEX('[6]CN BC'!$M$10:$M$276,MATCH(B178,'[6]CN BC'!$H$10:$H$276,0)),"")</f>
        <v>0</v>
      </c>
      <c r="AE178" s="539" t="s">
        <v>816</v>
      </c>
      <c r="AH178" s="487"/>
    </row>
    <row r="179" spans="1:44" s="372" customFormat="1" ht="27" customHeight="1">
      <c r="A179" s="379">
        <f>_xlfn.AGGREGATE(4,7,A$19:A178)+1</f>
        <v>159</v>
      </c>
      <c r="B179" s="390" t="s">
        <v>1511</v>
      </c>
      <c r="C179" s="364" t="s">
        <v>867</v>
      </c>
      <c r="D179" s="434" t="s">
        <v>1745</v>
      </c>
      <c r="E179" s="423" t="s">
        <v>1349</v>
      </c>
      <c r="F179" s="373">
        <v>3.99</v>
      </c>
      <c r="G179" s="367"/>
      <c r="H179" s="368">
        <f t="shared" si="28"/>
        <v>3.99</v>
      </c>
      <c r="I179" s="368"/>
      <c r="J179" s="368" t="str">
        <f>VLOOKUP(B179,[4]CN!$B$33:$J$365,9,FALSE)</f>
        <v>Giảng viên khoa CNTT</v>
      </c>
      <c r="K179" s="369">
        <f t="shared" si="29"/>
        <v>3.99</v>
      </c>
      <c r="L179" s="362">
        <f t="shared" si="30"/>
        <v>7182000</v>
      </c>
      <c r="M179" s="366" t="str">
        <f>VLOOKUP(B179,'[5]Gui chi Quynh'!$B$11:$E$400,4,FALSE)</f>
        <v>A4</v>
      </c>
      <c r="N179" s="494">
        <f t="shared" si="32"/>
        <v>7182000</v>
      </c>
      <c r="O179" s="376">
        <v>9</v>
      </c>
      <c r="P179" s="440">
        <f>IFERROR(INDEX('[6]CN BC'!$J$10:$J$277,MATCH(B179,'[6]CN BC'!$H$10:$H$277,0)),"")</f>
        <v>9</v>
      </c>
      <c r="Q179" s="494">
        <f t="shared" si="41"/>
        <v>7182000</v>
      </c>
      <c r="R179" s="392"/>
      <c r="S179" s="362">
        <f t="shared" si="31"/>
        <v>0</v>
      </c>
      <c r="T179" s="370"/>
      <c r="U179" s="362">
        <f t="shared" si="42"/>
        <v>0</v>
      </c>
      <c r="V179" s="584">
        <f t="shared" si="35"/>
        <v>71820</v>
      </c>
      <c r="W179" s="371">
        <f t="shared" si="40"/>
        <v>7182000</v>
      </c>
      <c r="X179" s="440">
        <f>IFERROR(INDEX([7]TL!$X$12:$X$200,MATCH(B179,[7]TL!$B$12:$B$200,0)),"0")</f>
        <v>1175236.3636363642</v>
      </c>
      <c r="Y179" s="663">
        <f t="shared" si="37"/>
        <v>8357236.3636363642</v>
      </c>
      <c r="Z179" s="664">
        <f t="shared" si="38"/>
        <v>4.6429090909090913</v>
      </c>
      <c r="AA179" s="662">
        <v>1800000</v>
      </c>
      <c r="AB179" s="663">
        <f t="shared" si="39"/>
        <v>8357236.3636363642</v>
      </c>
      <c r="AC179" s="568">
        <f t="shared" si="36"/>
        <v>159</v>
      </c>
      <c r="AD179" s="493">
        <f>IFERROR(INDEX('[6]CN BC'!$M$10:$M$276,MATCH(B179,'[6]CN BC'!$H$10:$H$276,0)),"")</f>
        <v>0</v>
      </c>
      <c r="AE179" s="523" t="s">
        <v>817</v>
      </c>
      <c r="AF179" s="108"/>
      <c r="AG179" s="108"/>
      <c r="AH179" s="155"/>
      <c r="AI179" s="108"/>
      <c r="AJ179" s="108"/>
      <c r="AK179" s="108"/>
      <c r="AL179" s="108"/>
      <c r="AM179" s="108"/>
      <c r="AN179" s="108"/>
    </row>
    <row r="180" spans="1:44" s="372" customFormat="1" ht="27" customHeight="1">
      <c r="A180" s="379">
        <f>_xlfn.AGGREGATE(4,7,A$19:A179)+1</f>
        <v>160</v>
      </c>
      <c r="B180" s="363" t="s">
        <v>1512</v>
      </c>
      <c r="C180" s="364" t="s">
        <v>1209</v>
      </c>
      <c r="D180" s="434" t="s">
        <v>1746</v>
      </c>
      <c r="E180" s="423" t="s">
        <v>1350</v>
      </c>
      <c r="F180" s="373">
        <v>3.99</v>
      </c>
      <c r="G180" s="367"/>
      <c r="H180" s="368">
        <f t="shared" si="28"/>
        <v>3.99</v>
      </c>
      <c r="I180" s="368"/>
      <c r="J180" s="368" t="str">
        <f>VLOOKUP(B180,[4]CN!$B$33:$J$365,9,FALSE)</f>
        <v>Giảng viên khoa CNTT</v>
      </c>
      <c r="K180" s="369">
        <f t="shared" si="29"/>
        <v>3.99</v>
      </c>
      <c r="L180" s="362">
        <f t="shared" si="30"/>
        <v>7182000</v>
      </c>
      <c r="M180" s="366" t="str">
        <f>VLOOKUP(B180,'[5]Gui chi Quynh'!$B$11:$E$400,4,FALSE)</f>
        <v>A4</v>
      </c>
      <c r="N180" s="494">
        <f t="shared" si="32"/>
        <v>7182000</v>
      </c>
      <c r="O180" s="376">
        <v>9</v>
      </c>
      <c r="P180" s="440">
        <f>IFERROR(INDEX('[6]CN BC'!$J$10:$J$277,MATCH(B180,'[6]CN BC'!$H$10:$H$277,0)),"")</f>
        <v>9</v>
      </c>
      <c r="Q180" s="494">
        <f t="shared" si="41"/>
        <v>7182000</v>
      </c>
      <c r="R180" s="460"/>
      <c r="S180" s="362">
        <f t="shared" si="31"/>
        <v>0</v>
      </c>
      <c r="T180" s="370"/>
      <c r="U180" s="362">
        <f t="shared" si="42"/>
        <v>0</v>
      </c>
      <c r="V180" s="584">
        <f t="shared" si="35"/>
        <v>71820</v>
      </c>
      <c r="W180" s="371">
        <f t="shared" si="40"/>
        <v>7182000</v>
      </c>
      <c r="X180" s="440">
        <f>IFERROR(INDEX([7]TL!$X$12:$X$200,MATCH(B180,[7]TL!$B$12:$B$200,0)),"0")</f>
        <v>979363.63636363577</v>
      </c>
      <c r="Y180" s="663">
        <f t="shared" si="37"/>
        <v>8161363.6363636358</v>
      </c>
      <c r="Z180" s="664">
        <f t="shared" si="38"/>
        <v>4.5340909090909092</v>
      </c>
      <c r="AA180" s="662">
        <v>1800000</v>
      </c>
      <c r="AB180" s="663">
        <f t="shared" si="39"/>
        <v>8161363.6363636367</v>
      </c>
      <c r="AC180" s="568">
        <f t="shared" si="36"/>
        <v>160</v>
      </c>
      <c r="AD180" s="493">
        <f>IFERROR(INDEX('[6]CN BC'!$M$10:$M$276,MATCH(B180,'[6]CN BC'!$H$10:$H$276,0)),"")</f>
        <v>0</v>
      </c>
      <c r="AE180" s="523" t="s">
        <v>818</v>
      </c>
      <c r="AF180" s="108"/>
      <c r="AG180" s="108"/>
      <c r="AH180" s="155"/>
      <c r="AI180" s="108"/>
      <c r="AJ180" s="108"/>
      <c r="AK180" s="108"/>
      <c r="AL180" s="108"/>
      <c r="AM180" s="108"/>
      <c r="AN180" s="108"/>
    </row>
    <row r="181" spans="1:44" s="108" customFormat="1" ht="27" customHeight="1">
      <c r="A181" s="379">
        <f>_xlfn.AGGREGATE(4,7,A$19:A180)+1</f>
        <v>161</v>
      </c>
      <c r="B181" s="33" t="s">
        <v>1513</v>
      </c>
      <c r="C181" s="34" t="s">
        <v>1211</v>
      </c>
      <c r="D181" s="406" t="s">
        <v>1747</v>
      </c>
      <c r="E181" s="424" t="s">
        <v>1353</v>
      </c>
      <c r="F181" s="83">
        <v>3.99</v>
      </c>
      <c r="G181" s="157"/>
      <c r="H181" s="368">
        <f t="shared" si="28"/>
        <v>3.99</v>
      </c>
      <c r="I181" s="514">
        <v>0.45</v>
      </c>
      <c r="J181" s="368" t="str">
        <f>VLOOKUP(B181,[4]CN!$B$33:$J$365,9,FALSE)</f>
        <v>Trưởng BM khoa CNTT</v>
      </c>
      <c r="K181" s="369">
        <f t="shared" si="29"/>
        <v>4.4400000000000004</v>
      </c>
      <c r="L181" s="362">
        <f t="shared" si="30"/>
        <v>7992000.0000000009</v>
      </c>
      <c r="M181" s="366" t="str">
        <f>VLOOKUP(B181,'[5]Gui chi Quynh'!$B$11:$E$400,4,FALSE)</f>
        <v>A1</v>
      </c>
      <c r="N181" s="494">
        <f t="shared" si="32"/>
        <v>12787200.000000002</v>
      </c>
      <c r="O181" s="376">
        <v>9</v>
      </c>
      <c r="P181" s="440">
        <f>IFERROR(INDEX('[6]CN BC'!$J$10:$J$277,MATCH(B181,'[6]CN BC'!$H$10:$H$277,0)),"")</f>
        <v>9</v>
      </c>
      <c r="Q181" s="494">
        <f t="shared" si="41"/>
        <v>12787200.000000002</v>
      </c>
      <c r="R181" s="392"/>
      <c r="S181" s="362">
        <f t="shared" si="31"/>
        <v>0</v>
      </c>
      <c r="T181" s="385"/>
      <c r="U181" s="362">
        <f t="shared" si="42"/>
        <v>0</v>
      </c>
      <c r="V181" s="584">
        <f t="shared" si="35"/>
        <v>79920</v>
      </c>
      <c r="W181" s="371">
        <f t="shared" si="40"/>
        <v>12787200.000000002</v>
      </c>
      <c r="X181" s="440">
        <f>IFERROR(INDEX([7]TL!$X$12:$X$200,MATCH(B181,[7]TL!$B$12:$B$200,0)),"0")</f>
        <v>1017163.6363636367</v>
      </c>
      <c r="Y181" s="663">
        <f t="shared" si="37"/>
        <v>13804363.636363639</v>
      </c>
      <c r="Z181" s="664">
        <f t="shared" si="38"/>
        <v>7.6690909090909107</v>
      </c>
      <c r="AA181" s="662">
        <v>1800000</v>
      </c>
      <c r="AB181" s="663">
        <f t="shared" si="39"/>
        <v>13804363.636363639</v>
      </c>
      <c r="AC181" s="568">
        <f t="shared" si="36"/>
        <v>161</v>
      </c>
      <c r="AD181" s="493">
        <f>IFERROR(INDEX('[6]CN BC'!$M$10:$M$276,MATCH(B181,'[6]CN BC'!$H$10:$H$276,0)),"")</f>
        <v>0</v>
      </c>
      <c r="AE181" s="523" t="s">
        <v>819</v>
      </c>
      <c r="AH181" s="155"/>
    </row>
    <row r="182" spans="1:44" s="372" customFormat="1" ht="30" customHeight="1">
      <c r="A182" s="379">
        <f>_xlfn.AGGREGATE(4,7,A$19:A181)+1</f>
        <v>162</v>
      </c>
      <c r="B182" s="363" t="s">
        <v>1514</v>
      </c>
      <c r="C182" s="364" t="s">
        <v>979</v>
      </c>
      <c r="D182" s="434" t="s">
        <v>1748</v>
      </c>
      <c r="E182" s="423" t="s">
        <v>1354</v>
      </c>
      <c r="F182" s="373">
        <v>3.66</v>
      </c>
      <c r="G182" s="367"/>
      <c r="H182" s="368">
        <f t="shared" si="28"/>
        <v>3.66</v>
      </c>
      <c r="I182" s="368"/>
      <c r="J182" s="368" t="str">
        <f>VLOOKUP(B182,[4]CN!$B$33:$J$365,9,FALSE)</f>
        <v>Giảng viên khoa CNTT</v>
      </c>
      <c r="K182" s="369">
        <f t="shared" si="29"/>
        <v>3.66</v>
      </c>
      <c r="L182" s="362">
        <f t="shared" si="30"/>
        <v>6588000</v>
      </c>
      <c r="M182" s="366" t="str">
        <f>VLOOKUP(B182,'[5]Gui chi Quynh'!$B$11:$E$400,4,FALSE)</f>
        <v>A4</v>
      </c>
      <c r="N182" s="494">
        <f t="shared" si="32"/>
        <v>6588000</v>
      </c>
      <c r="O182" s="376">
        <v>9</v>
      </c>
      <c r="P182" s="440">
        <f>IFERROR(INDEX('[6]CN BC'!$J$10:$J$277,MATCH(B182,'[6]CN BC'!$H$10:$H$277,0)),"")</f>
        <v>9</v>
      </c>
      <c r="Q182" s="494">
        <f t="shared" si="41"/>
        <v>6588000</v>
      </c>
      <c r="R182" s="460"/>
      <c r="S182" s="362">
        <f t="shared" si="31"/>
        <v>0</v>
      </c>
      <c r="T182" s="370"/>
      <c r="U182" s="362">
        <f t="shared" si="42"/>
        <v>0</v>
      </c>
      <c r="V182" s="584">
        <f t="shared" si="35"/>
        <v>65880</v>
      </c>
      <c r="W182" s="371">
        <f t="shared" si="40"/>
        <v>6588000</v>
      </c>
      <c r="X182" s="440">
        <f>IFERROR(INDEX([7]TL!$X$12:$X$200,MATCH(B182,[7]TL!$B$12:$B$200,0)),"0")</f>
        <v>898363.63636363577</v>
      </c>
      <c r="Y182" s="663">
        <f t="shared" si="37"/>
        <v>7486363.6363636358</v>
      </c>
      <c r="Z182" s="664">
        <f t="shared" si="38"/>
        <v>4.1590909090909092</v>
      </c>
      <c r="AA182" s="662">
        <v>1800000</v>
      </c>
      <c r="AB182" s="663">
        <f t="shared" si="39"/>
        <v>7486363.6363636367</v>
      </c>
      <c r="AC182" s="568">
        <f t="shared" si="36"/>
        <v>162</v>
      </c>
      <c r="AD182" s="493">
        <f>IFERROR(INDEX('[6]CN BC'!$M$10:$M$276,MATCH(B182,'[6]CN BC'!$H$10:$H$276,0)),"")</f>
        <v>0</v>
      </c>
      <c r="AE182" s="523" t="s">
        <v>820</v>
      </c>
      <c r="AF182" s="108"/>
      <c r="AG182" s="108"/>
      <c r="AH182" s="487"/>
    </row>
    <row r="183" spans="1:44" s="372" customFormat="1" ht="24.75" customHeight="1">
      <c r="A183" s="379">
        <f>_xlfn.AGGREGATE(4,7,A$19:A182)+1</f>
        <v>163</v>
      </c>
      <c r="B183" s="363" t="s">
        <v>1515</v>
      </c>
      <c r="C183" s="364" t="s">
        <v>1212</v>
      </c>
      <c r="D183" s="434" t="s">
        <v>1749</v>
      </c>
      <c r="E183" s="423" t="s">
        <v>1355</v>
      </c>
      <c r="F183" s="373">
        <v>3.66</v>
      </c>
      <c r="G183" s="367"/>
      <c r="H183" s="368">
        <f t="shared" ref="H183:H246" si="43">F183+(F183*G183)</f>
        <v>3.66</v>
      </c>
      <c r="I183" s="368"/>
      <c r="J183" s="368" t="str">
        <f>VLOOKUP(B183,[4]CN!$B$33:$J$365,9,FALSE)</f>
        <v>Giảng viên khoa CNTT</v>
      </c>
      <c r="K183" s="369">
        <f t="shared" ref="K183:K246" si="44">H183+I183</f>
        <v>3.66</v>
      </c>
      <c r="L183" s="362">
        <f t="shared" ref="L183:L246" si="45">K183*$G$15</f>
        <v>6588000</v>
      </c>
      <c r="M183" s="366" t="str">
        <f>VLOOKUP(B183,'[5]Gui chi Quynh'!$B$11:$E$400,4,FALSE)</f>
        <v>A4</v>
      </c>
      <c r="N183" s="494">
        <f t="shared" si="32"/>
        <v>6588000</v>
      </c>
      <c r="O183" s="376">
        <v>9</v>
      </c>
      <c r="P183" s="440">
        <f>IFERROR(INDEX('[6]CN BC'!$J$10:$J$277,MATCH(B183,'[6]CN BC'!$H$10:$H$277,0)),"")</f>
        <v>9</v>
      </c>
      <c r="Q183" s="494">
        <f t="shared" si="41"/>
        <v>6588000</v>
      </c>
      <c r="R183" s="392"/>
      <c r="S183" s="362">
        <f t="shared" si="31"/>
        <v>0</v>
      </c>
      <c r="T183" s="370"/>
      <c r="U183" s="362">
        <f t="shared" si="42"/>
        <v>0</v>
      </c>
      <c r="V183" s="584">
        <f t="shared" si="35"/>
        <v>65880</v>
      </c>
      <c r="W183" s="371">
        <f t="shared" si="40"/>
        <v>6588000</v>
      </c>
      <c r="X183" s="440">
        <f>IFERROR(INDEX([7]TL!$X$12:$X$200,MATCH(B183,[7]TL!$B$12:$B$200,0)),"0")</f>
        <v>898363.63636363577</v>
      </c>
      <c r="Y183" s="663">
        <f t="shared" si="37"/>
        <v>7486363.6363636358</v>
      </c>
      <c r="Z183" s="664">
        <f t="shared" si="38"/>
        <v>4.1590909090909092</v>
      </c>
      <c r="AA183" s="662">
        <v>1800000</v>
      </c>
      <c r="AB183" s="663">
        <f t="shared" si="39"/>
        <v>7486363.6363636367</v>
      </c>
      <c r="AC183" s="568">
        <f t="shared" si="36"/>
        <v>163</v>
      </c>
      <c r="AD183" s="493">
        <f>IFERROR(INDEX('[6]CN BC'!$M$10:$M$276,MATCH(B183,'[6]CN BC'!$H$10:$H$276,0)),"")</f>
        <v>0</v>
      </c>
      <c r="AE183" s="523" t="s">
        <v>1119</v>
      </c>
      <c r="AF183" s="108"/>
      <c r="AG183" s="108"/>
      <c r="AH183" s="155"/>
      <c r="AI183" s="108"/>
      <c r="AJ183" s="108"/>
      <c r="AK183" s="108"/>
      <c r="AL183" s="108"/>
      <c r="AM183" s="108"/>
      <c r="AN183" s="108"/>
    </row>
    <row r="184" spans="1:44" s="108" customFormat="1" ht="24.75" customHeight="1">
      <c r="A184" s="379">
        <f>_xlfn.AGGREGATE(4,7,A$19:A183)+1</f>
        <v>164</v>
      </c>
      <c r="B184" s="33" t="s">
        <v>1516</v>
      </c>
      <c r="C184" s="34" t="s">
        <v>1213</v>
      </c>
      <c r="D184" s="406" t="s">
        <v>1750</v>
      </c>
      <c r="E184" s="424" t="s">
        <v>1356</v>
      </c>
      <c r="F184" s="373">
        <v>3.66</v>
      </c>
      <c r="G184" s="157"/>
      <c r="H184" s="368">
        <f t="shared" si="43"/>
        <v>3.66</v>
      </c>
      <c r="I184" s="81"/>
      <c r="J184" s="368" t="str">
        <f>VLOOKUP(B184,[4]CN!$B$33:$J$365,9,FALSE)</f>
        <v>Giảng viên khoa CNTT</v>
      </c>
      <c r="K184" s="369">
        <f t="shared" si="44"/>
        <v>3.66</v>
      </c>
      <c r="L184" s="362">
        <f t="shared" si="45"/>
        <v>6588000</v>
      </c>
      <c r="M184" s="366" t="str">
        <f>VLOOKUP(B184,'[5]Gui chi Quynh'!$B$11:$E$400,4,FALSE)</f>
        <v>A4</v>
      </c>
      <c r="N184" s="494">
        <f t="shared" si="32"/>
        <v>6588000</v>
      </c>
      <c r="O184" s="376">
        <v>9</v>
      </c>
      <c r="P184" s="440">
        <f>IFERROR(INDEX('[6]CN BC'!$J$10:$J$277,MATCH(B184,'[6]CN BC'!$H$10:$H$277,0)),"")</f>
        <v>9</v>
      </c>
      <c r="Q184" s="494">
        <f t="shared" si="41"/>
        <v>6588000</v>
      </c>
      <c r="R184" s="392"/>
      <c r="S184" s="362">
        <f t="shared" si="31"/>
        <v>0</v>
      </c>
      <c r="T184" s="385"/>
      <c r="U184" s="362">
        <f t="shared" si="42"/>
        <v>0</v>
      </c>
      <c r="V184" s="584">
        <f t="shared" si="35"/>
        <v>65880</v>
      </c>
      <c r="W184" s="371">
        <f t="shared" si="40"/>
        <v>6588000</v>
      </c>
      <c r="X184" s="440">
        <f>IFERROR(INDEX([7]TL!$X$12:$X$200,MATCH(B184,[7]TL!$B$12:$B$200,0)),"0")</f>
        <v>1078036.3636363642</v>
      </c>
      <c r="Y184" s="663">
        <f t="shared" si="37"/>
        <v>7666036.3636363642</v>
      </c>
      <c r="Z184" s="664">
        <f t="shared" si="38"/>
        <v>4.258909090909091</v>
      </c>
      <c r="AA184" s="662">
        <v>1800000</v>
      </c>
      <c r="AB184" s="663">
        <f t="shared" si="39"/>
        <v>7666036.3636363633</v>
      </c>
      <c r="AC184" s="568">
        <f t="shared" si="36"/>
        <v>164</v>
      </c>
      <c r="AD184" s="493">
        <f>IFERROR(INDEX('[6]CN BC'!$M$10:$M$276,MATCH(B184,'[6]CN BC'!$H$10:$H$276,0)),"")</f>
        <v>0</v>
      </c>
      <c r="AE184" s="523" t="s">
        <v>1120</v>
      </c>
      <c r="AH184" s="155"/>
    </row>
    <row r="185" spans="1:44" s="108" customFormat="1" ht="26.25" customHeight="1">
      <c r="A185" s="379">
        <f>_xlfn.AGGREGATE(4,7,A$19:A184)+1</f>
        <v>165</v>
      </c>
      <c r="B185" s="33" t="s">
        <v>1883</v>
      </c>
      <c r="C185" s="34" t="s">
        <v>282</v>
      </c>
      <c r="D185" s="406" t="s">
        <v>1751</v>
      </c>
      <c r="E185" s="424" t="s">
        <v>381</v>
      </c>
      <c r="F185" s="83">
        <v>3.99</v>
      </c>
      <c r="G185" s="157"/>
      <c r="H185" s="368">
        <f t="shared" si="43"/>
        <v>3.99</v>
      </c>
      <c r="I185" s="81">
        <v>0.35</v>
      </c>
      <c r="J185" s="368" t="str">
        <f>VLOOKUP(B185,[4]CN!$B$33:$J$365,9,FALSE)</f>
        <v>Phó Trưởng khoa CNTT</v>
      </c>
      <c r="K185" s="369">
        <f t="shared" si="44"/>
        <v>4.34</v>
      </c>
      <c r="L185" s="362">
        <f t="shared" si="45"/>
        <v>7812000</v>
      </c>
      <c r="M185" s="366" t="str">
        <f>VLOOKUP(B185,'[5]Gui chi Quynh'!$B$11:$E$400,4,FALSE)</f>
        <v>A3</v>
      </c>
      <c r="N185" s="494">
        <f t="shared" si="32"/>
        <v>9374400</v>
      </c>
      <c r="O185" s="376">
        <v>9</v>
      </c>
      <c r="P185" s="440">
        <f>IFERROR(INDEX('[6]CN BC'!$J$10:$J$277,MATCH(B185,'[6]CN BC'!$H$10:$H$277,0)),"")</f>
        <v>9</v>
      </c>
      <c r="Q185" s="494">
        <f t="shared" si="41"/>
        <v>9374400</v>
      </c>
      <c r="R185" s="392"/>
      <c r="S185" s="362">
        <f t="shared" si="31"/>
        <v>0</v>
      </c>
      <c r="T185" s="385"/>
      <c r="U185" s="362">
        <f t="shared" si="42"/>
        <v>0</v>
      </c>
      <c r="V185" s="584">
        <f t="shared" si="35"/>
        <v>78120</v>
      </c>
      <c r="W185" s="371">
        <f t="shared" si="40"/>
        <v>9374400</v>
      </c>
      <c r="X185" s="440">
        <f>IFERROR(INDEX([7]TL!$X$12:$X$200,MATCH(B185,[7]TL!$B$12:$B$200,0)),"0")</f>
        <v>1278327.2727272734</v>
      </c>
      <c r="Y185" s="663">
        <f t="shared" si="37"/>
        <v>10652727.272727273</v>
      </c>
      <c r="Z185" s="664">
        <f t="shared" si="38"/>
        <v>5.9181818181818189</v>
      </c>
      <c r="AA185" s="662">
        <v>1800000</v>
      </c>
      <c r="AB185" s="663">
        <f t="shared" si="39"/>
        <v>10652727.272727273</v>
      </c>
      <c r="AC185" s="568">
        <f t="shared" si="36"/>
        <v>165</v>
      </c>
      <c r="AD185" s="493">
        <f>IFERROR(INDEX('[6]CN BC'!$M$10:$M$276,MATCH(B185,'[6]CN BC'!$H$10:$H$276,0)),"")</f>
        <v>0</v>
      </c>
      <c r="AE185" s="523" t="s">
        <v>1121</v>
      </c>
      <c r="AH185" s="155"/>
    </row>
    <row r="186" spans="1:44" s="372" customFormat="1" ht="23.25" customHeight="1">
      <c r="A186" s="379">
        <f>_xlfn.AGGREGATE(4,7,A$19:A185)+1</f>
        <v>166</v>
      </c>
      <c r="B186" s="363" t="s">
        <v>1833</v>
      </c>
      <c r="C186" s="364"/>
      <c r="D186" s="434" t="s">
        <v>1966</v>
      </c>
      <c r="E186" s="486">
        <v>1603215005649</v>
      </c>
      <c r="F186" s="373">
        <v>3.33</v>
      </c>
      <c r="G186" s="367"/>
      <c r="H186" s="445">
        <f t="shared" si="43"/>
        <v>3.33</v>
      </c>
      <c r="I186" s="368"/>
      <c r="J186" s="368" t="str">
        <f>VLOOKUP(B186,[4]CN!$B$33:$J$365,9,FALSE)</f>
        <v>Giảng viên khoa CNTT</v>
      </c>
      <c r="K186" s="369">
        <f t="shared" si="44"/>
        <v>3.33</v>
      </c>
      <c r="L186" s="362">
        <f t="shared" si="45"/>
        <v>5994000</v>
      </c>
      <c r="M186" s="366" t="str">
        <f>VLOOKUP(B186,'[5]Gui chi Quynh'!$B$11:$E$400,4,FALSE)</f>
        <v>A4</v>
      </c>
      <c r="N186" s="494">
        <f t="shared" si="32"/>
        <v>5994000</v>
      </c>
      <c r="O186" s="376">
        <v>9</v>
      </c>
      <c r="P186" s="440">
        <f>IFERROR(INDEX('[6]CN BC'!$J$10:$J$277,MATCH(B186,'[6]CN BC'!$H$10:$H$277,0)),"")</f>
        <v>9</v>
      </c>
      <c r="Q186" s="494">
        <f t="shared" si="41"/>
        <v>5994000</v>
      </c>
      <c r="R186" s="460"/>
      <c r="S186" s="362">
        <f t="shared" si="31"/>
        <v>0</v>
      </c>
      <c r="T186" s="370"/>
      <c r="U186" s="362">
        <f t="shared" si="42"/>
        <v>0</v>
      </c>
      <c r="V186" s="584">
        <f t="shared" si="35"/>
        <v>59940</v>
      </c>
      <c r="W186" s="371">
        <f t="shared" si="40"/>
        <v>5994000</v>
      </c>
      <c r="X186" s="440">
        <f>IFERROR(INDEX([7]TL!$X$12:$X$200,MATCH(B186,[7]TL!$B$12:$B$200,0)),"0")</f>
        <v>817363.63636363577</v>
      </c>
      <c r="Y186" s="663">
        <f t="shared" si="37"/>
        <v>6811363.6363636358</v>
      </c>
      <c r="Z186" s="664">
        <f t="shared" si="38"/>
        <v>3.7840909090909087</v>
      </c>
      <c r="AA186" s="662">
        <v>1800000</v>
      </c>
      <c r="AB186" s="663">
        <f t="shared" si="39"/>
        <v>6811363.6363636358</v>
      </c>
      <c r="AC186" s="568">
        <f t="shared" si="36"/>
        <v>166</v>
      </c>
      <c r="AD186" s="493">
        <f>IFERROR(INDEX('[6]CN BC'!$M$10:$M$276,MATCH(B186,'[6]CN BC'!$H$10:$H$276,0)),"")</f>
        <v>0</v>
      </c>
      <c r="AE186" s="523" t="s">
        <v>1122</v>
      </c>
      <c r="AF186" s="108"/>
      <c r="AG186" s="108"/>
      <c r="AH186" s="155"/>
    </row>
    <row r="187" spans="1:44" s="372" customFormat="1" ht="29.25" customHeight="1">
      <c r="A187" s="379">
        <f>_xlfn.AGGREGATE(4,7,A$19:A186)+1</f>
        <v>167</v>
      </c>
      <c r="B187" s="363" t="s">
        <v>1884</v>
      </c>
      <c r="C187" s="364" t="s">
        <v>1175</v>
      </c>
      <c r="D187" s="406" t="s">
        <v>1752</v>
      </c>
      <c r="E187" s="423" t="s">
        <v>1345</v>
      </c>
      <c r="F187" s="373">
        <v>3.99</v>
      </c>
      <c r="G187" s="367"/>
      <c r="H187" s="368">
        <f t="shared" si="43"/>
        <v>3.99</v>
      </c>
      <c r="I187" s="368">
        <v>0.25</v>
      </c>
      <c r="J187" s="368" t="str">
        <f>VLOOKUP(B187,[4]CN!$B$33:$J$365,9,FALSE)</f>
        <v>Giảng viên khoa CNTT</v>
      </c>
      <c r="K187" s="369">
        <f t="shared" si="44"/>
        <v>4.24</v>
      </c>
      <c r="L187" s="362">
        <f t="shared" si="45"/>
        <v>7632000</v>
      </c>
      <c r="M187" s="366" t="str">
        <f>VLOOKUP(B187,'[5]Gui chi Quynh'!$B$11:$E$400,4,FALSE)</f>
        <v>A3</v>
      </c>
      <c r="N187" s="494">
        <f t="shared" si="32"/>
        <v>9158400</v>
      </c>
      <c r="O187" s="376">
        <v>9</v>
      </c>
      <c r="P187" s="440">
        <f>IFERROR(INDEX('[6]CN BC'!$J$10:$J$277,MATCH(B187,'[6]CN BC'!$H$10:$H$277,0)),"")</f>
        <v>9</v>
      </c>
      <c r="Q187" s="494">
        <f t="shared" si="41"/>
        <v>9158400</v>
      </c>
      <c r="R187" s="392"/>
      <c r="S187" s="362">
        <f t="shared" si="31"/>
        <v>0</v>
      </c>
      <c r="T187" s="370"/>
      <c r="U187" s="362">
        <f t="shared" si="42"/>
        <v>0</v>
      </c>
      <c r="V187" s="584">
        <f t="shared" si="35"/>
        <v>76320</v>
      </c>
      <c r="W187" s="371">
        <f t="shared" si="40"/>
        <v>9158400</v>
      </c>
      <c r="X187" s="440">
        <f>IFERROR(INDEX([7]TL!$X$12:$X$200,MATCH(B187,[7]TL!$B$12:$B$200,0)),"0")</f>
        <v>1457018.1818181816</v>
      </c>
      <c r="Y187" s="663">
        <f t="shared" si="37"/>
        <v>10615418.181818182</v>
      </c>
      <c r="Z187" s="664">
        <f t="shared" si="38"/>
        <v>5.8974545454545453</v>
      </c>
      <c r="AA187" s="662">
        <v>1800000</v>
      </c>
      <c r="AB187" s="663">
        <f t="shared" si="39"/>
        <v>10615418.181818182</v>
      </c>
      <c r="AC187" s="568">
        <f t="shared" si="36"/>
        <v>167</v>
      </c>
      <c r="AD187" s="493">
        <f>IFERROR(INDEX('[6]CN BC'!$M$10:$M$276,MATCH(B187,'[6]CN BC'!$H$10:$H$276,0)),"")</f>
        <v>0</v>
      </c>
      <c r="AE187" s="523" t="s">
        <v>1123</v>
      </c>
      <c r="AF187" s="108"/>
      <c r="AG187" s="108"/>
      <c r="AH187" s="155"/>
      <c r="AI187" s="108"/>
      <c r="AJ187" s="108"/>
      <c r="AK187" s="108"/>
      <c r="AL187" s="108"/>
      <c r="AM187" s="108"/>
      <c r="AN187" s="108"/>
      <c r="AO187" s="108"/>
      <c r="AP187" s="108"/>
      <c r="AQ187" s="108"/>
      <c r="AR187" s="108"/>
    </row>
    <row r="188" spans="1:44" s="372" customFormat="1" ht="29.25" customHeight="1">
      <c r="A188" s="379">
        <f>_xlfn.AGGREGATE(4,7,A$19:A187)+1</f>
        <v>168</v>
      </c>
      <c r="B188" s="363" t="s">
        <v>1517</v>
      </c>
      <c r="C188" s="364" t="s">
        <v>731</v>
      </c>
      <c r="D188" s="434" t="s">
        <v>1753</v>
      </c>
      <c r="E188" s="426">
        <v>1603205286594</v>
      </c>
      <c r="F188" s="373">
        <v>3.33</v>
      </c>
      <c r="G188" s="367"/>
      <c r="H188" s="445">
        <f t="shared" si="43"/>
        <v>3.33</v>
      </c>
      <c r="I188" s="368"/>
      <c r="J188" s="368" t="str">
        <f>VLOOKUP(B188,[4]CN!$B$33:$J$365,9,FALSE)</f>
        <v>Giảng viên khoa CNTT</v>
      </c>
      <c r="K188" s="369">
        <f t="shared" si="44"/>
        <v>3.33</v>
      </c>
      <c r="L188" s="362">
        <f t="shared" si="45"/>
        <v>5994000</v>
      </c>
      <c r="M188" s="366" t="str">
        <f>VLOOKUP(B188,'[5]Gui chi Quynh'!$B$11:$E$400,4,FALSE)</f>
        <v>A4</v>
      </c>
      <c r="N188" s="494">
        <f t="shared" si="32"/>
        <v>5994000</v>
      </c>
      <c r="O188" s="376">
        <v>9</v>
      </c>
      <c r="P188" s="440">
        <f>IFERROR(INDEX('[6]CN BC'!$J$10:$J$277,MATCH(B188,'[6]CN BC'!$H$10:$H$277,0)),"")</f>
        <v>9</v>
      </c>
      <c r="Q188" s="494">
        <f t="shared" si="41"/>
        <v>5994000</v>
      </c>
      <c r="R188" s="460"/>
      <c r="S188" s="362">
        <f t="shared" si="31"/>
        <v>0</v>
      </c>
      <c r="T188" s="370"/>
      <c r="U188" s="362">
        <f t="shared" si="42"/>
        <v>0</v>
      </c>
      <c r="V188" s="584">
        <f t="shared" si="35"/>
        <v>59940</v>
      </c>
      <c r="W188" s="371">
        <f t="shared" si="40"/>
        <v>5994000</v>
      </c>
      <c r="X188" s="440">
        <f>IFERROR(INDEX([7]TL!$X$12:$X$200,MATCH(B188,[7]TL!$B$12:$B$200,0)),"0")</f>
        <v>980836.36363636423</v>
      </c>
      <c r="Y188" s="663">
        <f t="shared" si="37"/>
        <v>6974836.3636363642</v>
      </c>
      <c r="Z188" s="664">
        <f t="shared" si="38"/>
        <v>3.8749090909090911</v>
      </c>
      <c r="AA188" s="662">
        <v>1800000</v>
      </c>
      <c r="AB188" s="663">
        <f t="shared" si="39"/>
        <v>6974836.3636363642</v>
      </c>
      <c r="AC188" s="568">
        <f t="shared" si="36"/>
        <v>168</v>
      </c>
      <c r="AD188" s="493">
        <f>IFERROR(INDEX('[6]CN BC'!$M$10:$M$276,MATCH(B188,'[6]CN BC'!$H$10:$H$276,0)),"")</f>
        <v>0</v>
      </c>
      <c r="AE188" s="523" t="s">
        <v>1124</v>
      </c>
      <c r="AF188" s="108"/>
      <c r="AG188" s="108"/>
      <c r="AH188" s="487"/>
    </row>
    <row r="189" spans="1:44" s="372" customFormat="1" ht="28.5" customHeight="1">
      <c r="A189" s="379">
        <f>_xlfn.AGGREGATE(4,7,A$19:A188)+1</f>
        <v>169</v>
      </c>
      <c r="B189" s="363" t="s">
        <v>1518</v>
      </c>
      <c r="C189" s="364" t="s">
        <v>1207</v>
      </c>
      <c r="D189" s="406" t="s">
        <v>1754</v>
      </c>
      <c r="E189" s="423" t="s">
        <v>1346</v>
      </c>
      <c r="F189" s="366">
        <v>3.99</v>
      </c>
      <c r="G189" s="367"/>
      <c r="H189" s="368">
        <f t="shared" si="43"/>
        <v>3.99</v>
      </c>
      <c r="I189" s="368"/>
      <c r="J189" s="368" t="str">
        <f>VLOOKUP(B189,[4]CN!$B$33:$J$365,9,FALSE)</f>
        <v>Giảng viên khoa CNTT</v>
      </c>
      <c r="K189" s="369">
        <f t="shared" si="44"/>
        <v>3.99</v>
      </c>
      <c r="L189" s="362">
        <f t="shared" si="45"/>
        <v>7182000</v>
      </c>
      <c r="M189" s="366" t="str">
        <f>VLOOKUP(B189,'[5]Gui chi Quynh'!$B$11:$E$400,4,FALSE)</f>
        <v>A4</v>
      </c>
      <c r="N189" s="494">
        <f t="shared" si="32"/>
        <v>7182000</v>
      </c>
      <c r="O189" s="376">
        <v>9</v>
      </c>
      <c r="P189" s="440">
        <f>IFERROR(INDEX('[6]CN BC'!$J$10:$J$277,MATCH(B189,'[6]CN BC'!$H$10:$H$277,0)),"")</f>
        <v>9</v>
      </c>
      <c r="Q189" s="494">
        <f t="shared" si="41"/>
        <v>7182000</v>
      </c>
      <c r="R189" s="392"/>
      <c r="S189" s="362">
        <f t="shared" si="31"/>
        <v>0</v>
      </c>
      <c r="T189" s="385"/>
      <c r="U189" s="362">
        <f t="shared" si="42"/>
        <v>0</v>
      </c>
      <c r="V189" s="584">
        <f t="shared" si="35"/>
        <v>71820</v>
      </c>
      <c r="W189" s="371">
        <f t="shared" si="40"/>
        <v>7182000</v>
      </c>
      <c r="X189" s="440">
        <f>IFERROR(INDEX([7]TL!$X$12:$X$200,MATCH(B189,[7]TL!$B$12:$B$200,0)),"0")</f>
        <v>979363.63636363577</v>
      </c>
      <c r="Y189" s="663">
        <f t="shared" si="37"/>
        <v>8161363.6363636358</v>
      </c>
      <c r="Z189" s="664">
        <f t="shared" si="38"/>
        <v>4.5340909090909092</v>
      </c>
      <c r="AA189" s="662">
        <v>1800000</v>
      </c>
      <c r="AB189" s="663">
        <f t="shared" si="39"/>
        <v>8161363.6363636367</v>
      </c>
      <c r="AC189" s="568">
        <f t="shared" si="36"/>
        <v>169</v>
      </c>
      <c r="AD189" s="493">
        <f>IFERROR(INDEX('[6]CN BC'!$M$10:$M$276,MATCH(B189,'[6]CN BC'!$H$10:$H$276,0)),"")</f>
        <v>0</v>
      </c>
      <c r="AE189" s="523" t="s">
        <v>1125</v>
      </c>
      <c r="AF189" s="108"/>
      <c r="AG189" s="108"/>
      <c r="AH189" s="155"/>
      <c r="AI189" s="108"/>
      <c r="AJ189" s="108"/>
      <c r="AK189" s="108"/>
      <c r="AL189" s="108"/>
      <c r="AM189" s="108"/>
      <c r="AN189" s="108"/>
      <c r="AO189" s="108"/>
      <c r="AP189" s="108"/>
      <c r="AQ189" s="108"/>
      <c r="AR189" s="108"/>
    </row>
    <row r="190" spans="1:44" s="372" customFormat="1" ht="28.5" customHeight="1">
      <c r="A190" s="379">
        <f>_xlfn.AGGREGATE(4,7,A$19:A189)+1</f>
        <v>170</v>
      </c>
      <c r="B190" s="363" t="s">
        <v>1519</v>
      </c>
      <c r="C190" s="364" t="s">
        <v>728</v>
      </c>
      <c r="D190" s="406" t="s">
        <v>1755</v>
      </c>
      <c r="E190" s="423" t="s">
        <v>771</v>
      </c>
      <c r="F190" s="373">
        <v>3.66</v>
      </c>
      <c r="G190" s="367"/>
      <c r="H190" s="368">
        <f t="shared" si="43"/>
        <v>3.66</v>
      </c>
      <c r="I190" s="368"/>
      <c r="J190" s="368" t="str">
        <f>VLOOKUP(B190,[4]CN!$B$33:$J$365,9,FALSE)</f>
        <v>Giảng viên khoa CNTT</v>
      </c>
      <c r="K190" s="369">
        <f t="shared" si="44"/>
        <v>3.66</v>
      </c>
      <c r="L190" s="362">
        <f t="shared" si="45"/>
        <v>6588000</v>
      </c>
      <c r="M190" s="366" t="str">
        <f>VLOOKUP(B190,'[5]Gui chi Quynh'!$B$11:$E$400,4,FALSE)</f>
        <v>A4</v>
      </c>
      <c r="N190" s="494">
        <f t="shared" si="32"/>
        <v>6588000</v>
      </c>
      <c r="O190" s="376">
        <v>9</v>
      </c>
      <c r="P190" s="440">
        <f>IFERROR(INDEX('[6]CN BC'!$J$10:$J$277,MATCH(B190,'[6]CN BC'!$H$10:$H$277,0)),"")</f>
        <v>9</v>
      </c>
      <c r="Q190" s="494">
        <f t="shared" si="41"/>
        <v>6588000</v>
      </c>
      <c r="R190" s="392"/>
      <c r="S190" s="362">
        <f t="shared" si="31"/>
        <v>0</v>
      </c>
      <c r="T190" s="385"/>
      <c r="U190" s="362">
        <f t="shared" si="42"/>
        <v>0</v>
      </c>
      <c r="V190" s="584">
        <f t="shared" si="35"/>
        <v>65880</v>
      </c>
      <c r="W190" s="371">
        <f t="shared" si="40"/>
        <v>6588000</v>
      </c>
      <c r="X190" s="440">
        <f>IFERROR(INDEX([7]TL!$X$12:$X$200,MATCH(B190,[7]TL!$B$12:$B$200,0)),"0")</f>
        <v>898363.63636363577</v>
      </c>
      <c r="Y190" s="663">
        <f t="shared" si="37"/>
        <v>7486363.6363636358</v>
      </c>
      <c r="Z190" s="664">
        <f t="shared" si="38"/>
        <v>4.1590909090909092</v>
      </c>
      <c r="AA190" s="662">
        <v>1800000</v>
      </c>
      <c r="AB190" s="663">
        <f t="shared" si="39"/>
        <v>7486363.6363636367</v>
      </c>
      <c r="AC190" s="568">
        <f t="shared" si="36"/>
        <v>170</v>
      </c>
      <c r="AD190" s="493">
        <f>IFERROR(INDEX('[6]CN BC'!$M$10:$M$276,MATCH(B190,'[6]CN BC'!$H$10:$H$276,0)),"")</f>
        <v>0</v>
      </c>
      <c r="AE190" s="523" t="s">
        <v>1126</v>
      </c>
      <c r="AF190" s="108"/>
      <c r="AG190" s="108"/>
      <c r="AH190" s="155"/>
      <c r="AI190" s="108"/>
      <c r="AJ190" s="108"/>
      <c r="AK190" s="108"/>
      <c r="AL190" s="108"/>
      <c r="AM190" s="108"/>
      <c r="AN190" s="108"/>
      <c r="AO190" s="108"/>
      <c r="AP190" s="108"/>
      <c r="AQ190" s="108"/>
      <c r="AR190" s="108"/>
    </row>
    <row r="191" spans="1:44" s="372" customFormat="1" ht="25.5" customHeight="1">
      <c r="A191" s="379">
        <f>_xlfn.AGGREGATE(4,7,A$19:A190)+1</f>
        <v>171</v>
      </c>
      <c r="B191" s="363" t="s">
        <v>1520</v>
      </c>
      <c r="C191" s="364" t="s">
        <v>876</v>
      </c>
      <c r="D191" s="434" t="s">
        <v>1756</v>
      </c>
      <c r="E191" s="365" t="s">
        <v>1593</v>
      </c>
      <c r="F191" s="373">
        <v>3.99</v>
      </c>
      <c r="G191" s="367"/>
      <c r="H191" s="368">
        <f t="shared" si="43"/>
        <v>3.99</v>
      </c>
      <c r="I191" s="368">
        <v>0.25</v>
      </c>
      <c r="J191" s="368" t="str">
        <f>VLOOKUP(B191,[4]CN!$B$33:$J$365,9,FALSE)</f>
        <v>Giảng viên khoa CNTT</v>
      </c>
      <c r="K191" s="369">
        <f t="shared" si="44"/>
        <v>4.24</v>
      </c>
      <c r="L191" s="362">
        <f t="shared" si="45"/>
        <v>7632000</v>
      </c>
      <c r="M191" s="366" t="str">
        <f>VLOOKUP(B191,'[5]Gui chi Quynh'!$B$11:$E$400,4,FALSE)</f>
        <v>A4</v>
      </c>
      <c r="N191" s="494">
        <f t="shared" si="32"/>
        <v>7632000</v>
      </c>
      <c r="O191" s="376">
        <v>9</v>
      </c>
      <c r="P191" s="440">
        <f>IFERROR(INDEX('[6]CN BC'!$J$10:$J$277,MATCH(B191,'[6]CN BC'!$H$10:$H$277,0)),"")</f>
        <v>9</v>
      </c>
      <c r="Q191" s="494">
        <f t="shared" si="41"/>
        <v>7632000</v>
      </c>
      <c r="R191" s="460"/>
      <c r="S191" s="362">
        <f t="shared" si="31"/>
        <v>0</v>
      </c>
      <c r="T191" s="370"/>
      <c r="U191" s="362">
        <f t="shared" si="42"/>
        <v>0</v>
      </c>
      <c r="V191" s="362">
        <f t="shared" si="35"/>
        <v>76320</v>
      </c>
      <c r="W191" s="371">
        <f t="shared" si="40"/>
        <v>7632000</v>
      </c>
      <c r="X191" s="440">
        <f>IFERROR(INDEX([7]TL!$X$12:$X$200,MATCH(B191,[7]TL!$B$12:$B$200,0)),"0")</f>
        <v>1248872.7272727266</v>
      </c>
      <c r="Y191" s="663">
        <f t="shared" si="37"/>
        <v>8880872.7272727266</v>
      </c>
      <c r="Z191" s="664">
        <f t="shared" si="38"/>
        <v>4.9338181818181814</v>
      </c>
      <c r="AA191" s="662">
        <v>1800000</v>
      </c>
      <c r="AB191" s="663">
        <f t="shared" si="39"/>
        <v>8880872.7272727266</v>
      </c>
      <c r="AC191" s="568">
        <f t="shared" si="36"/>
        <v>171</v>
      </c>
      <c r="AD191" s="493">
        <f>IFERROR(INDEX('[6]CN BC'!$M$10:$M$276,MATCH(B191,'[6]CN BC'!$H$10:$H$276,0)),"")</f>
        <v>0</v>
      </c>
      <c r="AE191" s="539" t="s">
        <v>1127</v>
      </c>
      <c r="AH191" s="487"/>
    </row>
    <row r="192" spans="1:44" s="372" customFormat="1" ht="28.5" customHeight="1">
      <c r="A192" s="379">
        <f>_xlfn.AGGREGATE(4,7,A$19:A191)+1</f>
        <v>172</v>
      </c>
      <c r="B192" s="363" t="s">
        <v>1467</v>
      </c>
      <c r="C192" s="375" t="s">
        <v>1021</v>
      </c>
      <c r="D192" s="434" t="s">
        <v>1674</v>
      </c>
      <c r="E192" s="423" t="s">
        <v>1343</v>
      </c>
      <c r="F192" s="366">
        <v>3.99</v>
      </c>
      <c r="G192" s="367"/>
      <c r="H192" s="368">
        <f>F192+(F192*G192)</f>
        <v>3.99</v>
      </c>
      <c r="I192" s="368"/>
      <c r="J192" s="368" t="str">
        <f>VLOOKUP(B192,[4]CN!$B$33:$J$365,9,FALSE)</f>
        <v>Giảng viên khoa CNTT</v>
      </c>
      <c r="K192" s="369">
        <f>H192+I192</f>
        <v>3.99</v>
      </c>
      <c r="L192" s="362">
        <f>K192*$G$15</f>
        <v>7182000</v>
      </c>
      <c r="M192" s="366" t="str">
        <f>VLOOKUP(B192,'[5]Gui chi Quynh'!$B$11:$E$400,4,FALSE)</f>
        <v>A3</v>
      </c>
      <c r="N192" s="494">
        <f t="shared" si="32"/>
        <v>8618400</v>
      </c>
      <c r="O192" s="376">
        <v>9</v>
      </c>
      <c r="P192" s="440">
        <f>IFERROR(INDEX('[6]CN BC'!$J$10:$J$277,MATCH(B192,'[6]CN BC'!$H$10:$H$277,0)),"")</f>
        <v>9</v>
      </c>
      <c r="Q192" s="494">
        <f t="shared" si="41"/>
        <v>8618400</v>
      </c>
      <c r="R192" s="460"/>
      <c r="S192" s="362">
        <f t="shared" si="31"/>
        <v>0</v>
      </c>
      <c r="T192" s="370"/>
      <c r="U192" s="362">
        <f t="shared" si="42"/>
        <v>0</v>
      </c>
      <c r="V192" s="584">
        <f>IF(OR(M192="A DN",M192="KXL", M192=""),"0",ROUND(K192*0.01*$G$15+R192*1%*$G$15+T192*1%*$G$15,))</f>
        <v>71820</v>
      </c>
      <c r="W192" s="371">
        <f t="shared" si="40"/>
        <v>8618400</v>
      </c>
      <c r="X192" s="440">
        <f>IFERROR(INDEX([7]TL!$X$12:$X$200,MATCH(B192,[7]TL!$B$12:$B$200,0)),"0")</f>
        <v>1175236.3636363642</v>
      </c>
      <c r="Y192" s="663">
        <f t="shared" si="37"/>
        <v>9793636.3636363633</v>
      </c>
      <c r="Z192" s="664">
        <f t="shared" si="38"/>
        <v>5.4409090909090905</v>
      </c>
      <c r="AA192" s="662">
        <v>1800000</v>
      </c>
      <c r="AB192" s="663">
        <f t="shared" si="39"/>
        <v>9793636.3636363633</v>
      </c>
      <c r="AC192" s="568">
        <f t="shared" si="36"/>
        <v>172</v>
      </c>
      <c r="AD192" s="493">
        <f>IFERROR(INDEX('[6]CN BC'!$M$10:$M$276,MATCH(B192,'[6]CN BC'!$H$10:$H$276,0)),"")</f>
        <v>0</v>
      </c>
      <c r="AE192" s="523" t="s">
        <v>1131</v>
      </c>
      <c r="AF192" s="108"/>
      <c r="AG192" s="108"/>
      <c r="AH192" s="155">
        <f>3.68*1490000*1.4</f>
        <v>7676479.9999999991</v>
      </c>
      <c r="AI192" s="108"/>
      <c r="AJ192" s="108"/>
      <c r="AK192" s="108"/>
      <c r="AL192" s="108"/>
      <c r="AM192" s="108"/>
      <c r="AN192" s="108"/>
    </row>
    <row r="193" spans="1:44" s="372" customFormat="1" ht="28.5" customHeight="1">
      <c r="A193" s="379">
        <f>_xlfn.AGGREGATE(4,7,A$19:A192)+1</f>
        <v>173</v>
      </c>
      <c r="B193" s="363" t="s">
        <v>2011</v>
      </c>
      <c r="C193" s="375"/>
      <c r="D193" s="434"/>
      <c r="E193" s="423"/>
      <c r="F193" s="366">
        <v>2.2690000000000001</v>
      </c>
      <c r="G193" s="367"/>
      <c r="H193" s="368">
        <f>F193+(F193*G193)</f>
        <v>2.2690000000000001</v>
      </c>
      <c r="I193" s="368"/>
      <c r="J193" s="368" t="str">
        <f>VLOOKUP(B193,[4]CN!$B$33:$J$365,9,FALSE)</f>
        <v>Giảng viên khoa CNTT</v>
      </c>
      <c r="K193" s="369">
        <f>H193+I193</f>
        <v>2.2690000000000001</v>
      </c>
      <c r="L193" s="362">
        <f>K193*$G$15</f>
        <v>4084200</v>
      </c>
      <c r="M193" s="366" t="str">
        <f>VLOOKUP(B193,'[5]Gui chi Quynh'!$B$11:$E$400,4,FALSE)</f>
        <v>A4</v>
      </c>
      <c r="N193" s="494">
        <f t="shared" si="32"/>
        <v>4084200</v>
      </c>
      <c r="O193" s="376">
        <v>9</v>
      </c>
      <c r="P193" s="440">
        <f>IFERROR(INDEX('[6]CN BC'!$J$10:$J$277,MATCH(B193,'[6]CN BC'!$H$10:$H$277,0)),"")</f>
        <v>9</v>
      </c>
      <c r="Q193" s="494">
        <f t="shared" si="41"/>
        <v>4084200</v>
      </c>
      <c r="R193" s="460"/>
      <c r="S193" s="362">
        <f t="shared" si="31"/>
        <v>0</v>
      </c>
      <c r="T193" s="370"/>
      <c r="U193" s="362">
        <f t="shared" si="42"/>
        <v>0</v>
      </c>
      <c r="V193" s="584">
        <f>IF(OR(M193="A DN",M193="KXL", M193=""),"0",ROUND(K193*0.01*$G$15+R193*1%*$G$15+T193*1%*$G$15,))</f>
        <v>40842</v>
      </c>
      <c r="W193" s="371">
        <f t="shared" si="40"/>
        <v>4084200</v>
      </c>
      <c r="X193" s="440">
        <f>IFERROR(INDEX([7]TL!$X$12:$X$200,MATCH(B193,[7]TL!$B$12:$B$200,0)),"0")</f>
        <v>556936.3636363633</v>
      </c>
      <c r="Y193" s="663">
        <f t="shared" si="37"/>
        <v>4641136.3636363633</v>
      </c>
      <c r="Z193" s="664">
        <f t="shared" si="38"/>
        <v>2.5784090909090907</v>
      </c>
      <c r="AA193" s="662">
        <v>1800000</v>
      </c>
      <c r="AB193" s="663">
        <f t="shared" si="39"/>
        <v>4641136.3636363633</v>
      </c>
      <c r="AC193" s="568">
        <f t="shared" si="36"/>
        <v>173</v>
      </c>
      <c r="AD193" s="493">
        <f>IFERROR(INDEX('[6]CN BC'!$M$10:$M$276,MATCH(B193,'[6]CN BC'!$H$10:$H$276,0)),"")</f>
        <v>0</v>
      </c>
      <c r="AE193" s="540"/>
      <c r="AH193" s="487"/>
    </row>
    <row r="194" spans="1:44" s="372" customFormat="1" ht="28.5" customHeight="1">
      <c r="A194" s="379">
        <f>_xlfn.AGGREGATE(4,7,A$19:A193)+1</f>
        <v>174</v>
      </c>
      <c r="B194" s="363" t="s">
        <v>2017</v>
      </c>
      <c r="C194" s="375"/>
      <c r="D194" s="434"/>
      <c r="E194" s="423"/>
      <c r="F194" s="366">
        <v>1.9890000000000001</v>
      </c>
      <c r="G194" s="367"/>
      <c r="H194" s="368">
        <f>F194+(F194*G194)</f>
        <v>1.9890000000000001</v>
      </c>
      <c r="I194" s="368"/>
      <c r="J194" s="368" t="str">
        <f>VLOOKUP(B194,[4]CN!$B$33:$J$365,9,FALSE)</f>
        <v>Giảng viên khoa CNTT</v>
      </c>
      <c r="K194" s="369">
        <f>H194+I194</f>
        <v>1.9890000000000001</v>
      </c>
      <c r="L194" s="362">
        <f>K194*$G$15</f>
        <v>3580200</v>
      </c>
      <c r="M194" s="366" t="str">
        <f>VLOOKUP(B194,'[5]Gui chi Quynh'!$B$11:$E$400,4,FALSE)</f>
        <v>A4</v>
      </c>
      <c r="N194" s="494">
        <f t="shared" si="32"/>
        <v>3580200</v>
      </c>
      <c r="O194" s="376">
        <v>9</v>
      </c>
      <c r="P194" s="440">
        <f>IFERROR(INDEX('[6]CN BC'!$J$10:$J$277,MATCH(B194,'[6]CN BC'!$H$10:$H$277,0)),"")</f>
        <v>9</v>
      </c>
      <c r="Q194" s="494">
        <f t="shared" si="41"/>
        <v>3580200</v>
      </c>
      <c r="R194" s="460"/>
      <c r="S194" s="362">
        <f t="shared" si="31"/>
        <v>0</v>
      </c>
      <c r="T194" s="370"/>
      <c r="U194" s="362">
        <f t="shared" si="42"/>
        <v>0</v>
      </c>
      <c r="V194" s="584">
        <f>IF(OR(M194="A DN",M194="KXL", M194=""),"0",ROUND(K194*0.01*$G$15+R194*1%*$G$15+T194*1%*$G$15,))</f>
        <v>35802</v>
      </c>
      <c r="W194" s="371">
        <f t="shared" si="40"/>
        <v>3580200</v>
      </c>
      <c r="X194" s="440">
        <f>IFERROR(INDEX([7]TL!$X$12:$X$200,MATCH(B194,[7]TL!$B$12:$B$200,0)),"0")</f>
        <v>488209.09090909082</v>
      </c>
      <c r="Y194" s="663">
        <f t="shared" si="37"/>
        <v>4068409.0909090908</v>
      </c>
      <c r="Z194" s="664">
        <f t="shared" si="38"/>
        <v>2.2602272727272728</v>
      </c>
      <c r="AA194" s="662">
        <v>1800000</v>
      </c>
      <c r="AB194" s="663">
        <f t="shared" si="39"/>
        <v>4068409.0909090908</v>
      </c>
      <c r="AC194" s="568">
        <f t="shared" si="36"/>
        <v>174</v>
      </c>
      <c r="AD194" s="493">
        <f>IFERROR(INDEX('[6]CN BC'!$M$10:$M$276,MATCH(B194,'[6]CN BC'!$H$10:$H$276,0)),"")</f>
        <v>0</v>
      </c>
      <c r="AE194" s="540"/>
      <c r="AH194" s="487"/>
    </row>
    <row r="195" spans="1:44" s="372" customFormat="1" ht="28.5" customHeight="1">
      <c r="A195" s="379">
        <f>_xlfn.AGGREGATE(4,7,A$19:A194)+1</f>
        <v>175</v>
      </c>
      <c r="B195" s="363" t="s">
        <v>1885</v>
      </c>
      <c r="C195" s="364" t="s">
        <v>1041</v>
      </c>
      <c r="D195" s="434" t="s">
        <v>1757</v>
      </c>
      <c r="E195" s="423" t="s">
        <v>1368</v>
      </c>
      <c r="F195" s="366">
        <v>4.6500000000000004</v>
      </c>
      <c r="G195" s="367"/>
      <c r="H195" s="368">
        <f t="shared" si="43"/>
        <v>4.6500000000000004</v>
      </c>
      <c r="I195" s="368">
        <v>0.45</v>
      </c>
      <c r="J195" s="368" t="str">
        <f>VLOOKUP(B195,[4]CN!$B$33:$J$365,9,FALSE)</f>
        <v>Trưởng khoa Cơ khí</v>
      </c>
      <c r="K195" s="369">
        <f t="shared" si="44"/>
        <v>5.1000000000000005</v>
      </c>
      <c r="L195" s="362">
        <f t="shared" si="45"/>
        <v>9180000.0000000019</v>
      </c>
      <c r="M195" s="366" t="str">
        <f>VLOOKUP(B195,'[5]Gui chi Quynh'!$B$11:$E$400,4,FALSE)</f>
        <v>A2</v>
      </c>
      <c r="N195" s="494">
        <f t="shared" si="32"/>
        <v>12852000.000000002</v>
      </c>
      <c r="O195" s="376">
        <v>9</v>
      </c>
      <c r="P195" s="440">
        <f>IFERROR(INDEX('[6]CN BC'!$J$10:$J$277,MATCH(B195,'[6]CN BC'!$H$10:$H$277,0)),"")</f>
        <v>16</v>
      </c>
      <c r="Q195" s="494">
        <f t="shared" si="41"/>
        <v>12852000.000000002</v>
      </c>
      <c r="R195" s="392"/>
      <c r="S195" s="362">
        <f t="shared" si="31"/>
        <v>0</v>
      </c>
      <c r="T195" s="370"/>
      <c r="U195" s="362">
        <f t="shared" si="42"/>
        <v>0</v>
      </c>
      <c r="V195" s="584">
        <f>IF(OR(M195="A DN",M195="KXL", M195=""),"0",ROUND(K195*0.01*$G$15+R195*1%*$G$15+T195*1%*$G$15,))</f>
        <v>91800</v>
      </c>
      <c r="W195" s="371">
        <f t="shared" si="40"/>
        <v>12852000.000000002</v>
      </c>
      <c r="X195" s="440" t="str">
        <f>IFERROR(INDEX([7]TL!$X$12:$X$200,MATCH(B195,[7]TL!$B$12:$B$200,0)),"0")</f>
        <v>0</v>
      </c>
      <c r="Y195" s="663">
        <f t="shared" si="37"/>
        <v>12852000.000000002</v>
      </c>
      <c r="Z195" s="664">
        <f t="shared" si="38"/>
        <v>7.1400000000000015</v>
      </c>
      <c r="AA195" s="662">
        <v>1800000</v>
      </c>
      <c r="AB195" s="663">
        <f t="shared" si="39"/>
        <v>12852000.000000002</v>
      </c>
      <c r="AC195" s="568">
        <f t="shared" si="36"/>
        <v>175</v>
      </c>
      <c r="AD195" s="493">
        <f>IFERROR(INDEX('[6]CN BC'!$M$10:$M$276,MATCH(B195,'[6]CN BC'!$H$10:$H$276,0)),"")</f>
        <v>0</v>
      </c>
      <c r="AE195" s="522" t="s">
        <v>812</v>
      </c>
      <c r="AF195" s="108"/>
      <c r="AG195" s="108"/>
      <c r="AH195" s="155"/>
      <c r="AI195" s="108"/>
      <c r="AJ195" s="108"/>
      <c r="AK195" s="108"/>
      <c r="AL195" s="108"/>
      <c r="AM195" s="108"/>
      <c r="AN195" s="108"/>
    </row>
    <row r="196" spans="1:44" s="108" customFormat="1" ht="26.25" customHeight="1">
      <c r="A196" s="379">
        <f>_xlfn.AGGREGATE(4,7,A$19:A195)+1</f>
        <v>176</v>
      </c>
      <c r="B196" s="33" t="s">
        <v>1886</v>
      </c>
      <c r="C196" s="34" t="s">
        <v>1032</v>
      </c>
      <c r="D196" s="406" t="s">
        <v>1758</v>
      </c>
      <c r="E196" s="424" t="s">
        <v>1363</v>
      </c>
      <c r="F196" s="10">
        <v>4.9800000000000004</v>
      </c>
      <c r="G196" s="157">
        <v>7.0000000000000007E-2</v>
      </c>
      <c r="H196" s="368">
        <f t="shared" si="43"/>
        <v>5.3286000000000007</v>
      </c>
      <c r="I196" s="81"/>
      <c r="J196" s="368" t="str">
        <f>VLOOKUP(B196,[4]CN!$B$33:$J$365,9,FALSE)</f>
        <v>Giảng viên khoa Cơ khí</v>
      </c>
      <c r="K196" s="369">
        <f t="shared" si="44"/>
        <v>5.3286000000000007</v>
      </c>
      <c r="L196" s="362">
        <f t="shared" si="45"/>
        <v>9591480.0000000019</v>
      </c>
      <c r="M196" s="366" t="str">
        <f>VLOOKUP(B196,'[5]Gui chi Quynh'!$B$11:$E$400,4,FALSE)</f>
        <v>A4</v>
      </c>
      <c r="N196" s="494">
        <f t="shared" si="32"/>
        <v>9591480.0000000019</v>
      </c>
      <c r="O196" s="376">
        <v>9</v>
      </c>
      <c r="P196" s="440">
        <f>IFERROR(INDEX('[6]CN BC'!$J$10:$J$277,MATCH(B196,'[6]CN BC'!$H$10:$H$277,0)),"")</f>
        <v>9</v>
      </c>
      <c r="Q196" s="494">
        <f t="shared" si="41"/>
        <v>9591480.0000000019</v>
      </c>
      <c r="R196" s="392"/>
      <c r="S196" s="362">
        <f t="shared" si="31"/>
        <v>0</v>
      </c>
      <c r="T196" s="385"/>
      <c r="U196" s="362">
        <f t="shared" si="42"/>
        <v>0</v>
      </c>
      <c r="V196" s="584">
        <f t="shared" si="35"/>
        <v>95915</v>
      </c>
      <c r="W196" s="371">
        <f t="shared" si="40"/>
        <v>9591480.0000000019</v>
      </c>
      <c r="X196" s="440">
        <f>IFERROR(INDEX([7]TL!$X$12:$X$200,MATCH(B196,[7]TL!$B$12:$B$200,0)),"0")</f>
        <v>1307929.0909090918</v>
      </c>
      <c r="Y196" s="663">
        <f t="shared" si="37"/>
        <v>10899409.090909094</v>
      </c>
      <c r="Z196" s="664">
        <f t="shared" si="38"/>
        <v>6.055227272727274</v>
      </c>
      <c r="AA196" s="662">
        <v>1800000</v>
      </c>
      <c r="AB196" s="663">
        <f t="shared" si="39"/>
        <v>10899409.090909094</v>
      </c>
      <c r="AC196" s="568">
        <f t="shared" si="36"/>
        <v>176</v>
      </c>
      <c r="AD196" s="493">
        <f>IFERROR(INDEX('[6]CN BC'!$M$10:$M$276,MATCH(B196,'[6]CN BC'!$H$10:$H$276,0)),"")</f>
        <v>0</v>
      </c>
      <c r="AE196" s="522" t="s">
        <v>812</v>
      </c>
      <c r="AH196" s="155"/>
    </row>
    <row r="197" spans="1:44" s="372" customFormat="1" ht="31.5" customHeight="1">
      <c r="A197" s="379">
        <f>_xlfn.AGGREGATE(4,7,A$19:A196)+1</f>
        <v>177</v>
      </c>
      <c r="B197" s="363" t="s">
        <v>1887</v>
      </c>
      <c r="C197" s="364" t="s">
        <v>884</v>
      </c>
      <c r="D197" s="434" t="s">
        <v>1759</v>
      </c>
      <c r="E197" s="423" t="s">
        <v>1364</v>
      </c>
      <c r="F197" s="366">
        <v>4.9800000000000004</v>
      </c>
      <c r="G197" s="367">
        <v>7.0000000000000007E-2</v>
      </c>
      <c r="H197" s="368">
        <f t="shared" si="43"/>
        <v>5.3286000000000007</v>
      </c>
      <c r="I197" s="368"/>
      <c r="J197" s="368" t="str">
        <f>VLOOKUP(B197,[4]CN!$B$33:$J$365,9,FALSE)</f>
        <v>Giảng viên khoa Cơ khí</v>
      </c>
      <c r="K197" s="369">
        <f t="shared" si="44"/>
        <v>5.3286000000000007</v>
      </c>
      <c r="L197" s="362">
        <f t="shared" si="45"/>
        <v>9591480.0000000019</v>
      </c>
      <c r="M197" s="366" t="str">
        <f>VLOOKUP(B197,'[5]Gui chi Quynh'!$B$11:$E$400,4,FALSE)</f>
        <v>A4</v>
      </c>
      <c r="N197" s="494">
        <f t="shared" si="32"/>
        <v>9591480.0000000019</v>
      </c>
      <c r="O197" s="376">
        <v>9</v>
      </c>
      <c r="P197" s="440">
        <f>IFERROR(INDEX('[6]CN BC'!$J$10:$J$277,MATCH(B197,'[6]CN BC'!$H$10:$H$277,0)),"")</f>
        <v>9</v>
      </c>
      <c r="Q197" s="494">
        <f t="shared" si="41"/>
        <v>9591480.0000000019</v>
      </c>
      <c r="R197" s="392"/>
      <c r="S197" s="362">
        <f t="shared" si="31"/>
        <v>0</v>
      </c>
      <c r="T197" s="370"/>
      <c r="U197" s="362">
        <f t="shared" si="42"/>
        <v>0</v>
      </c>
      <c r="V197" s="584">
        <f t="shared" si="35"/>
        <v>95915</v>
      </c>
      <c r="W197" s="371">
        <f t="shared" si="40"/>
        <v>9591480.0000000019</v>
      </c>
      <c r="X197" s="440">
        <f>IFERROR(INDEX([7]TL!$X$12:$X$200,MATCH(B197,[7]TL!$B$12:$B$200,0)),"0")</f>
        <v>1831100.7272727285</v>
      </c>
      <c r="Y197" s="663">
        <f t="shared" si="37"/>
        <v>11422580.72727273</v>
      </c>
      <c r="Z197" s="664">
        <f t="shared" si="38"/>
        <v>6.3458781818181835</v>
      </c>
      <c r="AA197" s="662">
        <v>1800000</v>
      </c>
      <c r="AB197" s="663">
        <f t="shared" si="39"/>
        <v>11422580.72727273</v>
      </c>
      <c r="AC197" s="568">
        <f t="shared" si="36"/>
        <v>177</v>
      </c>
      <c r="AD197" s="493">
        <f>IFERROR(INDEX('[6]CN BC'!$M$10:$M$276,MATCH(B197,'[6]CN BC'!$H$10:$H$276,0)),"")</f>
        <v>0</v>
      </c>
      <c r="AE197" s="522" t="s">
        <v>813</v>
      </c>
      <c r="AF197" s="108"/>
      <c r="AG197" s="108"/>
      <c r="AH197" s="155"/>
      <c r="AI197" s="108"/>
      <c r="AJ197" s="108"/>
      <c r="AK197" s="108"/>
      <c r="AL197" s="108"/>
      <c r="AM197" s="108"/>
      <c r="AN197" s="108"/>
    </row>
    <row r="198" spans="1:44" s="372" customFormat="1" ht="25.5" customHeight="1">
      <c r="A198" s="379">
        <f>_xlfn.AGGREGATE(4,7,A$19:A197)+1</f>
        <v>178</v>
      </c>
      <c r="B198" s="363" t="s">
        <v>1888</v>
      </c>
      <c r="C198" s="364" t="s">
        <v>1043</v>
      </c>
      <c r="D198" s="434" t="s">
        <v>1760</v>
      </c>
      <c r="E198" s="423" t="s">
        <v>1369</v>
      </c>
      <c r="F198" s="366">
        <v>4.32</v>
      </c>
      <c r="G198" s="367"/>
      <c r="H198" s="368">
        <f t="shared" si="43"/>
        <v>4.32</v>
      </c>
      <c r="I198" s="368"/>
      <c r="J198" s="368" t="str">
        <f>VLOOKUP(B198,[4]CN!$B$33:$J$365,9,FALSE)</f>
        <v>Giảng viên khoa Cơ khí</v>
      </c>
      <c r="K198" s="369">
        <f t="shared" si="44"/>
        <v>4.32</v>
      </c>
      <c r="L198" s="362">
        <f t="shared" si="45"/>
        <v>7776000.0000000009</v>
      </c>
      <c r="M198" s="366" t="str">
        <f>VLOOKUP(B198,'[5]Gui chi Quynh'!$B$11:$E$400,4,FALSE)</f>
        <v>A4</v>
      </c>
      <c r="N198" s="494">
        <f t="shared" si="32"/>
        <v>7776000.0000000009</v>
      </c>
      <c r="O198" s="376">
        <v>9</v>
      </c>
      <c r="P198" s="440">
        <f>IFERROR(INDEX('[6]CN BC'!$J$10:$J$277,MATCH(B198,'[6]CN BC'!$H$10:$H$277,0)),"")</f>
        <v>9</v>
      </c>
      <c r="Q198" s="494">
        <f t="shared" si="41"/>
        <v>7776000.0000000009</v>
      </c>
      <c r="R198" s="460"/>
      <c r="S198" s="362">
        <f t="shared" si="31"/>
        <v>0</v>
      </c>
      <c r="T198" s="370"/>
      <c r="U198" s="362">
        <f t="shared" si="42"/>
        <v>0</v>
      </c>
      <c r="V198" s="584">
        <f t="shared" si="35"/>
        <v>77760</v>
      </c>
      <c r="W198" s="371">
        <f t="shared" si="40"/>
        <v>7776000.0000000009</v>
      </c>
      <c r="X198" s="440">
        <f>IFERROR(INDEX([7]TL!$X$12:$X$200,MATCH(B198,[7]TL!$B$12:$B$200,0)),"0")</f>
        <v>1060363.6363636367</v>
      </c>
      <c r="Y198" s="663">
        <f t="shared" si="37"/>
        <v>8836363.6363636367</v>
      </c>
      <c r="Z198" s="664">
        <f t="shared" si="38"/>
        <v>4.9090909090909092</v>
      </c>
      <c r="AA198" s="662">
        <v>1800000</v>
      </c>
      <c r="AB198" s="663">
        <f t="shared" si="39"/>
        <v>8836363.6363636367</v>
      </c>
      <c r="AC198" s="568">
        <f t="shared" si="36"/>
        <v>178</v>
      </c>
      <c r="AD198" s="493">
        <f>IFERROR(INDEX('[6]CN BC'!$M$10:$M$276,MATCH(B198,'[6]CN BC'!$H$10:$H$276,0)),"")</f>
        <v>0</v>
      </c>
      <c r="AE198" s="522" t="s">
        <v>814</v>
      </c>
      <c r="AF198" s="108"/>
      <c r="AG198" s="108"/>
      <c r="AH198" s="155"/>
      <c r="AI198" s="108"/>
      <c r="AJ198" s="108"/>
      <c r="AK198" s="108"/>
      <c r="AL198" s="108"/>
      <c r="AM198" s="108"/>
      <c r="AN198" s="108"/>
    </row>
    <row r="199" spans="1:44" s="372" customFormat="1" ht="25.5" customHeight="1">
      <c r="A199" s="379">
        <f>_xlfn.AGGREGATE(4,7,A$19:A198)+1</f>
        <v>179</v>
      </c>
      <c r="B199" s="363" t="s">
        <v>1889</v>
      </c>
      <c r="C199" s="364" t="s">
        <v>1028</v>
      </c>
      <c r="D199" s="434" t="s">
        <v>1761</v>
      </c>
      <c r="E199" s="423" t="s">
        <v>42</v>
      </c>
      <c r="F199" s="366">
        <v>4.9800000000000004</v>
      </c>
      <c r="G199" s="367">
        <v>0.15</v>
      </c>
      <c r="H199" s="368">
        <f t="shared" si="43"/>
        <v>5.7270000000000003</v>
      </c>
      <c r="I199" s="368"/>
      <c r="J199" s="368" t="str">
        <f>VLOOKUP(B199,[4]CN!$B$33:$J$365,9,FALSE)</f>
        <v>Giảng viên khoa Cơ khí</v>
      </c>
      <c r="K199" s="369">
        <f t="shared" si="44"/>
        <v>5.7270000000000003</v>
      </c>
      <c r="L199" s="362">
        <f t="shared" si="45"/>
        <v>10308600</v>
      </c>
      <c r="M199" s="366" t="str">
        <f>VLOOKUP(B199,'[5]Gui chi Quynh'!$B$11:$E$400,4,FALSE)</f>
        <v>A4</v>
      </c>
      <c r="N199" s="494">
        <f t="shared" si="32"/>
        <v>10308600</v>
      </c>
      <c r="O199" s="376">
        <v>9</v>
      </c>
      <c r="P199" s="440">
        <f>IFERROR(INDEX('[6]CN BC'!$J$10:$J$277,MATCH(B199,'[6]CN BC'!$H$10:$H$277,0)),"")</f>
        <v>9</v>
      </c>
      <c r="Q199" s="494">
        <f t="shared" si="41"/>
        <v>10308600</v>
      </c>
      <c r="R199" s="460"/>
      <c r="S199" s="362">
        <f t="shared" si="31"/>
        <v>0</v>
      </c>
      <c r="T199" s="370"/>
      <c r="U199" s="362">
        <f t="shared" si="42"/>
        <v>0</v>
      </c>
      <c r="V199" s="584">
        <f t="shared" si="35"/>
        <v>103086</v>
      </c>
      <c r="W199" s="371">
        <f t="shared" si="40"/>
        <v>10308600</v>
      </c>
      <c r="X199" s="440">
        <f>IFERROR(INDEX([7]TL!$X$12:$X$200,MATCH(B199,[7]TL!$B$12:$B$200,0)),"0")</f>
        <v>1968005.4545454532</v>
      </c>
      <c r="Y199" s="663">
        <f t="shared" si="37"/>
        <v>12276605.454545453</v>
      </c>
      <c r="Z199" s="664">
        <f t="shared" si="38"/>
        <v>6.820336363636363</v>
      </c>
      <c r="AA199" s="662">
        <v>1800000</v>
      </c>
      <c r="AB199" s="663">
        <f t="shared" si="39"/>
        <v>12276605.454545453</v>
      </c>
      <c r="AC199" s="568">
        <f t="shared" si="36"/>
        <v>179</v>
      </c>
      <c r="AD199" s="493">
        <f>IFERROR(INDEX('[6]CN BC'!$M$10:$M$276,MATCH(B199,'[6]CN BC'!$H$10:$H$276,0)),"")</f>
        <v>0</v>
      </c>
      <c r="AE199" s="522" t="s">
        <v>815</v>
      </c>
      <c r="AF199" s="108"/>
      <c r="AG199" s="108"/>
      <c r="AH199" s="155"/>
      <c r="AI199" s="108"/>
      <c r="AJ199" s="108"/>
      <c r="AK199" s="108"/>
      <c r="AL199" s="108"/>
      <c r="AM199" s="108"/>
      <c r="AN199" s="108"/>
    </row>
    <row r="200" spans="1:44" s="372" customFormat="1" ht="25.5" customHeight="1">
      <c r="A200" s="379">
        <f>_xlfn.AGGREGATE(4,7,A$19:A199)+1</f>
        <v>180</v>
      </c>
      <c r="B200" s="363" t="s">
        <v>1890</v>
      </c>
      <c r="C200" s="364" t="s">
        <v>1039</v>
      </c>
      <c r="D200" s="434" t="s">
        <v>1762</v>
      </c>
      <c r="E200" s="423" t="s">
        <v>1367</v>
      </c>
      <c r="F200" s="366">
        <v>4.6500000000000004</v>
      </c>
      <c r="G200" s="367"/>
      <c r="H200" s="368">
        <f t="shared" si="43"/>
        <v>4.6500000000000004</v>
      </c>
      <c r="I200" s="368">
        <f>0.25</f>
        <v>0.25</v>
      </c>
      <c r="J200" s="368" t="str">
        <f>VLOOKUP(B200,[4]CN!$B$33:$J$365,9,FALSE)</f>
        <v>Giảng viên khoa Cơ khí</v>
      </c>
      <c r="K200" s="369">
        <f t="shared" si="44"/>
        <v>4.9000000000000004</v>
      </c>
      <c r="L200" s="362">
        <f t="shared" si="45"/>
        <v>8820000</v>
      </c>
      <c r="M200" s="366" t="str">
        <f>VLOOKUP(B200,'[5]Gui chi Quynh'!$B$11:$E$400,4,FALSE)</f>
        <v>A3</v>
      </c>
      <c r="N200" s="494">
        <f t="shared" si="32"/>
        <v>10584000</v>
      </c>
      <c r="O200" s="376">
        <v>9</v>
      </c>
      <c r="P200" s="440">
        <f>IFERROR(INDEX('[6]CN BC'!$J$10:$J$277,MATCH(B200,'[6]CN BC'!$H$10:$H$277,0)),"")</f>
        <v>9</v>
      </c>
      <c r="Q200" s="494">
        <f t="shared" si="41"/>
        <v>10584000</v>
      </c>
      <c r="R200" s="460"/>
      <c r="S200" s="362">
        <f t="shared" si="31"/>
        <v>0</v>
      </c>
      <c r="T200" s="370"/>
      <c r="U200" s="362">
        <f t="shared" si="42"/>
        <v>0</v>
      </c>
      <c r="V200" s="584">
        <f t="shared" si="35"/>
        <v>88200</v>
      </c>
      <c r="W200" s="371">
        <f t="shared" si="40"/>
        <v>10584000</v>
      </c>
      <c r="X200" s="440">
        <f>IFERROR(INDEX([7]TL!$X$12:$X$200,MATCH(B200,[7]TL!$B$12:$B$200,0)),"0")</f>
        <v>1924363.6363636367</v>
      </c>
      <c r="Y200" s="663">
        <f t="shared" si="37"/>
        <v>12508363.636363637</v>
      </c>
      <c r="Z200" s="664">
        <f t="shared" si="38"/>
        <v>6.9490909090909092</v>
      </c>
      <c r="AA200" s="662">
        <v>1800000</v>
      </c>
      <c r="AB200" s="663">
        <f t="shared" si="39"/>
        <v>12508363.636363637</v>
      </c>
      <c r="AC200" s="568">
        <f t="shared" si="36"/>
        <v>180</v>
      </c>
      <c r="AD200" s="493">
        <f>IFERROR(INDEX('[6]CN BC'!$M$10:$M$276,MATCH(B200,'[6]CN BC'!$H$10:$H$276,0)),"")</f>
        <v>0</v>
      </c>
      <c r="AE200" s="522" t="s">
        <v>816</v>
      </c>
      <c r="AF200" s="108"/>
      <c r="AG200" s="108"/>
      <c r="AH200" s="155"/>
      <c r="AI200" s="108"/>
      <c r="AJ200" s="108"/>
      <c r="AK200" s="108"/>
      <c r="AL200" s="108"/>
      <c r="AM200" s="108"/>
      <c r="AN200" s="108"/>
    </row>
    <row r="201" spans="1:44" s="372" customFormat="1" ht="25.5" customHeight="1">
      <c r="A201" s="379">
        <f>_xlfn.AGGREGATE(4,7,A$19:A200)+1</f>
        <v>181</v>
      </c>
      <c r="B201" s="363" t="s">
        <v>1891</v>
      </c>
      <c r="C201" s="364" t="s">
        <v>1000</v>
      </c>
      <c r="D201" s="434" t="s">
        <v>1763</v>
      </c>
      <c r="E201" s="423" t="s">
        <v>1377</v>
      </c>
      <c r="F201" s="366">
        <v>4.9800000000000004</v>
      </c>
      <c r="G201" s="367">
        <v>0.06</v>
      </c>
      <c r="H201" s="368">
        <f t="shared" si="43"/>
        <v>5.2788000000000004</v>
      </c>
      <c r="I201" s="368">
        <v>0.25</v>
      </c>
      <c r="J201" s="368" t="str">
        <f>VLOOKUP(B201,[4]CN!$B$33:$J$365,9,FALSE)</f>
        <v>Giảng viên khoa Cơ khí</v>
      </c>
      <c r="K201" s="369">
        <f t="shared" si="44"/>
        <v>5.5288000000000004</v>
      </c>
      <c r="L201" s="362">
        <f t="shared" si="45"/>
        <v>9951840</v>
      </c>
      <c r="M201" s="366" t="str">
        <f>VLOOKUP(B201,'[5]Gui chi Quynh'!$B$11:$E$400,4,FALSE)</f>
        <v>A3</v>
      </c>
      <c r="N201" s="494">
        <f t="shared" si="32"/>
        <v>11942208</v>
      </c>
      <c r="O201" s="376">
        <v>9</v>
      </c>
      <c r="P201" s="440">
        <f>IFERROR(INDEX('[6]CN BC'!$J$10:$J$277,MATCH(B201,'[6]CN BC'!$H$10:$H$277,0)),"")</f>
        <v>9</v>
      </c>
      <c r="Q201" s="494">
        <f t="shared" si="41"/>
        <v>11942208</v>
      </c>
      <c r="R201" s="392"/>
      <c r="S201" s="362">
        <f t="shared" si="31"/>
        <v>0</v>
      </c>
      <c r="T201" s="370"/>
      <c r="U201" s="362">
        <f t="shared" si="42"/>
        <v>0</v>
      </c>
      <c r="V201" s="584">
        <f t="shared" si="35"/>
        <v>99518</v>
      </c>
      <c r="W201" s="371">
        <f t="shared" si="40"/>
        <v>11942208</v>
      </c>
      <c r="X201" s="440">
        <f>IFERROR(INDEX([7]TL!$X$12:$X$200,MATCH(B201,[7]TL!$B$12:$B$200,0)),"0")</f>
        <v>1899896.7272727285</v>
      </c>
      <c r="Y201" s="663">
        <f t="shared" si="37"/>
        <v>13842104.727272728</v>
      </c>
      <c r="Z201" s="664">
        <f t="shared" si="38"/>
        <v>7.6900581818181823</v>
      </c>
      <c r="AA201" s="662">
        <v>1800000</v>
      </c>
      <c r="AB201" s="663">
        <f t="shared" si="39"/>
        <v>13842104.727272728</v>
      </c>
      <c r="AC201" s="568">
        <f t="shared" si="36"/>
        <v>181</v>
      </c>
      <c r="AD201" s="493">
        <f>IFERROR(INDEX('[6]CN BC'!$M$10:$M$276,MATCH(B201,'[6]CN BC'!$H$10:$H$276,0)),"")</f>
        <v>0</v>
      </c>
      <c r="AE201" s="522" t="s">
        <v>817</v>
      </c>
      <c r="AF201" s="108"/>
      <c r="AG201" s="108"/>
      <c r="AH201" s="155"/>
      <c r="AI201" s="108"/>
      <c r="AJ201" s="108"/>
      <c r="AK201" s="108"/>
      <c r="AL201" s="108"/>
      <c r="AM201" s="108"/>
      <c r="AN201" s="108"/>
    </row>
    <row r="202" spans="1:44" s="372" customFormat="1" ht="25.5" customHeight="1">
      <c r="A202" s="379">
        <f>_xlfn.AGGREGATE(4,7,A$19:A201)+1</f>
        <v>182</v>
      </c>
      <c r="B202" s="363" t="s">
        <v>1525</v>
      </c>
      <c r="C202" s="364" t="s">
        <v>1009</v>
      </c>
      <c r="D202" s="434" t="s">
        <v>1764</v>
      </c>
      <c r="E202" s="423" t="s">
        <v>1372</v>
      </c>
      <c r="F202" s="373">
        <v>3.99</v>
      </c>
      <c r="G202" s="367"/>
      <c r="H202" s="368">
        <f t="shared" si="43"/>
        <v>3.99</v>
      </c>
      <c r="I202" s="368"/>
      <c r="J202" s="368" t="str">
        <f>VLOOKUP(B202,[4]CN!$B$33:$J$365,9,FALSE)</f>
        <v>Giảng viên khoa Cơ khí</v>
      </c>
      <c r="K202" s="369">
        <f t="shared" si="44"/>
        <v>3.99</v>
      </c>
      <c r="L202" s="362">
        <f t="shared" si="45"/>
        <v>7182000</v>
      </c>
      <c r="M202" s="366" t="str">
        <f>VLOOKUP(B202,'[5]Gui chi Quynh'!$B$11:$E$400,4,FALSE)</f>
        <v>A4</v>
      </c>
      <c r="N202" s="494">
        <f t="shared" si="32"/>
        <v>7182000</v>
      </c>
      <c r="O202" s="376">
        <v>9</v>
      </c>
      <c r="P202" s="440">
        <f>IFERROR(INDEX('[6]CN BC'!$J$10:$J$277,MATCH(B202,'[6]CN BC'!$H$10:$H$277,0)),"")</f>
        <v>9</v>
      </c>
      <c r="Q202" s="494">
        <f t="shared" si="41"/>
        <v>7182000</v>
      </c>
      <c r="R202" s="460"/>
      <c r="S202" s="362">
        <f t="shared" si="31"/>
        <v>0</v>
      </c>
      <c r="T202" s="370"/>
      <c r="U202" s="362">
        <f t="shared" si="42"/>
        <v>0</v>
      </c>
      <c r="V202" s="584">
        <f t="shared" si="35"/>
        <v>71820</v>
      </c>
      <c r="W202" s="371">
        <f t="shared" si="40"/>
        <v>7182000</v>
      </c>
      <c r="X202" s="440">
        <f>IFERROR(INDEX([7]TL!$X$12:$X$200,MATCH(B202,[7]TL!$B$12:$B$200,0)),"0")</f>
        <v>1175236.3636363642</v>
      </c>
      <c r="Y202" s="663">
        <f t="shared" si="37"/>
        <v>8357236.3636363642</v>
      </c>
      <c r="Z202" s="664">
        <f t="shared" si="38"/>
        <v>4.6429090909090913</v>
      </c>
      <c r="AA202" s="662">
        <v>1800000</v>
      </c>
      <c r="AB202" s="663">
        <f t="shared" si="39"/>
        <v>8357236.3636363642</v>
      </c>
      <c r="AC202" s="568">
        <f t="shared" si="36"/>
        <v>182</v>
      </c>
      <c r="AD202" s="493">
        <f>IFERROR(INDEX('[6]CN BC'!$M$10:$M$276,MATCH(B202,'[6]CN BC'!$H$10:$H$276,0)),"")</f>
        <v>0</v>
      </c>
      <c r="AE202" s="522" t="s">
        <v>818</v>
      </c>
      <c r="AF202" s="471"/>
      <c r="AG202" s="108"/>
      <c r="AH202" s="155"/>
      <c r="AI202" s="108"/>
      <c r="AJ202" s="108"/>
      <c r="AK202" s="108"/>
      <c r="AL202" s="108"/>
      <c r="AM202" s="108"/>
      <c r="AN202" s="108"/>
    </row>
    <row r="203" spans="1:44" s="372" customFormat="1" ht="25.5" customHeight="1">
      <c r="A203" s="379">
        <f>_xlfn.AGGREGATE(4,7,A$19:A202)+1</f>
        <v>183</v>
      </c>
      <c r="B203" s="363" t="s">
        <v>1892</v>
      </c>
      <c r="C203" s="364" t="s">
        <v>920</v>
      </c>
      <c r="D203" s="406" t="s">
        <v>1765</v>
      </c>
      <c r="E203" s="423" t="s">
        <v>1374</v>
      </c>
      <c r="F203" s="366">
        <v>4.9800000000000004</v>
      </c>
      <c r="G203" s="367">
        <v>0.05</v>
      </c>
      <c r="H203" s="368">
        <f t="shared" si="43"/>
        <v>5.2290000000000001</v>
      </c>
      <c r="I203" s="368"/>
      <c r="J203" s="368" t="str">
        <f>VLOOKUP(B203,[4]CN!$B$33:$J$365,9,FALSE)</f>
        <v>Giảng viên khoa Cơ khí</v>
      </c>
      <c r="K203" s="369">
        <f t="shared" si="44"/>
        <v>5.2290000000000001</v>
      </c>
      <c r="L203" s="362">
        <f t="shared" si="45"/>
        <v>9412200</v>
      </c>
      <c r="M203" s="366" t="str">
        <f>VLOOKUP(B203,'[5]Gui chi Quynh'!$B$11:$E$400,4,FALSE)</f>
        <v>A4</v>
      </c>
      <c r="N203" s="494">
        <f t="shared" si="32"/>
        <v>9412200</v>
      </c>
      <c r="O203" s="376">
        <v>9</v>
      </c>
      <c r="P203" s="440">
        <f>IFERROR(INDEX('[6]CN BC'!$J$10:$J$277,MATCH(B203,'[6]CN BC'!$H$10:$H$277,0)),"")</f>
        <v>9</v>
      </c>
      <c r="Q203" s="494">
        <f t="shared" si="41"/>
        <v>9412200</v>
      </c>
      <c r="R203" s="392"/>
      <c r="S203" s="362">
        <f t="shared" si="31"/>
        <v>0</v>
      </c>
      <c r="T203" s="370"/>
      <c r="U203" s="362">
        <f t="shared" si="42"/>
        <v>0</v>
      </c>
      <c r="V203" s="584">
        <f t="shared" si="35"/>
        <v>94122</v>
      </c>
      <c r="W203" s="371">
        <f t="shared" si="40"/>
        <v>9412200</v>
      </c>
      <c r="X203" s="440">
        <f>IFERROR(INDEX([7]TL!$X$12:$X$200,MATCH(B203,[7]TL!$B$12:$B$200,0)),"0")</f>
        <v>1283481.8181818184</v>
      </c>
      <c r="Y203" s="663">
        <f t="shared" si="37"/>
        <v>10695681.818181818</v>
      </c>
      <c r="Z203" s="664">
        <f t="shared" si="38"/>
        <v>5.9420454545454549</v>
      </c>
      <c r="AA203" s="662">
        <v>1800000</v>
      </c>
      <c r="AB203" s="663">
        <f t="shared" si="39"/>
        <v>10695681.818181818</v>
      </c>
      <c r="AC203" s="568">
        <f t="shared" si="36"/>
        <v>183</v>
      </c>
      <c r="AD203" s="493">
        <f>IFERROR(INDEX('[6]CN BC'!$M$10:$M$276,MATCH(B203,'[6]CN BC'!$H$10:$H$276,0)),"")</f>
        <v>0</v>
      </c>
      <c r="AE203" s="522" t="s">
        <v>819</v>
      </c>
      <c r="AF203" s="108"/>
      <c r="AG203" s="108"/>
      <c r="AH203" s="155"/>
      <c r="AI203" s="108"/>
      <c r="AJ203" s="108"/>
      <c r="AK203" s="108"/>
      <c r="AL203" s="108"/>
      <c r="AM203" s="108"/>
      <c r="AN203" s="108"/>
      <c r="AO203" s="108"/>
      <c r="AP203" s="108"/>
      <c r="AQ203" s="108"/>
      <c r="AR203" s="108"/>
    </row>
    <row r="204" spans="1:44" s="372" customFormat="1" ht="25.5" customHeight="1">
      <c r="A204" s="379">
        <f>_xlfn.AGGREGATE(4,7,A$19:A203)+1</f>
        <v>184</v>
      </c>
      <c r="B204" s="363" t="s">
        <v>1526</v>
      </c>
      <c r="C204" s="364" t="s">
        <v>1214</v>
      </c>
      <c r="D204" s="434" t="s">
        <v>1766</v>
      </c>
      <c r="E204" s="194" t="s">
        <v>1939</v>
      </c>
      <c r="F204" s="373">
        <v>3.66</v>
      </c>
      <c r="G204" s="367"/>
      <c r="H204" s="368">
        <f t="shared" si="43"/>
        <v>3.66</v>
      </c>
      <c r="I204" s="368">
        <v>0.35</v>
      </c>
      <c r="J204" s="368" t="str">
        <f>VLOOKUP(B204,[4]CN!$B$33:$J$365,9,FALSE)</f>
        <v>Phó Trưởng khoa Cơ khí</v>
      </c>
      <c r="K204" s="369">
        <f t="shared" si="44"/>
        <v>4.01</v>
      </c>
      <c r="L204" s="362">
        <f t="shared" si="45"/>
        <v>7218000</v>
      </c>
      <c r="M204" s="366" t="str">
        <f>VLOOKUP(B204,'[5]Gui chi Quynh'!$B$11:$E$400,4,FALSE)</f>
        <v>A3</v>
      </c>
      <c r="N204" s="494">
        <f t="shared" si="32"/>
        <v>8661600</v>
      </c>
      <c r="O204" s="376">
        <v>9</v>
      </c>
      <c r="P204" s="440">
        <f>IFERROR(INDEX('[6]CN BC'!$J$10:$J$277,MATCH(B204,'[6]CN BC'!$H$10:$H$277,0)),"")</f>
        <v>9</v>
      </c>
      <c r="Q204" s="494">
        <f t="shared" si="41"/>
        <v>8661600</v>
      </c>
      <c r="R204" s="460"/>
      <c r="S204" s="362">
        <f t="shared" si="31"/>
        <v>0</v>
      </c>
      <c r="T204" s="370"/>
      <c r="U204" s="362">
        <f t="shared" si="42"/>
        <v>0</v>
      </c>
      <c r="V204" s="584">
        <f t="shared" si="35"/>
        <v>72180</v>
      </c>
      <c r="W204" s="371">
        <f t="shared" si="40"/>
        <v>8661600</v>
      </c>
      <c r="X204" s="440">
        <f>IFERROR(INDEX([7]TL!$X$12:$X$200,MATCH(B204,[7]TL!$B$12:$B$200,0)),"0")</f>
        <v>1377981.8181818184</v>
      </c>
      <c r="Y204" s="663">
        <f t="shared" si="37"/>
        <v>10039581.818181818</v>
      </c>
      <c r="Z204" s="664">
        <f t="shared" si="38"/>
        <v>5.5775454545454544</v>
      </c>
      <c r="AA204" s="662">
        <v>1800000</v>
      </c>
      <c r="AB204" s="663">
        <f t="shared" si="39"/>
        <v>10039581.818181818</v>
      </c>
      <c r="AC204" s="568">
        <f t="shared" si="36"/>
        <v>184</v>
      </c>
      <c r="AD204" s="493">
        <f>IFERROR(INDEX('[6]CN BC'!$M$10:$M$276,MATCH(B204,'[6]CN BC'!$H$10:$H$276,0)),"")</f>
        <v>0</v>
      </c>
      <c r="AE204" s="522" t="s">
        <v>820</v>
      </c>
      <c r="AF204" s="108"/>
      <c r="AG204" s="108"/>
      <c r="AH204" s="155"/>
      <c r="AI204" s="108"/>
      <c r="AJ204" s="108"/>
      <c r="AK204" s="108"/>
      <c r="AL204" s="108"/>
      <c r="AM204" s="108"/>
      <c r="AN204" s="108"/>
    </row>
    <row r="205" spans="1:44" s="372" customFormat="1" ht="26.25" customHeight="1">
      <c r="A205" s="379">
        <f>_xlfn.AGGREGATE(4,7,A$19:A204)+1</f>
        <v>185</v>
      </c>
      <c r="B205" s="363" t="s">
        <v>1527</v>
      </c>
      <c r="C205" s="364" t="s">
        <v>1009</v>
      </c>
      <c r="D205" s="434" t="s">
        <v>1767</v>
      </c>
      <c r="E205" s="423" t="s">
        <v>1379</v>
      </c>
      <c r="F205" s="373">
        <v>3.66</v>
      </c>
      <c r="G205" s="367"/>
      <c r="H205" s="368">
        <f t="shared" si="43"/>
        <v>3.66</v>
      </c>
      <c r="I205" s="368"/>
      <c r="J205" s="368" t="str">
        <f>VLOOKUP(B205,[4]CN!$B$33:$J$365,9,FALSE)</f>
        <v>Giảng viên khoa Cơ khí</v>
      </c>
      <c r="K205" s="369">
        <f t="shared" si="44"/>
        <v>3.66</v>
      </c>
      <c r="L205" s="362">
        <f t="shared" si="45"/>
        <v>6588000</v>
      </c>
      <c r="M205" s="366" t="str">
        <f>VLOOKUP(B205,'[5]Gui chi Quynh'!$B$11:$E$400,4,FALSE)</f>
        <v>A4</v>
      </c>
      <c r="N205" s="494">
        <f t="shared" si="32"/>
        <v>6588000</v>
      </c>
      <c r="O205" s="376">
        <v>9</v>
      </c>
      <c r="P205" s="440">
        <f>IFERROR(INDEX('[6]CN BC'!$J$10:$J$277,MATCH(B205,'[6]CN BC'!$H$10:$H$277,0)),"")</f>
        <v>9</v>
      </c>
      <c r="Q205" s="494">
        <f t="shared" si="41"/>
        <v>6588000</v>
      </c>
      <c r="R205" s="460"/>
      <c r="S205" s="362">
        <f t="shared" si="31"/>
        <v>0</v>
      </c>
      <c r="T205" s="370"/>
      <c r="U205" s="362">
        <f t="shared" si="42"/>
        <v>0</v>
      </c>
      <c r="V205" s="584">
        <f t="shared" si="35"/>
        <v>65880</v>
      </c>
      <c r="W205" s="371">
        <f t="shared" si="40"/>
        <v>6588000</v>
      </c>
      <c r="X205" s="440">
        <f>IFERROR(INDEX([7]TL!$X$12:$X$200,MATCH(B205,[7]TL!$B$12:$B$200,0)),"0")</f>
        <v>898363.63636363577</v>
      </c>
      <c r="Y205" s="663">
        <f t="shared" si="37"/>
        <v>7486363.6363636358</v>
      </c>
      <c r="Z205" s="664">
        <f t="shared" si="38"/>
        <v>4.1590909090909092</v>
      </c>
      <c r="AA205" s="662">
        <v>1800000</v>
      </c>
      <c r="AB205" s="663">
        <f t="shared" si="39"/>
        <v>7486363.6363636367</v>
      </c>
      <c r="AC205" s="568">
        <f t="shared" si="36"/>
        <v>185</v>
      </c>
      <c r="AD205" s="493">
        <f>IFERROR(INDEX('[6]CN BC'!$M$10:$M$276,MATCH(B205,'[6]CN BC'!$H$10:$H$276,0)),"")</f>
        <v>0</v>
      </c>
      <c r="AE205" s="522" t="s">
        <v>1119</v>
      </c>
      <c r="AF205" s="108"/>
      <c r="AG205" s="108"/>
      <c r="AH205" s="487"/>
    </row>
    <row r="206" spans="1:44" s="372" customFormat="1" ht="27.75" customHeight="1">
      <c r="A206" s="379">
        <f>_xlfn.AGGREGATE(4,7,A$19:A205)+1</f>
        <v>186</v>
      </c>
      <c r="B206" s="363" t="s">
        <v>1893</v>
      </c>
      <c r="C206" s="364" t="s">
        <v>891</v>
      </c>
      <c r="D206" s="434" t="s">
        <v>1768</v>
      </c>
      <c r="E206" s="423" t="s">
        <v>387</v>
      </c>
      <c r="F206" s="373">
        <v>3.66</v>
      </c>
      <c r="G206" s="367"/>
      <c r="H206" s="368">
        <f t="shared" si="43"/>
        <v>3.66</v>
      </c>
      <c r="I206" s="368"/>
      <c r="J206" s="368" t="str">
        <f>VLOOKUP(B206,[4]CN!$B$33:$J$365,9,FALSE)</f>
        <v>Giảng viên khoa Cơ khí</v>
      </c>
      <c r="K206" s="369">
        <f t="shared" si="44"/>
        <v>3.66</v>
      </c>
      <c r="L206" s="362">
        <f t="shared" si="45"/>
        <v>6588000</v>
      </c>
      <c r="M206" s="366" t="str">
        <f>VLOOKUP(B206,'[5]Gui chi Quynh'!$B$11:$E$400,4,FALSE)</f>
        <v>A4</v>
      </c>
      <c r="N206" s="494">
        <f t="shared" si="32"/>
        <v>6588000</v>
      </c>
      <c r="O206" s="376">
        <v>9</v>
      </c>
      <c r="P206" s="440">
        <f>IFERROR(INDEX('[6]CN BC'!$J$10:$J$277,MATCH(B206,'[6]CN BC'!$H$10:$H$277,0)),"")</f>
        <v>9</v>
      </c>
      <c r="Q206" s="494">
        <f t="shared" si="41"/>
        <v>6588000</v>
      </c>
      <c r="R206" s="392"/>
      <c r="S206" s="362">
        <f t="shared" ref="S206:S270" si="46">R206*$G$15*1</f>
        <v>0</v>
      </c>
      <c r="T206" s="370"/>
      <c r="U206" s="362">
        <f t="shared" si="42"/>
        <v>0</v>
      </c>
      <c r="V206" s="584">
        <f t="shared" si="35"/>
        <v>65880</v>
      </c>
      <c r="W206" s="371">
        <f t="shared" si="40"/>
        <v>6588000</v>
      </c>
      <c r="X206" s="440">
        <f>IFERROR(INDEX([7]TL!$X$12:$X$200,MATCH(B206,[7]TL!$B$12:$B$200,0)),"0")</f>
        <v>1078036.3636363642</v>
      </c>
      <c r="Y206" s="663">
        <f t="shared" si="37"/>
        <v>7666036.3636363642</v>
      </c>
      <c r="Z206" s="664">
        <f t="shared" si="38"/>
        <v>4.258909090909091</v>
      </c>
      <c r="AA206" s="662">
        <v>1800000</v>
      </c>
      <c r="AB206" s="663">
        <f t="shared" si="39"/>
        <v>7666036.3636363633</v>
      </c>
      <c r="AC206" s="568">
        <f t="shared" si="36"/>
        <v>186</v>
      </c>
      <c r="AD206" s="493">
        <f>IFERROR(INDEX('[6]CN BC'!$M$10:$M$276,MATCH(B206,'[6]CN BC'!$H$10:$H$276,0)),"")</f>
        <v>0</v>
      </c>
      <c r="AE206" s="522" t="s">
        <v>1120</v>
      </c>
      <c r="AF206" s="108"/>
      <c r="AG206" s="108"/>
      <c r="AH206" s="155"/>
      <c r="AI206" s="108"/>
      <c r="AJ206" s="108"/>
      <c r="AK206" s="108"/>
      <c r="AL206" s="108"/>
      <c r="AM206" s="108"/>
      <c r="AN206" s="108"/>
    </row>
    <row r="207" spans="1:44" s="372" customFormat="1" ht="27.75" customHeight="1">
      <c r="A207" s="379">
        <f>_xlfn.AGGREGATE(4,7,A$19:A206)+1</f>
        <v>187</v>
      </c>
      <c r="B207" s="363" t="s">
        <v>1894</v>
      </c>
      <c r="C207" s="364" t="s">
        <v>880</v>
      </c>
      <c r="D207" s="434" t="s">
        <v>1769</v>
      </c>
      <c r="E207" s="423" t="s">
        <v>388</v>
      </c>
      <c r="F207" s="373">
        <v>3.66</v>
      </c>
      <c r="G207" s="367"/>
      <c r="H207" s="368">
        <f t="shared" si="43"/>
        <v>3.66</v>
      </c>
      <c r="I207" s="368"/>
      <c r="J207" s="368" t="str">
        <f>VLOOKUP(B207,[4]CN!$B$33:$J$365,9,FALSE)</f>
        <v>Giảng viên khoa Cơ khí</v>
      </c>
      <c r="K207" s="369">
        <f t="shared" si="44"/>
        <v>3.66</v>
      </c>
      <c r="L207" s="362">
        <f t="shared" si="45"/>
        <v>6588000</v>
      </c>
      <c r="M207" s="366" t="str">
        <f>VLOOKUP(B207,'[5]Gui chi Quynh'!$B$11:$E$400,4,FALSE)</f>
        <v>A4</v>
      </c>
      <c r="N207" s="494">
        <f t="shared" si="32"/>
        <v>6588000</v>
      </c>
      <c r="O207" s="376">
        <v>9</v>
      </c>
      <c r="P207" s="440">
        <f>IFERROR(INDEX('[6]CN BC'!$J$10:$J$277,MATCH(B207,'[6]CN BC'!$H$10:$H$277,0)),"")</f>
        <v>9</v>
      </c>
      <c r="Q207" s="494">
        <f t="shared" si="41"/>
        <v>6588000</v>
      </c>
      <c r="R207" s="460"/>
      <c r="S207" s="362">
        <f t="shared" si="46"/>
        <v>0</v>
      </c>
      <c r="T207" s="370"/>
      <c r="U207" s="362">
        <f t="shared" si="42"/>
        <v>0</v>
      </c>
      <c r="V207" s="584">
        <f t="shared" si="35"/>
        <v>65880</v>
      </c>
      <c r="W207" s="371">
        <f t="shared" si="40"/>
        <v>6588000</v>
      </c>
      <c r="X207" s="440">
        <f>IFERROR(INDEX([7]TL!$X$12:$X$200,MATCH(B207,[7]TL!$B$12:$B$200,0)),"0")</f>
        <v>1257709.0909090908</v>
      </c>
      <c r="Y207" s="663">
        <f t="shared" si="37"/>
        <v>7845709.0909090908</v>
      </c>
      <c r="Z207" s="664">
        <f t="shared" si="38"/>
        <v>4.3587272727272728</v>
      </c>
      <c r="AA207" s="662">
        <v>1800000</v>
      </c>
      <c r="AB207" s="663">
        <f t="shared" si="39"/>
        <v>7845709.0909090908</v>
      </c>
      <c r="AC207" s="568">
        <f t="shared" si="36"/>
        <v>187</v>
      </c>
      <c r="AD207" s="493">
        <f>IFERROR(INDEX('[6]CN BC'!$M$10:$M$276,MATCH(B207,'[6]CN BC'!$H$10:$H$276,0)),"")</f>
        <v>0</v>
      </c>
      <c r="AE207" s="522" t="s">
        <v>1121</v>
      </c>
      <c r="AF207" s="108"/>
      <c r="AG207" s="108"/>
      <c r="AH207" s="155"/>
      <c r="AI207" s="108"/>
      <c r="AJ207" s="108"/>
      <c r="AK207" s="108"/>
      <c r="AL207" s="108"/>
      <c r="AM207" s="108"/>
      <c r="AN207" s="108"/>
    </row>
    <row r="208" spans="1:44" s="372" customFormat="1" ht="32.25" customHeight="1">
      <c r="A208" s="379">
        <f>_xlfn.AGGREGATE(4,7,A$19:A207)+1</f>
        <v>188</v>
      </c>
      <c r="B208" s="363" t="s">
        <v>2023</v>
      </c>
      <c r="C208" s="592" t="s">
        <v>364</v>
      </c>
      <c r="D208" s="434" t="s">
        <v>1770</v>
      </c>
      <c r="E208" s="423" t="s">
        <v>386</v>
      </c>
      <c r="F208" s="373">
        <v>3.66</v>
      </c>
      <c r="G208" s="367"/>
      <c r="H208" s="368">
        <f t="shared" si="43"/>
        <v>3.66</v>
      </c>
      <c r="I208" s="368"/>
      <c r="J208" s="368" t="str">
        <f>VLOOKUP(B208,[4]CN!$B$33:$J$365,9,FALSE)</f>
        <v>Giảng viên khoa Cơ khí</v>
      </c>
      <c r="K208" s="369">
        <f t="shared" si="44"/>
        <v>3.66</v>
      </c>
      <c r="L208" s="362">
        <f t="shared" si="45"/>
        <v>6588000</v>
      </c>
      <c r="M208" s="366" t="str">
        <f>VLOOKUP(B208,'[5]Gui chi Quynh'!$B$11:$E$400,4,FALSE)</f>
        <v>A4</v>
      </c>
      <c r="N208" s="494">
        <f t="shared" si="32"/>
        <v>6588000</v>
      </c>
      <c r="O208" s="376">
        <v>9</v>
      </c>
      <c r="P208" s="440">
        <f>IFERROR(INDEX('[6]CN BC'!$J$10:$J$277,MATCH(B208,'[6]CN BC'!$H$10:$H$277,0)),"")</f>
        <v>9</v>
      </c>
      <c r="Q208" s="494">
        <f t="shared" si="41"/>
        <v>6588000</v>
      </c>
      <c r="R208" s="460"/>
      <c r="S208" s="362">
        <f t="shared" si="46"/>
        <v>0</v>
      </c>
      <c r="T208" s="370"/>
      <c r="U208" s="362">
        <f t="shared" si="42"/>
        <v>0</v>
      </c>
      <c r="V208" s="362">
        <f t="shared" si="35"/>
        <v>65880</v>
      </c>
      <c r="W208" s="371">
        <f t="shared" si="40"/>
        <v>6588000</v>
      </c>
      <c r="X208" s="440">
        <f>IFERROR(INDEX([7]TL!$X$12:$X$200,MATCH(B208,[7]TL!$B$12:$B$200,0)),"0")</f>
        <v>898363.63636363577</v>
      </c>
      <c r="Y208" s="663">
        <f t="shared" si="37"/>
        <v>7486363.6363636358</v>
      </c>
      <c r="Z208" s="664">
        <f t="shared" si="38"/>
        <v>4.1590909090909092</v>
      </c>
      <c r="AA208" s="662">
        <v>1800000</v>
      </c>
      <c r="AB208" s="663">
        <f t="shared" si="39"/>
        <v>7486363.6363636367</v>
      </c>
      <c r="AC208" s="568">
        <f t="shared" si="36"/>
        <v>188</v>
      </c>
      <c r="AD208" s="493">
        <f>IFERROR(INDEX('[6]CN BC'!$M$10:$M$276,MATCH(B208,'[6]CN BC'!$H$10:$H$276,0)),"")</f>
        <v>0</v>
      </c>
      <c r="AE208" s="540" t="s">
        <v>1122</v>
      </c>
      <c r="AH208" s="487"/>
    </row>
    <row r="209" spans="1:44" s="372" customFormat="1" ht="27.75" customHeight="1">
      <c r="A209" s="379">
        <f>_xlfn.AGGREGATE(4,7,A$19:A208)+1</f>
        <v>189</v>
      </c>
      <c r="B209" s="363" t="s">
        <v>1528</v>
      </c>
      <c r="C209" s="364" t="s">
        <v>455</v>
      </c>
      <c r="D209" s="406" t="s">
        <v>1771</v>
      </c>
      <c r="E209" s="423" t="s">
        <v>456</v>
      </c>
      <c r="F209" s="373">
        <v>3.66</v>
      </c>
      <c r="G209" s="367"/>
      <c r="H209" s="445">
        <f t="shared" si="43"/>
        <v>3.66</v>
      </c>
      <c r="I209" s="368"/>
      <c r="J209" s="368" t="str">
        <f>VLOOKUP(B209,[4]CN!$B$33:$J$365,9,FALSE)</f>
        <v>Giảng viên khoa Cơ khí</v>
      </c>
      <c r="K209" s="369">
        <f t="shared" si="44"/>
        <v>3.66</v>
      </c>
      <c r="L209" s="362">
        <f t="shared" si="45"/>
        <v>6588000</v>
      </c>
      <c r="M209" s="366" t="str">
        <f>VLOOKUP(B209,'[5]Gui chi Quynh'!$B$11:$E$400,4,FALSE)</f>
        <v>A4</v>
      </c>
      <c r="N209" s="494">
        <f t="shared" si="32"/>
        <v>6588000</v>
      </c>
      <c r="O209" s="376">
        <v>9</v>
      </c>
      <c r="P209" s="440">
        <f>IFERROR(INDEX('[6]CN BC'!$J$10:$J$277,MATCH(B209,'[6]CN BC'!$H$10:$H$277,0)),"")</f>
        <v>9</v>
      </c>
      <c r="Q209" s="494">
        <f t="shared" si="41"/>
        <v>6588000</v>
      </c>
      <c r="R209" s="392"/>
      <c r="S209" s="362">
        <f t="shared" si="46"/>
        <v>0</v>
      </c>
      <c r="T209" s="370"/>
      <c r="U209" s="362">
        <f t="shared" si="42"/>
        <v>0</v>
      </c>
      <c r="V209" s="584">
        <f t="shared" si="35"/>
        <v>65880</v>
      </c>
      <c r="W209" s="371">
        <f t="shared" si="40"/>
        <v>6588000</v>
      </c>
      <c r="X209" s="440">
        <f>IFERROR(INDEX([7]TL!$X$12:$X$200,MATCH(B209,[7]TL!$B$12:$B$200,0)),"0")</f>
        <v>1078036.3636363642</v>
      </c>
      <c r="Y209" s="663">
        <f t="shared" si="37"/>
        <v>7666036.3636363642</v>
      </c>
      <c r="Z209" s="664">
        <f t="shared" si="38"/>
        <v>4.258909090909091</v>
      </c>
      <c r="AA209" s="662">
        <v>1800000</v>
      </c>
      <c r="AB209" s="663">
        <f t="shared" si="39"/>
        <v>7666036.3636363633</v>
      </c>
      <c r="AC209" s="568">
        <f t="shared" si="36"/>
        <v>189</v>
      </c>
      <c r="AD209" s="493">
        <f>IFERROR(INDEX('[6]CN BC'!$M$10:$M$276,MATCH(B209,'[6]CN BC'!$H$10:$H$276,0)),"")</f>
        <v>0</v>
      </c>
      <c r="AE209" s="522" t="s">
        <v>1123</v>
      </c>
      <c r="AF209" s="108"/>
      <c r="AG209" s="108"/>
      <c r="AH209" s="155"/>
      <c r="AI209" s="108"/>
      <c r="AJ209" s="108"/>
      <c r="AK209" s="108"/>
      <c r="AL209" s="108"/>
      <c r="AM209" s="108"/>
      <c r="AN209" s="108"/>
      <c r="AO209" s="108"/>
      <c r="AP209" s="108"/>
      <c r="AQ209" s="108"/>
      <c r="AR209" s="108"/>
    </row>
    <row r="210" spans="1:44" s="372" customFormat="1" ht="30" customHeight="1">
      <c r="A210" s="379">
        <f>_xlfn.AGGREGATE(4,7,A$19:A209)+1</f>
        <v>190</v>
      </c>
      <c r="B210" s="363" t="s">
        <v>1529</v>
      </c>
      <c r="C210" s="364" t="s">
        <v>876</v>
      </c>
      <c r="D210" s="406" t="s">
        <v>1772</v>
      </c>
      <c r="E210" s="423" t="s">
        <v>743</v>
      </c>
      <c r="F210" s="373">
        <v>3.33</v>
      </c>
      <c r="G210" s="367"/>
      <c r="H210" s="445">
        <f t="shared" si="43"/>
        <v>3.33</v>
      </c>
      <c r="I210" s="368">
        <v>0.25</v>
      </c>
      <c r="J210" s="368" t="str">
        <f>VLOOKUP(B210,[4]CN!$B$33:$J$365,9,FALSE)</f>
        <v>Giảng viên - Trưởng BM khoa Cơ khí</v>
      </c>
      <c r="K210" s="369">
        <f t="shared" si="44"/>
        <v>3.58</v>
      </c>
      <c r="L210" s="362">
        <f t="shared" si="45"/>
        <v>6444000</v>
      </c>
      <c r="M210" s="366" t="str">
        <f>VLOOKUP(B210,'[5]Gui chi Quynh'!$B$11:$E$400,4,FALSE)</f>
        <v>A3</v>
      </c>
      <c r="N210" s="494">
        <f t="shared" si="32"/>
        <v>7732800</v>
      </c>
      <c r="O210" s="376">
        <v>9</v>
      </c>
      <c r="P210" s="440">
        <f>IFERROR(INDEX('[6]CN BC'!$J$10:$J$277,MATCH(B210,'[6]CN BC'!$H$10:$H$277,0)),"")</f>
        <v>9</v>
      </c>
      <c r="Q210" s="494">
        <f t="shared" si="41"/>
        <v>7732800</v>
      </c>
      <c r="R210" s="392"/>
      <c r="S210" s="362">
        <f t="shared" si="46"/>
        <v>0</v>
      </c>
      <c r="T210" s="385"/>
      <c r="U210" s="362">
        <f t="shared" si="42"/>
        <v>0</v>
      </c>
      <c r="V210" s="584">
        <f t="shared" si="35"/>
        <v>64440</v>
      </c>
      <c r="W210" s="371">
        <f t="shared" si="40"/>
        <v>7732800</v>
      </c>
      <c r="X210" s="440">
        <f>IFERROR(INDEX([7]TL!$X$12:$X$200,MATCH(B210,[7]TL!$B$12:$B$200,0)),"0")</f>
        <v>1405963.6363636367</v>
      </c>
      <c r="Y210" s="663">
        <f t="shared" si="37"/>
        <v>9138763.6363636367</v>
      </c>
      <c r="Z210" s="664">
        <f t="shared" si="38"/>
        <v>5.0770909090909093</v>
      </c>
      <c r="AA210" s="662">
        <v>1800000</v>
      </c>
      <c r="AB210" s="663">
        <f t="shared" si="39"/>
        <v>9138763.6363636367</v>
      </c>
      <c r="AC210" s="568">
        <f t="shared" si="36"/>
        <v>190</v>
      </c>
      <c r="AD210" s="493">
        <f>IFERROR(INDEX('[6]CN BC'!$M$10:$M$276,MATCH(B210,'[6]CN BC'!$H$10:$H$276,0)),"")</f>
        <v>0</v>
      </c>
      <c r="AE210" s="522" t="s">
        <v>1124</v>
      </c>
      <c r="AF210" s="108"/>
      <c r="AG210" s="108"/>
      <c r="AH210" s="155"/>
      <c r="AI210" s="108"/>
      <c r="AJ210" s="108"/>
      <c r="AK210" s="108"/>
      <c r="AL210" s="108"/>
      <c r="AM210" s="108"/>
      <c r="AN210" s="108"/>
      <c r="AO210" s="108"/>
      <c r="AP210" s="108"/>
      <c r="AQ210" s="108"/>
      <c r="AR210" s="108"/>
    </row>
    <row r="211" spans="1:44" s="372" customFormat="1" ht="30" customHeight="1">
      <c r="A211" s="379">
        <f>_xlfn.AGGREGATE(4,7,A$19:A210)+1</f>
        <v>191</v>
      </c>
      <c r="B211" s="363" t="s">
        <v>1530</v>
      </c>
      <c r="C211" s="364" t="s">
        <v>886</v>
      </c>
      <c r="D211" s="434" t="s">
        <v>1773</v>
      </c>
      <c r="E211" s="430">
        <v>1603205357641</v>
      </c>
      <c r="F211" s="373">
        <v>3.66</v>
      </c>
      <c r="G211" s="367"/>
      <c r="H211" s="368">
        <f t="shared" si="43"/>
        <v>3.66</v>
      </c>
      <c r="I211" s="368"/>
      <c r="J211" s="368" t="str">
        <f>VLOOKUP(B211,[4]CN!$B$33:$J$365,9,FALSE)</f>
        <v>Giảng viên khoa Cơ khí</v>
      </c>
      <c r="K211" s="369">
        <f t="shared" si="44"/>
        <v>3.66</v>
      </c>
      <c r="L211" s="362">
        <f t="shared" si="45"/>
        <v>6588000</v>
      </c>
      <c r="M211" s="366" t="str">
        <f>VLOOKUP(B211,'[5]Gui chi Quynh'!$B$11:$E$400,4,FALSE)</f>
        <v>A4</v>
      </c>
      <c r="N211" s="494">
        <f t="shared" si="32"/>
        <v>6588000</v>
      </c>
      <c r="O211" s="376">
        <v>9</v>
      </c>
      <c r="P211" s="440">
        <f>IFERROR(INDEX('[6]CN BC'!$J$10:$J$277,MATCH(B211,'[6]CN BC'!$H$10:$H$277,0)),"")</f>
        <v>9</v>
      </c>
      <c r="Q211" s="494">
        <f t="shared" si="41"/>
        <v>6588000</v>
      </c>
      <c r="R211" s="460"/>
      <c r="S211" s="362">
        <f t="shared" si="46"/>
        <v>0</v>
      </c>
      <c r="T211" s="370"/>
      <c r="U211" s="362">
        <f t="shared" si="42"/>
        <v>0</v>
      </c>
      <c r="V211" s="584">
        <f t="shared" si="35"/>
        <v>65880</v>
      </c>
      <c r="W211" s="371">
        <f t="shared" si="40"/>
        <v>6588000</v>
      </c>
      <c r="X211" s="440">
        <f>IFERROR(INDEX([7]TL!$X$12:$X$200,MATCH(B211,[7]TL!$B$12:$B$200,0)),"0")</f>
        <v>898363.63636363577</v>
      </c>
      <c r="Y211" s="663">
        <f t="shared" si="37"/>
        <v>7486363.6363636358</v>
      </c>
      <c r="Z211" s="664">
        <f t="shared" si="38"/>
        <v>4.1590909090909092</v>
      </c>
      <c r="AA211" s="662">
        <v>1800000</v>
      </c>
      <c r="AB211" s="663">
        <f t="shared" si="39"/>
        <v>7486363.6363636367</v>
      </c>
      <c r="AC211" s="568">
        <f t="shared" si="36"/>
        <v>191</v>
      </c>
      <c r="AD211" s="493">
        <f>IFERROR(INDEX('[6]CN BC'!$M$10:$M$276,MATCH(B211,'[6]CN BC'!$H$10:$H$276,0)),"")</f>
        <v>0</v>
      </c>
      <c r="AE211" s="540" t="s">
        <v>1125</v>
      </c>
      <c r="AF211" s="541"/>
      <c r="AH211" s="487"/>
    </row>
    <row r="212" spans="1:44" s="372" customFormat="1" ht="25.9" customHeight="1">
      <c r="A212" s="379">
        <f>_xlfn.AGGREGATE(4,7,A$19:A211)+1</f>
        <v>192</v>
      </c>
      <c r="B212" s="363" t="s">
        <v>1531</v>
      </c>
      <c r="C212" s="364" t="s">
        <v>746</v>
      </c>
      <c r="D212" s="406" t="s">
        <v>1774</v>
      </c>
      <c r="E212" s="430">
        <v>1603205357120</v>
      </c>
      <c r="F212" s="373">
        <v>3.33</v>
      </c>
      <c r="G212" s="367"/>
      <c r="H212" s="445">
        <f t="shared" si="43"/>
        <v>3.33</v>
      </c>
      <c r="I212" s="368"/>
      <c r="J212" s="368" t="str">
        <f>VLOOKUP(B212,[4]CN!$B$33:$J$365,9,FALSE)</f>
        <v>Giảng viên khoa Cơ khí</v>
      </c>
      <c r="K212" s="369">
        <f t="shared" si="44"/>
        <v>3.33</v>
      </c>
      <c r="L212" s="362">
        <f t="shared" si="45"/>
        <v>5994000</v>
      </c>
      <c r="M212" s="366" t="str">
        <f>VLOOKUP(B212,'[5]Gui chi Quynh'!$B$11:$E$400,4,FALSE)</f>
        <v>A4</v>
      </c>
      <c r="N212" s="494">
        <f t="shared" si="32"/>
        <v>5994000</v>
      </c>
      <c r="O212" s="376">
        <v>9</v>
      </c>
      <c r="P212" s="440">
        <f>IFERROR(INDEX('[6]CN BC'!$J$10:$J$277,MATCH(B212,'[6]CN BC'!$H$10:$H$277,0)),"")</f>
        <v>9</v>
      </c>
      <c r="Q212" s="494">
        <f t="shared" si="41"/>
        <v>5994000</v>
      </c>
      <c r="R212" s="392"/>
      <c r="S212" s="362">
        <f t="shared" si="46"/>
        <v>0</v>
      </c>
      <c r="T212" s="370"/>
      <c r="U212" s="362">
        <f t="shared" si="42"/>
        <v>0</v>
      </c>
      <c r="V212" s="584">
        <f t="shared" si="35"/>
        <v>59940</v>
      </c>
      <c r="W212" s="371">
        <f t="shared" si="40"/>
        <v>5994000</v>
      </c>
      <c r="X212" s="440">
        <f>IFERROR(INDEX([7]TL!$X$12:$X$200,MATCH(B212,[7]TL!$B$12:$B$200,0)),"0")</f>
        <v>980836.36363636423</v>
      </c>
      <c r="Y212" s="663">
        <f t="shared" si="37"/>
        <v>6974836.3636363642</v>
      </c>
      <c r="Z212" s="664">
        <f t="shared" si="38"/>
        <v>3.8749090909090911</v>
      </c>
      <c r="AA212" s="662">
        <v>1800000</v>
      </c>
      <c r="AB212" s="663">
        <f t="shared" si="39"/>
        <v>6974836.3636363642</v>
      </c>
      <c r="AC212" s="568">
        <f t="shared" si="36"/>
        <v>192</v>
      </c>
      <c r="AD212" s="493">
        <f>IFERROR(INDEX('[6]CN BC'!$M$10:$M$276,MATCH(B212,'[6]CN BC'!$H$10:$H$276,0)),"")</f>
        <v>0</v>
      </c>
      <c r="AE212" s="522" t="s">
        <v>1126</v>
      </c>
      <c r="AF212" s="108"/>
      <c r="AG212" s="108"/>
      <c r="AH212" s="155"/>
      <c r="AI212" s="108"/>
      <c r="AJ212" s="108"/>
      <c r="AK212" s="108"/>
      <c r="AL212" s="108"/>
      <c r="AM212" s="108"/>
      <c r="AN212" s="108"/>
      <c r="AO212" s="108"/>
      <c r="AP212" s="108"/>
      <c r="AQ212" s="108"/>
      <c r="AR212" s="108"/>
    </row>
    <row r="213" spans="1:44" s="372" customFormat="1" ht="32.25" customHeight="1">
      <c r="A213" s="379">
        <f>_xlfn.AGGREGATE(4,7,A$19:A212)+1</f>
        <v>193</v>
      </c>
      <c r="B213" s="363" t="s">
        <v>1895</v>
      </c>
      <c r="C213" s="364" t="s">
        <v>905</v>
      </c>
      <c r="D213" s="434" t="s">
        <v>1775</v>
      </c>
      <c r="E213" s="423" t="s">
        <v>1261</v>
      </c>
      <c r="F213" s="366">
        <v>4.9800000000000004</v>
      </c>
      <c r="G213" s="367">
        <v>7.0000000000000007E-2</v>
      </c>
      <c r="H213" s="368">
        <f t="shared" si="43"/>
        <v>5.3286000000000007</v>
      </c>
      <c r="I213" s="368"/>
      <c r="J213" s="368" t="str">
        <f>VLOOKUP(B213,[4]CN!$B$33:$J$365,9,FALSE)</f>
        <v>Giảng viên khoa Cơ khí</v>
      </c>
      <c r="K213" s="369">
        <f t="shared" si="44"/>
        <v>5.3286000000000007</v>
      </c>
      <c r="L213" s="362">
        <f t="shared" si="45"/>
        <v>9591480.0000000019</v>
      </c>
      <c r="M213" s="366" t="str">
        <f>VLOOKUP(B213,'[5]Gui chi Quynh'!$B$11:$E$400,4,FALSE)</f>
        <v>A4</v>
      </c>
      <c r="N213" s="494">
        <f t="shared" ref="N213:N276" si="47">IF(M213="A1",L213*1.6,IF(M213="A2",L213*1.4,IF(M213="A3",L213*1.2,IF(M213="A4",L213*1,IF(M213="B1",L213*0.7,IF(M213="B2",L213*0.5,IF(M213="C1",L213*0.3,IF(M213="C2",L213*0.2,0))))))))</f>
        <v>9591480.0000000019</v>
      </c>
      <c r="O213" s="376">
        <v>9</v>
      </c>
      <c r="P213" s="440">
        <f>IFERROR(INDEX('[6]CN BC'!$J$10:$J$277,MATCH(B213,'[6]CN BC'!$H$10:$H$277,0)),"")</f>
        <v>9</v>
      </c>
      <c r="Q213" s="494">
        <f t="shared" si="41"/>
        <v>9591480.0000000019</v>
      </c>
      <c r="R213" s="392"/>
      <c r="S213" s="362">
        <f t="shared" si="46"/>
        <v>0</v>
      </c>
      <c r="T213" s="370"/>
      <c r="U213" s="362">
        <f t="shared" si="42"/>
        <v>0</v>
      </c>
      <c r="V213" s="584">
        <f t="shared" ref="V213:V286" si="48">IF(OR(M213="A DN",M213="KXL", M213=""),"0",ROUND(K213*0.01*$G$15+R213*1%*$G$15+T213*1%*$G$15,))</f>
        <v>95915</v>
      </c>
      <c r="W213" s="371">
        <f t="shared" si="40"/>
        <v>9591480.0000000019</v>
      </c>
      <c r="X213" s="440">
        <f>IFERROR(INDEX([7]TL!$X$12:$X$200,MATCH(B213,[7]TL!$B$12:$B$200,0)),"0")</f>
        <v>1569514.9090909082</v>
      </c>
      <c r="Y213" s="663">
        <f t="shared" si="37"/>
        <v>11160994.90909091</v>
      </c>
      <c r="Z213" s="664">
        <f t="shared" si="38"/>
        <v>6.2005527272727274</v>
      </c>
      <c r="AA213" s="662">
        <v>1800000</v>
      </c>
      <c r="AB213" s="663">
        <f t="shared" si="39"/>
        <v>11160994.90909091</v>
      </c>
      <c r="AC213" s="568">
        <f t="shared" ref="AC213:AC284" si="49">A213</f>
        <v>193</v>
      </c>
      <c r="AD213" s="493">
        <f>IFERROR(INDEX('[6]CN BC'!$M$10:$M$276,MATCH(B213,'[6]CN BC'!$H$10:$H$276,0)),"")</f>
        <v>0</v>
      </c>
      <c r="AE213" s="522" t="s">
        <v>1127</v>
      </c>
      <c r="AF213" s="524"/>
      <c r="AG213" s="108"/>
      <c r="AH213" s="155"/>
      <c r="AI213" s="108"/>
      <c r="AJ213" s="108"/>
      <c r="AK213" s="108"/>
      <c r="AL213" s="108"/>
      <c r="AM213" s="108"/>
      <c r="AN213" s="108"/>
    </row>
    <row r="214" spans="1:44" s="372" customFormat="1" ht="25.5" customHeight="1">
      <c r="A214" s="379">
        <f>_xlfn.AGGREGATE(4,7,A$19:A213)+1</f>
        <v>194</v>
      </c>
      <c r="B214" s="363" t="s">
        <v>1896</v>
      </c>
      <c r="C214" s="364" t="s">
        <v>1035</v>
      </c>
      <c r="D214" s="434" t="s">
        <v>1776</v>
      </c>
      <c r="E214" s="423" t="s">
        <v>1365</v>
      </c>
      <c r="F214" s="366">
        <v>4.9800000000000004</v>
      </c>
      <c r="G214" s="367">
        <v>0.1</v>
      </c>
      <c r="H214" s="368">
        <f t="shared" si="43"/>
        <v>5.4780000000000006</v>
      </c>
      <c r="I214" s="368"/>
      <c r="J214" s="368" t="str">
        <f>VLOOKUP(B214,[4]CN!$B$33:$J$365,9,FALSE)</f>
        <v>Giảng viên khoa Cơ khí</v>
      </c>
      <c r="K214" s="369">
        <f t="shared" si="44"/>
        <v>5.4780000000000006</v>
      </c>
      <c r="L214" s="362">
        <f t="shared" si="45"/>
        <v>9860400.0000000019</v>
      </c>
      <c r="M214" s="366" t="str">
        <f>VLOOKUP(B214,'[5]Gui chi Quynh'!$B$11:$E$400,4,FALSE)</f>
        <v>A4</v>
      </c>
      <c r="N214" s="494">
        <f t="shared" si="47"/>
        <v>9860400.0000000019</v>
      </c>
      <c r="O214" s="376">
        <v>9</v>
      </c>
      <c r="P214" s="440">
        <f>IFERROR(INDEX('[6]CN BC'!$J$10:$J$277,MATCH(B214,'[6]CN BC'!$H$10:$H$277,0)),"")</f>
        <v>9</v>
      </c>
      <c r="Q214" s="494">
        <f t="shared" si="41"/>
        <v>9860400.0000000019</v>
      </c>
      <c r="R214" s="485"/>
      <c r="S214" s="362">
        <f>R214*$G$15*0.8</f>
        <v>0</v>
      </c>
      <c r="T214" s="370"/>
      <c r="U214" s="362">
        <f t="shared" si="42"/>
        <v>0</v>
      </c>
      <c r="V214" s="584">
        <f t="shared" si="48"/>
        <v>98604</v>
      </c>
      <c r="W214" s="371">
        <f t="shared" si="40"/>
        <v>9860400.0000000019</v>
      </c>
      <c r="X214" s="440">
        <f>IFERROR(INDEX([7]TL!$X$12:$X$200,MATCH(B214,[7]TL!$B$12:$B$200,0)),"0")</f>
        <v>1613520</v>
      </c>
      <c r="Y214" s="663">
        <f t="shared" ref="Y214:Y277" si="50">W214+X214</f>
        <v>11473920.000000002</v>
      </c>
      <c r="Z214" s="664">
        <f t="shared" ref="Z214:Z277" si="51">Y214/AA214</f>
        <v>6.3744000000000014</v>
      </c>
      <c r="AA214" s="662">
        <v>1800000</v>
      </c>
      <c r="AB214" s="663">
        <f t="shared" ref="AB214:AB277" si="52">Z214*AA214</f>
        <v>11473920.000000002</v>
      </c>
      <c r="AC214" s="568">
        <f t="shared" si="49"/>
        <v>194</v>
      </c>
      <c r="AD214" s="493">
        <f>IFERROR(INDEX('[6]CN BC'!$M$10:$M$276,MATCH(B214,'[6]CN BC'!$H$10:$H$276,0)),"")</f>
        <v>0</v>
      </c>
      <c r="AE214" s="522" t="s">
        <v>1131</v>
      </c>
      <c r="AF214" s="108"/>
      <c r="AG214" s="108"/>
      <c r="AH214" s="155"/>
      <c r="AI214" s="108"/>
      <c r="AJ214" s="108"/>
      <c r="AK214" s="108"/>
      <c r="AL214" s="108"/>
      <c r="AM214" s="108"/>
      <c r="AN214" s="108"/>
    </row>
    <row r="215" spans="1:44" s="372" customFormat="1" ht="29.25" customHeight="1">
      <c r="A215" s="379">
        <f>_xlfn.AGGREGATE(4,7,A$19:A214)+1</f>
        <v>195</v>
      </c>
      <c r="B215" s="363" t="s">
        <v>1532</v>
      </c>
      <c r="C215" s="364" t="s">
        <v>884</v>
      </c>
      <c r="D215" s="406" t="s">
        <v>1777</v>
      </c>
      <c r="E215" s="422" t="s">
        <v>1594</v>
      </c>
      <c r="F215" s="373">
        <v>3.33</v>
      </c>
      <c r="G215" s="367"/>
      <c r="H215" s="445">
        <f t="shared" si="43"/>
        <v>3.33</v>
      </c>
      <c r="I215" s="368"/>
      <c r="J215" s="368" t="str">
        <f>VLOOKUP(B215,[4]CN!$B$33:$J$365,9,FALSE)</f>
        <v>Giảng viên khoa Cơ khí</v>
      </c>
      <c r="K215" s="369">
        <f t="shared" si="44"/>
        <v>3.33</v>
      </c>
      <c r="L215" s="362">
        <f t="shared" si="45"/>
        <v>5994000</v>
      </c>
      <c r="M215" s="366" t="str">
        <f>VLOOKUP(B215,'[5]Gui chi Quynh'!$B$11:$E$400,4,FALSE)</f>
        <v>A4</v>
      </c>
      <c r="N215" s="494">
        <f t="shared" si="47"/>
        <v>5994000</v>
      </c>
      <c r="O215" s="376">
        <v>9</v>
      </c>
      <c r="P215" s="440">
        <f>IFERROR(INDEX('[6]CN BC'!$J$10:$J$277,MATCH(B215,'[6]CN BC'!$H$10:$H$277,0)),"")</f>
        <v>9</v>
      </c>
      <c r="Q215" s="494">
        <f t="shared" si="41"/>
        <v>5994000</v>
      </c>
      <c r="R215" s="455"/>
      <c r="S215" s="362">
        <f t="shared" si="46"/>
        <v>0</v>
      </c>
      <c r="T215" s="370"/>
      <c r="U215" s="362">
        <f t="shared" si="42"/>
        <v>0</v>
      </c>
      <c r="V215" s="584">
        <f t="shared" si="48"/>
        <v>59940</v>
      </c>
      <c r="W215" s="371">
        <f t="shared" si="40"/>
        <v>5994000</v>
      </c>
      <c r="X215" s="440">
        <f>IFERROR(INDEX([7]TL!$X$12:$X$200,MATCH(B215,[7]TL!$B$12:$B$200,0)),"0")</f>
        <v>817363.63636363577</v>
      </c>
      <c r="Y215" s="663">
        <f t="shared" si="50"/>
        <v>6811363.6363636358</v>
      </c>
      <c r="Z215" s="664">
        <f t="shared" si="51"/>
        <v>3.7840909090909087</v>
      </c>
      <c r="AA215" s="662">
        <v>1800000</v>
      </c>
      <c r="AB215" s="663">
        <f t="shared" si="52"/>
        <v>6811363.6363636358</v>
      </c>
      <c r="AC215" s="568">
        <f t="shared" si="49"/>
        <v>195</v>
      </c>
      <c r="AD215" s="493">
        <f>IFERROR(INDEX('[6]CN BC'!$M$10:$M$276,MATCH(B215,'[6]CN BC'!$H$10:$H$276,0)),"")</f>
        <v>0</v>
      </c>
      <c r="AE215" s="522" t="s">
        <v>1132</v>
      </c>
      <c r="AF215" s="108"/>
      <c r="AG215" s="108"/>
      <c r="AH215" s="155"/>
      <c r="AI215" s="108"/>
      <c r="AJ215" s="108"/>
      <c r="AK215" s="108"/>
      <c r="AL215" s="108"/>
      <c r="AM215" s="108"/>
      <c r="AN215" s="108"/>
      <c r="AO215" s="108"/>
      <c r="AP215" s="108"/>
      <c r="AQ215" s="108"/>
      <c r="AR215" s="108"/>
    </row>
    <row r="216" spans="1:44" s="372" customFormat="1" ht="25.5" customHeight="1">
      <c r="A216" s="379">
        <f>_xlfn.AGGREGATE(4,7,A$19:A215)+1</f>
        <v>196</v>
      </c>
      <c r="B216" s="363" t="s">
        <v>1608</v>
      </c>
      <c r="C216" s="375" t="s">
        <v>1011</v>
      </c>
      <c r="D216" s="482" t="s">
        <v>1968</v>
      </c>
      <c r="E216" s="102">
        <v>1603215003955</v>
      </c>
      <c r="F216" s="373">
        <v>3</v>
      </c>
      <c r="G216" s="378"/>
      <c r="H216" s="445">
        <f t="shared" si="43"/>
        <v>3</v>
      </c>
      <c r="I216" s="368"/>
      <c r="J216" s="368" t="str">
        <f>VLOOKUP(B216,[4]CN!$B$33:$J$365,9,FALSE)</f>
        <v>Giảng viên khoa Cơ khí</v>
      </c>
      <c r="K216" s="369">
        <f t="shared" si="44"/>
        <v>3</v>
      </c>
      <c r="L216" s="362">
        <f t="shared" si="45"/>
        <v>5400000</v>
      </c>
      <c r="M216" s="366" t="str">
        <f>VLOOKUP(B216,'[5]Gui chi Quynh'!$B$11:$E$400,4,FALSE)</f>
        <v>A4</v>
      </c>
      <c r="N216" s="494">
        <f t="shared" si="47"/>
        <v>5400000</v>
      </c>
      <c r="O216" s="376">
        <v>9</v>
      </c>
      <c r="P216" s="440">
        <f>IFERROR(INDEX('[6]CN BC'!$J$10:$J$277,MATCH(B216,'[6]CN BC'!$H$10:$H$277,0)),"")</f>
        <v>9</v>
      </c>
      <c r="Q216" s="494">
        <f t="shared" si="41"/>
        <v>5400000</v>
      </c>
      <c r="R216" s="460"/>
      <c r="S216" s="362">
        <f t="shared" si="46"/>
        <v>0</v>
      </c>
      <c r="T216" s="370"/>
      <c r="U216" s="362">
        <f t="shared" si="42"/>
        <v>0</v>
      </c>
      <c r="V216" s="584">
        <f t="shared" si="48"/>
        <v>54000</v>
      </c>
      <c r="W216" s="371">
        <f t="shared" ref="W216:W280" si="53">(Q216+S216+U216)</f>
        <v>5400000</v>
      </c>
      <c r="X216" s="440">
        <f>IFERROR(INDEX([7]TL!$X$12:$X$200,MATCH(B216,[7]TL!$B$12:$B$200,0)),"0")</f>
        <v>883636.36363636423</v>
      </c>
      <c r="Y216" s="663">
        <f t="shared" si="50"/>
        <v>6283636.3636363642</v>
      </c>
      <c r="Z216" s="664">
        <f t="shared" si="51"/>
        <v>3.4909090909090912</v>
      </c>
      <c r="AA216" s="662">
        <v>1800000</v>
      </c>
      <c r="AB216" s="663">
        <f t="shared" si="52"/>
        <v>6283636.3636363642</v>
      </c>
      <c r="AC216" s="568">
        <f t="shared" si="49"/>
        <v>196</v>
      </c>
      <c r="AD216" s="493">
        <f>IFERROR(INDEX('[6]CN BC'!$M$10:$M$276,MATCH(B216,'[6]CN BC'!$H$10:$H$276,0)),"")</f>
        <v>0</v>
      </c>
      <c r="AE216" s="522" t="s">
        <v>1133</v>
      </c>
      <c r="AF216" s="108"/>
      <c r="AG216" s="108"/>
      <c r="AH216" s="155"/>
      <c r="AI216" s="108"/>
      <c r="AJ216" s="108"/>
      <c r="AK216" s="108"/>
      <c r="AL216" s="108"/>
      <c r="AM216" s="108"/>
      <c r="AN216" s="108"/>
    </row>
    <row r="217" spans="1:44" s="372" customFormat="1" ht="24.75" customHeight="1">
      <c r="A217" s="379">
        <f>_xlfn.AGGREGATE(4,7,A$19:A216)+1</f>
        <v>197</v>
      </c>
      <c r="B217" s="363" t="s">
        <v>1835</v>
      </c>
      <c r="C217" s="375"/>
      <c r="D217" s="434" t="s">
        <v>1970</v>
      </c>
      <c r="E217" s="477" t="s">
        <v>1969</v>
      </c>
      <c r="F217" s="373">
        <v>3</v>
      </c>
      <c r="G217" s="378"/>
      <c r="H217" s="368">
        <f t="shared" si="43"/>
        <v>3</v>
      </c>
      <c r="I217" s="368"/>
      <c r="J217" s="368" t="str">
        <f>VLOOKUP(B217,[4]CN!$B$33:$J$365,9,FALSE)</f>
        <v>Giảng viên khoa Cơ khí</v>
      </c>
      <c r="K217" s="369">
        <f t="shared" si="44"/>
        <v>3</v>
      </c>
      <c r="L217" s="362">
        <f t="shared" si="45"/>
        <v>5400000</v>
      </c>
      <c r="M217" s="366" t="str">
        <f>VLOOKUP(B217,'[5]Gui chi Quynh'!$B$11:$E$400,4,FALSE)</f>
        <v>A4</v>
      </c>
      <c r="N217" s="494">
        <f t="shared" si="47"/>
        <v>5400000</v>
      </c>
      <c r="O217" s="376">
        <v>9</v>
      </c>
      <c r="P217" s="440">
        <f>IFERROR(INDEX('[6]CN BC'!$J$10:$J$277,MATCH(B217,'[6]CN BC'!$H$10:$H$277,0)),"")</f>
        <v>9</v>
      </c>
      <c r="Q217" s="494">
        <f t="shared" ref="Q217:Q283" si="54">IF(P217&gt;=O217,N217,N217/O217*P217)</f>
        <v>5400000</v>
      </c>
      <c r="R217" s="392"/>
      <c r="S217" s="362">
        <f t="shared" si="46"/>
        <v>0</v>
      </c>
      <c r="T217" s="370"/>
      <c r="U217" s="362">
        <f t="shared" si="42"/>
        <v>0</v>
      </c>
      <c r="V217" s="584">
        <f t="shared" si="48"/>
        <v>54000</v>
      </c>
      <c r="W217" s="371">
        <f t="shared" si="53"/>
        <v>5400000</v>
      </c>
      <c r="X217" s="440">
        <f>IFERROR(INDEX([7]TL!$X$12:$X$200,MATCH(B217,[7]TL!$B$12:$B$200,0)),"0")</f>
        <v>1178181.8181818184</v>
      </c>
      <c r="Y217" s="663">
        <f t="shared" si="50"/>
        <v>6578181.8181818184</v>
      </c>
      <c r="Z217" s="664">
        <f t="shared" si="51"/>
        <v>3.6545454545454548</v>
      </c>
      <c r="AA217" s="662">
        <v>1800000</v>
      </c>
      <c r="AB217" s="663">
        <f t="shared" si="52"/>
        <v>6578181.8181818184</v>
      </c>
      <c r="AC217" s="568">
        <f t="shared" si="49"/>
        <v>197</v>
      </c>
      <c r="AD217" s="493">
        <f>IFERROR(INDEX('[6]CN BC'!$M$10:$M$276,MATCH(B217,'[6]CN BC'!$H$10:$H$276,0)),"")</f>
        <v>0</v>
      </c>
      <c r="AE217" s="522" t="s">
        <v>1142</v>
      </c>
      <c r="AF217" s="108"/>
      <c r="AG217" s="108"/>
      <c r="AH217" s="155"/>
      <c r="AI217" s="108"/>
      <c r="AJ217" s="108"/>
      <c r="AK217" s="108"/>
      <c r="AL217" s="108"/>
      <c r="AM217" s="108"/>
      <c r="AN217" s="108"/>
    </row>
    <row r="218" spans="1:44" s="372" customFormat="1" ht="29.25" customHeight="1">
      <c r="A218" s="379">
        <f>_xlfn.AGGREGATE(4,7,A$19:A217)+1</f>
        <v>198</v>
      </c>
      <c r="B218" s="363" t="s">
        <v>1897</v>
      </c>
      <c r="C218" s="375" t="s">
        <v>868</v>
      </c>
      <c r="D218" s="434" t="s">
        <v>1670</v>
      </c>
      <c r="E218" s="423" t="s">
        <v>1286</v>
      </c>
      <c r="F218" s="366">
        <v>4.9800000000000004</v>
      </c>
      <c r="G218" s="367">
        <v>0.11</v>
      </c>
      <c r="H218" s="368">
        <f t="shared" si="43"/>
        <v>5.5278000000000009</v>
      </c>
      <c r="I218" s="368"/>
      <c r="J218" s="368" t="str">
        <f>VLOOKUP(B218,[4]CN!$B$33:$J$365,9,FALSE)</f>
        <v>Giảng viên khoa Cơ khí</v>
      </c>
      <c r="K218" s="369">
        <f t="shared" si="44"/>
        <v>5.5278000000000009</v>
      </c>
      <c r="L218" s="362">
        <f t="shared" si="45"/>
        <v>9950040.0000000019</v>
      </c>
      <c r="M218" s="366" t="str">
        <f>VLOOKUP(B218,'[5]Gui chi Quynh'!$B$11:$E$400,4,FALSE)</f>
        <v>A4</v>
      </c>
      <c r="N218" s="494">
        <f t="shared" si="47"/>
        <v>9950040.0000000019</v>
      </c>
      <c r="O218" s="376">
        <v>9</v>
      </c>
      <c r="P218" s="440">
        <f>IFERROR(INDEX('[6]CN BC'!$J$10:$J$277,MATCH(B218,'[6]CN BC'!$H$10:$H$277,0)),"")</f>
        <v>9</v>
      </c>
      <c r="Q218" s="494">
        <f t="shared" si="54"/>
        <v>9950040.0000000019</v>
      </c>
      <c r="R218" s="460"/>
      <c r="S218" s="362">
        <f>R218*$G$15*0.8</f>
        <v>0</v>
      </c>
      <c r="T218" s="370"/>
      <c r="U218" s="362">
        <f t="shared" si="42"/>
        <v>0</v>
      </c>
      <c r="V218" s="584">
        <f t="shared" si="48"/>
        <v>99500</v>
      </c>
      <c r="W218" s="371">
        <f t="shared" si="53"/>
        <v>9950040.0000000019</v>
      </c>
      <c r="X218" s="440">
        <f>IFERROR(INDEX([7]TL!$X$12:$X$200,MATCH(B218,[7]TL!$B$12:$B$200,0)),"0")</f>
        <v>1356823.6363636367</v>
      </c>
      <c r="Y218" s="663">
        <f t="shared" si="50"/>
        <v>11306863.636363639</v>
      </c>
      <c r="Z218" s="664">
        <f t="shared" si="51"/>
        <v>6.2815909090909106</v>
      </c>
      <c r="AA218" s="662">
        <v>1800000</v>
      </c>
      <c r="AB218" s="663">
        <f t="shared" si="52"/>
        <v>11306863.636363639</v>
      </c>
      <c r="AC218" s="568">
        <f t="shared" si="49"/>
        <v>198</v>
      </c>
      <c r="AD218" s="493">
        <f>IFERROR(INDEX('[6]CN BC'!$M$10:$M$276,MATCH(B218,'[6]CN BC'!$H$10:$H$276,0)),"")</f>
        <v>0</v>
      </c>
      <c r="AE218" s="540" t="s">
        <v>1143</v>
      </c>
      <c r="AH218" s="487"/>
    </row>
    <row r="219" spans="1:44" s="372" customFormat="1" ht="25.5" customHeight="1">
      <c r="A219" s="379">
        <f>_xlfn.AGGREGATE(4,7,A$19:A218)+1</f>
        <v>199</v>
      </c>
      <c r="B219" s="363" t="s">
        <v>1840</v>
      </c>
      <c r="C219" s="375"/>
      <c r="D219" s="434" t="s">
        <v>1971</v>
      </c>
      <c r="E219" s="102">
        <v>1603205596180</v>
      </c>
      <c r="F219" s="366">
        <v>2.67</v>
      </c>
      <c r="G219" s="367"/>
      <c r="H219" s="368">
        <f t="shared" si="43"/>
        <v>2.67</v>
      </c>
      <c r="I219" s="368"/>
      <c r="J219" s="368" t="str">
        <f>VLOOKUP(B219,[4]CN!$B$33:$J$365,9,FALSE)</f>
        <v>Giảng viên khoa Cơ khí</v>
      </c>
      <c r="K219" s="369">
        <f t="shared" si="44"/>
        <v>2.67</v>
      </c>
      <c r="L219" s="362">
        <f t="shared" si="45"/>
        <v>4806000</v>
      </c>
      <c r="M219" s="366" t="str">
        <f>VLOOKUP(B219,'[5]Gui chi Quynh'!$B$11:$E$400,4,FALSE)</f>
        <v>A4</v>
      </c>
      <c r="N219" s="494">
        <f t="shared" si="47"/>
        <v>4806000</v>
      </c>
      <c r="O219" s="376">
        <v>9</v>
      </c>
      <c r="P219" s="440">
        <f>IFERROR(INDEX('[6]CN BC'!$J$10:$J$277,MATCH(B219,'[6]CN BC'!$H$10:$H$277,0)),"")</f>
        <v>9</v>
      </c>
      <c r="Q219" s="494">
        <f t="shared" si="54"/>
        <v>4806000</v>
      </c>
      <c r="R219" s="392"/>
      <c r="S219" s="362">
        <f t="shared" si="46"/>
        <v>0</v>
      </c>
      <c r="T219" s="370"/>
      <c r="U219" s="362">
        <f t="shared" ref="U219:U285" si="55">T219*$G$15*1</f>
        <v>0</v>
      </c>
      <c r="V219" s="584">
        <f t="shared" si="48"/>
        <v>48060</v>
      </c>
      <c r="W219" s="371">
        <f t="shared" si="53"/>
        <v>4806000</v>
      </c>
      <c r="X219" s="440">
        <f>IFERROR(INDEX([7]TL!$X$12:$X$200,MATCH(B219,[7]TL!$B$12:$B$200,0)),"0")</f>
        <v>917509.09090909082</v>
      </c>
      <c r="Y219" s="663">
        <f t="shared" si="50"/>
        <v>5723509.0909090908</v>
      </c>
      <c r="Z219" s="664">
        <f t="shared" si="51"/>
        <v>3.1797272727272725</v>
      </c>
      <c r="AA219" s="662">
        <v>1800000</v>
      </c>
      <c r="AB219" s="663">
        <f t="shared" si="52"/>
        <v>5723509.0909090908</v>
      </c>
      <c r="AC219" s="568">
        <f t="shared" si="49"/>
        <v>199</v>
      </c>
      <c r="AD219" s="493">
        <f>IFERROR(INDEX('[6]CN BC'!$M$10:$M$276,MATCH(B219,'[6]CN BC'!$H$10:$H$276,0)),"")</f>
        <v>0</v>
      </c>
      <c r="AE219" s="522" t="s">
        <v>1144</v>
      </c>
      <c r="AF219" s="108"/>
      <c r="AG219" s="108"/>
      <c r="AH219" s="155"/>
      <c r="AI219" s="108"/>
      <c r="AJ219" s="108"/>
      <c r="AK219" s="108"/>
      <c r="AL219" s="108"/>
      <c r="AM219" s="108"/>
      <c r="AN219" s="108"/>
    </row>
    <row r="220" spans="1:44" s="372" customFormat="1" ht="24.75" customHeight="1">
      <c r="A220" s="379">
        <f>_xlfn.AGGREGATE(4,7,A$19:A219)+1</f>
        <v>200</v>
      </c>
      <c r="B220" s="363" t="s">
        <v>1943</v>
      </c>
      <c r="C220" s="375"/>
      <c r="D220" s="434" t="s">
        <v>1972</v>
      </c>
      <c r="E220" s="423"/>
      <c r="F220" s="373">
        <v>3</v>
      </c>
      <c r="G220" s="367"/>
      <c r="H220" s="368">
        <f t="shared" si="43"/>
        <v>3</v>
      </c>
      <c r="I220" s="368"/>
      <c r="J220" s="368" t="str">
        <f>VLOOKUP(B220,[4]CN!$B$33:$J$365,9,FALSE)</f>
        <v>Giảng viên khoa Cơ khí</v>
      </c>
      <c r="K220" s="369">
        <f t="shared" si="44"/>
        <v>3</v>
      </c>
      <c r="L220" s="362">
        <f t="shared" si="45"/>
        <v>5400000</v>
      </c>
      <c r="M220" s="366" t="str">
        <f>VLOOKUP(B220,'[5]Gui chi Quynh'!$B$11:$E$400,4,FALSE)</f>
        <v>A4</v>
      </c>
      <c r="N220" s="494">
        <f t="shared" si="47"/>
        <v>5400000</v>
      </c>
      <c r="O220" s="376">
        <v>9</v>
      </c>
      <c r="P220" s="440">
        <f>IFERROR(INDEX('[6]CN BC'!$J$10:$J$277,MATCH(B220,'[6]CN BC'!$H$10:$H$277,0)),"")</f>
        <v>9</v>
      </c>
      <c r="Q220" s="494">
        <f t="shared" si="54"/>
        <v>5400000</v>
      </c>
      <c r="R220" s="460"/>
      <c r="S220" s="362">
        <f t="shared" si="46"/>
        <v>0</v>
      </c>
      <c r="T220" s="370"/>
      <c r="U220" s="362">
        <f t="shared" si="55"/>
        <v>0</v>
      </c>
      <c r="V220" s="584">
        <f t="shared" si="48"/>
        <v>54000</v>
      </c>
      <c r="W220" s="371">
        <f t="shared" si="53"/>
        <v>5400000</v>
      </c>
      <c r="X220" s="440">
        <f>IFERROR(INDEX([7]TL!$X$12:$X$200,MATCH(B220,[7]TL!$B$12:$B$200,0)),"0")</f>
        <v>1030909.0909090908</v>
      </c>
      <c r="Y220" s="663">
        <f t="shared" si="50"/>
        <v>6430909.0909090908</v>
      </c>
      <c r="Z220" s="664">
        <f t="shared" si="51"/>
        <v>3.5727272727272728</v>
      </c>
      <c r="AA220" s="662">
        <v>1800000</v>
      </c>
      <c r="AB220" s="663">
        <f t="shared" si="52"/>
        <v>6430909.0909090908</v>
      </c>
      <c r="AC220" s="568">
        <f t="shared" si="49"/>
        <v>200</v>
      </c>
      <c r="AD220" s="493">
        <f>IFERROR(INDEX('[6]CN BC'!$M$10:$M$276,MATCH(B220,'[6]CN BC'!$H$10:$H$276,0)),"")</f>
        <v>0</v>
      </c>
      <c r="AE220" s="522" t="s">
        <v>1145</v>
      </c>
      <c r="AF220" s="108"/>
      <c r="AG220" s="108"/>
      <c r="AH220" s="487"/>
    </row>
    <row r="221" spans="1:44" s="372" customFormat="1" ht="26.25" customHeight="1">
      <c r="A221" s="379">
        <f>_xlfn.AGGREGATE(4,7,A$19:A220)+1</f>
        <v>201</v>
      </c>
      <c r="B221" s="363" t="s">
        <v>1994</v>
      </c>
      <c r="C221" s="375"/>
      <c r="D221" s="434"/>
      <c r="E221" s="423"/>
      <c r="F221" s="366">
        <v>4.32</v>
      </c>
      <c r="G221" s="367"/>
      <c r="H221" s="368">
        <f t="shared" si="43"/>
        <v>4.32</v>
      </c>
      <c r="I221" s="368"/>
      <c r="J221" s="368" t="str">
        <f>VLOOKUP(B221,[4]CN!$B$33:$J$365,9,FALSE)</f>
        <v>Giảng viên khoa Cơ khí</v>
      </c>
      <c r="K221" s="369">
        <f t="shared" si="44"/>
        <v>4.32</v>
      </c>
      <c r="L221" s="362">
        <f t="shared" si="45"/>
        <v>7776000.0000000009</v>
      </c>
      <c r="M221" s="366" t="str">
        <f>VLOOKUP(B221,'[5]Gui chi Quynh'!$B$11:$E$400,4,FALSE)</f>
        <v>A4</v>
      </c>
      <c r="N221" s="494">
        <f t="shared" si="47"/>
        <v>7776000.0000000009</v>
      </c>
      <c r="O221" s="376">
        <v>9</v>
      </c>
      <c r="P221" s="440">
        <f>IFERROR(INDEX('[6]CN BC'!$J$10:$J$277,MATCH(B221,'[6]CN BC'!$H$10:$H$277,0)),"")</f>
        <v>9</v>
      </c>
      <c r="Q221" s="494">
        <f t="shared" si="54"/>
        <v>7776000.0000000009</v>
      </c>
      <c r="R221" s="460"/>
      <c r="S221" s="362">
        <f t="shared" si="46"/>
        <v>0</v>
      </c>
      <c r="T221" s="370"/>
      <c r="U221" s="362">
        <f t="shared" si="55"/>
        <v>0</v>
      </c>
      <c r="V221" s="584">
        <f t="shared" si="48"/>
        <v>77760</v>
      </c>
      <c r="W221" s="371">
        <f t="shared" si="53"/>
        <v>7776000.0000000009</v>
      </c>
      <c r="X221" s="440">
        <f>IFERROR(INDEX([7]TL!$X$12:$X$200,MATCH(B221,[7]TL!$B$12:$B$200,0)),"0")</f>
        <v>1060363.6363636367</v>
      </c>
      <c r="Y221" s="663">
        <f t="shared" si="50"/>
        <v>8836363.6363636367</v>
      </c>
      <c r="Z221" s="664">
        <f t="shared" si="51"/>
        <v>4.9090909090909092</v>
      </c>
      <c r="AA221" s="662">
        <v>1800000</v>
      </c>
      <c r="AB221" s="663">
        <f t="shared" si="52"/>
        <v>8836363.6363636367</v>
      </c>
      <c r="AC221" s="568">
        <f t="shared" si="49"/>
        <v>201</v>
      </c>
      <c r="AD221" s="493">
        <f>IFERROR(INDEX('[6]CN BC'!$M$10:$M$276,MATCH(B221,'[6]CN BC'!$H$10:$H$276,0)),"")</f>
        <v>0</v>
      </c>
      <c r="AE221" s="522" t="s">
        <v>1146</v>
      </c>
      <c r="AF221" s="108"/>
      <c r="AG221" s="108"/>
      <c r="AH221" s="155"/>
      <c r="AI221" s="108"/>
      <c r="AJ221" s="108"/>
      <c r="AK221" s="108"/>
      <c r="AL221" s="108"/>
      <c r="AM221" s="108"/>
      <c r="AN221" s="108"/>
    </row>
    <row r="222" spans="1:44" s="372" customFormat="1" ht="25.5" customHeight="1">
      <c r="A222" s="379">
        <f>_xlfn.AGGREGATE(4,7,A$19:A221)+1</f>
        <v>202</v>
      </c>
      <c r="B222" s="363" t="s">
        <v>2000</v>
      </c>
      <c r="C222" s="375"/>
      <c r="D222" s="434"/>
      <c r="E222" s="423"/>
      <c r="F222" s="366">
        <v>2.67</v>
      </c>
      <c r="G222" s="367"/>
      <c r="H222" s="368">
        <f t="shared" si="43"/>
        <v>2.67</v>
      </c>
      <c r="I222" s="368"/>
      <c r="J222" s="368" t="str">
        <f>VLOOKUP(B222,[4]CN!$B$33:$J$365,9,FALSE)</f>
        <v>Giảng viên khoa Cơ khí</v>
      </c>
      <c r="K222" s="369">
        <f t="shared" si="44"/>
        <v>2.67</v>
      </c>
      <c r="L222" s="362">
        <f t="shared" si="45"/>
        <v>4806000</v>
      </c>
      <c r="M222" s="366" t="str">
        <f>VLOOKUP(B222,'[5]Gui chi Quynh'!$B$11:$E$400,4,FALSE)</f>
        <v>A4</v>
      </c>
      <c r="N222" s="494">
        <f t="shared" si="47"/>
        <v>4806000</v>
      </c>
      <c r="O222" s="376">
        <v>9</v>
      </c>
      <c r="P222" s="440">
        <f>IFERROR(INDEX('[6]CN BC'!$J$10:$J$277,MATCH(B222,'[6]CN BC'!$H$10:$H$277,0)),"")</f>
        <v>9</v>
      </c>
      <c r="Q222" s="494">
        <f t="shared" si="54"/>
        <v>4806000</v>
      </c>
      <c r="R222" s="460"/>
      <c r="S222" s="362">
        <f>R222*$G$15*1.2</f>
        <v>0</v>
      </c>
      <c r="T222" s="370"/>
      <c r="U222" s="362">
        <f t="shared" si="55"/>
        <v>0</v>
      </c>
      <c r="V222" s="584">
        <f t="shared" si="48"/>
        <v>48060</v>
      </c>
      <c r="W222" s="371">
        <f t="shared" si="53"/>
        <v>4806000</v>
      </c>
      <c r="X222" s="440">
        <f>IFERROR(INDEX([7]TL!$X$12:$X$200,MATCH(B222,[7]TL!$B$12:$B$200,0)),"0")</f>
        <v>655363.6363636367</v>
      </c>
      <c r="Y222" s="663">
        <f t="shared" si="50"/>
        <v>5461363.6363636367</v>
      </c>
      <c r="Z222" s="664">
        <f t="shared" si="51"/>
        <v>3.0340909090909092</v>
      </c>
      <c r="AA222" s="662">
        <v>1800000</v>
      </c>
      <c r="AB222" s="663">
        <f t="shared" si="52"/>
        <v>5461363.6363636367</v>
      </c>
      <c r="AC222" s="568">
        <f>A222</f>
        <v>202</v>
      </c>
      <c r="AD222" s="493">
        <f>IFERROR(INDEX('[6]CN BC'!$M$10:$M$276,MATCH(B222,'[6]CN BC'!$H$10:$H$276,0)),"")</f>
        <v>0</v>
      </c>
      <c r="AE222" s="522" t="s">
        <v>1147</v>
      </c>
      <c r="AF222" s="108"/>
      <c r="AG222" s="108"/>
      <c r="AH222" s="487"/>
    </row>
    <row r="223" spans="1:44" s="372" customFormat="1" ht="34.5" customHeight="1">
      <c r="A223" s="379">
        <f>_xlfn.AGGREGATE(4,7,A$19:A222)+1</f>
        <v>203</v>
      </c>
      <c r="B223" s="363" t="s">
        <v>1855</v>
      </c>
      <c r="C223" s="375" t="s">
        <v>939</v>
      </c>
      <c r="D223" s="434" t="s">
        <v>1651</v>
      </c>
      <c r="E223" s="423" t="s">
        <v>1292</v>
      </c>
      <c r="F223" s="366">
        <v>4.9800000000000004</v>
      </c>
      <c r="G223" s="367">
        <v>0.06</v>
      </c>
      <c r="H223" s="368">
        <f>F223+(F223*G223)</f>
        <v>5.2788000000000004</v>
      </c>
      <c r="I223" s="368">
        <v>0.35</v>
      </c>
      <c r="J223" s="368" t="s">
        <v>2171</v>
      </c>
      <c r="K223" s="369">
        <f>H223+I223</f>
        <v>5.6288</v>
      </c>
      <c r="L223" s="362">
        <f>K223*$G$15</f>
        <v>10131840</v>
      </c>
      <c r="M223" s="366" t="str">
        <f>VLOOKUP(B223,'[5]Gui chi Quynh'!$B$11:$E$400,4,FALSE)</f>
        <v>A4</v>
      </c>
      <c r="N223" s="494">
        <f>IF(M223="A1",L223*1.6,IF(M223="A2",L223*1.4,IF(M223="A3",L223*1.2,IF(M223="A4",L223*1,IF(M223="B1",L223*0.7,IF(M223="B2",L223*0.5,IF(M223="C1",L223*0.3,IF(M223="C2",L223*0.2,0))))))))</f>
        <v>10131840</v>
      </c>
      <c r="O223" s="376">
        <v>9</v>
      </c>
      <c r="P223" s="440">
        <f>IFERROR(INDEX('[6]CN BC'!$J$10:$J$277,MATCH(B223,'[6]CN BC'!$H$10:$H$277,0)),"")</f>
        <v>9</v>
      </c>
      <c r="Q223" s="494">
        <f>IF(P223&gt;=O223,N223,N223/O223*P223)</f>
        <v>10131840</v>
      </c>
      <c r="R223" s="460"/>
      <c r="S223" s="362">
        <f>R223*$G$15*1</f>
        <v>0</v>
      </c>
      <c r="T223" s="370"/>
      <c r="U223" s="362">
        <f>T223*$G$15*1</f>
        <v>0</v>
      </c>
      <c r="V223" s="584">
        <f>IF(OR(M223="A DN",M223="KXL", M223=""),"0",ROUND(K223*0.01*$G$15+R223*1%*$G$15+T223*1%*$G$15,))</f>
        <v>101318</v>
      </c>
      <c r="W223" s="371">
        <f>(Q223+S223+U223)</f>
        <v>10131840</v>
      </c>
      <c r="X223" s="440">
        <f>IFERROR(INDEX([7]TL!$X$12:$X$200,MATCH(B223,[7]TL!$B$12:$B$200,0)),"0")</f>
        <v>1934260.3636363633</v>
      </c>
      <c r="Y223" s="663">
        <f t="shared" si="50"/>
        <v>12066100.363636363</v>
      </c>
      <c r="Z223" s="664">
        <f t="shared" si="51"/>
        <v>6.7033890909090905</v>
      </c>
      <c r="AA223" s="662">
        <v>1800000</v>
      </c>
      <c r="AB223" s="663">
        <f t="shared" si="52"/>
        <v>12066100.363636363</v>
      </c>
      <c r="AC223" s="568">
        <f>A223</f>
        <v>203</v>
      </c>
      <c r="AD223" s="493">
        <f>IFERROR(INDEX('[6]CN BC'!$M$10:$M$276,MATCH(B223,'[6]CN BC'!$H$10:$H$276,0)),"")</f>
        <v>0</v>
      </c>
      <c r="AE223" s="141"/>
      <c r="AF223" s="108"/>
      <c r="AG223" s="108"/>
      <c r="AH223" s="155"/>
    </row>
    <row r="224" spans="1:44" s="108" customFormat="1" ht="34.5" customHeight="1">
      <c r="A224" s="379">
        <f>_xlfn.AGGREGATE(4,7,A$19:A223)+1</f>
        <v>204</v>
      </c>
      <c r="B224" s="33" t="s">
        <v>1898</v>
      </c>
      <c r="C224" s="34" t="s">
        <v>1019</v>
      </c>
      <c r="D224" s="406" t="s">
        <v>1781</v>
      </c>
      <c r="E224" s="424" t="s">
        <v>1386</v>
      </c>
      <c r="F224" s="10">
        <v>4.6500000000000004</v>
      </c>
      <c r="G224" s="157"/>
      <c r="H224" s="368">
        <f t="shared" si="43"/>
        <v>4.6500000000000004</v>
      </c>
      <c r="I224" s="368">
        <v>0.45</v>
      </c>
      <c r="J224" s="368" t="str">
        <f>VLOOKUP(B224,[4]CN!$B$33:$J$365,9,FALSE)</f>
        <v>Trưởng khoa Điện - Điện tử</v>
      </c>
      <c r="K224" s="369">
        <f t="shared" si="44"/>
        <v>5.1000000000000005</v>
      </c>
      <c r="L224" s="362">
        <f t="shared" si="45"/>
        <v>9180000.0000000019</v>
      </c>
      <c r="M224" s="366" t="str">
        <f>VLOOKUP(B224,'[5]Gui chi Quynh'!$B$11:$E$400,4,FALSE)</f>
        <v>A2</v>
      </c>
      <c r="N224" s="494">
        <f t="shared" si="47"/>
        <v>12852000.000000002</v>
      </c>
      <c r="O224" s="376">
        <v>9</v>
      </c>
      <c r="P224" s="440">
        <f>IFERROR(INDEX('[6]CN BC'!$J$10:$J$277,MATCH(B224,'[6]CN BC'!$H$10:$H$277,0)),"")</f>
        <v>14</v>
      </c>
      <c r="Q224" s="494">
        <f t="shared" si="54"/>
        <v>12852000.000000002</v>
      </c>
      <c r="R224" s="392"/>
      <c r="S224" s="362">
        <f>R224*$G$15*1</f>
        <v>0</v>
      </c>
      <c r="T224" s="385"/>
      <c r="U224" s="362">
        <f t="shared" si="55"/>
        <v>0</v>
      </c>
      <c r="V224" s="584">
        <f t="shared" si="48"/>
        <v>91800</v>
      </c>
      <c r="W224" s="371">
        <f t="shared" si="53"/>
        <v>12852000.000000002</v>
      </c>
      <c r="X224" s="440">
        <f>IFERROR(INDEX([7]TL!$X$12:$X$200,MATCH(B224,[7]TL!$B$12:$B$200,0)),"0")</f>
        <v>2002909.0909090918</v>
      </c>
      <c r="Y224" s="663">
        <f t="shared" si="50"/>
        <v>14854909.090909094</v>
      </c>
      <c r="Z224" s="664">
        <f t="shared" si="51"/>
        <v>8.2527272727272738</v>
      </c>
      <c r="AA224" s="662">
        <v>1800000</v>
      </c>
      <c r="AB224" s="663">
        <f t="shared" si="52"/>
        <v>14854909.090909094</v>
      </c>
      <c r="AC224" s="568">
        <f t="shared" si="49"/>
        <v>204</v>
      </c>
      <c r="AD224" s="493">
        <f>IFERROR(INDEX('[6]CN BC'!$M$10:$M$276,MATCH(B224,'[6]CN BC'!$H$10:$H$276,0)),"")</f>
        <v>0</v>
      </c>
      <c r="AE224" s="522" t="s">
        <v>812</v>
      </c>
      <c r="AH224" s="155"/>
    </row>
    <row r="225" spans="1:44" s="372" customFormat="1" ht="34.5" customHeight="1">
      <c r="A225" s="379">
        <f>_xlfn.AGGREGATE(4,7,A$19:A224)+1</f>
        <v>205</v>
      </c>
      <c r="B225" s="363" t="s">
        <v>526</v>
      </c>
      <c r="C225" s="375" t="s">
        <v>1060</v>
      </c>
      <c r="D225" s="406" t="s">
        <v>1646</v>
      </c>
      <c r="E225" s="423" t="s">
        <v>1398</v>
      </c>
      <c r="F225" s="366">
        <v>4.9800000000000004</v>
      </c>
      <c r="G225" s="367">
        <v>0.16</v>
      </c>
      <c r="H225" s="368">
        <f t="shared" si="43"/>
        <v>5.7768000000000006</v>
      </c>
      <c r="I225" s="368">
        <f>0.35</f>
        <v>0.35</v>
      </c>
      <c r="J225" s="368" t="str">
        <f>VLOOKUP(B225,[4]CN!$B$33:$J$365,9,FALSE)</f>
        <v>Phó Trưởng khoa Điện - Điện tử</v>
      </c>
      <c r="K225" s="369">
        <f t="shared" si="44"/>
        <v>6.1268000000000002</v>
      </c>
      <c r="L225" s="362">
        <f t="shared" si="45"/>
        <v>11028240</v>
      </c>
      <c r="M225" s="366" t="str">
        <f>VLOOKUP(B225,'[5]Gui chi Quynh'!$B$11:$E$400,4,FALSE)</f>
        <v>A3</v>
      </c>
      <c r="N225" s="494">
        <f t="shared" si="47"/>
        <v>13233888</v>
      </c>
      <c r="O225" s="376">
        <v>9</v>
      </c>
      <c r="P225" s="440">
        <f>IFERROR(INDEX('[6]CN BC'!$J$10:$J$277,MATCH(B225,'[6]CN BC'!$H$10:$H$277,0)),"")</f>
        <v>9</v>
      </c>
      <c r="Q225" s="494">
        <f t="shared" si="54"/>
        <v>13233888</v>
      </c>
      <c r="R225" s="392"/>
      <c r="S225" s="362">
        <f>R225*$G$15*1</f>
        <v>0</v>
      </c>
      <c r="T225" s="385"/>
      <c r="U225" s="362">
        <f t="shared" si="55"/>
        <v>0</v>
      </c>
      <c r="V225" s="584">
        <f>IF(OR(M225="A DN",M225="KXL", M225=""),"0",ROUND(K225*0.01*$G$15+R225*1%*$G$15+T225*1%*$G$15,))</f>
        <v>110282</v>
      </c>
      <c r="W225" s="371">
        <f t="shared" si="53"/>
        <v>13233888</v>
      </c>
      <c r="X225" s="440">
        <f>IFERROR(INDEX([7]TL!$X$12:$X$200,MATCH(B225,[7]TL!$B$12:$B$200,0)),"0")</f>
        <v>2406161.4545454532</v>
      </c>
      <c r="Y225" s="663">
        <f t="shared" si="50"/>
        <v>15640049.454545453</v>
      </c>
      <c r="Z225" s="664">
        <f t="shared" si="51"/>
        <v>8.6889163636363627</v>
      </c>
      <c r="AA225" s="662">
        <v>1800000</v>
      </c>
      <c r="AB225" s="663">
        <f t="shared" si="52"/>
        <v>15640049.454545453</v>
      </c>
      <c r="AC225" s="568">
        <f t="shared" si="49"/>
        <v>205</v>
      </c>
      <c r="AD225" s="493">
        <f>IFERROR(INDEX('[6]CN BC'!$M$10:$M$276,MATCH(B225,'[6]CN BC'!$H$10:$H$276,0)),"")</f>
        <v>0</v>
      </c>
      <c r="AE225" s="522" t="s">
        <v>813</v>
      </c>
      <c r="AF225" s="108"/>
      <c r="AG225" s="108"/>
      <c r="AH225" s="155"/>
      <c r="AI225" s="108"/>
      <c r="AJ225" s="108"/>
      <c r="AK225" s="108"/>
      <c r="AL225" s="108"/>
      <c r="AM225" s="108"/>
      <c r="AN225" s="108"/>
      <c r="AO225" s="108"/>
      <c r="AP225" s="108"/>
      <c r="AQ225" s="108"/>
      <c r="AR225" s="108"/>
    </row>
    <row r="226" spans="1:44" s="108" customFormat="1" ht="34.5" customHeight="1">
      <c r="A226" s="379">
        <f>_xlfn.AGGREGATE(4,7,A$19:A225)+1</f>
        <v>206</v>
      </c>
      <c r="B226" s="33" t="s">
        <v>1899</v>
      </c>
      <c r="C226" s="403" t="s">
        <v>1046</v>
      </c>
      <c r="D226" s="406" t="s">
        <v>1778</v>
      </c>
      <c r="E226" s="433" t="s">
        <v>1381</v>
      </c>
      <c r="F226" s="366">
        <v>4.9800000000000004</v>
      </c>
      <c r="G226" s="367">
        <v>0.06</v>
      </c>
      <c r="H226" s="368">
        <f t="shared" si="43"/>
        <v>5.2788000000000004</v>
      </c>
      <c r="I226" s="368"/>
      <c r="J226" s="368" t="str">
        <f>VLOOKUP(B226,[4]CN!$B$33:$J$365,9,FALSE)</f>
        <v>Giảng viên khoa Điện - Điện tử</v>
      </c>
      <c r="K226" s="369">
        <f t="shared" si="44"/>
        <v>5.2788000000000004</v>
      </c>
      <c r="L226" s="362">
        <f t="shared" si="45"/>
        <v>9501840</v>
      </c>
      <c r="M226" s="366" t="str">
        <f>VLOOKUP(B226,'[5]Gui chi Quynh'!$B$11:$E$400,4,FALSE)</f>
        <v>A4</v>
      </c>
      <c r="N226" s="494">
        <f t="shared" si="47"/>
        <v>9501840</v>
      </c>
      <c r="O226" s="376">
        <v>9</v>
      </c>
      <c r="P226" s="440">
        <f>IFERROR(INDEX('[6]CN BC'!$J$10:$J$277,MATCH(B226,'[6]CN BC'!$H$10:$H$277,0)),"")</f>
        <v>9</v>
      </c>
      <c r="Q226" s="494">
        <f t="shared" si="54"/>
        <v>9501840</v>
      </c>
      <c r="R226" s="392"/>
      <c r="S226" s="362">
        <f t="shared" si="46"/>
        <v>0</v>
      </c>
      <c r="T226" s="404"/>
      <c r="U226" s="362">
        <f t="shared" si="55"/>
        <v>0</v>
      </c>
      <c r="V226" s="584">
        <f t="shared" si="48"/>
        <v>95018</v>
      </c>
      <c r="W226" s="371">
        <f t="shared" si="53"/>
        <v>9501840</v>
      </c>
      <c r="X226" s="440">
        <f>IFERROR(INDEX([7]TL!$X$12:$X$200,MATCH(B226,[7]TL!$B$12:$B$200,0)),"0")</f>
        <v>1813987.6363636367</v>
      </c>
      <c r="Y226" s="663">
        <f t="shared" si="50"/>
        <v>11315827.636363637</v>
      </c>
      <c r="Z226" s="664">
        <f t="shared" si="51"/>
        <v>6.2865709090909094</v>
      </c>
      <c r="AA226" s="662">
        <v>1800000</v>
      </c>
      <c r="AB226" s="663">
        <f t="shared" si="52"/>
        <v>11315827.636363637</v>
      </c>
      <c r="AC226" s="568">
        <f t="shared" si="49"/>
        <v>206</v>
      </c>
      <c r="AD226" s="493">
        <f>IFERROR(INDEX('[6]CN BC'!$M$10:$M$276,MATCH(B226,'[6]CN BC'!$H$10:$H$276,0)),"")</f>
        <v>0</v>
      </c>
      <c r="AE226" s="522" t="s">
        <v>814</v>
      </c>
      <c r="AH226" s="155"/>
    </row>
    <row r="227" spans="1:44" s="372" customFormat="1" ht="34.5" customHeight="1">
      <c r="A227" s="379">
        <f>_xlfn.AGGREGATE(4,7,A$19:A226)+1</f>
        <v>207</v>
      </c>
      <c r="B227" s="363" t="s">
        <v>461</v>
      </c>
      <c r="C227" s="364" t="s">
        <v>1185</v>
      </c>
      <c r="D227" s="434" t="s">
        <v>1779</v>
      </c>
      <c r="E227" s="423" t="s">
        <v>1384</v>
      </c>
      <c r="F227" s="366">
        <v>4.9800000000000004</v>
      </c>
      <c r="G227" s="367">
        <v>0.06</v>
      </c>
      <c r="H227" s="368">
        <f t="shared" si="43"/>
        <v>5.2788000000000004</v>
      </c>
      <c r="I227" s="368"/>
      <c r="J227" s="368" t="str">
        <f>VLOOKUP(B227,[4]CN!$B$33:$J$365,9,FALSE)</f>
        <v>Giảng viên khoa Điện - Điện tử</v>
      </c>
      <c r="K227" s="369">
        <f t="shared" si="44"/>
        <v>5.2788000000000004</v>
      </c>
      <c r="L227" s="362">
        <f t="shared" si="45"/>
        <v>9501840</v>
      </c>
      <c r="M227" s="366" t="str">
        <f>VLOOKUP(B227,'[5]Gui chi Quynh'!$B$11:$E$400,4,FALSE)</f>
        <v>A4</v>
      </c>
      <c r="N227" s="494">
        <f t="shared" si="47"/>
        <v>9501840</v>
      </c>
      <c r="O227" s="376">
        <v>9</v>
      </c>
      <c r="P227" s="440">
        <f>IFERROR(INDEX('[6]CN BC'!$J$10:$J$277,MATCH(B227,'[6]CN BC'!$H$10:$H$277,0)),"")</f>
        <v>9</v>
      </c>
      <c r="Q227" s="494">
        <f t="shared" si="54"/>
        <v>9501840</v>
      </c>
      <c r="R227" s="460"/>
      <c r="S227" s="362">
        <f t="shared" si="46"/>
        <v>0</v>
      </c>
      <c r="T227" s="370"/>
      <c r="U227" s="362">
        <f t="shared" si="55"/>
        <v>0</v>
      </c>
      <c r="V227" s="584">
        <f t="shared" si="48"/>
        <v>95018</v>
      </c>
      <c r="W227" s="371">
        <f t="shared" si="53"/>
        <v>9501840</v>
      </c>
      <c r="X227" s="440">
        <f>IFERROR(INDEX([7]TL!$X$12:$X$200,MATCH(B227,[7]TL!$B$12:$B$200,0)),"0")</f>
        <v>1554846.5454545449</v>
      </c>
      <c r="Y227" s="663">
        <f t="shared" si="50"/>
        <v>11056686.545454545</v>
      </c>
      <c r="Z227" s="664">
        <f t="shared" si="51"/>
        <v>6.1426036363636358</v>
      </c>
      <c r="AA227" s="662">
        <v>1800000</v>
      </c>
      <c r="AB227" s="663">
        <f t="shared" si="52"/>
        <v>11056686.545454545</v>
      </c>
      <c r="AC227" s="568">
        <f t="shared" si="49"/>
        <v>207</v>
      </c>
      <c r="AD227" s="493">
        <f>IFERROR(INDEX('[6]CN BC'!$M$10:$M$276,MATCH(B227,'[6]CN BC'!$H$10:$H$276,0)),"")</f>
        <v>0</v>
      </c>
      <c r="AE227" s="540" t="s">
        <v>815</v>
      </c>
      <c r="AH227" s="487"/>
    </row>
    <row r="228" spans="1:44" s="108" customFormat="1" ht="34.5" customHeight="1">
      <c r="A228" s="379">
        <f>_xlfn.AGGREGATE(4,7,A$19:A227)+1</f>
        <v>208</v>
      </c>
      <c r="B228" s="33" t="s">
        <v>1900</v>
      </c>
      <c r="C228" s="34" t="s">
        <v>1049</v>
      </c>
      <c r="D228" s="406" t="s">
        <v>1780</v>
      </c>
      <c r="E228" s="424" t="s">
        <v>1385</v>
      </c>
      <c r="F228" s="10">
        <v>4.6500000000000004</v>
      </c>
      <c r="G228" s="157"/>
      <c r="H228" s="368">
        <f t="shared" si="43"/>
        <v>4.6500000000000004</v>
      </c>
      <c r="I228" s="368"/>
      <c r="J228" s="368" t="str">
        <f>VLOOKUP(B228,[4]CN!$B$33:$J$365,9,FALSE)</f>
        <v>Giảng viên khoa Điện - Điện tử</v>
      </c>
      <c r="K228" s="369">
        <f t="shared" si="44"/>
        <v>4.6500000000000004</v>
      </c>
      <c r="L228" s="362">
        <f t="shared" si="45"/>
        <v>8370000.0000000009</v>
      </c>
      <c r="M228" s="366" t="str">
        <f>VLOOKUP(B228,'[5]Gui chi Quynh'!$B$11:$E$400,4,FALSE)</f>
        <v>A3</v>
      </c>
      <c r="N228" s="494">
        <f t="shared" si="47"/>
        <v>10044000</v>
      </c>
      <c r="O228" s="376">
        <v>9</v>
      </c>
      <c r="P228" s="440">
        <f>IFERROR(INDEX('[6]CN BC'!$J$10:$J$277,MATCH(B228,'[6]CN BC'!$H$10:$H$277,0)),"")</f>
        <v>9</v>
      </c>
      <c r="Q228" s="494">
        <f t="shared" si="54"/>
        <v>10044000</v>
      </c>
      <c r="R228" s="392"/>
      <c r="S228" s="362">
        <f t="shared" si="46"/>
        <v>0</v>
      </c>
      <c r="T228" s="385"/>
      <c r="U228" s="362">
        <f t="shared" si="55"/>
        <v>0</v>
      </c>
      <c r="V228" s="584">
        <f t="shared" si="48"/>
        <v>83700</v>
      </c>
      <c r="W228" s="371">
        <f t="shared" si="53"/>
        <v>10044000</v>
      </c>
      <c r="X228" s="440">
        <f>IFERROR(INDEX([7]TL!$X$12:$X$200,MATCH(B228,[7]TL!$B$12:$B$200,0)),"0")</f>
        <v>1369636.3636363633</v>
      </c>
      <c r="Y228" s="663">
        <f t="shared" si="50"/>
        <v>11413636.363636363</v>
      </c>
      <c r="Z228" s="664">
        <f t="shared" si="51"/>
        <v>6.3409090909090908</v>
      </c>
      <c r="AA228" s="662">
        <v>1800000</v>
      </c>
      <c r="AB228" s="663">
        <f t="shared" si="52"/>
        <v>11413636.363636363</v>
      </c>
      <c r="AC228" s="568">
        <f t="shared" si="49"/>
        <v>208</v>
      </c>
      <c r="AD228" s="493">
        <f>IFERROR(INDEX('[6]CN BC'!$M$10:$M$276,MATCH(B228,'[6]CN BC'!$H$10:$H$276,0)),"")</f>
        <v>0</v>
      </c>
      <c r="AE228" s="522" t="s">
        <v>816</v>
      </c>
      <c r="AH228" s="155"/>
    </row>
    <row r="229" spans="1:44" s="108" customFormat="1" ht="34.5" customHeight="1">
      <c r="A229" s="379">
        <f>_xlfn.AGGREGATE(4,7,A$19:A228)+1</f>
        <v>209</v>
      </c>
      <c r="B229" s="33" t="s">
        <v>1901</v>
      </c>
      <c r="C229" s="34" t="s">
        <v>1051</v>
      </c>
      <c r="D229" s="406" t="s">
        <v>1782</v>
      </c>
      <c r="E229" s="424" t="s">
        <v>1387</v>
      </c>
      <c r="F229" s="10">
        <v>4.32</v>
      </c>
      <c r="G229" s="157"/>
      <c r="H229" s="368">
        <f t="shared" si="43"/>
        <v>4.32</v>
      </c>
      <c r="I229" s="81"/>
      <c r="J229" s="368" t="str">
        <f>VLOOKUP(B229,[4]CN!$B$33:$J$365,9,FALSE)</f>
        <v>Giảng viên khoa Điện - Điện tử</v>
      </c>
      <c r="K229" s="369">
        <f t="shared" si="44"/>
        <v>4.32</v>
      </c>
      <c r="L229" s="362">
        <f t="shared" si="45"/>
        <v>7776000.0000000009</v>
      </c>
      <c r="M229" s="366" t="str">
        <f>VLOOKUP(B229,'[5]Gui chi Quynh'!$B$11:$E$400,4,FALSE)</f>
        <v>A3</v>
      </c>
      <c r="N229" s="494">
        <f t="shared" si="47"/>
        <v>9331200</v>
      </c>
      <c r="O229" s="376">
        <v>9</v>
      </c>
      <c r="P229" s="440">
        <f>IFERROR(INDEX('[6]CN BC'!$J$10:$J$277,MATCH(B229,'[6]CN BC'!$H$10:$H$277,0)),"")</f>
        <v>9</v>
      </c>
      <c r="Q229" s="494">
        <f t="shared" si="54"/>
        <v>9331200</v>
      </c>
      <c r="R229" s="392"/>
      <c r="S229" s="362">
        <f t="shared" si="46"/>
        <v>0</v>
      </c>
      <c r="T229" s="385"/>
      <c r="U229" s="362">
        <f t="shared" si="55"/>
        <v>0</v>
      </c>
      <c r="V229" s="584">
        <f t="shared" si="48"/>
        <v>77760</v>
      </c>
      <c r="W229" s="371">
        <f t="shared" si="53"/>
        <v>9331200</v>
      </c>
      <c r="X229" s="440">
        <f>IFERROR(INDEX([7]TL!$X$12:$X$200,MATCH(B229,[7]TL!$B$12:$B$200,0)),"0")</f>
        <v>1272436.3636363642</v>
      </c>
      <c r="Y229" s="663">
        <f t="shared" si="50"/>
        <v>10603636.363636363</v>
      </c>
      <c r="Z229" s="664">
        <f t="shared" si="51"/>
        <v>5.8909090909090907</v>
      </c>
      <c r="AA229" s="662">
        <v>1800000</v>
      </c>
      <c r="AB229" s="663">
        <f t="shared" si="52"/>
        <v>10603636.363636363</v>
      </c>
      <c r="AC229" s="568">
        <f t="shared" si="49"/>
        <v>209</v>
      </c>
      <c r="AD229" s="493">
        <f>IFERROR(INDEX('[6]CN BC'!$M$10:$M$276,MATCH(B229,'[6]CN BC'!$H$10:$H$276,0)),"")</f>
        <v>0</v>
      </c>
      <c r="AE229" s="522" t="s">
        <v>817</v>
      </c>
      <c r="AH229" s="155"/>
    </row>
    <row r="230" spans="1:44" s="108" customFormat="1" ht="34.5" customHeight="1">
      <c r="A230" s="379">
        <f>_xlfn.AGGREGATE(4,7,A$19:A229)+1</f>
        <v>210</v>
      </c>
      <c r="B230" s="33" t="s">
        <v>1534</v>
      </c>
      <c r="C230" s="34" t="s">
        <v>1053</v>
      </c>
      <c r="D230" s="406" t="s">
        <v>1783</v>
      </c>
      <c r="E230" s="424" t="s">
        <v>1388</v>
      </c>
      <c r="F230" s="10">
        <v>4.32</v>
      </c>
      <c r="G230" s="157"/>
      <c r="H230" s="368">
        <f t="shared" si="43"/>
        <v>4.32</v>
      </c>
      <c r="I230" s="81"/>
      <c r="J230" s="368" t="str">
        <f>VLOOKUP(B230,[4]CN!$B$33:$J$365,9,FALSE)</f>
        <v>Giảng viên khoa
Điện - Điện tử</v>
      </c>
      <c r="K230" s="369">
        <f t="shared" si="44"/>
        <v>4.32</v>
      </c>
      <c r="L230" s="362">
        <f t="shared" si="45"/>
        <v>7776000.0000000009</v>
      </c>
      <c r="M230" s="366" t="str">
        <f>VLOOKUP(B230,'[5]Gui chi Quynh'!$B$11:$E$400,4,FALSE)</f>
        <v>A3</v>
      </c>
      <c r="N230" s="494">
        <f t="shared" si="47"/>
        <v>9331200</v>
      </c>
      <c r="O230" s="376">
        <v>9</v>
      </c>
      <c r="P230" s="440">
        <f>IFERROR(INDEX('[6]CN BC'!$J$10:$J$277,MATCH(B230,'[6]CN BC'!$H$10:$H$277,0)),"")</f>
        <v>9</v>
      </c>
      <c r="Q230" s="494">
        <f t="shared" si="54"/>
        <v>9331200</v>
      </c>
      <c r="R230" s="392"/>
      <c r="S230" s="362">
        <f t="shared" si="46"/>
        <v>0</v>
      </c>
      <c r="T230" s="385"/>
      <c r="U230" s="362">
        <f t="shared" si="55"/>
        <v>0</v>
      </c>
      <c r="V230" s="584">
        <f t="shared" si="48"/>
        <v>77760</v>
      </c>
      <c r="W230" s="371">
        <f t="shared" si="53"/>
        <v>9331200</v>
      </c>
      <c r="X230" s="440">
        <f>IFERROR(INDEX([7]TL!$X$12:$X$200,MATCH(B230,[7]TL!$B$12:$B$200,0)),"0")</f>
        <v>1272436.3636363642</v>
      </c>
      <c r="Y230" s="663">
        <f t="shared" si="50"/>
        <v>10603636.363636363</v>
      </c>
      <c r="Z230" s="664">
        <f t="shared" si="51"/>
        <v>5.8909090909090907</v>
      </c>
      <c r="AA230" s="662">
        <v>1800000</v>
      </c>
      <c r="AB230" s="663">
        <f t="shared" si="52"/>
        <v>10603636.363636363</v>
      </c>
      <c r="AC230" s="568">
        <f t="shared" si="49"/>
        <v>210</v>
      </c>
      <c r="AD230" s="493">
        <f>IFERROR(INDEX('[6]CN BC'!$M$10:$M$276,MATCH(B230,'[6]CN BC'!$H$10:$H$276,0)),"")</f>
        <v>0</v>
      </c>
      <c r="AE230" s="522" t="s">
        <v>818</v>
      </c>
      <c r="AH230" s="155"/>
    </row>
    <row r="231" spans="1:44" s="372" customFormat="1" ht="34.5" customHeight="1">
      <c r="A231" s="379">
        <f>_xlfn.AGGREGATE(4,7,A$19:A230)+1</f>
        <v>211</v>
      </c>
      <c r="B231" s="363" t="s">
        <v>1535</v>
      </c>
      <c r="C231" s="364" t="s">
        <v>986</v>
      </c>
      <c r="D231" s="434" t="s">
        <v>1784</v>
      </c>
      <c r="E231" s="422" t="s">
        <v>1595</v>
      </c>
      <c r="F231" s="373">
        <v>3.33</v>
      </c>
      <c r="G231" s="367"/>
      <c r="H231" s="445">
        <f t="shared" si="43"/>
        <v>3.33</v>
      </c>
      <c r="I231" s="368">
        <v>0.25</v>
      </c>
      <c r="J231" s="368" t="str">
        <f>VLOOKUP(B231,[4]CN!$B$33:$J$365,9,FALSE)</f>
        <v>Trưởng BM Cơ điện tử và Tự động hóa</v>
      </c>
      <c r="K231" s="369">
        <f t="shared" si="44"/>
        <v>3.58</v>
      </c>
      <c r="L231" s="362">
        <f t="shared" si="45"/>
        <v>6444000</v>
      </c>
      <c r="M231" s="366" t="str">
        <f>VLOOKUP(B231,'[5]Gui chi Quynh'!$B$11:$E$400,4,FALSE)</f>
        <v>A3</v>
      </c>
      <c r="N231" s="494">
        <f t="shared" si="47"/>
        <v>7732800</v>
      </c>
      <c r="O231" s="376">
        <v>9</v>
      </c>
      <c r="P231" s="440">
        <f>IFERROR(INDEX('[6]CN BC'!$J$10:$J$277,MATCH(B231,'[6]CN BC'!$H$10:$H$277,0)),"")</f>
        <v>9</v>
      </c>
      <c r="Q231" s="494">
        <f t="shared" si="54"/>
        <v>7732800</v>
      </c>
      <c r="R231" s="460"/>
      <c r="S231" s="362">
        <f t="shared" si="46"/>
        <v>0</v>
      </c>
      <c r="T231" s="370"/>
      <c r="U231" s="362">
        <f t="shared" si="55"/>
        <v>0</v>
      </c>
      <c r="V231" s="584">
        <f t="shared" si="48"/>
        <v>64440</v>
      </c>
      <c r="W231" s="371">
        <f t="shared" si="53"/>
        <v>7732800</v>
      </c>
      <c r="X231" s="440">
        <f>IFERROR(INDEX([7]TL!$X$12:$X$200,MATCH(B231,[7]TL!$B$12:$B$200,0)),"0")</f>
        <v>1054472.7272727266</v>
      </c>
      <c r="Y231" s="663">
        <f t="shared" si="50"/>
        <v>8787272.7272727266</v>
      </c>
      <c r="Z231" s="664">
        <f t="shared" si="51"/>
        <v>4.8818181818181818</v>
      </c>
      <c r="AA231" s="662">
        <v>1800000</v>
      </c>
      <c r="AB231" s="663">
        <f t="shared" si="52"/>
        <v>8787272.7272727266</v>
      </c>
      <c r="AC231" s="568">
        <f t="shared" si="49"/>
        <v>211</v>
      </c>
      <c r="AD231" s="493">
        <f>IFERROR(INDEX('[6]CN BC'!$M$10:$M$276,MATCH(B231,'[6]CN BC'!$H$10:$H$276,0)),"")</f>
        <v>0</v>
      </c>
      <c r="AE231" s="522" t="s">
        <v>819</v>
      </c>
      <c r="AF231" s="108"/>
      <c r="AG231" s="108"/>
      <c r="AH231" s="155"/>
      <c r="AI231" s="108"/>
      <c r="AJ231" s="108"/>
      <c r="AK231" s="108"/>
      <c r="AL231" s="108"/>
      <c r="AM231" s="108"/>
      <c r="AN231" s="108"/>
    </row>
    <row r="232" spans="1:44" s="372" customFormat="1" ht="34.5" customHeight="1">
      <c r="A232" s="379">
        <f>_xlfn.AGGREGATE(4,7,A$19:A231)+1</f>
        <v>212</v>
      </c>
      <c r="B232" s="390" t="s">
        <v>1903</v>
      </c>
      <c r="C232" s="364" t="s">
        <v>1058</v>
      </c>
      <c r="D232" s="434" t="s">
        <v>1786</v>
      </c>
      <c r="E232" s="423" t="s">
        <v>1392</v>
      </c>
      <c r="F232" s="373">
        <v>4.32</v>
      </c>
      <c r="G232" s="367"/>
      <c r="H232" s="368">
        <f t="shared" si="43"/>
        <v>4.32</v>
      </c>
      <c r="I232" s="368"/>
      <c r="J232" s="368" t="str">
        <f>VLOOKUP(B232,[4]CN!$B$33:$J$365,9,FALSE)</f>
        <v>Giảng viên khoa Điện - Điện tử</v>
      </c>
      <c r="K232" s="369">
        <f t="shared" si="44"/>
        <v>4.32</v>
      </c>
      <c r="L232" s="362">
        <f t="shared" si="45"/>
        <v>7776000.0000000009</v>
      </c>
      <c r="M232" s="366" t="str">
        <f>VLOOKUP(B232,'[5]Gui chi Quynh'!$B$11:$E$400,4,FALSE)</f>
        <v>A4</v>
      </c>
      <c r="N232" s="494">
        <f t="shared" si="47"/>
        <v>7776000.0000000009</v>
      </c>
      <c r="O232" s="376">
        <v>9</v>
      </c>
      <c r="P232" s="440">
        <f>IFERROR(INDEX('[6]CN BC'!$J$10:$J$277,MATCH(B232,'[6]CN BC'!$H$10:$H$277,0)),"")</f>
        <v>9</v>
      </c>
      <c r="Q232" s="494">
        <f t="shared" si="54"/>
        <v>7776000.0000000009</v>
      </c>
      <c r="R232" s="460"/>
      <c r="S232" s="362">
        <f t="shared" si="46"/>
        <v>0</v>
      </c>
      <c r="T232" s="370"/>
      <c r="U232" s="362">
        <f t="shared" si="55"/>
        <v>0</v>
      </c>
      <c r="V232" s="584">
        <f t="shared" si="48"/>
        <v>77760</v>
      </c>
      <c r="W232" s="371">
        <f t="shared" si="53"/>
        <v>7776000.0000000009</v>
      </c>
      <c r="X232" s="440">
        <f>IFERROR(INDEX([7]TL!$X$12:$X$200,MATCH(B232,[7]TL!$B$12:$B$200,0)),"0")</f>
        <v>1272436.3636363642</v>
      </c>
      <c r="Y232" s="663">
        <f t="shared" si="50"/>
        <v>9048436.3636363652</v>
      </c>
      <c r="Z232" s="664">
        <f t="shared" si="51"/>
        <v>5.0269090909090917</v>
      </c>
      <c r="AA232" s="662">
        <v>1800000</v>
      </c>
      <c r="AB232" s="663">
        <f t="shared" si="52"/>
        <v>9048436.3636363652</v>
      </c>
      <c r="AC232" s="568">
        <f t="shared" si="49"/>
        <v>212</v>
      </c>
      <c r="AD232" s="493">
        <f>IFERROR(INDEX('[6]CN BC'!$M$10:$M$276,MATCH(B232,'[6]CN BC'!$H$10:$H$276,0)),"")</f>
        <v>0</v>
      </c>
      <c r="AE232" s="522" t="s">
        <v>1119</v>
      </c>
      <c r="AF232" s="471"/>
      <c r="AG232" s="108"/>
      <c r="AH232" s="155"/>
      <c r="AI232" s="108"/>
      <c r="AJ232" s="108"/>
      <c r="AK232" s="108"/>
      <c r="AL232" s="108"/>
      <c r="AM232" s="108"/>
      <c r="AN232" s="108"/>
    </row>
    <row r="233" spans="1:44" s="372" customFormat="1" ht="34.5" customHeight="1">
      <c r="A233" s="379">
        <f>_xlfn.AGGREGATE(4,7,A$19:A232)+1</f>
        <v>213</v>
      </c>
      <c r="B233" s="363" t="s">
        <v>1904</v>
      </c>
      <c r="C233" s="364" t="s">
        <v>885</v>
      </c>
      <c r="D233" s="406" t="s">
        <v>1787</v>
      </c>
      <c r="E233" s="423" t="s">
        <v>1396</v>
      </c>
      <c r="F233" s="366">
        <v>4.6500000000000004</v>
      </c>
      <c r="G233" s="367"/>
      <c r="H233" s="368">
        <f t="shared" si="43"/>
        <v>4.6500000000000004</v>
      </c>
      <c r="I233" s="368"/>
      <c r="J233" s="368" t="str">
        <f>VLOOKUP(B233,[4]CN!$B$33:$J$365,9,FALSE)</f>
        <v>Giảng viên khoa Điện - Điện tử</v>
      </c>
      <c r="K233" s="369">
        <f t="shared" si="44"/>
        <v>4.6500000000000004</v>
      </c>
      <c r="L233" s="362">
        <f t="shared" si="45"/>
        <v>8370000.0000000009</v>
      </c>
      <c r="M233" s="366" t="str">
        <f>VLOOKUP(B233,'[5]Gui chi Quynh'!$B$11:$E$400,4,FALSE)</f>
        <v>A4</v>
      </c>
      <c r="N233" s="494">
        <f t="shared" si="47"/>
        <v>8370000.0000000009</v>
      </c>
      <c r="O233" s="376">
        <v>9</v>
      </c>
      <c r="P233" s="440">
        <f>IFERROR(INDEX('[6]CN BC'!$J$10:$J$277,MATCH(B233,'[6]CN BC'!$H$10:$H$277,0)),"")</f>
        <v>9</v>
      </c>
      <c r="Q233" s="494">
        <f t="shared" si="54"/>
        <v>8370000.0000000009</v>
      </c>
      <c r="R233" s="392"/>
      <c r="S233" s="362">
        <f t="shared" si="46"/>
        <v>0</v>
      </c>
      <c r="T233" s="385"/>
      <c r="U233" s="362">
        <f t="shared" si="55"/>
        <v>0</v>
      </c>
      <c r="V233" s="584">
        <f t="shared" si="48"/>
        <v>83700</v>
      </c>
      <c r="W233" s="371">
        <f t="shared" si="53"/>
        <v>8370000.0000000009</v>
      </c>
      <c r="X233" s="440">
        <f>IFERROR(INDEX([7]TL!$X$12:$X$200,MATCH(B233,[7]TL!$B$12:$B$200,0)),"0")</f>
        <v>1141363.6363636367</v>
      </c>
      <c r="Y233" s="663">
        <f t="shared" si="50"/>
        <v>9511363.6363636367</v>
      </c>
      <c r="Z233" s="664">
        <f t="shared" si="51"/>
        <v>5.2840909090909092</v>
      </c>
      <c r="AA233" s="662">
        <v>1800000</v>
      </c>
      <c r="AB233" s="663">
        <f t="shared" si="52"/>
        <v>9511363.6363636367</v>
      </c>
      <c r="AC233" s="568">
        <f t="shared" si="49"/>
        <v>213</v>
      </c>
      <c r="AD233" s="493">
        <f>IFERROR(INDEX('[6]CN BC'!$M$10:$M$276,MATCH(B233,'[6]CN BC'!$H$10:$H$276,0)),"")</f>
        <v>0</v>
      </c>
      <c r="AE233" s="522" t="s">
        <v>1120</v>
      </c>
      <c r="AF233" s="108"/>
      <c r="AG233" s="108"/>
      <c r="AH233" s="155"/>
      <c r="AI233" s="108"/>
      <c r="AJ233" s="108"/>
      <c r="AK233" s="108"/>
      <c r="AL233" s="108"/>
      <c r="AM233" s="108"/>
      <c r="AN233" s="108"/>
      <c r="AO233" s="108"/>
      <c r="AP233" s="108"/>
      <c r="AQ233" s="108"/>
      <c r="AR233" s="108"/>
    </row>
    <row r="234" spans="1:44" s="372" customFormat="1" ht="34.5" customHeight="1">
      <c r="A234" s="379">
        <f>_xlfn.AGGREGATE(4,7,A$19:A233)+1</f>
        <v>214</v>
      </c>
      <c r="B234" s="363" t="s">
        <v>1536</v>
      </c>
      <c r="C234" s="364" t="s">
        <v>947</v>
      </c>
      <c r="D234" s="434" t="s">
        <v>1788</v>
      </c>
      <c r="E234" s="423" t="s">
        <v>389</v>
      </c>
      <c r="F234" s="373">
        <v>3.66</v>
      </c>
      <c r="G234" s="367"/>
      <c r="H234" s="368">
        <f t="shared" si="43"/>
        <v>3.66</v>
      </c>
      <c r="I234" s="368"/>
      <c r="J234" s="368" t="str">
        <f>VLOOKUP(B234,[4]CN!$B$33:$J$365,9,FALSE)</f>
        <v>Giảng viên khoa
Điện - Điện tử</v>
      </c>
      <c r="K234" s="369">
        <f t="shared" si="44"/>
        <v>3.66</v>
      </c>
      <c r="L234" s="362">
        <f t="shared" si="45"/>
        <v>6588000</v>
      </c>
      <c r="M234" s="366" t="str">
        <f>VLOOKUP(B234,'[5]Gui chi Quynh'!$B$11:$E$400,4,FALSE)</f>
        <v>A4</v>
      </c>
      <c r="N234" s="494">
        <f t="shared" si="47"/>
        <v>6588000</v>
      </c>
      <c r="O234" s="376">
        <v>9</v>
      </c>
      <c r="P234" s="440">
        <f>IFERROR(INDEX('[6]CN BC'!$J$10:$J$277,MATCH(B234,'[6]CN BC'!$H$10:$H$277,0)),"")</f>
        <v>9</v>
      </c>
      <c r="Q234" s="494">
        <f t="shared" si="54"/>
        <v>6588000</v>
      </c>
      <c r="R234" s="460"/>
      <c r="S234" s="362">
        <f t="shared" si="46"/>
        <v>0</v>
      </c>
      <c r="T234" s="370"/>
      <c r="U234" s="362">
        <f t="shared" si="55"/>
        <v>0</v>
      </c>
      <c r="V234" s="584">
        <f t="shared" si="48"/>
        <v>65880</v>
      </c>
      <c r="W234" s="371">
        <f t="shared" si="53"/>
        <v>6588000</v>
      </c>
      <c r="X234" s="440">
        <f>IFERROR(INDEX([7]TL!$X$12:$X$200,MATCH(B234,[7]TL!$B$12:$B$200,0)),"0")</f>
        <v>1078036.3636363642</v>
      </c>
      <c r="Y234" s="663">
        <f t="shared" si="50"/>
        <v>7666036.3636363642</v>
      </c>
      <c r="Z234" s="664">
        <f t="shared" si="51"/>
        <v>4.258909090909091</v>
      </c>
      <c r="AA234" s="662">
        <v>1800000</v>
      </c>
      <c r="AB234" s="663">
        <f t="shared" si="52"/>
        <v>7666036.3636363633</v>
      </c>
      <c r="AC234" s="568">
        <f t="shared" si="49"/>
        <v>214</v>
      </c>
      <c r="AD234" s="493">
        <f>IFERROR(INDEX('[6]CN BC'!$M$10:$M$276,MATCH(B234,'[6]CN BC'!$H$10:$H$276,0)),"")</f>
        <v>0</v>
      </c>
      <c r="AE234" s="522" t="s">
        <v>1121</v>
      </c>
      <c r="AF234" s="108"/>
      <c r="AG234" s="108"/>
      <c r="AH234" s="155"/>
      <c r="AI234" s="108"/>
      <c r="AJ234" s="108"/>
      <c r="AK234" s="108"/>
      <c r="AL234" s="108"/>
      <c r="AM234" s="108"/>
      <c r="AN234" s="108"/>
    </row>
    <row r="235" spans="1:44" s="372" customFormat="1" ht="34.5" customHeight="1">
      <c r="A235" s="379">
        <f>_xlfn.AGGREGATE(4,7,A$19:A234)+1</f>
        <v>215</v>
      </c>
      <c r="B235" s="363" t="s">
        <v>1537</v>
      </c>
      <c r="C235" s="364" t="s">
        <v>1199</v>
      </c>
      <c r="D235" s="406" t="s">
        <v>1789</v>
      </c>
      <c r="E235" s="423" t="s">
        <v>1334</v>
      </c>
      <c r="F235" s="373">
        <v>3.99</v>
      </c>
      <c r="G235" s="367"/>
      <c r="H235" s="368">
        <f t="shared" si="43"/>
        <v>3.99</v>
      </c>
      <c r="I235" s="368"/>
      <c r="J235" s="368" t="str">
        <f>VLOOKUP(B235,[4]CN!$B$33:$J$365,9,FALSE)</f>
        <v>Giảng viên khoa
Điện - Điện tử</v>
      </c>
      <c r="K235" s="369">
        <f t="shared" si="44"/>
        <v>3.99</v>
      </c>
      <c r="L235" s="362">
        <f t="shared" si="45"/>
        <v>7182000</v>
      </c>
      <c r="M235" s="366" t="str">
        <f>VLOOKUP(B235,'[5]Gui chi Quynh'!$B$11:$E$400,4,FALSE)</f>
        <v>A4</v>
      </c>
      <c r="N235" s="494">
        <f t="shared" si="47"/>
        <v>7182000</v>
      </c>
      <c r="O235" s="376">
        <v>9</v>
      </c>
      <c r="P235" s="440">
        <f>IFERROR(INDEX('[6]CN BC'!$J$10:$J$277,MATCH(B235,'[6]CN BC'!$H$10:$H$277,0)),"")</f>
        <v>9</v>
      </c>
      <c r="Q235" s="494">
        <f t="shared" si="54"/>
        <v>7182000</v>
      </c>
      <c r="R235" s="392"/>
      <c r="S235" s="362">
        <f t="shared" si="46"/>
        <v>0</v>
      </c>
      <c r="T235" s="370"/>
      <c r="U235" s="362">
        <f t="shared" si="55"/>
        <v>0</v>
      </c>
      <c r="V235" s="584">
        <f t="shared" si="48"/>
        <v>71820</v>
      </c>
      <c r="W235" s="371">
        <f t="shared" si="53"/>
        <v>7182000</v>
      </c>
      <c r="X235" s="440">
        <f>IFERROR(INDEX([7]TL!$X$12:$X$200,MATCH(B235,[7]TL!$B$12:$B$200,0)),"0")</f>
        <v>1175236.3636363642</v>
      </c>
      <c r="Y235" s="663">
        <f t="shared" si="50"/>
        <v>8357236.3636363642</v>
      </c>
      <c r="Z235" s="664">
        <f t="shared" si="51"/>
        <v>4.6429090909090913</v>
      </c>
      <c r="AA235" s="662">
        <v>1800000</v>
      </c>
      <c r="AB235" s="663">
        <f t="shared" si="52"/>
        <v>8357236.3636363642</v>
      </c>
      <c r="AC235" s="568">
        <f t="shared" si="49"/>
        <v>215</v>
      </c>
      <c r="AD235" s="493">
        <f>IFERROR(INDEX('[6]CN BC'!$M$10:$M$276,MATCH(B235,'[6]CN BC'!$H$10:$H$276,0)),"")</f>
        <v>0</v>
      </c>
      <c r="AE235" s="522" t="s">
        <v>1122</v>
      </c>
      <c r="AF235" s="108"/>
      <c r="AG235" s="108"/>
      <c r="AH235" s="155"/>
      <c r="AI235" s="108"/>
      <c r="AJ235" s="108"/>
      <c r="AK235" s="108"/>
      <c r="AL235" s="108"/>
      <c r="AM235" s="108"/>
      <c r="AN235" s="108"/>
      <c r="AO235" s="108"/>
      <c r="AP235" s="108"/>
      <c r="AQ235" s="108"/>
      <c r="AR235" s="108"/>
    </row>
    <row r="236" spans="1:44" s="372" customFormat="1" ht="34.5" customHeight="1">
      <c r="A236" s="379">
        <f>_xlfn.AGGREGATE(4,7,A$19:A235)+1</f>
        <v>216</v>
      </c>
      <c r="B236" s="363" t="s">
        <v>1905</v>
      </c>
      <c r="C236" s="364" t="s">
        <v>1207</v>
      </c>
      <c r="D236" s="406" t="s">
        <v>1790</v>
      </c>
      <c r="E236" s="428" t="s">
        <v>463</v>
      </c>
      <c r="F236" s="373">
        <v>3.66</v>
      </c>
      <c r="G236" s="367"/>
      <c r="H236" s="445">
        <f t="shared" si="43"/>
        <v>3.66</v>
      </c>
      <c r="I236" s="368"/>
      <c r="J236" s="368" t="str">
        <f>VLOOKUP(B236,[4]CN!$B$33:$J$365,9,FALSE)</f>
        <v>Giảng viên khoa Điện - Điện tử</v>
      </c>
      <c r="K236" s="369">
        <f t="shared" si="44"/>
        <v>3.66</v>
      </c>
      <c r="L236" s="362">
        <f t="shared" si="45"/>
        <v>6588000</v>
      </c>
      <c r="M236" s="366" t="str">
        <f>VLOOKUP(B236,'[5]Gui chi Quynh'!$B$11:$E$400,4,FALSE)</f>
        <v>A4</v>
      </c>
      <c r="N236" s="494">
        <f t="shared" si="47"/>
        <v>6588000</v>
      </c>
      <c r="O236" s="376">
        <v>9</v>
      </c>
      <c r="P236" s="440">
        <f>IFERROR(INDEX('[6]CN BC'!$J$10:$J$277,MATCH(B236,'[6]CN BC'!$H$10:$H$277,0)),"")</f>
        <v>9</v>
      </c>
      <c r="Q236" s="494">
        <f t="shared" si="54"/>
        <v>6588000</v>
      </c>
      <c r="R236" s="392"/>
      <c r="S236" s="362">
        <f t="shared" si="46"/>
        <v>0</v>
      </c>
      <c r="T236" s="385"/>
      <c r="U236" s="362">
        <f t="shared" si="55"/>
        <v>0</v>
      </c>
      <c r="V236" s="584">
        <f t="shared" si="48"/>
        <v>65880</v>
      </c>
      <c r="W236" s="371">
        <f t="shared" si="53"/>
        <v>6588000</v>
      </c>
      <c r="X236" s="440">
        <f>IFERROR(INDEX([7]TL!$X$12:$X$200,MATCH(B236,[7]TL!$B$12:$B$200,0)),"0")</f>
        <v>1257709.0909090908</v>
      </c>
      <c r="Y236" s="663">
        <f t="shared" si="50"/>
        <v>7845709.0909090908</v>
      </c>
      <c r="Z236" s="664">
        <f t="shared" si="51"/>
        <v>4.3587272727272728</v>
      </c>
      <c r="AA236" s="662">
        <v>1800000</v>
      </c>
      <c r="AB236" s="663">
        <f t="shared" si="52"/>
        <v>7845709.0909090908</v>
      </c>
      <c r="AC236" s="568">
        <f t="shared" si="49"/>
        <v>216</v>
      </c>
      <c r="AD236" s="493">
        <f>IFERROR(INDEX('[6]CN BC'!$M$10:$M$276,MATCH(B236,'[6]CN BC'!$H$10:$H$276,0)),"")</f>
        <v>0</v>
      </c>
      <c r="AE236" s="522" t="s">
        <v>1123</v>
      </c>
      <c r="AF236" s="108"/>
      <c r="AG236" s="108"/>
      <c r="AH236" s="155"/>
      <c r="AI236" s="108"/>
      <c r="AJ236" s="108"/>
      <c r="AK236" s="108"/>
      <c r="AL236" s="108"/>
      <c r="AM236" s="108"/>
      <c r="AN236" s="108"/>
      <c r="AO236" s="108"/>
      <c r="AP236" s="108"/>
      <c r="AQ236" s="108"/>
      <c r="AR236" s="108"/>
    </row>
    <row r="237" spans="1:44" s="372" customFormat="1" ht="34.5" customHeight="1">
      <c r="A237" s="379">
        <f>_xlfn.AGGREGATE(4,7,A$19:A236)+1</f>
        <v>217</v>
      </c>
      <c r="B237" s="363" t="s">
        <v>1538</v>
      </c>
      <c r="C237" s="364" t="s">
        <v>1019</v>
      </c>
      <c r="D237" s="406" t="s">
        <v>1791</v>
      </c>
      <c r="E237" s="428" t="s">
        <v>510</v>
      </c>
      <c r="F237" s="373">
        <v>3.66</v>
      </c>
      <c r="G237" s="367"/>
      <c r="H237" s="368">
        <f t="shared" si="43"/>
        <v>3.66</v>
      </c>
      <c r="I237" s="368"/>
      <c r="J237" s="368" t="str">
        <f>VLOOKUP(B237,[4]CN!$B$33:$J$365,9,FALSE)</f>
        <v>Giảng viên khoa
Điện - Điện tử</v>
      </c>
      <c r="K237" s="369">
        <f t="shared" si="44"/>
        <v>3.66</v>
      </c>
      <c r="L237" s="362">
        <f t="shared" si="45"/>
        <v>6588000</v>
      </c>
      <c r="M237" s="366" t="str">
        <f>VLOOKUP(B237,'[5]Gui chi Quynh'!$B$11:$E$400,4,FALSE)</f>
        <v>A3</v>
      </c>
      <c r="N237" s="494">
        <f t="shared" si="47"/>
        <v>7905600</v>
      </c>
      <c r="O237" s="376">
        <v>9</v>
      </c>
      <c r="P237" s="440">
        <f>IFERROR(INDEX('[6]CN BC'!$J$10:$J$277,MATCH(B237,'[6]CN BC'!$H$10:$H$277,0)),"")</f>
        <v>9</v>
      </c>
      <c r="Q237" s="494">
        <f t="shared" si="54"/>
        <v>7905600</v>
      </c>
      <c r="R237" s="392"/>
      <c r="S237" s="362">
        <f t="shared" si="46"/>
        <v>0</v>
      </c>
      <c r="T237" s="385"/>
      <c r="U237" s="362">
        <f t="shared" si="55"/>
        <v>0</v>
      </c>
      <c r="V237" s="584">
        <f t="shared" si="48"/>
        <v>65880</v>
      </c>
      <c r="W237" s="371">
        <f t="shared" si="53"/>
        <v>7905600</v>
      </c>
      <c r="X237" s="440">
        <f>IFERROR(INDEX([7]TL!$X$12:$X$200,MATCH(B237,[7]TL!$B$12:$B$200,0)),"0")</f>
        <v>1437381.8181818184</v>
      </c>
      <c r="Y237" s="663">
        <f t="shared" si="50"/>
        <v>9342981.8181818184</v>
      </c>
      <c r="Z237" s="664">
        <f t="shared" si="51"/>
        <v>5.1905454545454548</v>
      </c>
      <c r="AA237" s="662">
        <v>1800000</v>
      </c>
      <c r="AB237" s="663">
        <f t="shared" si="52"/>
        <v>9342981.8181818184</v>
      </c>
      <c r="AC237" s="568">
        <f t="shared" si="49"/>
        <v>217</v>
      </c>
      <c r="AD237" s="493">
        <f>IFERROR(INDEX('[6]CN BC'!$M$10:$M$276,MATCH(B237,'[6]CN BC'!$H$10:$H$276,0)),"")</f>
        <v>0</v>
      </c>
      <c r="AE237" s="522" t="s">
        <v>1124</v>
      </c>
      <c r="AF237" s="108"/>
      <c r="AG237" s="108"/>
      <c r="AH237" s="155"/>
      <c r="AI237" s="108"/>
      <c r="AJ237" s="108"/>
      <c r="AK237" s="108"/>
      <c r="AL237" s="108"/>
      <c r="AM237" s="108"/>
      <c r="AN237" s="108"/>
      <c r="AO237" s="108"/>
      <c r="AP237" s="108"/>
      <c r="AQ237" s="108"/>
      <c r="AR237" s="108"/>
    </row>
    <row r="238" spans="1:44" s="372" customFormat="1" ht="34.5" customHeight="1">
      <c r="A238" s="379">
        <f>_xlfn.AGGREGATE(4,7,A$19:A237)+1</f>
        <v>218</v>
      </c>
      <c r="B238" s="363" t="s">
        <v>1906</v>
      </c>
      <c r="C238" s="364" t="s">
        <v>917</v>
      </c>
      <c r="D238" s="434" t="s">
        <v>1792</v>
      </c>
      <c r="E238" s="423" t="s">
        <v>1399</v>
      </c>
      <c r="F238" s="366">
        <v>4.9800000000000004</v>
      </c>
      <c r="G238" s="367">
        <v>0.08</v>
      </c>
      <c r="H238" s="368">
        <f t="shared" si="43"/>
        <v>5.3784000000000001</v>
      </c>
      <c r="I238" s="368">
        <v>0.35</v>
      </c>
      <c r="J238" s="368" t="str">
        <f>VLOOKUP(B238,[4]CN!$B$33:$J$365,9,FALSE)</f>
        <v>Giảng viên khoa Điện - Điện tử</v>
      </c>
      <c r="K238" s="369">
        <f t="shared" si="44"/>
        <v>5.7283999999999997</v>
      </c>
      <c r="L238" s="362">
        <f t="shared" si="45"/>
        <v>10311120</v>
      </c>
      <c r="M238" s="366" t="str">
        <f>VLOOKUP(B238,'[5]Gui chi Quynh'!$B$11:$E$400,4,FALSE)</f>
        <v>A3</v>
      </c>
      <c r="N238" s="494">
        <f t="shared" si="47"/>
        <v>12373344</v>
      </c>
      <c r="O238" s="376">
        <v>9</v>
      </c>
      <c r="P238" s="440">
        <f>IFERROR(INDEX('[6]CN BC'!$J$10:$J$277,MATCH(B238,'[6]CN BC'!$H$10:$H$277,0)),"")</f>
        <v>9</v>
      </c>
      <c r="Q238" s="494">
        <f t="shared" si="54"/>
        <v>12373344</v>
      </c>
      <c r="R238" s="460"/>
      <c r="S238" s="362">
        <f t="shared" si="46"/>
        <v>0</v>
      </c>
      <c r="T238" s="370"/>
      <c r="U238" s="362">
        <f t="shared" si="55"/>
        <v>0</v>
      </c>
      <c r="V238" s="584">
        <f t="shared" si="48"/>
        <v>103111</v>
      </c>
      <c r="W238" s="371">
        <f t="shared" si="53"/>
        <v>12373344</v>
      </c>
      <c r="X238" s="440" t="str">
        <f>IFERROR(INDEX([7]TL!$X$12:$X$200,MATCH(B238,[7]TL!$B$12:$B$200,0)),"0")</f>
        <v>0</v>
      </c>
      <c r="Y238" s="663">
        <f t="shared" si="50"/>
        <v>12373344</v>
      </c>
      <c r="Z238" s="664">
        <f t="shared" si="51"/>
        <v>6.8740800000000002</v>
      </c>
      <c r="AA238" s="662">
        <v>1800000</v>
      </c>
      <c r="AB238" s="663">
        <f t="shared" si="52"/>
        <v>12373344</v>
      </c>
      <c r="AC238" s="568">
        <f t="shared" si="49"/>
        <v>218</v>
      </c>
      <c r="AD238" s="493">
        <f>IFERROR(INDEX('[6]CN BC'!$M$10:$M$276,MATCH(B238,'[6]CN BC'!$H$10:$H$276,0)),"")</f>
        <v>0</v>
      </c>
      <c r="AE238" s="522" t="s">
        <v>1125</v>
      </c>
      <c r="AF238" s="108"/>
      <c r="AG238" s="108"/>
      <c r="AH238" s="155"/>
      <c r="AI238" s="108"/>
      <c r="AJ238" s="108"/>
      <c r="AK238" s="108"/>
      <c r="AL238" s="108"/>
      <c r="AM238" s="108"/>
      <c r="AN238" s="108"/>
    </row>
    <row r="239" spans="1:44" s="372" customFormat="1" ht="34.5" customHeight="1">
      <c r="A239" s="379">
        <f>_xlfn.AGGREGATE(4,7,A$19:A238)+1</f>
        <v>219</v>
      </c>
      <c r="B239" s="363" t="s">
        <v>1907</v>
      </c>
      <c r="C239" s="364" t="s">
        <v>878</v>
      </c>
      <c r="D239" s="434" t="s">
        <v>1793</v>
      </c>
      <c r="E239" s="423" t="s">
        <v>1400</v>
      </c>
      <c r="F239" s="366">
        <v>4.9800000000000004</v>
      </c>
      <c r="G239" s="367">
        <v>0.11</v>
      </c>
      <c r="H239" s="368">
        <f t="shared" si="43"/>
        <v>5.5278000000000009</v>
      </c>
      <c r="I239" s="368"/>
      <c r="J239" s="368" t="str">
        <f>VLOOKUP(B239,[4]CN!$B$33:$J$365,9,FALSE)</f>
        <v>Giảng viên khoa Điện - Điện tử</v>
      </c>
      <c r="K239" s="369">
        <f t="shared" si="44"/>
        <v>5.5278000000000009</v>
      </c>
      <c r="L239" s="362">
        <f t="shared" si="45"/>
        <v>9950040.0000000019</v>
      </c>
      <c r="M239" s="366" t="str">
        <f>VLOOKUP(B239,'[5]Gui chi Quynh'!$B$11:$E$400,4,FALSE)</f>
        <v>A4</v>
      </c>
      <c r="N239" s="494">
        <f t="shared" si="47"/>
        <v>9950040.0000000019</v>
      </c>
      <c r="O239" s="376">
        <v>9</v>
      </c>
      <c r="P239" s="440">
        <f>IFERROR(INDEX('[6]CN BC'!$J$10:$J$277,MATCH(B239,'[6]CN BC'!$H$10:$H$277,0)),"")</f>
        <v>9</v>
      </c>
      <c r="Q239" s="494">
        <f t="shared" si="54"/>
        <v>9950040.0000000019</v>
      </c>
      <c r="R239" s="460"/>
      <c r="S239" s="362">
        <f t="shared" si="46"/>
        <v>0</v>
      </c>
      <c r="T239" s="370"/>
      <c r="U239" s="362">
        <f t="shared" si="55"/>
        <v>0</v>
      </c>
      <c r="V239" s="584">
        <f t="shared" si="48"/>
        <v>99500</v>
      </c>
      <c r="W239" s="371">
        <f t="shared" si="53"/>
        <v>9950040.0000000019</v>
      </c>
      <c r="X239" s="440">
        <f>IFERROR(INDEX([7]TL!$X$12:$X$200,MATCH(B239,[7]TL!$B$12:$B$200,0)),"0")</f>
        <v>1356823.6363636367</v>
      </c>
      <c r="Y239" s="663">
        <f t="shared" si="50"/>
        <v>11306863.636363639</v>
      </c>
      <c r="Z239" s="664">
        <f t="shared" si="51"/>
        <v>6.2815909090909106</v>
      </c>
      <c r="AA239" s="662">
        <v>1800000</v>
      </c>
      <c r="AB239" s="663">
        <f t="shared" si="52"/>
        <v>11306863.636363639</v>
      </c>
      <c r="AC239" s="568">
        <f t="shared" si="49"/>
        <v>219</v>
      </c>
      <c r="AD239" s="493">
        <f>IFERROR(INDEX('[6]CN BC'!$M$10:$M$276,MATCH(B239,'[6]CN BC'!$H$10:$H$276,0)),"")</f>
        <v>0</v>
      </c>
      <c r="AE239" s="522" t="s">
        <v>1126</v>
      </c>
      <c r="AF239" s="108"/>
      <c r="AG239" s="108"/>
      <c r="AH239" s="155"/>
    </row>
    <row r="240" spans="1:44" s="372" customFormat="1" ht="34.5" customHeight="1">
      <c r="A240" s="379">
        <f>_xlfn.AGGREGATE(4,7,A$19:A239)+1</f>
        <v>220</v>
      </c>
      <c r="B240" s="363" t="s">
        <v>1908</v>
      </c>
      <c r="C240" s="364" t="s">
        <v>1064</v>
      </c>
      <c r="D240" s="434" t="s">
        <v>1794</v>
      </c>
      <c r="E240" s="423" t="s">
        <v>1401</v>
      </c>
      <c r="F240" s="366">
        <v>4.9800000000000004</v>
      </c>
      <c r="G240" s="367">
        <v>0.08</v>
      </c>
      <c r="H240" s="368">
        <f t="shared" si="43"/>
        <v>5.3784000000000001</v>
      </c>
      <c r="I240" s="368"/>
      <c r="J240" s="368" t="str">
        <f>VLOOKUP(B240,[4]CN!$B$33:$J$365,9,FALSE)</f>
        <v>Giảng viên khoa Điện - Điện tử</v>
      </c>
      <c r="K240" s="369">
        <f t="shared" si="44"/>
        <v>5.3784000000000001</v>
      </c>
      <c r="L240" s="362">
        <f t="shared" si="45"/>
        <v>9681120</v>
      </c>
      <c r="M240" s="366" t="str">
        <f>VLOOKUP(B240,'[5]Gui chi Quynh'!$B$11:$E$400,4,FALSE)</f>
        <v>A4</v>
      </c>
      <c r="N240" s="494">
        <f t="shared" si="47"/>
        <v>9681120</v>
      </c>
      <c r="O240" s="376">
        <v>9</v>
      </c>
      <c r="P240" s="440">
        <f>IFERROR(INDEX('[6]CN BC'!$J$10:$J$277,MATCH(B240,'[6]CN BC'!$H$10:$H$277,0)),"")</f>
        <v>9</v>
      </c>
      <c r="Q240" s="494">
        <f t="shared" si="54"/>
        <v>9681120</v>
      </c>
      <c r="R240" s="460"/>
      <c r="S240" s="362">
        <f t="shared" si="46"/>
        <v>0</v>
      </c>
      <c r="T240" s="370"/>
      <c r="U240" s="362">
        <f t="shared" si="55"/>
        <v>0</v>
      </c>
      <c r="V240" s="584">
        <f t="shared" si="48"/>
        <v>96811</v>
      </c>
      <c r="W240" s="371">
        <f t="shared" si="53"/>
        <v>9681120</v>
      </c>
      <c r="X240" s="440">
        <f>IFERROR(INDEX([7]TL!$X$12:$X$200,MATCH(B240,[7]TL!$B$12:$B$200,0)),"0")</f>
        <v>1584183.2727272715</v>
      </c>
      <c r="Y240" s="663">
        <f t="shared" si="50"/>
        <v>11265303.272727272</v>
      </c>
      <c r="Z240" s="664">
        <f t="shared" si="51"/>
        <v>6.2585018181818173</v>
      </c>
      <c r="AA240" s="662">
        <v>1800000</v>
      </c>
      <c r="AB240" s="663">
        <f t="shared" si="52"/>
        <v>11265303.272727272</v>
      </c>
      <c r="AC240" s="568">
        <f t="shared" si="49"/>
        <v>220</v>
      </c>
      <c r="AD240" s="493">
        <f>IFERROR(INDEX('[6]CN BC'!$M$10:$M$276,MATCH(B240,'[6]CN BC'!$H$10:$H$276,0)),"")</f>
        <v>0</v>
      </c>
      <c r="AE240" s="522" t="s">
        <v>1127</v>
      </c>
      <c r="AF240" s="108"/>
      <c r="AG240" s="108"/>
      <c r="AH240" s="155"/>
      <c r="AI240" s="108"/>
      <c r="AJ240" s="108"/>
      <c r="AK240" s="108"/>
      <c r="AL240" s="108"/>
      <c r="AM240" s="108"/>
      <c r="AN240" s="108"/>
    </row>
    <row r="241" spans="1:44" s="108" customFormat="1" ht="34.5" customHeight="1">
      <c r="A241" s="379">
        <f>_xlfn.AGGREGATE(4,7,A$19:A240)+1</f>
        <v>221</v>
      </c>
      <c r="B241" s="33" t="s">
        <v>1909</v>
      </c>
      <c r="C241" s="409" t="s">
        <v>1069</v>
      </c>
      <c r="D241" s="407" t="s">
        <v>1795</v>
      </c>
      <c r="E241" s="425" t="s">
        <v>1404</v>
      </c>
      <c r="F241" s="366">
        <v>4.32</v>
      </c>
      <c r="G241" s="468"/>
      <c r="H241" s="368">
        <f t="shared" si="43"/>
        <v>4.32</v>
      </c>
      <c r="I241" s="368"/>
      <c r="J241" s="368" t="str">
        <f>VLOOKUP(B241,[4]CN!$B$33:$J$365,9,FALSE)</f>
        <v>Giảng viên khoa Điện - Điện tử</v>
      </c>
      <c r="K241" s="369">
        <f t="shared" si="44"/>
        <v>4.32</v>
      </c>
      <c r="L241" s="362">
        <f t="shared" si="45"/>
        <v>7776000.0000000009</v>
      </c>
      <c r="M241" s="366" t="str">
        <f>VLOOKUP(B241,'[5]Gui chi Quynh'!$B$11:$E$400,4,FALSE)</f>
        <v>A4</v>
      </c>
      <c r="N241" s="494">
        <f t="shared" si="47"/>
        <v>7776000.0000000009</v>
      </c>
      <c r="O241" s="376">
        <v>9</v>
      </c>
      <c r="P241" s="440">
        <f>IFERROR(INDEX('[6]CN BC'!$J$10:$J$277,MATCH(B241,'[6]CN BC'!$H$10:$H$277,0)),"")</f>
        <v>9</v>
      </c>
      <c r="Q241" s="494">
        <f t="shared" si="54"/>
        <v>7776000.0000000009</v>
      </c>
      <c r="R241" s="392"/>
      <c r="S241" s="362">
        <f t="shared" si="46"/>
        <v>0</v>
      </c>
      <c r="T241" s="408"/>
      <c r="U241" s="362">
        <f t="shared" si="55"/>
        <v>0</v>
      </c>
      <c r="V241" s="584">
        <f t="shared" si="48"/>
        <v>77760</v>
      </c>
      <c r="W241" s="371">
        <f t="shared" si="53"/>
        <v>7776000.0000000009</v>
      </c>
      <c r="X241" s="440">
        <f>IFERROR(INDEX([7]TL!$X$12:$X$200,MATCH(B241,[7]TL!$B$12:$B$200,0)),"0")</f>
        <v>1060363.6363636367</v>
      </c>
      <c r="Y241" s="663">
        <f t="shared" si="50"/>
        <v>8836363.6363636367</v>
      </c>
      <c r="Z241" s="664">
        <f t="shared" si="51"/>
        <v>4.9090909090909092</v>
      </c>
      <c r="AA241" s="662">
        <v>1800000</v>
      </c>
      <c r="AB241" s="663">
        <f t="shared" si="52"/>
        <v>8836363.6363636367</v>
      </c>
      <c r="AC241" s="568">
        <f t="shared" si="49"/>
        <v>221</v>
      </c>
      <c r="AD241" s="493">
        <f>IFERROR(INDEX('[6]CN BC'!$M$10:$M$276,MATCH(B241,'[6]CN BC'!$H$10:$H$276,0)),"")</f>
        <v>0</v>
      </c>
      <c r="AE241" s="522" t="s">
        <v>1131</v>
      </c>
      <c r="AH241" s="155"/>
    </row>
    <row r="242" spans="1:44" s="108" customFormat="1" ht="34.5" customHeight="1">
      <c r="A242" s="379">
        <f>_xlfn.AGGREGATE(4,7,A$19:A241)+1</f>
        <v>222</v>
      </c>
      <c r="B242" s="33" t="s">
        <v>1539</v>
      </c>
      <c r="C242" s="34" t="s">
        <v>910</v>
      </c>
      <c r="D242" s="406" t="s">
        <v>1796</v>
      </c>
      <c r="E242" s="424" t="s">
        <v>1405</v>
      </c>
      <c r="F242" s="10">
        <v>4.32</v>
      </c>
      <c r="G242" s="157"/>
      <c r="H242" s="368">
        <f t="shared" si="43"/>
        <v>4.32</v>
      </c>
      <c r="I242" s="368"/>
      <c r="J242" s="368" t="str">
        <f>VLOOKUP(B242,[4]CN!$B$33:$J$365,9,FALSE)</f>
        <v>Giảng viên khoa
Điện - Điện tử</v>
      </c>
      <c r="K242" s="369">
        <f t="shared" si="44"/>
        <v>4.32</v>
      </c>
      <c r="L242" s="362">
        <f t="shared" si="45"/>
        <v>7776000.0000000009</v>
      </c>
      <c r="M242" s="366" t="str">
        <f>VLOOKUP(B242,'[5]Gui chi Quynh'!$B$11:$E$400,4,FALSE)</f>
        <v>A4</v>
      </c>
      <c r="N242" s="494">
        <f t="shared" si="47"/>
        <v>7776000.0000000009</v>
      </c>
      <c r="O242" s="376">
        <v>9</v>
      </c>
      <c r="P242" s="440">
        <f>IFERROR(INDEX('[6]CN BC'!$J$10:$J$277,MATCH(B242,'[6]CN BC'!$H$10:$H$277,0)),"")</f>
        <v>9</v>
      </c>
      <c r="Q242" s="494">
        <f t="shared" si="54"/>
        <v>7776000.0000000009</v>
      </c>
      <c r="R242" s="392"/>
      <c r="S242" s="362">
        <f t="shared" si="46"/>
        <v>0</v>
      </c>
      <c r="T242" s="385"/>
      <c r="U242" s="362">
        <f t="shared" si="55"/>
        <v>0</v>
      </c>
      <c r="V242" s="584">
        <f t="shared" si="48"/>
        <v>77760</v>
      </c>
      <c r="W242" s="371">
        <f t="shared" si="53"/>
        <v>7776000.0000000009</v>
      </c>
      <c r="X242" s="440">
        <f>IFERROR(INDEX([7]TL!$X$12:$X$200,MATCH(B242,[7]TL!$B$12:$B$200,0)),"0")</f>
        <v>1272436.3636363642</v>
      </c>
      <c r="Y242" s="663">
        <f t="shared" si="50"/>
        <v>9048436.3636363652</v>
      </c>
      <c r="Z242" s="664">
        <f t="shared" si="51"/>
        <v>5.0269090909090917</v>
      </c>
      <c r="AA242" s="662">
        <v>1800000</v>
      </c>
      <c r="AB242" s="663">
        <f t="shared" si="52"/>
        <v>9048436.3636363652</v>
      </c>
      <c r="AC242" s="568">
        <f t="shared" si="49"/>
        <v>222</v>
      </c>
      <c r="AD242" s="493">
        <f>IFERROR(INDEX('[6]CN BC'!$M$10:$M$276,MATCH(B242,'[6]CN BC'!$H$10:$H$276,0)),"")</f>
        <v>0</v>
      </c>
      <c r="AE242" s="522" t="s">
        <v>1132</v>
      </c>
      <c r="AH242" s="155"/>
    </row>
    <row r="243" spans="1:44" s="372" customFormat="1" ht="34.5" customHeight="1">
      <c r="A243" s="379">
        <f>_xlfn.AGGREGATE(4,7,A$19:A242)+1</f>
        <v>223</v>
      </c>
      <c r="B243" s="363" t="s">
        <v>1910</v>
      </c>
      <c r="C243" s="364" t="s">
        <v>1072</v>
      </c>
      <c r="D243" s="406" t="s">
        <v>1797</v>
      </c>
      <c r="E243" s="423" t="s">
        <v>1406</v>
      </c>
      <c r="F243" s="366">
        <v>4.6500000000000004</v>
      </c>
      <c r="G243" s="367"/>
      <c r="H243" s="368">
        <f t="shared" si="43"/>
        <v>4.6500000000000004</v>
      </c>
      <c r="I243" s="368"/>
      <c r="J243" s="368" t="str">
        <f>VLOOKUP(B243,[4]CN!$B$33:$J$365,9,FALSE)</f>
        <v>Giảng viên khoa Điện - Điện tử</v>
      </c>
      <c r="K243" s="369">
        <f t="shared" si="44"/>
        <v>4.6500000000000004</v>
      </c>
      <c r="L243" s="362">
        <f t="shared" si="45"/>
        <v>8370000.0000000009</v>
      </c>
      <c r="M243" s="366" t="str">
        <f>VLOOKUP(B243,'[5]Gui chi Quynh'!$B$11:$E$400,4,FALSE)</f>
        <v>A4</v>
      </c>
      <c r="N243" s="494">
        <f t="shared" si="47"/>
        <v>8370000.0000000009</v>
      </c>
      <c r="O243" s="376">
        <v>9</v>
      </c>
      <c r="P243" s="440">
        <f>IFERROR(INDEX('[6]CN BC'!$J$10:$J$277,MATCH(B243,'[6]CN BC'!$H$10:$H$277,0)),"")</f>
        <v>9</v>
      </c>
      <c r="Q243" s="494">
        <f t="shared" si="54"/>
        <v>8370000.0000000009</v>
      </c>
      <c r="R243" s="392"/>
      <c r="S243" s="362">
        <f t="shared" si="46"/>
        <v>0</v>
      </c>
      <c r="T243" s="385"/>
      <c r="U243" s="362">
        <f t="shared" si="55"/>
        <v>0</v>
      </c>
      <c r="V243" s="584">
        <f t="shared" si="48"/>
        <v>83700</v>
      </c>
      <c r="W243" s="371">
        <f t="shared" si="53"/>
        <v>8370000.0000000009</v>
      </c>
      <c r="X243" s="440">
        <f>IFERROR(INDEX([7]TL!$X$12:$X$200,MATCH(B243,[7]TL!$B$12:$B$200,0)),"0")</f>
        <v>1369636.3636363633</v>
      </c>
      <c r="Y243" s="663">
        <f t="shared" si="50"/>
        <v>9739636.3636363633</v>
      </c>
      <c r="Z243" s="664">
        <f t="shared" si="51"/>
        <v>5.4109090909090911</v>
      </c>
      <c r="AA243" s="662">
        <v>1800000</v>
      </c>
      <c r="AB243" s="663">
        <f t="shared" si="52"/>
        <v>9739636.3636363633</v>
      </c>
      <c r="AC243" s="568">
        <f t="shared" si="49"/>
        <v>223</v>
      </c>
      <c r="AD243" s="493">
        <f>IFERROR(INDEX('[6]CN BC'!$M$10:$M$276,MATCH(B243,'[6]CN BC'!$H$10:$H$276,0)),"")</f>
        <v>0</v>
      </c>
      <c r="AE243" s="522" t="s">
        <v>1133</v>
      </c>
      <c r="AF243" s="108"/>
      <c r="AG243" s="108"/>
      <c r="AH243" s="155"/>
      <c r="AI243" s="108"/>
      <c r="AJ243" s="108"/>
      <c r="AK243" s="108"/>
      <c r="AL243" s="108"/>
      <c r="AM243" s="108"/>
      <c r="AN243" s="108"/>
      <c r="AO243" s="108"/>
      <c r="AP243" s="108"/>
      <c r="AQ243" s="108"/>
      <c r="AR243" s="108"/>
    </row>
    <row r="244" spans="1:44" s="372" customFormat="1" ht="34.5" customHeight="1">
      <c r="A244" s="379">
        <f>_xlfn.AGGREGATE(4,7,A$19:A243)+1</f>
        <v>224</v>
      </c>
      <c r="B244" s="363" t="s">
        <v>1911</v>
      </c>
      <c r="C244" s="364" t="s">
        <v>873</v>
      </c>
      <c r="D244" s="434" t="s">
        <v>1798</v>
      </c>
      <c r="E244" s="423" t="s">
        <v>1407</v>
      </c>
      <c r="F244" s="366">
        <v>4.6500000000000004</v>
      </c>
      <c r="G244" s="367"/>
      <c r="H244" s="368">
        <f t="shared" si="43"/>
        <v>4.6500000000000004</v>
      </c>
      <c r="I244" s="368"/>
      <c r="J244" s="368" t="str">
        <f>VLOOKUP(B244,[4]CN!$B$33:$J$365,9,FALSE)</f>
        <v>Giảng viên khoa Điện - Điện tử</v>
      </c>
      <c r="K244" s="369">
        <f t="shared" si="44"/>
        <v>4.6500000000000004</v>
      </c>
      <c r="L244" s="362">
        <f t="shared" si="45"/>
        <v>8370000.0000000009</v>
      </c>
      <c r="M244" s="366" t="str">
        <f>VLOOKUP(B244,'[5]Gui chi Quynh'!$B$11:$E$400,4,FALSE)</f>
        <v>A4</v>
      </c>
      <c r="N244" s="494">
        <f t="shared" si="47"/>
        <v>8370000.0000000009</v>
      </c>
      <c r="O244" s="376">
        <v>9</v>
      </c>
      <c r="P244" s="440">
        <f>IFERROR(INDEX('[6]CN BC'!$J$10:$J$277,MATCH(B244,'[6]CN BC'!$H$10:$H$277,0)),"")</f>
        <v>9</v>
      </c>
      <c r="Q244" s="494">
        <f t="shared" si="54"/>
        <v>8370000.0000000009</v>
      </c>
      <c r="R244" s="392"/>
      <c r="S244" s="362">
        <f t="shared" si="46"/>
        <v>0</v>
      </c>
      <c r="T244" s="370"/>
      <c r="U244" s="362">
        <f t="shared" si="55"/>
        <v>0</v>
      </c>
      <c r="V244" s="584">
        <f t="shared" si="48"/>
        <v>83700</v>
      </c>
      <c r="W244" s="371">
        <f t="shared" si="53"/>
        <v>8370000.0000000009</v>
      </c>
      <c r="X244" s="440">
        <f>IFERROR(INDEX([7]TL!$X$12:$X$200,MATCH(B244,[7]TL!$B$12:$B$200,0)),"0")</f>
        <v>1369636.3636363633</v>
      </c>
      <c r="Y244" s="663">
        <f t="shared" si="50"/>
        <v>9739636.3636363633</v>
      </c>
      <c r="Z244" s="664">
        <f t="shared" si="51"/>
        <v>5.4109090909090911</v>
      </c>
      <c r="AA244" s="662">
        <v>1800000</v>
      </c>
      <c r="AB244" s="663">
        <f t="shared" si="52"/>
        <v>9739636.3636363633</v>
      </c>
      <c r="AC244" s="568">
        <f t="shared" si="49"/>
        <v>224</v>
      </c>
      <c r="AD244" s="493">
        <f>IFERROR(INDEX('[6]CN BC'!$M$10:$M$276,MATCH(B244,'[6]CN BC'!$H$10:$H$276,0)),"")</f>
        <v>0</v>
      </c>
      <c r="AE244" s="522" t="s">
        <v>1142</v>
      </c>
      <c r="AF244" s="108"/>
      <c r="AG244" s="108"/>
      <c r="AH244" s="155"/>
      <c r="AI244" s="108"/>
      <c r="AJ244" s="108"/>
      <c r="AK244" s="108"/>
      <c r="AL244" s="108"/>
      <c r="AM244" s="108"/>
      <c r="AN244" s="108"/>
    </row>
    <row r="245" spans="1:44" s="108" customFormat="1" ht="34.5" customHeight="1">
      <c r="A245" s="379">
        <f>_xlfn.AGGREGATE(4,7,A$19:A244)+1</f>
        <v>225</v>
      </c>
      <c r="B245" s="33" t="s">
        <v>1912</v>
      </c>
      <c r="C245" s="34" t="s">
        <v>867</v>
      </c>
      <c r="D245" s="406" t="s">
        <v>1799</v>
      </c>
      <c r="E245" s="424" t="s">
        <v>1409</v>
      </c>
      <c r="F245" s="10">
        <v>4.6500000000000004</v>
      </c>
      <c r="G245" s="157"/>
      <c r="H245" s="368">
        <f t="shared" si="43"/>
        <v>4.6500000000000004</v>
      </c>
      <c r="I245" s="81"/>
      <c r="J245" s="368" t="str">
        <f>VLOOKUP(B245,[4]CN!$B$33:$J$365,9,FALSE)</f>
        <v>Giảng viên khoa Điện - Điện tử</v>
      </c>
      <c r="K245" s="369">
        <f t="shared" si="44"/>
        <v>4.6500000000000004</v>
      </c>
      <c r="L245" s="362">
        <f t="shared" si="45"/>
        <v>8370000.0000000009</v>
      </c>
      <c r="M245" s="366" t="str">
        <f>VLOOKUP(B245,'[5]Gui chi Quynh'!$B$11:$E$400,4,FALSE)</f>
        <v>A4</v>
      </c>
      <c r="N245" s="494">
        <f t="shared" si="47"/>
        <v>8370000.0000000009</v>
      </c>
      <c r="O245" s="376">
        <v>9</v>
      </c>
      <c r="P245" s="440">
        <f>IFERROR(INDEX('[6]CN BC'!$J$10:$J$277,MATCH(B245,'[6]CN BC'!$H$10:$H$277,0)),"")</f>
        <v>9</v>
      </c>
      <c r="Q245" s="494">
        <f t="shared" si="54"/>
        <v>8370000.0000000009</v>
      </c>
      <c r="R245" s="392"/>
      <c r="S245" s="362">
        <f t="shared" si="46"/>
        <v>0</v>
      </c>
      <c r="T245" s="385"/>
      <c r="U245" s="362">
        <f t="shared" si="55"/>
        <v>0</v>
      </c>
      <c r="V245" s="584">
        <f t="shared" si="48"/>
        <v>83700</v>
      </c>
      <c r="W245" s="371">
        <f t="shared" si="53"/>
        <v>8370000.0000000009</v>
      </c>
      <c r="X245" s="440">
        <f>IFERROR(INDEX([7]TL!$X$12:$X$200,MATCH(B245,[7]TL!$B$12:$B$200,0)),"0")</f>
        <v>1369636.3636363633</v>
      </c>
      <c r="Y245" s="663">
        <f t="shared" si="50"/>
        <v>9739636.3636363633</v>
      </c>
      <c r="Z245" s="664">
        <f t="shared" si="51"/>
        <v>5.4109090909090911</v>
      </c>
      <c r="AA245" s="662">
        <v>1800000</v>
      </c>
      <c r="AB245" s="663">
        <f t="shared" si="52"/>
        <v>9739636.3636363633</v>
      </c>
      <c r="AC245" s="568">
        <f t="shared" si="49"/>
        <v>225</v>
      </c>
      <c r="AD245" s="493">
        <f>IFERROR(INDEX('[6]CN BC'!$M$10:$M$276,MATCH(B245,'[6]CN BC'!$H$10:$H$276,0)),"")</f>
        <v>0</v>
      </c>
      <c r="AE245" s="522" t="s">
        <v>1144</v>
      </c>
      <c r="AH245" s="155"/>
    </row>
    <row r="246" spans="1:44" s="108" customFormat="1" ht="34.5" customHeight="1">
      <c r="A246" s="379">
        <f>_xlfn.AGGREGATE(4,7,A$19:A245)+1</f>
        <v>226</v>
      </c>
      <c r="B246" s="33" t="s">
        <v>1913</v>
      </c>
      <c r="C246" s="34" t="s">
        <v>1078</v>
      </c>
      <c r="D246" s="406" t="s">
        <v>1800</v>
      </c>
      <c r="E246" s="424" t="s">
        <v>1410</v>
      </c>
      <c r="F246" s="10">
        <v>4.6500000000000004</v>
      </c>
      <c r="G246" s="157"/>
      <c r="H246" s="368">
        <f t="shared" si="43"/>
        <v>4.6500000000000004</v>
      </c>
      <c r="I246" s="81"/>
      <c r="J246" s="368" t="str">
        <f>VLOOKUP(B246,[4]CN!$B$33:$J$365,9,FALSE)</f>
        <v>Giảng viên khoa Điện - Điện tử</v>
      </c>
      <c r="K246" s="369">
        <f t="shared" si="44"/>
        <v>4.6500000000000004</v>
      </c>
      <c r="L246" s="362">
        <f t="shared" si="45"/>
        <v>8370000.0000000009</v>
      </c>
      <c r="M246" s="366" t="str">
        <f>VLOOKUP(B246,'[5]Gui chi Quynh'!$B$11:$E$400,4,FALSE)</f>
        <v>A4</v>
      </c>
      <c r="N246" s="494">
        <f t="shared" si="47"/>
        <v>8370000.0000000009</v>
      </c>
      <c r="O246" s="376">
        <v>9</v>
      </c>
      <c r="P246" s="440">
        <f>IFERROR(INDEX('[6]CN BC'!$J$10:$J$277,MATCH(B246,'[6]CN BC'!$H$10:$H$277,0)),"")</f>
        <v>9</v>
      </c>
      <c r="Q246" s="494">
        <f t="shared" si="54"/>
        <v>8370000.0000000009</v>
      </c>
      <c r="R246" s="392"/>
      <c r="S246" s="362">
        <f t="shared" si="46"/>
        <v>0</v>
      </c>
      <c r="T246" s="385"/>
      <c r="U246" s="362">
        <f t="shared" si="55"/>
        <v>0</v>
      </c>
      <c r="V246" s="584">
        <f t="shared" si="48"/>
        <v>83700</v>
      </c>
      <c r="W246" s="371">
        <f t="shared" si="53"/>
        <v>8370000.0000000009</v>
      </c>
      <c r="X246" s="440">
        <f>IFERROR(INDEX([7]TL!$X$12:$X$200,MATCH(B246,[7]TL!$B$12:$B$200,0)),"0")</f>
        <v>1141363.6363636367</v>
      </c>
      <c r="Y246" s="663">
        <f t="shared" si="50"/>
        <v>9511363.6363636367</v>
      </c>
      <c r="Z246" s="664">
        <f t="shared" si="51"/>
        <v>5.2840909090909092</v>
      </c>
      <c r="AA246" s="662">
        <v>1800000</v>
      </c>
      <c r="AB246" s="663">
        <f t="shared" si="52"/>
        <v>9511363.6363636367</v>
      </c>
      <c r="AC246" s="568">
        <f t="shared" si="49"/>
        <v>226</v>
      </c>
      <c r="AD246" s="493">
        <f>IFERROR(INDEX('[6]CN BC'!$M$10:$M$276,MATCH(B246,'[6]CN BC'!$H$10:$H$276,0)),"")</f>
        <v>0</v>
      </c>
      <c r="AE246" s="522" t="s">
        <v>1145</v>
      </c>
      <c r="AH246" s="155"/>
    </row>
    <row r="247" spans="1:44" s="108" customFormat="1" ht="34.5" customHeight="1">
      <c r="A247" s="379">
        <f>_xlfn.AGGREGATE(4,7,A$19:A246)+1</f>
        <v>227</v>
      </c>
      <c r="B247" s="33" t="s">
        <v>1540</v>
      </c>
      <c r="C247" s="34" t="s">
        <v>1019</v>
      </c>
      <c r="D247" s="406" t="s">
        <v>1801</v>
      </c>
      <c r="E247" s="424" t="s">
        <v>1412</v>
      </c>
      <c r="F247" s="10">
        <v>3.99</v>
      </c>
      <c r="G247" s="157"/>
      <c r="H247" s="368">
        <f t="shared" ref="H247:H288" si="56">F247+(F247*G247)</f>
        <v>3.99</v>
      </c>
      <c r="I247" s="81"/>
      <c r="J247" s="368" t="str">
        <f>VLOOKUP(B247,[4]CN!$B$33:$J$365,9,FALSE)</f>
        <v>Giảng viên khoa
Điện - Điện tử</v>
      </c>
      <c r="K247" s="369">
        <f t="shared" ref="K247:K288" si="57">H247+I247</f>
        <v>3.99</v>
      </c>
      <c r="L247" s="362">
        <f t="shared" ref="L247:L288" si="58">K247*$G$15</f>
        <v>7182000</v>
      </c>
      <c r="M247" s="366" t="str">
        <f>VLOOKUP(B247,'[5]Gui chi Quynh'!$B$11:$E$400,4,FALSE)</f>
        <v>A4</v>
      </c>
      <c r="N247" s="494">
        <f t="shared" si="47"/>
        <v>7182000</v>
      </c>
      <c r="O247" s="376">
        <v>9</v>
      </c>
      <c r="P247" s="440">
        <f>IFERROR(INDEX('[6]CN BC'!$J$10:$J$277,MATCH(B247,'[6]CN BC'!$H$10:$H$277,0)),"")</f>
        <v>9</v>
      </c>
      <c r="Q247" s="494">
        <f t="shared" si="54"/>
        <v>7182000</v>
      </c>
      <c r="R247" s="392"/>
      <c r="S247" s="362">
        <f t="shared" si="46"/>
        <v>0</v>
      </c>
      <c r="T247" s="385"/>
      <c r="U247" s="362">
        <f t="shared" si="55"/>
        <v>0</v>
      </c>
      <c r="V247" s="584">
        <f t="shared" si="48"/>
        <v>71820</v>
      </c>
      <c r="W247" s="371">
        <f t="shared" si="53"/>
        <v>7182000</v>
      </c>
      <c r="X247" s="440">
        <f>IFERROR(INDEX([7]TL!$X$12:$X$200,MATCH(B247,[7]TL!$B$12:$B$200,0)),"0")</f>
        <v>979363.63636363577</v>
      </c>
      <c r="Y247" s="663">
        <f t="shared" si="50"/>
        <v>8161363.6363636358</v>
      </c>
      <c r="Z247" s="664">
        <f t="shared" si="51"/>
        <v>4.5340909090909092</v>
      </c>
      <c r="AA247" s="662">
        <v>1800000</v>
      </c>
      <c r="AB247" s="663">
        <f t="shared" si="52"/>
        <v>8161363.6363636367</v>
      </c>
      <c r="AC247" s="568">
        <f t="shared" si="49"/>
        <v>227</v>
      </c>
      <c r="AD247" s="493">
        <f>IFERROR(INDEX('[6]CN BC'!$M$10:$M$276,MATCH(B247,'[6]CN BC'!$H$10:$H$276,0)),"")</f>
        <v>0</v>
      </c>
      <c r="AE247" s="522" t="s">
        <v>1146</v>
      </c>
      <c r="AH247" s="155"/>
    </row>
    <row r="248" spans="1:44" s="372" customFormat="1" ht="34.5" customHeight="1">
      <c r="A248" s="379">
        <f>_xlfn.AGGREGATE(4,7,A$19:A247)+1</f>
        <v>228</v>
      </c>
      <c r="B248" s="363" t="s">
        <v>1609</v>
      </c>
      <c r="C248" s="364" t="s">
        <v>876</v>
      </c>
      <c r="D248" s="434" t="s">
        <v>1973</v>
      </c>
      <c r="E248" s="426" t="s">
        <v>1611</v>
      </c>
      <c r="F248" s="373">
        <v>3</v>
      </c>
      <c r="G248" s="367"/>
      <c r="H248" s="445">
        <f t="shared" si="56"/>
        <v>3</v>
      </c>
      <c r="I248" s="368"/>
      <c r="J248" s="368" t="str">
        <f>VLOOKUP(B248,[4]CN!$B$33:$J$365,9,FALSE)</f>
        <v>Giảng viên khoa
Điện - Điện tử</v>
      </c>
      <c r="K248" s="369">
        <f t="shared" si="57"/>
        <v>3</v>
      </c>
      <c r="L248" s="362">
        <f t="shared" si="58"/>
        <v>5400000</v>
      </c>
      <c r="M248" s="366" t="str">
        <f>VLOOKUP(B248,'[5]Gui chi Quynh'!$B$11:$E$400,4,FALSE)</f>
        <v>A3</v>
      </c>
      <c r="N248" s="494">
        <f t="shared" si="47"/>
        <v>6480000</v>
      </c>
      <c r="O248" s="376">
        <v>9</v>
      </c>
      <c r="P248" s="440">
        <f>IFERROR(INDEX('[6]CN BC'!$J$10:$J$277,MATCH(B248,'[6]CN BC'!$H$10:$H$277,0)),"")</f>
        <v>9</v>
      </c>
      <c r="Q248" s="494">
        <f t="shared" si="54"/>
        <v>6480000</v>
      </c>
      <c r="R248" s="460"/>
      <c r="S248" s="362">
        <f t="shared" si="46"/>
        <v>0</v>
      </c>
      <c r="T248" s="370"/>
      <c r="U248" s="362">
        <f t="shared" si="55"/>
        <v>0</v>
      </c>
      <c r="V248" s="584">
        <f t="shared" si="48"/>
        <v>54000</v>
      </c>
      <c r="W248" s="371">
        <f t="shared" si="53"/>
        <v>6480000</v>
      </c>
      <c r="X248" s="440">
        <f>IFERROR(INDEX([7]TL!$X$12:$X$200,MATCH(B248,[7]TL!$B$12:$B$200,0)),"0")</f>
        <v>1030909.0909090908</v>
      </c>
      <c r="Y248" s="663">
        <f t="shared" si="50"/>
        <v>7510909.0909090908</v>
      </c>
      <c r="Z248" s="664">
        <f t="shared" si="51"/>
        <v>4.1727272727272728</v>
      </c>
      <c r="AA248" s="662">
        <v>1800000</v>
      </c>
      <c r="AB248" s="663">
        <f t="shared" si="52"/>
        <v>7510909.0909090908</v>
      </c>
      <c r="AC248" s="568">
        <f t="shared" si="49"/>
        <v>228</v>
      </c>
      <c r="AD248" s="493">
        <f>IFERROR(INDEX('[6]CN BC'!$M$10:$M$276,MATCH(B248,'[6]CN BC'!$H$10:$H$276,0)),"")</f>
        <v>0</v>
      </c>
      <c r="AE248" s="522" t="s">
        <v>1147</v>
      </c>
      <c r="AF248" s="108"/>
      <c r="AG248" s="108"/>
      <c r="AH248" s="155"/>
      <c r="AI248" s="108"/>
      <c r="AJ248" s="108"/>
      <c r="AK248" s="108"/>
      <c r="AL248" s="108"/>
      <c r="AM248" s="108"/>
      <c r="AN248" s="108"/>
    </row>
    <row r="249" spans="1:44" s="372" customFormat="1" ht="34.5" customHeight="1">
      <c r="A249" s="379">
        <f>_xlfn.AGGREGATE(4,7,A$19:A248)+1</f>
        <v>229</v>
      </c>
      <c r="B249" s="363" t="s">
        <v>1610</v>
      </c>
      <c r="C249" s="364" t="s">
        <v>885</v>
      </c>
      <c r="D249" s="434" t="s">
        <v>1974</v>
      </c>
      <c r="E249" s="426" t="s">
        <v>1612</v>
      </c>
      <c r="F249" s="366">
        <v>2.67</v>
      </c>
      <c r="G249" s="367"/>
      <c r="H249" s="368">
        <f t="shared" si="56"/>
        <v>2.67</v>
      </c>
      <c r="I249" s="368">
        <v>0.25</v>
      </c>
      <c r="J249" s="368" t="str">
        <f>VLOOKUP(B249,[4]CN!$B$33:$J$365,9,FALSE)</f>
        <v>Giảng viên khoa
Điện - Điện tử</v>
      </c>
      <c r="K249" s="369">
        <f t="shared" si="57"/>
        <v>2.92</v>
      </c>
      <c r="L249" s="362">
        <f t="shared" si="58"/>
        <v>5256000</v>
      </c>
      <c r="M249" s="366" t="str">
        <f>VLOOKUP(B249,'[5]Gui chi Quynh'!$B$11:$E$400,4,FALSE)</f>
        <v>A3</v>
      </c>
      <c r="N249" s="494">
        <f t="shared" si="47"/>
        <v>6307200</v>
      </c>
      <c r="O249" s="376">
        <v>9</v>
      </c>
      <c r="P249" s="440">
        <f>IFERROR(INDEX('[6]CN BC'!$J$10:$J$277,MATCH(B249,'[6]CN BC'!$H$10:$H$277,0)),"")</f>
        <v>9</v>
      </c>
      <c r="Q249" s="494">
        <f t="shared" si="54"/>
        <v>6307200</v>
      </c>
      <c r="R249" s="460"/>
      <c r="S249" s="362">
        <f t="shared" si="46"/>
        <v>0</v>
      </c>
      <c r="T249" s="370"/>
      <c r="U249" s="362">
        <f t="shared" si="55"/>
        <v>0</v>
      </c>
      <c r="V249" s="584">
        <f t="shared" si="48"/>
        <v>52560</v>
      </c>
      <c r="W249" s="371">
        <f t="shared" si="53"/>
        <v>6307200</v>
      </c>
      <c r="X249" s="440">
        <f>IFERROR(INDEX([7]TL!$X$12:$X$200,MATCH(B249,[7]TL!$B$12:$B$200,0)),"0")</f>
        <v>1146763.6363636358</v>
      </c>
      <c r="Y249" s="663">
        <f t="shared" si="50"/>
        <v>7453963.6363636358</v>
      </c>
      <c r="Z249" s="664">
        <f t="shared" si="51"/>
        <v>4.1410909090909085</v>
      </c>
      <c r="AA249" s="662">
        <v>1800000</v>
      </c>
      <c r="AB249" s="663">
        <f t="shared" si="52"/>
        <v>7453963.6363636348</v>
      </c>
      <c r="AC249" s="568">
        <f t="shared" si="49"/>
        <v>229</v>
      </c>
      <c r="AD249" s="493">
        <f>IFERROR(INDEX('[6]CN BC'!$M$10:$M$276,MATCH(B249,'[6]CN BC'!$H$10:$H$276,0)),"")</f>
        <v>0</v>
      </c>
      <c r="AE249" s="522" t="s">
        <v>1148</v>
      </c>
      <c r="AF249" s="108"/>
      <c r="AG249" s="108"/>
      <c r="AH249" s="155"/>
      <c r="AI249" s="108"/>
      <c r="AJ249" s="108"/>
      <c r="AK249" s="108"/>
      <c r="AL249" s="108"/>
      <c r="AM249" s="108"/>
      <c r="AN249" s="108"/>
    </row>
    <row r="250" spans="1:44" s="372" customFormat="1" ht="34.5" customHeight="1">
      <c r="A250" s="379">
        <f>_xlfn.AGGREGATE(4,7,A$19:A249)+1</f>
        <v>230</v>
      </c>
      <c r="B250" s="390" t="s">
        <v>1838</v>
      </c>
      <c r="C250" s="364"/>
      <c r="D250" s="434" t="s">
        <v>1975</v>
      </c>
      <c r="E250" s="102">
        <v>1603205590132</v>
      </c>
      <c r="F250" s="366">
        <v>2.67</v>
      </c>
      <c r="G250" s="367"/>
      <c r="H250" s="368">
        <f t="shared" si="56"/>
        <v>2.67</v>
      </c>
      <c r="I250" s="368">
        <v>0.25</v>
      </c>
      <c r="J250" s="368" t="str">
        <f>VLOOKUP(B250,[4]CN!$B$33:$J$365,9,FALSE)</f>
        <v>Giảng viên khoa
Điện - Điện tử</v>
      </c>
      <c r="K250" s="369">
        <f t="shared" si="57"/>
        <v>2.92</v>
      </c>
      <c r="L250" s="362">
        <f t="shared" si="58"/>
        <v>5256000</v>
      </c>
      <c r="M250" s="366" t="str">
        <f>VLOOKUP(B250,'[5]Gui chi Quynh'!$B$11:$E$400,4,FALSE)</f>
        <v>A3</v>
      </c>
      <c r="N250" s="494">
        <f t="shared" si="47"/>
        <v>6307200</v>
      </c>
      <c r="O250" s="376">
        <v>9</v>
      </c>
      <c r="P250" s="440">
        <f>IFERROR(INDEX('[6]CN BC'!$J$10:$J$277,MATCH(B250,'[6]CN BC'!$H$10:$H$277,0)),"")</f>
        <v>9</v>
      </c>
      <c r="Q250" s="494">
        <f t="shared" si="54"/>
        <v>6307200</v>
      </c>
      <c r="R250" s="392"/>
      <c r="S250" s="362">
        <f t="shared" si="46"/>
        <v>0</v>
      </c>
      <c r="T250" s="370"/>
      <c r="U250" s="362">
        <f t="shared" si="55"/>
        <v>0</v>
      </c>
      <c r="V250" s="584">
        <f t="shared" si="48"/>
        <v>52560</v>
      </c>
      <c r="W250" s="371">
        <f t="shared" si="53"/>
        <v>6307200</v>
      </c>
      <c r="X250" s="440">
        <f>IFERROR(INDEX([7]TL!$X$12:$X$200,MATCH(B250,[7]TL!$B$12:$B$200,0)),"0")</f>
        <v>1146763.6363636358</v>
      </c>
      <c r="Y250" s="663">
        <f t="shared" si="50"/>
        <v>7453963.6363636358</v>
      </c>
      <c r="Z250" s="664">
        <f t="shared" si="51"/>
        <v>4.1410909090909085</v>
      </c>
      <c r="AA250" s="662">
        <v>1800000</v>
      </c>
      <c r="AB250" s="663">
        <f t="shared" si="52"/>
        <v>7453963.6363636348</v>
      </c>
      <c r="AC250" s="568">
        <f t="shared" si="49"/>
        <v>230</v>
      </c>
      <c r="AD250" s="493">
        <f>IFERROR(INDEX('[6]CN BC'!$M$10:$M$276,MATCH(B250,'[6]CN BC'!$H$10:$H$276,0)),"")</f>
        <v>0</v>
      </c>
      <c r="AE250" s="522" t="s">
        <v>1149</v>
      </c>
      <c r="AF250" s="108"/>
      <c r="AG250" s="108"/>
      <c r="AH250" s="155"/>
      <c r="AI250" s="108"/>
      <c r="AJ250" s="108"/>
      <c r="AK250" s="108"/>
      <c r="AL250" s="108"/>
      <c r="AM250" s="108"/>
      <c r="AN250" s="108"/>
    </row>
    <row r="251" spans="1:44" s="372" customFormat="1" ht="34.5" customHeight="1">
      <c r="A251" s="379">
        <f>_xlfn.AGGREGATE(4,7,A$19:A250)+1</f>
        <v>231</v>
      </c>
      <c r="B251" s="390" t="s">
        <v>1993</v>
      </c>
      <c r="C251" s="364"/>
      <c r="D251" s="434"/>
      <c r="E251" s="486"/>
      <c r="F251" s="366">
        <v>3.99</v>
      </c>
      <c r="G251" s="367"/>
      <c r="H251" s="368">
        <f t="shared" si="56"/>
        <v>3.99</v>
      </c>
      <c r="I251" s="368"/>
      <c r="J251" s="368" t="str">
        <f>VLOOKUP(B251,[4]CN!$B$33:$J$365,9,FALSE)</f>
        <v>Giảng viên khoa Điện - Điện tử</v>
      </c>
      <c r="K251" s="369">
        <f t="shared" si="57"/>
        <v>3.99</v>
      </c>
      <c r="L251" s="362">
        <f t="shared" si="58"/>
        <v>7182000</v>
      </c>
      <c r="M251" s="366" t="str">
        <f>VLOOKUP(B251,'[5]Gui chi Quynh'!$B$11:$E$400,4,FALSE)</f>
        <v>A3</v>
      </c>
      <c r="N251" s="494">
        <f t="shared" si="47"/>
        <v>8618400</v>
      </c>
      <c r="O251" s="376">
        <v>9</v>
      </c>
      <c r="P251" s="440">
        <f>IFERROR(INDEX('[6]CN BC'!$J$10:$J$277,MATCH(B251,'[6]CN BC'!$H$10:$H$277,0)),"")</f>
        <v>9</v>
      </c>
      <c r="Q251" s="494">
        <f t="shared" si="54"/>
        <v>8618400</v>
      </c>
      <c r="R251" s="460"/>
      <c r="S251" s="362">
        <f t="shared" si="46"/>
        <v>0</v>
      </c>
      <c r="T251" s="370"/>
      <c r="U251" s="362">
        <f t="shared" si="55"/>
        <v>0</v>
      </c>
      <c r="V251" s="584">
        <f t="shared" si="48"/>
        <v>71820</v>
      </c>
      <c r="W251" s="371">
        <f t="shared" si="53"/>
        <v>8618400</v>
      </c>
      <c r="X251" s="440">
        <f>IFERROR(INDEX([7]TL!$X$12:$X$200,MATCH(B251,[7]TL!$B$12:$B$200,0)),"0")</f>
        <v>1175236.3636363642</v>
      </c>
      <c r="Y251" s="663">
        <f t="shared" si="50"/>
        <v>9793636.3636363633</v>
      </c>
      <c r="Z251" s="664">
        <f t="shared" si="51"/>
        <v>5.4409090909090905</v>
      </c>
      <c r="AA251" s="662">
        <v>1800000</v>
      </c>
      <c r="AB251" s="663">
        <f t="shared" si="52"/>
        <v>9793636.3636363633</v>
      </c>
      <c r="AC251" s="568">
        <f t="shared" si="49"/>
        <v>231</v>
      </c>
      <c r="AD251" s="493">
        <f>IFERROR(INDEX('[6]CN BC'!$M$10:$M$276,MATCH(B251,'[6]CN BC'!$H$10:$H$276,0)),"")</f>
        <v>0</v>
      </c>
      <c r="AE251" s="522" t="s">
        <v>1150</v>
      </c>
      <c r="AF251" s="108"/>
      <c r="AG251" s="108"/>
      <c r="AH251" s="155"/>
      <c r="AI251" s="108"/>
      <c r="AJ251" s="108"/>
      <c r="AK251" s="108"/>
      <c r="AL251" s="108"/>
      <c r="AM251" s="108"/>
      <c r="AN251" s="108"/>
    </row>
    <row r="252" spans="1:44" s="372" customFormat="1" ht="30.75" customHeight="1">
      <c r="A252" s="379">
        <f>_xlfn.AGGREGATE(4,7,A$19:A251)+1</f>
        <v>232</v>
      </c>
      <c r="B252" s="390" t="s">
        <v>2002</v>
      </c>
      <c r="C252" s="364"/>
      <c r="D252" s="434"/>
      <c r="E252" s="486"/>
      <c r="F252" s="366">
        <v>2.67</v>
      </c>
      <c r="G252" s="367"/>
      <c r="H252" s="368">
        <f t="shared" si="56"/>
        <v>2.67</v>
      </c>
      <c r="I252" s="368"/>
      <c r="J252" s="368" t="str">
        <f>VLOOKUP(B252,[4]CN!$B$33:$J$365,9,FALSE)</f>
        <v>Giảng viên khoa Điện - Điện tử</v>
      </c>
      <c r="K252" s="369">
        <f t="shared" si="57"/>
        <v>2.67</v>
      </c>
      <c r="L252" s="362">
        <f t="shared" si="58"/>
        <v>4806000</v>
      </c>
      <c r="M252" s="366" t="str">
        <f>VLOOKUP(B252,'[5]Gui chi Quynh'!$B$11:$E$400,4,FALSE)</f>
        <v>A4</v>
      </c>
      <c r="N252" s="494">
        <f t="shared" si="47"/>
        <v>4806000</v>
      </c>
      <c r="O252" s="376">
        <v>9</v>
      </c>
      <c r="P252" s="440">
        <f>IFERROR(INDEX('[6]CN BC'!$J$10:$J$277,MATCH(B252,'[6]CN BC'!$H$10:$H$277,0)),"")</f>
        <v>9</v>
      </c>
      <c r="Q252" s="494">
        <f t="shared" si="54"/>
        <v>4806000</v>
      </c>
      <c r="R252" s="460"/>
      <c r="S252" s="362">
        <f t="shared" si="46"/>
        <v>0</v>
      </c>
      <c r="T252" s="370"/>
      <c r="U252" s="362">
        <f t="shared" si="55"/>
        <v>0</v>
      </c>
      <c r="V252" s="584">
        <f t="shared" si="48"/>
        <v>48060</v>
      </c>
      <c r="W252" s="371">
        <f t="shared" si="53"/>
        <v>4806000</v>
      </c>
      <c r="X252" s="440">
        <f>IFERROR(INDEX([7]TL!$X$12:$X$200,MATCH(B252,[7]TL!$B$12:$B$200,0)),"0")</f>
        <v>786436.36363636423</v>
      </c>
      <c r="Y252" s="663">
        <f t="shared" si="50"/>
        <v>5592436.3636363642</v>
      </c>
      <c r="Z252" s="664">
        <f t="shared" si="51"/>
        <v>3.1069090909090913</v>
      </c>
      <c r="AA252" s="662">
        <v>1800000</v>
      </c>
      <c r="AB252" s="663">
        <f t="shared" si="52"/>
        <v>5592436.3636363642</v>
      </c>
      <c r="AC252" s="568">
        <f t="shared" si="49"/>
        <v>232</v>
      </c>
      <c r="AD252" s="493">
        <f>IFERROR(INDEX('[6]CN BC'!$M$10:$M$276,MATCH(B252,'[6]CN BC'!$H$10:$H$276,0)),"")</f>
        <v>0</v>
      </c>
      <c r="AE252" s="540" t="s">
        <v>1151</v>
      </c>
      <c r="AH252" s="487"/>
    </row>
    <row r="253" spans="1:44" s="372" customFormat="1" ht="31.5" customHeight="1">
      <c r="A253" s="379">
        <f>_xlfn.AGGREGATE(4,7,A$19:A252)+1</f>
        <v>233</v>
      </c>
      <c r="B253" s="390" t="s">
        <v>2004</v>
      </c>
      <c r="C253" s="364"/>
      <c r="D253" s="434"/>
      <c r="E253" s="486"/>
      <c r="F253" s="366">
        <v>2.34</v>
      </c>
      <c r="G253" s="367"/>
      <c r="H253" s="368">
        <f t="shared" si="56"/>
        <v>2.34</v>
      </c>
      <c r="I253" s="368"/>
      <c r="J253" s="368" t="str">
        <f>VLOOKUP(B253,[4]CN!$B$33:$J$365,9,FALSE)</f>
        <v>Giảng viên khoa Điện - Điện tử</v>
      </c>
      <c r="K253" s="369">
        <f t="shared" si="57"/>
        <v>2.34</v>
      </c>
      <c r="L253" s="362">
        <f t="shared" si="58"/>
        <v>4212000</v>
      </c>
      <c r="M253" s="366" t="str">
        <f>VLOOKUP(B253,'[5]Gui chi Quynh'!$B$11:$E$400,4,FALSE)</f>
        <v>A4</v>
      </c>
      <c r="N253" s="494">
        <f t="shared" si="47"/>
        <v>4212000</v>
      </c>
      <c r="O253" s="376">
        <v>9</v>
      </c>
      <c r="P253" s="440">
        <f>IFERROR(INDEX('[6]CN BC'!$J$10:$J$277,MATCH(B253,'[6]CN BC'!$H$10:$H$277,0)),"")</f>
        <v>9</v>
      </c>
      <c r="Q253" s="494">
        <f t="shared" si="54"/>
        <v>4212000</v>
      </c>
      <c r="R253" s="460"/>
      <c r="S253" s="362">
        <f t="shared" si="46"/>
        <v>0</v>
      </c>
      <c r="T253" s="370"/>
      <c r="U253" s="362">
        <f t="shared" si="55"/>
        <v>0</v>
      </c>
      <c r="V253" s="584">
        <f t="shared" si="48"/>
        <v>42120</v>
      </c>
      <c r="W253" s="371">
        <f t="shared" si="53"/>
        <v>4212000</v>
      </c>
      <c r="X253" s="440">
        <f>IFERROR(INDEX([7]TL!$X$12:$X$200,MATCH(B253,[7]TL!$B$12:$B$200,0)),"0")</f>
        <v>689236.3636363633</v>
      </c>
      <c r="Y253" s="663">
        <f t="shared" si="50"/>
        <v>4901236.3636363633</v>
      </c>
      <c r="Z253" s="664">
        <f t="shared" si="51"/>
        <v>2.7229090909090905</v>
      </c>
      <c r="AA253" s="662">
        <v>1800000</v>
      </c>
      <c r="AB253" s="663">
        <f t="shared" si="52"/>
        <v>4901236.3636363633</v>
      </c>
      <c r="AC253" s="568">
        <f t="shared" si="49"/>
        <v>233</v>
      </c>
      <c r="AD253" s="493">
        <f>IFERROR(INDEX('[6]CN BC'!$M$10:$M$276,MATCH(B253,'[6]CN BC'!$H$10:$H$276,0)),"")</f>
        <v>0</v>
      </c>
      <c r="AE253" s="574"/>
      <c r="AH253" s="487"/>
    </row>
    <row r="254" spans="1:44" s="372" customFormat="1" ht="29.25" customHeight="1">
      <c r="A254" s="379">
        <f>_xlfn.AGGREGATE(4,7,A$19:A253)+1</f>
        <v>234</v>
      </c>
      <c r="B254" s="363" t="s">
        <v>1914</v>
      </c>
      <c r="C254" s="364" t="s">
        <v>876</v>
      </c>
      <c r="D254" s="434" t="s">
        <v>1803</v>
      </c>
      <c r="E254" s="423" t="s">
        <v>0</v>
      </c>
      <c r="F254" s="366">
        <v>4.32</v>
      </c>
      <c r="G254" s="367"/>
      <c r="H254" s="368">
        <f t="shared" si="56"/>
        <v>4.32</v>
      </c>
      <c r="I254" s="368">
        <v>0.45</v>
      </c>
      <c r="J254" s="368" t="str">
        <f>VLOOKUP(B254,[4]CN!$B$33:$J$365,9,FALSE)</f>
        <v>Trưởng khoa Động lực</v>
      </c>
      <c r="K254" s="369">
        <f t="shared" si="57"/>
        <v>4.7700000000000005</v>
      </c>
      <c r="L254" s="362">
        <f t="shared" si="58"/>
        <v>8586000</v>
      </c>
      <c r="M254" s="366" t="str">
        <f>VLOOKUP(B254,'[5]Gui chi Quynh'!$B$11:$E$400,4,FALSE)</f>
        <v>A3</v>
      </c>
      <c r="N254" s="494">
        <f t="shared" si="47"/>
        <v>10303200</v>
      </c>
      <c r="O254" s="376">
        <v>9</v>
      </c>
      <c r="P254" s="440">
        <f>IFERROR(INDEX('[6]CN BC'!$J$10:$J$277,MATCH(B254,'[6]CN BC'!$H$10:$H$277,0)),"")</f>
        <v>5</v>
      </c>
      <c r="Q254" s="494">
        <f t="shared" si="54"/>
        <v>5724000</v>
      </c>
      <c r="R254" s="460"/>
      <c r="S254" s="362">
        <f t="shared" si="46"/>
        <v>0</v>
      </c>
      <c r="T254" s="370"/>
      <c r="U254" s="362">
        <f t="shared" si="55"/>
        <v>0</v>
      </c>
      <c r="V254" s="584">
        <f t="shared" si="48"/>
        <v>85860</v>
      </c>
      <c r="W254" s="371">
        <f t="shared" si="53"/>
        <v>5724000</v>
      </c>
      <c r="X254" s="440">
        <f>IFERROR(INDEX([7]TL!$X$12:$X$200,MATCH(B254,[7]TL!$B$12:$B$200,0)),"0")</f>
        <v>1873309.0909090899</v>
      </c>
      <c r="Y254" s="663">
        <f t="shared" si="50"/>
        <v>7597309.0909090899</v>
      </c>
      <c r="Z254" s="664">
        <f t="shared" si="51"/>
        <v>4.220727272727272</v>
      </c>
      <c r="AA254" s="662">
        <v>1800000</v>
      </c>
      <c r="AB254" s="663">
        <f t="shared" si="52"/>
        <v>7597309.0909090899</v>
      </c>
      <c r="AC254" s="568">
        <f t="shared" si="49"/>
        <v>234</v>
      </c>
      <c r="AD254" s="493" t="str">
        <f>IFERROR(INDEX('[6]CN BC'!$M$10:$M$276,MATCH(B254,'[6]CN BC'!$H$10:$H$276,0)),"")</f>
        <v>Trừ 4 ngày nghỉ 26+27+28+29/2</v>
      </c>
      <c r="AE254" s="141"/>
      <c r="AF254" s="471"/>
      <c r="AG254" s="108"/>
      <c r="AH254" s="155"/>
      <c r="AI254" s="108"/>
      <c r="AJ254" s="108"/>
      <c r="AK254" s="108"/>
      <c r="AL254" s="108"/>
      <c r="AM254" s="108"/>
      <c r="AN254" s="108"/>
    </row>
    <row r="255" spans="1:44" s="372" customFormat="1" ht="27.75" customHeight="1">
      <c r="A255" s="379">
        <f>_xlfn.AGGREGATE(4,7,A$19:A254)+1</f>
        <v>235</v>
      </c>
      <c r="B255" s="363" t="s">
        <v>1915</v>
      </c>
      <c r="C255" s="364" t="s">
        <v>1087</v>
      </c>
      <c r="D255" s="434" t="s">
        <v>1804</v>
      </c>
      <c r="E255" s="423" t="s">
        <v>1420</v>
      </c>
      <c r="F255" s="366">
        <v>4.6500000000000004</v>
      </c>
      <c r="G255" s="367"/>
      <c r="H255" s="368">
        <f t="shared" si="56"/>
        <v>4.6500000000000004</v>
      </c>
      <c r="I255" s="368">
        <v>0.35</v>
      </c>
      <c r="J255" s="368" t="str">
        <f>VLOOKUP(B255,[4]CN!$B$33:$J$365,9,FALSE)</f>
        <v>Phó Trưởng khoa
 Động lực</v>
      </c>
      <c r="K255" s="369">
        <f t="shared" si="57"/>
        <v>5</v>
      </c>
      <c r="L255" s="362">
        <f t="shared" si="58"/>
        <v>9000000</v>
      </c>
      <c r="M255" s="366" t="str">
        <f>VLOOKUP(B255,'[5]Gui chi Quynh'!$B$11:$E$400,4,FALSE)</f>
        <v>A3</v>
      </c>
      <c r="N255" s="494">
        <f t="shared" si="47"/>
        <v>10800000</v>
      </c>
      <c r="O255" s="376">
        <v>9</v>
      </c>
      <c r="P255" s="440">
        <f>IFERROR(INDEX('[6]CN BC'!$J$10:$J$277,MATCH(B255,'[6]CN BC'!$H$10:$H$277,0)),"")</f>
        <v>9</v>
      </c>
      <c r="Q255" s="494">
        <f t="shared" si="54"/>
        <v>10800000</v>
      </c>
      <c r="R255" s="460"/>
      <c r="S255" s="362">
        <f t="shared" si="46"/>
        <v>0</v>
      </c>
      <c r="T255" s="370"/>
      <c r="U255" s="362">
        <f t="shared" si="55"/>
        <v>0</v>
      </c>
      <c r="V255" s="584">
        <f t="shared" si="48"/>
        <v>90000</v>
      </c>
      <c r="W255" s="371">
        <f t="shared" si="53"/>
        <v>10800000</v>
      </c>
      <c r="X255" s="440">
        <f>IFERROR(INDEX([7]TL!$X$12:$X$200,MATCH(B255,[7]TL!$B$12:$B$200,0)),"0")</f>
        <v>1472727.2727272734</v>
      </c>
      <c r="Y255" s="663">
        <f t="shared" si="50"/>
        <v>12272727.272727273</v>
      </c>
      <c r="Z255" s="664">
        <f t="shared" si="51"/>
        <v>6.8181818181818183</v>
      </c>
      <c r="AA255" s="662">
        <v>1800000</v>
      </c>
      <c r="AB255" s="663">
        <f t="shared" si="52"/>
        <v>12272727.272727273</v>
      </c>
      <c r="AC255" s="568">
        <f t="shared" si="49"/>
        <v>235</v>
      </c>
      <c r="AD255" s="493">
        <f>IFERROR(INDEX('[6]CN BC'!$M$10:$M$276,MATCH(B255,'[6]CN BC'!$H$10:$H$276,0)),"")</f>
        <v>0</v>
      </c>
      <c r="AE255" s="141"/>
      <c r="AF255" s="108"/>
      <c r="AG255" s="108"/>
      <c r="AH255" s="155"/>
      <c r="AI255" s="108"/>
      <c r="AJ255" s="108"/>
      <c r="AK255" s="108"/>
      <c r="AL255" s="108"/>
      <c r="AM255" s="108"/>
      <c r="AN255" s="108"/>
    </row>
    <row r="256" spans="1:44" s="372" customFormat="1" ht="30.75" customHeight="1">
      <c r="A256" s="379">
        <f>_xlfn.AGGREGATE(4,7,A$19:A255)+1</f>
        <v>236</v>
      </c>
      <c r="B256" s="363" t="s">
        <v>1916</v>
      </c>
      <c r="C256" s="364" t="s">
        <v>1090</v>
      </c>
      <c r="D256" s="434" t="s">
        <v>1805</v>
      </c>
      <c r="E256" s="423" t="s">
        <v>1</v>
      </c>
      <c r="F256" s="366">
        <v>4.32</v>
      </c>
      <c r="G256" s="367"/>
      <c r="H256" s="368">
        <f t="shared" si="56"/>
        <v>4.32</v>
      </c>
      <c r="I256" s="368">
        <v>0.25</v>
      </c>
      <c r="J256" s="368" t="str">
        <f>VLOOKUP(B256,[4]CN!$B$33:$J$365,9,FALSE)</f>
        <v>Giảng viên khoa Động lực</v>
      </c>
      <c r="K256" s="369">
        <f t="shared" si="57"/>
        <v>4.57</v>
      </c>
      <c r="L256" s="362">
        <f t="shared" si="58"/>
        <v>8226000.0000000009</v>
      </c>
      <c r="M256" s="366" t="str">
        <f>VLOOKUP(B256,'[5]Gui chi Quynh'!$B$11:$E$400,4,FALSE)</f>
        <v>A4</v>
      </c>
      <c r="N256" s="494">
        <f t="shared" si="47"/>
        <v>8226000.0000000009</v>
      </c>
      <c r="O256" s="376">
        <v>9</v>
      </c>
      <c r="P256" s="440">
        <f>IFERROR(INDEX('[6]CN BC'!$J$10:$J$277,MATCH(B256,'[6]CN BC'!$H$10:$H$277,0)),"")</f>
        <v>9</v>
      </c>
      <c r="Q256" s="494">
        <f t="shared" si="54"/>
        <v>8226000.0000000009</v>
      </c>
      <c r="R256" s="460"/>
      <c r="S256" s="362">
        <f t="shared" si="46"/>
        <v>0</v>
      </c>
      <c r="T256" s="370"/>
      <c r="U256" s="362">
        <f t="shared" si="55"/>
        <v>0</v>
      </c>
      <c r="V256" s="584">
        <f t="shared" si="48"/>
        <v>82260</v>
      </c>
      <c r="W256" s="371">
        <f t="shared" si="53"/>
        <v>8226000.0000000009</v>
      </c>
      <c r="X256" s="440">
        <f>IFERROR(INDEX([7]TL!$X$12:$X$200,MATCH(B256,[7]TL!$B$12:$B$200,0)),"0")</f>
        <v>1121727.2727272734</v>
      </c>
      <c r="Y256" s="663">
        <f t="shared" si="50"/>
        <v>9347727.2727272734</v>
      </c>
      <c r="Z256" s="664">
        <f t="shared" si="51"/>
        <v>5.1931818181818183</v>
      </c>
      <c r="AA256" s="662">
        <v>1800000</v>
      </c>
      <c r="AB256" s="663">
        <f t="shared" si="52"/>
        <v>9347727.2727272734</v>
      </c>
      <c r="AC256" s="568">
        <f t="shared" si="49"/>
        <v>236</v>
      </c>
      <c r="AD256" s="493">
        <f>IFERROR(INDEX('[6]CN BC'!$M$10:$M$276,MATCH(B256,'[6]CN BC'!$H$10:$H$276,0)),"")</f>
        <v>0</v>
      </c>
      <c r="AE256" s="141"/>
      <c r="AF256" s="108"/>
      <c r="AG256" s="108"/>
      <c r="AH256" s="155"/>
      <c r="AI256" s="108"/>
      <c r="AJ256" s="108"/>
      <c r="AK256" s="108"/>
      <c r="AL256" s="108"/>
      <c r="AM256" s="108"/>
      <c r="AN256" s="108"/>
    </row>
    <row r="257" spans="1:40" s="372" customFormat="1" ht="30.75" customHeight="1">
      <c r="A257" s="379">
        <f>_xlfn.AGGREGATE(4,7,A$19:A256)+1</f>
        <v>237</v>
      </c>
      <c r="B257" s="363" t="s">
        <v>1542</v>
      </c>
      <c r="C257" s="364" t="s">
        <v>970</v>
      </c>
      <c r="D257" s="434" t="s">
        <v>1806</v>
      </c>
      <c r="E257" s="423" t="s">
        <v>3</v>
      </c>
      <c r="F257" s="373">
        <v>3.99</v>
      </c>
      <c r="G257" s="367"/>
      <c r="H257" s="368">
        <f t="shared" si="56"/>
        <v>3.99</v>
      </c>
      <c r="I257" s="368"/>
      <c r="J257" s="368" t="str">
        <f>VLOOKUP(B257,[4]CN!$B$33:$J$365,9,FALSE)</f>
        <v>Giảng viên - Trưởng BM khoa Động lực</v>
      </c>
      <c r="K257" s="369">
        <f t="shared" si="57"/>
        <v>3.99</v>
      </c>
      <c r="L257" s="362">
        <f t="shared" si="58"/>
        <v>7182000</v>
      </c>
      <c r="M257" s="366" t="str">
        <f>VLOOKUP(B257,'[5]Gui chi Quynh'!$B$11:$E$400,4,FALSE)</f>
        <v>A4</v>
      </c>
      <c r="N257" s="494">
        <f t="shared" si="47"/>
        <v>7182000</v>
      </c>
      <c r="O257" s="376">
        <v>9</v>
      </c>
      <c r="P257" s="440">
        <f>IFERROR(INDEX('[6]CN BC'!$J$10:$J$277,MATCH(B257,'[6]CN BC'!$H$10:$H$277,0)),"")</f>
        <v>9</v>
      </c>
      <c r="Q257" s="494">
        <f t="shared" si="54"/>
        <v>7182000</v>
      </c>
      <c r="R257" s="460"/>
      <c r="S257" s="362">
        <f t="shared" si="46"/>
        <v>0</v>
      </c>
      <c r="T257" s="370"/>
      <c r="U257" s="362">
        <f t="shared" si="55"/>
        <v>0</v>
      </c>
      <c r="V257" s="584">
        <f t="shared" si="48"/>
        <v>71820</v>
      </c>
      <c r="W257" s="371">
        <f t="shared" si="53"/>
        <v>7182000</v>
      </c>
      <c r="X257" s="440">
        <f>IFERROR(INDEX([7]TL!$X$12:$X$200,MATCH(B257,[7]TL!$B$12:$B$200,0)),"0")</f>
        <v>979363.63636363577</v>
      </c>
      <c r="Y257" s="663">
        <f t="shared" si="50"/>
        <v>8161363.6363636358</v>
      </c>
      <c r="Z257" s="664">
        <f t="shared" si="51"/>
        <v>4.5340909090909092</v>
      </c>
      <c r="AA257" s="662">
        <v>1800000</v>
      </c>
      <c r="AB257" s="663">
        <f t="shared" si="52"/>
        <v>8161363.6363636367</v>
      </c>
      <c r="AC257" s="568">
        <f t="shared" si="49"/>
        <v>237</v>
      </c>
      <c r="AD257" s="493">
        <f>IFERROR(INDEX('[6]CN BC'!$M$10:$M$276,MATCH(B257,'[6]CN BC'!$H$10:$H$276,0)),"")</f>
        <v>0</v>
      </c>
      <c r="AE257" s="141"/>
      <c r="AF257" s="108"/>
      <c r="AG257" s="108"/>
      <c r="AH257" s="155"/>
      <c r="AI257" s="108"/>
      <c r="AJ257" s="108"/>
      <c r="AK257" s="108"/>
      <c r="AL257" s="108"/>
      <c r="AM257" s="108"/>
      <c r="AN257" s="108"/>
    </row>
    <row r="258" spans="1:40" s="372" customFormat="1" ht="30.75" customHeight="1">
      <c r="A258" s="379">
        <f>_xlfn.AGGREGATE(4,7,A$19:A257)+1</f>
        <v>238</v>
      </c>
      <c r="B258" s="363" t="s">
        <v>1543</v>
      </c>
      <c r="C258" s="364" t="s">
        <v>1215</v>
      </c>
      <c r="D258" s="434" t="s">
        <v>1807</v>
      </c>
      <c r="E258" s="423" t="s">
        <v>4</v>
      </c>
      <c r="F258" s="373">
        <v>3.99</v>
      </c>
      <c r="G258" s="367"/>
      <c r="H258" s="368">
        <f t="shared" si="56"/>
        <v>3.99</v>
      </c>
      <c r="I258" s="368">
        <v>0.25</v>
      </c>
      <c r="J258" s="368" t="str">
        <f>VLOOKUP(B258,[4]CN!$B$33:$J$365,9,FALSE)</f>
        <v>Giảng viên - Trưởng BM khoa Động lực</v>
      </c>
      <c r="K258" s="369">
        <f t="shared" si="57"/>
        <v>4.24</v>
      </c>
      <c r="L258" s="362">
        <f t="shared" si="58"/>
        <v>7632000</v>
      </c>
      <c r="M258" s="366" t="str">
        <f>VLOOKUP(B258,'[5]Gui chi Quynh'!$B$11:$E$400,4,FALSE)</f>
        <v>A3</v>
      </c>
      <c r="N258" s="494">
        <f t="shared" si="47"/>
        <v>9158400</v>
      </c>
      <c r="O258" s="376">
        <v>9</v>
      </c>
      <c r="P258" s="440">
        <f>IFERROR(INDEX('[6]CN BC'!$J$10:$J$277,MATCH(B258,'[6]CN BC'!$H$10:$H$277,0)),"")</f>
        <v>9</v>
      </c>
      <c r="Q258" s="494">
        <f t="shared" si="54"/>
        <v>9158400</v>
      </c>
      <c r="R258" s="460"/>
      <c r="S258" s="362">
        <f t="shared" si="46"/>
        <v>0</v>
      </c>
      <c r="T258" s="370"/>
      <c r="U258" s="362">
        <f t="shared" si="55"/>
        <v>0</v>
      </c>
      <c r="V258" s="584">
        <f t="shared" si="48"/>
        <v>76320</v>
      </c>
      <c r="W258" s="371">
        <f t="shared" si="53"/>
        <v>9158400</v>
      </c>
      <c r="X258" s="440">
        <f>IFERROR(INDEX([7]TL!$X$12:$X$200,MATCH(B258,[7]TL!$B$12:$B$200,0)),"0")</f>
        <v>1248872.7272727266</v>
      </c>
      <c r="Y258" s="663">
        <f t="shared" si="50"/>
        <v>10407272.727272727</v>
      </c>
      <c r="Z258" s="664">
        <f t="shared" si="51"/>
        <v>5.7818181818181813</v>
      </c>
      <c r="AA258" s="662">
        <v>1800000</v>
      </c>
      <c r="AB258" s="663">
        <f t="shared" si="52"/>
        <v>10407272.727272727</v>
      </c>
      <c r="AC258" s="568">
        <f t="shared" si="49"/>
        <v>238</v>
      </c>
      <c r="AD258" s="493">
        <f>IFERROR(INDEX('[6]CN BC'!$M$10:$M$276,MATCH(B258,'[6]CN BC'!$H$10:$H$276,0)),"")</f>
        <v>0</v>
      </c>
      <c r="AE258" s="141"/>
      <c r="AF258" s="108"/>
      <c r="AG258" s="108"/>
      <c r="AH258" s="155"/>
      <c r="AI258" s="108"/>
      <c r="AJ258" s="108"/>
      <c r="AK258" s="108"/>
      <c r="AL258" s="108"/>
      <c r="AM258" s="108"/>
      <c r="AN258" s="108"/>
    </row>
    <row r="259" spans="1:40" s="372" customFormat="1" ht="30.75" customHeight="1">
      <c r="A259" s="379">
        <f>_xlfn.AGGREGATE(4,7,A$19:A258)+1</f>
        <v>239</v>
      </c>
      <c r="B259" s="363" t="s">
        <v>1544</v>
      </c>
      <c r="C259" s="364" t="s">
        <v>878</v>
      </c>
      <c r="D259" s="434" t="s">
        <v>1808</v>
      </c>
      <c r="E259" s="423" t="s">
        <v>5</v>
      </c>
      <c r="F259" s="373">
        <v>3.66</v>
      </c>
      <c r="G259" s="367"/>
      <c r="H259" s="368">
        <f t="shared" si="56"/>
        <v>3.66</v>
      </c>
      <c r="I259" s="368"/>
      <c r="J259" s="368" t="str">
        <f>VLOOKUP(B259,[4]CN!$B$33:$J$365,9,FALSE)</f>
        <v>Giảng viên khoa Động lực</v>
      </c>
      <c r="K259" s="369">
        <f t="shared" si="57"/>
        <v>3.66</v>
      </c>
      <c r="L259" s="362">
        <f t="shared" si="58"/>
        <v>6588000</v>
      </c>
      <c r="M259" s="366" t="str">
        <f>VLOOKUP(B259,'[5]Gui chi Quynh'!$B$11:$E$400,4,FALSE)</f>
        <v>A4</v>
      </c>
      <c r="N259" s="494">
        <f t="shared" si="47"/>
        <v>6588000</v>
      </c>
      <c r="O259" s="376">
        <v>9</v>
      </c>
      <c r="P259" s="440">
        <f>IFERROR(INDEX('[6]CN BC'!$J$10:$J$277,MATCH(B259,'[6]CN BC'!$H$10:$H$277,0)),"")</f>
        <v>9</v>
      </c>
      <c r="Q259" s="494">
        <f t="shared" si="54"/>
        <v>6588000</v>
      </c>
      <c r="R259" s="460"/>
      <c r="S259" s="362">
        <f t="shared" si="46"/>
        <v>0</v>
      </c>
      <c r="T259" s="370"/>
      <c r="U259" s="362">
        <f t="shared" si="55"/>
        <v>0</v>
      </c>
      <c r="V259" s="584">
        <f t="shared" si="48"/>
        <v>65880</v>
      </c>
      <c r="W259" s="371">
        <f t="shared" si="53"/>
        <v>6588000</v>
      </c>
      <c r="X259" s="440">
        <f>IFERROR(INDEX([7]TL!$X$12:$X$200,MATCH(B259,[7]TL!$B$12:$B$200,0)),"0")</f>
        <v>898363.63636363577</v>
      </c>
      <c r="Y259" s="663">
        <f t="shared" si="50"/>
        <v>7486363.6363636358</v>
      </c>
      <c r="Z259" s="664">
        <f t="shared" si="51"/>
        <v>4.1590909090909092</v>
      </c>
      <c r="AA259" s="662">
        <v>1800000</v>
      </c>
      <c r="AB259" s="663">
        <f t="shared" si="52"/>
        <v>7486363.6363636367</v>
      </c>
      <c r="AC259" s="568">
        <f t="shared" si="49"/>
        <v>239</v>
      </c>
      <c r="AD259" s="493">
        <f>IFERROR(INDEX('[6]CN BC'!$M$10:$M$276,MATCH(B259,'[6]CN BC'!$H$10:$H$276,0)),"")</f>
        <v>0</v>
      </c>
      <c r="AE259" s="536"/>
      <c r="AH259" s="487"/>
    </row>
    <row r="260" spans="1:40" s="372" customFormat="1" ht="30.75" customHeight="1">
      <c r="A260" s="379">
        <f>_xlfn.AGGREGATE(4,7,A$19:A259)+1</f>
        <v>240</v>
      </c>
      <c r="B260" s="363" t="s">
        <v>1917</v>
      </c>
      <c r="C260" s="364" t="s">
        <v>1212</v>
      </c>
      <c r="D260" s="434" t="s">
        <v>1809</v>
      </c>
      <c r="E260" s="423" t="s">
        <v>394</v>
      </c>
      <c r="F260" s="373">
        <v>3.66</v>
      </c>
      <c r="G260" s="367"/>
      <c r="H260" s="368">
        <f t="shared" si="56"/>
        <v>3.66</v>
      </c>
      <c r="I260" s="368"/>
      <c r="J260" s="368" t="str">
        <f>VLOOKUP(B260,[4]CN!$B$33:$J$365,9,FALSE)</f>
        <v>Giảng viên khoa Động lực</v>
      </c>
      <c r="K260" s="369">
        <f t="shared" si="57"/>
        <v>3.66</v>
      </c>
      <c r="L260" s="362">
        <f t="shared" si="58"/>
        <v>6588000</v>
      </c>
      <c r="M260" s="366" t="str">
        <f>VLOOKUP(B260,'[5]Gui chi Quynh'!$B$11:$E$400,4,FALSE)</f>
        <v>A4</v>
      </c>
      <c r="N260" s="494">
        <f t="shared" si="47"/>
        <v>6588000</v>
      </c>
      <c r="O260" s="376">
        <v>9</v>
      </c>
      <c r="P260" s="440">
        <f>IFERROR(INDEX('[6]CN BC'!$J$10:$J$277,MATCH(B260,'[6]CN BC'!$H$10:$H$277,0)),"")</f>
        <v>9</v>
      </c>
      <c r="Q260" s="494">
        <f t="shared" si="54"/>
        <v>6588000</v>
      </c>
      <c r="R260" s="460"/>
      <c r="S260" s="362">
        <f t="shared" si="46"/>
        <v>0</v>
      </c>
      <c r="T260" s="370"/>
      <c r="U260" s="362">
        <f t="shared" si="55"/>
        <v>0</v>
      </c>
      <c r="V260" s="584">
        <f t="shared" si="48"/>
        <v>65880</v>
      </c>
      <c r="W260" s="371">
        <f t="shared" si="53"/>
        <v>6588000</v>
      </c>
      <c r="X260" s="440">
        <f>IFERROR(INDEX([7]TL!$X$12:$X$200,MATCH(B260,[7]TL!$B$12:$B$200,0)),"0")</f>
        <v>898363.63636363577</v>
      </c>
      <c r="Y260" s="663">
        <f t="shared" si="50"/>
        <v>7486363.6363636358</v>
      </c>
      <c r="Z260" s="664">
        <f t="shared" si="51"/>
        <v>4.1590909090909092</v>
      </c>
      <c r="AA260" s="662">
        <v>1800000</v>
      </c>
      <c r="AB260" s="663">
        <f t="shared" si="52"/>
        <v>7486363.6363636367</v>
      </c>
      <c r="AC260" s="568">
        <f t="shared" si="49"/>
        <v>240</v>
      </c>
      <c r="AD260" s="493">
        <f>IFERROR(INDEX('[6]CN BC'!$M$10:$M$276,MATCH(B260,'[6]CN BC'!$H$10:$H$276,0)),"")</f>
        <v>0</v>
      </c>
      <c r="AE260" s="141"/>
      <c r="AF260" s="108"/>
      <c r="AG260" s="108"/>
      <c r="AH260" s="155"/>
      <c r="AI260" s="108"/>
      <c r="AJ260" s="108"/>
      <c r="AK260" s="108"/>
      <c r="AL260" s="108"/>
      <c r="AM260" s="108"/>
      <c r="AN260" s="108"/>
    </row>
    <row r="261" spans="1:40" s="372" customFormat="1" ht="30.75" customHeight="1">
      <c r="A261" s="379">
        <f>_xlfn.AGGREGATE(4,7,A$19:A260)+1</f>
        <v>241</v>
      </c>
      <c r="B261" s="390" t="s">
        <v>1918</v>
      </c>
      <c r="C261" s="538" t="s">
        <v>868</v>
      </c>
      <c r="D261" s="434" t="s">
        <v>1810</v>
      </c>
      <c r="E261" s="423" t="s">
        <v>393</v>
      </c>
      <c r="F261" s="373">
        <v>3.99</v>
      </c>
      <c r="G261" s="367"/>
      <c r="H261" s="368">
        <f t="shared" si="56"/>
        <v>3.99</v>
      </c>
      <c r="I261" s="368"/>
      <c r="J261" s="368" t="str">
        <f>VLOOKUP(B261,[4]CN!$B$33:$J$365,9,FALSE)</f>
        <v>Giảng viên khoa Động lực</v>
      </c>
      <c r="K261" s="369">
        <f t="shared" si="57"/>
        <v>3.99</v>
      </c>
      <c r="L261" s="362">
        <f t="shared" si="58"/>
        <v>7182000</v>
      </c>
      <c r="M261" s="366" t="str">
        <f>VLOOKUP(B261,'[5]Gui chi Quynh'!$B$11:$E$400,4,FALSE)</f>
        <v>A4</v>
      </c>
      <c r="N261" s="494">
        <f t="shared" si="47"/>
        <v>7182000</v>
      </c>
      <c r="O261" s="376">
        <v>9</v>
      </c>
      <c r="P261" s="440">
        <f>IFERROR(INDEX('[6]CN BC'!$J$10:$J$277,MATCH(B261,'[6]CN BC'!$H$10:$H$277,0)),"")</f>
        <v>9</v>
      </c>
      <c r="Q261" s="494">
        <f t="shared" si="54"/>
        <v>7182000</v>
      </c>
      <c r="R261" s="460"/>
      <c r="S261" s="362">
        <f t="shared" si="46"/>
        <v>0</v>
      </c>
      <c r="T261" s="370"/>
      <c r="U261" s="362">
        <f t="shared" si="55"/>
        <v>0</v>
      </c>
      <c r="V261" s="584">
        <f t="shared" si="48"/>
        <v>71820</v>
      </c>
      <c r="W261" s="371">
        <f t="shared" si="53"/>
        <v>7182000</v>
      </c>
      <c r="X261" s="440">
        <f>IFERROR(INDEX([7]TL!$X$12:$X$200,MATCH(B261,[7]TL!$B$12:$B$200,0)),"0")</f>
        <v>979363.63636363577</v>
      </c>
      <c r="Y261" s="663">
        <f t="shared" si="50"/>
        <v>8161363.6363636358</v>
      </c>
      <c r="Z261" s="664">
        <f t="shared" si="51"/>
        <v>4.5340909090909092</v>
      </c>
      <c r="AA261" s="662">
        <v>1800000</v>
      </c>
      <c r="AB261" s="663">
        <f t="shared" si="52"/>
        <v>8161363.6363636367</v>
      </c>
      <c r="AC261" s="568">
        <f t="shared" si="49"/>
        <v>241</v>
      </c>
      <c r="AD261" s="493">
        <f>IFERROR(INDEX('[6]CN BC'!$M$10:$M$276,MATCH(B261,'[6]CN BC'!$H$10:$H$276,0)),"")</f>
        <v>0</v>
      </c>
      <c r="AE261" s="536"/>
      <c r="AH261" s="487"/>
    </row>
    <row r="262" spans="1:40" s="372" customFormat="1" ht="30.75" customHeight="1">
      <c r="A262" s="379">
        <f>_xlfn.AGGREGATE(4,7,A$19:A261)+1</f>
        <v>242</v>
      </c>
      <c r="B262" s="363" t="s">
        <v>1545</v>
      </c>
      <c r="C262" s="364" t="s">
        <v>1218</v>
      </c>
      <c r="D262" s="434" t="s">
        <v>1811</v>
      </c>
      <c r="E262" s="423" t="s">
        <v>395</v>
      </c>
      <c r="F262" s="373">
        <v>3.66</v>
      </c>
      <c r="G262" s="367"/>
      <c r="H262" s="368">
        <f t="shared" si="56"/>
        <v>3.66</v>
      </c>
      <c r="I262" s="368"/>
      <c r="J262" s="368" t="str">
        <f>VLOOKUP(B262,[4]CN!$B$33:$J$365,9,FALSE)</f>
        <v>Giảng viên khoa Động lực</v>
      </c>
      <c r="K262" s="369">
        <f t="shared" si="57"/>
        <v>3.66</v>
      </c>
      <c r="L262" s="362">
        <f t="shared" si="58"/>
        <v>6588000</v>
      </c>
      <c r="M262" s="366" t="str">
        <f>VLOOKUP(B262,'[5]Gui chi Quynh'!$B$11:$E$400,4,FALSE)</f>
        <v>A4</v>
      </c>
      <c r="N262" s="494">
        <f t="shared" si="47"/>
        <v>6588000</v>
      </c>
      <c r="O262" s="376">
        <v>9</v>
      </c>
      <c r="P262" s="440">
        <f>IFERROR(INDEX('[6]CN BC'!$J$10:$J$277,MATCH(B262,'[6]CN BC'!$H$10:$H$277,0)),"")</f>
        <v>9</v>
      </c>
      <c r="Q262" s="494">
        <f t="shared" si="54"/>
        <v>6588000</v>
      </c>
      <c r="R262" s="460"/>
      <c r="S262" s="362">
        <f t="shared" si="46"/>
        <v>0</v>
      </c>
      <c r="T262" s="370"/>
      <c r="U262" s="362">
        <f t="shared" si="55"/>
        <v>0</v>
      </c>
      <c r="V262" s="584">
        <f t="shared" si="48"/>
        <v>65880</v>
      </c>
      <c r="W262" s="371">
        <f t="shared" si="53"/>
        <v>6588000</v>
      </c>
      <c r="X262" s="440">
        <f>IFERROR(INDEX([7]TL!$X$12:$X$200,MATCH(B262,[7]TL!$B$12:$B$200,0)),"0")</f>
        <v>898363.63636363577</v>
      </c>
      <c r="Y262" s="663">
        <f t="shared" si="50"/>
        <v>7486363.6363636358</v>
      </c>
      <c r="Z262" s="664">
        <f t="shared" si="51"/>
        <v>4.1590909090909092</v>
      </c>
      <c r="AA262" s="662">
        <v>1800000</v>
      </c>
      <c r="AB262" s="663">
        <f t="shared" si="52"/>
        <v>7486363.6363636367</v>
      </c>
      <c r="AC262" s="568">
        <f t="shared" si="49"/>
        <v>242</v>
      </c>
      <c r="AD262" s="493">
        <f>IFERROR(INDEX('[6]CN BC'!$M$10:$M$276,MATCH(B262,'[6]CN BC'!$H$10:$H$276,0)),"")</f>
        <v>0</v>
      </c>
      <c r="AE262" s="536"/>
      <c r="AH262" s="487"/>
    </row>
    <row r="263" spans="1:40" s="372" customFormat="1" ht="30.75" customHeight="1">
      <c r="A263" s="379">
        <f>_xlfn.AGGREGATE(4,7,A$19:A262)+1</f>
        <v>243</v>
      </c>
      <c r="B263" s="363" t="s">
        <v>1546</v>
      </c>
      <c r="C263" s="364" t="s">
        <v>469</v>
      </c>
      <c r="D263" s="434" t="s">
        <v>1812</v>
      </c>
      <c r="E263" s="423" t="s">
        <v>473</v>
      </c>
      <c r="F263" s="373">
        <v>3.66</v>
      </c>
      <c r="G263" s="367"/>
      <c r="H263" s="368">
        <f t="shared" si="56"/>
        <v>3.66</v>
      </c>
      <c r="I263" s="368"/>
      <c r="J263" s="368" t="str">
        <f>VLOOKUP(B263,[4]CN!$B$33:$J$365,9,FALSE)</f>
        <v>Giảng viên khoa Động lực</v>
      </c>
      <c r="K263" s="369">
        <f t="shared" si="57"/>
        <v>3.66</v>
      </c>
      <c r="L263" s="362">
        <f t="shared" si="58"/>
        <v>6588000</v>
      </c>
      <c r="M263" s="366" t="str">
        <f>VLOOKUP(B263,'[5]Gui chi Quynh'!$B$11:$E$400,4,FALSE)</f>
        <v>A4</v>
      </c>
      <c r="N263" s="494">
        <f t="shared" si="47"/>
        <v>6588000</v>
      </c>
      <c r="O263" s="376">
        <v>9</v>
      </c>
      <c r="P263" s="440">
        <f>IFERROR(INDEX('[6]CN BC'!$J$10:$J$277,MATCH(B263,'[6]CN BC'!$H$10:$H$277,0)),"")</f>
        <v>9</v>
      </c>
      <c r="Q263" s="494">
        <f t="shared" si="54"/>
        <v>6588000</v>
      </c>
      <c r="R263" s="460"/>
      <c r="S263" s="362">
        <f t="shared" si="46"/>
        <v>0</v>
      </c>
      <c r="T263" s="370"/>
      <c r="U263" s="362">
        <f t="shared" si="55"/>
        <v>0</v>
      </c>
      <c r="V263" s="584">
        <f t="shared" si="48"/>
        <v>65880</v>
      </c>
      <c r="W263" s="371">
        <f t="shared" si="53"/>
        <v>6588000</v>
      </c>
      <c r="X263" s="440">
        <f>IFERROR(INDEX([7]TL!$X$12:$X$200,MATCH(B263,[7]TL!$B$12:$B$200,0)),"0")</f>
        <v>1078036.3636363642</v>
      </c>
      <c r="Y263" s="663">
        <f t="shared" si="50"/>
        <v>7666036.3636363642</v>
      </c>
      <c r="Z263" s="664">
        <f t="shared" si="51"/>
        <v>4.258909090909091</v>
      </c>
      <c r="AA263" s="662">
        <v>1800000</v>
      </c>
      <c r="AB263" s="663">
        <f t="shared" si="52"/>
        <v>7666036.3636363633</v>
      </c>
      <c r="AC263" s="568">
        <f t="shared" si="49"/>
        <v>243</v>
      </c>
      <c r="AD263" s="493">
        <f>IFERROR(INDEX('[6]CN BC'!$M$10:$M$276,MATCH(B263,'[6]CN BC'!$H$10:$H$276,0)),"")</f>
        <v>0</v>
      </c>
      <c r="AE263" s="141"/>
      <c r="AF263" s="471"/>
      <c r="AG263" s="108"/>
      <c r="AH263" s="155"/>
      <c r="AI263" s="108"/>
      <c r="AJ263" s="108"/>
      <c r="AK263" s="108"/>
      <c r="AL263" s="108"/>
      <c r="AM263" s="108"/>
      <c r="AN263" s="108"/>
    </row>
    <row r="264" spans="1:40" s="372" customFormat="1" ht="30.75" customHeight="1">
      <c r="A264" s="379">
        <f>_xlfn.AGGREGATE(4,7,A$19:A263)+1</f>
        <v>244</v>
      </c>
      <c r="B264" s="363" t="s">
        <v>1547</v>
      </c>
      <c r="C264" s="364" t="s">
        <v>1196</v>
      </c>
      <c r="D264" s="434" t="s">
        <v>1813</v>
      </c>
      <c r="E264" s="365" t="s">
        <v>490</v>
      </c>
      <c r="F264" s="373">
        <v>3.66</v>
      </c>
      <c r="G264" s="367"/>
      <c r="H264" s="445">
        <f t="shared" si="56"/>
        <v>3.66</v>
      </c>
      <c r="I264" s="368"/>
      <c r="J264" s="368" t="str">
        <f>VLOOKUP(B264,[4]CN!$B$33:$J$365,9,FALSE)</f>
        <v>Giảng viên khoa Động lực</v>
      </c>
      <c r="K264" s="369">
        <f t="shared" si="57"/>
        <v>3.66</v>
      </c>
      <c r="L264" s="362">
        <f t="shared" si="58"/>
        <v>6588000</v>
      </c>
      <c r="M264" s="366" t="str">
        <f>VLOOKUP(B264,'[5]Gui chi Quynh'!$B$11:$E$400,4,FALSE)</f>
        <v>A4</v>
      </c>
      <c r="N264" s="494">
        <f t="shared" si="47"/>
        <v>6588000</v>
      </c>
      <c r="O264" s="376">
        <v>9</v>
      </c>
      <c r="P264" s="440">
        <f>IFERROR(INDEX('[6]CN BC'!$J$10:$J$277,MATCH(B264,'[6]CN BC'!$H$10:$H$277,0)),"")</f>
        <v>9</v>
      </c>
      <c r="Q264" s="494">
        <f t="shared" si="54"/>
        <v>6588000</v>
      </c>
      <c r="R264" s="460"/>
      <c r="S264" s="362">
        <f t="shared" si="46"/>
        <v>0</v>
      </c>
      <c r="T264" s="370"/>
      <c r="U264" s="362">
        <f t="shared" si="55"/>
        <v>0</v>
      </c>
      <c r="V264" s="584">
        <f t="shared" si="48"/>
        <v>65880</v>
      </c>
      <c r="W264" s="371">
        <f t="shared" si="53"/>
        <v>6588000</v>
      </c>
      <c r="X264" s="440">
        <f>IFERROR(INDEX([7]TL!$X$12:$X$200,MATCH(B264,[7]TL!$B$12:$B$200,0)),"0")</f>
        <v>1078036.3636363642</v>
      </c>
      <c r="Y264" s="663">
        <f t="shared" si="50"/>
        <v>7666036.3636363642</v>
      </c>
      <c r="Z264" s="664">
        <f t="shared" si="51"/>
        <v>4.258909090909091</v>
      </c>
      <c r="AA264" s="662">
        <v>1800000</v>
      </c>
      <c r="AB264" s="663">
        <f t="shared" si="52"/>
        <v>7666036.3636363633</v>
      </c>
      <c r="AC264" s="568">
        <f t="shared" si="49"/>
        <v>244</v>
      </c>
      <c r="AD264" s="493">
        <f>IFERROR(INDEX('[6]CN BC'!$M$10:$M$276,MATCH(B264,'[6]CN BC'!$H$10:$H$276,0)),"")</f>
        <v>0</v>
      </c>
      <c r="AE264" s="141"/>
      <c r="AF264" s="108"/>
      <c r="AG264" s="108"/>
      <c r="AH264" s="155"/>
      <c r="AI264" s="108"/>
      <c r="AJ264" s="108"/>
      <c r="AK264" s="108"/>
      <c r="AL264" s="108"/>
      <c r="AM264" s="108"/>
      <c r="AN264" s="108"/>
    </row>
    <row r="265" spans="1:40" s="372" customFormat="1" ht="30.75" customHeight="1">
      <c r="A265" s="379">
        <f>_xlfn.AGGREGATE(4,7,A$19:A264)+1</f>
        <v>245</v>
      </c>
      <c r="B265" s="363" t="s">
        <v>1919</v>
      </c>
      <c r="C265" s="364" t="s">
        <v>755</v>
      </c>
      <c r="D265" s="434" t="s">
        <v>1814</v>
      </c>
      <c r="E265" s="423" t="s">
        <v>750</v>
      </c>
      <c r="F265" s="373">
        <v>3.33</v>
      </c>
      <c r="G265" s="367"/>
      <c r="H265" s="445">
        <f t="shared" si="56"/>
        <v>3.33</v>
      </c>
      <c r="I265" s="368"/>
      <c r="J265" s="368" t="str">
        <f>VLOOKUP(B265,[4]CN!$B$33:$J$365,9,FALSE)</f>
        <v>Giảng viên khoa Động lực</v>
      </c>
      <c r="K265" s="369">
        <f t="shared" si="57"/>
        <v>3.33</v>
      </c>
      <c r="L265" s="362">
        <f t="shared" si="58"/>
        <v>5994000</v>
      </c>
      <c r="M265" s="366" t="str">
        <f>VLOOKUP(B265,'[5]Gui chi Quynh'!$B$11:$E$400,4,FALSE)</f>
        <v>A4</v>
      </c>
      <c r="N265" s="494">
        <f t="shared" si="47"/>
        <v>5994000</v>
      </c>
      <c r="O265" s="376">
        <v>9</v>
      </c>
      <c r="P265" s="440">
        <f>IFERROR(INDEX('[6]CN BC'!$J$10:$J$277,MATCH(B265,'[6]CN BC'!$H$10:$H$277,0)),"")</f>
        <v>9</v>
      </c>
      <c r="Q265" s="494">
        <f t="shared" si="54"/>
        <v>5994000</v>
      </c>
      <c r="R265" s="392"/>
      <c r="S265" s="362">
        <f t="shared" si="46"/>
        <v>0</v>
      </c>
      <c r="T265" s="370"/>
      <c r="U265" s="362">
        <f t="shared" si="55"/>
        <v>0</v>
      </c>
      <c r="V265" s="584">
        <f t="shared" si="48"/>
        <v>59940</v>
      </c>
      <c r="W265" s="371">
        <f t="shared" si="53"/>
        <v>5994000</v>
      </c>
      <c r="X265" s="440">
        <f>IFERROR(INDEX([7]TL!$X$12:$X$200,MATCH(B265,[7]TL!$B$12:$B$200,0)),"0")</f>
        <v>980836.36363636423</v>
      </c>
      <c r="Y265" s="663">
        <f t="shared" si="50"/>
        <v>6974836.3636363642</v>
      </c>
      <c r="Z265" s="664">
        <f t="shared" si="51"/>
        <v>3.8749090909090911</v>
      </c>
      <c r="AA265" s="662">
        <v>1800000</v>
      </c>
      <c r="AB265" s="663">
        <f t="shared" si="52"/>
        <v>6974836.3636363642</v>
      </c>
      <c r="AC265" s="568">
        <f t="shared" si="49"/>
        <v>245</v>
      </c>
      <c r="AD265" s="493">
        <f>IFERROR(INDEX('[6]CN BC'!$M$10:$M$276,MATCH(B265,'[6]CN BC'!$H$10:$H$276,0)),"")</f>
        <v>0</v>
      </c>
      <c r="AE265" s="141"/>
      <c r="AF265" s="108"/>
      <c r="AG265" s="108"/>
      <c r="AH265" s="155"/>
      <c r="AI265" s="108"/>
      <c r="AJ265" s="108"/>
      <c r="AK265" s="108"/>
      <c r="AL265" s="108"/>
      <c r="AM265" s="108"/>
      <c r="AN265" s="108"/>
    </row>
    <row r="266" spans="1:40" s="372" customFormat="1" ht="30.75" customHeight="1">
      <c r="A266" s="379">
        <f>_xlfn.AGGREGATE(4,7,A$19:A265)+1</f>
        <v>246</v>
      </c>
      <c r="B266" s="363" t="s">
        <v>1548</v>
      </c>
      <c r="C266" s="364" t="s">
        <v>889</v>
      </c>
      <c r="D266" s="434" t="s">
        <v>1815</v>
      </c>
      <c r="E266" s="423" t="s">
        <v>752</v>
      </c>
      <c r="F266" s="373">
        <v>3.66</v>
      </c>
      <c r="G266" s="367"/>
      <c r="H266" s="445">
        <f t="shared" si="56"/>
        <v>3.66</v>
      </c>
      <c r="I266" s="368"/>
      <c r="J266" s="368" t="str">
        <f>VLOOKUP(B266,[4]CN!$B$33:$J$365,9,FALSE)</f>
        <v>Giảng viên khoa Động lực</v>
      </c>
      <c r="K266" s="369">
        <f t="shared" si="57"/>
        <v>3.66</v>
      </c>
      <c r="L266" s="362">
        <f t="shared" si="58"/>
        <v>6588000</v>
      </c>
      <c r="M266" s="366" t="str">
        <f>VLOOKUP(B266,'[5]Gui chi Quynh'!$B$11:$E$400,4,FALSE)</f>
        <v>A4</v>
      </c>
      <c r="N266" s="494">
        <f t="shared" si="47"/>
        <v>6588000</v>
      </c>
      <c r="O266" s="376">
        <v>9</v>
      </c>
      <c r="P266" s="440">
        <f>IFERROR(INDEX('[6]CN BC'!$J$10:$J$277,MATCH(B266,'[6]CN BC'!$H$10:$H$277,0)),"")</f>
        <v>9</v>
      </c>
      <c r="Q266" s="494">
        <f t="shared" si="54"/>
        <v>6588000</v>
      </c>
      <c r="R266" s="460"/>
      <c r="S266" s="362">
        <f t="shared" si="46"/>
        <v>0</v>
      </c>
      <c r="T266" s="370"/>
      <c r="U266" s="362">
        <f t="shared" si="55"/>
        <v>0</v>
      </c>
      <c r="V266" s="584">
        <f t="shared" si="48"/>
        <v>65880</v>
      </c>
      <c r="W266" s="371">
        <f t="shared" si="53"/>
        <v>6588000</v>
      </c>
      <c r="X266" s="440">
        <f>IFERROR(INDEX([7]TL!$X$12:$X$200,MATCH(B266,[7]TL!$B$12:$B$200,0)),"0")</f>
        <v>898363.63636363577</v>
      </c>
      <c r="Y266" s="663">
        <f t="shared" si="50"/>
        <v>7486363.6363636358</v>
      </c>
      <c r="Z266" s="664">
        <f t="shared" si="51"/>
        <v>4.1590909090909092</v>
      </c>
      <c r="AA266" s="662">
        <v>1800000</v>
      </c>
      <c r="AB266" s="663">
        <f t="shared" si="52"/>
        <v>7486363.6363636367</v>
      </c>
      <c r="AC266" s="568">
        <f t="shared" si="49"/>
        <v>246</v>
      </c>
      <c r="AD266" s="493">
        <f>IFERROR(INDEX('[6]CN BC'!$M$10:$M$276,MATCH(B266,'[6]CN BC'!$H$10:$H$276,0)),"")</f>
        <v>0</v>
      </c>
      <c r="AE266" s="536"/>
      <c r="AH266" s="487"/>
    </row>
    <row r="267" spans="1:40" s="372" customFormat="1" ht="30.75" customHeight="1">
      <c r="A267" s="379">
        <f>_xlfn.AGGREGATE(4,7,A$19:A266)+1</f>
        <v>247</v>
      </c>
      <c r="B267" s="363" t="s">
        <v>1549</v>
      </c>
      <c r="C267" s="364" t="s">
        <v>1428</v>
      </c>
      <c r="D267" s="434" t="s">
        <v>1816</v>
      </c>
      <c r="E267" s="422" t="s">
        <v>1429</v>
      </c>
      <c r="F267" s="463">
        <v>3.33</v>
      </c>
      <c r="G267" s="367"/>
      <c r="H267" s="445">
        <f t="shared" si="56"/>
        <v>3.33</v>
      </c>
      <c r="I267" s="368">
        <v>0.25</v>
      </c>
      <c r="J267" s="368" t="str">
        <f>VLOOKUP(B267,[4]CN!$B$33:$J$365,9,FALSE)</f>
        <v>Giảng viên khoa Động lực</v>
      </c>
      <c r="K267" s="369">
        <f t="shared" si="57"/>
        <v>3.58</v>
      </c>
      <c r="L267" s="362">
        <f t="shared" si="58"/>
        <v>6444000</v>
      </c>
      <c r="M267" s="366" t="str">
        <f>VLOOKUP(B267,'[5]Gui chi Quynh'!$B$11:$E$400,4,FALSE)</f>
        <v>A4</v>
      </c>
      <c r="N267" s="494">
        <f t="shared" si="47"/>
        <v>6444000</v>
      </c>
      <c r="O267" s="376">
        <v>9</v>
      </c>
      <c r="P267" s="440">
        <f>IFERROR(INDEX('[6]CN BC'!$J$10:$J$277,MATCH(B267,'[6]CN BC'!$H$10:$H$277,0)),"")</f>
        <v>9</v>
      </c>
      <c r="Q267" s="494">
        <f t="shared" si="54"/>
        <v>6444000</v>
      </c>
      <c r="R267" s="460"/>
      <c r="S267" s="362">
        <f t="shared" si="46"/>
        <v>0</v>
      </c>
      <c r="T267" s="370"/>
      <c r="U267" s="362">
        <f t="shared" si="55"/>
        <v>0</v>
      </c>
      <c r="V267" s="584">
        <f t="shared" si="48"/>
        <v>64440</v>
      </c>
      <c r="W267" s="371">
        <f t="shared" si="53"/>
        <v>6444000</v>
      </c>
      <c r="X267" s="440">
        <f>IFERROR(INDEX([7]TL!$X$12:$X$200,MATCH(B267,[7]TL!$B$12:$B$200,0)),"0")</f>
        <v>1054472.7272727266</v>
      </c>
      <c r="Y267" s="663">
        <f t="shared" si="50"/>
        <v>7498472.7272727266</v>
      </c>
      <c r="Z267" s="664">
        <f t="shared" si="51"/>
        <v>4.1658181818181816</v>
      </c>
      <c r="AA267" s="662">
        <v>1800000</v>
      </c>
      <c r="AB267" s="663">
        <f t="shared" si="52"/>
        <v>7498472.7272727266</v>
      </c>
      <c r="AC267" s="568">
        <f t="shared" si="49"/>
        <v>247</v>
      </c>
      <c r="AD267" s="493">
        <f>IFERROR(INDEX('[6]CN BC'!$M$10:$M$276,MATCH(B267,'[6]CN BC'!$H$10:$H$276,0)),"")</f>
        <v>0</v>
      </c>
      <c r="AE267" s="141"/>
      <c r="AF267" s="108"/>
      <c r="AG267" s="108"/>
      <c r="AH267" s="155"/>
      <c r="AI267" s="108"/>
      <c r="AJ267" s="108"/>
      <c r="AK267" s="108"/>
      <c r="AL267" s="108"/>
      <c r="AM267" s="108"/>
      <c r="AN267" s="108"/>
    </row>
    <row r="268" spans="1:40" s="372" customFormat="1" ht="30.75" customHeight="1">
      <c r="A268" s="379">
        <f>_xlfn.AGGREGATE(4,7,A$19:A267)+1</f>
        <v>248</v>
      </c>
      <c r="B268" s="363" t="s">
        <v>1550</v>
      </c>
      <c r="C268" s="364" t="s">
        <v>1428</v>
      </c>
      <c r="D268" s="434" t="s">
        <v>1817</v>
      </c>
      <c r="E268" s="422" t="s">
        <v>1430</v>
      </c>
      <c r="F268" s="463">
        <v>3.33</v>
      </c>
      <c r="G268" s="367"/>
      <c r="H268" s="445">
        <f t="shared" si="56"/>
        <v>3.33</v>
      </c>
      <c r="I268" s="368"/>
      <c r="J268" s="368" t="str">
        <f>VLOOKUP(B268,[4]CN!$B$33:$J$365,9,FALSE)</f>
        <v>Giảng viên khoa Động lực</v>
      </c>
      <c r="K268" s="369">
        <f t="shared" si="57"/>
        <v>3.33</v>
      </c>
      <c r="L268" s="362">
        <f t="shared" si="58"/>
        <v>5994000</v>
      </c>
      <c r="M268" s="366" t="str">
        <f>VLOOKUP(B268,'[5]Gui chi Quynh'!$B$11:$E$400,4,FALSE)</f>
        <v>A4</v>
      </c>
      <c r="N268" s="494">
        <f t="shared" si="47"/>
        <v>5994000</v>
      </c>
      <c r="O268" s="376">
        <v>9</v>
      </c>
      <c r="P268" s="440">
        <f>IFERROR(INDEX('[6]CN BC'!$J$10:$J$277,MATCH(B268,'[6]CN BC'!$H$10:$H$277,0)),"")</f>
        <v>9</v>
      </c>
      <c r="Q268" s="494">
        <f t="shared" si="54"/>
        <v>5994000</v>
      </c>
      <c r="R268" s="392"/>
      <c r="S268" s="362">
        <f t="shared" si="46"/>
        <v>0</v>
      </c>
      <c r="T268" s="370"/>
      <c r="U268" s="362">
        <f t="shared" si="55"/>
        <v>0</v>
      </c>
      <c r="V268" s="584">
        <f t="shared" si="48"/>
        <v>59940</v>
      </c>
      <c r="W268" s="371">
        <f t="shared" si="53"/>
        <v>5994000</v>
      </c>
      <c r="X268" s="440">
        <f>IFERROR(INDEX([7]TL!$X$12:$X$200,MATCH(B268,[7]TL!$B$12:$B$200,0)),"0")</f>
        <v>980836.36363636423</v>
      </c>
      <c r="Y268" s="663">
        <f t="shared" si="50"/>
        <v>6974836.3636363642</v>
      </c>
      <c r="Z268" s="664">
        <f t="shared" si="51"/>
        <v>3.8749090909090911</v>
      </c>
      <c r="AA268" s="662">
        <v>1800000</v>
      </c>
      <c r="AB268" s="663">
        <f t="shared" si="52"/>
        <v>6974836.3636363642</v>
      </c>
      <c r="AC268" s="568">
        <f t="shared" si="49"/>
        <v>248</v>
      </c>
      <c r="AD268" s="493">
        <f>IFERROR(INDEX('[6]CN BC'!$M$10:$M$276,MATCH(B268,'[6]CN BC'!$H$10:$H$276,0)),"")</f>
        <v>0</v>
      </c>
      <c r="AE268" s="141"/>
      <c r="AF268" s="471"/>
      <c r="AG268" s="108"/>
      <c r="AH268" s="155"/>
      <c r="AI268" s="108"/>
      <c r="AJ268" s="108"/>
      <c r="AK268" s="108"/>
      <c r="AL268" s="108"/>
      <c r="AM268" s="108"/>
      <c r="AN268" s="108"/>
    </row>
    <row r="269" spans="1:40" s="372" customFormat="1" ht="30.75" customHeight="1">
      <c r="A269" s="379">
        <f>_xlfn.AGGREGATE(4,7,A$19:A268)+1</f>
        <v>249</v>
      </c>
      <c r="B269" s="363" t="s">
        <v>1836</v>
      </c>
      <c r="C269" s="364"/>
      <c r="D269" s="434" t="s">
        <v>1976</v>
      </c>
      <c r="E269" s="481" t="s">
        <v>1977</v>
      </c>
      <c r="F269" s="365">
        <v>2.67</v>
      </c>
      <c r="G269" s="367"/>
      <c r="H269" s="368">
        <f t="shared" si="56"/>
        <v>2.67</v>
      </c>
      <c r="I269" s="368"/>
      <c r="J269" s="368" t="str">
        <f>VLOOKUP(B269,[4]CN!$B$33:$J$365,9,FALSE)</f>
        <v>Giảng viên khoa Động lực</v>
      </c>
      <c r="K269" s="369">
        <f t="shared" si="57"/>
        <v>2.67</v>
      </c>
      <c r="L269" s="362">
        <f t="shared" si="58"/>
        <v>4806000</v>
      </c>
      <c r="M269" s="366" t="str">
        <f>VLOOKUP(B269,'[5]Gui chi Quynh'!$B$11:$E$400,4,FALSE)</f>
        <v>A4</v>
      </c>
      <c r="N269" s="494">
        <f t="shared" si="47"/>
        <v>4806000</v>
      </c>
      <c r="O269" s="376">
        <v>9</v>
      </c>
      <c r="P269" s="440">
        <f>IFERROR(INDEX('[6]CN BC'!$J$10:$J$277,MATCH(B269,'[6]CN BC'!$H$10:$H$277,0)),"")</f>
        <v>9</v>
      </c>
      <c r="Q269" s="494">
        <f t="shared" si="54"/>
        <v>4806000</v>
      </c>
      <c r="R269" s="460"/>
      <c r="S269" s="362">
        <f t="shared" si="46"/>
        <v>0</v>
      </c>
      <c r="T269" s="370"/>
      <c r="U269" s="362">
        <f t="shared" si="55"/>
        <v>0</v>
      </c>
      <c r="V269" s="584">
        <f t="shared" si="48"/>
        <v>48060</v>
      </c>
      <c r="W269" s="371">
        <f t="shared" si="53"/>
        <v>4806000</v>
      </c>
      <c r="X269" s="440">
        <f>IFERROR(INDEX([7]TL!$X$12:$X$200,MATCH(B269,[7]TL!$B$12:$B$200,0)),"0")</f>
        <v>655363.6363636367</v>
      </c>
      <c r="Y269" s="663">
        <f t="shared" si="50"/>
        <v>5461363.6363636367</v>
      </c>
      <c r="Z269" s="664">
        <f t="shared" si="51"/>
        <v>3.0340909090909092</v>
      </c>
      <c r="AA269" s="662">
        <v>1800000</v>
      </c>
      <c r="AB269" s="663">
        <f t="shared" si="52"/>
        <v>5461363.6363636367</v>
      </c>
      <c r="AC269" s="568">
        <f t="shared" si="49"/>
        <v>249</v>
      </c>
      <c r="AD269" s="493">
        <f>IFERROR(INDEX('[6]CN BC'!$M$10:$M$276,MATCH(B269,'[6]CN BC'!$H$10:$H$276,0)),"")</f>
        <v>0</v>
      </c>
      <c r="AE269" s="141"/>
      <c r="AF269" s="471"/>
      <c r="AG269" s="108"/>
      <c r="AH269" s="155"/>
      <c r="AI269" s="108"/>
      <c r="AJ269" s="108"/>
      <c r="AK269" s="108"/>
      <c r="AL269" s="108"/>
      <c r="AM269" s="108"/>
      <c r="AN269" s="108"/>
    </row>
    <row r="270" spans="1:40" s="372" customFormat="1" ht="30.75" customHeight="1">
      <c r="A270" s="379">
        <f>_xlfn.AGGREGATE(4,7,A$19:A269)+1</f>
        <v>250</v>
      </c>
      <c r="B270" s="363" t="s">
        <v>1837</v>
      </c>
      <c r="C270" s="364"/>
      <c r="D270" s="434" t="s">
        <v>1978</v>
      </c>
      <c r="E270" s="481" t="s">
        <v>1979</v>
      </c>
      <c r="F270" s="365">
        <v>2.67</v>
      </c>
      <c r="G270" s="367"/>
      <c r="H270" s="368">
        <f t="shared" si="56"/>
        <v>2.67</v>
      </c>
      <c r="I270" s="368"/>
      <c r="J270" s="368" t="str">
        <f>VLOOKUP(B270,[4]CN!$B$33:$J$365,9,FALSE)</f>
        <v>Giảng viên khoa Động lực</v>
      </c>
      <c r="K270" s="369">
        <f t="shared" si="57"/>
        <v>2.67</v>
      </c>
      <c r="L270" s="362">
        <f t="shared" si="58"/>
        <v>4806000</v>
      </c>
      <c r="M270" s="366" t="str">
        <f>VLOOKUP(B270,'[5]Gui chi Quynh'!$B$11:$E$400,4,FALSE)</f>
        <v>A4</v>
      </c>
      <c r="N270" s="494">
        <f t="shared" si="47"/>
        <v>4806000</v>
      </c>
      <c r="O270" s="376">
        <v>9</v>
      </c>
      <c r="P270" s="440">
        <f>IFERROR(INDEX('[6]CN BC'!$J$10:$J$277,MATCH(B270,'[6]CN BC'!$H$10:$H$277,0)),"")</f>
        <v>9</v>
      </c>
      <c r="Q270" s="494">
        <f t="shared" si="54"/>
        <v>4806000</v>
      </c>
      <c r="R270" s="392"/>
      <c r="S270" s="362">
        <f t="shared" si="46"/>
        <v>0</v>
      </c>
      <c r="T270" s="370"/>
      <c r="U270" s="362">
        <f t="shared" si="55"/>
        <v>0</v>
      </c>
      <c r="V270" s="584">
        <f t="shared" si="48"/>
        <v>48060</v>
      </c>
      <c r="W270" s="371">
        <f t="shared" si="53"/>
        <v>4806000</v>
      </c>
      <c r="X270" s="440">
        <f>IFERROR(INDEX([7]TL!$X$12:$X$200,MATCH(B270,[7]TL!$B$12:$B$200,0)),"0")</f>
        <v>786436.36363636423</v>
      </c>
      <c r="Y270" s="663">
        <f t="shared" si="50"/>
        <v>5592436.3636363642</v>
      </c>
      <c r="Z270" s="664">
        <f t="shared" si="51"/>
        <v>3.1069090909090913</v>
      </c>
      <c r="AA270" s="662">
        <v>1800000</v>
      </c>
      <c r="AB270" s="663">
        <f t="shared" si="52"/>
        <v>5592436.3636363642</v>
      </c>
      <c r="AC270" s="568">
        <f t="shared" si="49"/>
        <v>250</v>
      </c>
      <c r="AD270" s="493">
        <f>IFERROR(INDEX('[6]CN BC'!$M$10:$M$276,MATCH(B270,'[6]CN BC'!$H$10:$H$276,0)),"")</f>
        <v>0</v>
      </c>
      <c r="AE270" s="141"/>
      <c r="AF270" s="471"/>
      <c r="AG270" s="108"/>
      <c r="AH270" s="155"/>
      <c r="AI270" s="108"/>
      <c r="AJ270" s="108"/>
      <c r="AK270" s="108"/>
      <c r="AL270" s="108"/>
      <c r="AM270" s="108"/>
      <c r="AN270" s="108"/>
    </row>
    <row r="271" spans="1:40" s="372" customFormat="1" ht="30.75" customHeight="1">
      <c r="A271" s="379">
        <f>_xlfn.AGGREGATE(4,7,A$19:A270)+1</f>
        <v>251</v>
      </c>
      <c r="B271" s="390" t="s">
        <v>1839</v>
      </c>
      <c r="C271" s="364"/>
      <c r="D271" s="434" t="s">
        <v>1980</v>
      </c>
      <c r="E271" s="481" t="s">
        <v>1981</v>
      </c>
      <c r="F271" s="463">
        <v>3</v>
      </c>
      <c r="G271" s="367"/>
      <c r="H271" s="368">
        <f t="shared" si="56"/>
        <v>3</v>
      </c>
      <c r="I271" s="368"/>
      <c r="J271" s="368" t="str">
        <f>VLOOKUP(B271,[4]CN!$B$33:$J$365,9,FALSE)</f>
        <v>Giảng viên khoa Động lực</v>
      </c>
      <c r="K271" s="369">
        <f t="shared" si="57"/>
        <v>3</v>
      </c>
      <c r="L271" s="362">
        <f t="shared" si="58"/>
        <v>5400000</v>
      </c>
      <c r="M271" s="366" t="str">
        <f>VLOOKUP(B271,'[5]Gui chi Quynh'!$B$11:$E$400,4,FALSE)</f>
        <v>A4</v>
      </c>
      <c r="N271" s="494">
        <f t="shared" si="47"/>
        <v>5400000</v>
      </c>
      <c r="O271" s="376">
        <v>9</v>
      </c>
      <c r="P271" s="440">
        <f>IFERROR(INDEX('[6]CN BC'!$J$10:$J$277,MATCH(B271,'[6]CN BC'!$H$10:$H$277,0)),"")</f>
        <v>9</v>
      </c>
      <c r="Q271" s="494">
        <f t="shared" si="54"/>
        <v>5400000</v>
      </c>
      <c r="R271" s="392"/>
      <c r="S271" s="362">
        <f t="shared" ref="S271:S288" si="59">R271*$G$15*1</f>
        <v>0</v>
      </c>
      <c r="T271" s="370"/>
      <c r="U271" s="362">
        <f t="shared" si="55"/>
        <v>0</v>
      </c>
      <c r="V271" s="584">
        <f t="shared" si="48"/>
        <v>54000</v>
      </c>
      <c r="W271" s="371">
        <f t="shared" si="53"/>
        <v>5400000</v>
      </c>
      <c r="X271" s="440">
        <f>IFERROR(INDEX([7]TL!$X$12:$X$200,MATCH(B271,[7]TL!$B$12:$B$200,0)),"0")</f>
        <v>883636.36363636423</v>
      </c>
      <c r="Y271" s="663">
        <f t="shared" si="50"/>
        <v>6283636.3636363642</v>
      </c>
      <c r="Z271" s="664">
        <f t="shared" si="51"/>
        <v>3.4909090909090912</v>
      </c>
      <c r="AA271" s="662">
        <v>1800000</v>
      </c>
      <c r="AB271" s="663">
        <f t="shared" si="52"/>
        <v>6283636.3636363642</v>
      </c>
      <c r="AC271" s="568">
        <f t="shared" si="49"/>
        <v>251</v>
      </c>
      <c r="AD271" s="493">
        <f>IFERROR(INDEX('[6]CN BC'!$M$10:$M$276,MATCH(B271,'[6]CN BC'!$H$10:$H$276,0)),"")</f>
        <v>0</v>
      </c>
      <c r="AE271" s="141"/>
      <c r="AF271" s="471"/>
      <c r="AG271" s="108"/>
      <c r="AH271" s="155"/>
      <c r="AI271" s="108"/>
      <c r="AJ271" s="108"/>
      <c r="AK271" s="108"/>
      <c r="AL271" s="108"/>
      <c r="AM271" s="108"/>
      <c r="AN271" s="108"/>
    </row>
    <row r="272" spans="1:40" s="372" customFormat="1" ht="30.75" customHeight="1">
      <c r="A272" s="379">
        <f>_xlfn.AGGREGATE(4,7,A$19:A271)+1</f>
        <v>252</v>
      </c>
      <c r="B272" s="390" t="s">
        <v>1844</v>
      </c>
      <c r="C272" s="364"/>
      <c r="D272" s="434" t="s">
        <v>1982</v>
      </c>
      <c r="E272" s="481" t="s">
        <v>1983</v>
      </c>
      <c r="F272" s="463">
        <v>3.66</v>
      </c>
      <c r="G272" s="367"/>
      <c r="H272" s="368">
        <f t="shared" si="56"/>
        <v>3.66</v>
      </c>
      <c r="I272" s="368"/>
      <c r="J272" s="368" t="str">
        <f>VLOOKUP(B272,[4]CN!$B$33:$J$365,9,FALSE)</f>
        <v>Giảng viên khoa Động lực</v>
      </c>
      <c r="K272" s="369">
        <f t="shared" si="57"/>
        <v>3.66</v>
      </c>
      <c r="L272" s="362">
        <f t="shared" si="58"/>
        <v>6588000</v>
      </c>
      <c r="M272" s="366" t="str">
        <f>VLOOKUP(B272,'[5]Gui chi Quynh'!$B$11:$E$400,4,FALSE)</f>
        <v>A4</v>
      </c>
      <c r="N272" s="494">
        <f t="shared" si="47"/>
        <v>6588000</v>
      </c>
      <c r="O272" s="376">
        <v>9</v>
      </c>
      <c r="P272" s="440">
        <f>IFERROR(INDEX('[6]CN BC'!$J$10:$J$277,MATCH(B272,'[6]CN BC'!$H$10:$H$277,0)),"")</f>
        <v>9</v>
      </c>
      <c r="Q272" s="494">
        <f t="shared" si="54"/>
        <v>6588000</v>
      </c>
      <c r="R272" s="460"/>
      <c r="S272" s="362">
        <f t="shared" si="59"/>
        <v>0</v>
      </c>
      <c r="T272" s="370"/>
      <c r="U272" s="362">
        <f t="shared" si="55"/>
        <v>0</v>
      </c>
      <c r="V272" s="584">
        <f t="shared" si="48"/>
        <v>65880</v>
      </c>
      <c r="W272" s="371">
        <f t="shared" si="53"/>
        <v>6588000</v>
      </c>
      <c r="X272" s="440">
        <f>IFERROR(INDEX([7]TL!$X$12:$X$200,MATCH(B272,[7]TL!$B$12:$B$200,0)),"0")</f>
        <v>1078036.3636363642</v>
      </c>
      <c r="Y272" s="663">
        <f t="shared" si="50"/>
        <v>7666036.3636363642</v>
      </c>
      <c r="Z272" s="664">
        <f t="shared" si="51"/>
        <v>4.258909090909091</v>
      </c>
      <c r="AA272" s="662">
        <v>1800000</v>
      </c>
      <c r="AB272" s="663">
        <f t="shared" si="52"/>
        <v>7666036.3636363633</v>
      </c>
      <c r="AC272" s="568">
        <f t="shared" si="49"/>
        <v>252</v>
      </c>
      <c r="AD272" s="493">
        <f>IFERROR(INDEX('[6]CN BC'!$M$10:$M$276,MATCH(B272,'[6]CN BC'!$H$10:$H$276,0)),"")</f>
        <v>0</v>
      </c>
      <c r="AE272" s="141"/>
      <c r="AF272" s="471"/>
      <c r="AG272" s="108"/>
      <c r="AH272" s="155"/>
      <c r="AI272" s="108"/>
      <c r="AJ272" s="108"/>
      <c r="AK272" s="108"/>
      <c r="AL272" s="108"/>
      <c r="AM272" s="108"/>
      <c r="AN272" s="108"/>
    </row>
    <row r="273" spans="1:44" s="372" customFormat="1" ht="30.75" customHeight="1">
      <c r="A273" s="379">
        <f>_xlfn.AGGREGATE(4,7,A$19:A272)+1</f>
        <v>253</v>
      </c>
      <c r="B273" s="390" t="s">
        <v>1926</v>
      </c>
      <c r="C273" s="364"/>
      <c r="D273" s="434" t="s">
        <v>1984</v>
      </c>
      <c r="E273" s="477" t="s">
        <v>1985</v>
      </c>
      <c r="F273" s="473">
        <v>2.34</v>
      </c>
      <c r="G273" s="367"/>
      <c r="H273" s="368">
        <f t="shared" si="56"/>
        <v>2.34</v>
      </c>
      <c r="I273" s="368"/>
      <c r="J273" s="368" t="str">
        <f>VLOOKUP(B273,[4]CN!$B$33:$J$365,9,FALSE)</f>
        <v>Giảng viên khoa Động lực</v>
      </c>
      <c r="K273" s="369">
        <f t="shared" si="57"/>
        <v>2.34</v>
      </c>
      <c r="L273" s="362">
        <f t="shared" si="58"/>
        <v>4212000</v>
      </c>
      <c r="M273" s="366" t="str">
        <f>VLOOKUP(B273,'[5]Gui chi Quynh'!$B$11:$E$400,4,FALSE)</f>
        <v>A4</v>
      </c>
      <c r="N273" s="494">
        <f t="shared" si="47"/>
        <v>4212000</v>
      </c>
      <c r="O273" s="376">
        <v>9</v>
      </c>
      <c r="P273" s="440">
        <f>IFERROR(INDEX('[6]CN BC'!$J$10:$J$277,MATCH(B273,'[6]CN BC'!$H$10:$H$277,0)),"")</f>
        <v>9</v>
      </c>
      <c r="Q273" s="494">
        <f t="shared" si="54"/>
        <v>4212000</v>
      </c>
      <c r="R273" s="460"/>
      <c r="S273" s="362">
        <f t="shared" si="59"/>
        <v>0</v>
      </c>
      <c r="T273" s="370"/>
      <c r="U273" s="362">
        <f t="shared" si="55"/>
        <v>0</v>
      </c>
      <c r="V273" s="584">
        <f t="shared" si="48"/>
        <v>42120</v>
      </c>
      <c r="W273" s="371">
        <f t="shared" si="53"/>
        <v>4212000</v>
      </c>
      <c r="X273" s="440">
        <f>IFERROR(INDEX([7]TL!$X$12:$X$200,MATCH(B273,[7]TL!$B$12:$B$200,0)),"0")</f>
        <v>689236.3636363633</v>
      </c>
      <c r="Y273" s="663">
        <f t="shared" si="50"/>
        <v>4901236.3636363633</v>
      </c>
      <c r="Z273" s="664">
        <f t="shared" si="51"/>
        <v>2.7229090909090905</v>
      </c>
      <c r="AA273" s="662">
        <v>1800000</v>
      </c>
      <c r="AB273" s="663">
        <f t="shared" si="52"/>
        <v>4901236.3636363633</v>
      </c>
      <c r="AC273" s="568">
        <f t="shared" si="49"/>
        <v>253</v>
      </c>
      <c r="AD273" s="493">
        <f>IFERROR(INDEX('[6]CN BC'!$M$10:$M$276,MATCH(B273,'[6]CN BC'!$H$10:$H$276,0)),"")</f>
        <v>0</v>
      </c>
      <c r="AE273" s="141"/>
      <c r="AF273" s="471"/>
      <c r="AG273" s="108"/>
      <c r="AH273" s="155"/>
      <c r="AI273" s="108"/>
      <c r="AJ273" s="108"/>
      <c r="AK273" s="108"/>
      <c r="AL273" s="108"/>
      <c r="AM273" s="108"/>
      <c r="AN273" s="108"/>
    </row>
    <row r="274" spans="1:44" s="372" customFormat="1" ht="30.75" customHeight="1">
      <c r="A274" s="379">
        <f>_xlfn.AGGREGATE(4,7,A$19:A273)+1</f>
        <v>254</v>
      </c>
      <c r="B274" s="390" t="s">
        <v>1927</v>
      </c>
      <c r="C274" s="364"/>
      <c r="D274" s="434" t="s">
        <v>1986</v>
      </c>
      <c r="E274" s="422" t="s">
        <v>1987</v>
      </c>
      <c r="F274" s="473">
        <v>2.34</v>
      </c>
      <c r="G274" s="367"/>
      <c r="H274" s="368">
        <f t="shared" si="56"/>
        <v>2.34</v>
      </c>
      <c r="I274" s="368"/>
      <c r="J274" s="368" t="str">
        <f>VLOOKUP(B274,[4]CN!$B$33:$J$365,9,FALSE)</f>
        <v>Giảng viên khoa Động lực</v>
      </c>
      <c r="K274" s="369">
        <f t="shared" si="57"/>
        <v>2.34</v>
      </c>
      <c r="L274" s="362">
        <f t="shared" si="58"/>
        <v>4212000</v>
      </c>
      <c r="M274" s="366" t="str">
        <f>VLOOKUP(B274,'[5]Gui chi Quynh'!$B$11:$E$400,4,FALSE)</f>
        <v>A4</v>
      </c>
      <c r="N274" s="494">
        <f t="shared" si="47"/>
        <v>4212000</v>
      </c>
      <c r="O274" s="376">
        <v>9</v>
      </c>
      <c r="P274" s="440">
        <f>IFERROR(INDEX('[6]CN BC'!$J$10:$J$277,MATCH(B274,'[6]CN BC'!$H$10:$H$277,0)),"")</f>
        <v>9</v>
      </c>
      <c r="Q274" s="494">
        <f t="shared" si="54"/>
        <v>4212000</v>
      </c>
      <c r="R274" s="460"/>
      <c r="S274" s="362">
        <f t="shared" si="59"/>
        <v>0</v>
      </c>
      <c r="T274" s="370"/>
      <c r="U274" s="362">
        <f t="shared" si="55"/>
        <v>0</v>
      </c>
      <c r="V274" s="584">
        <f t="shared" si="48"/>
        <v>42120</v>
      </c>
      <c r="W274" s="371">
        <f t="shared" si="53"/>
        <v>4212000</v>
      </c>
      <c r="X274" s="440">
        <f>IFERROR(INDEX([7]TL!$X$12:$X$200,MATCH(B274,[7]TL!$B$12:$B$200,0)),"0")</f>
        <v>689236.3636363633</v>
      </c>
      <c r="Y274" s="663">
        <f t="shared" si="50"/>
        <v>4901236.3636363633</v>
      </c>
      <c r="Z274" s="664">
        <f t="shared" si="51"/>
        <v>2.7229090909090905</v>
      </c>
      <c r="AA274" s="662">
        <v>1800000</v>
      </c>
      <c r="AB274" s="663">
        <f t="shared" si="52"/>
        <v>4901236.3636363633</v>
      </c>
      <c r="AC274" s="568">
        <f t="shared" si="49"/>
        <v>254</v>
      </c>
      <c r="AD274" s="493">
        <f>IFERROR(INDEX('[6]CN BC'!$M$10:$M$276,MATCH(B274,'[6]CN BC'!$H$10:$H$276,0)),"")</f>
        <v>0</v>
      </c>
      <c r="AE274" s="536"/>
      <c r="AF274" s="541"/>
      <c r="AH274" s="487"/>
    </row>
    <row r="275" spans="1:44" s="372" customFormat="1" ht="30.75" customHeight="1">
      <c r="A275" s="379">
        <f>_xlfn.AGGREGATE(4,7,A$19:A274)+1</f>
        <v>255</v>
      </c>
      <c r="B275" s="390" t="s">
        <v>1941</v>
      </c>
      <c r="C275" s="364"/>
      <c r="D275" s="434" t="s">
        <v>1989</v>
      </c>
      <c r="E275" s="477" t="s">
        <v>1988</v>
      </c>
      <c r="F275" s="473">
        <v>2.34</v>
      </c>
      <c r="G275" s="367"/>
      <c r="H275" s="368">
        <f t="shared" si="56"/>
        <v>2.34</v>
      </c>
      <c r="I275" s="368"/>
      <c r="J275" s="368" t="str">
        <f>VLOOKUP(B275,[4]CN!$B$33:$J$365,9,FALSE)</f>
        <v>Giảng viên khoa Động lực</v>
      </c>
      <c r="K275" s="369">
        <f t="shared" si="57"/>
        <v>2.34</v>
      </c>
      <c r="L275" s="362">
        <f t="shared" si="58"/>
        <v>4212000</v>
      </c>
      <c r="M275" s="366" t="str">
        <f>VLOOKUP(B275,'[5]Gui chi Quynh'!$B$11:$E$400,4,FALSE)</f>
        <v>A4</v>
      </c>
      <c r="N275" s="494">
        <f t="shared" si="47"/>
        <v>4212000</v>
      </c>
      <c r="O275" s="376">
        <v>9</v>
      </c>
      <c r="P275" s="440">
        <f>IFERROR(INDEX('[6]CN BC'!$J$10:$J$277,MATCH(B275,'[6]CN BC'!$H$10:$H$277,0)),"")</f>
        <v>9</v>
      </c>
      <c r="Q275" s="494">
        <f t="shared" si="54"/>
        <v>4212000</v>
      </c>
      <c r="R275" s="460"/>
      <c r="S275" s="362">
        <f t="shared" si="59"/>
        <v>0</v>
      </c>
      <c r="T275" s="370"/>
      <c r="U275" s="362">
        <f t="shared" si="55"/>
        <v>0</v>
      </c>
      <c r="V275" s="584">
        <f t="shared" si="48"/>
        <v>42120</v>
      </c>
      <c r="W275" s="371">
        <f t="shared" si="53"/>
        <v>4212000</v>
      </c>
      <c r="X275" s="440">
        <f>IFERROR(INDEX([7]TL!$X$12:$X$200,MATCH(B275,[7]TL!$B$12:$B$200,0)),"0")</f>
        <v>689236.3636363633</v>
      </c>
      <c r="Y275" s="663">
        <f t="shared" si="50"/>
        <v>4901236.3636363633</v>
      </c>
      <c r="Z275" s="664">
        <f t="shared" si="51"/>
        <v>2.7229090909090905</v>
      </c>
      <c r="AA275" s="662">
        <v>1800000</v>
      </c>
      <c r="AB275" s="663">
        <f t="shared" si="52"/>
        <v>4901236.3636363633</v>
      </c>
      <c r="AC275" s="568">
        <f t="shared" si="49"/>
        <v>255</v>
      </c>
      <c r="AD275" s="493">
        <f>IFERROR(INDEX('[6]CN BC'!$M$10:$M$276,MATCH(B275,'[6]CN BC'!$H$10:$H$276,0)),"")</f>
        <v>0</v>
      </c>
      <c r="AE275" s="141"/>
      <c r="AF275" s="471"/>
      <c r="AG275" s="108"/>
      <c r="AH275" s="155"/>
      <c r="AI275" s="108"/>
      <c r="AJ275" s="108"/>
      <c r="AK275" s="108"/>
      <c r="AL275" s="108"/>
      <c r="AM275" s="108"/>
      <c r="AN275" s="108"/>
    </row>
    <row r="276" spans="1:44" s="372" customFormat="1" ht="30.75" customHeight="1">
      <c r="A276" s="379">
        <f>_xlfn.AGGREGATE(4,7,A$19:A275)+1</f>
        <v>256</v>
      </c>
      <c r="B276" s="390" t="s">
        <v>1942</v>
      </c>
      <c r="C276" s="364"/>
      <c r="D276" s="434" t="s">
        <v>1990</v>
      </c>
      <c r="E276" s="422"/>
      <c r="F276" s="473">
        <v>2.34</v>
      </c>
      <c r="G276" s="367"/>
      <c r="H276" s="368">
        <f t="shared" si="56"/>
        <v>2.34</v>
      </c>
      <c r="I276" s="368"/>
      <c r="J276" s="368" t="str">
        <f>VLOOKUP(B276,[4]CN!$B$33:$J$365,9,FALSE)</f>
        <v>Giảng viên khoa Động lực</v>
      </c>
      <c r="K276" s="369">
        <f t="shared" si="57"/>
        <v>2.34</v>
      </c>
      <c r="L276" s="362">
        <f t="shared" si="58"/>
        <v>4212000</v>
      </c>
      <c r="M276" s="366" t="str">
        <f>VLOOKUP(B276,'[5]Gui chi Quynh'!$B$11:$E$400,4,FALSE)</f>
        <v>A4</v>
      </c>
      <c r="N276" s="494">
        <f t="shared" si="47"/>
        <v>4212000</v>
      </c>
      <c r="O276" s="376">
        <v>9</v>
      </c>
      <c r="P276" s="440">
        <f>IFERROR(INDEX('[6]CN BC'!$J$10:$J$277,MATCH(B276,'[6]CN BC'!$H$10:$H$277,0)),"")</f>
        <v>9</v>
      </c>
      <c r="Q276" s="494">
        <f t="shared" si="54"/>
        <v>4212000</v>
      </c>
      <c r="R276" s="460"/>
      <c r="S276" s="362">
        <f t="shared" si="59"/>
        <v>0</v>
      </c>
      <c r="T276" s="370"/>
      <c r="U276" s="362">
        <f t="shared" si="55"/>
        <v>0</v>
      </c>
      <c r="V276" s="584">
        <f t="shared" si="48"/>
        <v>42120</v>
      </c>
      <c r="W276" s="371">
        <f t="shared" si="53"/>
        <v>4212000</v>
      </c>
      <c r="X276" s="440">
        <f>IFERROR(INDEX([7]TL!$X$12:$X$200,MATCH(B276,[7]TL!$B$12:$B$200,0)),"0")</f>
        <v>574363.6363636367</v>
      </c>
      <c r="Y276" s="663">
        <f t="shared" si="50"/>
        <v>4786363.6363636367</v>
      </c>
      <c r="Z276" s="664">
        <f t="shared" si="51"/>
        <v>2.6590909090909092</v>
      </c>
      <c r="AA276" s="662">
        <v>1800000</v>
      </c>
      <c r="AB276" s="663">
        <f t="shared" si="52"/>
        <v>4786363.6363636367</v>
      </c>
      <c r="AC276" s="568">
        <f t="shared" si="49"/>
        <v>256</v>
      </c>
      <c r="AD276" s="493">
        <f>IFERROR(INDEX('[6]CN BC'!$M$10:$M$276,MATCH(B276,'[6]CN BC'!$H$10:$H$276,0)),"")</f>
        <v>0</v>
      </c>
      <c r="AE276" s="141"/>
      <c r="AF276" s="471"/>
      <c r="AG276" s="108"/>
      <c r="AH276" s="155"/>
      <c r="AI276" s="108"/>
      <c r="AJ276" s="108"/>
      <c r="AK276" s="108"/>
      <c r="AL276" s="108"/>
      <c r="AM276" s="108"/>
      <c r="AN276" s="108"/>
    </row>
    <row r="277" spans="1:44" s="372" customFormat="1" ht="30.75" customHeight="1">
      <c r="A277" s="379">
        <f>_xlfn.AGGREGATE(4,7,A$19:A276)+1</f>
        <v>257</v>
      </c>
      <c r="B277" s="390" t="s">
        <v>1945</v>
      </c>
      <c r="C277" s="364"/>
      <c r="D277" s="379" t="s">
        <v>1948</v>
      </c>
      <c r="E277" s="422" t="s">
        <v>1949</v>
      </c>
      <c r="F277" s="473">
        <v>3.33</v>
      </c>
      <c r="G277" s="367"/>
      <c r="H277" s="445">
        <f t="shared" si="56"/>
        <v>3.33</v>
      </c>
      <c r="I277" s="368"/>
      <c r="J277" s="368" t="str">
        <f>VLOOKUP(B277,[4]CN!$B$33:$J$365,9,FALSE)</f>
        <v>Giảng viên khoa Động lực</v>
      </c>
      <c r="K277" s="369">
        <f t="shared" si="57"/>
        <v>3.33</v>
      </c>
      <c r="L277" s="362">
        <f t="shared" si="58"/>
        <v>5994000</v>
      </c>
      <c r="M277" s="366" t="str">
        <f>VLOOKUP(B277,'[5]Gui chi Quynh'!$B$11:$E$400,4,FALSE)</f>
        <v>A4</v>
      </c>
      <c r="N277" s="494">
        <f t="shared" ref="N277:N288" si="60">IF(M277="A1",L277*1.6,IF(M277="A2",L277*1.4,IF(M277="A3",L277*1.2,IF(M277="A4",L277*1,IF(M277="B1",L277*0.7,IF(M277="B2",L277*0.5,IF(M277="C1",L277*0.3,IF(M277="C2",L277*0.2,0))))))))</f>
        <v>5994000</v>
      </c>
      <c r="O277" s="376">
        <v>9</v>
      </c>
      <c r="P277" s="440">
        <f>IFERROR(INDEX('[6]CN BC'!$J$10:$J$277,MATCH(B277,'[6]CN BC'!$H$10:$H$277,0)),"")</f>
        <v>9</v>
      </c>
      <c r="Q277" s="494">
        <f t="shared" si="54"/>
        <v>5994000</v>
      </c>
      <c r="R277" s="460"/>
      <c r="S277" s="362">
        <f t="shared" si="59"/>
        <v>0</v>
      </c>
      <c r="T277" s="370"/>
      <c r="U277" s="362">
        <f t="shared" si="55"/>
        <v>0</v>
      </c>
      <c r="V277" s="584">
        <f t="shared" si="48"/>
        <v>59940</v>
      </c>
      <c r="W277" s="371">
        <f t="shared" si="53"/>
        <v>5994000</v>
      </c>
      <c r="X277" s="440">
        <f>IFERROR(INDEX([7]TL!$X$12:$X$200,MATCH(B277,[7]TL!$B$12:$B$200,0)),"0")</f>
        <v>817363.63636363577</v>
      </c>
      <c r="Y277" s="663">
        <f t="shared" si="50"/>
        <v>6811363.6363636358</v>
      </c>
      <c r="Z277" s="664">
        <f t="shared" si="51"/>
        <v>3.7840909090909087</v>
      </c>
      <c r="AA277" s="662">
        <v>1800000</v>
      </c>
      <c r="AB277" s="663">
        <f t="shared" si="52"/>
        <v>6811363.6363636358</v>
      </c>
      <c r="AC277" s="568">
        <f t="shared" si="49"/>
        <v>257</v>
      </c>
      <c r="AD277" s="493">
        <f>IFERROR(INDEX('[6]CN BC'!$M$10:$M$276,MATCH(B277,'[6]CN BC'!$H$10:$H$276,0)),"")</f>
        <v>0</v>
      </c>
      <c r="AE277" s="141"/>
      <c r="AF277" s="471"/>
      <c r="AG277" s="108"/>
      <c r="AH277" s="487"/>
    </row>
    <row r="278" spans="1:44" s="372" customFormat="1" ht="30.75" customHeight="1">
      <c r="A278" s="379">
        <f>_xlfn.AGGREGATE(4,7,A$19:A277)+1</f>
        <v>258</v>
      </c>
      <c r="B278" s="390" t="s">
        <v>2003</v>
      </c>
      <c r="C278" s="364"/>
      <c r="D278" s="379"/>
      <c r="E278" s="422"/>
      <c r="F278" s="463">
        <v>3.33</v>
      </c>
      <c r="G278" s="367"/>
      <c r="H278" s="445">
        <f t="shared" si="56"/>
        <v>3.33</v>
      </c>
      <c r="I278" s="368"/>
      <c r="J278" s="368" t="str">
        <f>VLOOKUP(B278,[4]CN!$B$33:$J$365,9,FALSE)</f>
        <v>Giảng viên khoa Động lực</v>
      </c>
      <c r="K278" s="369">
        <f t="shared" si="57"/>
        <v>3.33</v>
      </c>
      <c r="L278" s="362">
        <f t="shared" si="58"/>
        <v>5994000</v>
      </c>
      <c r="M278" s="366" t="str">
        <f>VLOOKUP(B278,'[5]Gui chi Quynh'!$B$11:$E$400,4,FALSE)</f>
        <v>A4</v>
      </c>
      <c r="N278" s="494">
        <f t="shared" si="60"/>
        <v>5994000</v>
      </c>
      <c r="O278" s="376">
        <v>9</v>
      </c>
      <c r="P278" s="440">
        <f>IFERROR(INDEX('[6]CN BC'!$J$10:$J$277,MATCH(B278,'[6]CN BC'!$H$10:$H$277,0)),"")</f>
        <v>9</v>
      </c>
      <c r="Q278" s="494">
        <f t="shared" si="54"/>
        <v>5994000</v>
      </c>
      <c r="R278" s="460"/>
      <c r="S278" s="362">
        <f t="shared" si="59"/>
        <v>0</v>
      </c>
      <c r="T278" s="370"/>
      <c r="U278" s="362">
        <f t="shared" si="55"/>
        <v>0</v>
      </c>
      <c r="V278" s="584">
        <f t="shared" si="48"/>
        <v>59940</v>
      </c>
      <c r="W278" s="371">
        <f t="shared" si="53"/>
        <v>5994000</v>
      </c>
      <c r="X278" s="440">
        <f>IFERROR(INDEX([7]TL!$X$12:$X$200,MATCH(B278,[7]TL!$B$12:$B$200,0)),"0")</f>
        <v>817363.63636363577</v>
      </c>
      <c r="Y278" s="663">
        <f t="shared" ref="Y278:Y288" si="61">W278+X278</f>
        <v>6811363.6363636358</v>
      </c>
      <c r="Z278" s="664">
        <f t="shared" ref="Z278:Z343" si="62">Y278/AA278</f>
        <v>3.7840909090909087</v>
      </c>
      <c r="AA278" s="662">
        <v>1800000</v>
      </c>
      <c r="AB278" s="663">
        <f t="shared" ref="AB278:AB343" si="63">Z278*AA278</f>
        <v>6811363.6363636358</v>
      </c>
      <c r="AC278" s="568">
        <f t="shared" si="49"/>
        <v>258</v>
      </c>
      <c r="AD278" s="493">
        <f>IFERROR(INDEX('[6]CN BC'!$M$10:$M$276,MATCH(B278,'[6]CN BC'!$H$10:$H$276,0)),"")</f>
        <v>0</v>
      </c>
      <c r="AE278" s="141"/>
      <c r="AF278" s="471"/>
      <c r="AG278" s="108"/>
      <c r="AH278" s="487"/>
    </row>
    <row r="279" spans="1:44" s="372" customFormat="1" ht="30.75" customHeight="1">
      <c r="A279" s="379">
        <f>_xlfn.AGGREGATE(4,7,A$19:A278)+1</f>
        <v>259</v>
      </c>
      <c r="B279" s="390" t="s">
        <v>2010</v>
      </c>
      <c r="C279" s="364"/>
      <c r="D279" s="379"/>
      <c r="E279" s="422"/>
      <c r="F279" s="463">
        <v>1.9890000000000001</v>
      </c>
      <c r="G279" s="367"/>
      <c r="H279" s="445">
        <f t="shared" si="56"/>
        <v>1.9890000000000001</v>
      </c>
      <c r="I279" s="368"/>
      <c r="J279" s="368" t="str">
        <f>VLOOKUP(B279,[4]CN!$B$33:$J$365,9,FALSE)</f>
        <v>Giảng viên khoa Động lực</v>
      </c>
      <c r="K279" s="369">
        <f t="shared" si="57"/>
        <v>1.9890000000000001</v>
      </c>
      <c r="L279" s="362">
        <f t="shared" si="58"/>
        <v>3580200</v>
      </c>
      <c r="M279" s="366" t="str">
        <f>VLOOKUP(B279,'[5]Gui chi Quynh'!$B$11:$E$400,4,FALSE)</f>
        <v>A4</v>
      </c>
      <c r="N279" s="494">
        <f t="shared" si="60"/>
        <v>3580200</v>
      </c>
      <c r="O279" s="376">
        <v>9</v>
      </c>
      <c r="P279" s="440">
        <f>IFERROR(INDEX('[6]CN BC'!$J$10:$J$277,MATCH(B279,'[6]CN BC'!$H$10:$H$277,0)),"")</f>
        <v>9</v>
      </c>
      <c r="Q279" s="494">
        <f t="shared" si="54"/>
        <v>3580200</v>
      </c>
      <c r="R279" s="460"/>
      <c r="S279" s="362">
        <f t="shared" si="59"/>
        <v>0</v>
      </c>
      <c r="T279" s="370"/>
      <c r="U279" s="362">
        <f t="shared" si="55"/>
        <v>0</v>
      </c>
      <c r="V279" s="584">
        <f t="shared" si="48"/>
        <v>35802</v>
      </c>
      <c r="W279" s="371">
        <f t="shared" si="53"/>
        <v>3580200</v>
      </c>
      <c r="X279" s="440">
        <f>IFERROR(INDEX([7]TL!$X$12:$X$200,MATCH(B279,[7]TL!$B$12:$B$200,0)),"0")</f>
        <v>585850.90909090918</v>
      </c>
      <c r="Y279" s="663">
        <f t="shared" si="61"/>
        <v>4166050.9090909092</v>
      </c>
      <c r="Z279" s="664">
        <f t="shared" si="62"/>
        <v>2.3144727272727272</v>
      </c>
      <c r="AA279" s="662">
        <v>1800000</v>
      </c>
      <c r="AB279" s="663">
        <f t="shared" si="63"/>
        <v>4166050.9090909092</v>
      </c>
      <c r="AC279" s="568">
        <f t="shared" si="49"/>
        <v>259</v>
      </c>
      <c r="AD279" s="493">
        <f>IFERROR(INDEX('[6]CN BC'!$M$10:$M$276,MATCH(B279,'[6]CN BC'!$H$10:$H$276,0)),"")</f>
        <v>0</v>
      </c>
      <c r="AE279" s="536"/>
      <c r="AF279" s="541"/>
      <c r="AH279" s="487"/>
    </row>
    <row r="280" spans="1:44" s="372" customFormat="1" ht="30.75" customHeight="1">
      <c r="A280" s="379">
        <f>_xlfn.AGGREGATE(4,7,A$19:A279)+1</f>
        <v>260</v>
      </c>
      <c r="B280" s="363" t="s">
        <v>1554</v>
      </c>
      <c r="C280" s="364" t="s">
        <v>1197</v>
      </c>
      <c r="D280" s="434" t="s">
        <v>1818</v>
      </c>
      <c r="E280" s="435" t="s">
        <v>1570</v>
      </c>
      <c r="F280" s="373">
        <v>3.66</v>
      </c>
      <c r="G280" s="367"/>
      <c r="H280" s="445">
        <f t="shared" si="56"/>
        <v>3.66</v>
      </c>
      <c r="I280" s="447">
        <v>0.45</v>
      </c>
      <c r="J280" s="368" t="str">
        <f>VLOOKUP(B280,[4]CN!$B$33:$J$365,9,FALSE)</f>
        <v>Phó TK, Phụ trách khoa Nhiệt - Lạnh</v>
      </c>
      <c r="K280" s="369">
        <f t="shared" si="57"/>
        <v>4.1100000000000003</v>
      </c>
      <c r="L280" s="362">
        <f t="shared" si="58"/>
        <v>7398000.0000000009</v>
      </c>
      <c r="M280" s="366" t="str">
        <f>VLOOKUP(B280,'[5]Gui chi Quynh'!$B$11:$E$400,4,FALSE)</f>
        <v>A3</v>
      </c>
      <c r="N280" s="494">
        <f t="shared" si="60"/>
        <v>8877600</v>
      </c>
      <c r="O280" s="376">
        <v>9</v>
      </c>
      <c r="P280" s="440">
        <f>IFERROR(INDEX('[6]CN BC'!$J$10:$J$277,MATCH(B280,'[6]CN BC'!$H$10:$H$277,0)),"")</f>
        <v>9</v>
      </c>
      <c r="Q280" s="494">
        <f t="shared" si="54"/>
        <v>8877600</v>
      </c>
      <c r="R280" s="460"/>
      <c r="S280" s="362">
        <f t="shared" si="59"/>
        <v>0</v>
      </c>
      <c r="T280" s="370"/>
      <c r="U280" s="362">
        <f t="shared" si="55"/>
        <v>0</v>
      </c>
      <c r="V280" s="584">
        <f t="shared" si="48"/>
        <v>73980</v>
      </c>
      <c r="W280" s="371">
        <f t="shared" si="53"/>
        <v>8877600</v>
      </c>
      <c r="X280" s="440">
        <f>IFERROR(INDEX([7]TL!$X$12:$X$200,MATCH(B280,[7]TL!$B$12:$B$200,0)),"0")</f>
        <v>1210581.8181818184</v>
      </c>
      <c r="Y280" s="663">
        <f t="shared" si="61"/>
        <v>10088181.818181818</v>
      </c>
      <c r="Z280" s="664">
        <f t="shared" si="62"/>
        <v>5.6045454545454545</v>
      </c>
      <c r="AA280" s="662">
        <v>1800000</v>
      </c>
      <c r="AB280" s="663">
        <f t="shared" si="63"/>
        <v>10088181.818181818</v>
      </c>
      <c r="AC280" s="568">
        <f t="shared" si="49"/>
        <v>260</v>
      </c>
      <c r="AD280" s="493">
        <f>IFERROR(INDEX('[6]CN BC'!$M$10:$M$276,MATCH(B280,'[6]CN BC'!$H$10:$H$276,0)),"")</f>
        <v>0</v>
      </c>
      <c r="AE280" s="141"/>
      <c r="AF280" s="108"/>
      <c r="AG280" s="108"/>
      <c r="AH280" s="155"/>
      <c r="AI280" s="108"/>
      <c r="AJ280" s="108"/>
      <c r="AK280" s="108"/>
      <c r="AL280" s="108"/>
      <c r="AM280" s="108"/>
      <c r="AN280" s="108"/>
    </row>
    <row r="281" spans="1:44" s="372" customFormat="1" ht="30.75" customHeight="1">
      <c r="A281" s="379">
        <f>_xlfn.AGGREGATE(4,7,A$19:A280)+1</f>
        <v>261</v>
      </c>
      <c r="B281" s="363" t="s">
        <v>1920</v>
      </c>
      <c r="C281" s="364" t="s">
        <v>1051</v>
      </c>
      <c r="D281" s="434" t="s">
        <v>1819</v>
      </c>
      <c r="E281" s="423" t="s">
        <v>1414</v>
      </c>
      <c r="F281" s="366">
        <v>4.6500000000000004</v>
      </c>
      <c r="G281" s="367"/>
      <c r="H281" s="368">
        <f t="shared" si="56"/>
        <v>4.6500000000000004</v>
      </c>
      <c r="I281" s="472">
        <v>0.25</v>
      </c>
      <c r="J281" s="368" t="str">
        <f>VLOOKUP(B281,[4]CN!$B$33:$J$365,9,FALSE)</f>
        <v>Giảng viên khoa Nhiệt - Lạnh</v>
      </c>
      <c r="K281" s="369">
        <f t="shared" si="57"/>
        <v>4.9000000000000004</v>
      </c>
      <c r="L281" s="362">
        <f t="shared" si="58"/>
        <v>8820000</v>
      </c>
      <c r="M281" s="366" t="str">
        <f>VLOOKUP(B281,'[5]Gui chi Quynh'!$B$11:$E$400,4,FALSE)</f>
        <v>A3</v>
      </c>
      <c r="N281" s="494">
        <f t="shared" si="60"/>
        <v>10584000</v>
      </c>
      <c r="O281" s="376">
        <v>9</v>
      </c>
      <c r="P281" s="440">
        <f>IFERROR(INDEX('[6]CN BC'!$J$10:$J$277,MATCH(B281,'[6]CN BC'!$H$10:$H$277,0)),"")</f>
        <v>9</v>
      </c>
      <c r="Q281" s="494">
        <f t="shared" si="54"/>
        <v>10584000</v>
      </c>
      <c r="R281" s="460"/>
      <c r="S281" s="362">
        <f t="shared" si="59"/>
        <v>0</v>
      </c>
      <c r="T281" s="370"/>
      <c r="U281" s="362">
        <f t="shared" si="55"/>
        <v>0</v>
      </c>
      <c r="V281" s="584">
        <f t="shared" si="48"/>
        <v>88200</v>
      </c>
      <c r="W281" s="371">
        <f t="shared" ref="W281:W288" si="64">(Q281+S281+U281)</f>
        <v>10584000</v>
      </c>
      <c r="X281" s="440">
        <f>IFERROR(INDEX([7]TL!$X$12:$X$200,MATCH(B281,[7]TL!$B$12:$B$200,0)),"0")</f>
        <v>1443272.7272727266</v>
      </c>
      <c r="Y281" s="663">
        <f t="shared" si="61"/>
        <v>12027272.727272727</v>
      </c>
      <c r="Z281" s="664">
        <f t="shared" si="62"/>
        <v>6.6818181818181817</v>
      </c>
      <c r="AA281" s="662">
        <v>1800000</v>
      </c>
      <c r="AB281" s="663">
        <f t="shared" si="63"/>
        <v>12027272.727272727</v>
      </c>
      <c r="AC281" s="568">
        <f t="shared" si="49"/>
        <v>261</v>
      </c>
      <c r="AD281" s="493">
        <f>IFERROR(INDEX('[6]CN BC'!$M$10:$M$276,MATCH(B281,'[6]CN BC'!$H$10:$H$276,0)),"")</f>
        <v>0</v>
      </c>
      <c r="AE281" s="141"/>
      <c r="AF281" s="108"/>
      <c r="AG281" s="108"/>
      <c r="AH281" s="155"/>
      <c r="AI281" s="108"/>
      <c r="AJ281" s="108"/>
      <c r="AK281" s="108"/>
      <c r="AL281" s="108"/>
      <c r="AM281" s="108"/>
      <c r="AN281" s="108"/>
    </row>
    <row r="282" spans="1:44" s="372" customFormat="1" ht="30.75" customHeight="1">
      <c r="A282" s="379">
        <f>_xlfn.AGGREGATE(4,7,A$19:A281)+1</f>
        <v>262</v>
      </c>
      <c r="B282" s="363" t="s">
        <v>1921</v>
      </c>
      <c r="C282" s="364" t="s">
        <v>1083</v>
      </c>
      <c r="D282" s="406" t="s">
        <v>1820</v>
      </c>
      <c r="E282" s="423" t="s">
        <v>1415</v>
      </c>
      <c r="F282" s="366">
        <v>4.6500000000000004</v>
      </c>
      <c r="G282" s="367"/>
      <c r="H282" s="368">
        <f t="shared" si="56"/>
        <v>4.6500000000000004</v>
      </c>
      <c r="I282" s="395">
        <v>0.25</v>
      </c>
      <c r="J282" s="368" t="str">
        <f>VLOOKUP(B282,[4]CN!$B$33:$J$365,9,FALSE)</f>
        <v>Giảng viên khoa Nhiệt - Lạnh</v>
      </c>
      <c r="K282" s="369">
        <f t="shared" si="57"/>
        <v>4.9000000000000004</v>
      </c>
      <c r="L282" s="362">
        <f t="shared" si="58"/>
        <v>8820000</v>
      </c>
      <c r="M282" s="366" t="str">
        <f>VLOOKUP(B282,'[5]Gui chi Quynh'!$B$11:$E$400,4,FALSE)</f>
        <v>A3</v>
      </c>
      <c r="N282" s="494">
        <f t="shared" si="60"/>
        <v>10584000</v>
      </c>
      <c r="O282" s="376">
        <v>9</v>
      </c>
      <c r="P282" s="440">
        <f>IFERROR(INDEX('[6]CN BC'!$J$10:$J$277,MATCH(B282,'[6]CN BC'!$H$10:$H$277,0)),"")</f>
        <v>9</v>
      </c>
      <c r="Q282" s="494">
        <f t="shared" si="54"/>
        <v>10584000</v>
      </c>
      <c r="R282" s="392"/>
      <c r="S282" s="362">
        <f t="shared" si="59"/>
        <v>0</v>
      </c>
      <c r="T282" s="385"/>
      <c r="U282" s="362">
        <f t="shared" si="55"/>
        <v>0</v>
      </c>
      <c r="V282" s="584">
        <f t="shared" si="48"/>
        <v>88200</v>
      </c>
      <c r="W282" s="371">
        <f t="shared" si="64"/>
        <v>10584000</v>
      </c>
      <c r="X282" s="440">
        <f>IFERROR(INDEX([7]TL!$X$12:$X$200,MATCH(B282,[7]TL!$B$12:$B$200,0)),"0")</f>
        <v>1443272.7272727266</v>
      </c>
      <c r="Y282" s="663">
        <f t="shared" si="61"/>
        <v>12027272.727272727</v>
      </c>
      <c r="Z282" s="664">
        <f t="shared" si="62"/>
        <v>6.6818181818181817</v>
      </c>
      <c r="AA282" s="662">
        <v>1800000</v>
      </c>
      <c r="AB282" s="663">
        <f t="shared" si="63"/>
        <v>12027272.727272727</v>
      </c>
      <c r="AC282" s="568">
        <f t="shared" si="49"/>
        <v>262</v>
      </c>
      <c r="AD282" s="493">
        <f>IFERROR(INDEX('[6]CN BC'!$M$10:$M$276,MATCH(B282,'[6]CN BC'!$H$10:$H$276,0)),"")</f>
        <v>0</v>
      </c>
      <c r="AE282" s="141"/>
      <c r="AF282" s="108"/>
      <c r="AG282" s="108"/>
      <c r="AH282" s="155"/>
      <c r="AI282" s="108"/>
      <c r="AJ282" s="108"/>
      <c r="AK282" s="108"/>
      <c r="AL282" s="108"/>
      <c r="AM282" s="108"/>
      <c r="AN282" s="108"/>
      <c r="AO282" s="108"/>
      <c r="AP282" s="108"/>
      <c r="AQ282" s="108"/>
      <c r="AR282" s="108"/>
    </row>
    <row r="283" spans="1:44" s="372" customFormat="1" ht="30.75" customHeight="1">
      <c r="A283" s="379">
        <f>_xlfn.AGGREGATE(4,7,A$19:A282)+1</f>
        <v>263</v>
      </c>
      <c r="B283" s="363" t="s">
        <v>1922</v>
      </c>
      <c r="C283" s="364" t="s">
        <v>863</v>
      </c>
      <c r="D283" s="434" t="s">
        <v>1821</v>
      </c>
      <c r="E283" s="423" t="s">
        <v>392</v>
      </c>
      <c r="F283" s="373">
        <v>3.66</v>
      </c>
      <c r="G283" s="367"/>
      <c r="H283" s="368">
        <f t="shared" si="56"/>
        <v>3.66</v>
      </c>
      <c r="I283" s="368"/>
      <c r="J283" s="368" t="str">
        <f>VLOOKUP(B283,[4]CN!$B$33:$J$365,9,FALSE)</f>
        <v>Giảng viên khoa Nhiệt - Lạnh</v>
      </c>
      <c r="K283" s="369">
        <f t="shared" si="57"/>
        <v>3.66</v>
      </c>
      <c r="L283" s="362">
        <f t="shared" si="58"/>
        <v>6588000</v>
      </c>
      <c r="M283" s="366" t="str">
        <f>VLOOKUP(B283,'[5]Gui chi Quynh'!$B$11:$E$400,4,FALSE)</f>
        <v>A4</v>
      </c>
      <c r="N283" s="494">
        <f t="shared" si="60"/>
        <v>6588000</v>
      </c>
      <c r="O283" s="366">
        <v>9</v>
      </c>
      <c r="P283" s="467">
        <f>IFERROR(INDEX('[6]CN BC'!$J$10:$J$277,MATCH(B283,'[6]CN BC'!$H$10:$H$277,0)),"")</f>
        <v>9</v>
      </c>
      <c r="Q283" s="494">
        <f t="shared" si="54"/>
        <v>6588000</v>
      </c>
      <c r="R283" s="460"/>
      <c r="S283" s="362">
        <f t="shared" si="59"/>
        <v>0</v>
      </c>
      <c r="T283" s="370"/>
      <c r="U283" s="362">
        <f t="shared" si="55"/>
        <v>0</v>
      </c>
      <c r="V283" s="362">
        <f t="shared" si="48"/>
        <v>65880</v>
      </c>
      <c r="W283" s="371">
        <f t="shared" si="64"/>
        <v>6588000</v>
      </c>
      <c r="X283" s="440">
        <f>IFERROR(INDEX([7]TL!$X$12:$X$200,MATCH(B283,[7]TL!$B$12:$B$200,0)),"0")</f>
        <v>449181.81818181789</v>
      </c>
      <c r="Y283" s="663">
        <f t="shared" si="61"/>
        <v>7037181.8181818184</v>
      </c>
      <c r="Z283" s="664">
        <f t="shared" si="62"/>
        <v>3.9095454545454547</v>
      </c>
      <c r="AA283" s="662">
        <v>1800000</v>
      </c>
      <c r="AB283" s="663">
        <f t="shared" si="63"/>
        <v>7037181.8181818184</v>
      </c>
      <c r="AC283" s="568">
        <f t="shared" si="49"/>
        <v>263</v>
      </c>
      <c r="AD283" s="551">
        <f>IFERROR(INDEX('[6]CN BC'!$M$10:$M$276,MATCH(B283,'[6]CN BC'!$H$10:$H$276,0)),"")</f>
        <v>0</v>
      </c>
      <c r="AE283" s="536"/>
      <c r="AH283" s="487"/>
    </row>
    <row r="284" spans="1:44" s="372" customFormat="1" ht="30.75" customHeight="1">
      <c r="A284" s="379">
        <f>_xlfn.AGGREGATE(4,7,A$19:A283)+1</f>
        <v>264</v>
      </c>
      <c r="B284" s="363" t="s">
        <v>1923</v>
      </c>
      <c r="C284" s="364" t="s">
        <v>1013</v>
      </c>
      <c r="D284" s="434" t="s">
        <v>1822</v>
      </c>
      <c r="E284" s="428" t="s">
        <v>511</v>
      </c>
      <c r="F284" s="373">
        <v>3.66</v>
      </c>
      <c r="G284" s="367"/>
      <c r="H284" s="445">
        <f t="shared" si="56"/>
        <v>3.66</v>
      </c>
      <c r="I284" s="368"/>
      <c r="J284" s="368" t="str">
        <f>VLOOKUP(B284,[4]CN!$B$33:$J$365,9,FALSE)</f>
        <v>Giảng viên khoa Nhiệt - Lạnh</v>
      </c>
      <c r="K284" s="369">
        <f t="shared" si="57"/>
        <v>3.66</v>
      </c>
      <c r="L284" s="362">
        <f t="shared" si="58"/>
        <v>6588000</v>
      </c>
      <c r="M284" s="366" t="str">
        <f>VLOOKUP(B284,'[5]Gui chi Quynh'!$B$11:$E$400,4,FALSE)</f>
        <v>A3</v>
      </c>
      <c r="N284" s="494">
        <f t="shared" si="60"/>
        <v>7905600</v>
      </c>
      <c r="O284" s="376">
        <v>9</v>
      </c>
      <c r="P284" s="440">
        <f>IFERROR(INDEX('[6]CN BC'!$J$10:$J$277,MATCH(B284,'[6]CN BC'!$H$10:$H$277,0)),"")</f>
        <v>9</v>
      </c>
      <c r="Q284" s="494">
        <f>IF(P284&gt;=O284,N284,N284/O284*P284)</f>
        <v>7905600</v>
      </c>
      <c r="R284" s="460"/>
      <c r="S284" s="362">
        <f t="shared" si="59"/>
        <v>0</v>
      </c>
      <c r="T284" s="370"/>
      <c r="U284" s="362">
        <f t="shared" si="55"/>
        <v>0</v>
      </c>
      <c r="V284" s="584">
        <f t="shared" si="48"/>
        <v>65880</v>
      </c>
      <c r="W284" s="371">
        <f t="shared" si="64"/>
        <v>7905600</v>
      </c>
      <c r="X284" s="440">
        <f>IFERROR(INDEX([7]TL!$X$12:$X$200,MATCH(B284,[7]TL!$B$12:$B$200,0)),"0")</f>
        <v>898363.63636363577</v>
      </c>
      <c r="Y284" s="663">
        <f t="shared" si="61"/>
        <v>8803963.6363636367</v>
      </c>
      <c r="Z284" s="664">
        <f t="shared" si="62"/>
        <v>4.8910909090909094</v>
      </c>
      <c r="AA284" s="662">
        <v>1800000</v>
      </c>
      <c r="AB284" s="663">
        <f t="shared" si="63"/>
        <v>8803963.6363636367</v>
      </c>
      <c r="AC284" s="568">
        <f t="shared" si="49"/>
        <v>264</v>
      </c>
      <c r="AD284" s="493">
        <f>IFERROR(INDEX('[6]CN BC'!$M$10:$M$276,MATCH(B284,'[6]CN BC'!$H$10:$H$276,0)),"")</f>
        <v>0</v>
      </c>
      <c r="AE284" s="141"/>
      <c r="AF284" s="108"/>
      <c r="AG284" s="108"/>
      <c r="AH284" s="487"/>
    </row>
    <row r="285" spans="1:44" s="372" customFormat="1" ht="30.75" customHeight="1">
      <c r="A285" s="379">
        <f>_xlfn.AGGREGATE(4,7,A$19:A284)+1</f>
        <v>265</v>
      </c>
      <c r="B285" s="363" t="s">
        <v>1552</v>
      </c>
      <c r="C285" s="364" t="s">
        <v>981</v>
      </c>
      <c r="D285" s="434" t="s">
        <v>1823</v>
      </c>
      <c r="E285" s="423" t="s">
        <v>1418</v>
      </c>
      <c r="F285" s="366">
        <v>4.32</v>
      </c>
      <c r="G285" s="367"/>
      <c r="H285" s="368">
        <f t="shared" si="56"/>
        <v>4.32</v>
      </c>
      <c r="I285" s="368"/>
      <c r="J285" s="368" t="str">
        <f>VLOOKUP(B285,[4]CN!$B$33:$J$365,9,FALSE)</f>
        <v>Giảng viên khoa Nhiệt - Lạnh</v>
      </c>
      <c r="K285" s="369">
        <f t="shared" si="57"/>
        <v>4.32</v>
      </c>
      <c r="L285" s="362">
        <f t="shared" si="58"/>
        <v>7776000.0000000009</v>
      </c>
      <c r="M285" s="366" t="str">
        <f>VLOOKUP(B285,'[5]Gui chi Quynh'!$B$11:$E$400,4,FALSE)</f>
        <v>A3</v>
      </c>
      <c r="N285" s="494">
        <f t="shared" si="60"/>
        <v>9331200</v>
      </c>
      <c r="O285" s="376">
        <v>9</v>
      </c>
      <c r="P285" s="440">
        <f>IFERROR(INDEX('[6]CN BC'!$J$10:$J$277,MATCH(B285,'[6]CN BC'!$H$10:$H$277,0)),"")</f>
        <v>9</v>
      </c>
      <c r="Q285" s="494">
        <f>IF(P285&gt;=O285,N285,N285/O285*P285)</f>
        <v>9331200</v>
      </c>
      <c r="R285" s="460"/>
      <c r="S285" s="362">
        <f t="shared" si="59"/>
        <v>0</v>
      </c>
      <c r="T285" s="370"/>
      <c r="U285" s="362">
        <f t="shared" si="55"/>
        <v>0</v>
      </c>
      <c r="V285" s="584">
        <f t="shared" si="48"/>
        <v>77760</v>
      </c>
      <c r="W285" s="371">
        <f t="shared" si="64"/>
        <v>9331200</v>
      </c>
      <c r="X285" s="440">
        <f>IFERROR(INDEX([7]TL!$X$12:$X$200,MATCH(B285,[7]TL!$B$12:$B$200,0)),"0")</f>
        <v>1060363.6363636367</v>
      </c>
      <c r="Y285" s="663">
        <f t="shared" si="61"/>
        <v>10391563.636363637</v>
      </c>
      <c r="Z285" s="664">
        <f t="shared" si="62"/>
        <v>5.7730909090909091</v>
      </c>
      <c r="AA285" s="662">
        <v>1800000</v>
      </c>
      <c r="AB285" s="663">
        <f t="shared" si="63"/>
        <v>10391563.636363637</v>
      </c>
      <c r="AC285" s="568">
        <f t="shared" ref="AC285:AC350" si="65">A285</f>
        <v>265</v>
      </c>
      <c r="AD285" s="493">
        <f>IFERROR(INDEX('[6]CN BC'!$M$10:$M$276,MATCH(B285,'[6]CN BC'!$H$10:$H$276,0)),"")</f>
        <v>0</v>
      </c>
      <c r="AE285" s="141"/>
      <c r="AF285" s="108"/>
      <c r="AG285" s="108"/>
      <c r="AH285" s="487"/>
    </row>
    <row r="286" spans="1:44" s="372" customFormat="1" ht="30.75" customHeight="1">
      <c r="A286" s="379">
        <f>_xlfn.AGGREGATE(4,7,A$19:A285)+1</f>
        <v>266</v>
      </c>
      <c r="B286" s="363" t="s">
        <v>1940</v>
      </c>
      <c r="C286" s="364"/>
      <c r="D286" s="434" t="s">
        <v>1991</v>
      </c>
      <c r="E286" s="423" t="s">
        <v>1992</v>
      </c>
      <c r="F286" s="373">
        <v>3.33</v>
      </c>
      <c r="G286" s="367"/>
      <c r="H286" s="445">
        <f t="shared" si="56"/>
        <v>3.33</v>
      </c>
      <c r="I286" s="368"/>
      <c r="J286" s="368" t="str">
        <f>VLOOKUP(B286,[4]CN!$B$33:$J$365,9,FALSE)</f>
        <v>Giảng viên khoa Nhiệt - Lạnh</v>
      </c>
      <c r="K286" s="369">
        <f t="shared" si="57"/>
        <v>3.33</v>
      </c>
      <c r="L286" s="362">
        <f t="shared" si="58"/>
        <v>5994000</v>
      </c>
      <c r="M286" s="366" t="str">
        <f>VLOOKUP(B286,'[5]Gui chi Quynh'!$B$11:$E$400,4,FALSE)</f>
        <v>A4</v>
      </c>
      <c r="N286" s="494">
        <f t="shared" si="60"/>
        <v>5994000</v>
      </c>
      <c r="O286" s="376">
        <v>9</v>
      </c>
      <c r="P286" s="440">
        <f>IFERROR(INDEX('[6]CN BC'!$J$10:$J$277,MATCH(B286,'[6]CN BC'!$H$10:$H$277,0)),"")</f>
        <v>9</v>
      </c>
      <c r="Q286" s="494">
        <f>IF(P286&gt;=O286,N286,N286/O286*P286)</f>
        <v>5994000</v>
      </c>
      <c r="R286" s="460"/>
      <c r="S286" s="362">
        <f t="shared" si="59"/>
        <v>0</v>
      </c>
      <c r="T286" s="370"/>
      <c r="U286" s="362">
        <f>T286*$G$15*1</f>
        <v>0</v>
      </c>
      <c r="V286" s="584">
        <f t="shared" si="48"/>
        <v>59940</v>
      </c>
      <c r="W286" s="371">
        <f t="shared" si="64"/>
        <v>5994000</v>
      </c>
      <c r="X286" s="440">
        <f>IFERROR(INDEX([7]TL!$X$12:$X$200,MATCH(B286,[7]TL!$B$12:$B$200,0)),"0")</f>
        <v>817363.63636363577</v>
      </c>
      <c r="Y286" s="663">
        <f t="shared" si="61"/>
        <v>6811363.6363636358</v>
      </c>
      <c r="Z286" s="664">
        <f t="shared" si="62"/>
        <v>3.7840909090909087</v>
      </c>
      <c r="AA286" s="662">
        <v>1800000</v>
      </c>
      <c r="AB286" s="663">
        <f t="shared" si="63"/>
        <v>6811363.6363636358</v>
      </c>
      <c r="AC286" s="568">
        <f t="shared" si="65"/>
        <v>266</v>
      </c>
      <c r="AD286" s="493">
        <f>IFERROR(INDEX('[6]CN BC'!$M$10:$M$276,MATCH(B286,'[6]CN BC'!$H$10:$H$276,0)),"")</f>
        <v>0</v>
      </c>
      <c r="AE286" s="141"/>
      <c r="AF286" s="108"/>
      <c r="AG286" s="108"/>
      <c r="AH286" s="155"/>
      <c r="AI286" s="108"/>
      <c r="AJ286" s="108"/>
      <c r="AK286" s="108"/>
      <c r="AL286" s="108"/>
      <c r="AM286" s="108"/>
      <c r="AN286" s="108"/>
    </row>
    <row r="287" spans="1:44" s="108" customFormat="1" ht="30.75" customHeight="1">
      <c r="A287" s="379">
        <f>_xlfn.AGGREGATE(4,7,A$19:A286)+1</f>
        <v>267</v>
      </c>
      <c r="B287" s="33" t="s">
        <v>1553</v>
      </c>
      <c r="C287" s="403" t="s">
        <v>501</v>
      </c>
      <c r="D287" s="406" t="s">
        <v>1824</v>
      </c>
      <c r="E287" s="436">
        <v>1603205246186</v>
      </c>
      <c r="F287" s="366">
        <v>4.9800000000000004</v>
      </c>
      <c r="G287" s="367"/>
      <c r="H287" s="368">
        <f t="shared" si="56"/>
        <v>4.9800000000000004</v>
      </c>
      <c r="I287" s="368"/>
      <c r="J287" s="368" t="str">
        <f>VLOOKUP(B287,[4]CN!$B$33:$J$365,9,FALSE)</f>
        <v>Giảng viên khoa Nhiệt - Lạnh</v>
      </c>
      <c r="K287" s="369">
        <f t="shared" si="57"/>
        <v>4.9800000000000004</v>
      </c>
      <c r="L287" s="362">
        <f t="shared" si="58"/>
        <v>8964000</v>
      </c>
      <c r="M287" s="366" t="str">
        <f>VLOOKUP(B287,'[5]Gui chi Quynh'!$B$11:$E$400,4,FALSE)</f>
        <v>A3</v>
      </c>
      <c r="N287" s="494">
        <f t="shared" si="60"/>
        <v>10756800</v>
      </c>
      <c r="O287" s="376">
        <v>9</v>
      </c>
      <c r="P287" s="440">
        <f>IFERROR(INDEX('[6]CN BC'!$J$10:$J$277,MATCH(B287,'[6]CN BC'!$H$10:$H$277,0)),"")</f>
        <v>9</v>
      </c>
      <c r="Q287" s="494">
        <f>IF(P287&gt;=O287,N287,N287/O287*P287)</f>
        <v>10756800</v>
      </c>
      <c r="R287" s="392"/>
      <c r="S287" s="362">
        <f t="shared" si="59"/>
        <v>0</v>
      </c>
      <c r="T287" s="404"/>
      <c r="U287" s="362">
        <f>T287*$G$15*1</f>
        <v>0</v>
      </c>
      <c r="V287" s="584">
        <f t="shared" ref="V287:V288" si="66">IF(OR(M287="A DN",M287="KXL", M287=""),"0",ROUND(K287*0.01*$G$15+R287*1%*$G$15+T287*1%*$G$15,))</f>
        <v>89640</v>
      </c>
      <c r="W287" s="371">
        <f t="shared" si="64"/>
        <v>10756800</v>
      </c>
      <c r="X287" s="440">
        <f>IFERROR(INDEX([7]TL!$X$12:$X$200,MATCH(B287,[7]TL!$B$12:$B$200,0)),"0")</f>
        <v>1222363.6363636358</v>
      </c>
      <c r="Y287" s="663">
        <f t="shared" si="61"/>
        <v>11979163.636363637</v>
      </c>
      <c r="Z287" s="664">
        <f t="shared" si="62"/>
        <v>6.6550909090909096</v>
      </c>
      <c r="AA287" s="662">
        <v>1800000</v>
      </c>
      <c r="AB287" s="663">
        <f t="shared" si="63"/>
        <v>11979163.636363637</v>
      </c>
      <c r="AC287" s="568">
        <f t="shared" si="65"/>
        <v>267</v>
      </c>
      <c r="AD287" s="493">
        <f>IFERROR(INDEX('[6]CN BC'!$M$10:$M$276,MATCH(B287,'[6]CN BC'!$H$10:$H$276,0)),"")</f>
        <v>0</v>
      </c>
      <c r="AE287" s="141"/>
      <c r="AH287" s="155"/>
    </row>
    <row r="288" spans="1:44" s="372" customFormat="1" ht="30.75" customHeight="1">
      <c r="A288" s="781">
        <f>_xlfn.AGGREGATE(4,7,A$19:A287)+1</f>
        <v>268</v>
      </c>
      <c r="B288" s="462" t="s">
        <v>1560</v>
      </c>
      <c r="C288" s="782"/>
      <c r="D288" s="783" t="s">
        <v>1825</v>
      </c>
      <c r="E288" s="784">
        <v>1603215002692</v>
      </c>
      <c r="F288" s="785">
        <v>3.33</v>
      </c>
      <c r="G288" s="786"/>
      <c r="H288" s="787">
        <f t="shared" si="56"/>
        <v>3.33</v>
      </c>
      <c r="I288" s="788">
        <v>0.35</v>
      </c>
      <c r="J288" s="788" t="str">
        <f>VLOOKUP(B288,[4]CN!$B$33:$J$365,9,FALSE)</f>
        <v>Phó Trưởng khoa Nhiệt - Lạnh</v>
      </c>
      <c r="K288" s="789">
        <f t="shared" si="57"/>
        <v>3.68</v>
      </c>
      <c r="L288" s="790">
        <f t="shared" si="58"/>
        <v>6624000</v>
      </c>
      <c r="M288" s="791" t="str">
        <f>VLOOKUP(B288,'[5]Gui chi Quynh'!$B$11:$E$400,4,FALSE)</f>
        <v>A3</v>
      </c>
      <c r="N288" s="792">
        <f t="shared" si="60"/>
        <v>7948800</v>
      </c>
      <c r="O288" s="793">
        <v>9</v>
      </c>
      <c r="P288" s="794">
        <f>IFERROR(INDEX('[6]CN BC'!$J$10:$J$277,MATCH(B288,'[6]CN BC'!$H$10:$H$277,0)),"")</f>
        <v>9</v>
      </c>
      <c r="Q288" s="792">
        <f>IF(P288&gt;=O288,N288,N288/O288*P288)</f>
        <v>7948800</v>
      </c>
      <c r="R288" s="795"/>
      <c r="S288" s="790">
        <f t="shared" si="59"/>
        <v>0</v>
      </c>
      <c r="T288" s="796"/>
      <c r="U288" s="790">
        <f>T288*$G$15*1</f>
        <v>0</v>
      </c>
      <c r="V288" s="797">
        <f t="shared" si="66"/>
        <v>66240</v>
      </c>
      <c r="W288" s="798">
        <f t="shared" si="64"/>
        <v>7948800</v>
      </c>
      <c r="X288" s="794">
        <f>IFERROR(INDEX([7]TL!$X$12:$X$200,MATCH(B288,[7]TL!$B$12:$B$200,0)),"0")</f>
        <v>1083927.2727272734</v>
      </c>
      <c r="Y288" s="727">
        <f t="shared" si="61"/>
        <v>9032727.2727272734</v>
      </c>
      <c r="Z288" s="728">
        <f t="shared" si="62"/>
        <v>5.0181818181818185</v>
      </c>
      <c r="AA288" s="729">
        <v>1800000</v>
      </c>
      <c r="AB288" s="727">
        <f t="shared" si="63"/>
        <v>9032727.2727272734</v>
      </c>
      <c r="AC288" s="799">
        <f t="shared" si="65"/>
        <v>268</v>
      </c>
      <c r="AD288" s="800">
        <f>IFERROR(INDEX('[6]CN BC'!$M$10:$M$276,MATCH(B288,'[6]CN BC'!$H$10:$H$276,0)),"")</f>
        <v>0</v>
      </c>
      <c r="AE288" s="141"/>
      <c r="AF288" s="108"/>
      <c r="AG288" s="108"/>
      <c r="AH288" s="155"/>
      <c r="AI288" s="108"/>
      <c r="AJ288" s="108"/>
      <c r="AK288" s="108"/>
      <c r="AL288" s="108"/>
      <c r="AM288" s="108"/>
      <c r="AN288" s="108"/>
      <c r="AO288" s="108"/>
      <c r="AP288" s="108"/>
      <c r="AQ288" s="108"/>
      <c r="AR288" s="108"/>
    </row>
    <row r="289" spans="1:44" s="372" customFormat="1" ht="30.75" customHeight="1">
      <c r="A289" s="806"/>
      <c r="B289" s="807" t="s">
        <v>2188</v>
      </c>
      <c r="C289" s="807"/>
      <c r="D289" s="808"/>
      <c r="E289" s="809"/>
      <c r="F289" s="810"/>
      <c r="G289" s="811"/>
      <c r="H289" s="812"/>
      <c r="I289" s="813"/>
      <c r="J289" s="813"/>
      <c r="K289" s="814"/>
      <c r="L289" s="815"/>
      <c r="M289" s="816"/>
      <c r="N289" s="817"/>
      <c r="O289" s="818"/>
      <c r="P289" s="819"/>
      <c r="Q289" s="817"/>
      <c r="R289" s="820"/>
      <c r="S289" s="815"/>
      <c r="T289" s="821"/>
      <c r="U289" s="815"/>
      <c r="V289" s="815"/>
      <c r="W289" s="815"/>
      <c r="X289" s="819"/>
      <c r="Y289" s="819"/>
      <c r="Z289" s="822">
        <f>SUM(Z21:Z288)</f>
        <v>1302.6654195454566</v>
      </c>
      <c r="AA289" s="819"/>
      <c r="AB289" s="819">
        <f>SUM(AB21:AB288)</f>
        <v>2344797755.1818171</v>
      </c>
      <c r="AC289" s="823"/>
      <c r="AD289" s="824"/>
      <c r="AE289" s="141"/>
      <c r="AF289" s="108"/>
      <c r="AG289" s="108"/>
      <c r="AH289" s="155"/>
      <c r="AI289" s="108"/>
      <c r="AJ289" s="108"/>
      <c r="AK289" s="108"/>
      <c r="AL289" s="108"/>
      <c r="AM289" s="108"/>
      <c r="AN289" s="108"/>
      <c r="AO289" s="108"/>
      <c r="AP289" s="108"/>
      <c r="AQ289" s="108"/>
      <c r="AR289" s="108"/>
    </row>
    <row r="290" spans="1:44" s="372" customFormat="1" ht="30.75" customHeight="1">
      <c r="A290" s="806"/>
      <c r="B290" s="825" t="s">
        <v>2189</v>
      </c>
      <c r="C290" s="826"/>
      <c r="D290" s="827"/>
      <c r="E290" s="828"/>
      <c r="F290" s="810"/>
      <c r="G290" s="811"/>
      <c r="H290" s="812"/>
      <c r="I290" s="813"/>
      <c r="J290" s="813"/>
      <c r="K290" s="814"/>
      <c r="L290" s="815"/>
      <c r="M290" s="816"/>
      <c r="N290" s="817"/>
      <c r="O290" s="818"/>
      <c r="P290" s="819"/>
      <c r="Q290" s="817"/>
      <c r="R290" s="820"/>
      <c r="S290" s="815"/>
      <c r="T290" s="821"/>
      <c r="U290" s="815"/>
      <c r="V290" s="815"/>
      <c r="W290" s="815"/>
      <c r="X290" s="829"/>
      <c r="Y290" s="829"/>
      <c r="Z290" s="830"/>
      <c r="AA290" s="829"/>
      <c r="AB290" s="829"/>
      <c r="AC290" s="823"/>
      <c r="AD290" s="824"/>
      <c r="AE290" s="141"/>
      <c r="AF290" s="108"/>
      <c r="AG290" s="108"/>
      <c r="AH290" s="155"/>
      <c r="AI290" s="108"/>
      <c r="AJ290" s="108"/>
      <c r="AK290" s="108"/>
      <c r="AL290" s="108"/>
      <c r="AM290" s="108"/>
      <c r="AN290" s="108"/>
      <c r="AO290" s="108"/>
      <c r="AP290" s="108"/>
      <c r="AQ290" s="108"/>
      <c r="AR290" s="108"/>
    </row>
    <row r="291" spans="1:44" s="372" customFormat="1" ht="30.75" customHeight="1">
      <c r="A291" s="801">
        <f>_xlfn.AGGREGATE(4,7,A$19:A288)+1</f>
        <v>269</v>
      </c>
      <c r="B291" s="802" t="s">
        <v>2029</v>
      </c>
      <c r="C291" s="709"/>
      <c r="D291" s="710"/>
      <c r="E291" s="711"/>
      <c r="F291" s="712"/>
      <c r="G291" s="713"/>
      <c r="H291" s="714"/>
      <c r="I291" s="715"/>
      <c r="J291" s="803" t="str">
        <f>VLOOKUP(B291,[4]CN!$B$33:$J$365,9,FALSE)</f>
        <v xml:space="preserve">NV Bảo vệ </v>
      </c>
      <c r="K291" s="716"/>
      <c r="L291" s="717"/>
      <c r="M291" s="718"/>
      <c r="N291" s="719"/>
      <c r="O291" s="720"/>
      <c r="P291" s="721"/>
      <c r="Q291" s="719"/>
      <c r="R291" s="722"/>
      <c r="S291" s="717"/>
      <c r="T291" s="723"/>
      <c r="U291" s="717"/>
      <c r="V291" s="724"/>
      <c r="W291" s="725"/>
      <c r="X291" s="726"/>
      <c r="Y291" s="727">
        <v>1855995</v>
      </c>
      <c r="Z291" s="664">
        <f t="shared" si="62"/>
        <v>1.0311083333333333</v>
      </c>
      <c r="AA291" s="662">
        <v>1800000</v>
      </c>
      <c r="AB291" s="663">
        <f t="shared" si="63"/>
        <v>1855995</v>
      </c>
      <c r="AC291" s="804">
        <f t="shared" si="65"/>
        <v>269</v>
      </c>
      <c r="AD291" s="805"/>
      <c r="AE291" s="141"/>
      <c r="AF291" s="108"/>
      <c r="AG291" s="108"/>
      <c r="AH291" s="155"/>
      <c r="AI291" s="108"/>
      <c r="AJ291" s="108"/>
      <c r="AK291" s="108"/>
      <c r="AL291" s="108"/>
      <c r="AM291" s="108"/>
      <c r="AN291" s="108"/>
      <c r="AO291" s="108"/>
      <c r="AP291" s="108"/>
      <c r="AQ291" s="108"/>
      <c r="AR291" s="108"/>
    </row>
    <row r="292" spans="1:44" s="372" customFormat="1" ht="30.75" customHeight="1">
      <c r="A292" s="379">
        <f>_xlfn.AGGREGATE(4,7,A$19:A291)+1</f>
        <v>270</v>
      </c>
      <c r="B292" s="444" t="s">
        <v>2032</v>
      </c>
      <c r="C292" s="709"/>
      <c r="D292" s="710"/>
      <c r="E292" s="711"/>
      <c r="F292" s="712"/>
      <c r="G292" s="713"/>
      <c r="H292" s="714"/>
      <c r="I292" s="715"/>
      <c r="J292" s="368" t="str">
        <f>VLOOKUP(B292,[4]CN!$B$33:$J$365,9,FALSE)</f>
        <v>NV Bảo vệ</v>
      </c>
      <c r="K292" s="716"/>
      <c r="L292" s="717"/>
      <c r="M292" s="718"/>
      <c r="N292" s="719"/>
      <c r="O292" s="720"/>
      <c r="P292" s="721"/>
      <c r="Q292" s="719"/>
      <c r="R292" s="722"/>
      <c r="S292" s="717"/>
      <c r="T292" s="723"/>
      <c r="U292" s="717"/>
      <c r="V292" s="724"/>
      <c r="W292" s="725"/>
      <c r="X292" s="726"/>
      <c r="Y292" s="727">
        <v>1950367</v>
      </c>
      <c r="Z292" s="664">
        <f t="shared" si="62"/>
        <v>1.0835372222222222</v>
      </c>
      <c r="AA292" s="662">
        <v>1800000</v>
      </c>
      <c r="AB292" s="663">
        <f t="shared" si="63"/>
        <v>1950366.9999999998</v>
      </c>
      <c r="AC292" s="568">
        <f t="shared" si="65"/>
        <v>270</v>
      </c>
      <c r="AD292" s="493"/>
      <c r="AE292" s="141"/>
      <c r="AF292" s="108"/>
      <c r="AG292" s="108"/>
      <c r="AH292" s="155"/>
      <c r="AI292" s="108"/>
      <c r="AJ292" s="108"/>
      <c r="AK292" s="108"/>
      <c r="AL292" s="108"/>
      <c r="AM292" s="108"/>
      <c r="AN292" s="108"/>
      <c r="AO292" s="108"/>
      <c r="AP292" s="108"/>
      <c r="AQ292" s="108"/>
      <c r="AR292" s="108"/>
    </row>
    <row r="293" spans="1:44" s="372" customFormat="1" ht="30.75" customHeight="1">
      <c r="A293" s="379">
        <f>_xlfn.AGGREGATE(4,7,A$19:A292)+1</f>
        <v>271</v>
      </c>
      <c r="B293" s="444" t="s">
        <v>2035</v>
      </c>
      <c r="C293" s="709"/>
      <c r="D293" s="710"/>
      <c r="E293" s="711"/>
      <c r="F293" s="712"/>
      <c r="G293" s="713"/>
      <c r="H293" s="714"/>
      <c r="I293" s="715"/>
      <c r="J293" s="368" t="str">
        <f>VLOOKUP(B293,[4]CN!$B$33:$J$365,9,FALSE)</f>
        <v>NV Bảo vệ</v>
      </c>
      <c r="K293" s="716"/>
      <c r="L293" s="717"/>
      <c r="M293" s="718"/>
      <c r="N293" s="719"/>
      <c r="O293" s="720"/>
      <c r="P293" s="721"/>
      <c r="Q293" s="719"/>
      <c r="R293" s="722"/>
      <c r="S293" s="717"/>
      <c r="T293" s="723"/>
      <c r="U293" s="717"/>
      <c r="V293" s="724"/>
      <c r="W293" s="725"/>
      <c r="X293" s="726"/>
      <c r="Y293" s="727">
        <v>1857492</v>
      </c>
      <c r="Z293" s="664">
        <f t="shared" si="62"/>
        <v>1.0319400000000001</v>
      </c>
      <c r="AA293" s="662">
        <v>1800000</v>
      </c>
      <c r="AB293" s="663">
        <f t="shared" si="63"/>
        <v>1857492.0000000002</v>
      </c>
      <c r="AC293" s="568">
        <f t="shared" si="65"/>
        <v>271</v>
      </c>
      <c r="AD293" s="493"/>
      <c r="AE293" s="141"/>
      <c r="AF293" s="108"/>
      <c r="AG293" s="108"/>
      <c r="AH293" s="155"/>
      <c r="AI293" s="108"/>
      <c r="AJ293" s="108"/>
      <c r="AK293" s="108"/>
      <c r="AL293" s="108"/>
      <c r="AM293" s="108"/>
      <c r="AN293" s="108"/>
      <c r="AO293" s="108"/>
      <c r="AP293" s="108"/>
      <c r="AQ293" s="108"/>
      <c r="AR293" s="108"/>
    </row>
    <row r="294" spans="1:44" s="372" customFormat="1" ht="30.75" customHeight="1">
      <c r="A294" s="379">
        <f>_xlfn.AGGREGATE(4,7,A$19:A293)+1</f>
        <v>272</v>
      </c>
      <c r="B294" s="444" t="s">
        <v>2037</v>
      </c>
      <c r="C294" s="709"/>
      <c r="D294" s="710"/>
      <c r="E294" s="711"/>
      <c r="F294" s="712"/>
      <c r="G294" s="713"/>
      <c r="H294" s="714"/>
      <c r="I294" s="715"/>
      <c r="J294" s="368" t="str">
        <f>VLOOKUP(B294,[4]CN!$B$33:$J$365,9,FALSE)</f>
        <v>NV Bảo vệ</v>
      </c>
      <c r="K294" s="716"/>
      <c r="L294" s="717"/>
      <c r="M294" s="718"/>
      <c r="N294" s="719"/>
      <c r="O294" s="720"/>
      <c r="P294" s="721"/>
      <c r="Q294" s="719"/>
      <c r="R294" s="722"/>
      <c r="S294" s="717"/>
      <c r="T294" s="723"/>
      <c r="U294" s="717"/>
      <c r="V294" s="724"/>
      <c r="W294" s="725"/>
      <c r="X294" s="726"/>
      <c r="Y294" s="727">
        <v>3984995</v>
      </c>
      <c r="Z294" s="664">
        <f t="shared" si="62"/>
        <v>2.213886111111111</v>
      </c>
      <c r="AA294" s="662">
        <v>1800000</v>
      </c>
      <c r="AB294" s="663">
        <f t="shared" si="63"/>
        <v>3984995</v>
      </c>
      <c r="AC294" s="568">
        <f t="shared" si="65"/>
        <v>272</v>
      </c>
      <c r="AD294" s="493"/>
      <c r="AE294" s="141"/>
      <c r="AF294" s="108"/>
      <c r="AG294" s="108"/>
      <c r="AH294" s="155"/>
      <c r="AI294" s="108"/>
      <c r="AJ294" s="108"/>
      <c r="AK294" s="108"/>
      <c r="AL294" s="108"/>
      <c r="AM294" s="108"/>
      <c r="AN294" s="108"/>
      <c r="AO294" s="108"/>
      <c r="AP294" s="108"/>
      <c r="AQ294" s="108"/>
      <c r="AR294" s="108"/>
    </row>
    <row r="295" spans="1:44" s="372" customFormat="1" ht="30.75" customHeight="1">
      <c r="A295" s="379">
        <f>_xlfn.AGGREGATE(4,7,A$19:A294)+1</f>
        <v>273</v>
      </c>
      <c r="B295" s="363" t="s">
        <v>2039</v>
      </c>
      <c r="C295" s="709"/>
      <c r="D295" s="710"/>
      <c r="E295" s="711"/>
      <c r="F295" s="712"/>
      <c r="G295" s="713"/>
      <c r="H295" s="714"/>
      <c r="I295" s="715"/>
      <c r="J295" s="368" t="str">
        <f>VLOOKUP(B295,[4]CN!$B$33:$J$365,9,FALSE)</f>
        <v xml:space="preserve">NV Bảo vệ </v>
      </c>
      <c r="K295" s="716"/>
      <c r="L295" s="717"/>
      <c r="M295" s="718"/>
      <c r="N295" s="719"/>
      <c r="O295" s="720"/>
      <c r="P295" s="721"/>
      <c r="Q295" s="719"/>
      <c r="R295" s="722"/>
      <c r="S295" s="717"/>
      <c r="T295" s="723"/>
      <c r="U295" s="717"/>
      <c r="V295" s="724"/>
      <c r="W295" s="725"/>
      <c r="X295" s="726"/>
      <c r="Y295" s="727">
        <v>2594238</v>
      </c>
      <c r="Z295" s="664">
        <f t="shared" si="62"/>
        <v>1.4412433333333334</v>
      </c>
      <c r="AA295" s="662">
        <v>1800000</v>
      </c>
      <c r="AB295" s="663">
        <f t="shared" si="63"/>
        <v>2594238</v>
      </c>
      <c r="AC295" s="568">
        <f t="shared" si="65"/>
        <v>273</v>
      </c>
      <c r="AD295" s="493"/>
      <c r="AE295" s="141"/>
      <c r="AF295" s="108"/>
      <c r="AG295" s="108"/>
      <c r="AH295" s="155"/>
      <c r="AI295" s="108"/>
      <c r="AJ295" s="108"/>
      <c r="AK295" s="108"/>
      <c r="AL295" s="108"/>
      <c r="AM295" s="108"/>
      <c r="AN295" s="108"/>
      <c r="AO295" s="108"/>
      <c r="AP295" s="108"/>
      <c r="AQ295" s="108"/>
      <c r="AR295" s="108"/>
    </row>
    <row r="296" spans="1:44" s="372" customFormat="1" ht="30.75" customHeight="1">
      <c r="A296" s="379">
        <f>_xlfn.AGGREGATE(4,7,A$19:A295)+1</f>
        <v>274</v>
      </c>
      <c r="B296" s="363" t="s">
        <v>2041</v>
      </c>
      <c r="C296" s="709"/>
      <c r="D296" s="710"/>
      <c r="E296" s="711"/>
      <c r="F296" s="712"/>
      <c r="G296" s="713"/>
      <c r="H296" s="714"/>
      <c r="I296" s="715"/>
      <c r="J296" s="368" t="str">
        <f>VLOOKUP(B296,[4]CN!$B$33:$J$365,9,FALSE)</f>
        <v>Nhân viên bảo vệ</v>
      </c>
      <c r="K296" s="716"/>
      <c r="L296" s="717"/>
      <c r="M296" s="718"/>
      <c r="N296" s="719"/>
      <c r="O296" s="720"/>
      <c r="P296" s="721"/>
      <c r="Q296" s="719"/>
      <c r="R296" s="722"/>
      <c r="S296" s="717"/>
      <c r="T296" s="723"/>
      <c r="U296" s="717"/>
      <c r="V296" s="724"/>
      <c r="W296" s="725"/>
      <c r="X296" s="726"/>
      <c r="Y296" s="727">
        <v>6011835</v>
      </c>
      <c r="Z296" s="664">
        <f t="shared" si="62"/>
        <v>3.3399083333333333</v>
      </c>
      <c r="AA296" s="662">
        <v>1800000</v>
      </c>
      <c r="AB296" s="663">
        <f t="shared" si="63"/>
        <v>6011835</v>
      </c>
      <c r="AC296" s="568">
        <f t="shared" si="65"/>
        <v>274</v>
      </c>
      <c r="AD296" s="493"/>
      <c r="AE296" s="141"/>
      <c r="AF296" s="108"/>
      <c r="AG296" s="108"/>
      <c r="AH296" s="155"/>
      <c r="AI296" s="108"/>
      <c r="AJ296" s="108"/>
      <c r="AK296" s="108"/>
      <c r="AL296" s="108"/>
      <c r="AM296" s="108"/>
      <c r="AN296" s="108"/>
      <c r="AO296" s="108"/>
      <c r="AP296" s="108"/>
      <c r="AQ296" s="108"/>
      <c r="AR296" s="108"/>
    </row>
    <row r="297" spans="1:44" s="372" customFormat="1" ht="30.75" customHeight="1">
      <c r="A297" s="379">
        <f>_xlfn.AGGREGATE(4,7,A$19:A296)+1</f>
        <v>275</v>
      </c>
      <c r="B297" s="363" t="s">
        <v>2043</v>
      </c>
      <c r="C297" s="709"/>
      <c r="D297" s="710"/>
      <c r="E297" s="711"/>
      <c r="F297" s="712"/>
      <c r="G297" s="713"/>
      <c r="H297" s="714"/>
      <c r="I297" s="715"/>
      <c r="J297" s="368" t="str">
        <f>VLOOKUP(B297,[4]CN!$B$33:$J$365,9,FALSE)</f>
        <v xml:space="preserve">NV Bảo vệ </v>
      </c>
      <c r="K297" s="716"/>
      <c r="L297" s="717"/>
      <c r="M297" s="718"/>
      <c r="N297" s="719"/>
      <c r="O297" s="720"/>
      <c r="P297" s="721"/>
      <c r="Q297" s="719"/>
      <c r="R297" s="722"/>
      <c r="S297" s="717"/>
      <c r="T297" s="723"/>
      <c r="U297" s="717"/>
      <c r="V297" s="724"/>
      <c r="W297" s="725"/>
      <c r="X297" s="726"/>
      <c r="Y297" s="727">
        <v>3201755</v>
      </c>
      <c r="Z297" s="664">
        <f t="shared" si="62"/>
        <v>1.7787527777777778</v>
      </c>
      <c r="AA297" s="662">
        <v>1800000</v>
      </c>
      <c r="AB297" s="663">
        <f t="shared" si="63"/>
        <v>3201755</v>
      </c>
      <c r="AC297" s="568">
        <f t="shared" si="65"/>
        <v>275</v>
      </c>
      <c r="AD297" s="493"/>
      <c r="AE297" s="141"/>
      <c r="AF297" s="108"/>
      <c r="AG297" s="108"/>
      <c r="AH297" s="155"/>
      <c r="AI297" s="108"/>
      <c r="AJ297" s="108"/>
      <c r="AK297" s="108"/>
      <c r="AL297" s="108"/>
      <c r="AM297" s="108"/>
      <c r="AN297" s="108"/>
      <c r="AO297" s="108"/>
      <c r="AP297" s="108"/>
      <c r="AQ297" s="108"/>
      <c r="AR297" s="108"/>
    </row>
    <row r="298" spans="1:44" s="372" customFormat="1" ht="30.75" customHeight="1">
      <c r="A298" s="379">
        <f>_xlfn.AGGREGATE(4,7,A$19:A297)+1</f>
        <v>276</v>
      </c>
      <c r="B298" s="363" t="s">
        <v>2046</v>
      </c>
      <c r="C298" s="709"/>
      <c r="D298" s="710"/>
      <c r="E298" s="711"/>
      <c r="F298" s="712"/>
      <c r="G298" s="713"/>
      <c r="H298" s="714"/>
      <c r="I298" s="715"/>
      <c r="J298" s="368" t="str">
        <f>VLOOKUP(B298,[4]CN!$B$33:$J$365,9,FALSE)</f>
        <v>NV Bảo vệ</v>
      </c>
      <c r="K298" s="716"/>
      <c r="L298" s="717"/>
      <c r="M298" s="718"/>
      <c r="N298" s="719"/>
      <c r="O298" s="720"/>
      <c r="P298" s="721"/>
      <c r="Q298" s="719"/>
      <c r="R298" s="722"/>
      <c r="S298" s="717"/>
      <c r="T298" s="723"/>
      <c r="U298" s="717"/>
      <c r="V298" s="724"/>
      <c r="W298" s="725"/>
      <c r="X298" s="726"/>
      <c r="Y298" s="727">
        <v>2037106</v>
      </c>
      <c r="Z298" s="664">
        <f t="shared" si="62"/>
        <v>1.1317255555555557</v>
      </c>
      <c r="AA298" s="662">
        <v>1800000</v>
      </c>
      <c r="AB298" s="663">
        <f t="shared" si="63"/>
        <v>2037106.0000000002</v>
      </c>
      <c r="AC298" s="568">
        <f t="shared" si="65"/>
        <v>276</v>
      </c>
      <c r="AD298" s="493"/>
      <c r="AE298" s="141"/>
      <c r="AF298" s="108"/>
      <c r="AG298" s="108"/>
      <c r="AH298" s="155"/>
      <c r="AI298" s="108"/>
      <c r="AJ298" s="108"/>
      <c r="AK298" s="108"/>
      <c r="AL298" s="108"/>
      <c r="AM298" s="108"/>
      <c r="AN298" s="108"/>
      <c r="AO298" s="108"/>
      <c r="AP298" s="108"/>
      <c r="AQ298" s="108"/>
      <c r="AR298" s="108"/>
    </row>
    <row r="299" spans="1:44" s="372" customFormat="1" ht="30.75" customHeight="1">
      <c r="A299" s="379">
        <f>_xlfn.AGGREGATE(4,7,A$19:A298)+1</f>
        <v>277</v>
      </c>
      <c r="B299" s="363" t="s">
        <v>2049</v>
      </c>
      <c r="C299" s="709"/>
      <c r="D299" s="710"/>
      <c r="E299" s="711"/>
      <c r="F299" s="712"/>
      <c r="G299" s="713"/>
      <c r="H299" s="714"/>
      <c r="I299" s="715"/>
      <c r="J299" s="368" t="str">
        <f>VLOOKUP(B299,[4]CN!$B$33:$J$365,9,FALSE)</f>
        <v>NV Bảo vệ</v>
      </c>
      <c r="K299" s="716"/>
      <c r="L299" s="717"/>
      <c r="M299" s="718"/>
      <c r="N299" s="719"/>
      <c r="O299" s="720"/>
      <c r="P299" s="721"/>
      <c r="Q299" s="719"/>
      <c r="R299" s="722"/>
      <c r="S299" s="717"/>
      <c r="T299" s="723"/>
      <c r="U299" s="717"/>
      <c r="V299" s="724"/>
      <c r="W299" s="725"/>
      <c r="X299" s="726"/>
      <c r="Y299" s="727">
        <v>2508659</v>
      </c>
      <c r="Z299" s="664">
        <f t="shared" si="62"/>
        <v>1.3936994444444444</v>
      </c>
      <c r="AA299" s="662">
        <v>1800000</v>
      </c>
      <c r="AB299" s="663">
        <f t="shared" si="63"/>
        <v>2508659</v>
      </c>
      <c r="AC299" s="568">
        <f t="shared" si="65"/>
        <v>277</v>
      </c>
      <c r="AD299" s="493"/>
      <c r="AE299" s="141"/>
      <c r="AF299" s="108"/>
      <c r="AG299" s="108"/>
      <c r="AH299" s="155"/>
      <c r="AI299" s="108"/>
      <c r="AJ299" s="108"/>
      <c r="AK299" s="108"/>
      <c r="AL299" s="108"/>
      <c r="AM299" s="108"/>
      <c r="AN299" s="108"/>
      <c r="AO299" s="108"/>
      <c r="AP299" s="108"/>
      <c r="AQ299" s="108"/>
      <c r="AR299" s="108"/>
    </row>
    <row r="300" spans="1:44" s="372" customFormat="1" ht="30.75" customHeight="1">
      <c r="A300" s="379">
        <f>_xlfn.AGGREGATE(4,7,A$19:A299)+1</f>
        <v>278</v>
      </c>
      <c r="B300" s="363" t="s">
        <v>2052</v>
      </c>
      <c r="C300" s="709"/>
      <c r="D300" s="710"/>
      <c r="E300" s="711"/>
      <c r="F300" s="712"/>
      <c r="G300" s="713"/>
      <c r="H300" s="714"/>
      <c r="I300" s="715"/>
      <c r="J300" s="368" t="str">
        <f>VLOOKUP(B300,[4]CN!$B$33:$J$365,9,FALSE)</f>
        <v>NV Bảo vệ</v>
      </c>
      <c r="K300" s="716"/>
      <c r="L300" s="717"/>
      <c r="M300" s="718"/>
      <c r="N300" s="719"/>
      <c r="O300" s="720"/>
      <c r="P300" s="721"/>
      <c r="Q300" s="719"/>
      <c r="R300" s="722"/>
      <c r="S300" s="717"/>
      <c r="T300" s="723"/>
      <c r="U300" s="717"/>
      <c r="V300" s="724"/>
      <c r="W300" s="725"/>
      <c r="X300" s="726"/>
      <c r="Y300" s="727">
        <v>4815889</v>
      </c>
      <c r="Z300" s="664">
        <f t="shared" si="62"/>
        <v>2.6754938888888891</v>
      </c>
      <c r="AA300" s="662">
        <v>1800000</v>
      </c>
      <c r="AB300" s="663">
        <f t="shared" si="63"/>
        <v>4815889</v>
      </c>
      <c r="AC300" s="568">
        <f t="shared" si="65"/>
        <v>278</v>
      </c>
      <c r="AD300" s="493"/>
      <c r="AE300" s="141"/>
      <c r="AF300" s="108"/>
      <c r="AG300" s="108"/>
      <c r="AH300" s="155"/>
      <c r="AI300" s="108"/>
      <c r="AJ300" s="108"/>
      <c r="AK300" s="108"/>
      <c r="AL300" s="108"/>
      <c r="AM300" s="108"/>
      <c r="AN300" s="108"/>
      <c r="AO300" s="108"/>
      <c r="AP300" s="108"/>
      <c r="AQ300" s="108"/>
      <c r="AR300" s="108"/>
    </row>
    <row r="301" spans="1:44" s="372" customFormat="1" ht="30.75" customHeight="1">
      <c r="A301" s="379">
        <f>_xlfn.AGGREGATE(4,7,A$19:A300)+1</f>
        <v>279</v>
      </c>
      <c r="B301" s="363" t="s">
        <v>2053</v>
      </c>
      <c r="C301" s="709"/>
      <c r="D301" s="710"/>
      <c r="E301" s="711"/>
      <c r="F301" s="712"/>
      <c r="G301" s="713"/>
      <c r="H301" s="714"/>
      <c r="I301" s="715"/>
      <c r="J301" s="368" t="str">
        <f>VLOOKUP(B301,[4]CN!$B$33:$J$365,9,FALSE)</f>
        <v>NV Bảo vệ</v>
      </c>
      <c r="K301" s="716"/>
      <c r="L301" s="717"/>
      <c r="M301" s="718"/>
      <c r="N301" s="719"/>
      <c r="O301" s="720"/>
      <c r="P301" s="721"/>
      <c r="Q301" s="719"/>
      <c r="R301" s="722"/>
      <c r="S301" s="717"/>
      <c r="T301" s="723"/>
      <c r="U301" s="717"/>
      <c r="V301" s="724"/>
      <c r="W301" s="725"/>
      <c r="X301" s="726"/>
      <c r="Y301" s="727">
        <v>1684800</v>
      </c>
      <c r="Z301" s="664">
        <f t="shared" si="62"/>
        <v>0.93600000000000005</v>
      </c>
      <c r="AA301" s="662">
        <v>1800000</v>
      </c>
      <c r="AB301" s="663">
        <f t="shared" si="63"/>
        <v>1684800</v>
      </c>
      <c r="AC301" s="568">
        <f t="shared" si="65"/>
        <v>279</v>
      </c>
      <c r="AD301" s="493"/>
      <c r="AE301" s="141"/>
      <c r="AF301" s="108"/>
      <c r="AG301" s="108"/>
      <c r="AH301" s="155"/>
      <c r="AI301" s="108"/>
      <c r="AJ301" s="108"/>
      <c r="AK301" s="108"/>
      <c r="AL301" s="108"/>
      <c r="AM301" s="108"/>
      <c r="AN301" s="108"/>
      <c r="AO301" s="108"/>
      <c r="AP301" s="108"/>
      <c r="AQ301" s="108"/>
      <c r="AR301" s="108"/>
    </row>
    <row r="302" spans="1:44" s="372" customFormat="1" ht="30.75" customHeight="1">
      <c r="A302" s="379">
        <f>_xlfn.AGGREGATE(4,7,A$19:A301)+1</f>
        <v>280</v>
      </c>
      <c r="B302" s="363" t="s">
        <v>2054</v>
      </c>
      <c r="C302" s="709"/>
      <c r="D302" s="710"/>
      <c r="E302" s="711"/>
      <c r="F302" s="712"/>
      <c r="G302" s="713"/>
      <c r="H302" s="714"/>
      <c r="I302" s="715"/>
      <c r="J302" s="368" t="str">
        <f>VLOOKUP(B302,[4]CN!$B$33:$J$365,9,FALSE)</f>
        <v>NV Lái xe</v>
      </c>
      <c r="K302" s="716"/>
      <c r="L302" s="717"/>
      <c r="M302" s="718"/>
      <c r="N302" s="719"/>
      <c r="O302" s="720"/>
      <c r="P302" s="721"/>
      <c r="Q302" s="719"/>
      <c r="R302" s="722"/>
      <c r="S302" s="717"/>
      <c r="T302" s="723"/>
      <c r="U302" s="717"/>
      <c r="V302" s="724"/>
      <c r="W302" s="725"/>
      <c r="X302" s="726"/>
      <c r="Y302" s="727">
        <v>5152820</v>
      </c>
      <c r="Z302" s="664">
        <f t="shared" si="62"/>
        <v>2.8626777777777779</v>
      </c>
      <c r="AA302" s="662">
        <v>1800000</v>
      </c>
      <c r="AB302" s="663">
        <f t="shared" si="63"/>
        <v>5152820</v>
      </c>
      <c r="AC302" s="568">
        <f t="shared" si="65"/>
        <v>280</v>
      </c>
      <c r="AD302" s="493"/>
      <c r="AE302" s="141"/>
      <c r="AF302" s="108"/>
      <c r="AG302" s="108"/>
      <c r="AH302" s="155"/>
      <c r="AI302" s="108"/>
      <c r="AJ302" s="108"/>
      <c r="AK302" s="108"/>
      <c r="AL302" s="108"/>
      <c r="AM302" s="108"/>
      <c r="AN302" s="108"/>
      <c r="AO302" s="108"/>
      <c r="AP302" s="108"/>
      <c r="AQ302" s="108"/>
      <c r="AR302" s="108"/>
    </row>
    <row r="303" spans="1:44" s="372" customFormat="1" ht="30.75" customHeight="1">
      <c r="A303" s="379">
        <f>_xlfn.AGGREGATE(4,7,A$19:A302)+1</f>
        <v>281</v>
      </c>
      <c r="B303" s="363" t="s">
        <v>2055</v>
      </c>
      <c r="C303" s="709"/>
      <c r="D303" s="710"/>
      <c r="E303" s="711"/>
      <c r="F303" s="712"/>
      <c r="G303" s="713"/>
      <c r="H303" s="714"/>
      <c r="I303" s="715"/>
      <c r="J303" s="368" t="str">
        <f>VLOOKUP(B303,[4]CN!$B$33:$J$365,9,FALSE)</f>
        <v>NV Phuc vụ Phòng TC - HC - TH</v>
      </c>
      <c r="K303" s="716"/>
      <c r="L303" s="717"/>
      <c r="M303" s="718"/>
      <c r="N303" s="719"/>
      <c r="O303" s="720"/>
      <c r="P303" s="721"/>
      <c r="Q303" s="719"/>
      <c r="R303" s="722"/>
      <c r="S303" s="717"/>
      <c r="T303" s="723"/>
      <c r="U303" s="717"/>
      <c r="V303" s="724"/>
      <c r="W303" s="725"/>
      <c r="X303" s="726"/>
      <c r="Y303" s="727">
        <v>2167074</v>
      </c>
      <c r="Z303" s="664">
        <f t="shared" si="62"/>
        <v>1.2039299999999999</v>
      </c>
      <c r="AA303" s="662">
        <v>1800000</v>
      </c>
      <c r="AB303" s="663">
        <f t="shared" si="63"/>
        <v>2167074</v>
      </c>
      <c r="AC303" s="568">
        <f t="shared" si="65"/>
        <v>281</v>
      </c>
      <c r="AD303" s="493"/>
      <c r="AE303" s="141"/>
      <c r="AF303" s="108"/>
      <c r="AG303" s="108"/>
      <c r="AH303" s="155"/>
      <c r="AI303" s="108"/>
      <c r="AJ303" s="108"/>
      <c r="AK303" s="108"/>
      <c r="AL303" s="108"/>
      <c r="AM303" s="108"/>
      <c r="AN303" s="108"/>
      <c r="AO303" s="108"/>
      <c r="AP303" s="108"/>
      <c r="AQ303" s="108"/>
      <c r="AR303" s="108"/>
    </row>
    <row r="304" spans="1:44" s="372" customFormat="1" ht="52.5" customHeight="1">
      <c r="A304" s="543">
        <f>_xlfn.AGGREGATE(4,7,A$19:A303)+1</f>
        <v>282</v>
      </c>
      <c r="B304" s="575" t="s">
        <v>2056</v>
      </c>
      <c r="C304" s="731"/>
      <c r="D304" s="732"/>
      <c r="E304" s="733"/>
      <c r="F304" s="734"/>
      <c r="G304" s="735"/>
      <c r="H304" s="736"/>
      <c r="I304" s="737"/>
      <c r="J304" s="472" t="str">
        <f>VLOOKUP(B304,[4]CN!$B$33:$J$365,9,FALSE)</f>
        <v>Nhân viên phòng Thanh tra GD - Công tác SV</v>
      </c>
      <c r="K304" s="738"/>
      <c r="L304" s="739"/>
      <c r="M304" s="740"/>
      <c r="N304" s="741"/>
      <c r="O304" s="742"/>
      <c r="P304" s="743"/>
      <c r="Q304" s="741"/>
      <c r="R304" s="744"/>
      <c r="S304" s="739"/>
      <c r="T304" s="745"/>
      <c r="U304" s="739"/>
      <c r="V304" s="739"/>
      <c r="W304" s="746"/>
      <c r="X304" s="747"/>
      <c r="Y304" s="748">
        <v>2072751</v>
      </c>
      <c r="Z304" s="707">
        <f t="shared" si="62"/>
        <v>1.1515283333333333</v>
      </c>
      <c r="AA304" s="708">
        <v>1800000</v>
      </c>
      <c r="AB304" s="706">
        <f t="shared" si="63"/>
        <v>2072750.9999999998</v>
      </c>
      <c r="AC304" s="571">
        <f t="shared" si="65"/>
        <v>282</v>
      </c>
      <c r="AD304" s="768" t="s">
        <v>2167</v>
      </c>
      <c r="AE304" s="141"/>
      <c r="AF304" s="108"/>
      <c r="AG304" s="108"/>
      <c r="AH304" s="155"/>
      <c r="AI304" s="108"/>
      <c r="AJ304" s="108"/>
      <c r="AK304" s="108"/>
      <c r="AL304" s="108"/>
      <c r="AM304" s="108"/>
      <c r="AN304" s="108"/>
      <c r="AO304" s="108"/>
      <c r="AP304" s="108"/>
      <c r="AQ304" s="108"/>
      <c r="AR304" s="108"/>
    </row>
    <row r="305" spans="1:44" s="372" customFormat="1" ht="30.75" customHeight="1">
      <c r="A305" s="379">
        <f>_xlfn.AGGREGATE(4,7,A$19:A304)+1</f>
        <v>283</v>
      </c>
      <c r="B305" s="363" t="s">
        <v>2057</v>
      </c>
      <c r="C305" s="709"/>
      <c r="D305" s="710"/>
      <c r="E305" s="711"/>
      <c r="F305" s="712"/>
      <c r="G305" s="713"/>
      <c r="H305" s="714"/>
      <c r="I305" s="715"/>
      <c r="J305" s="368" t="str">
        <f>VLOOKUP(B305,[4]CN!$B$33:$J$365,9,FALSE)</f>
        <v>NV Phòng Tổ chức - Hành chính - Tổng hợp</v>
      </c>
      <c r="K305" s="716"/>
      <c r="L305" s="717"/>
      <c r="M305" s="718"/>
      <c r="N305" s="719"/>
      <c r="O305" s="720"/>
      <c r="P305" s="721"/>
      <c r="Q305" s="719"/>
      <c r="R305" s="722"/>
      <c r="S305" s="717"/>
      <c r="T305" s="723"/>
      <c r="U305" s="717"/>
      <c r="V305" s="724"/>
      <c r="W305" s="725"/>
      <c r="X305" s="726"/>
      <c r="Y305" s="727">
        <v>7156479</v>
      </c>
      <c r="Z305" s="664">
        <f t="shared" si="62"/>
        <v>3.9758216666666666</v>
      </c>
      <c r="AA305" s="662">
        <v>1800000</v>
      </c>
      <c r="AB305" s="663">
        <f t="shared" si="63"/>
        <v>7156479</v>
      </c>
      <c r="AC305" s="568">
        <f t="shared" si="65"/>
        <v>283</v>
      </c>
      <c r="AD305" s="493"/>
      <c r="AE305" s="141"/>
      <c r="AF305" s="108"/>
      <c r="AG305" s="108"/>
      <c r="AH305" s="155"/>
      <c r="AI305" s="108"/>
      <c r="AJ305" s="108"/>
      <c r="AK305" s="108"/>
      <c r="AL305" s="108"/>
      <c r="AM305" s="108"/>
      <c r="AN305" s="108"/>
      <c r="AO305" s="108"/>
      <c r="AP305" s="108"/>
      <c r="AQ305" s="108"/>
      <c r="AR305" s="108"/>
    </row>
    <row r="306" spans="1:44" s="372" customFormat="1" ht="30.75" customHeight="1">
      <c r="A306" s="379">
        <f>_xlfn.AGGREGATE(4,7,A$19:A305)+1</f>
        <v>284</v>
      </c>
      <c r="B306" s="363" t="s">
        <v>2059</v>
      </c>
      <c r="C306" s="709"/>
      <c r="D306" s="710"/>
      <c r="E306" s="711"/>
      <c r="F306" s="712"/>
      <c r="G306" s="713"/>
      <c r="H306" s="714"/>
      <c r="I306" s="715"/>
      <c r="J306" s="368" t="str">
        <f>VLOOKUP(B306,[4]CN!$B$33:$J$365,9,FALSE)</f>
        <v>Nhân viên bảo vệ</v>
      </c>
      <c r="K306" s="716"/>
      <c r="L306" s="717"/>
      <c r="M306" s="718"/>
      <c r="N306" s="719"/>
      <c r="O306" s="720"/>
      <c r="P306" s="721"/>
      <c r="Q306" s="719"/>
      <c r="R306" s="722"/>
      <c r="S306" s="717"/>
      <c r="T306" s="723"/>
      <c r="U306" s="717"/>
      <c r="V306" s="724"/>
      <c r="W306" s="725"/>
      <c r="X306" s="726"/>
      <c r="Y306" s="727">
        <v>1965600</v>
      </c>
      <c r="Z306" s="664">
        <f t="shared" si="62"/>
        <v>1.0920000000000001</v>
      </c>
      <c r="AA306" s="662">
        <v>1800000</v>
      </c>
      <c r="AB306" s="663">
        <f t="shared" si="63"/>
        <v>1965600.0000000002</v>
      </c>
      <c r="AC306" s="568">
        <f t="shared" si="65"/>
        <v>284</v>
      </c>
      <c r="AD306" s="493"/>
      <c r="AE306" s="141"/>
      <c r="AF306" s="108"/>
      <c r="AG306" s="108"/>
      <c r="AH306" s="155"/>
      <c r="AI306" s="108"/>
      <c r="AJ306" s="108"/>
      <c r="AK306" s="108"/>
      <c r="AL306" s="108"/>
      <c r="AM306" s="108"/>
      <c r="AN306" s="108"/>
      <c r="AO306" s="108"/>
      <c r="AP306" s="108"/>
      <c r="AQ306" s="108"/>
      <c r="AR306" s="108"/>
    </row>
    <row r="307" spans="1:44" s="372" customFormat="1" ht="30.75" customHeight="1">
      <c r="A307" s="379">
        <f>_xlfn.AGGREGATE(4,7,A$19:A306)+1</f>
        <v>285</v>
      </c>
      <c r="B307" s="363" t="s">
        <v>2060</v>
      </c>
      <c r="C307" s="709"/>
      <c r="D307" s="710"/>
      <c r="E307" s="711"/>
      <c r="F307" s="712"/>
      <c r="G307" s="713"/>
      <c r="H307" s="714"/>
      <c r="I307" s="715"/>
      <c r="J307" s="368" t="str">
        <f>VLOOKUP(B307,[4]CN!$B$33:$J$365,9,FALSE)</f>
        <v>NV Phòng Tổ chức - Hành chính - Tổng hợp</v>
      </c>
      <c r="K307" s="716"/>
      <c r="L307" s="717"/>
      <c r="M307" s="718"/>
      <c r="N307" s="719"/>
      <c r="O307" s="720"/>
      <c r="P307" s="721"/>
      <c r="Q307" s="719"/>
      <c r="R307" s="722"/>
      <c r="S307" s="717"/>
      <c r="T307" s="723"/>
      <c r="U307" s="717"/>
      <c r="V307" s="724"/>
      <c r="W307" s="725"/>
      <c r="X307" s="726"/>
      <c r="Y307" s="727">
        <v>5482036</v>
      </c>
      <c r="Z307" s="664">
        <f t="shared" si="62"/>
        <v>3.0455755555555557</v>
      </c>
      <c r="AA307" s="662">
        <v>1800000</v>
      </c>
      <c r="AB307" s="663">
        <f t="shared" si="63"/>
        <v>5482036</v>
      </c>
      <c r="AC307" s="568">
        <f t="shared" si="65"/>
        <v>285</v>
      </c>
      <c r="AD307" s="493"/>
      <c r="AE307" s="141"/>
      <c r="AF307" s="108"/>
      <c r="AG307" s="108"/>
      <c r="AH307" s="155"/>
      <c r="AI307" s="108"/>
      <c r="AJ307" s="108"/>
      <c r="AK307" s="108"/>
      <c r="AL307" s="108"/>
      <c r="AM307" s="108"/>
      <c r="AN307" s="108"/>
      <c r="AO307" s="108"/>
      <c r="AP307" s="108"/>
      <c r="AQ307" s="108"/>
      <c r="AR307" s="108"/>
    </row>
    <row r="308" spans="1:44" s="372" customFormat="1" ht="30.75" customHeight="1">
      <c r="A308" s="379">
        <f>_xlfn.AGGREGATE(4,7,A$19:A307)+1</f>
        <v>286</v>
      </c>
      <c r="B308" s="444" t="s">
        <v>2062</v>
      </c>
      <c r="C308" s="709"/>
      <c r="D308" s="710"/>
      <c r="E308" s="711"/>
      <c r="F308" s="712"/>
      <c r="G308" s="713"/>
      <c r="H308" s="714"/>
      <c r="I308" s="715"/>
      <c r="J308" s="368" t="str">
        <f>VLOOKUP(B308,[4]CN!$B$33:$J$365,9,FALSE)</f>
        <v>NV P. QT 
Dịch vụ</v>
      </c>
      <c r="K308" s="716"/>
      <c r="L308" s="717"/>
      <c r="M308" s="718"/>
      <c r="N308" s="719"/>
      <c r="O308" s="720"/>
      <c r="P308" s="721"/>
      <c r="Q308" s="719"/>
      <c r="R308" s="722"/>
      <c r="S308" s="717"/>
      <c r="T308" s="723"/>
      <c r="U308" s="717"/>
      <c r="V308" s="724"/>
      <c r="W308" s="725"/>
      <c r="X308" s="726"/>
      <c r="Y308" s="727">
        <v>5278653</v>
      </c>
      <c r="Z308" s="664">
        <f t="shared" si="62"/>
        <v>2.932585</v>
      </c>
      <c r="AA308" s="662">
        <v>1800000</v>
      </c>
      <c r="AB308" s="663">
        <f t="shared" si="63"/>
        <v>5278653</v>
      </c>
      <c r="AC308" s="568">
        <f t="shared" si="65"/>
        <v>286</v>
      </c>
      <c r="AD308" s="493"/>
      <c r="AE308" s="141"/>
      <c r="AF308" s="108"/>
      <c r="AG308" s="108"/>
      <c r="AH308" s="155"/>
      <c r="AI308" s="108"/>
      <c r="AJ308" s="108"/>
      <c r="AK308" s="108"/>
      <c r="AL308" s="108"/>
      <c r="AM308" s="108"/>
      <c r="AN308" s="108"/>
      <c r="AO308" s="108"/>
      <c r="AP308" s="108"/>
      <c r="AQ308" s="108"/>
      <c r="AR308" s="108"/>
    </row>
    <row r="309" spans="1:44" s="372" customFormat="1" ht="30.75" customHeight="1">
      <c r="A309" s="379">
        <f>_xlfn.AGGREGATE(4,7,A$19:A308)+1</f>
        <v>287</v>
      </c>
      <c r="B309" s="444" t="s">
        <v>2065</v>
      </c>
      <c r="C309" s="709"/>
      <c r="D309" s="710"/>
      <c r="E309" s="711"/>
      <c r="F309" s="712"/>
      <c r="G309" s="713"/>
      <c r="H309" s="714"/>
      <c r="I309" s="715"/>
      <c r="J309" s="368" t="str">
        <f>VLOOKUP(B309,[4]CN!$B$33:$J$365,9,FALSE)</f>
        <v>NV Phòng Quản trị - Dịch vụ</v>
      </c>
      <c r="K309" s="716"/>
      <c r="L309" s="717"/>
      <c r="M309" s="718"/>
      <c r="N309" s="719"/>
      <c r="O309" s="720"/>
      <c r="P309" s="721"/>
      <c r="Q309" s="719"/>
      <c r="R309" s="722"/>
      <c r="S309" s="717"/>
      <c r="T309" s="723"/>
      <c r="U309" s="717"/>
      <c r="V309" s="724"/>
      <c r="W309" s="725"/>
      <c r="X309" s="726"/>
      <c r="Y309" s="727">
        <v>6263286</v>
      </c>
      <c r="Z309" s="664">
        <f t="shared" si="62"/>
        <v>3.4796033333333334</v>
      </c>
      <c r="AA309" s="662">
        <v>1800000</v>
      </c>
      <c r="AB309" s="663">
        <f t="shared" si="63"/>
        <v>6263286</v>
      </c>
      <c r="AC309" s="568">
        <f t="shared" si="65"/>
        <v>287</v>
      </c>
      <c r="AD309" s="493"/>
      <c r="AE309" s="141"/>
      <c r="AF309" s="108"/>
      <c r="AG309" s="108"/>
      <c r="AH309" s="155"/>
      <c r="AI309" s="108"/>
      <c r="AJ309" s="108"/>
      <c r="AK309" s="108"/>
      <c r="AL309" s="108"/>
      <c r="AM309" s="108"/>
      <c r="AN309" s="108"/>
      <c r="AO309" s="108"/>
      <c r="AP309" s="108"/>
      <c r="AQ309" s="108"/>
      <c r="AR309" s="108"/>
    </row>
    <row r="310" spans="1:44" s="372" customFormat="1" ht="30.75" customHeight="1">
      <c r="A310" s="379">
        <f>_xlfn.AGGREGATE(4,7,A$19:A309)+1</f>
        <v>288</v>
      </c>
      <c r="B310" s="444" t="s">
        <v>2067</v>
      </c>
      <c r="C310" s="709"/>
      <c r="D310" s="710"/>
      <c r="E310" s="711"/>
      <c r="F310" s="712"/>
      <c r="G310" s="713"/>
      <c r="H310" s="714"/>
      <c r="I310" s="715"/>
      <c r="J310" s="368" t="str">
        <f>VLOOKUP(B310,[4]CN!$B$33:$J$365,9,FALSE)</f>
        <v>NV bảo trì</v>
      </c>
      <c r="K310" s="716"/>
      <c r="L310" s="717"/>
      <c r="M310" s="718"/>
      <c r="N310" s="719"/>
      <c r="O310" s="720"/>
      <c r="P310" s="721"/>
      <c r="Q310" s="719"/>
      <c r="R310" s="722"/>
      <c r="S310" s="717"/>
      <c r="T310" s="723"/>
      <c r="U310" s="717"/>
      <c r="V310" s="724"/>
      <c r="W310" s="725"/>
      <c r="X310" s="726"/>
      <c r="Y310" s="727">
        <v>4443772</v>
      </c>
      <c r="Z310" s="664">
        <f t="shared" si="62"/>
        <v>2.4687622222222223</v>
      </c>
      <c r="AA310" s="662">
        <v>1800000</v>
      </c>
      <c r="AB310" s="663">
        <f t="shared" si="63"/>
        <v>4443772</v>
      </c>
      <c r="AC310" s="568">
        <f t="shared" si="65"/>
        <v>288</v>
      </c>
      <c r="AD310" s="493"/>
      <c r="AE310" s="141"/>
      <c r="AF310" s="108"/>
      <c r="AG310" s="108"/>
      <c r="AH310" s="155"/>
      <c r="AI310" s="108"/>
      <c r="AJ310" s="108"/>
      <c r="AK310" s="108"/>
      <c r="AL310" s="108"/>
      <c r="AM310" s="108"/>
      <c r="AN310" s="108"/>
      <c r="AO310" s="108"/>
      <c r="AP310" s="108"/>
      <c r="AQ310" s="108"/>
      <c r="AR310" s="108"/>
    </row>
    <row r="311" spans="1:44" s="372" customFormat="1" ht="30.75" customHeight="1">
      <c r="A311" s="379">
        <f>_xlfn.AGGREGATE(4,7,A$19:A310)+1</f>
        <v>289</v>
      </c>
      <c r="B311" s="444" t="s">
        <v>2069</v>
      </c>
      <c r="C311" s="709"/>
      <c r="D311" s="710"/>
      <c r="E311" s="711"/>
      <c r="F311" s="712"/>
      <c r="G311" s="713"/>
      <c r="H311" s="714"/>
      <c r="I311" s="715"/>
      <c r="J311" s="368" t="str">
        <f>VLOOKUP(B311,[4]CN!$B$33:$J$365,9,FALSE)</f>
        <v>NV P. QT 
Dịch vụ</v>
      </c>
      <c r="K311" s="716"/>
      <c r="L311" s="717"/>
      <c r="M311" s="718"/>
      <c r="N311" s="719"/>
      <c r="O311" s="720"/>
      <c r="P311" s="721"/>
      <c r="Q311" s="719"/>
      <c r="R311" s="722"/>
      <c r="S311" s="717"/>
      <c r="T311" s="723"/>
      <c r="U311" s="717"/>
      <c r="V311" s="724"/>
      <c r="W311" s="725"/>
      <c r="X311" s="726"/>
      <c r="Y311" s="727">
        <v>6183384</v>
      </c>
      <c r="Z311" s="664">
        <f t="shared" si="62"/>
        <v>3.4352133333333335</v>
      </c>
      <c r="AA311" s="662">
        <v>1800000</v>
      </c>
      <c r="AB311" s="663">
        <f t="shared" si="63"/>
        <v>6183384</v>
      </c>
      <c r="AC311" s="568">
        <f t="shared" si="65"/>
        <v>289</v>
      </c>
      <c r="AD311" s="493"/>
      <c r="AE311" s="141"/>
      <c r="AF311" s="108"/>
      <c r="AG311" s="108"/>
      <c r="AH311" s="155"/>
      <c r="AI311" s="108"/>
      <c r="AJ311" s="108"/>
      <c r="AK311" s="108"/>
      <c r="AL311" s="108"/>
      <c r="AM311" s="108"/>
      <c r="AN311" s="108"/>
      <c r="AO311" s="108"/>
      <c r="AP311" s="108"/>
      <c r="AQ311" s="108"/>
      <c r="AR311" s="108"/>
    </row>
    <row r="312" spans="1:44" s="372" customFormat="1" ht="30.75" customHeight="1">
      <c r="A312" s="379">
        <f>_xlfn.AGGREGATE(4,7,A$19:A311)+1</f>
        <v>290</v>
      </c>
      <c r="B312" s="363" t="s">
        <v>2073</v>
      </c>
      <c r="C312" s="709"/>
      <c r="D312" s="710"/>
      <c r="E312" s="711"/>
      <c r="F312" s="712"/>
      <c r="G312" s="713"/>
      <c r="H312" s="714"/>
      <c r="I312" s="715"/>
      <c r="J312" s="368" t="str">
        <f>VLOOKUP(B312,[4]CN!$B$33:$J$365,9,FALSE)</f>
        <v>NV P. QT 
Dịch vụ</v>
      </c>
      <c r="K312" s="716"/>
      <c r="L312" s="717"/>
      <c r="M312" s="718"/>
      <c r="N312" s="719"/>
      <c r="O312" s="720"/>
      <c r="P312" s="721"/>
      <c r="Q312" s="719"/>
      <c r="R312" s="722"/>
      <c r="S312" s="717"/>
      <c r="T312" s="723"/>
      <c r="U312" s="717"/>
      <c r="V312" s="724"/>
      <c r="W312" s="725"/>
      <c r="X312" s="726"/>
      <c r="Y312" s="727">
        <v>6817181</v>
      </c>
      <c r="Z312" s="664">
        <f t="shared" si="62"/>
        <v>3.7873227777777778</v>
      </c>
      <c r="AA312" s="662">
        <v>1800000</v>
      </c>
      <c r="AB312" s="663">
        <f t="shared" si="63"/>
        <v>6817181</v>
      </c>
      <c r="AC312" s="568">
        <f t="shared" si="65"/>
        <v>290</v>
      </c>
      <c r="AD312" s="493"/>
      <c r="AE312" s="141"/>
      <c r="AF312" s="108"/>
      <c r="AG312" s="108"/>
      <c r="AH312" s="155"/>
      <c r="AI312" s="108"/>
      <c r="AJ312" s="108"/>
      <c r="AK312" s="108"/>
      <c r="AL312" s="108"/>
      <c r="AM312" s="108"/>
      <c r="AN312" s="108"/>
      <c r="AO312" s="108"/>
      <c r="AP312" s="108"/>
      <c r="AQ312" s="108"/>
      <c r="AR312" s="108"/>
    </row>
    <row r="313" spans="1:44" s="372" customFormat="1" ht="30.75" customHeight="1">
      <c r="A313" s="379">
        <f>_xlfn.AGGREGATE(4,7,A$19:A312)+1</f>
        <v>291</v>
      </c>
      <c r="B313" s="363" t="s">
        <v>2075</v>
      </c>
      <c r="C313" s="709"/>
      <c r="D313" s="710"/>
      <c r="E313" s="711"/>
      <c r="F313" s="712"/>
      <c r="G313" s="713"/>
      <c r="H313" s="714"/>
      <c r="I313" s="715"/>
      <c r="J313" s="368" t="str">
        <f>VLOOKUP(B313,[4]CN!$B$33:$J$365,9,FALSE)</f>
        <v>NV Phục vụ</v>
      </c>
      <c r="K313" s="716"/>
      <c r="L313" s="717"/>
      <c r="M313" s="718"/>
      <c r="N313" s="719"/>
      <c r="O313" s="720"/>
      <c r="P313" s="721"/>
      <c r="Q313" s="719"/>
      <c r="R313" s="722"/>
      <c r="S313" s="717"/>
      <c r="T313" s="723"/>
      <c r="U313" s="717"/>
      <c r="V313" s="724"/>
      <c r="W313" s="725"/>
      <c r="X313" s="726"/>
      <c r="Y313" s="727">
        <v>3361843</v>
      </c>
      <c r="Z313" s="664">
        <f t="shared" si="62"/>
        <v>1.8676905555555556</v>
      </c>
      <c r="AA313" s="662">
        <v>1800000</v>
      </c>
      <c r="AB313" s="663">
        <f t="shared" si="63"/>
        <v>3361843</v>
      </c>
      <c r="AC313" s="568">
        <f t="shared" si="65"/>
        <v>291</v>
      </c>
      <c r="AD313" s="493"/>
      <c r="AE313" s="141"/>
      <c r="AF313" s="108"/>
      <c r="AG313" s="108"/>
      <c r="AH313" s="155"/>
      <c r="AI313" s="108"/>
      <c r="AJ313" s="108"/>
      <c r="AK313" s="108"/>
      <c r="AL313" s="108"/>
      <c r="AM313" s="108"/>
      <c r="AN313" s="108"/>
      <c r="AO313" s="108"/>
      <c r="AP313" s="108"/>
      <c r="AQ313" s="108"/>
      <c r="AR313" s="108"/>
    </row>
    <row r="314" spans="1:44" s="372" customFormat="1" ht="30.75" customHeight="1">
      <c r="A314" s="660">
        <f>_xlfn.AGGREGATE(4,7,A$19:A313)+1</f>
        <v>292</v>
      </c>
      <c r="B314" s="563" t="s">
        <v>2077</v>
      </c>
      <c r="C314" s="749"/>
      <c r="D314" s="750"/>
      <c r="E314" s="751"/>
      <c r="F314" s="752"/>
      <c r="G314" s="753"/>
      <c r="H314" s="754"/>
      <c r="I314" s="755"/>
      <c r="J314" s="554" t="str">
        <f>VLOOKUP(B314,[4]CN!$B$33:$J$365,9,FALSE)</f>
        <v>NV Phục vụ</v>
      </c>
      <c r="K314" s="756"/>
      <c r="L314" s="757"/>
      <c r="M314" s="758"/>
      <c r="N314" s="759"/>
      <c r="O314" s="760"/>
      <c r="P314" s="761"/>
      <c r="Q314" s="759"/>
      <c r="R314" s="762"/>
      <c r="S314" s="757"/>
      <c r="T314" s="763"/>
      <c r="U314" s="757"/>
      <c r="V314" s="757"/>
      <c r="W314" s="764"/>
      <c r="X314" s="765"/>
      <c r="Y314" s="766">
        <v>2240784</v>
      </c>
      <c r="Z314" s="704">
        <f t="shared" si="62"/>
        <v>1.24488</v>
      </c>
      <c r="AA314" s="705">
        <v>1800000</v>
      </c>
      <c r="AB314" s="703">
        <f t="shared" si="63"/>
        <v>2240784</v>
      </c>
      <c r="AC314" s="573">
        <f t="shared" si="65"/>
        <v>292</v>
      </c>
      <c r="AD314" s="769" t="s">
        <v>2166</v>
      </c>
      <c r="AE314" s="141"/>
      <c r="AF314" s="108"/>
      <c r="AG314" s="108"/>
      <c r="AH314" s="155"/>
      <c r="AI314" s="108"/>
      <c r="AJ314" s="108"/>
      <c r="AK314" s="108"/>
      <c r="AL314" s="108"/>
      <c r="AM314" s="108"/>
      <c r="AN314" s="108"/>
      <c r="AO314" s="108"/>
      <c r="AP314" s="108"/>
      <c r="AQ314" s="108"/>
      <c r="AR314" s="108"/>
    </row>
    <row r="315" spans="1:44" s="372" customFormat="1" ht="30.75" customHeight="1">
      <c r="A315" s="379">
        <f>_xlfn.AGGREGATE(4,7,A$19:A314)+1</f>
        <v>293</v>
      </c>
      <c r="B315" s="363" t="s">
        <v>2080</v>
      </c>
      <c r="C315" s="709"/>
      <c r="D315" s="710"/>
      <c r="E315" s="711"/>
      <c r="F315" s="712"/>
      <c r="G315" s="713"/>
      <c r="H315" s="714"/>
      <c r="I315" s="715"/>
      <c r="J315" s="368" t="str">
        <f>VLOOKUP(B315,[4]CN!$B$33:$J$365,9,FALSE)</f>
        <v>NV Phục vụ</v>
      </c>
      <c r="K315" s="716"/>
      <c r="L315" s="717"/>
      <c r="M315" s="718"/>
      <c r="N315" s="719"/>
      <c r="O315" s="720"/>
      <c r="P315" s="721"/>
      <c r="Q315" s="719"/>
      <c r="R315" s="722"/>
      <c r="S315" s="717"/>
      <c r="T315" s="723"/>
      <c r="U315" s="717"/>
      <c r="V315" s="724"/>
      <c r="W315" s="725"/>
      <c r="X315" s="726"/>
      <c r="Y315" s="727">
        <v>2063880</v>
      </c>
      <c r="Z315" s="664">
        <f t="shared" si="62"/>
        <v>1.1466000000000001</v>
      </c>
      <c r="AA315" s="662">
        <v>1800000</v>
      </c>
      <c r="AB315" s="663">
        <f t="shared" si="63"/>
        <v>2063880</v>
      </c>
      <c r="AC315" s="568">
        <f t="shared" si="65"/>
        <v>293</v>
      </c>
      <c r="AD315" s="493"/>
      <c r="AE315" s="141"/>
      <c r="AF315" s="108"/>
      <c r="AG315" s="108"/>
      <c r="AH315" s="155"/>
      <c r="AI315" s="108"/>
      <c r="AJ315" s="108"/>
      <c r="AK315" s="108"/>
      <c r="AL315" s="108"/>
      <c r="AM315" s="108"/>
      <c r="AN315" s="108"/>
      <c r="AO315" s="108"/>
      <c r="AP315" s="108"/>
      <c r="AQ315" s="108"/>
      <c r="AR315" s="108"/>
    </row>
    <row r="316" spans="1:44" s="372" customFormat="1" ht="30.75" customHeight="1">
      <c r="A316" s="379">
        <f>_xlfn.AGGREGATE(4,7,A$19:A315)+1</f>
        <v>294</v>
      </c>
      <c r="B316" s="363" t="s">
        <v>2082</v>
      </c>
      <c r="C316" s="709"/>
      <c r="D316" s="710"/>
      <c r="E316" s="711"/>
      <c r="F316" s="712"/>
      <c r="G316" s="713"/>
      <c r="H316" s="714"/>
      <c r="I316" s="715"/>
      <c r="J316" s="368" t="str">
        <f>VLOOKUP(B316,[4]CN!$B$33:$J$365,9,FALSE)</f>
        <v>NV Phục vụ</v>
      </c>
      <c r="K316" s="716"/>
      <c r="L316" s="717"/>
      <c r="M316" s="718"/>
      <c r="N316" s="719"/>
      <c r="O316" s="720"/>
      <c r="P316" s="721"/>
      <c r="Q316" s="719"/>
      <c r="R316" s="722"/>
      <c r="S316" s="717"/>
      <c r="T316" s="723"/>
      <c r="U316" s="717"/>
      <c r="V316" s="724"/>
      <c r="W316" s="725"/>
      <c r="X316" s="726"/>
      <c r="Y316" s="727">
        <v>1582825</v>
      </c>
      <c r="Z316" s="664">
        <f t="shared" si="62"/>
        <v>0.87934722222222217</v>
      </c>
      <c r="AA316" s="662">
        <v>1800000</v>
      </c>
      <c r="AB316" s="663">
        <f t="shared" si="63"/>
        <v>1582825</v>
      </c>
      <c r="AC316" s="568">
        <f t="shared" si="65"/>
        <v>294</v>
      </c>
      <c r="AD316" s="493"/>
      <c r="AE316" s="141"/>
      <c r="AF316" s="108"/>
      <c r="AG316" s="108"/>
      <c r="AH316" s="155"/>
      <c r="AI316" s="108"/>
      <c r="AJ316" s="108"/>
      <c r="AK316" s="108"/>
      <c r="AL316" s="108"/>
      <c r="AM316" s="108"/>
      <c r="AN316" s="108"/>
      <c r="AO316" s="108"/>
      <c r="AP316" s="108"/>
      <c r="AQ316" s="108"/>
      <c r="AR316" s="108"/>
    </row>
    <row r="317" spans="1:44" s="372" customFormat="1" ht="30.75" customHeight="1">
      <c r="A317" s="379">
        <f>_xlfn.AGGREGATE(4,7,A$19:A316)+1</f>
        <v>295</v>
      </c>
      <c r="B317" s="363" t="s">
        <v>2084</v>
      </c>
      <c r="C317" s="709"/>
      <c r="D317" s="710"/>
      <c r="E317" s="711"/>
      <c r="F317" s="712"/>
      <c r="G317" s="713"/>
      <c r="H317" s="714"/>
      <c r="I317" s="715"/>
      <c r="J317" s="368" t="str">
        <f>VLOOKUP(B317,[4]CN!$B$33:$J$365,9,FALSE)</f>
        <v>NV Phục vụ</v>
      </c>
      <c r="K317" s="716"/>
      <c r="L317" s="717"/>
      <c r="M317" s="718"/>
      <c r="N317" s="719"/>
      <c r="O317" s="720"/>
      <c r="P317" s="721"/>
      <c r="Q317" s="719"/>
      <c r="R317" s="722"/>
      <c r="S317" s="717"/>
      <c r="T317" s="723"/>
      <c r="U317" s="717"/>
      <c r="V317" s="724"/>
      <c r="W317" s="725"/>
      <c r="X317" s="726"/>
      <c r="Y317" s="727">
        <v>2063880</v>
      </c>
      <c r="Z317" s="664">
        <f t="shared" si="62"/>
        <v>1.1466000000000001</v>
      </c>
      <c r="AA317" s="662">
        <v>1800000</v>
      </c>
      <c r="AB317" s="663">
        <f t="shared" si="63"/>
        <v>2063880</v>
      </c>
      <c r="AC317" s="568">
        <f t="shared" si="65"/>
        <v>295</v>
      </c>
      <c r="AD317" s="493"/>
      <c r="AE317" s="141"/>
      <c r="AF317" s="108"/>
      <c r="AG317" s="108"/>
      <c r="AH317" s="155"/>
      <c r="AI317" s="108"/>
      <c r="AJ317" s="108"/>
      <c r="AK317" s="108"/>
      <c r="AL317" s="108"/>
      <c r="AM317" s="108"/>
      <c r="AN317" s="108"/>
      <c r="AO317" s="108"/>
      <c r="AP317" s="108"/>
      <c r="AQ317" s="108"/>
      <c r="AR317" s="108"/>
    </row>
    <row r="318" spans="1:44" s="372" customFormat="1" ht="30.75" customHeight="1">
      <c r="A318" s="379">
        <f>_xlfn.AGGREGATE(4,7,A$19:A317)+1</f>
        <v>296</v>
      </c>
      <c r="B318" s="363" t="s">
        <v>2086</v>
      </c>
      <c r="C318" s="709"/>
      <c r="D318" s="710"/>
      <c r="E318" s="711"/>
      <c r="F318" s="712"/>
      <c r="G318" s="713"/>
      <c r="H318" s="714"/>
      <c r="I318" s="715"/>
      <c r="J318" s="368" t="str">
        <f>VLOOKUP(B318,[4]CN!$B$33:$J$365,9,FALSE)</f>
        <v>Nhân viên phòng Quản trị - Dịch vụ</v>
      </c>
      <c r="K318" s="716"/>
      <c r="L318" s="717"/>
      <c r="M318" s="718"/>
      <c r="N318" s="719"/>
      <c r="O318" s="720"/>
      <c r="P318" s="721"/>
      <c r="Q318" s="719"/>
      <c r="R318" s="722"/>
      <c r="S318" s="717"/>
      <c r="T318" s="723"/>
      <c r="U318" s="717"/>
      <c r="V318" s="724"/>
      <c r="W318" s="725"/>
      <c r="X318" s="726"/>
      <c r="Y318" s="727">
        <v>2063880</v>
      </c>
      <c r="Z318" s="664">
        <f t="shared" si="62"/>
        <v>1.1466000000000001</v>
      </c>
      <c r="AA318" s="662">
        <v>1800000</v>
      </c>
      <c r="AB318" s="663">
        <f t="shared" si="63"/>
        <v>2063880</v>
      </c>
      <c r="AC318" s="568">
        <f t="shared" si="65"/>
        <v>296</v>
      </c>
      <c r="AD318" s="493"/>
      <c r="AE318" s="141"/>
      <c r="AF318" s="108"/>
      <c r="AG318" s="108"/>
      <c r="AH318" s="155"/>
      <c r="AI318" s="108"/>
      <c r="AJ318" s="108"/>
      <c r="AK318" s="108"/>
      <c r="AL318" s="108"/>
      <c r="AM318" s="108"/>
      <c r="AN318" s="108"/>
      <c r="AO318" s="108"/>
      <c r="AP318" s="108"/>
      <c r="AQ318" s="108"/>
      <c r="AR318" s="108"/>
    </row>
    <row r="319" spans="1:44" s="372" customFormat="1" ht="30.75" customHeight="1">
      <c r="A319" s="379">
        <f>_xlfn.AGGREGATE(4,7,A$19:A318)+1</f>
        <v>297</v>
      </c>
      <c r="B319" s="363" t="s">
        <v>2087</v>
      </c>
      <c r="C319" s="709"/>
      <c r="D319" s="710"/>
      <c r="E319" s="711"/>
      <c r="F319" s="712"/>
      <c r="G319" s="713"/>
      <c r="H319" s="714"/>
      <c r="I319" s="715"/>
      <c r="J319" s="368" t="str">
        <f>VLOOKUP(B319,[4]CN!$B$33:$J$365,9,FALSE)</f>
        <v>Nhân viên phòng Quản trị - Dịch vụ</v>
      </c>
      <c r="K319" s="716"/>
      <c r="L319" s="717"/>
      <c r="M319" s="718"/>
      <c r="N319" s="719"/>
      <c r="O319" s="720"/>
      <c r="P319" s="721"/>
      <c r="Q319" s="719"/>
      <c r="R319" s="722"/>
      <c r="S319" s="717"/>
      <c r="T319" s="723"/>
      <c r="U319" s="717"/>
      <c r="V319" s="724"/>
      <c r="W319" s="725"/>
      <c r="X319" s="726"/>
      <c r="Y319" s="727">
        <v>1474200</v>
      </c>
      <c r="Z319" s="664">
        <f t="shared" si="62"/>
        <v>0.81899999999999995</v>
      </c>
      <c r="AA319" s="662">
        <v>1800000</v>
      </c>
      <c r="AB319" s="663">
        <f t="shared" si="63"/>
        <v>1474200</v>
      </c>
      <c r="AC319" s="568">
        <f t="shared" si="65"/>
        <v>297</v>
      </c>
      <c r="AD319" s="493"/>
      <c r="AE319" s="141"/>
      <c r="AF319" s="108"/>
      <c r="AG319" s="108"/>
      <c r="AH319" s="155"/>
      <c r="AI319" s="108"/>
      <c r="AJ319" s="108"/>
      <c r="AK319" s="108"/>
      <c r="AL319" s="108"/>
      <c r="AM319" s="108"/>
      <c r="AN319" s="108"/>
      <c r="AO319" s="108"/>
      <c r="AP319" s="108"/>
      <c r="AQ319" s="108"/>
      <c r="AR319" s="108"/>
    </row>
    <row r="320" spans="1:44" s="372" customFormat="1" ht="30.75" customHeight="1">
      <c r="A320" s="379">
        <f>_xlfn.AGGREGATE(4,7,A$19:A319)+1</f>
        <v>298</v>
      </c>
      <c r="B320" s="363" t="s">
        <v>2088</v>
      </c>
      <c r="C320" s="709"/>
      <c r="D320" s="710"/>
      <c r="E320" s="711"/>
      <c r="F320" s="712"/>
      <c r="G320" s="713"/>
      <c r="H320" s="714"/>
      <c r="I320" s="715"/>
      <c r="J320" s="368" t="str">
        <f>VLOOKUP(B320,[4]CN!$B$33:$J$365,9,FALSE)</f>
        <v>Nhân viên phòng Quản trị - Dịch vụ</v>
      </c>
      <c r="K320" s="716"/>
      <c r="L320" s="717"/>
      <c r="M320" s="718"/>
      <c r="N320" s="719"/>
      <c r="O320" s="720"/>
      <c r="P320" s="721"/>
      <c r="Q320" s="719"/>
      <c r="R320" s="722"/>
      <c r="S320" s="717"/>
      <c r="T320" s="723"/>
      <c r="U320" s="717"/>
      <c r="V320" s="724"/>
      <c r="W320" s="725"/>
      <c r="X320" s="726"/>
      <c r="Y320" s="727">
        <v>1507453</v>
      </c>
      <c r="Z320" s="664">
        <f t="shared" si="62"/>
        <v>0.83747388888888885</v>
      </c>
      <c r="AA320" s="662">
        <v>1800000</v>
      </c>
      <c r="AB320" s="663">
        <f t="shared" si="63"/>
        <v>1507453</v>
      </c>
      <c r="AC320" s="568">
        <f t="shared" si="65"/>
        <v>298</v>
      </c>
      <c r="AD320" s="493"/>
      <c r="AE320" s="141"/>
      <c r="AF320" s="108"/>
      <c r="AG320" s="108"/>
      <c r="AH320" s="155"/>
      <c r="AI320" s="108"/>
      <c r="AJ320" s="108"/>
      <c r="AK320" s="108"/>
      <c r="AL320" s="108"/>
      <c r="AM320" s="108"/>
      <c r="AN320" s="108"/>
      <c r="AO320" s="108"/>
      <c r="AP320" s="108"/>
      <c r="AQ320" s="108"/>
      <c r="AR320" s="108"/>
    </row>
    <row r="321" spans="1:44" s="372" customFormat="1" ht="30.75" customHeight="1">
      <c r="A321" s="660">
        <f>_xlfn.AGGREGATE(4,7,A$19:A320)+1</f>
        <v>299</v>
      </c>
      <c r="B321" s="661" t="s">
        <v>2089</v>
      </c>
      <c r="C321" s="749"/>
      <c r="D321" s="750"/>
      <c r="E321" s="751"/>
      <c r="F321" s="752"/>
      <c r="G321" s="753"/>
      <c r="H321" s="754"/>
      <c r="I321" s="755"/>
      <c r="J321" s="554" t="str">
        <f>VLOOKUP(B321,[4]CN!$B$33:$J$365,9,FALSE)</f>
        <v>Nhân viên Y tế</v>
      </c>
      <c r="K321" s="756"/>
      <c r="L321" s="757"/>
      <c r="M321" s="758"/>
      <c r="N321" s="759"/>
      <c r="O321" s="760"/>
      <c r="P321" s="761"/>
      <c r="Q321" s="759"/>
      <c r="R321" s="762"/>
      <c r="S321" s="757"/>
      <c r="T321" s="763"/>
      <c r="U321" s="757"/>
      <c r="V321" s="757"/>
      <c r="W321" s="764"/>
      <c r="X321" s="765"/>
      <c r="Y321" s="766">
        <v>6247627</v>
      </c>
      <c r="Z321" s="704">
        <f t="shared" si="62"/>
        <v>3.470903888888889</v>
      </c>
      <c r="AA321" s="705">
        <v>1800000</v>
      </c>
      <c r="AB321" s="703">
        <f t="shared" si="63"/>
        <v>6247627</v>
      </c>
      <c r="AC321" s="573">
        <f t="shared" si="65"/>
        <v>299</v>
      </c>
      <c r="AD321" s="769" t="s">
        <v>2166</v>
      </c>
      <c r="AE321" s="141"/>
      <c r="AF321" s="108"/>
      <c r="AG321" s="108"/>
      <c r="AH321" s="155"/>
      <c r="AI321" s="108"/>
      <c r="AJ321" s="108"/>
      <c r="AK321" s="108"/>
      <c r="AL321" s="108"/>
      <c r="AM321" s="108"/>
      <c r="AN321" s="108"/>
      <c r="AO321" s="108"/>
      <c r="AP321" s="108"/>
      <c r="AQ321" s="108"/>
      <c r="AR321" s="108"/>
    </row>
    <row r="322" spans="1:44" s="372" customFormat="1" ht="30.75" customHeight="1">
      <c r="A322" s="379">
        <f>_xlfn.AGGREGATE(4,7,A$19:A321)+1</f>
        <v>300</v>
      </c>
      <c r="B322" s="444" t="s">
        <v>2091</v>
      </c>
      <c r="C322" s="709"/>
      <c r="D322" s="710"/>
      <c r="E322" s="711"/>
      <c r="F322" s="712"/>
      <c r="G322" s="713"/>
      <c r="H322" s="714"/>
      <c r="I322" s="715"/>
      <c r="J322" s="368" t="str">
        <f>VLOOKUP(B322,[4]CN!$B$33:$J$365,9,FALSE)</f>
        <v>Nhân viên Ký túc xá</v>
      </c>
      <c r="K322" s="716"/>
      <c r="L322" s="717"/>
      <c r="M322" s="718"/>
      <c r="N322" s="719"/>
      <c r="O322" s="720"/>
      <c r="P322" s="721"/>
      <c r="Q322" s="719"/>
      <c r="R322" s="722"/>
      <c r="S322" s="717"/>
      <c r="T322" s="723"/>
      <c r="U322" s="717"/>
      <c r="V322" s="724"/>
      <c r="W322" s="725"/>
      <c r="X322" s="726"/>
      <c r="Y322" s="727">
        <v>1404000</v>
      </c>
      <c r="Z322" s="664">
        <f t="shared" si="62"/>
        <v>0.78</v>
      </c>
      <c r="AA322" s="662">
        <v>1800000</v>
      </c>
      <c r="AB322" s="663">
        <f t="shared" si="63"/>
        <v>1404000</v>
      </c>
      <c r="AC322" s="568">
        <f t="shared" si="65"/>
        <v>300</v>
      </c>
      <c r="AD322" s="493"/>
      <c r="AE322" s="141"/>
      <c r="AF322" s="108"/>
      <c r="AG322" s="108"/>
      <c r="AH322" s="155"/>
      <c r="AI322" s="108"/>
      <c r="AJ322" s="108"/>
      <c r="AK322" s="108"/>
      <c r="AL322" s="108"/>
      <c r="AM322" s="108"/>
      <c r="AN322" s="108"/>
      <c r="AO322" s="108"/>
      <c r="AP322" s="108"/>
      <c r="AQ322" s="108"/>
      <c r="AR322" s="108"/>
    </row>
    <row r="323" spans="1:44" s="372" customFormat="1" ht="30.75" customHeight="1">
      <c r="A323" s="379">
        <f>_xlfn.AGGREGATE(4,7,A$19:A322)+1</f>
        <v>301</v>
      </c>
      <c r="B323" s="624" t="s">
        <v>2092</v>
      </c>
      <c r="C323" s="709"/>
      <c r="D323" s="710"/>
      <c r="E323" s="711"/>
      <c r="F323" s="712"/>
      <c r="G323" s="713"/>
      <c r="H323" s="714"/>
      <c r="I323" s="715"/>
      <c r="J323" s="368" t="str">
        <f>VLOOKUP(B323,[4]CN!$B$33:$J$365,9,FALSE)</f>
        <v>Nhân viên</v>
      </c>
      <c r="K323" s="716"/>
      <c r="L323" s="717"/>
      <c r="M323" s="718"/>
      <c r="N323" s="719"/>
      <c r="O323" s="720"/>
      <c r="P323" s="721"/>
      <c r="Q323" s="719"/>
      <c r="R323" s="722"/>
      <c r="S323" s="717"/>
      <c r="T323" s="723"/>
      <c r="U323" s="717"/>
      <c r="V323" s="724"/>
      <c r="W323" s="725"/>
      <c r="X323" s="726"/>
      <c r="Y323" s="727">
        <v>12268290</v>
      </c>
      <c r="Z323" s="664">
        <f t="shared" si="62"/>
        <v>6.8157166666666669</v>
      </c>
      <c r="AA323" s="662">
        <v>1800000</v>
      </c>
      <c r="AB323" s="663">
        <f t="shared" si="63"/>
        <v>12268290</v>
      </c>
      <c r="AC323" s="568">
        <f t="shared" si="65"/>
        <v>301</v>
      </c>
      <c r="AD323" s="493"/>
      <c r="AE323" s="141"/>
      <c r="AF323" s="108"/>
      <c r="AG323" s="108"/>
      <c r="AH323" s="155"/>
      <c r="AI323" s="108"/>
      <c r="AJ323" s="108"/>
      <c r="AK323" s="108"/>
      <c r="AL323" s="108"/>
      <c r="AM323" s="108"/>
      <c r="AN323" s="108"/>
      <c r="AO323" s="108"/>
      <c r="AP323" s="108"/>
      <c r="AQ323" s="108"/>
      <c r="AR323" s="108"/>
    </row>
    <row r="324" spans="1:44" s="372" customFormat="1" ht="30.75" customHeight="1">
      <c r="A324" s="379">
        <f>_xlfn.AGGREGATE(4,7,A$19:A323)+1</f>
        <v>302</v>
      </c>
      <c r="B324" s="444" t="s">
        <v>2094</v>
      </c>
      <c r="C324" s="709"/>
      <c r="D324" s="710"/>
      <c r="E324" s="711"/>
      <c r="F324" s="712"/>
      <c r="G324" s="713"/>
      <c r="H324" s="714"/>
      <c r="I324" s="715"/>
      <c r="J324" s="368" t="str">
        <f>VLOOKUP(B324,[4]CN!$B$33:$J$365,9,FALSE)</f>
        <v>NV Kế toán</v>
      </c>
      <c r="K324" s="716"/>
      <c r="L324" s="717"/>
      <c r="M324" s="718"/>
      <c r="N324" s="719"/>
      <c r="O324" s="720"/>
      <c r="P324" s="721"/>
      <c r="Q324" s="719"/>
      <c r="R324" s="722"/>
      <c r="S324" s="717"/>
      <c r="T324" s="723"/>
      <c r="U324" s="717"/>
      <c r="V324" s="724"/>
      <c r="W324" s="725"/>
      <c r="X324" s="726"/>
      <c r="Y324" s="727">
        <v>5648159</v>
      </c>
      <c r="Z324" s="664">
        <f t="shared" si="62"/>
        <v>3.1378661111111112</v>
      </c>
      <c r="AA324" s="662">
        <v>1800000</v>
      </c>
      <c r="AB324" s="663">
        <f t="shared" si="63"/>
        <v>5648159</v>
      </c>
      <c r="AC324" s="568">
        <f t="shared" si="65"/>
        <v>302</v>
      </c>
      <c r="AD324" s="493"/>
      <c r="AE324" s="141"/>
      <c r="AF324" s="108"/>
      <c r="AG324" s="108"/>
      <c r="AH324" s="155"/>
      <c r="AI324" s="108"/>
      <c r="AJ324" s="108"/>
      <c r="AK324" s="108"/>
      <c r="AL324" s="108"/>
      <c r="AM324" s="108"/>
      <c r="AN324" s="108"/>
      <c r="AO324" s="108"/>
      <c r="AP324" s="108"/>
      <c r="AQ324" s="108"/>
      <c r="AR324" s="108"/>
    </row>
    <row r="325" spans="1:44" s="372" customFormat="1" ht="30.75" customHeight="1">
      <c r="A325" s="379">
        <f>_xlfn.AGGREGATE(4,7,A$19:A324)+1</f>
        <v>303</v>
      </c>
      <c r="B325" s="444" t="s">
        <v>2096</v>
      </c>
      <c r="C325" s="709"/>
      <c r="D325" s="710"/>
      <c r="E325" s="711"/>
      <c r="F325" s="712"/>
      <c r="G325" s="713"/>
      <c r="H325" s="714"/>
      <c r="I325" s="715"/>
      <c r="J325" s="368" t="str">
        <f>VLOOKUP(B325,[4]CN!$B$33:$J$365,9,FALSE)</f>
        <v>NV Kế toán</v>
      </c>
      <c r="K325" s="716"/>
      <c r="L325" s="717"/>
      <c r="M325" s="718"/>
      <c r="N325" s="719"/>
      <c r="O325" s="720"/>
      <c r="P325" s="721"/>
      <c r="Q325" s="719"/>
      <c r="R325" s="722"/>
      <c r="S325" s="717"/>
      <c r="T325" s="723"/>
      <c r="U325" s="717"/>
      <c r="V325" s="724"/>
      <c r="W325" s="725"/>
      <c r="X325" s="726"/>
      <c r="Y325" s="727">
        <v>5618537</v>
      </c>
      <c r="Z325" s="664">
        <f t="shared" si="62"/>
        <v>3.1214094444444442</v>
      </c>
      <c r="AA325" s="662">
        <v>1800000</v>
      </c>
      <c r="AB325" s="663">
        <f t="shared" si="63"/>
        <v>5618537</v>
      </c>
      <c r="AC325" s="568">
        <f t="shared" si="65"/>
        <v>303</v>
      </c>
      <c r="AD325" s="493"/>
      <c r="AE325" s="141"/>
      <c r="AF325" s="108"/>
      <c r="AG325" s="108"/>
      <c r="AH325" s="155"/>
      <c r="AI325" s="108"/>
      <c r="AJ325" s="108"/>
      <c r="AK325" s="108"/>
      <c r="AL325" s="108"/>
      <c r="AM325" s="108"/>
      <c r="AN325" s="108"/>
      <c r="AO325" s="108"/>
      <c r="AP325" s="108"/>
      <c r="AQ325" s="108"/>
      <c r="AR325" s="108"/>
    </row>
    <row r="326" spans="1:44" s="372" customFormat="1" ht="30.75" customHeight="1">
      <c r="A326" s="379">
        <f>_xlfn.AGGREGATE(4,7,A$19:A325)+1</f>
        <v>304</v>
      </c>
      <c r="B326" s="444" t="s">
        <v>2098</v>
      </c>
      <c r="C326" s="709"/>
      <c r="D326" s="710"/>
      <c r="E326" s="711"/>
      <c r="F326" s="712"/>
      <c r="G326" s="713"/>
      <c r="H326" s="714"/>
      <c r="I326" s="715"/>
      <c r="J326" s="368" t="str">
        <f>VLOOKUP(B326,[4]CN!$B$33:$J$365,9,FALSE)</f>
        <v>NV Kế toán</v>
      </c>
      <c r="K326" s="716"/>
      <c r="L326" s="717"/>
      <c r="M326" s="718"/>
      <c r="N326" s="719"/>
      <c r="O326" s="720"/>
      <c r="P326" s="721"/>
      <c r="Q326" s="719"/>
      <c r="R326" s="722"/>
      <c r="S326" s="717"/>
      <c r="T326" s="723"/>
      <c r="U326" s="717"/>
      <c r="V326" s="724"/>
      <c r="W326" s="725"/>
      <c r="X326" s="726"/>
      <c r="Y326" s="727">
        <v>4027059</v>
      </c>
      <c r="Z326" s="664">
        <f t="shared" si="62"/>
        <v>2.2372550000000002</v>
      </c>
      <c r="AA326" s="662">
        <v>1800000</v>
      </c>
      <c r="AB326" s="663">
        <f t="shared" si="63"/>
        <v>4027059.0000000005</v>
      </c>
      <c r="AC326" s="568">
        <f t="shared" si="65"/>
        <v>304</v>
      </c>
      <c r="AD326" s="493"/>
      <c r="AE326" s="141"/>
      <c r="AF326" s="108"/>
      <c r="AG326" s="108"/>
      <c r="AH326" s="155"/>
      <c r="AI326" s="108"/>
      <c r="AJ326" s="108"/>
      <c r="AK326" s="108"/>
      <c r="AL326" s="108"/>
      <c r="AM326" s="108"/>
      <c r="AN326" s="108"/>
      <c r="AO326" s="108"/>
      <c r="AP326" s="108"/>
      <c r="AQ326" s="108"/>
      <c r="AR326" s="108"/>
    </row>
    <row r="327" spans="1:44" s="372" customFormat="1" ht="30.75" customHeight="1">
      <c r="A327" s="379">
        <f>_xlfn.AGGREGATE(4,7,A$19:A326)+1</f>
        <v>305</v>
      </c>
      <c r="B327" s="444" t="s">
        <v>2099</v>
      </c>
      <c r="C327" s="709"/>
      <c r="D327" s="710"/>
      <c r="E327" s="711"/>
      <c r="F327" s="712"/>
      <c r="G327" s="713"/>
      <c r="H327" s="714"/>
      <c r="I327" s="715"/>
      <c r="J327" s="368" t="str">
        <f>VLOOKUP(B327,[4]CN!$B$33:$J$365,9,FALSE)</f>
        <v>NV Kế toán</v>
      </c>
      <c r="K327" s="716"/>
      <c r="L327" s="717"/>
      <c r="M327" s="718"/>
      <c r="N327" s="719"/>
      <c r="O327" s="720"/>
      <c r="P327" s="721"/>
      <c r="Q327" s="719"/>
      <c r="R327" s="722"/>
      <c r="S327" s="717"/>
      <c r="T327" s="723"/>
      <c r="U327" s="717"/>
      <c r="V327" s="724"/>
      <c r="W327" s="725"/>
      <c r="X327" s="726"/>
      <c r="Y327" s="727">
        <v>5250969</v>
      </c>
      <c r="Z327" s="664">
        <f t="shared" si="62"/>
        <v>2.917205</v>
      </c>
      <c r="AA327" s="662">
        <v>1800000</v>
      </c>
      <c r="AB327" s="663">
        <f t="shared" si="63"/>
        <v>5250969</v>
      </c>
      <c r="AC327" s="568">
        <f t="shared" si="65"/>
        <v>305</v>
      </c>
      <c r="AD327" s="493"/>
      <c r="AE327" s="141"/>
      <c r="AF327" s="108"/>
      <c r="AG327" s="108"/>
      <c r="AH327" s="155"/>
      <c r="AI327" s="108"/>
      <c r="AJ327" s="108"/>
      <c r="AK327" s="108"/>
      <c r="AL327" s="108"/>
      <c r="AM327" s="108"/>
      <c r="AN327" s="108"/>
      <c r="AO327" s="108"/>
      <c r="AP327" s="108"/>
      <c r="AQ327" s="108"/>
      <c r="AR327" s="108"/>
    </row>
    <row r="328" spans="1:44" s="372" customFormat="1" ht="30.75" customHeight="1">
      <c r="A328" s="379">
        <f>_xlfn.AGGREGATE(4,7,A$19:A327)+1</f>
        <v>306</v>
      </c>
      <c r="B328" s="624" t="s">
        <v>2100</v>
      </c>
      <c r="C328" s="709"/>
      <c r="D328" s="710"/>
      <c r="E328" s="711"/>
      <c r="F328" s="712"/>
      <c r="G328" s="713"/>
      <c r="H328" s="714"/>
      <c r="I328" s="715"/>
      <c r="J328" s="368" t="str">
        <f>VLOOKUP(B328,[4]CN!$B$33:$J$365,9,FALSE)</f>
        <v>Nhân viên</v>
      </c>
      <c r="K328" s="716"/>
      <c r="L328" s="717"/>
      <c r="M328" s="718"/>
      <c r="N328" s="719"/>
      <c r="O328" s="720"/>
      <c r="P328" s="721"/>
      <c r="Q328" s="719"/>
      <c r="R328" s="722"/>
      <c r="S328" s="717"/>
      <c r="T328" s="723"/>
      <c r="U328" s="717"/>
      <c r="V328" s="724"/>
      <c r="W328" s="725"/>
      <c r="X328" s="726"/>
      <c r="Y328" s="727">
        <v>7880289</v>
      </c>
      <c r="Z328" s="664">
        <f t="shared" si="62"/>
        <v>4.3779383333333337</v>
      </c>
      <c r="AA328" s="662">
        <v>1800000</v>
      </c>
      <c r="AB328" s="663">
        <f t="shared" si="63"/>
        <v>7880289.0000000009</v>
      </c>
      <c r="AC328" s="568">
        <f t="shared" si="65"/>
        <v>306</v>
      </c>
      <c r="AD328" s="493"/>
      <c r="AE328" s="141"/>
      <c r="AF328" s="108"/>
      <c r="AG328" s="108"/>
      <c r="AH328" s="155"/>
      <c r="AI328" s="108"/>
      <c r="AJ328" s="108"/>
      <c r="AK328" s="108"/>
      <c r="AL328" s="108"/>
      <c r="AM328" s="108"/>
      <c r="AN328" s="108"/>
      <c r="AO328" s="108"/>
      <c r="AP328" s="108"/>
      <c r="AQ328" s="108"/>
      <c r="AR328" s="108"/>
    </row>
    <row r="329" spans="1:44" s="372" customFormat="1" ht="30.75" customHeight="1">
      <c r="A329" s="379">
        <f>_xlfn.AGGREGATE(4,7,A$19:A328)+1</f>
        <v>307</v>
      </c>
      <c r="B329" s="444" t="s">
        <v>2102</v>
      </c>
      <c r="C329" s="709"/>
      <c r="D329" s="710"/>
      <c r="E329" s="711"/>
      <c r="F329" s="712"/>
      <c r="G329" s="713"/>
      <c r="H329" s="714"/>
      <c r="I329" s="715"/>
      <c r="J329" s="368" t="str">
        <f>VLOOKUP(B329,[4]CN!$B$33:$J$365,9,FALSE)</f>
        <v>NV Phòng Quản trị - Dịch vụ</v>
      </c>
      <c r="K329" s="716"/>
      <c r="L329" s="717"/>
      <c r="M329" s="718"/>
      <c r="N329" s="719"/>
      <c r="O329" s="720"/>
      <c r="P329" s="721"/>
      <c r="Q329" s="719"/>
      <c r="R329" s="722"/>
      <c r="S329" s="717"/>
      <c r="T329" s="723"/>
      <c r="U329" s="717"/>
      <c r="V329" s="724"/>
      <c r="W329" s="725"/>
      <c r="X329" s="726"/>
      <c r="Y329" s="727">
        <v>4260738</v>
      </c>
      <c r="Z329" s="664">
        <f t="shared" si="62"/>
        <v>2.3670766666666667</v>
      </c>
      <c r="AA329" s="662">
        <v>1800000</v>
      </c>
      <c r="AB329" s="663">
        <f t="shared" si="63"/>
        <v>4260738</v>
      </c>
      <c r="AC329" s="568">
        <f t="shared" si="65"/>
        <v>307</v>
      </c>
      <c r="AD329" s="493"/>
      <c r="AE329" s="141"/>
      <c r="AF329" s="108"/>
      <c r="AG329" s="108"/>
      <c r="AH329" s="155"/>
      <c r="AI329" s="108"/>
      <c r="AJ329" s="108"/>
      <c r="AK329" s="108"/>
      <c r="AL329" s="108"/>
      <c r="AM329" s="108"/>
      <c r="AN329" s="108"/>
      <c r="AO329" s="108"/>
      <c r="AP329" s="108"/>
      <c r="AQ329" s="108"/>
      <c r="AR329" s="108"/>
    </row>
    <row r="330" spans="1:44" s="372" customFormat="1" ht="30.75" customHeight="1">
      <c r="A330" s="379">
        <f>_xlfn.AGGREGATE(4,7,A$19:A329)+1</f>
        <v>308</v>
      </c>
      <c r="B330" s="444" t="s">
        <v>2106</v>
      </c>
      <c r="C330" s="709"/>
      <c r="D330" s="710"/>
      <c r="E330" s="711"/>
      <c r="F330" s="712"/>
      <c r="G330" s="713"/>
      <c r="H330" s="714"/>
      <c r="I330" s="715"/>
      <c r="J330" s="368" t="str">
        <f>VLOOKUP(B330,[4]CN!$B$33:$J$365,9,FALSE)</f>
        <v>NV Phòng Quản trị - Dịch vụ</v>
      </c>
      <c r="K330" s="716"/>
      <c r="L330" s="717"/>
      <c r="M330" s="718"/>
      <c r="N330" s="719"/>
      <c r="O330" s="720"/>
      <c r="P330" s="721"/>
      <c r="Q330" s="719"/>
      <c r="R330" s="722"/>
      <c r="S330" s="717"/>
      <c r="T330" s="723"/>
      <c r="U330" s="717"/>
      <c r="V330" s="724"/>
      <c r="W330" s="725"/>
      <c r="X330" s="726"/>
      <c r="Y330" s="727">
        <v>5112886</v>
      </c>
      <c r="Z330" s="664">
        <f t="shared" si="62"/>
        <v>2.8404922222222222</v>
      </c>
      <c r="AA330" s="662">
        <v>1800000</v>
      </c>
      <c r="AB330" s="663">
        <f t="shared" si="63"/>
        <v>5112886</v>
      </c>
      <c r="AC330" s="568">
        <f t="shared" si="65"/>
        <v>308</v>
      </c>
      <c r="AD330" s="493"/>
      <c r="AE330" s="141"/>
      <c r="AF330" s="108"/>
      <c r="AG330" s="108"/>
      <c r="AH330" s="155"/>
      <c r="AI330" s="108"/>
      <c r="AJ330" s="108"/>
      <c r="AK330" s="108"/>
      <c r="AL330" s="108"/>
      <c r="AM330" s="108"/>
      <c r="AN330" s="108"/>
      <c r="AO330" s="108"/>
      <c r="AP330" s="108"/>
      <c r="AQ330" s="108"/>
      <c r="AR330" s="108"/>
    </row>
    <row r="331" spans="1:44" s="372" customFormat="1" ht="30.75" customHeight="1">
      <c r="A331" s="379">
        <f>_xlfn.AGGREGATE(4,7,A$19:A330)+1</f>
        <v>309</v>
      </c>
      <c r="B331" s="444" t="s">
        <v>2108</v>
      </c>
      <c r="C331" s="709"/>
      <c r="D331" s="710"/>
      <c r="E331" s="711"/>
      <c r="F331" s="712"/>
      <c r="G331" s="713"/>
      <c r="H331" s="714"/>
      <c r="I331" s="715"/>
      <c r="J331" s="368" t="str">
        <f>VLOOKUP(B331,[4]CN!$B$33:$J$365,9,FALSE)</f>
        <v>NV Phòng Thanh tra GD - Sinh viên</v>
      </c>
      <c r="K331" s="716"/>
      <c r="L331" s="717"/>
      <c r="M331" s="718"/>
      <c r="N331" s="719"/>
      <c r="O331" s="720"/>
      <c r="P331" s="721"/>
      <c r="Q331" s="719"/>
      <c r="R331" s="722"/>
      <c r="S331" s="717"/>
      <c r="T331" s="723"/>
      <c r="U331" s="717"/>
      <c r="V331" s="724"/>
      <c r="W331" s="725"/>
      <c r="X331" s="726"/>
      <c r="Y331" s="727">
        <v>4562421</v>
      </c>
      <c r="Z331" s="664">
        <f t="shared" si="62"/>
        <v>2.5346783333333334</v>
      </c>
      <c r="AA331" s="662">
        <v>1800000</v>
      </c>
      <c r="AB331" s="663">
        <f t="shared" si="63"/>
        <v>4562421</v>
      </c>
      <c r="AC331" s="568">
        <f t="shared" si="65"/>
        <v>309</v>
      </c>
      <c r="AD331" s="493"/>
      <c r="AE331" s="141"/>
      <c r="AF331" s="108"/>
      <c r="AG331" s="108"/>
      <c r="AH331" s="155"/>
      <c r="AI331" s="108"/>
      <c r="AJ331" s="108"/>
      <c r="AK331" s="108"/>
      <c r="AL331" s="108"/>
      <c r="AM331" s="108"/>
      <c r="AN331" s="108"/>
      <c r="AO331" s="108"/>
      <c r="AP331" s="108"/>
      <c r="AQ331" s="108"/>
      <c r="AR331" s="108"/>
    </row>
    <row r="332" spans="1:44" s="372" customFormat="1" ht="30.75" customHeight="1">
      <c r="A332" s="379">
        <f>_xlfn.AGGREGATE(4,7,A$19:A331)+1</f>
        <v>310</v>
      </c>
      <c r="B332" s="444" t="s">
        <v>2109</v>
      </c>
      <c r="C332" s="709"/>
      <c r="D332" s="710"/>
      <c r="E332" s="711"/>
      <c r="F332" s="712"/>
      <c r="G332" s="713"/>
      <c r="H332" s="714"/>
      <c r="I332" s="715"/>
      <c r="J332" s="368" t="str">
        <f>VLOOKUP(B332,[4]CN!$B$33:$J$365,9,FALSE)</f>
        <v>NV Phòng Thanh tra GD - Sinh viên</v>
      </c>
      <c r="K332" s="716"/>
      <c r="L332" s="717"/>
      <c r="M332" s="718"/>
      <c r="N332" s="719"/>
      <c r="O332" s="720"/>
      <c r="P332" s="721"/>
      <c r="Q332" s="719"/>
      <c r="R332" s="722"/>
      <c r="S332" s="717"/>
      <c r="T332" s="723"/>
      <c r="U332" s="717"/>
      <c r="V332" s="724"/>
      <c r="W332" s="725"/>
      <c r="X332" s="726"/>
      <c r="Y332" s="727">
        <v>4206384</v>
      </c>
      <c r="Z332" s="664">
        <f t="shared" si="62"/>
        <v>2.3368799999999998</v>
      </c>
      <c r="AA332" s="662">
        <v>1800000</v>
      </c>
      <c r="AB332" s="663">
        <f t="shared" si="63"/>
        <v>4206384</v>
      </c>
      <c r="AC332" s="568">
        <f t="shared" si="65"/>
        <v>310</v>
      </c>
      <c r="AD332" s="493"/>
      <c r="AE332" s="141"/>
      <c r="AF332" s="108"/>
      <c r="AG332" s="108"/>
      <c r="AH332" s="155"/>
      <c r="AI332" s="108"/>
      <c r="AJ332" s="108"/>
      <c r="AK332" s="108"/>
      <c r="AL332" s="108"/>
      <c r="AM332" s="108"/>
      <c r="AN332" s="108"/>
      <c r="AO332" s="108"/>
      <c r="AP332" s="108"/>
      <c r="AQ332" s="108"/>
      <c r="AR332" s="108"/>
    </row>
    <row r="333" spans="1:44" s="372" customFormat="1" ht="30.75" customHeight="1">
      <c r="A333" s="379">
        <f>_xlfn.AGGREGATE(4,7,A$19:A332)+1</f>
        <v>311</v>
      </c>
      <c r="B333" s="444" t="s">
        <v>2110</v>
      </c>
      <c r="C333" s="709"/>
      <c r="D333" s="710"/>
      <c r="E333" s="711"/>
      <c r="F333" s="712"/>
      <c r="G333" s="713"/>
      <c r="H333" s="714"/>
      <c r="I333" s="715"/>
      <c r="J333" s="368" t="str">
        <f>VLOOKUP(B333,[4]CN!$B$33:$J$365,9,FALSE)</f>
        <v>NV Phòng Quản trị - Dịch vụ</v>
      </c>
      <c r="K333" s="716"/>
      <c r="L333" s="717"/>
      <c r="M333" s="718"/>
      <c r="N333" s="719"/>
      <c r="O333" s="720"/>
      <c r="P333" s="721"/>
      <c r="Q333" s="719"/>
      <c r="R333" s="722"/>
      <c r="S333" s="717"/>
      <c r="T333" s="723"/>
      <c r="U333" s="717"/>
      <c r="V333" s="724"/>
      <c r="W333" s="725"/>
      <c r="X333" s="726"/>
      <c r="Y333" s="727">
        <v>3661214</v>
      </c>
      <c r="Z333" s="664">
        <f t="shared" si="62"/>
        <v>2.0340077777777776</v>
      </c>
      <c r="AA333" s="662">
        <v>1800000</v>
      </c>
      <c r="AB333" s="663">
        <f t="shared" si="63"/>
        <v>3661213.9999999995</v>
      </c>
      <c r="AC333" s="568">
        <f t="shared" si="65"/>
        <v>311</v>
      </c>
      <c r="AD333" s="493"/>
      <c r="AE333" s="141"/>
      <c r="AF333" s="108"/>
      <c r="AG333" s="108"/>
      <c r="AH333" s="155"/>
      <c r="AI333" s="108"/>
      <c r="AJ333" s="108"/>
      <c r="AK333" s="108"/>
      <c r="AL333" s="108"/>
      <c r="AM333" s="108"/>
      <c r="AN333" s="108"/>
      <c r="AO333" s="108"/>
      <c r="AP333" s="108"/>
      <c r="AQ333" s="108"/>
      <c r="AR333" s="108"/>
    </row>
    <row r="334" spans="1:44" s="372" customFormat="1" ht="30.75" customHeight="1">
      <c r="A334" s="379">
        <f>_xlfn.AGGREGATE(4,7,A$19:A333)+1</f>
        <v>312</v>
      </c>
      <c r="B334" s="444" t="s">
        <v>2113</v>
      </c>
      <c r="C334" s="709"/>
      <c r="D334" s="710"/>
      <c r="E334" s="711"/>
      <c r="F334" s="712"/>
      <c r="G334" s="713"/>
      <c r="H334" s="714"/>
      <c r="I334" s="715"/>
      <c r="J334" s="368" t="str">
        <f>VLOOKUP(B334,[4]CN!$B$33:$J$365,9,FALSE)</f>
        <v>Phòng Thanh tra Giáo dục - Sinh viên</v>
      </c>
      <c r="K334" s="716"/>
      <c r="L334" s="717"/>
      <c r="M334" s="718"/>
      <c r="N334" s="719"/>
      <c r="O334" s="720"/>
      <c r="P334" s="721"/>
      <c r="Q334" s="719"/>
      <c r="R334" s="722"/>
      <c r="S334" s="717"/>
      <c r="T334" s="723"/>
      <c r="U334" s="717"/>
      <c r="V334" s="724"/>
      <c r="W334" s="725"/>
      <c r="X334" s="726"/>
      <c r="Y334" s="727">
        <v>3379571</v>
      </c>
      <c r="Z334" s="664">
        <f t="shared" si="62"/>
        <v>1.8775394444444444</v>
      </c>
      <c r="AA334" s="662">
        <v>1800000</v>
      </c>
      <c r="AB334" s="663">
        <f t="shared" si="63"/>
        <v>3379571</v>
      </c>
      <c r="AC334" s="568">
        <f t="shared" si="65"/>
        <v>312</v>
      </c>
      <c r="AD334" s="493"/>
      <c r="AE334" s="141"/>
      <c r="AF334" s="108"/>
      <c r="AG334" s="108"/>
      <c r="AH334" s="155"/>
      <c r="AI334" s="108"/>
      <c r="AJ334" s="108"/>
      <c r="AK334" s="108"/>
      <c r="AL334" s="108"/>
      <c r="AM334" s="108"/>
      <c r="AN334" s="108"/>
      <c r="AO334" s="108"/>
      <c r="AP334" s="108"/>
      <c r="AQ334" s="108"/>
      <c r="AR334" s="108"/>
    </row>
    <row r="335" spans="1:44" s="372" customFormat="1" ht="30.75" customHeight="1">
      <c r="A335" s="379">
        <f>_xlfn.AGGREGATE(4,7,A$19:A334)+1</f>
        <v>313</v>
      </c>
      <c r="B335" s="444" t="s">
        <v>2114</v>
      </c>
      <c r="C335" s="709"/>
      <c r="D335" s="710"/>
      <c r="E335" s="711"/>
      <c r="F335" s="712"/>
      <c r="G335" s="713"/>
      <c r="H335" s="714"/>
      <c r="I335" s="715"/>
      <c r="J335" s="368" t="str">
        <f>VLOOKUP(B335,[4]CN!$B$33:$J$365,9,FALSE)</f>
        <v>Nhân viên phòng KHCN &amp; HTQT</v>
      </c>
      <c r="K335" s="716"/>
      <c r="L335" s="717"/>
      <c r="M335" s="718"/>
      <c r="N335" s="719"/>
      <c r="O335" s="720"/>
      <c r="P335" s="721"/>
      <c r="Q335" s="719"/>
      <c r="R335" s="722"/>
      <c r="S335" s="717"/>
      <c r="T335" s="723"/>
      <c r="U335" s="717"/>
      <c r="V335" s="724"/>
      <c r="W335" s="725"/>
      <c r="X335" s="726"/>
      <c r="Y335" s="727">
        <v>3876187</v>
      </c>
      <c r="Z335" s="664">
        <f t="shared" si="62"/>
        <v>2.1534372222222222</v>
      </c>
      <c r="AA335" s="662">
        <v>1800000</v>
      </c>
      <c r="AB335" s="663">
        <f t="shared" si="63"/>
        <v>3876187</v>
      </c>
      <c r="AC335" s="568">
        <f t="shared" si="65"/>
        <v>313</v>
      </c>
      <c r="AD335" s="493"/>
      <c r="AE335" s="141"/>
      <c r="AF335" s="108"/>
      <c r="AG335" s="108"/>
      <c r="AH335" s="155"/>
      <c r="AI335" s="108"/>
      <c r="AJ335" s="108"/>
      <c r="AK335" s="108"/>
      <c r="AL335" s="108"/>
      <c r="AM335" s="108"/>
      <c r="AN335" s="108"/>
      <c r="AO335" s="108"/>
      <c r="AP335" s="108"/>
      <c r="AQ335" s="108"/>
      <c r="AR335" s="108"/>
    </row>
    <row r="336" spans="1:44" s="372" customFormat="1" ht="30.75" customHeight="1">
      <c r="A336" s="379">
        <f>_xlfn.AGGREGATE(4,7,A$19:A335)+1</f>
        <v>314</v>
      </c>
      <c r="B336" s="444" t="s">
        <v>2117</v>
      </c>
      <c r="C336" s="709"/>
      <c r="D336" s="710"/>
      <c r="E336" s="711"/>
      <c r="F336" s="712"/>
      <c r="G336" s="713"/>
      <c r="H336" s="714"/>
      <c r="I336" s="715"/>
      <c r="J336" s="368" t="str">
        <f>VLOOKUP(B336,[4]CN!$B$33:$J$365,9,FALSE)</f>
        <v>Nhân viên phòng KHCN &amp; HTQT</v>
      </c>
      <c r="K336" s="716"/>
      <c r="L336" s="717"/>
      <c r="M336" s="718"/>
      <c r="N336" s="719"/>
      <c r="O336" s="720"/>
      <c r="P336" s="721"/>
      <c r="Q336" s="719"/>
      <c r="R336" s="722"/>
      <c r="S336" s="717"/>
      <c r="T336" s="723"/>
      <c r="U336" s="717"/>
      <c r="V336" s="724"/>
      <c r="W336" s="725"/>
      <c r="X336" s="726"/>
      <c r="Y336" s="727">
        <v>4815889</v>
      </c>
      <c r="Z336" s="664">
        <f t="shared" si="62"/>
        <v>2.6754938888888891</v>
      </c>
      <c r="AA336" s="662">
        <v>1800000</v>
      </c>
      <c r="AB336" s="663">
        <f t="shared" si="63"/>
        <v>4815889</v>
      </c>
      <c r="AC336" s="568">
        <f t="shared" si="65"/>
        <v>314</v>
      </c>
      <c r="AD336" s="493"/>
      <c r="AE336" s="141"/>
      <c r="AF336" s="108"/>
      <c r="AG336" s="108"/>
      <c r="AH336" s="155"/>
      <c r="AI336" s="108"/>
      <c r="AJ336" s="108"/>
      <c r="AK336" s="108"/>
      <c r="AL336" s="108"/>
      <c r="AM336" s="108"/>
      <c r="AN336" s="108"/>
      <c r="AO336" s="108"/>
      <c r="AP336" s="108"/>
      <c r="AQ336" s="108"/>
      <c r="AR336" s="108"/>
    </row>
    <row r="337" spans="1:44" s="372" customFormat="1" ht="30.75" customHeight="1">
      <c r="A337" s="379">
        <f>_xlfn.AGGREGATE(4,7,A$19:A336)+1</f>
        <v>315</v>
      </c>
      <c r="B337" s="444" t="s">
        <v>2119</v>
      </c>
      <c r="C337" s="709"/>
      <c r="D337" s="710"/>
      <c r="E337" s="711"/>
      <c r="F337" s="712"/>
      <c r="G337" s="713"/>
      <c r="H337" s="714"/>
      <c r="I337" s="715"/>
      <c r="J337" s="368" t="str">
        <f>VLOOKUP(B337,[4]CN!$B$33:$J$365,9,FALSE)</f>
        <v>NV Phòng Thanh tra - Giáo dục</v>
      </c>
      <c r="K337" s="716"/>
      <c r="L337" s="717"/>
      <c r="M337" s="718"/>
      <c r="N337" s="719"/>
      <c r="O337" s="720"/>
      <c r="P337" s="721"/>
      <c r="Q337" s="719"/>
      <c r="R337" s="722"/>
      <c r="S337" s="717"/>
      <c r="T337" s="723"/>
      <c r="U337" s="717"/>
      <c r="V337" s="724"/>
      <c r="W337" s="725"/>
      <c r="X337" s="726"/>
      <c r="Y337" s="727">
        <v>4815889</v>
      </c>
      <c r="Z337" s="664">
        <f t="shared" si="62"/>
        <v>2.6754938888888891</v>
      </c>
      <c r="AA337" s="662">
        <v>1800000</v>
      </c>
      <c r="AB337" s="663">
        <f t="shared" si="63"/>
        <v>4815889</v>
      </c>
      <c r="AC337" s="568">
        <f t="shared" si="65"/>
        <v>315</v>
      </c>
      <c r="AD337" s="493"/>
      <c r="AE337" s="141"/>
      <c r="AF337" s="108"/>
      <c r="AG337" s="108"/>
      <c r="AH337" s="155"/>
      <c r="AI337" s="108"/>
      <c r="AJ337" s="108"/>
      <c r="AK337" s="108"/>
      <c r="AL337" s="108"/>
      <c r="AM337" s="108"/>
      <c r="AN337" s="108"/>
      <c r="AO337" s="108"/>
      <c r="AP337" s="108"/>
      <c r="AQ337" s="108"/>
      <c r="AR337" s="108"/>
    </row>
    <row r="338" spans="1:44" s="372" customFormat="1" ht="30.75" customHeight="1">
      <c r="A338" s="379">
        <f>_xlfn.AGGREGATE(4,7,A$19:A337)+1</f>
        <v>316</v>
      </c>
      <c r="B338" s="444" t="s">
        <v>2123</v>
      </c>
      <c r="C338" s="709"/>
      <c r="D338" s="710"/>
      <c r="E338" s="711"/>
      <c r="F338" s="712"/>
      <c r="G338" s="713"/>
      <c r="H338" s="714"/>
      <c r="I338" s="715"/>
      <c r="J338" s="368" t="str">
        <f>VLOOKUP(B338,[4]CN!$B$33:$J$365,9,FALSE)</f>
        <v>NV Phòng Quản trị - Dịch vụ</v>
      </c>
      <c r="K338" s="716"/>
      <c r="L338" s="717"/>
      <c r="M338" s="718"/>
      <c r="N338" s="719"/>
      <c r="O338" s="720"/>
      <c r="P338" s="721"/>
      <c r="Q338" s="719"/>
      <c r="R338" s="722"/>
      <c r="S338" s="717"/>
      <c r="T338" s="723"/>
      <c r="U338" s="717"/>
      <c r="V338" s="724"/>
      <c r="W338" s="725"/>
      <c r="X338" s="726"/>
      <c r="Y338" s="727">
        <v>4473776</v>
      </c>
      <c r="Z338" s="664">
        <f t="shared" si="62"/>
        <v>2.4854311111111111</v>
      </c>
      <c r="AA338" s="662">
        <v>1800000</v>
      </c>
      <c r="AB338" s="663">
        <f t="shared" si="63"/>
        <v>4473776</v>
      </c>
      <c r="AC338" s="568">
        <f t="shared" si="65"/>
        <v>316</v>
      </c>
      <c r="AD338" s="493"/>
      <c r="AE338" s="141"/>
      <c r="AF338" s="108"/>
      <c r="AG338" s="108"/>
      <c r="AH338" s="155"/>
      <c r="AI338" s="108"/>
      <c r="AJ338" s="108"/>
      <c r="AK338" s="108"/>
      <c r="AL338" s="108"/>
      <c r="AM338" s="108"/>
      <c r="AN338" s="108"/>
      <c r="AO338" s="108"/>
      <c r="AP338" s="108"/>
      <c r="AQ338" s="108"/>
      <c r="AR338" s="108"/>
    </row>
    <row r="339" spans="1:44" s="372" customFormat="1" ht="30.75" customHeight="1">
      <c r="A339" s="379">
        <f>_xlfn.AGGREGATE(4,7,A$19:A338)+1</f>
        <v>317</v>
      </c>
      <c r="B339" s="444" t="s">
        <v>2125</v>
      </c>
      <c r="C339" s="709"/>
      <c r="D339" s="710"/>
      <c r="E339" s="711"/>
      <c r="F339" s="712"/>
      <c r="G339" s="713"/>
      <c r="H339" s="714"/>
      <c r="I339" s="715"/>
      <c r="J339" s="368" t="str">
        <f>VLOOKUP(B339,[4]CN!$B$33:$J$365,9,FALSE)</f>
        <v>NV Phòng Tuyển sinh - Đào tạo</v>
      </c>
      <c r="K339" s="716"/>
      <c r="L339" s="717"/>
      <c r="M339" s="718"/>
      <c r="N339" s="719"/>
      <c r="O339" s="720"/>
      <c r="P339" s="721"/>
      <c r="Q339" s="719"/>
      <c r="R339" s="722"/>
      <c r="S339" s="717"/>
      <c r="T339" s="723"/>
      <c r="U339" s="717"/>
      <c r="V339" s="724"/>
      <c r="W339" s="725"/>
      <c r="X339" s="726"/>
      <c r="Y339" s="727">
        <v>7351615</v>
      </c>
      <c r="Z339" s="664">
        <f t="shared" si="62"/>
        <v>4.0842305555555551</v>
      </c>
      <c r="AA339" s="662">
        <v>1800000</v>
      </c>
      <c r="AB339" s="663">
        <f t="shared" si="63"/>
        <v>7351614.9999999991</v>
      </c>
      <c r="AC339" s="568">
        <f t="shared" si="65"/>
        <v>317</v>
      </c>
      <c r="AD339" s="493"/>
      <c r="AE339" s="141"/>
      <c r="AF339" s="108"/>
      <c r="AG339" s="108"/>
      <c r="AH339" s="155"/>
      <c r="AI339" s="108"/>
      <c r="AJ339" s="108"/>
      <c r="AK339" s="108"/>
      <c r="AL339" s="108"/>
      <c r="AM339" s="108"/>
      <c r="AN339" s="108"/>
      <c r="AO339" s="108"/>
      <c r="AP339" s="108"/>
      <c r="AQ339" s="108"/>
      <c r="AR339" s="108"/>
    </row>
    <row r="340" spans="1:44" s="372" customFormat="1" ht="30.75" customHeight="1">
      <c r="A340" s="379">
        <f>_xlfn.AGGREGATE(4,7,A$19:A339)+1</f>
        <v>318</v>
      </c>
      <c r="B340" s="444" t="s">
        <v>2128</v>
      </c>
      <c r="C340" s="709"/>
      <c r="D340" s="710"/>
      <c r="E340" s="711"/>
      <c r="F340" s="712"/>
      <c r="G340" s="713"/>
      <c r="H340" s="714"/>
      <c r="I340" s="715"/>
      <c r="J340" s="368" t="str">
        <f>VLOOKUP(B340,[4]CN!$B$33:$J$365,9,FALSE)</f>
        <v>NV phòng TS - Đào tạo</v>
      </c>
      <c r="K340" s="716"/>
      <c r="L340" s="717"/>
      <c r="M340" s="718"/>
      <c r="N340" s="719"/>
      <c r="O340" s="720"/>
      <c r="P340" s="721"/>
      <c r="Q340" s="719"/>
      <c r="R340" s="722"/>
      <c r="S340" s="717"/>
      <c r="T340" s="723"/>
      <c r="U340" s="717"/>
      <c r="V340" s="724"/>
      <c r="W340" s="725"/>
      <c r="X340" s="726"/>
      <c r="Y340" s="727">
        <v>3928752</v>
      </c>
      <c r="Z340" s="664">
        <f t="shared" si="62"/>
        <v>2.1826400000000001</v>
      </c>
      <c r="AA340" s="662">
        <v>1800000</v>
      </c>
      <c r="AB340" s="663">
        <f t="shared" si="63"/>
        <v>3928752.0000000005</v>
      </c>
      <c r="AC340" s="568">
        <f t="shared" si="65"/>
        <v>318</v>
      </c>
      <c r="AD340" s="493"/>
      <c r="AE340" s="141"/>
      <c r="AF340" s="108"/>
      <c r="AG340" s="108"/>
      <c r="AH340" s="155"/>
      <c r="AI340" s="108"/>
      <c r="AJ340" s="108"/>
      <c r="AK340" s="108"/>
      <c r="AL340" s="108"/>
      <c r="AM340" s="108"/>
      <c r="AN340" s="108"/>
      <c r="AO340" s="108"/>
      <c r="AP340" s="108"/>
      <c r="AQ340" s="108"/>
      <c r="AR340" s="108"/>
    </row>
    <row r="341" spans="1:44" s="372" customFormat="1" ht="30.75" customHeight="1">
      <c r="A341" s="379">
        <f>_xlfn.AGGREGATE(4,7,A$19:A340)+1</f>
        <v>319</v>
      </c>
      <c r="B341" s="444" t="s">
        <v>2131</v>
      </c>
      <c r="C341" s="709"/>
      <c r="D341" s="710"/>
      <c r="E341" s="711"/>
      <c r="F341" s="712"/>
      <c r="G341" s="713"/>
      <c r="H341" s="714"/>
      <c r="I341" s="715"/>
      <c r="J341" s="368" t="str">
        <f>VLOOKUP(B341,[4]CN!$B$33:$J$365,9,FALSE)</f>
        <v>NV phòng TS - Đào tạo</v>
      </c>
      <c r="K341" s="716"/>
      <c r="L341" s="717"/>
      <c r="M341" s="718"/>
      <c r="N341" s="719"/>
      <c r="O341" s="720"/>
      <c r="P341" s="721"/>
      <c r="Q341" s="719"/>
      <c r="R341" s="722"/>
      <c r="S341" s="717"/>
      <c r="T341" s="723"/>
      <c r="U341" s="717"/>
      <c r="V341" s="724"/>
      <c r="W341" s="725"/>
      <c r="X341" s="726"/>
      <c r="Y341" s="727">
        <v>8416864</v>
      </c>
      <c r="Z341" s="664">
        <f t="shared" si="62"/>
        <v>4.6760355555555559</v>
      </c>
      <c r="AA341" s="662">
        <v>1800000</v>
      </c>
      <c r="AB341" s="663">
        <f t="shared" si="63"/>
        <v>8416864</v>
      </c>
      <c r="AC341" s="568">
        <f t="shared" si="65"/>
        <v>319</v>
      </c>
      <c r="AD341" s="493"/>
      <c r="AE341" s="141"/>
      <c r="AF341" s="108"/>
      <c r="AG341" s="108"/>
      <c r="AH341" s="155"/>
      <c r="AI341" s="108"/>
      <c r="AJ341" s="108"/>
      <c r="AK341" s="108"/>
      <c r="AL341" s="108"/>
      <c r="AM341" s="108"/>
      <c r="AN341" s="108"/>
      <c r="AO341" s="108"/>
      <c r="AP341" s="108"/>
      <c r="AQ341" s="108"/>
      <c r="AR341" s="108"/>
    </row>
    <row r="342" spans="1:44" s="372" customFormat="1" ht="30.75" customHeight="1">
      <c r="A342" s="379">
        <f>_xlfn.AGGREGATE(4,7,A$19:A341)+1</f>
        <v>320</v>
      </c>
      <c r="B342" s="444" t="s">
        <v>2134</v>
      </c>
      <c r="C342" s="709"/>
      <c r="D342" s="710"/>
      <c r="E342" s="711"/>
      <c r="F342" s="712"/>
      <c r="G342" s="713"/>
      <c r="H342" s="714"/>
      <c r="I342" s="715"/>
      <c r="J342" s="368" t="str">
        <f>VLOOKUP(B342,[4]CN!$B$33:$J$365,9,FALSE)</f>
        <v>NV phòng TS - Đào tạo</v>
      </c>
      <c r="K342" s="716"/>
      <c r="L342" s="717"/>
      <c r="M342" s="718"/>
      <c r="N342" s="719"/>
      <c r="O342" s="720"/>
      <c r="P342" s="721"/>
      <c r="Q342" s="719"/>
      <c r="R342" s="722"/>
      <c r="S342" s="717"/>
      <c r="T342" s="723"/>
      <c r="U342" s="717"/>
      <c r="V342" s="724"/>
      <c r="W342" s="725"/>
      <c r="X342" s="726"/>
      <c r="Y342" s="727">
        <v>7880289</v>
      </c>
      <c r="Z342" s="664">
        <f t="shared" si="62"/>
        <v>4.3779383333333337</v>
      </c>
      <c r="AA342" s="662">
        <v>1800000</v>
      </c>
      <c r="AB342" s="663">
        <f t="shared" si="63"/>
        <v>7880289.0000000009</v>
      </c>
      <c r="AC342" s="568">
        <f t="shared" si="65"/>
        <v>320</v>
      </c>
      <c r="AD342" s="493"/>
      <c r="AE342" s="141"/>
      <c r="AF342" s="108"/>
      <c r="AG342" s="108"/>
      <c r="AH342" s="155"/>
      <c r="AI342" s="108"/>
      <c r="AJ342" s="108"/>
      <c r="AK342" s="108"/>
      <c r="AL342" s="108"/>
      <c r="AM342" s="108"/>
      <c r="AN342" s="108"/>
      <c r="AO342" s="108"/>
      <c r="AP342" s="108"/>
      <c r="AQ342" s="108"/>
      <c r="AR342" s="108"/>
    </row>
    <row r="343" spans="1:44" s="372" customFormat="1" ht="30.75" customHeight="1">
      <c r="A343" s="379">
        <f>_xlfn.AGGREGATE(4,7,A$19:A342)+1</f>
        <v>321</v>
      </c>
      <c r="B343" s="444" t="s">
        <v>2137</v>
      </c>
      <c r="C343" s="709"/>
      <c r="D343" s="710"/>
      <c r="E343" s="711"/>
      <c r="F343" s="712"/>
      <c r="G343" s="713"/>
      <c r="H343" s="714"/>
      <c r="I343" s="715"/>
      <c r="J343" s="368" t="str">
        <f>VLOOKUP(B343,[4]CN!$B$33:$J$365,9,FALSE)</f>
        <v>NV phòng TS - Đào tạo</v>
      </c>
      <c r="K343" s="716"/>
      <c r="L343" s="717"/>
      <c r="M343" s="718"/>
      <c r="N343" s="719"/>
      <c r="O343" s="720"/>
      <c r="P343" s="721"/>
      <c r="Q343" s="719"/>
      <c r="R343" s="722"/>
      <c r="S343" s="717"/>
      <c r="T343" s="723"/>
      <c r="U343" s="717"/>
      <c r="V343" s="724"/>
      <c r="W343" s="725"/>
      <c r="X343" s="726"/>
      <c r="Y343" s="727">
        <v>4500831</v>
      </c>
      <c r="Z343" s="664">
        <f t="shared" si="62"/>
        <v>2.5004616666666668</v>
      </c>
      <c r="AA343" s="662">
        <v>1800000</v>
      </c>
      <c r="AB343" s="663">
        <f t="shared" si="63"/>
        <v>4500831</v>
      </c>
      <c r="AC343" s="568">
        <f t="shared" si="65"/>
        <v>321</v>
      </c>
      <c r="AD343" s="493"/>
      <c r="AE343" s="141"/>
      <c r="AF343" s="108"/>
      <c r="AG343" s="108"/>
      <c r="AH343" s="155"/>
      <c r="AI343" s="108"/>
      <c r="AJ343" s="108"/>
      <c r="AK343" s="108"/>
      <c r="AL343" s="108"/>
      <c r="AM343" s="108"/>
      <c r="AN343" s="108"/>
      <c r="AO343" s="108"/>
      <c r="AP343" s="108"/>
      <c r="AQ343" s="108"/>
      <c r="AR343" s="108"/>
    </row>
    <row r="344" spans="1:44" s="372" customFormat="1" ht="30.75" customHeight="1">
      <c r="A344" s="379">
        <f>_xlfn.AGGREGATE(4,7,A$19:A343)+1</f>
        <v>322</v>
      </c>
      <c r="B344" s="444" t="s">
        <v>2138</v>
      </c>
      <c r="C344" s="709"/>
      <c r="D344" s="710"/>
      <c r="E344" s="711"/>
      <c r="F344" s="712"/>
      <c r="G344" s="713"/>
      <c r="H344" s="714"/>
      <c r="I344" s="715"/>
      <c r="J344" s="368" t="str">
        <f>VLOOKUP(B344,[4]CN!$B$33:$J$365,9,FALSE)</f>
        <v>NV TT Điều hành và QLDL</v>
      </c>
      <c r="K344" s="716"/>
      <c r="L344" s="717"/>
      <c r="M344" s="718"/>
      <c r="N344" s="719"/>
      <c r="O344" s="720"/>
      <c r="P344" s="721"/>
      <c r="Q344" s="719"/>
      <c r="R344" s="722"/>
      <c r="S344" s="717"/>
      <c r="T344" s="723"/>
      <c r="U344" s="717"/>
      <c r="V344" s="724"/>
      <c r="W344" s="725"/>
      <c r="X344" s="726"/>
      <c r="Y344" s="727">
        <v>1454221</v>
      </c>
      <c r="Z344" s="664">
        <f t="shared" ref="Z344:Z353" si="67">Y344/AA344</f>
        <v>0.80790055555555551</v>
      </c>
      <c r="AA344" s="662">
        <v>1800000</v>
      </c>
      <c r="AB344" s="663">
        <f t="shared" ref="AB344:AB353" si="68">Z344*AA344</f>
        <v>1454221</v>
      </c>
      <c r="AC344" s="568">
        <f t="shared" si="65"/>
        <v>322</v>
      </c>
      <c r="AD344" s="493"/>
      <c r="AE344" s="141"/>
      <c r="AF344" s="108"/>
      <c r="AG344" s="108"/>
      <c r="AH344" s="155"/>
      <c r="AI344" s="108"/>
      <c r="AJ344" s="108"/>
      <c r="AK344" s="108"/>
      <c r="AL344" s="108"/>
      <c r="AM344" s="108"/>
      <c r="AN344" s="108"/>
      <c r="AO344" s="108"/>
      <c r="AP344" s="108"/>
      <c r="AQ344" s="108"/>
      <c r="AR344" s="108"/>
    </row>
    <row r="345" spans="1:44" s="372" customFormat="1" ht="30.75" customHeight="1">
      <c r="A345" s="379">
        <f>_xlfn.AGGREGATE(4,7,A$19:A344)+1</f>
        <v>323</v>
      </c>
      <c r="B345" s="444" t="s">
        <v>2142</v>
      </c>
      <c r="C345" s="709"/>
      <c r="D345" s="710"/>
      <c r="E345" s="711"/>
      <c r="F345" s="712"/>
      <c r="G345" s="713"/>
      <c r="H345" s="714"/>
      <c r="I345" s="715"/>
      <c r="J345" s="368" t="str">
        <f>VLOOKUP(B345,[4]CN!$B$33:$J$365,9,FALSE)</f>
        <v>NV TT Điều hành và QLDL</v>
      </c>
      <c r="K345" s="716"/>
      <c r="L345" s="717"/>
      <c r="M345" s="718"/>
      <c r="N345" s="719"/>
      <c r="O345" s="720"/>
      <c r="P345" s="721"/>
      <c r="Q345" s="719"/>
      <c r="R345" s="722"/>
      <c r="S345" s="717"/>
      <c r="T345" s="723"/>
      <c r="U345" s="717"/>
      <c r="V345" s="724"/>
      <c r="W345" s="725"/>
      <c r="X345" s="726"/>
      <c r="Y345" s="727">
        <v>5608512</v>
      </c>
      <c r="Z345" s="664">
        <f t="shared" si="67"/>
        <v>3.1158399999999999</v>
      </c>
      <c r="AA345" s="662">
        <v>1800000</v>
      </c>
      <c r="AB345" s="663">
        <f t="shared" si="68"/>
        <v>5608512</v>
      </c>
      <c r="AC345" s="568">
        <f t="shared" si="65"/>
        <v>323</v>
      </c>
      <c r="AD345" s="493"/>
      <c r="AE345" s="141"/>
      <c r="AF345" s="108"/>
      <c r="AG345" s="108"/>
      <c r="AH345" s="155"/>
      <c r="AI345" s="108"/>
      <c r="AJ345" s="108"/>
      <c r="AK345" s="108"/>
      <c r="AL345" s="108"/>
      <c r="AM345" s="108"/>
      <c r="AN345" s="108"/>
      <c r="AO345" s="108"/>
      <c r="AP345" s="108"/>
      <c r="AQ345" s="108"/>
      <c r="AR345" s="108"/>
    </row>
    <row r="346" spans="1:44" s="372" customFormat="1" ht="30.75" customHeight="1">
      <c r="A346" s="379">
        <f>_xlfn.AGGREGATE(4,7,A$19:A345)+1</f>
        <v>324</v>
      </c>
      <c r="B346" s="444" t="s">
        <v>2143</v>
      </c>
      <c r="C346" s="709"/>
      <c r="D346" s="710"/>
      <c r="E346" s="711"/>
      <c r="F346" s="712"/>
      <c r="G346" s="713"/>
      <c r="H346" s="714"/>
      <c r="I346" s="715"/>
      <c r="J346" s="368" t="str">
        <f>VLOOKUP(B346,[4]CN!$B$33:$J$365,9,FALSE)</f>
        <v>NV TT Điều hành và QLDL</v>
      </c>
      <c r="K346" s="716"/>
      <c r="L346" s="717"/>
      <c r="M346" s="718"/>
      <c r="N346" s="719"/>
      <c r="O346" s="720"/>
      <c r="P346" s="721"/>
      <c r="Q346" s="719"/>
      <c r="R346" s="722"/>
      <c r="S346" s="717"/>
      <c r="T346" s="723"/>
      <c r="U346" s="717"/>
      <c r="V346" s="724"/>
      <c r="W346" s="725"/>
      <c r="X346" s="726"/>
      <c r="Y346" s="727">
        <v>2582867</v>
      </c>
      <c r="Z346" s="664">
        <f t="shared" si="67"/>
        <v>1.4349261111111111</v>
      </c>
      <c r="AA346" s="662">
        <v>1800000</v>
      </c>
      <c r="AB346" s="663">
        <f t="shared" si="68"/>
        <v>2582867</v>
      </c>
      <c r="AC346" s="568">
        <f t="shared" si="65"/>
        <v>324</v>
      </c>
      <c r="AD346" s="493"/>
      <c r="AE346" s="141"/>
      <c r="AF346" s="108"/>
      <c r="AG346" s="108"/>
      <c r="AH346" s="155"/>
      <c r="AI346" s="108"/>
      <c r="AJ346" s="108"/>
      <c r="AK346" s="108"/>
      <c r="AL346" s="108"/>
      <c r="AM346" s="108"/>
      <c r="AN346" s="108"/>
      <c r="AO346" s="108"/>
      <c r="AP346" s="108"/>
      <c r="AQ346" s="108"/>
      <c r="AR346" s="108"/>
    </row>
    <row r="347" spans="1:44" s="372" customFormat="1" ht="30.75" customHeight="1">
      <c r="A347" s="379">
        <f>_xlfn.AGGREGATE(4,7,A$19:A346)+1</f>
        <v>325</v>
      </c>
      <c r="B347" s="444" t="s">
        <v>2144</v>
      </c>
      <c r="C347" s="709"/>
      <c r="D347" s="710"/>
      <c r="E347" s="711"/>
      <c r="F347" s="712"/>
      <c r="G347" s="713"/>
      <c r="H347" s="714"/>
      <c r="I347" s="715"/>
      <c r="J347" s="368" t="str">
        <f>VLOOKUP(B347,[4]CN!$B$33:$J$365,9,FALSE)</f>
        <v>NV phòng Khảo thí và ĐBCL</v>
      </c>
      <c r="K347" s="716"/>
      <c r="L347" s="717"/>
      <c r="M347" s="718"/>
      <c r="N347" s="719"/>
      <c r="O347" s="720"/>
      <c r="P347" s="721"/>
      <c r="Q347" s="719"/>
      <c r="R347" s="722"/>
      <c r="S347" s="717"/>
      <c r="T347" s="723"/>
      <c r="U347" s="717"/>
      <c r="V347" s="724"/>
      <c r="W347" s="725"/>
      <c r="X347" s="726"/>
      <c r="Y347" s="727">
        <v>5648159</v>
      </c>
      <c r="Z347" s="664">
        <f t="shared" si="67"/>
        <v>3.1378661111111112</v>
      </c>
      <c r="AA347" s="662">
        <v>1800000</v>
      </c>
      <c r="AB347" s="663">
        <f t="shared" si="68"/>
        <v>5648159</v>
      </c>
      <c r="AC347" s="568">
        <f t="shared" si="65"/>
        <v>325</v>
      </c>
      <c r="AD347" s="493"/>
      <c r="AE347" s="141"/>
      <c r="AF347" s="108"/>
      <c r="AG347" s="108"/>
      <c r="AH347" s="155"/>
      <c r="AI347" s="108"/>
      <c r="AJ347" s="108"/>
      <c r="AK347" s="108"/>
      <c r="AL347" s="108"/>
      <c r="AM347" s="108"/>
      <c r="AN347" s="108"/>
      <c r="AO347" s="108"/>
      <c r="AP347" s="108"/>
      <c r="AQ347" s="108"/>
      <c r="AR347" s="108"/>
    </row>
    <row r="348" spans="1:44" s="372" customFormat="1" ht="30.75" customHeight="1">
      <c r="A348" s="379">
        <f>_xlfn.AGGREGATE(4,7,A$19:A347)+1</f>
        <v>326</v>
      </c>
      <c r="B348" s="444" t="s">
        <v>2147</v>
      </c>
      <c r="C348" s="709"/>
      <c r="D348" s="710"/>
      <c r="E348" s="711"/>
      <c r="F348" s="712"/>
      <c r="G348" s="713"/>
      <c r="H348" s="714"/>
      <c r="I348" s="715"/>
      <c r="J348" s="368" t="str">
        <f>VLOOKUP(B348,[4]CN!$B$33:$J$365,9,FALSE)</f>
        <v>Khoa Động lực</v>
      </c>
      <c r="K348" s="716"/>
      <c r="L348" s="717"/>
      <c r="M348" s="718"/>
      <c r="N348" s="719"/>
      <c r="O348" s="720"/>
      <c r="P348" s="721"/>
      <c r="Q348" s="719"/>
      <c r="R348" s="722"/>
      <c r="S348" s="717"/>
      <c r="T348" s="723"/>
      <c r="U348" s="717"/>
      <c r="V348" s="724"/>
      <c r="W348" s="725"/>
      <c r="X348" s="726"/>
      <c r="Y348" s="727">
        <v>4659903</v>
      </c>
      <c r="Z348" s="664">
        <f t="shared" si="67"/>
        <v>2.588835</v>
      </c>
      <c r="AA348" s="662">
        <v>1800000</v>
      </c>
      <c r="AB348" s="663">
        <f t="shared" si="68"/>
        <v>4659903</v>
      </c>
      <c r="AC348" s="568">
        <f t="shared" si="65"/>
        <v>326</v>
      </c>
      <c r="AD348" s="493"/>
      <c r="AE348" s="141"/>
      <c r="AF348" s="108"/>
      <c r="AG348" s="108"/>
      <c r="AH348" s="155"/>
      <c r="AI348" s="108"/>
      <c r="AJ348" s="108"/>
      <c r="AK348" s="108"/>
      <c r="AL348" s="108"/>
      <c r="AM348" s="108"/>
      <c r="AN348" s="108"/>
      <c r="AO348" s="108"/>
      <c r="AP348" s="108"/>
      <c r="AQ348" s="108"/>
      <c r="AR348" s="108"/>
    </row>
    <row r="349" spans="1:44" s="372" customFormat="1" ht="30.75" customHeight="1">
      <c r="A349" s="379">
        <f>_xlfn.AGGREGATE(4,7,A$19:A348)+1</f>
        <v>327</v>
      </c>
      <c r="B349" s="444" t="s">
        <v>2149</v>
      </c>
      <c r="C349" s="709"/>
      <c r="D349" s="710"/>
      <c r="E349" s="711"/>
      <c r="F349" s="712"/>
      <c r="G349" s="713"/>
      <c r="H349" s="714"/>
      <c r="I349" s="715"/>
      <c r="J349" s="368" t="str">
        <f>VLOOKUP(B349,[4]CN!$B$33:$J$365,9,FALSE)</f>
        <v>NV TT Đào tạo Lý Tự Trọng</v>
      </c>
      <c r="K349" s="716"/>
      <c r="L349" s="717"/>
      <c r="M349" s="718"/>
      <c r="N349" s="719"/>
      <c r="O349" s="720"/>
      <c r="P349" s="721"/>
      <c r="Q349" s="719"/>
      <c r="R349" s="722"/>
      <c r="S349" s="717"/>
      <c r="T349" s="723"/>
      <c r="U349" s="717"/>
      <c r="V349" s="724"/>
      <c r="W349" s="725"/>
      <c r="X349" s="726"/>
      <c r="Y349" s="727">
        <v>3587990</v>
      </c>
      <c r="Z349" s="664">
        <f t="shared" si="67"/>
        <v>1.9933277777777778</v>
      </c>
      <c r="AA349" s="662">
        <v>1800000</v>
      </c>
      <c r="AB349" s="663">
        <f t="shared" si="68"/>
        <v>3587990</v>
      </c>
      <c r="AC349" s="568">
        <f t="shared" si="65"/>
        <v>327</v>
      </c>
      <c r="AD349" s="493"/>
      <c r="AE349" s="141"/>
      <c r="AF349" s="108"/>
      <c r="AG349" s="108"/>
      <c r="AH349" s="155"/>
      <c r="AI349" s="108"/>
      <c r="AJ349" s="108"/>
      <c r="AK349" s="108"/>
      <c r="AL349" s="108"/>
      <c r="AM349" s="108"/>
      <c r="AN349" s="108"/>
      <c r="AO349" s="108"/>
      <c r="AP349" s="108"/>
      <c r="AQ349" s="108"/>
      <c r="AR349" s="108"/>
    </row>
    <row r="350" spans="1:44" s="372" customFormat="1" ht="30.75" customHeight="1">
      <c r="A350" s="379">
        <f>_xlfn.AGGREGATE(4,7,A$19:A349)+1</f>
        <v>328</v>
      </c>
      <c r="B350" s="444" t="s">
        <v>2151</v>
      </c>
      <c r="C350" s="709"/>
      <c r="D350" s="710"/>
      <c r="E350" s="711"/>
      <c r="F350" s="712"/>
      <c r="G350" s="713"/>
      <c r="H350" s="714"/>
      <c r="I350" s="715"/>
      <c r="J350" s="368" t="str">
        <f>VLOOKUP(B350,[4]CN!$B$33:$J$365,9,FALSE)</f>
        <v>NV TT Đào tạo Lý Tự Trọng</v>
      </c>
      <c r="K350" s="716"/>
      <c r="L350" s="717"/>
      <c r="M350" s="718"/>
      <c r="N350" s="719"/>
      <c r="O350" s="720"/>
      <c r="P350" s="721"/>
      <c r="Q350" s="719"/>
      <c r="R350" s="722"/>
      <c r="S350" s="717"/>
      <c r="T350" s="723"/>
      <c r="U350" s="717"/>
      <c r="V350" s="724"/>
      <c r="W350" s="725"/>
      <c r="X350" s="726"/>
      <c r="Y350" s="727">
        <v>1108421</v>
      </c>
      <c r="Z350" s="664">
        <f t="shared" si="67"/>
        <v>0.61578944444444439</v>
      </c>
      <c r="AA350" s="662">
        <v>1800000</v>
      </c>
      <c r="AB350" s="663">
        <f t="shared" si="68"/>
        <v>1108421</v>
      </c>
      <c r="AC350" s="568">
        <f t="shared" si="65"/>
        <v>328</v>
      </c>
      <c r="AD350" s="493"/>
      <c r="AE350" s="141"/>
      <c r="AF350" s="108"/>
      <c r="AG350" s="108"/>
      <c r="AH350" s="155"/>
      <c r="AI350" s="108"/>
      <c r="AJ350" s="108"/>
      <c r="AK350" s="108"/>
      <c r="AL350" s="108"/>
      <c r="AM350" s="108"/>
      <c r="AN350" s="108"/>
      <c r="AO350" s="108"/>
      <c r="AP350" s="108"/>
      <c r="AQ350" s="108"/>
      <c r="AR350" s="108"/>
    </row>
    <row r="351" spans="1:44" s="372" customFormat="1" ht="30.75" customHeight="1">
      <c r="A351" s="379">
        <f>_xlfn.AGGREGATE(4,7,A$19:A350)+1</f>
        <v>329</v>
      </c>
      <c r="B351" s="444" t="s">
        <v>2152</v>
      </c>
      <c r="C351" s="709"/>
      <c r="D351" s="710"/>
      <c r="E351" s="711"/>
      <c r="F351" s="712"/>
      <c r="G351" s="713"/>
      <c r="H351" s="714"/>
      <c r="I351" s="715"/>
      <c r="J351" s="368" t="str">
        <f>VLOOKUP(B351,[4]CN!$B$33:$J$365,9,FALSE)</f>
        <v xml:space="preserve">NV Thư viện  </v>
      </c>
      <c r="K351" s="716"/>
      <c r="L351" s="717"/>
      <c r="M351" s="718"/>
      <c r="N351" s="719"/>
      <c r="O351" s="720"/>
      <c r="P351" s="721"/>
      <c r="Q351" s="719"/>
      <c r="R351" s="722"/>
      <c r="S351" s="717"/>
      <c r="T351" s="723"/>
      <c r="U351" s="717"/>
      <c r="V351" s="724"/>
      <c r="W351" s="725"/>
      <c r="X351" s="726"/>
      <c r="Y351" s="727">
        <v>3627441</v>
      </c>
      <c r="Z351" s="664">
        <f t="shared" si="67"/>
        <v>2.0152450000000002</v>
      </c>
      <c r="AA351" s="662">
        <v>1800000</v>
      </c>
      <c r="AB351" s="663">
        <f t="shared" si="68"/>
        <v>3627441.0000000005</v>
      </c>
      <c r="AC351" s="568">
        <f t="shared" ref="AC351:AC353" si="69">A351</f>
        <v>329</v>
      </c>
      <c r="AD351" s="493"/>
      <c r="AE351" s="141"/>
      <c r="AF351" s="108"/>
      <c r="AG351" s="108"/>
      <c r="AH351" s="155"/>
      <c r="AI351" s="108"/>
      <c r="AJ351" s="108"/>
      <c r="AK351" s="108"/>
      <c r="AL351" s="108"/>
      <c r="AM351" s="108"/>
      <c r="AN351" s="108"/>
      <c r="AO351" s="108"/>
      <c r="AP351" s="108"/>
      <c r="AQ351" s="108"/>
      <c r="AR351" s="108"/>
    </row>
    <row r="352" spans="1:44" s="372" customFormat="1" ht="30.75" customHeight="1">
      <c r="A352" s="379">
        <f>_xlfn.AGGREGATE(4,7,A$19:A351)+1</f>
        <v>330</v>
      </c>
      <c r="B352" s="444" t="s">
        <v>2155</v>
      </c>
      <c r="C352" s="709"/>
      <c r="D352" s="710"/>
      <c r="E352" s="711"/>
      <c r="F352" s="712"/>
      <c r="G352" s="713"/>
      <c r="H352" s="714"/>
      <c r="I352" s="715"/>
      <c r="J352" s="368" t="str">
        <f>VLOOKUP(B352,[4]CN!$B$33:$J$365,9,FALSE)</f>
        <v xml:space="preserve">NV Thư viện  </v>
      </c>
      <c r="K352" s="716"/>
      <c r="L352" s="717"/>
      <c r="M352" s="718"/>
      <c r="N352" s="719"/>
      <c r="O352" s="720"/>
      <c r="P352" s="721"/>
      <c r="Q352" s="719"/>
      <c r="R352" s="722"/>
      <c r="S352" s="717"/>
      <c r="T352" s="723"/>
      <c r="U352" s="717"/>
      <c r="V352" s="724"/>
      <c r="W352" s="725"/>
      <c r="X352" s="726"/>
      <c r="Y352" s="727">
        <v>2712011</v>
      </c>
      <c r="Z352" s="664">
        <f t="shared" si="67"/>
        <v>1.5066727777777777</v>
      </c>
      <c r="AA352" s="662">
        <v>1800000</v>
      </c>
      <c r="AB352" s="663">
        <f t="shared" si="68"/>
        <v>2712011</v>
      </c>
      <c r="AC352" s="568">
        <f t="shared" si="69"/>
        <v>330</v>
      </c>
      <c r="AD352" s="493"/>
      <c r="AE352" s="141"/>
      <c r="AF352" s="108"/>
      <c r="AG352" s="108"/>
      <c r="AH352" s="155"/>
      <c r="AI352" s="108"/>
      <c r="AJ352" s="108"/>
      <c r="AK352" s="108"/>
      <c r="AL352" s="108"/>
      <c r="AM352" s="108"/>
      <c r="AN352" s="108"/>
      <c r="AO352" s="108"/>
      <c r="AP352" s="108"/>
      <c r="AQ352" s="108"/>
      <c r="AR352" s="108"/>
    </row>
    <row r="353" spans="1:44" s="372" customFormat="1" ht="30.75" customHeight="1">
      <c r="A353" s="379">
        <f>_xlfn.AGGREGATE(4,7,A$19:A352)+1</f>
        <v>331</v>
      </c>
      <c r="B353" s="444" t="s">
        <v>2156</v>
      </c>
      <c r="C353" s="709"/>
      <c r="D353" s="710"/>
      <c r="E353" s="711"/>
      <c r="F353" s="712"/>
      <c r="G353" s="713"/>
      <c r="H353" s="714"/>
      <c r="I353" s="715"/>
      <c r="J353" s="368" t="str">
        <f>VLOOKUP(B353,[4]CN!$B$33:$J$365,9,FALSE)</f>
        <v xml:space="preserve">NV Thư viện  </v>
      </c>
      <c r="K353" s="716"/>
      <c r="L353" s="717"/>
      <c r="M353" s="718"/>
      <c r="N353" s="719"/>
      <c r="O353" s="720"/>
      <c r="P353" s="721"/>
      <c r="Q353" s="719"/>
      <c r="R353" s="722"/>
      <c r="S353" s="717"/>
      <c r="T353" s="723"/>
      <c r="U353" s="717"/>
      <c r="V353" s="724"/>
      <c r="W353" s="725"/>
      <c r="X353" s="726"/>
      <c r="Y353" s="727">
        <v>3627441</v>
      </c>
      <c r="Z353" s="664">
        <f t="shared" si="67"/>
        <v>2.0152450000000002</v>
      </c>
      <c r="AA353" s="662">
        <v>1800000</v>
      </c>
      <c r="AB353" s="663">
        <f t="shared" si="68"/>
        <v>3627441.0000000005</v>
      </c>
      <c r="AC353" s="568">
        <f t="shared" si="69"/>
        <v>331</v>
      </c>
      <c r="AD353" s="770"/>
      <c r="AE353" s="141"/>
      <c r="AF353" s="108"/>
      <c r="AG353" s="108"/>
      <c r="AH353" s="155"/>
      <c r="AI353" s="108"/>
      <c r="AJ353" s="108"/>
      <c r="AK353" s="108"/>
      <c r="AL353" s="108"/>
      <c r="AM353" s="108"/>
      <c r="AN353" s="108"/>
      <c r="AO353" s="108"/>
      <c r="AP353" s="108"/>
      <c r="AQ353" s="108"/>
      <c r="AR353" s="108"/>
    </row>
    <row r="354" spans="1:44" s="124" customFormat="1" ht="21.75" customHeight="1">
      <c r="A354" s="347"/>
      <c r="B354" s="831" t="s">
        <v>2190</v>
      </c>
      <c r="C354" s="411"/>
      <c r="D354" s="412"/>
      <c r="E354" s="348"/>
      <c r="F354" s="413">
        <f>SUM(F21:F288)</f>
        <v>1012.1950000000006</v>
      </c>
      <c r="G354" s="413">
        <f>SUM(G21:G288)</f>
        <v>2.6900000000000008</v>
      </c>
      <c r="H354" s="413">
        <f>SUM(H21:H288)</f>
        <v>1025.4992000000007</v>
      </c>
      <c r="I354" s="413">
        <f>SUM(I21:I288)</f>
        <v>25.099999999999998</v>
      </c>
      <c r="J354" s="413"/>
      <c r="K354" s="413">
        <f>SUM(K21:K288)</f>
        <v>1052.5882000000008</v>
      </c>
      <c r="L354" s="414">
        <f>SUM(L21:L288)</f>
        <v>1894658760</v>
      </c>
      <c r="M354" s="413"/>
      <c r="N354" s="415">
        <f t="shared" ref="N354:W354" si="70">SUM(N21:N288)</f>
        <v>2157283008</v>
      </c>
      <c r="O354" s="415">
        <f t="shared" si="70"/>
        <v>2923</v>
      </c>
      <c r="P354" s="416">
        <f t="shared" si="70"/>
        <v>2982</v>
      </c>
      <c r="Q354" s="415">
        <f t="shared" si="70"/>
        <v>2138671233</v>
      </c>
      <c r="R354" s="475">
        <f t="shared" si="70"/>
        <v>0</v>
      </c>
      <c r="S354" s="415">
        <f t="shared" si="70"/>
        <v>0</v>
      </c>
      <c r="T354" s="417">
        <f t="shared" si="70"/>
        <v>0</v>
      </c>
      <c r="U354" s="415">
        <f t="shared" si="70"/>
        <v>0</v>
      </c>
      <c r="V354" s="586">
        <f t="shared" si="70"/>
        <v>18695161</v>
      </c>
      <c r="W354" s="415">
        <f t="shared" si="70"/>
        <v>2138671233</v>
      </c>
      <c r="X354" s="442">
        <f>SUM(X21:X288)</f>
        <v>206126522.18181819</v>
      </c>
      <c r="Y354" s="442">
        <f>SUM(Y21:Y353)</f>
        <v>2604847869.1818171</v>
      </c>
      <c r="Z354" s="665">
        <f>SUM(Z291:Z353)</f>
        <v>144.47228555555552</v>
      </c>
      <c r="AA354" s="442"/>
      <c r="AB354" s="442">
        <f>SUM(AB291:AB353)</f>
        <v>260050114</v>
      </c>
      <c r="AC354" s="349"/>
      <c r="AD354" s="348"/>
      <c r="AE354" s="438"/>
      <c r="AH354" s="156"/>
    </row>
    <row r="355" spans="1:44" s="124" customFormat="1" ht="21.75" customHeight="1">
      <c r="A355" s="347"/>
      <c r="B355" s="413" t="s">
        <v>2191</v>
      </c>
      <c r="C355" s="413"/>
      <c r="D355" s="832"/>
      <c r="E355" s="640"/>
      <c r="F355" s="413"/>
      <c r="G355" s="413"/>
      <c r="H355" s="413"/>
      <c r="I355" s="413"/>
      <c r="J355" s="413"/>
      <c r="K355" s="413"/>
      <c r="L355" s="414"/>
      <c r="M355" s="413"/>
      <c r="N355" s="415"/>
      <c r="O355" s="415"/>
      <c r="P355" s="416"/>
      <c r="Q355" s="415"/>
      <c r="R355" s="475"/>
      <c r="S355" s="415"/>
      <c r="T355" s="417"/>
      <c r="U355" s="415"/>
      <c r="V355" s="586"/>
      <c r="W355" s="415"/>
      <c r="X355" s="415"/>
      <c r="Y355" s="415"/>
      <c r="Z355" s="833">
        <f>Z354+Z289</f>
        <v>1447.1377051010122</v>
      </c>
      <c r="AA355" s="415"/>
      <c r="AB355" s="415">
        <f>AB354+AB289</f>
        <v>2604847869.1818171</v>
      </c>
      <c r="AC355" s="349"/>
      <c r="AD355" s="834"/>
      <c r="AE355" s="438"/>
      <c r="AH355" s="156"/>
    </row>
    <row r="356" spans="1:44" ht="2.25" customHeight="1">
      <c r="F356" s="1"/>
      <c r="G356" s="4"/>
      <c r="L356" s="357"/>
      <c r="M356" s="1"/>
      <c r="N356" s="3"/>
      <c r="O356" s="1"/>
      <c r="P356" s="1"/>
      <c r="Q356" s="3"/>
      <c r="R356" s="451"/>
      <c r="S356" s="3"/>
      <c r="T356" s="382"/>
      <c r="U356" s="3"/>
      <c r="V356" s="581"/>
      <c r="W356" s="3"/>
      <c r="X356" s="3"/>
      <c r="Y356" s="3"/>
      <c r="Z356" s="3"/>
      <c r="AA356" s="3"/>
      <c r="AB356" s="3"/>
    </row>
    <row r="357" spans="1:44" s="16" customFormat="1" ht="21.75" customHeight="1">
      <c r="B357" s="492" t="s">
        <v>2186</v>
      </c>
      <c r="C357" s="14"/>
      <c r="D357" s="14"/>
      <c r="E357" s="14"/>
      <c r="F357" s="15"/>
      <c r="G357" s="15"/>
      <c r="H357" s="15"/>
      <c r="I357" s="15"/>
      <c r="J357" s="15"/>
      <c r="K357" s="80"/>
      <c r="L357" s="355"/>
      <c r="M357" s="18"/>
      <c r="N357" s="17"/>
      <c r="O357" s="18"/>
      <c r="P357" s="18"/>
      <c r="Q357" s="43"/>
      <c r="R357" s="450"/>
      <c r="S357" s="17"/>
      <c r="T357" s="381"/>
      <c r="U357" s="17"/>
      <c r="V357" s="579"/>
      <c r="W357" s="43"/>
      <c r="X357" s="43"/>
      <c r="Y357" s="43"/>
      <c r="Z357" s="43"/>
      <c r="AA357" s="43"/>
      <c r="AB357" s="43"/>
      <c r="AD357" s="97"/>
      <c r="AE357" s="106"/>
      <c r="AH357" s="152"/>
    </row>
    <row r="358" spans="1:44" s="16" customFormat="1" ht="3.75" customHeight="1">
      <c r="B358" s="37"/>
      <c r="C358" s="14"/>
      <c r="D358" s="14"/>
      <c r="E358" s="14"/>
      <c r="F358" s="15"/>
      <c r="G358" s="15"/>
      <c r="H358" s="15"/>
      <c r="I358" s="15"/>
      <c r="J358" s="15"/>
      <c r="K358" s="80"/>
      <c r="L358" s="355"/>
      <c r="M358" s="18"/>
      <c r="N358" s="17"/>
      <c r="O358" s="18"/>
      <c r="P358" s="18"/>
      <c r="Q358" s="43"/>
      <c r="R358" s="450"/>
      <c r="S358" s="17"/>
      <c r="T358" s="381"/>
      <c r="U358" s="17"/>
      <c r="V358" s="579"/>
      <c r="W358" s="43"/>
      <c r="X358" s="43"/>
      <c r="Y358" s="43"/>
      <c r="Z358" s="43"/>
      <c r="AA358" s="43"/>
      <c r="AB358" s="43"/>
      <c r="AD358" s="97"/>
      <c r="AE358" s="106"/>
      <c r="AH358" s="152"/>
    </row>
    <row r="359" spans="1:44" ht="15.75">
      <c r="F359" s="1"/>
      <c r="G359" s="4"/>
      <c r="L359" s="356"/>
      <c r="M359" s="1"/>
      <c r="N359" s="3"/>
      <c r="O359" s="1"/>
      <c r="P359" s="1"/>
      <c r="Q359" s="1"/>
      <c r="R359" s="456"/>
      <c r="S359" s="1"/>
      <c r="T359" s="386"/>
      <c r="V359" s="2"/>
      <c r="W359" s="130" t="s">
        <v>2185</v>
      </c>
      <c r="X359" s="130"/>
      <c r="Y359" s="130"/>
      <c r="Z359" s="1559" t="s">
        <v>2168</v>
      </c>
      <c r="AA359" s="1559"/>
      <c r="AB359" s="1559"/>
      <c r="AC359" s="1559"/>
      <c r="AD359" s="1559"/>
      <c r="AE359" s="730"/>
    </row>
    <row r="360" spans="1:44" s="16" customFormat="1">
      <c r="A360" s="1543" t="s">
        <v>859</v>
      </c>
      <c r="B360" s="1543"/>
      <c r="C360" s="14"/>
      <c r="D360" s="14"/>
      <c r="E360" s="14"/>
      <c r="F360" s="14"/>
      <c r="G360" s="14"/>
      <c r="H360" s="14"/>
      <c r="I360" s="13"/>
      <c r="J360" s="1552" t="s">
        <v>1191</v>
      </c>
      <c r="K360" s="1552"/>
      <c r="L360" s="1552"/>
      <c r="M360" s="1552"/>
      <c r="N360" s="1552"/>
      <c r="O360" s="1552"/>
      <c r="P360" s="1552"/>
      <c r="Q360" s="1552"/>
      <c r="R360" s="1552"/>
      <c r="S360" s="1552"/>
      <c r="T360" s="1552"/>
      <c r="U360" s="1552"/>
      <c r="V360" s="1552"/>
      <c r="W360" s="1552"/>
      <c r="X360" s="1552"/>
      <c r="Y360" s="1552"/>
      <c r="Z360" s="1552"/>
      <c r="AA360" s="1543" t="s">
        <v>41</v>
      </c>
      <c r="AB360" s="1543"/>
      <c r="AC360" s="1543"/>
      <c r="AD360" s="1543"/>
      <c r="AE360" s="14"/>
      <c r="AH360" s="152"/>
    </row>
    <row r="361" spans="1:44" s="16" customFormat="1" ht="13.5" customHeight="1">
      <c r="A361" s="13"/>
      <c r="B361" s="13"/>
      <c r="C361" s="14"/>
      <c r="D361" s="14"/>
      <c r="E361" s="14"/>
      <c r="F361" s="14"/>
      <c r="G361" s="14"/>
      <c r="H361" s="14"/>
      <c r="I361" s="13"/>
      <c r="J361" s="13"/>
      <c r="K361" s="178"/>
      <c r="L361" s="352"/>
      <c r="M361" s="14"/>
      <c r="N361" s="14"/>
      <c r="O361" s="13"/>
      <c r="P361" s="14"/>
      <c r="Q361" s="13"/>
      <c r="R361" s="457"/>
      <c r="S361" s="13"/>
      <c r="T361" s="387"/>
      <c r="V361" s="14"/>
      <c r="W361" s="13"/>
      <c r="X361" s="13"/>
      <c r="Y361" s="13"/>
      <c r="Z361" s="13"/>
      <c r="AA361" s="13"/>
      <c r="AB361" s="13"/>
      <c r="AC361" s="13"/>
      <c r="AE361" s="98"/>
      <c r="AH361" s="152"/>
    </row>
    <row r="362" spans="1:44" s="16" customFormat="1" ht="10.5" customHeight="1">
      <c r="G362" s="21"/>
      <c r="H362" s="18"/>
      <c r="K362" s="178"/>
      <c r="L362" s="352"/>
      <c r="M362" s="14"/>
      <c r="N362" s="13"/>
      <c r="O362" s="18"/>
      <c r="P362" s="18"/>
      <c r="Q362" s="18"/>
      <c r="R362" s="458"/>
      <c r="S362" s="18"/>
      <c r="T362" s="388"/>
      <c r="U362" s="18"/>
      <c r="V362" s="18"/>
      <c r="W362" s="18"/>
      <c r="X362" s="18"/>
      <c r="Y362" s="18"/>
      <c r="Z362" s="18"/>
      <c r="AA362" s="18"/>
      <c r="AB362" s="18"/>
      <c r="AC362" s="18"/>
      <c r="AE362" s="96"/>
      <c r="AH362" s="152"/>
    </row>
    <row r="363" spans="1:44" s="16" customFormat="1" ht="13.5" customHeight="1">
      <c r="G363" s="21"/>
      <c r="H363" s="18"/>
      <c r="K363" s="178"/>
      <c r="L363" s="352"/>
      <c r="M363" s="14"/>
      <c r="N363" s="13"/>
      <c r="O363" s="18"/>
      <c r="P363" s="18"/>
      <c r="Q363" s="87"/>
      <c r="R363" s="458"/>
      <c r="S363" s="18"/>
      <c r="T363" s="388"/>
      <c r="U363" s="18"/>
      <c r="V363" s="18"/>
      <c r="W363" s="18"/>
      <c r="X363" s="18"/>
      <c r="Y363" s="18"/>
      <c r="Z363" s="18"/>
      <c r="AA363" s="18"/>
      <c r="AB363" s="18"/>
      <c r="AC363" s="18"/>
      <c r="AE363" s="448"/>
      <c r="AH363" s="152"/>
    </row>
    <row r="364" spans="1:44" s="16" customFormat="1" ht="13.5" customHeight="1">
      <c r="G364" s="21"/>
      <c r="H364" s="18"/>
      <c r="K364" s="178"/>
      <c r="L364" s="352"/>
      <c r="M364" s="14"/>
      <c r="N364" s="13"/>
      <c r="O364" s="44"/>
      <c r="P364" s="18"/>
      <c r="Q364" s="44"/>
      <c r="R364" s="458"/>
      <c r="S364" s="18"/>
      <c r="T364" s="388"/>
      <c r="U364" s="18"/>
      <c r="V364" s="18"/>
      <c r="W364" s="44"/>
      <c r="X364" s="44"/>
      <c r="Y364" s="44"/>
      <c r="Z364" s="44"/>
      <c r="AA364" s="44"/>
      <c r="AB364" s="44"/>
      <c r="AC364" s="44"/>
      <c r="AE364" s="96"/>
      <c r="AH364" s="152"/>
    </row>
    <row r="365" spans="1:44" s="16" customFormat="1" ht="13.5" customHeight="1">
      <c r="G365" s="21"/>
      <c r="H365" s="18"/>
      <c r="I365" s="18"/>
      <c r="J365" s="18"/>
      <c r="K365" s="225"/>
      <c r="L365" s="353"/>
      <c r="M365" s="14"/>
      <c r="N365" s="13"/>
      <c r="O365" s="18"/>
      <c r="P365" s="18"/>
      <c r="Q365" s="18"/>
      <c r="R365" s="458"/>
      <c r="S365" s="18"/>
      <c r="T365" s="388"/>
      <c r="U365" s="18"/>
      <c r="V365" s="18"/>
      <c r="W365" s="18"/>
      <c r="X365" s="18"/>
      <c r="Y365" s="18"/>
      <c r="Z365" s="18"/>
      <c r="AA365" s="18"/>
      <c r="AB365" s="18"/>
      <c r="AC365" s="18"/>
      <c r="AE365" s="448"/>
      <c r="AH365" s="152"/>
    </row>
    <row r="366" spans="1:44" s="16" customFormat="1" ht="13.5" customHeight="1">
      <c r="G366" s="1553"/>
      <c r="H366" s="1553"/>
      <c r="I366" s="18"/>
      <c r="J366" s="18"/>
      <c r="K366" s="225"/>
      <c r="L366" s="353"/>
      <c r="M366" s="14"/>
      <c r="N366" s="13"/>
      <c r="O366" s="18"/>
      <c r="P366" s="18"/>
      <c r="Q366" s="18"/>
      <c r="R366" s="458"/>
      <c r="S366" s="18"/>
      <c r="T366" s="388"/>
      <c r="U366" s="18"/>
      <c r="V366" s="18"/>
      <c r="W366" s="18"/>
      <c r="X366" s="18"/>
      <c r="Y366" s="18"/>
      <c r="Z366" s="18"/>
      <c r="AA366" s="18"/>
      <c r="AB366" s="18"/>
      <c r="AC366" s="18"/>
      <c r="AE366" s="96"/>
      <c r="AH366" s="152"/>
    </row>
    <row r="367" spans="1:44" s="16" customFormat="1" ht="13.5" customHeight="1">
      <c r="A367" s="1543" t="s">
        <v>1827</v>
      </c>
      <c r="B367" s="1543"/>
      <c r="C367" s="13"/>
      <c r="D367" s="13"/>
      <c r="E367" s="13"/>
      <c r="F367" s="14"/>
      <c r="G367" s="14"/>
      <c r="H367" s="14"/>
      <c r="I367" s="13"/>
      <c r="J367" s="1552" t="s">
        <v>1445</v>
      </c>
      <c r="K367" s="1552"/>
      <c r="L367" s="1552"/>
      <c r="M367" s="1552"/>
      <c r="N367" s="1552"/>
      <c r="O367" s="1552"/>
      <c r="P367" s="1552"/>
      <c r="Q367" s="1552"/>
      <c r="R367" s="1552"/>
      <c r="S367" s="1552"/>
      <c r="T367" s="1552"/>
      <c r="U367" s="1552"/>
      <c r="V367" s="1552"/>
      <c r="W367" s="1552"/>
      <c r="X367" s="1552"/>
      <c r="Y367" s="1552"/>
      <c r="Z367" s="1552"/>
      <c r="AA367" s="1543" t="s">
        <v>1433</v>
      </c>
      <c r="AB367" s="1543"/>
      <c r="AC367" s="1543"/>
      <c r="AD367" s="1543"/>
      <c r="AE367" s="14"/>
      <c r="AH367" s="152"/>
    </row>
    <row r="368" spans="1:44" s="16" customFormat="1" ht="15.75">
      <c r="A368" s="6"/>
      <c r="B368" s="2"/>
      <c r="C368" s="2"/>
      <c r="D368" s="2"/>
      <c r="F368" s="2"/>
      <c r="G368" s="109"/>
      <c r="H368" s="2"/>
      <c r="I368" s="2"/>
      <c r="J368" s="2"/>
      <c r="K368" s="179"/>
      <c r="L368" s="358"/>
      <c r="M368" s="7"/>
      <c r="N368" s="7"/>
      <c r="O368" s="2"/>
      <c r="P368" s="2"/>
      <c r="Q368" s="2"/>
      <c r="R368" s="459"/>
      <c r="S368" s="2"/>
      <c r="T368" s="389"/>
      <c r="U368" s="2"/>
      <c r="V368" s="2"/>
      <c r="W368" s="2"/>
      <c r="X368" s="2"/>
      <c r="Y368" s="2"/>
      <c r="Z368" s="2"/>
      <c r="AA368" s="2"/>
      <c r="AB368" s="2"/>
      <c r="AC368" s="2"/>
      <c r="AD368" s="2"/>
      <c r="AE368" s="96"/>
      <c r="AH368" s="152"/>
    </row>
    <row r="369" spans="1:14" ht="15.75">
      <c r="A369" s="6"/>
      <c r="K369" s="179"/>
      <c r="L369" s="358"/>
      <c r="M369" s="7"/>
      <c r="N369" s="7"/>
    </row>
    <row r="370" spans="1:14" ht="15.75" customHeight="1">
      <c r="A370" s="6"/>
      <c r="K370" s="179"/>
      <c r="L370" s="358"/>
      <c r="M370" s="7"/>
      <c r="N370" s="7"/>
    </row>
    <row r="373" spans="1:14">
      <c r="L373" s="359"/>
    </row>
    <row r="426" ht="15.75" customHeight="1"/>
  </sheetData>
  <sheetProtection deleteColumns="0" deleteRows="0" selectLockedCells="1"/>
  <mergeCells count="31">
    <mergeCell ref="AB5:AD5"/>
    <mergeCell ref="A6:AD6"/>
    <mergeCell ref="A7:AD7"/>
    <mergeCell ref="A4:M4"/>
    <mergeCell ref="U1:AD1"/>
    <mergeCell ref="Z2:AD2"/>
    <mergeCell ref="AB3:AD3"/>
    <mergeCell ref="AB4:AD4"/>
    <mergeCell ref="A1:J1"/>
    <mergeCell ref="A2:J2"/>
    <mergeCell ref="A3:M3"/>
    <mergeCell ref="A360:B360"/>
    <mergeCell ref="G366:H366"/>
    <mergeCell ref="A367:B367"/>
    <mergeCell ref="A13:AD13"/>
    <mergeCell ref="A14:AD14"/>
    <mergeCell ref="O15:S15"/>
    <mergeCell ref="B18:C18"/>
    <mergeCell ref="AC18:AD18"/>
    <mergeCell ref="B19:C19"/>
    <mergeCell ref="J360:Z360"/>
    <mergeCell ref="J367:Z367"/>
    <mergeCell ref="AA360:AD360"/>
    <mergeCell ref="AA367:AD367"/>
    <mergeCell ref="Z359:AD359"/>
    <mergeCell ref="A12:AD12"/>
    <mergeCell ref="A8:M8"/>
    <mergeCell ref="S8:AD8"/>
    <mergeCell ref="A9:M9"/>
    <mergeCell ref="S9:AD9"/>
    <mergeCell ref="A10:M10"/>
  </mergeCells>
  <conditionalFormatting sqref="A1 K1:M1">
    <cfRule type="cellIs" dxfId="1076" priority="34" stopIfTrue="1" operator="equal">
      <formula>"A DN"</formula>
    </cfRule>
    <cfRule type="cellIs" dxfId="1075" priority="36" stopIfTrue="1" operator="equal">
      <formula>"B"</formula>
    </cfRule>
    <cfRule type="cellIs" dxfId="1074" priority="35" stopIfTrue="1" operator="equal">
      <formula>"C"</formula>
    </cfRule>
    <cfRule type="cellIs" dxfId="1073" priority="33" stopIfTrue="1" operator="equal">
      <formula>"KXL"</formula>
    </cfRule>
  </conditionalFormatting>
  <conditionalFormatting sqref="A1:A2 K1:M2 O1:U3 A3:M3 A4:AB5">
    <cfRule type="cellIs" dxfId="1072" priority="26" stopIfTrue="1" operator="equal">
      <formula>"A DN"</formula>
    </cfRule>
    <cfRule type="cellIs" dxfId="1071" priority="28" stopIfTrue="1" operator="equal">
      <formula>"B"</formula>
    </cfRule>
    <cfRule type="cellIs" dxfId="1070" priority="27" stopIfTrue="1" operator="equal">
      <formula>"C"</formula>
    </cfRule>
  </conditionalFormatting>
  <conditionalFormatting sqref="A6:A7">
    <cfRule type="cellIs" dxfId="1069" priority="32" stopIfTrue="1" operator="equal">
      <formula>"B"</formula>
    </cfRule>
    <cfRule type="cellIs" dxfId="1068" priority="31" stopIfTrue="1" operator="equal">
      <formula>"C"</formula>
    </cfRule>
    <cfRule type="cellIs" dxfId="1067" priority="30" stopIfTrue="1" operator="equal">
      <formula>"A DN"</formula>
    </cfRule>
    <cfRule type="cellIs" dxfId="1066" priority="29" stopIfTrue="1" operator="equal">
      <formula>"KXL"</formula>
    </cfRule>
  </conditionalFormatting>
  <conditionalFormatting sqref="A8:M9 O8:S9 AE8:JA9 A10:XFD13 A14 AE14:JA14 A15:XFD17 AE18:XFD18 A18:I20 AE19:JA25 A21:C21 E21:O21 Q21:W22 K22:O22 E22:I23 B22:C25 A22:A353 J22:J353 U23:W62 K23:L91 Q23:Q91 M23:O353 F24:I25 AG26:JA26 AE26:AE34 E27:I27 B27:C34 AF27:JA34 E28:G29 F30:G31 E32:G33 F34:G34 AE35:JA40 E37:G41 B37:C45 AE41 AG41:JA41 F42:G42 AE42:JA59 E43:G43 F44:G45 S44:S62 E48:I50 B48:C59 E51:G52 H51:I57 F53:G53 E54:G55 F56:G57 F58:I59 T58:T59 H60 R61:R62 T61:T62 E61:I65 B61:C72 AE61:JA72 R63:T69 U63:V91 W63:W223 F66:I66 E67:I67 F68:I68 E69:I72 R70:R72 T70:T72 S70:S91 H73 B74:C74 E74:G74 AE74:JA74 H74:I75 R74:R91 T74:T91 D75:G75 AE75 AG75:JA75 F76:I76 B76:C91 E77:I78 E79:G80 H79:I82 F81:G82 F83:I83 E84:I84 F85:I87 F88:G89 H88:I90 E90:G90 F91:I91 D94 K94 F94:I97 AE94:JA97 R94:T123 Q94:Q222 U94:V222 AC94:AC353 B95:C123 K95:L353 E98:G98 AF98:JA103 AE98:AE114 H98:I123 F99:G102 E103:G103 AG104:JA104 F104:G114 AF105:JA114 E115:G119 AE115:JA123 F120:G123 H124 S124 E125:G127 AF125:JA158 H125:I191 R125:T222 F128:G128 E129:G132 F133:G133 E134:G137 F138:G139 E140:G142 F143:G144 E145:G150 F151:G158 E159:G170 AE159:JA196 F171:G171 E172:G172 F173:G173 E174:G185 F186:G186 E187:G190 F191:G191 E192:I194 E195:G203 H195:I217 AF197:JA201 AE197:AE202 AG202:JA202 AE203:JA209 F204:G204 E205:G214 AF210:JA210 AE210:AE222 AG211:JA211 AF212:JA212 AG213:JA213 AF214:JA222 F215:G215 E216:G217 E218:I228 Q223:V223 AE223:JA223 AF224:JA231 AE224:AE252 E229:G230 H229:I353 F231:G231 AG232:JA232 E232:G247 AF233:JA252 F248:G253 AE253:JA253 AE254 AG254:JA254 E254:G266 AE255:JA262 AE263 AG263:JA263 AE264:JA267 G267:G279 AE268:AE279 AG268:JA279 E280:G286 AE280:JA358 F287:G353 C291:C353 A354:AD358 AF359:JA360 AF361:XFD367 A369:XFD65615 R48:R59">
    <cfRule type="cellIs" dxfId="1065" priority="107" stopIfTrue="1" operator="equal">
      <formula>"C"</formula>
    </cfRule>
  </conditionalFormatting>
  <conditionalFormatting sqref="A8:M9 O8:S9 AE8:JA9 A10:XFD13 A14 AE14:JA14 A15:XFD17 AE18:XFD18 A18:I20 AE19:JA25 A21:C21 E21:O21 Q21:W22 K22:O22 E22:I23 B22:C25 A22:A353 J22:J353 U23:W62 K23:L91 Q23:Q91 M23:O353 F24:I25 AG26:JA26 AE26:AE34 E27:I27 B27:C34 AF27:JA34 E28:G29 F30:G31 E32:G33 F34:G34 AE35:JA40 E37:G41 B37:C45 AE41 AG41:JA41 F42:G42 AE42:JA59 E43:G43 F44:G45 S44:S62 E48:I50 B48:C59 E51:G52 H51:I57 F53:G53 E54:G55 F56:G57 F58:I59 T58:T59 H60 R61:R62 T61:T62 E61:I65 B61:C72 AE61:JA72 R63:T69 U63:V91 W63:W223 F66:I66 E67:I67 F68:I68 E69:I72 R70:R72 T70:T72 S70:S91 H73 B74:C74 E74:G74 AE74:JA74 H74:I75 R74:R91 T74:T91 D75:G75 AE75 AG75:JA75 F76:I76 B76:C91 E77:I78 E79:G80 H79:I82 F81:G82 F83:I83 E84:I84 F85:I87 F88:G89 H88:I90 E90:G90 F91:I91 D94 K94 F94:I97 AE94:JA97 R94:T123 Q94:Q222 U94:V222 AC94:AC353 B95:C123 K95:L353 E98:G98 AF98:JA103 AE98:AE114 H98:I123 F99:G102 E103:G103 AG104:JA104 F104:G114 AF105:JA114 E115:G119 AE115:JA123 F120:G123 H124 S124 E125:G127 AF125:JA158 H125:I191 R125:T222 F128:G128 E129:G132 F133:G133 E134:G137 F138:G139 E140:G142 F143:G144 E145:G150 F151:G158 E159:G170 AE159:JA196 F171:G171 E172:G172 F173:G173 E174:G185 F186:G186 E187:G190 F191:G191 E192:I194 E195:G203 H195:I217 AF197:JA201 AE197:AE202 AG202:JA202 AE203:JA209 F204:G204 E205:G214 AF210:JA210 AE210:AE222 AG211:JA211 AF212:JA212 AG213:JA213 AF214:JA222 F215:G215 E216:G217 E218:I228 Q223:V223 AE223:JA223 AF224:JA231 AE224:AE252 E229:G230 H229:I353 F231:G231 AG232:JA232 E232:G247 AF233:JA252 F248:G253 AE253:JA253 AE254 AG254:JA254 E254:G266 AE255:JA262 AE263 AG263:JA263 AE264:JA267 G267:G279 AE268:AE279 AG268:JA279 E280:G286 AE280:JA358 F287:G353 C291:C353 A354:AD358 AF359:JA360 AF361:XFD367 A369:XFD65615">
    <cfRule type="cellIs" dxfId="1064" priority="106" stopIfTrue="1" operator="equal">
      <formula>"A DN"</formula>
    </cfRule>
  </conditionalFormatting>
  <conditionalFormatting sqref="A8:M9 O8:S9 AE8:JA9 A10:XFD13 A14 AE14:JA14 A15:XFD17 AE18:XFD18 A18:I20 AE19:JA25 A21:C21 E21:O21 Q21:W22 K22:O22 E22:I23 B22:C25 A22:A353 J22:J353 U23:W62 K23:L91 Q23:Q91 M23:O353 F24:I25 AG26:JA26 AE26:AE34 E27:I27 B27:C34 AF27:JA34 E28:G29 F30:G31 E32:G33 F34:G34 AE35:JA40 E37:G41 B37:C45 AE41 AG41:JA41 F42:G42 AE42:JA59 E43:G43 F44:G45 S44:S62 E48:I50 B48:C59 R48:R59 E51:G52 H51:I57 F53:G53 E54:G55 F56:G57 F58:I59 T58:T59 H60 R61:R62 T61:T62 E61:I65 B61:C72 AE61:JA72 R63:T69 U63:V91 W63:W223 F66:I66 E67:I67 F68:I68 E69:I72 R70:R72 T70:T72 S70:S91 H73 B74:C74 E74:G74 AE74:JA74 H74:I75 R74:R91 T74:T91 D75:G75 AE75 AG75:JA75 F76:I76 B76:C91 E77:I78 E79:G80 H79:I82 F81:G82 F83:I83 E84:I84 F85:I87 F88:G89 H88:I90 E90:G90 F91:I91 D94 K94 F94:I97 AE94:JA97 R94:T123 Q94:Q222 U94:V222 AC94:AC353 B95:C123 K95:L353 E98:G98 AF98:JA103 AE98:AE114 H98:I123 F99:G102 E103:G103 AG104:JA104 F104:G114 AF105:JA114 E115:G119 AE115:JA123 F120:G123 H124 S124 E125:G127 AF125:JA158 H125:I191 R125:T222 F128:G128 E129:G132 F133:G133 E134:G137 F138:G139 E140:G142 F143:G144 E145:G150 F151:G158 E159:G170 AE159:JA196 F171:G171 E172:G172 F173:G173 E174:G185 F186:G186 E187:G190 F191:G191 E192:I194 E195:G203 H195:I217 AF197:JA201 AE197:AE202 AG202:JA202 AE203:JA209 F204:G204 E205:G214 AF210:JA210 AE210:AE222 AG211:JA211 AF212:JA212 AG213:JA213 AF214:JA222 F215:G215 E216:G217 E218:I228 Q223:V223 AE223:JA223 AF224:JA231 AE224:AE252 E229:G230 H229:I353 F231:G231 AG232:JA232 E232:G247 AF233:JA252 F248:G253 AE253:JA253 AE254 AG254:JA254 E254:G266 AE255:JA262 AE263 AG263:JA263 AE264:JA267 G267:G279 AE268:AE279 AG268:JA279 E280:G286 AE280:JA358 F287:G353 C291:C353 A354:AD358 AF359:JA360 AF361:XFD367 A369:XFD65615">
    <cfRule type="cellIs" dxfId="1063" priority="108" stopIfTrue="1" operator="equal">
      <formula>"B"</formula>
    </cfRule>
  </conditionalFormatting>
  <conditionalFormatting sqref="A359:Y359 A360:J360 A367:J367">
    <cfRule type="cellIs" dxfId="1062" priority="2" stopIfTrue="1" operator="equal">
      <formula>"A DN"</formula>
    </cfRule>
    <cfRule type="cellIs" dxfId="1061" priority="3" stopIfTrue="1" operator="equal">
      <formula>"C"</formula>
    </cfRule>
    <cfRule type="cellIs" dxfId="1060" priority="4" stopIfTrue="1" operator="equal">
      <formula>"B"</formula>
    </cfRule>
    <cfRule type="cellIs" dxfId="1059" priority="1" stopIfTrue="1" operator="equal">
      <formula>"KXL"</formula>
    </cfRule>
  </conditionalFormatting>
  <conditionalFormatting sqref="A4:AB5 A1:A2 K1:M2 O1:U3 A3:M3">
    <cfRule type="cellIs" dxfId="1058" priority="25" stopIfTrue="1" operator="equal">
      <formula>"KXL"</formula>
    </cfRule>
  </conditionalFormatting>
  <conditionalFormatting sqref="A361:AE366">
    <cfRule type="cellIs" dxfId="1057" priority="5" stopIfTrue="1" operator="equal">
      <formula>"KXL"</formula>
    </cfRule>
    <cfRule type="cellIs" dxfId="1056" priority="6" stopIfTrue="1" operator="equal">
      <formula>"A DN"</formula>
    </cfRule>
    <cfRule type="cellIs" dxfId="1055" priority="8" stopIfTrue="1" operator="equal">
      <formula>"B"</formula>
    </cfRule>
    <cfRule type="cellIs" dxfId="1054" priority="7" stopIfTrue="1" operator="equal">
      <formula>"C"</formula>
    </cfRule>
  </conditionalFormatting>
  <conditionalFormatting sqref="A368:JA368">
    <cfRule type="cellIs" dxfId="1053" priority="9" stopIfTrue="1" operator="equal">
      <formula>"KXL"</formula>
    </cfRule>
    <cfRule type="cellIs" dxfId="1052" priority="10" stopIfTrue="1" operator="equal">
      <formula>"A DN"</formula>
    </cfRule>
    <cfRule type="cellIs" dxfId="1051" priority="11" stopIfTrue="1" operator="equal">
      <formula>"C"</formula>
    </cfRule>
    <cfRule type="cellIs" dxfId="1050" priority="12" stopIfTrue="1" operator="equal">
      <formula>"B"</formula>
    </cfRule>
  </conditionalFormatting>
  <conditionalFormatting sqref="B295:B307">
    <cfRule type="cellIs" dxfId="1049" priority="16" stopIfTrue="1" operator="equal">
      <formula>"B"</formula>
    </cfRule>
    <cfRule type="cellIs" dxfId="1048" priority="15" stopIfTrue="1" operator="equal">
      <formula>"C"</formula>
    </cfRule>
    <cfRule type="cellIs" dxfId="1047" priority="14" stopIfTrue="1" operator="equal">
      <formula>"A DN"</formula>
    </cfRule>
    <cfRule type="cellIs" dxfId="1046" priority="13" stopIfTrue="1" operator="equal">
      <formula>"KXL"</formula>
    </cfRule>
  </conditionalFormatting>
  <conditionalFormatting sqref="B312:B320">
    <cfRule type="cellIs" dxfId="1045" priority="19" stopIfTrue="1" operator="equal">
      <formula>"C"</formula>
    </cfRule>
    <cfRule type="cellIs" dxfId="1044" priority="18" stopIfTrue="1" operator="equal">
      <formula>"A DN"</formula>
    </cfRule>
    <cfRule type="cellIs" dxfId="1043" priority="17" stopIfTrue="1" operator="equal">
      <formula>"KXL"</formula>
    </cfRule>
    <cfRule type="cellIs" dxfId="1042" priority="20" stopIfTrue="1" operator="equal">
      <formula>"B"</formula>
    </cfRule>
  </conditionalFormatting>
  <conditionalFormatting sqref="B60:C60 F60:G60 I60 R60 T60 AE60:JA60 AE73:JA73 AE124:JA124 AE125:AE158">
    <cfRule type="cellIs" dxfId="1041" priority="99" stopIfTrue="1" operator="equal">
      <formula>"B"</formula>
    </cfRule>
    <cfRule type="cellIs" dxfId="1040" priority="98" stopIfTrue="1" operator="equal">
      <formula>"C"</formula>
    </cfRule>
  </conditionalFormatting>
  <conditionalFormatting sqref="B73:C73 F73:G73 I73 R73 T73">
    <cfRule type="cellIs" dxfId="1039" priority="95" stopIfTrue="1" operator="equal">
      <formula>"C"</formula>
    </cfRule>
    <cfRule type="cellIs" dxfId="1038" priority="97" stopIfTrue="1" operator="equal">
      <formula>"A DN"</formula>
    </cfRule>
    <cfRule type="cellIs" dxfId="1037" priority="96" stopIfTrue="1" operator="equal">
      <formula>"B"</formula>
    </cfRule>
  </conditionalFormatting>
  <conditionalFormatting sqref="B124:C124 F124:G124 I124 R124 T124">
    <cfRule type="cellIs" dxfId="1036" priority="94" stopIfTrue="1" operator="equal">
      <formula>"A DN"</formula>
    </cfRule>
    <cfRule type="cellIs" dxfId="1035" priority="93" stopIfTrue="1" operator="equal">
      <formula>"B"</formula>
    </cfRule>
    <cfRule type="cellIs" dxfId="1034" priority="92" stopIfTrue="1" operator="equal">
      <formula>"C"</formula>
    </cfRule>
  </conditionalFormatting>
  <conditionalFormatting sqref="B125:C290 Q224:W353">
    <cfRule type="cellIs" dxfId="1033" priority="104" stopIfTrue="1" operator="equal">
      <formula>"B"</formula>
    </cfRule>
    <cfRule type="cellIs" dxfId="1032" priority="103" stopIfTrue="1" operator="equal">
      <formula>"C"</formula>
    </cfRule>
    <cfRule type="cellIs" dxfId="1031" priority="101" stopIfTrue="1" operator="equal">
      <formula>"KXL"</formula>
    </cfRule>
    <cfRule type="cellIs" dxfId="1030" priority="102" stopIfTrue="1" operator="equal">
      <formula>"A DN"</formula>
    </cfRule>
  </conditionalFormatting>
  <conditionalFormatting sqref="D26:I26">
    <cfRule type="cellIs" dxfId="1029" priority="87" stopIfTrue="1" operator="equal">
      <formula>"B"</formula>
    </cfRule>
    <cfRule type="cellIs" dxfId="1028" priority="84" stopIfTrue="1" operator="equal">
      <formula>"KXL"</formula>
    </cfRule>
    <cfRule type="cellIs" dxfId="1027" priority="85" stopIfTrue="1" operator="equal">
      <formula>"A DN"</formula>
    </cfRule>
    <cfRule type="cellIs" dxfId="1026" priority="86" stopIfTrue="1" operator="equal">
      <formula>"C"</formula>
    </cfRule>
  </conditionalFormatting>
  <conditionalFormatting sqref="E124">
    <cfRule type="cellIs" dxfId="1025" priority="88" stopIfTrue="1" operator="equal">
      <formula>"KXL"</formula>
    </cfRule>
    <cfRule type="cellIs" dxfId="1024" priority="89" stopIfTrue="1" operator="equal">
      <formula>"A DN"</formula>
    </cfRule>
    <cfRule type="cellIs" dxfId="1023" priority="90" stopIfTrue="1" operator="equal">
      <formula>"C"</formula>
    </cfRule>
    <cfRule type="cellIs" dxfId="1022" priority="91" stopIfTrue="1" operator="equal">
      <formula>"B"</formula>
    </cfRule>
  </conditionalFormatting>
  <conditionalFormatting sqref="H28:I47 R44:R47 T44:T56 D46:G46 D47 F47:G47">
    <cfRule type="cellIs" dxfId="1021" priority="77" stopIfTrue="1" operator="equal">
      <formula>"A DN"</formula>
    </cfRule>
    <cfRule type="cellIs" dxfId="1020" priority="78" stopIfTrue="1" operator="equal">
      <formula>"C"</formula>
    </cfRule>
    <cfRule type="cellIs" dxfId="1019" priority="79" stopIfTrue="1" operator="equal">
      <formula>"B"</formula>
    </cfRule>
  </conditionalFormatting>
  <conditionalFormatting sqref="H28:I47 T44:T56 R44:R59 D46:G46 D47 F47:G47">
    <cfRule type="cellIs" dxfId="1018" priority="76" stopIfTrue="1" operator="equal">
      <formula>"KXL"</formula>
    </cfRule>
  </conditionalFormatting>
  <conditionalFormatting sqref="J18:AC18">
    <cfRule type="cellIs" dxfId="1017" priority="55" stopIfTrue="1" operator="equal">
      <formula>"C"</formula>
    </cfRule>
    <cfRule type="cellIs" dxfId="1016" priority="56" stopIfTrue="1" operator="equal">
      <formula>"B"</formula>
    </cfRule>
    <cfRule type="cellIs" dxfId="1015" priority="53" stopIfTrue="1" operator="equal">
      <formula>"KXL"</formula>
    </cfRule>
    <cfRule type="cellIs" dxfId="1014" priority="54" stopIfTrue="1" operator="equal">
      <formula>"A DN"</formula>
    </cfRule>
  </conditionalFormatting>
  <conditionalFormatting sqref="J19:AD20">
    <cfRule type="cellIs" dxfId="1013" priority="48" stopIfTrue="1" operator="equal">
      <formula>"B"</formula>
    </cfRule>
    <cfRule type="cellIs" dxfId="1012" priority="47" stopIfTrue="1" operator="equal">
      <formula>"C"</formula>
    </cfRule>
    <cfRule type="cellIs" dxfId="1011" priority="45" stopIfTrue="1" operator="equal">
      <formula>"KXL"</formula>
    </cfRule>
    <cfRule type="cellIs" dxfId="1010" priority="46" stopIfTrue="1" operator="equal">
      <formula>"A DN"</formula>
    </cfRule>
  </conditionalFormatting>
  <conditionalFormatting sqref="M21:M29 M291:M298">
    <cfRule type="expression" dxfId="1009" priority="2244" stopIfTrue="1">
      <formula>$B8</formula>
    </cfRule>
    <cfRule type="expression" dxfId="1008" priority="2245" stopIfTrue="1">
      <formula>B8</formula>
    </cfRule>
  </conditionalFormatting>
  <conditionalFormatting sqref="M21:M31 M291:M298">
    <cfRule type="expression" dxfId="1007" priority="2243" stopIfTrue="1">
      <formula>"if=B1"</formula>
    </cfRule>
  </conditionalFormatting>
  <conditionalFormatting sqref="M21:M290">
    <cfRule type="expression" dxfId="1006" priority="2974" stopIfTrue="1">
      <formula>B8</formula>
    </cfRule>
    <cfRule type="cellIs" dxfId="1005" priority="2972" stopIfTrue="1" operator="equal">
      <formula>"B2"</formula>
    </cfRule>
    <cfRule type="cellIs" dxfId="1004" priority="2973" stopIfTrue="1" operator="equal">
      <formula>"B1"</formula>
    </cfRule>
    <cfRule type="cellIs" dxfId="1003" priority="2975" stopIfTrue="1" operator="equal">
      <formula>"D"</formula>
    </cfRule>
    <cfRule type="cellIs" dxfId="1002" priority="2976" stopIfTrue="1" operator="equal">
      <formula>"B1"</formula>
    </cfRule>
    <cfRule type="expression" dxfId="1001" priority="2977" stopIfTrue="1">
      <formula>B8</formula>
    </cfRule>
    <cfRule type="expression" dxfId="1000" priority="2979" stopIfTrue="1">
      <formula>B8</formula>
    </cfRule>
  </conditionalFormatting>
  <conditionalFormatting sqref="M21:M298">
    <cfRule type="cellIs" dxfId="999" priority="2964" stopIfTrue="1" operator="equal">
      <formula>"E"</formula>
    </cfRule>
    <cfRule type="cellIs" dxfId="998" priority="2963" stopIfTrue="1" operator="equal">
      <formula>"D"</formula>
    </cfRule>
    <cfRule type="cellIs" dxfId="997" priority="2962" stopIfTrue="1" operator="equal">
      <formula>"C2"</formula>
    </cfRule>
    <cfRule type="cellIs" dxfId="996" priority="2961" stopIfTrue="1" operator="equal">
      <formula>"C1"</formula>
    </cfRule>
    <cfRule type="cellIs" dxfId="995" priority="2960" stopIfTrue="1" operator="equal">
      <formula>"C2"</formula>
    </cfRule>
    <cfRule type="cellIs" dxfId="994" priority="2965" stopIfTrue="1" operator="equal">
      <formula>"A DN"</formula>
    </cfRule>
    <cfRule type="cellIs" dxfId="993" priority="2967" stopIfTrue="1" operator="equal">
      <formula>"E"</formula>
    </cfRule>
    <cfRule type="cellIs" dxfId="992" priority="2966" stopIfTrue="1" operator="equal">
      <formula>"A DN"</formula>
    </cfRule>
    <cfRule type="cellIs" dxfId="991" priority="2968" stopIfTrue="1" operator="equal">
      <formula>"D"</formula>
    </cfRule>
    <cfRule type="cellIs" dxfId="990" priority="2969" stopIfTrue="1" operator="equal">
      <formula>"D1"</formula>
    </cfRule>
    <cfRule type="cellIs" dxfId="989" priority="2970" stopIfTrue="1" operator="equal">
      <formula>"C2"</formula>
    </cfRule>
    <cfRule type="cellIs" dxfId="988" priority="2971" stopIfTrue="1" operator="equal">
      <formula>"C1"</formula>
    </cfRule>
    <cfRule type="cellIs" dxfId="987" priority="2978" stopIfTrue="1" operator="equal">
      <formula>"B2"</formula>
    </cfRule>
  </conditionalFormatting>
  <conditionalFormatting sqref="M30:M31">
    <cfRule type="expression" dxfId="986" priority="2956" stopIfTrue="1">
      <formula>B18</formula>
    </cfRule>
    <cfRule type="expression" dxfId="985" priority="2955" stopIfTrue="1">
      <formula>$B18</formula>
    </cfRule>
  </conditionalFormatting>
  <conditionalFormatting sqref="M32:M290 M336:M337 M349:M351">
    <cfRule type="expression" dxfId="984" priority="73" stopIfTrue="1">
      <formula>"if=B1"</formula>
    </cfRule>
    <cfRule type="expression" dxfId="983" priority="74" stopIfTrue="1">
      <formula>$B21</formula>
    </cfRule>
    <cfRule type="expression" dxfId="982" priority="75" stopIfTrue="1">
      <formula>B21</formula>
    </cfRule>
  </conditionalFormatting>
  <conditionalFormatting sqref="M291:M298">
    <cfRule type="cellIs" dxfId="981" priority="3061" stopIfTrue="1" operator="equal">
      <formula>"B1"</formula>
    </cfRule>
    <cfRule type="expression" dxfId="980" priority="3071" stopIfTrue="1">
      <formula>B276</formula>
    </cfRule>
    <cfRule type="expression" dxfId="979" priority="3062" stopIfTrue="1">
      <formula>B276</formula>
    </cfRule>
    <cfRule type="cellIs" dxfId="978" priority="3063" stopIfTrue="1" operator="equal">
      <formula>"D"</formula>
    </cfRule>
    <cfRule type="cellIs" dxfId="977" priority="3066" stopIfTrue="1" operator="equal">
      <formula>"B1"</formula>
    </cfRule>
    <cfRule type="expression" dxfId="976" priority="3067" stopIfTrue="1">
      <formula>B276</formula>
    </cfRule>
    <cfRule type="cellIs" dxfId="975" priority="3070" stopIfTrue="1" operator="equal">
      <formula>"B2"</formula>
    </cfRule>
  </conditionalFormatting>
  <conditionalFormatting sqref="M299:M305">
    <cfRule type="expression" dxfId="974" priority="2799" stopIfTrue="1">
      <formula>B279</formula>
    </cfRule>
    <cfRule type="expression" dxfId="973" priority="2798" stopIfTrue="1">
      <formula>$B279</formula>
    </cfRule>
    <cfRule type="expression" dxfId="972" priority="2839" stopIfTrue="1">
      <formula>B278</formula>
    </cfRule>
    <cfRule type="cellIs" dxfId="971" priority="2838" stopIfTrue="1" operator="equal">
      <formula>"B2"</formula>
    </cfRule>
    <cfRule type="expression" dxfId="970" priority="2835" stopIfTrue="1">
      <formula>B278</formula>
    </cfRule>
    <cfRule type="cellIs" dxfId="969" priority="2825" stopIfTrue="1" operator="equal">
      <formula>"D1"</formula>
    </cfRule>
    <cfRule type="cellIs" dxfId="968" priority="2826" stopIfTrue="1" operator="equal">
      <formula>"C2"</formula>
    </cfRule>
    <cfRule type="cellIs" dxfId="967" priority="2827" stopIfTrue="1" operator="equal">
      <formula>"C1"</formula>
    </cfRule>
    <cfRule type="cellIs" dxfId="966" priority="2828" stopIfTrue="1" operator="equal">
      <formula>"B2"</formula>
    </cfRule>
    <cfRule type="cellIs" dxfId="965" priority="2824" stopIfTrue="1" operator="equal">
      <formula>"D"</formula>
    </cfRule>
    <cfRule type="expression" dxfId="964" priority="2830" stopIfTrue="1">
      <formula>B278</formula>
    </cfRule>
    <cfRule type="cellIs" dxfId="963" priority="2823" stopIfTrue="1" operator="equal">
      <formula>"E"</formula>
    </cfRule>
    <cfRule type="cellIs" dxfId="962" priority="2831" stopIfTrue="1" operator="equal">
      <formula>"D"</formula>
    </cfRule>
    <cfRule type="cellIs" dxfId="961" priority="2834" stopIfTrue="1" operator="equal">
      <formula>"B1"</formula>
    </cfRule>
    <cfRule type="cellIs" dxfId="960" priority="2829" stopIfTrue="1" operator="equal">
      <formula>"B1"</formula>
    </cfRule>
    <cfRule type="cellIs" dxfId="959" priority="2822" stopIfTrue="1" operator="equal">
      <formula>"A DN"</formula>
    </cfRule>
    <cfRule type="cellIs" dxfId="958" priority="2821" stopIfTrue="1" operator="equal">
      <formula>"A DN"</formula>
    </cfRule>
    <cfRule type="cellIs" dxfId="957" priority="2820" stopIfTrue="1" operator="equal">
      <formula>"E"</formula>
    </cfRule>
    <cfRule type="cellIs" dxfId="956" priority="2819" stopIfTrue="1" operator="equal">
      <formula>"D"</formula>
    </cfRule>
    <cfRule type="cellIs" dxfId="955" priority="2818" stopIfTrue="1" operator="equal">
      <formula>"C2"</formula>
    </cfRule>
    <cfRule type="cellIs" dxfId="954" priority="2817" stopIfTrue="1" operator="equal">
      <formula>"C1"</formula>
    </cfRule>
    <cfRule type="cellIs" dxfId="953" priority="2816" stopIfTrue="1" operator="equal">
      <formula>"C2"</formula>
    </cfRule>
  </conditionalFormatting>
  <conditionalFormatting sqref="M299:M334">
    <cfRule type="expression" dxfId="952" priority="2479" stopIfTrue="1">
      <formula>"if=B1"</formula>
    </cfRule>
  </conditionalFormatting>
  <conditionalFormatting sqref="M306:M312">
    <cfRule type="expression" dxfId="951" priority="2733" stopIfTrue="1">
      <formula>B278</formula>
    </cfRule>
    <cfRule type="expression" dxfId="950" priority="2693" stopIfTrue="1">
      <formula>B279</formula>
    </cfRule>
    <cfRule type="expression" dxfId="949" priority="2692" stopIfTrue="1">
      <formula>$B279</formula>
    </cfRule>
    <cfRule type="cellIs" dxfId="948" priority="2732" stopIfTrue="1" operator="equal">
      <formula>"B2"</formula>
    </cfRule>
    <cfRule type="cellIs" dxfId="947" priority="2728" stopIfTrue="1" operator="equal">
      <formula>"B1"</formula>
    </cfRule>
    <cfRule type="cellIs" dxfId="946" priority="2725" stopIfTrue="1" operator="equal">
      <formula>"D"</formula>
    </cfRule>
    <cfRule type="expression" dxfId="945" priority="2724" stopIfTrue="1">
      <formula>B278</formula>
    </cfRule>
    <cfRule type="expression" dxfId="944" priority="2729" stopIfTrue="1">
      <formula>B278</formula>
    </cfRule>
    <cfRule type="cellIs" dxfId="943" priority="2722" stopIfTrue="1" operator="equal">
      <formula>"B2"</formula>
    </cfRule>
    <cfRule type="cellIs" dxfId="942" priority="2721" stopIfTrue="1" operator="equal">
      <formula>"C1"</formula>
    </cfRule>
    <cfRule type="cellIs" dxfId="941" priority="2720" stopIfTrue="1" operator="equal">
      <formula>"C2"</formula>
    </cfRule>
    <cfRule type="cellIs" dxfId="940" priority="2719" stopIfTrue="1" operator="equal">
      <formula>"D1"</formula>
    </cfRule>
    <cfRule type="cellIs" dxfId="939" priority="2718" stopIfTrue="1" operator="equal">
      <formula>"D"</formula>
    </cfRule>
    <cfRule type="cellIs" dxfId="938" priority="2717" stopIfTrue="1" operator="equal">
      <formula>"E"</formula>
    </cfRule>
    <cfRule type="cellIs" dxfId="937" priority="2716" stopIfTrue="1" operator="equal">
      <formula>"A DN"</formula>
    </cfRule>
    <cfRule type="cellIs" dxfId="936" priority="2715" stopIfTrue="1" operator="equal">
      <formula>"A DN"</formula>
    </cfRule>
    <cfRule type="cellIs" dxfId="935" priority="2714" stopIfTrue="1" operator="equal">
      <formula>"E"</formula>
    </cfRule>
    <cfRule type="cellIs" dxfId="934" priority="2713" stopIfTrue="1" operator="equal">
      <formula>"D"</formula>
    </cfRule>
    <cfRule type="cellIs" dxfId="933" priority="2712" stopIfTrue="1" operator="equal">
      <formula>"C2"</formula>
    </cfRule>
    <cfRule type="cellIs" dxfId="932" priority="2711" stopIfTrue="1" operator="equal">
      <formula>"C1"</formula>
    </cfRule>
    <cfRule type="cellIs" dxfId="931" priority="2710" stopIfTrue="1" operator="equal">
      <formula>"C2"</formula>
    </cfRule>
    <cfRule type="cellIs" dxfId="930" priority="2723" stopIfTrue="1" operator="equal">
      <formula>"B1"</formula>
    </cfRule>
  </conditionalFormatting>
  <conditionalFormatting sqref="M313:M318">
    <cfRule type="cellIs" dxfId="929" priority="2626" stopIfTrue="1" operator="equal">
      <formula>"B2"</formula>
    </cfRule>
    <cfRule type="expression" dxfId="928" priority="2627" stopIfTrue="1">
      <formula>B278</formula>
    </cfRule>
    <cfRule type="expression" dxfId="927" priority="2586" stopIfTrue="1">
      <formula>$B279</formula>
    </cfRule>
    <cfRule type="expression" dxfId="926" priority="2587" stopIfTrue="1">
      <formula>B279</formula>
    </cfRule>
    <cfRule type="cellIs" dxfId="925" priority="2604" stopIfTrue="1" operator="equal">
      <formula>"C2"</formula>
    </cfRule>
    <cfRule type="cellIs" dxfId="924" priority="2605" stopIfTrue="1" operator="equal">
      <formula>"C1"</formula>
    </cfRule>
    <cfRule type="cellIs" dxfId="923" priority="2606" stopIfTrue="1" operator="equal">
      <formula>"C2"</formula>
    </cfRule>
    <cfRule type="cellIs" dxfId="922" priority="2607" stopIfTrue="1" operator="equal">
      <formula>"D"</formula>
    </cfRule>
    <cfRule type="cellIs" dxfId="921" priority="2608" stopIfTrue="1" operator="equal">
      <formula>"E"</formula>
    </cfRule>
    <cfRule type="cellIs" dxfId="920" priority="2609" stopIfTrue="1" operator="equal">
      <formula>"A DN"</formula>
    </cfRule>
    <cfRule type="cellIs" dxfId="919" priority="2610" stopIfTrue="1" operator="equal">
      <formula>"A DN"</formula>
    </cfRule>
    <cfRule type="cellIs" dxfId="918" priority="2611" stopIfTrue="1" operator="equal">
      <formula>"E"</formula>
    </cfRule>
    <cfRule type="cellIs" dxfId="917" priority="2612" stopIfTrue="1" operator="equal">
      <formula>"D"</formula>
    </cfRule>
    <cfRule type="cellIs" dxfId="916" priority="2613" stopIfTrue="1" operator="equal">
      <formula>"D1"</formula>
    </cfRule>
    <cfRule type="cellIs" dxfId="915" priority="2614" stopIfTrue="1" operator="equal">
      <formula>"C2"</formula>
    </cfRule>
    <cfRule type="cellIs" dxfId="914" priority="2615" stopIfTrue="1" operator="equal">
      <formula>"C1"</formula>
    </cfRule>
    <cfRule type="cellIs" dxfId="913" priority="2616" stopIfTrue="1" operator="equal">
      <formula>"B2"</formula>
    </cfRule>
    <cfRule type="cellIs" dxfId="912" priority="2617" stopIfTrue="1" operator="equal">
      <formula>"B1"</formula>
    </cfRule>
    <cfRule type="expression" dxfId="911" priority="2618" stopIfTrue="1">
      <formula>B278</formula>
    </cfRule>
    <cfRule type="cellIs" dxfId="910" priority="2619" stopIfTrue="1" operator="equal">
      <formula>"D"</formula>
    </cfRule>
    <cfRule type="cellIs" dxfId="909" priority="2622" stopIfTrue="1" operator="equal">
      <formula>"B1"</formula>
    </cfRule>
    <cfRule type="expression" dxfId="908" priority="2623" stopIfTrue="1">
      <formula>B278</formula>
    </cfRule>
  </conditionalFormatting>
  <conditionalFormatting sqref="M319:M324">
    <cfRule type="cellIs" dxfId="907" priority="2414" stopIfTrue="1" operator="equal">
      <formula>"C2"</formula>
    </cfRule>
    <cfRule type="cellIs" dxfId="906" priority="2413" stopIfTrue="1" operator="equal">
      <formula>"C1"</formula>
    </cfRule>
    <cfRule type="cellIs" dxfId="905" priority="2412" stopIfTrue="1" operator="equal">
      <formula>"C2"</formula>
    </cfRule>
    <cfRule type="cellIs" dxfId="904" priority="2423" stopIfTrue="1" operator="equal">
      <formula>"C1"</formula>
    </cfRule>
    <cfRule type="cellIs" dxfId="903" priority="2424" stopIfTrue="1" operator="equal">
      <formula>"B2"</formula>
    </cfRule>
    <cfRule type="cellIs" dxfId="902" priority="2425" stopIfTrue="1" operator="equal">
      <formula>"B1"</formula>
    </cfRule>
    <cfRule type="expression" dxfId="901" priority="2481" stopIfTrue="1">
      <formula>B279</formula>
    </cfRule>
    <cfRule type="cellIs" dxfId="900" priority="2417" stopIfTrue="1" operator="equal">
      <formula>"A DN"</formula>
    </cfRule>
    <cfRule type="cellIs" dxfId="899" priority="2434" stopIfTrue="1" operator="equal">
      <formula>"B2"</formula>
    </cfRule>
    <cfRule type="expression" dxfId="898" priority="2435" stopIfTrue="1">
      <formula>B278</formula>
    </cfRule>
    <cfRule type="expression" dxfId="897" priority="2480" stopIfTrue="1">
      <formula>$B279</formula>
    </cfRule>
    <cfRule type="cellIs" dxfId="896" priority="2415" stopIfTrue="1" operator="equal">
      <formula>"D"</formula>
    </cfRule>
    <cfRule type="expression" dxfId="895" priority="2426" stopIfTrue="1">
      <formula>B278</formula>
    </cfRule>
    <cfRule type="cellIs" dxfId="894" priority="2416" stopIfTrue="1" operator="equal">
      <formula>"E"</formula>
    </cfRule>
    <cfRule type="cellIs" dxfId="893" priority="2427" stopIfTrue="1" operator="equal">
      <formula>"D"</formula>
    </cfRule>
    <cfRule type="cellIs" dxfId="892" priority="2418" stopIfTrue="1" operator="equal">
      <formula>"A DN"</formula>
    </cfRule>
    <cfRule type="cellIs" dxfId="891" priority="2419" stopIfTrue="1" operator="equal">
      <formula>"E"</formula>
    </cfRule>
    <cfRule type="cellIs" dxfId="890" priority="2430" stopIfTrue="1" operator="equal">
      <formula>"B1"</formula>
    </cfRule>
    <cfRule type="expression" dxfId="889" priority="2431" stopIfTrue="1">
      <formula>B278</formula>
    </cfRule>
    <cfRule type="cellIs" dxfId="888" priority="2422" stopIfTrue="1" operator="equal">
      <formula>"C2"</formula>
    </cfRule>
    <cfRule type="cellIs" dxfId="887" priority="2420" stopIfTrue="1" operator="equal">
      <formula>"D"</formula>
    </cfRule>
    <cfRule type="cellIs" dxfId="886" priority="2421" stopIfTrue="1" operator="equal">
      <formula>"D1"</formula>
    </cfRule>
  </conditionalFormatting>
  <conditionalFormatting sqref="M325:M334">
    <cfRule type="expression" dxfId="885" priority="2988" stopIfTrue="1">
      <formula>B279</formula>
    </cfRule>
    <cfRule type="expression" dxfId="884" priority="2987" stopIfTrue="1">
      <formula>$B279</formula>
    </cfRule>
  </conditionalFormatting>
  <conditionalFormatting sqref="M325:M337">
    <cfRule type="expression" dxfId="883" priority="3089" stopIfTrue="1">
      <formula>B278</formula>
    </cfRule>
    <cfRule type="cellIs" dxfId="882" priority="3087" stopIfTrue="1" operator="equal">
      <formula>"B2"</formula>
    </cfRule>
    <cfRule type="cellIs" dxfId="881" priority="3088" stopIfTrue="1" operator="equal">
      <formula>"B1"</formula>
    </cfRule>
    <cfRule type="cellIs" dxfId="880" priority="3090" stopIfTrue="1" operator="equal">
      <formula>"D"</formula>
    </cfRule>
    <cfRule type="cellIs" dxfId="879" priority="3091" stopIfTrue="1" operator="equal">
      <formula>"B1"</formula>
    </cfRule>
    <cfRule type="expression" dxfId="878" priority="3092" stopIfTrue="1">
      <formula>B278</formula>
    </cfRule>
    <cfRule type="expression" dxfId="877" priority="3094" stopIfTrue="1">
      <formula>B278</formula>
    </cfRule>
  </conditionalFormatting>
  <conditionalFormatting sqref="M325:M351">
    <cfRule type="cellIs" dxfId="876" priority="3082" stopIfTrue="1" operator="equal">
      <formula>"E"</formula>
    </cfRule>
    <cfRule type="cellIs" dxfId="875" priority="3080" stopIfTrue="1" operator="equal">
      <formula>"A DN"</formula>
    </cfRule>
    <cfRule type="cellIs" dxfId="874" priority="3086" stopIfTrue="1" operator="equal">
      <formula>"C1"</formula>
    </cfRule>
    <cfRule type="cellIs" dxfId="873" priority="3085" stopIfTrue="1" operator="equal">
      <formula>"C2"</formula>
    </cfRule>
    <cfRule type="cellIs" dxfId="872" priority="3077" stopIfTrue="1" operator="equal">
      <formula>"C2"</formula>
    </cfRule>
    <cfRule type="cellIs" dxfId="871" priority="3084" stopIfTrue="1" operator="equal">
      <formula>"D1"</formula>
    </cfRule>
    <cfRule type="cellIs" dxfId="870" priority="3083" stopIfTrue="1" operator="equal">
      <formula>"D"</formula>
    </cfRule>
    <cfRule type="cellIs" dxfId="869" priority="3081" stopIfTrue="1" operator="equal">
      <formula>"A DN"</formula>
    </cfRule>
    <cfRule type="cellIs" dxfId="868" priority="3075" stopIfTrue="1" operator="equal">
      <formula>"C2"</formula>
    </cfRule>
    <cfRule type="cellIs" dxfId="867" priority="3076" stopIfTrue="1" operator="equal">
      <formula>"C1"</formula>
    </cfRule>
    <cfRule type="cellIs" dxfId="866" priority="3078" stopIfTrue="1" operator="equal">
      <formula>"D"</formula>
    </cfRule>
    <cfRule type="cellIs" dxfId="865" priority="3079" stopIfTrue="1" operator="equal">
      <formula>"E"</formula>
    </cfRule>
    <cfRule type="cellIs" dxfId="864" priority="3093" stopIfTrue="1" operator="equal">
      <formula>"B2"</formula>
    </cfRule>
  </conditionalFormatting>
  <conditionalFormatting sqref="M335">
    <cfRule type="expression" dxfId="863" priority="2391" stopIfTrue="1">
      <formula>$B291</formula>
    </cfRule>
    <cfRule type="expression" dxfId="862" priority="2392" stopIfTrue="1">
      <formula>B291</formula>
    </cfRule>
    <cfRule type="expression" dxfId="861" priority="2390" stopIfTrue="1">
      <formula>"if=B1"</formula>
    </cfRule>
  </conditionalFormatting>
  <conditionalFormatting sqref="M338:M348">
    <cfRule type="expression" dxfId="860" priority="2323" stopIfTrue="1">
      <formula>B278</formula>
    </cfRule>
    <cfRule type="expression" dxfId="859" priority="2321" stopIfTrue="1">
      <formula>"if=B1"</formula>
    </cfRule>
    <cfRule type="expression" dxfId="858" priority="2322" stopIfTrue="1">
      <formula>$B278</formula>
    </cfRule>
  </conditionalFormatting>
  <conditionalFormatting sqref="M338:M351">
    <cfRule type="expression" dxfId="857" priority="3114" stopIfTrue="1">
      <formula>B277</formula>
    </cfRule>
    <cfRule type="cellIs" dxfId="856" priority="3108" stopIfTrue="1" operator="equal">
      <formula>"B1"</formula>
    </cfRule>
    <cfRule type="expression" dxfId="855" priority="3109" stopIfTrue="1">
      <formula>B277</formula>
    </cfRule>
    <cfRule type="cellIs" dxfId="854" priority="3110" stopIfTrue="1" operator="equal">
      <formula>"D"</formula>
    </cfRule>
    <cfRule type="cellIs" dxfId="853" priority="3111" stopIfTrue="1" operator="equal">
      <formula>"B1"</formula>
    </cfRule>
    <cfRule type="expression" dxfId="852" priority="3112" stopIfTrue="1">
      <formula>B277</formula>
    </cfRule>
    <cfRule type="cellIs" dxfId="851" priority="3113" stopIfTrue="1" operator="equal">
      <formula>"B2"</formula>
    </cfRule>
  </conditionalFormatting>
  <conditionalFormatting sqref="M352:M353">
    <cfRule type="cellIs" dxfId="850" priority="2883" stopIfTrue="1" operator="equal">
      <formula>"D"</formula>
    </cfRule>
    <cfRule type="cellIs" dxfId="849" priority="2884" stopIfTrue="1" operator="equal">
      <formula>"E"</formula>
    </cfRule>
    <cfRule type="cellIs" dxfId="848" priority="2885" stopIfTrue="1" operator="equal">
      <formula>"A DN"</formula>
    </cfRule>
    <cfRule type="cellIs" dxfId="847" priority="2886" stopIfTrue="1" operator="equal">
      <formula>"A DN"</formula>
    </cfRule>
    <cfRule type="cellIs" dxfId="846" priority="2887" stopIfTrue="1" operator="equal">
      <formula>"E"</formula>
    </cfRule>
    <cfRule type="cellIs" dxfId="845" priority="2888" stopIfTrue="1" operator="equal">
      <formula>"D"</formula>
    </cfRule>
    <cfRule type="cellIs" dxfId="844" priority="2889" stopIfTrue="1" operator="equal">
      <formula>"D1"</formula>
    </cfRule>
    <cfRule type="cellIs" dxfId="843" priority="2890" stopIfTrue="1" operator="equal">
      <formula>"C2"</formula>
    </cfRule>
    <cfRule type="cellIs" dxfId="842" priority="2892" stopIfTrue="1" operator="equal">
      <formula>"B2"</formula>
    </cfRule>
    <cfRule type="cellIs" dxfId="841" priority="2893" stopIfTrue="1" operator="equal">
      <formula>"B1"</formula>
    </cfRule>
    <cfRule type="cellIs" dxfId="840" priority="2895" stopIfTrue="1" operator="equal">
      <formula>"D"</formula>
    </cfRule>
    <cfRule type="expression" dxfId="839" priority="2894" stopIfTrue="1">
      <formula>B277</formula>
    </cfRule>
    <cfRule type="cellIs" dxfId="838" priority="2896" stopIfTrue="1" operator="equal">
      <formula>"B1"</formula>
    </cfRule>
    <cfRule type="expression" dxfId="837" priority="2897" stopIfTrue="1">
      <formula>B277</formula>
    </cfRule>
    <cfRule type="cellIs" dxfId="836" priority="2898" stopIfTrue="1" operator="equal">
      <formula>"B2"</formula>
    </cfRule>
    <cfRule type="expression" dxfId="835" priority="2899" stopIfTrue="1">
      <formula>B277</formula>
    </cfRule>
    <cfRule type="cellIs" dxfId="834" priority="2880" stopIfTrue="1" operator="equal">
      <formula>"C2"</formula>
    </cfRule>
    <cfRule type="expression" dxfId="833" priority="2274" stopIfTrue="1">
      <formula>B278</formula>
    </cfRule>
    <cfRule type="expression" dxfId="832" priority="2273" stopIfTrue="1">
      <formula>$B278</formula>
    </cfRule>
    <cfRule type="expression" dxfId="831" priority="2272" stopIfTrue="1">
      <formula>"if=B1"</formula>
    </cfRule>
    <cfRule type="cellIs" dxfId="830" priority="2881" stopIfTrue="1" operator="equal">
      <formula>"C1"</formula>
    </cfRule>
    <cfRule type="cellIs" dxfId="829" priority="2882" stopIfTrue="1" operator="equal">
      <formula>"C2"</formula>
    </cfRule>
    <cfRule type="cellIs" dxfId="828" priority="2891" stopIfTrue="1" operator="equal">
      <formula>"C1"</formula>
    </cfRule>
  </conditionalFormatting>
  <conditionalFormatting sqref="M23:O353 A8:M9 O8:S9 AE8:JA9 A10:XFD13 A14 AE14:JA14 A15:XFD17 AE18:XFD18 A18:I20 AE19:JA25 A21:C21 E21:O21 Q21:W22 K22:O22 E22:I23 B22:C25 A22:A353 J22:J353 U23:W62 K23:L91 Q23:Q91 F24:I25 AG26:JA26 AE26:AE34 E27:I27 B27:C34 AF27:JA34 E28:G29 F30:G31 E32:G33 F34:G34 AE35:JA40 E37:G41 B37:C45 AE41 AG41:JA41 F42:G42 AE42:JA59 E43:G43 F44:G45 S44:S62 E48:I50 B48:C59 E51:G52 H51:I57 F53:G53 E54:G55 F56:G57 F58:I59 T58:T59 H60 R61:R62 T61:T62 E61:I65 B61:C72 AE61:JA72 R63:T69 U63:V91 W63:W223 F66:I66 E67:I67 F68:I68 E69:I72 R70:R72 T70:T72 S70:S91 H73 B74:C74 E74:G74 AE74:JA74 H74:I75 R74:R91 T74:T91 D75:G75 AE75 AG75:JA75 F76:I76 B76:C91 E77:I78 E79:G80 H79:I82 F81:G82 F83:I83 E84:I84 F85:I87 F88:G89 H88:I90 E90:G90 F91:I91 D94 K94 F94:I97 AE94:JA97 R94:T123 Q94:Q222 U94:V222 AC94:AC353 B95:C123 K95:L353 E98:G98 AF98:JA103 AE98:AE114 H98:I123 F99:G102 E103:G103 AG104:JA104 F104:G114 AF105:JA114 E115:G119 AE115:JA123 F120:G123 H124 S124 E125:G127 AF125:JA158 H125:I191 R125:T222 F128:G128 E129:G132 F133:G133 E134:G137 F138:G139 E140:G142 F143:G144 E145:G150 F151:G158 E159:G170 AE159:JA196 F171:G171 E172:G172 F173:G173 E174:G185 F186:G186 E187:G190 F191:G191 E192:I194 E195:G203 H195:I217 AF197:JA201 AE197:AE202 AG202:JA202 AE203:JA209 F204:G204 E205:G214 AF210:JA210 AE210:AE222 AG211:JA211 AF212:JA212 AG213:JA213 AF214:JA222 F215:G215 E216:G217 E218:I228 Q223:V223 AE223:JA223 AF224:JA231 AE224:AE252 E229:G230 H229:I353 F231:G231 AG232:JA232 E232:G247 AF233:JA252 F248:G253 AE253:JA253 AE254 AG254:JA254 E254:G266 AE255:JA262 AE263 AG263:JA263 AE264:JA267 G267:G279 AE268:AE279 AG268:JA279 E280:G286 AE280:JA358 F287:G353 C291:C353 A354:AD358 AF359:JA360 AF361:XFD367 A369:XFD65615">
    <cfRule type="cellIs" dxfId="827" priority="105" stopIfTrue="1" operator="equal">
      <formula>"KXL"</formula>
    </cfRule>
  </conditionalFormatting>
  <conditionalFormatting sqref="R48:R60 B60:C60 F60:G60 I60 T60 AE60:JA60 AE73:JA73 AE124:JA124 AE125:AE158">
    <cfRule type="cellIs" dxfId="826" priority="100" stopIfTrue="1" operator="equal">
      <formula>"A DN"</formula>
    </cfRule>
  </conditionalFormatting>
  <conditionalFormatting sqref="R23:T43 D35:G36">
    <cfRule type="cellIs" dxfId="825" priority="80" stopIfTrue="1" operator="equal">
      <formula>"KXL"</formula>
    </cfRule>
    <cfRule type="cellIs" dxfId="824" priority="81" stopIfTrue="1" operator="equal">
      <formula>"A DN"</formula>
    </cfRule>
    <cfRule type="cellIs" dxfId="823" priority="82" stopIfTrue="1" operator="equal">
      <formula>"C"</formula>
    </cfRule>
    <cfRule type="cellIs" dxfId="822" priority="83" stopIfTrue="1" operator="equal">
      <formula>"B"</formula>
    </cfRule>
  </conditionalFormatting>
  <conditionalFormatting sqref="AB5">
    <cfRule type="cellIs" dxfId="821" priority="21" stopIfTrue="1" operator="equal">
      <formula>"KXL"</formula>
    </cfRule>
    <cfRule type="cellIs" dxfId="820" priority="22" stopIfTrue="1" operator="equal">
      <formula>"A DN"</formula>
    </cfRule>
    <cfRule type="cellIs" dxfId="819" priority="23" stopIfTrue="1" operator="equal">
      <formula>"C"</formula>
    </cfRule>
    <cfRule type="cellIs" dxfId="818" priority="24" stopIfTrue="1" operator="equal">
      <formula>"B"</formula>
    </cfRule>
  </conditionalFormatting>
  <conditionalFormatting sqref="AC21:AC92 L92:L94">
    <cfRule type="cellIs" dxfId="817" priority="69" stopIfTrue="1" operator="equal">
      <formula>"KXL"</formula>
    </cfRule>
    <cfRule type="cellIs" dxfId="816" priority="70" stopIfTrue="1" operator="equal">
      <formula>"A DN"</formula>
    </cfRule>
    <cfRule type="cellIs" dxfId="815" priority="71" stopIfTrue="1" operator="equal">
      <formula>"C"</formula>
    </cfRule>
    <cfRule type="cellIs" dxfId="814" priority="72" stopIfTrue="1" operator="equal">
      <formula>"B"</formula>
    </cfRule>
  </conditionalFormatting>
  <conditionalFormatting sqref="AE76:JA92 D92:I92 K92 Q92:V92">
    <cfRule type="cellIs" dxfId="813" priority="65" stopIfTrue="1" operator="equal">
      <formula>"KXL"</formula>
    </cfRule>
    <cfRule type="cellIs" dxfId="812" priority="66" stopIfTrue="1" operator="equal">
      <formula>"A DN"</formula>
    </cfRule>
    <cfRule type="cellIs" dxfId="811" priority="67" stopIfTrue="1" operator="equal">
      <formula>"C"</formula>
    </cfRule>
    <cfRule type="cellIs" dxfId="810" priority="68" stopIfTrue="1" operator="equal">
      <formula>"B"</formula>
    </cfRule>
  </conditionalFormatting>
  <conditionalFormatting sqref="AF1:IV7">
    <cfRule type="cellIs" dxfId="809" priority="44" stopIfTrue="1" operator="equal">
      <formula>"B"</formula>
    </cfRule>
    <cfRule type="cellIs" dxfId="808" priority="41" stopIfTrue="1" operator="equal">
      <formula>"KXL"</formula>
    </cfRule>
    <cfRule type="cellIs" dxfId="807" priority="42" stopIfTrue="1" operator="equal">
      <formula>"A DN"</formula>
    </cfRule>
    <cfRule type="cellIs" dxfId="806" priority="43" stopIfTrue="1" operator="equal">
      <formula>"C"</formula>
    </cfRule>
  </conditionalFormatting>
  <printOptions horizontalCentered="1"/>
  <pageMargins left="0.21" right="0.17" top="0.38" bottom="0.33" header="0.17" footer="0.17"/>
  <pageSetup paperSize="9" scale="87" orientation="portrait" r:id="rId1"/>
  <headerFooter alignWithMargins="0">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K271"/>
  <sheetViews>
    <sheetView topLeftCell="A4" zoomScale="120" zoomScaleNormal="120" workbookViewId="0">
      <selection activeCell="W15" sqref="W15"/>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09" hidden="1" customWidth="1"/>
    <col min="8" max="8" width="11.28515625" style="2" hidden="1" customWidth="1"/>
    <col min="9" max="9" width="5.28515625" style="2" hidden="1" customWidth="1"/>
    <col min="10" max="10" width="9.5703125" style="79" customWidth="1"/>
    <col min="11" max="11" width="14.85546875" style="354" hidden="1" customWidth="1"/>
    <col min="12" max="12" width="6.42578125" style="2" customWidth="1"/>
    <col min="13" max="13" width="15" style="2" customWidth="1"/>
    <col min="14" max="14" width="7.7109375" style="2" customWidth="1"/>
    <col min="15" max="15" width="9.140625" style="2" customWidth="1"/>
    <col min="16" max="16" width="14.85546875" style="2" customWidth="1"/>
    <col min="17" max="17" width="7.28515625" style="459" hidden="1" customWidth="1"/>
    <col min="18" max="18" width="9.85546875" style="2" customWidth="1"/>
    <col min="19" max="19" width="5.28515625" style="389" hidden="1" customWidth="1"/>
    <col min="20" max="20" width="9.7109375" style="2" customWidth="1"/>
    <col min="21" max="21" width="11.85546875" style="589" hidden="1" customWidth="1"/>
    <col min="22" max="22" width="15.85546875" style="2" customWidth="1"/>
    <col min="23" max="23" width="15.42578125" style="2" customWidth="1"/>
    <col min="24" max="24" width="15.5703125" style="2" customWidth="1"/>
    <col min="25" max="25" width="3.85546875" style="2" customWidth="1"/>
    <col min="26" max="26" width="15.85546875" style="96" customWidth="1"/>
    <col min="27" max="27" width="23.5703125" style="219" bestFit="1" customWidth="1"/>
    <col min="28" max="28" width="12.7109375" style="2" customWidth="1"/>
    <col min="29" max="29" width="17.85546875" style="2" customWidth="1"/>
    <col min="30" max="30" width="10.42578125" style="151" bestFit="1" customWidth="1"/>
    <col min="31" max="16384" width="9.140625" style="2"/>
  </cols>
  <sheetData>
    <row r="1" spans="1:63">
      <c r="A1" s="1544" t="s">
        <v>492</v>
      </c>
      <c r="B1" s="1544"/>
      <c r="C1" s="1544"/>
      <c r="D1" s="1544"/>
      <c r="E1" s="1544"/>
      <c r="F1" s="1544"/>
      <c r="G1" s="1544"/>
      <c r="H1" s="1544"/>
      <c r="I1" s="1544"/>
      <c r="J1" s="1544"/>
      <c r="K1" s="1544"/>
      <c r="L1" s="1544"/>
      <c r="N1" s="14"/>
      <c r="O1" s="14"/>
      <c r="P1" s="14"/>
      <c r="Q1" s="449"/>
      <c r="R1" s="1543" t="s">
        <v>849</v>
      </c>
      <c r="S1" s="1543"/>
      <c r="T1" s="1543"/>
      <c r="U1" s="1543"/>
      <c r="V1" s="1543"/>
      <c r="W1" s="1543"/>
      <c r="X1" s="1543"/>
      <c r="Y1" s="1543"/>
      <c r="Z1" s="1543"/>
    </row>
    <row r="2" spans="1:63" ht="15" customHeight="1">
      <c r="A2" s="1543" t="s">
        <v>1563</v>
      </c>
      <c r="B2" s="1543"/>
      <c r="C2" s="1543"/>
      <c r="D2" s="1543"/>
      <c r="E2" s="1543"/>
      <c r="F2" s="1543"/>
      <c r="G2" s="1543"/>
      <c r="H2" s="1543"/>
      <c r="I2" s="1543"/>
      <c r="J2" s="1543"/>
      <c r="K2" s="1543"/>
      <c r="L2" s="1543"/>
      <c r="N2" s="14"/>
      <c r="O2" s="14"/>
      <c r="P2" s="14"/>
      <c r="Q2" s="449"/>
      <c r="R2" s="1543" t="s">
        <v>851</v>
      </c>
      <c r="S2" s="1543"/>
      <c r="T2" s="1543"/>
      <c r="U2" s="1543"/>
      <c r="V2" s="1543"/>
      <c r="W2" s="1543"/>
      <c r="X2" s="1543"/>
      <c r="Y2" s="1543"/>
      <c r="Z2" s="1543"/>
    </row>
    <row r="3" spans="1:63" ht="16.5" customHeight="1">
      <c r="A3" s="1543" t="s">
        <v>1564</v>
      </c>
      <c r="B3" s="1543"/>
      <c r="C3" s="1543"/>
      <c r="D3" s="1543"/>
      <c r="E3" s="1543"/>
      <c r="F3" s="1543"/>
      <c r="G3" s="1543"/>
      <c r="H3" s="1543"/>
      <c r="I3" s="1543"/>
      <c r="J3" s="1543"/>
      <c r="K3" s="1543"/>
      <c r="L3" s="1543"/>
      <c r="M3" s="99"/>
      <c r="N3" s="18"/>
      <c r="O3" s="18"/>
      <c r="P3" s="17"/>
      <c r="Q3" s="450"/>
      <c r="R3" s="17"/>
      <c r="S3" s="381"/>
      <c r="T3" s="17"/>
      <c r="U3" s="579"/>
      <c r="V3" s="17"/>
      <c r="W3" s="17"/>
      <c r="X3" s="17"/>
      <c r="Y3" s="16"/>
    </row>
    <row r="4" spans="1:63" ht="9" customHeight="1">
      <c r="A4" s="187"/>
      <c r="B4" s="187"/>
      <c r="C4" s="187"/>
      <c r="D4" s="187"/>
      <c r="E4" s="187"/>
      <c r="F4" s="187"/>
      <c r="G4" s="187"/>
      <c r="H4" s="187"/>
      <c r="I4" s="187"/>
      <c r="J4" s="187"/>
      <c r="K4" s="187"/>
      <c r="L4" s="187"/>
      <c r="M4" s="99"/>
      <c r="N4" s="18"/>
      <c r="O4" s="18"/>
      <c r="P4" s="17"/>
      <c r="Q4" s="450"/>
      <c r="R4" s="17"/>
      <c r="S4" s="381"/>
      <c r="T4" s="17"/>
      <c r="U4" s="579"/>
      <c r="V4" s="17"/>
      <c r="W4" s="17"/>
      <c r="X4" s="17"/>
      <c r="Y4" s="16"/>
    </row>
    <row r="5" spans="1:63" ht="18.75" customHeight="1">
      <c r="A5" s="1547" t="s">
        <v>2163</v>
      </c>
      <c r="B5" s="1547"/>
      <c r="C5" s="1547"/>
      <c r="D5" s="1547"/>
      <c r="E5" s="1547"/>
      <c r="F5" s="1547"/>
      <c r="G5" s="1547"/>
      <c r="H5" s="1547"/>
      <c r="I5" s="1547"/>
      <c r="J5" s="1547"/>
      <c r="K5" s="1547"/>
      <c r="L5" s="1547"/>
      <c r="M5" s="1547"/>
      <c r="N5" s="1547"/>
      <c r="O5" s="1547"/>
      <c r="P5" s="1547"/>
      <c r="Q5" s="1547"/>
      <c r="R5" s="1547"/>
      <c r="S5" s="1547"/>
      <c r="T5" s="1547"/>
      <c r="U5" s="1547"/>
      <c r="V5" s="1547"/>
      <c r="W5" s="1547"/>
      <c r="X5" s="1547"/>
      <c r="Y5" s="1547"/>
      <c r="Z5" s="1547"/>
    </row>
    <row r="6" spans="1:63" ht="18.75" customHeight="1">
      <c r="A6" s="1547" t="s">
        <v>1600</v>
      </c>
      <c r="B6" s="1547"/>
      <c r="C6" s="1547"/>
      <c r="D6" s="1547"/>
      <c r="E6" s="1547"/>
      <c r="F6" s="1547"/>
      <c r="G6" s="1547"/>
      <c r="H6" s="1547"/>
      <c r="I6" s="1547"/>
      <c r="J6" s="1547"/>
      <c r="K6" s="1547"/>
      <c r="L6" s="1547"/>
      <c r="M6" s="1547"/>
      <c r="N6" s="1547"/>
      <c r="O6" s="1547"/>
      <c r="P6" s="1547"/>
      <c r="Q6" s="1547"/>
      <c r="R6" s="1547"/>
      <c r="S6" s="1547"/>
      <c r="T6" s="1547"/>
      <c r="U6" s="1547"/>
      <c r="V6" s="1547"/>
      <c r="W6" s="1547"/>
      <c r="X6" s="1547"/>
      <c r="Y6" s="1547"/>
      <c r="Z6" s="1547"/>
    </row>
    <row r="7" spans="1:63" ht="54" customHeight="1">
      <c r="A7" s="1548" t="s">
        <v>2007</v>
      </c>
      <c r="B7" s="1548"/>
      <c r="C7" s="1548"/>
      <c r="D7" s="1548"/>
      <c r="E7" s="1548"/>
      <c r="F7" s="1548"/>
      <c r="G7" s="1548"/>
      <c r="H7" s="1548"/>
      <c r="I7" s="1548"/>
      <c r="J7" s="1548"/>
      <c r="K7" s="1548"/>
      <c r="L7" s="1548"/>
      <c r="M7" s="1548"/>
      <c r="N7" s="1548"/>
      <c r="O7" s="1548"/>
      <c r="P7" s="1548"/>
      <c r="Q7" s="1548"/>
      <c r="R7" s="1548"/>
      <c r="S7" s="1548"/>
      <c r="T7" s="1548"/>
      <c r="U7" s="1548"/>
      <c r="V7" s="1548"/>
      <c r="W7" s="1548"/>
      <c r="X7" s="1548"/>
      <c r="Y7" s="1548"/>
      <c r="Z7" s="1548"/>
    </row>
    <row r="8" spans="1:63" s="500" customFormat="1" ht="16.5" customHeight="1">
      <c r="A8" s="499" t="s">
        <v>2013</v>
      </c>
      <c r="C8" s="501">
        <v>1490000</v>
      </c>
      <c r="D8" s="502"/>
      <c r="E8" s="502"/>
      <c r="F8" s="503"/>
      <c r="G8" s="504">
        <v>1800000</v>
      </c>
      <c r="H8" s="504"/>
      <c r="I8" s="505"/>
      <c r="J8" s="506"/>
      <c r="K8" s="507"/>
      <c r="L8" s="505"/>
      <c r="M8" s="508"/>
      <c r="N8" s="1549"/>
      <c r="O8" s="1549"/>
      <c r="P8" s="1549"/>
      <c r="Q8" s="1549"/>
      <c r="R8" s="1549"/>
      <c r="S8" s="509"/>
      <c r="T8" s="510"/>
      <c r="U8" s="580"/>
      <c r="V8" s="651" t="s">
        <v>1181</v>
      </c>
      <c r="W8" s="651"/>
      <c r="X8" s="651"/>
      <c r="Y8" s="505"/>
      <c r="Z8" s="511"/>
      <c r="AA8" s="512"/>
      <c r="AD8" s="513"/>
    </row>
    <row r="9" spans="1:63" ht="10.5" customHeight="1">
      <c r="A9" s="1"/>
      <c r="B9" s="7"/>
      <c r="C9" s="7"/>
      <c r="D9" s="7"/>
      <c r="E9" s="14"/>
      <c r="F9" s="188"/>
      <c r="G9" s="222"/>
      <c r="H9" s="1"/>
      <c r="I9" s="1"/>
      <c r="J9" s="73"/>
      <c r="K9" s="356"/>
      <c r="L9" s="1"/>
      <c r="M9" s="3"/>
      <c r="N9" s="1"/>
      <c r="O9" s="1"/>
      <c r="P9" s="3"/>
      <c r="Q9" s="451"/>
      <c r="R9" s="3"/>
      <c r="S9" s="382"/>
      <c r="T9" s="3"/>
      <c r="U9" s="581"/>
      <c r="V9" s="27"/>
      <c r="W9" s="27"/>
      <c r="X9" s="27"/>
      <c r="Y9" s="1"/>
    </row>
    <row r="10" spans="1:63" s="111" customFormat="1" ht="63.75" customHeight="1">
      <c r="A10" s="28" t="s">
        <v>853</v>
      </c>
      <c r="B10" s="1550" t="s">
        <v>854</v>
      </c>
      <c r="C10" s="1550"/>
      <c r="D10" s="88" t="s">
        <v>1598</v>
      </c>
      <c r="E10" s="420" t="s">
        <v>50</v>
      </c>
      <c r="F10" s="40" t="s">
        <v>1137</v>
      </c>
      <c r="G10" s="220" t="s">
        <v>1138</v>
      </c>
      <c r="H10" s="40" t="s">
        <v>1139</v>
      </c>
      <c r="I10" s="40" t="s">
        <v>1140</v>
      </c>
      <c r="J10" s="78" t="s">
        <v>855</v>
      </c>
      <c r="K10" s="350" t="s">
        <v>1141</v>
      </c>
      <c r="L10" s="28" t="s">
        <v>860</v>
      </c>
      <c r="M10" s="28" t="s">
        <v>1186</v>
      </c>
      <c r="N10" s="28" t="s">
        <v>861</v>
      </c>
      <c r="O10" s="28" t="s">
        <v>857</v>
      </c>
      <c r="P10" s="28" t="s">
        <v>1187</v>
      </c>
      <c r="Q10" s="452" t="s">
        <v>1247</v>
      </c>
      <c r="R10" s="93" t="s">
        <v>1188</v>
      </c>
      <c r="S10" s="383" t="s">
        <v>1184</v>
      </c>
      <c r="T10" s="28" t="s">
        <v>1189</v>
      </c>
      <c r="U10" s="582" t="s">
        <v>1190</v>
      </c>
      <c r="V10" s="401" t="s">
        <v>1100</v>
      </c>
      <c r="W10" s="601" t="s">
        <v>2162</v>
      </c>
      <c r="X10" s="601" t="s">
        <v>2161</v>
      </c>
      <c r="Y10" s="1564" t="s">
        <v>40</v>
      </c>
      <c r="Z10" s="1565"/>
      <c r="AA10" s="437"/>
      <c r="AD10" s="153"/>
    </row>
    <row r="11" spans="1:63" s="108" customFormat="1" ht="15" customHeight="1">
      <c r="A11" s="29" t="s">
        <v>1110</v>
      </c>
      <c r="B11" s="1558" t="s">
        <v>1111</v>
      </c>
      <c r="C11" s="1558"/>
      <c r="D11" s="29"/>
      <c r="E11" s="421"/>
      <c r="F11" s="29" t="s">
        <v>1112</v>
      </c>
      <c r="G11" s="29" t="s">
        <v>1113</v>
      </c>
      <c r="H11" s="29" t="s">
        <v>1114</v>
      </c>
      <c r="I11" s="29" t="s">
        <v>1115</v>
      </c>
      <c r="J11" s="72" t="s">
        <v>1112</v>
      </c>
      <c r="K11" s="351" t="s">
        <v>1117</v>
      </c>
      <c r="L11" s="29" t="s">
        <v>1113</v>
      </c>
      <c r="M11" s="29" t="s">
        <v>1114</v>
      </c>
      <c r="N11" s="29" t="s">
        <v>1115</v>
      </c>
      <c r="O11" s="29" t="s">
        <v>1116</v>
      </c>
      <c r="P11" s="29" t="s">
        <v>1117</v>
      </c>
      <c r="Q11" s="453" t="s">
        <v>1125</v>
      </c>
      <c r="R11" s="29" t="s">
        <v>1118</v>
      </c>
      <c r="S11" s="384" t="s">
        <v>1127</v>
      </c>
      <c r="T11" s="29">
        <v>10</v>
      </c>
      <c r="U11" s="583" t="s">
        <v>2022</v>
      </c>
      <c r="V11" s="29">
        <v>11</v>
      </c>
      <c r="W11" s="652"/>
      <c r="X11" s="652"/>
      <c r="Y11" s="1562">
        <v>12</v>
      </c>
      <c r="Z11" s="1563"/>
      <c r="AA11" s="141"/>
      <c r="AD11" s="154"/>
    </row>
    <row r="12" spans="1:63" s="372" customFormat="1" ht="27" customHeight="1">
      <c r="A12" s="379">
        <f>_xlfn.AGGREGATE(4,7,A$11:A11)+1</f>
        <v>1</v>
      </c>
      <c r="B12" s="444" t="s">
        <v>1607</v>
      </c>
      <c r="C12" s="419" t="s">
        <v>1009</v>
      </c>
      <c r="D12" s="418" t="s">
        <v>1957</v>
      </c>
      <c r="E12" s="481">
        <v>1603215003961</v>
      </c>
      <c r="F12" s="373">
        <v>3.66</v>
      </c>
      <c r="G12" s="367"/>
      <c r="H12" s="445">
        <f t="shared" ref="H12:H33" si="0">F12+(F12*G12)</f>
        <v>3.66</v>
      </c>
      <c r="I12" s="368">
        <v>0.45</v>
      </c>
      <c r="J12" s="369">
        <f t="shared" ref="J12:J33" si="1">H12+I12</f>
        <v>4.1100000000000003</v>
      </c>
      <c r="K12" s="362">
        <f>J12*TL!$G$8</f>
        <v>7398000.0000000009</v>
      </c>
      <c r="L12" s="366" t="str">
        <f>VLOOKUP(B12,'[8]Gui chi Quynh'!$B$11:$E$401,4,FALSE)</f>
        <v>A2</v>
      </c>
      <c r="M12" s="494">
        <f t="shared" ref="M12:M63" si="2">IF(L12="A1",K12*1.6,IF(L12="A2",K12*1.4,IF(L12="A3",K12*1.2,IF(L12="A4",K12*1,IF(L12="B1",K12*0.7,IF(L12="B2",K12*0.5,IF(L12="C1",K12*0.3,IF(L12="C2",K12*0.2,0))))))))</f>
        <v>10357200</v>
      </c>
      <c r="N12" s="376">
        <v>19</v>
      </c>
      <c r="O12" s="440">
        <f>IFERROR(INDEX('[9]CN BC'!$J$10:$J$277,MATCH(B12,'[9]CN BC'!$H$10:$H$277,0)),"")</f>
        <v>19</v>
      </c>
      <c r="P12" s="494">
        <f t="shared" ref="P12:P63" si="3">IF(O12&gt;=N12,M12,M12/N12*O12)</f>
        <v>10357200</v>
      </c>
      <c r="Q12" s="392"/>
      <c r="R12" s="362">
        <f t="shared" ref="R12:R56" si="4">Q12*$G$8*1</f>
        <v>0</v>
      </c>
      <c r="S12" s="370"/>
      <c r="T12" s="362">
        <f t="shared" ref="T12:T63" si="5">S12*$G$8*1</f>
        <v>0</v>
      </c>
      <c r="U12" s="584">
        <f t="shared" ref="U12:U63" si="6">IF(OR(L12="A DN",L12="KXL", L12=""),"0",ROUND(J12*0.01*$G$8+Q12*1%*$G$8+S12*1%*$G$8,))</f>
        <v>73980</v>
      </c>
      <c r="V12" s="371">
        <f t="shared" ref="V12:V65" si="7">(P12+R12+T12)</f>
        <v>10357200</v>
      </c>
      <c r="W12" s="362">
        <f>VLOOKUP(B12,CN!B13:P270,15,FALSE)</f>
        <v>7272720</v>
      </c>
      <c r="X12" s="653">
        <f>V12-W12</f>
        <v>3084480</v>
      </c>
      <c r="Y12" s="568">
        <f t="shared" ref="Y12:Y43" si="8">A12</f>
        <v>1</v>
      </c>
      <c r="Z12" s="493">
        <f>IFERROR(INDEX('[10]CN BC'!$M$10:$M$276,MATCH(B12,'[10]CN BC'!$H$10:$H$276,0)),"")</f>
        <v>0</v>
      </c>
      <c r="AA12" s="141"/>
      <c r="AB12" s="108"/>
      <c r="AC12" s="108"/>
      <c r="AD12" s="155"/>
      <c r="AE12" s="108"/>
      <c r="AF12" s="108"/>
      <c r="AG12" s="108"/>
      <c r="AH12" s="108"/>
      <c r="AI12" s="108"/>
      <c r="AJ12" s="108"/>
      <c r="AK12" s="108"/>
      <c r="AL12" s="108"/>
      <c r="AM12" s="108"/>
      <c r="AN12" s="108"/>
      <c r="AO12" s="108"/>
      <c r="AP12" s="108"/>
      <c r="AQ12" s="108"/>
      <c r="AR12" s="108"/>
      <c r="AS12" s="108"/>
      <c r="AT12" s="108"/>
      <c r="AU12" s="108"/>
      <c r="AV12" s="108"/>
      <c r="AW12" s="108"/>
      <c r="AX12" s="108"/>
      <c r="AY12" s="108"/>
      <c r="AZ12" s="108"/>
      <c r="BA12" s="108"/>
      <c r="BB12" s="108"/>
      <c r="BC12" s="108"/>
      <c r="BD12" s="108"/>
      <c r="BE12" s="108"/>
      <c r="BF12" s="108"/>
      <c r="BG12" s="108"/>
      <c r="BH12" s="108"/>
      <c r="BI12" s="108"/>
      <c r="BJ12" s="108"/>
      <c r="BK12" s="108"/>
    </row>
    <row r="13" spans="1:63" s="372" customFormat="1" ht="25.5" customHeight="1">
      <c r="A13" s="379">
        <f>_xlfn.AGGREGATE(4,7,A$11:A12)+1</f>
        <v>2</v>
      </c>
      <c r="B13" s="363" t="s">
        <v>1924</v>
      </c>
      <c r="C13" s="364"/>
      <c r="D13" s="434" t="s">
        <v>1958</v>
      </c>
      <c r="E13" s="194" t="s">
        <v>1935</v>
      </c>
      <c r="F13" s="366">
        <v>2.67</v>
      </c>
      <c r="G13" s="367"/>
      <c r="H13" s="445">
        <f t="shared" si="0"/>
        <v>2.67</v>
      </c>
      <c r="I13" s="368"/>
      <c r="J13" s="369">
        <f t="shared" si="1"/>
        <v>2.67</v>
      </c>
      <c r="K13" s="362">
        <f t="shared" ref="K13:K30" si="9">J13*$G$8</f>
        <v>4806000</v>
      </c>
      <c r="L13" s="366" t="str">
        <f>VLOOKUP(B13,'[8]Gui chi Quynh'!$B$11:$E$401,4,FALSE)</f>
        <v>A4</v>
      </c>
      <c r="M13" s="494">
        <f t="shared" si="2"/>
        <v>4806000</v>
      </c>
      <c r="N13" s="376">
        <v>19</v>
      </c>
      <c r="O13" s="440">
        <f>IFERROR(INDEX('[9]CN BC'!$J$10:$J$277,MATCH(B13,'[9]CN BC'!$H$10:$H$277,0)),"")</f>
        <v>19</v>
      </c>
      <c r="P13" s="494">
        <f t="shared" si="3"/>
        <v>4806000</v>
      </c>
      <c r="Q13" s="460"/>
      <c r="R13" s="362">
        <f t="shared" si="4"/>
        <v>0</v>
      </c>
      <c r="S13" s="370"/>
      <c r="T13" s="362">
        <f t="shared" si="5"/>
        <v>0</v>
      </c>
      <c r="U13" s="584">
        <f t="shared" si="6"/>
        <v>48060</v>
      </c>
      <c r="V13" s="371">
        <f t="shared" si="7"/>
        <v>4806000</v>
      </c>
      <c r="W13" s="362">
        <f>VLOOKUP(B13,CN!B13:P271,15,FALSE)</f>
        <v>3510000</v>
      </c>
      <c r="X13" s="653">
        <f t="shared" ref="X13:X73" si="10">V13-W13</f>
        <v>1296000</v>
      </c>
      <c r="Y13" s="568">
        <f t="shared" si="8"/>
        <v>2</v>
      </c>
      <c r="Z13" s="493">
        <f>IFERROR(INDEX('[10]CN BC'!$M$10:$M$276,MATCH(B13,'[10]CN BC'!$H$10:$H$276,0)),"")</f>
        <v>0</v>
      </c>
      <c r="AA13" s="141"/>
      <c r="AB13" s="108"/>
      <c r="AC13" s="108"/>
      <c r="AD13" s="155"/>
      <c r="AE13" s="108"/>
      <c r="AF13" s="108"/>
      <c r="AG13" s="108"/>
      <c r="AH13" s="108"/>
      <c r="AI13" s="108"/>
      <c r="AJ13" s="108"/>
    </row>
    <row r="14" spans="1:63" s="372" customFormat="1" ht="25.15" customHeight="1">
      <c r="A14" s="379">
        <f>_xlfn.AGGREGATE(4,7,A$11:A13)+1</f>
        <v>3</v>
      </c>
      <c r="B14" s="363" t="s">
        <v>1944</v>
      </c>
      <c r="C14" s="364"/>
      <c r="D14" s="434" t="s">
        <v>1959</v>
      </c>
      <c r="E14" s="479"/>
      <c r="F14" s="366">
        <v>2.34</v>
      </c>
      <c r="G14" s="367"/>
      <c r="H14" s="445">
        <f t="shared" si="0"/>
        <v>2.34</v>
      </c>
      <c r="I14" s="368"/>
      <c r="J14" s="369">
        <f t="shared" si="1"/>
        <v>2.34</v>
      </c>
      <c r="K14" s="362">
        <f t="shared" si="9"/>
        <v>4212000</v>
      </c>
      <c r="L14" s="366" t="str">
        <f>VLOOKUP(B14,'[8]Gui chi Quynh'!$B$11:$E$401,4,FALSE)</f>
        <v>A3</v>
      </c>
      <c r="M14" s="494">
        <f t="shared" si="2"/>
        <v>5054400</v>
      </c>
      <c r="N14" s="376">
        <v>19</v>
      </c>
      <c r="O14" s="440">
        <f>IFERROR(INDEX('[9]CN BC'!$J$10:$J$277,MATCH(B14,'[9]CN BC'!$H$10:$H$277,0)),"")</f>
        <v>19</v>
      </c>
      <c r="P14" s="494">
        <f t="shared" si="3"/>
        <v>5054400</v>
      </c>
      <c r="Q14" s="460"/>
      <c r="R14" s="362">
        <f t="shared" si="4"/>
        <v>0</v>
      </c>
      <c r="S14" s="370"/>
      <c r="T14" s="362">
        <f t="shared" si="5"/>
        <v>0</v>
      </c>
      <c r="U14" s="584">
        <f t="shared" si="6"/>
        <v>42120</v>
      </c>
      <c r="V14" s="371">
        <f t="shared" si="7"/>
        <v>5054400</v>
      </c>
      <c r="W14" s="362">
        <f>VLOOKUP(B14,CN!B14:P272,15,FALSE)</f>
        <v>3748680</v>
      </c>
      <c r="X14" s="653">
        <f t="shared" si="10"/>
        <v>1305720</v>
      </c>
      <c r="Y14" s="568">
        <f t="shared" si="8"/>
        <v>3</v>
      </c>
      <c r="Z14" s="493">
        <f>IFERROR(INDEX('[10]CN BC'!$M$10:$M$276,MATCH(B14,'[10]CN BC'!$H$10:$H$276,0)),"")</f>
        <v>0</v>
      </c>
      <c r="AA14" s="141"/>
      <c r="AB14" s="108"/>
      <c r="AC14" s="108"/>
      <c r="AD14" s="155"/>
      <c r="AE14" s="108"/>
      <c r="AF14" s="108"/>
      <c r="AG14" s="108"/>
      <c r="AH14" s="108"/>
      <c r="AI14" s="108"/>
      <c r="AJ14" s="108"/>
    </row>
    <row r="15" spans="1:63" s="372" customFormat="1" ht="25.5" customHeight="1">
      <c r="A15" s="379">
        <f>_xlfn.AGGREGATE(4,7,A$11:A14)+1</f>
        <v>4</v>
      </c>
      <c r="B15" s="363" t="s">
        <v>1472</v>
      </c>
      <c r="C15" s="364" t="s">
        <v>939</v>
      </c>
      <c r="D15" s="406" t="s">
        <v>1682</v>
      </c>
      <c r="E15" s="426" t="s">
        <v>1582</v>
      </c>
      <c r="F15" s="373">
        <v>3.99</v>
      </c>
      <c r="G15" s="367"/>
      <c r="H15" s="368">
        <f t="shared" si="0"/>
        <v>3.99</v>
      </c>
      <c r="I15" s="368">
        <v>0.45</v>
      </c>
      <c r="J15" s="369">
        <f t="shared" si="1"/>
        <v>4.4400000000000004</v>
      </c>
      <c r="K15" s="362">
        <f t="shared" si="9"/>
        <v>7992000.0000000009</v>
      </c>
      <c r="L15" s="366" t="str">
        <f>VLOOKUP(B15,'[8]Gui chi Quynh'!$B$11:$E$401,4,FALSE)</f>
        <v>A3</v>
      </c>
      <c r="M15" s="494">
        <f t="shared" si="2"/>
        <v>9590400</v>
      </c>
      <c r="N15" s="376">
        <v>19</v>
      </c>
      <c r="O15" s="440">
        <f>IFERROR(INDEX('[9]CN BC'!$J$10:$J$277,MATCH(B15,'[9]CN BC'!$H$10:$H$277,0)),"")</f>
        <v>19</v>
      </c>
      <c r="P15" s="494">
        <f t="shared" si="3"/>
        <v>9590400</v>
      </c>
      <c r="Q15" s="392"/>
      <c r="R15" s="362">
        <f t="shared" si="4"/>
        <v>0</v>
      </c>
      <c r="S15" s="370"/>
      <c r="T15" s="362">
        <f t="shared" si="5"/>
        <v>0</v>
      </c>
      <c r="U15" s="584">
        <f t="shared" si="6"/>
        <v>79920</v>
      </c>
      <c r="V15" s="371">
        <f t="shared" si="7"/>
        <v>9590400</v>
      </c>
      <c r="W15" s="362">
        <f>VLOOKUP(B15,CN!B15:P273,15,FALSE)</f>
        <v>7813260.0000000009</v>
      </c>
      <c r="X15" s="653">
        <f t="shared" si="10"/>
        <v>1777139.9999999991</v>
      </c>
      <c r="Y15" s="568">
        <f t="shared" si="8"/>
        <v>4</v>
      </c>
      <c r="Z15" s="493">
        <f>IFERROR(INDEX('[10]CN BC'!$M$10:$M$276,MATCH(B15,'[10]CN BC'!$H$10:$H$276,0)),"")</f>
        <v>0</v>
      </c>
      <c r="AA15" s="522" t="s">
        <v>812</v>
      </c>
      <c r="AB15" s="108"/>
      <c r="AC15" s="108"/>
      <c r="AD15" s="155"/>
      <c r="AE15" s="108"/>
      <c r="AF15" s="108"/>
      <c r="AG15" s="108"/>
      <c r="AH15" s="108"/>
      <c r="AI15" s="108"/>
      <c r="AJ15" s="108"/>
      <c r="AK15" s="108"/>
      <c r="AL15" s="108"/>
      <c r="AM15" s="108"/>
      <c r="AN15" s="108"/>
    </row>
    <row r="16" spans="1:63" s="372" customFormat="1" ht="25.15" customHeight="1">
      <c r="A16" s="379">
        <f>_xlfn.AGGREGATE(4,7,A$11:A15)+1</f>
        <v>5</v>
      </c>
      <c r="B16" s="363" t="s">
        <v>1566</v>
      </c>
      <c r="C16" s="364"/>
      <c r="D16" s="434" t="s">
        <v>1681</v>
      </c>
      <c r="E16" s="435" t="s">
        <v>1567</v>
      </c>
      <c r="F16" s="369">
        <v>3</v>
      </c>
      <c r="G16" s="367"/>
      <c r="H16" s="445">
        <f t="shared" si="0"/>
        <v>3</v>
      </c>
      <c r="I16" s="368"/>
      <c r="J16" s="369">
        <f t="shared" si="1"/>
        <v>3</v>
      </c>
      <c r="K16" s="362">
        <f t="shared" si="9"/>
        <v>5400000</v>
      </c>
      <c r="L16" s="366" t="str">
        <f>VLOOKUP(B16,'[8]Gui chi Quynh'!$B$11:$E$401,4,FALSE)</f>
        <v>A4</v>
      </c>
      <c r="M16" s="494">
        <f t="shared" si="2"/>
        <v>5400000</v>
      </c>
      <c r="N16" s="376">
        <v>19</v>
      </c>
      <c r="O16" s="440">
        <f>IFERROR(INDEX('[9]CN BC'!$J$10:$J$277,MATCH(B16,'[9]CN BC'!$H$10:$H$277,0)),"")</f>
        <v>19</v>
      </c>
      <c r="P16" s="494">
        <f t="shared" si="3"/>
        <v>5400000</v>
      </c>
      <c r="Q16" s="460"/>
      <c r="R16" s="362">
        <f t="shared" si="4"/>
        <v>0</v>
      </c>
      <c r="S16" s="370"/>
      <c r="T16" s="362">
        <f t="shared" si="5"/>
        <v>0</v>
      </c>
      <c r="U16" s="584">
        <f t="shared" si="6"/>
        <v>54000</v>
      </c>
      <c r="V16" s="371">
        <f t="shared" si="7"/>
        <v>5400000</v>
      </c>
      <c r="W16" s="362">
        <f>VLOOKUP(B16,CN!B17:P274,15,FALSE)</f>
        <v>3896100</v>
      </c>
      <c r="X16" s="653">
        <f t="shared" si="10"/>
        <v>1503900</v>
      </c>
      <c r="Y16" s="568">
        <f t="shared" si="8"/>
        <v>5</v>
      </c>
      <c r="Z16" s="493">
        <f>IFERROR(INDEX('[10]CN BC'!$M$10:$M$276,MATCH(B16,'[10]CN BC'!$H$10:$H$276,0)),"")</f>
        <v>0</v>
      </c>
      <c r="AA16" s="522" t="s">
        <v>813</v>
      </c>
      <c r="AB16" s="108"/>
      <c r="AC16" s="108"/>
      <c r="AD16" s="155"/>
    </row>
    <row r="17" spans="1:40" s="372" customFormat="1" ht="25.15" customHeight="1">
      <c r="A17" s="379">
        <f>_xlfn.AGGREGATE(4,7,A$11:A16)+1</f>
        <v>6</v>
      </c>
      <c r="B17" s="363" t="s">
        <v>1831</v>
      </c>
      <c r="C17" s="364"/>
      <c r="D17" s="434" t="s">
        <v>1960</v>
      </c>
      <c r="E17" s="481">
        <v>1603215005603</v>
      </c>
      <c r="F17" s="369">
        <v>3</v>
      </c>
      <c r="G17" s="367"/>
      <c r="H17" s="445">
        <f t="shared" si="0"/>
        <v>3</v>
      </c>
      <c r="I17" s="368"/>
      <c r="J17" s="369">
        <f t="shared" si="1"/>
        <v>3</v>
      </c>
      <c r="K17" s="362">
        <f t="shared" si="9"/>
        <v>5400000</v>
      </c>
      <c r="L17" s="366" t="str">
        <f>VLOOKUP(B17,'[8]Gui chi Quynh'!$B$11:$E$401,4,FALSE)</f>
        <v>A4</v>
      </c>
      <c r="M17" s="494">
        <f t="shared" si="2"/>
        <v>5400000</v>
      </c>
      <c r="N17" s="376">
        <v>19</v>
      </c>
      <c r="O17" s="440">
        <f>IFERROR(INDEX('[9]CN BC'!$J$10:$J$277,MATCH(B17,'[9]CN BC'!$H$10:$H$277,0)),"")</f>
        <v>19</v>
      </c>
      <c r="P17" s="494">
        <f t="shared" si="3"/>
        <v>5400000</v>
      </c>
      <c r="Q17" s="460"/>
      <c r="R17" s="362">
        <f t="shared" si="4"/>
        <v>0</v>
      </c>
      <c r="S17" s="370"/>
      <c r="T17" s="362">
        <f t="shared" si="5"/>
        <v>0</v>
      </c>
      <c r="U17" s="584">
        <f t="shared" si="6"/>
        <v>54000</v>
      </c>
      <c r="V17" s="371">
        <f t="shared" si="7"/>
        <v>5400000</v>
      </c>
      <c r="W17" s="362">
        <f>VLOOKUP(B17,CN!B17:P274,15,FALSE)</f>
        <v>4914000</v>
      </c>
      <c r="X17" s="653">
        <f t="shared" si="10"/>
        <v>486000</v>
      </c>
      <c r="Y17" s="568">
        <f t="shared" si="8"/>
        <v>6</v>
      </c>
      <c r="Z17" s="493">
        <f>IFERROR(INDEX('[10]CN BC'!$M$10:$M$276,MATCH(B17,'[10]CN BC'!$H$10:$H$276,0)),"")</f>
        <v>0</v>
      </c>
      <c r="AA17" s="522" t="s">
        <v>814</v>
      </c>
      <c r="AB17" s="108"/>
      <c r="AC17" s="108"/>
      <c r="AD17" s="155"/>
      <c r="AE17" s="108"/>
      <c r="AF17" s="108"/>
      <c r="AG17" s="108"/>
      <c r="AH17" s="108"/>
      <c r="AI17" s="108"/>
      <c r="AJ17" s="108"/>
    </row>
    <row r="18" spans="1:40" s="372" customFormat="1" ht="26.25" customHeight="1">
      <c r="A18" s="379">
        <f>_xlfn.AGGREGATE(4,7,A$11:A17)+1</f>
        <v>7</v>
      </c>
      <c r="B18" s="363" t="s">
        <v>1473</v>
      </c>
      <c r="C18" s="364" t="s">
        <v>1444</v>
      </c>
      <c r="D18" s="434" t="s">
        <v>1683</v>
      </c>
      <c r="E18" s="426" t="s">
        <v>1583</v>
      </c>
      <c r="F18" s="373">
        <v>3.66</v>
      </c>
      <c r="G18" s="367"/>
      <c r="H18" s="368">
        <f t="shared" si="0"/>
        <v>3.66</v>
      </c>
      <c r="I18" s="368">
        <v>0.35</v>
      </c>
      <c r="J18" s="369">
        <f t="shared" si="1"/>
        <v>4.01</v>
      </c>
      <c r="K18" s="362">
        <f t="shared" si="9"/>
        <v>7218000</v>
      </c>
      <c r="L18" s="366" t="str">
        <f>VLOOKUP(B18,'[8]Gui chi Quynh'!$B$11:$E$401,4,FALSE)</f>
        <v>A2</v>
      </c>
      <c r="M18" s="494">
        <f t="shared" si="2"/>
        <v>10105200</v>
      </c>
      <c r="N18" s="376">
        <v>19</v>
      </c>
      <c r="O18" s="440">
        <f>IFERROR(INDEX('[9]CN BC'!$J$10:$J$277,MATCH(B18,'[9]CN BC'!$H$10:$H$277,0)),"")</f>
        <v>19</v>
      </c>
      <c r="P18" s="494">
        <f t="shared" si="3"/>
        <v>10105200</v>
      </c>
      <c r="Q18" s="460"/>
      <c r="R18" s="362">
        <f t="shared" si="4"/>
        <v>0</v>
      </c>
      <c r="S18" s="370"/>
      <c r="T18" s="362">
        <f t="shared" si="5"/>
        <v>0</v>
      </c>
      <c r="U18" s="584">
        <f t="shared" si="6"/>
        <v>72180</v>
      </c>
      <c r="V18" s="371">
        <f t="shared" si="7"/>
        <v>10105200</v>
      </c>
      <c r="W18" s="362" t="e">
        <f>VLOOKUP(B18,CN!B17:P275,15,FALSE)</f>
        <v>#N/A</v>
      </c>
      <c r="X18" s="653" t="e">
        <f t="shared" si="10"/>
        <v>#N/A</v>
      </c>
      <c r="Y18" s="568">
        <f t="shared" si="8"/>
        <v>7</v>
      </c>
      <c r="Z18" s="493">
        <f>IFERROR(INDEX('[10]CN BC'!$M$10:$M$276,MATCH(B18,'[10]CN BC'!$H$10:$H$276,0)),"")</f>
        <v>0</v>
      </c>
      <c r="AA18" s="540" t="s">
        <v>815</v>
      </c>
      <c r="AD18" s="487"/>
    </row>
    <row r="19" spans="1:40" s="372" customFormat="1" ht="26.25" customHeight="1">
      <c r="A19" s="379">
        <f>_xlfn.AGGREGATE(4,7,A$11:A18)+1</f>
        <v>8</v>
      </c>
      <c r="B19" s="462" t="s">
        <v>1928</v>
      </c>
      <c r="C19" s="364"/>
      <c r="D19" s="434" t="s">
        <v>1961</v>
      </c>
      <c r="E19" s="479" t="s">
        <v>1934</v>
      </c>
      <c r="F19" s="369">
        <v>2.34</v>
      </c>
      <c r="G19" s="367"/>
      <c r="H19" s="368">
        <f t="shared" si="0"/>
        <v>2.34</v>
      </c>
      <c r="I19" s="368"/>
      <c r="J19" s="369">
        <f t="shared" si="1"/>
        <v>2.34</v>
      </c>
      <c r="K19" s="362">
        <f t="shared" si="9"/>
        <v>4212000</v>
      </c>
      <c r="L19" s="366" t="str">
        <f>VLOOKUP(B19,'[8]Gui chi Quynh'!$B$11:$E$401,4,FALSE)</f>
        <v>A3</v>
      </c>
      <c r="M19" s="494">
        <f t="shared" si="2"/>
        <v>5054400</v>
      </c>
      <c r="N19" s="376">
        <v>19</v>
      </c>
      <c r="O19" s="440">
        <f>IFERROR(INDEX('[9]CN BC'!$J$10:$J$277,MATCH(B19,'[9]CN BC'!$H$10:$H$277,0)),"")</f>
        <v>19</v>
      </c>
      <c r="P19" s="494">
        <f t="shared" si="3"/>
        <v>5054400</v>
      </c>
      <c r="Q19" s="460"/>
      <c r="R19" s="362">
        <f t="shared" si="4"/>
        <v>0</v>
      </c>
      <c r="S19" s="370"/>
      <c r="T19" s="362">
        <f t="shared" si="5"/>
        <v>0</v>
      </c>
      <c r="U19" s="584">
        <f t="shared" si="6"/>
        <v>42120</v>
      </c>
      <c r="V19" s="371">
        <f t="shared" si="7"/>
        <v>5054400</v>
      </c>
      <c r="W19" s="362">
        <f>VLOOKUP(B19,CN!B20:P276,15,FALSE)</f>
        <v>3123900</v>
      </c>
      <c r="X19" s="653">
        <f t="shared" si="10"/>
        <v>1930500</v>
      </c>
      <c r="Y19" s="568">
        <f t="shared" si="8"/>
        <v>8</v>
      </c>
      <c r="Z19" s="493">
        <f>IFERROR(INDEX('[10]CN BC'!$M$10:$M$276,MATCH(B19,'[10]CN BC'!$H$10:$H$276,0)),"")</f>
        <v>0</v>
      </c>
      <c r="AA19" s="540" t="s">
        <v>816</v>
      </c>
      <c r="AD19" s="487"/>
    </row>
    <row r="20" spans="1:40" s="372" customFormat="1" ht="32.25" customHeight="1">
      <c r="A20" s="379">
        <f>_xlfn.AGGREGATE(4,7,A$11:A19)+1</f>
        <v>9</v>
      </c>
      <c r="B20" s="363" t="s">
        <v>1474</v>
      </c>
      <c r="C20" s="364" t="s">
        <v>1103</v>
      </c>
      <c r="D20" s="434" t="s">
        <v>1684</v>
      </c>
      <c r="E20" s="426" t="s">
        <v>1584</v>
      </c>
      <c r="F20" s="373">
        <v>3.33</v>
      </c>
      <c r="G20" s="367"/>
      <c r="H20" s="445">
        <f t="shared" si="0"/>
        <v>3.33</v>
      </c>
      <c r="I20" s="368"/>
      <c r="J20" s="369">
        <f t="shared" si="1"/>
        <v>3.33</v>
      </c>
      <c r="K20" s="362">
        <f t="shared" si="9"/>
        <v>5994000</v>
      </c>
      <c r="L20" s="366" t="str">
        <f>VLOOKUP(B20,'[8]Gui chi Quynh'!$B$11:$E$401,4,FALSE)</f>
        <v>A4</v>
      </c>
      <c r="M20" s="494">
        <f t="shared" si="2"/>
        <v>5994000</v>
      </c>
      <c r="N20" s="376">
        <v>19</v>
      </c>
      <c r="O20" s="440">
        <f>IFERROR(INDEX('[9]CN BC'!$J$10:$J$277,MATCH(B20,'[9]CN BC'!$H$10:$H$277,0)),"")</f>
        <v>19</v>
      </c>
      <c r="P20" s="494">
        <f t="shared" si="3"/>
        <v>5994000</v>
      </c>
      <c r="Q20" s="460"/>
      <c r="R20" s="362">
        <f t="shared" si="4"/>
        <v>0</v>
      </c>
      <c r="S20" s="370"/>
      <c r="T20" s="362">
        <f t="shared" si="5"/>
        <v>0</v>
      </c>
      <c r="U20" s="584">
        <f t="shared" si="6"/>
        <v>59940</v>
      </c>
      <c r="V20" s="371">
        <f t="shared" si="7"/>
        <v>5994000</v>
      </c>
      <c r="W20" s="362">
        <f>VLOOKUP(B20,CN!B21:P277,15,FALSE)</f>
        <v>5995080</v>
      </c>
      <c r="X20" s="653">
        <f t="shared" si="10"/>
        <v>-1080</v>
      </c>
      <c r="Y20" s="568">
        <f t="shared" si="8"/>
        <v>9</v>
      </c>
      <c r="Z20" s="493">
        <f>IFERROR(INDEX('[10]CN BC'!$M$10:$M$276,MATCH(B20,'[10]CN BC'!$H$10:$H$276,0)),"")</f>
        <v>0</v>
      </c>
      <c r="AA20" s="540" t="s">
        <v>818</v>
      </c>
      <c r="AD20" s="487"/>
    </row>
    <row r="21" spans="1:40" s="372" customFormat="1" ht="28.5" customHeight="1">
      <c r="A21" s="379">
        <f>_xlfn.AGGREGATE(4,7,A$11:A20)+1</f>
        <v>10</v>
      </c>
      <c r="B21" s="363" t="s">
        <v>1571</v>
      </c>
      <c r="C21" s="364"/>
      <c r="D21" s="434" t="s">
        <v>1685</v>
      </c>
      <c r="E21" s="435" t="s">
        <v>1572</v>
      </c>
      <c r="F21" s="369">
        <v>3</v>
      </c>
      <c r="G21" s="367"/>
      <c r="H21" s="445">
        <f t="shared" si="0"/>
        <v>3</v>
      </c>
      <c r="I21" s="368"/>
      <c r="J21" s="369">
        <f t="shared" si="1"/>
        <v>3</v>
      </c>
      <c r="K21" s="362">
        <f t="shared" si="9"/>
        <v>5400000</v>
      </c>
      <c r="L21" s="366" t="str">
        <f>VLOOKUP(B21,'[8]Gui chi Quynh'!$B$11:$E$401,4,FALSE)</f>
        <v>A4</v>
      </c>
      <c r="M21" s="494">
        <f t="shared" si="2"/>
        <v>5400000</v>
      </c>
      <c r="N21" s="376">
        <v>19</v>
      </c>
      <c r="O21" s="440">
        <f>IFERROR(INDEX('[9]CN BC'!$J$10:$J$277,MATCH(B21,'[9]CN BC'!$H$10:$H$277,0)),"")</f>
        <v>19</v>
      </c>
      <c r="P21" s="494">
        <f t="shared" si="3"/>
        <v>5400000</v>
      </c>
      <c r="Q21" s="392"/>
      <c r="R21" s="362">
        <f t="shared" si="4"/>
        <v>0</v>
      </c>
      <c r="S21" s="370"/>
      <c r="T21" s="362">
        <f t="shared" si="5"/>
        <v>0</v>
      </c>
      <c r="U21" s="584">
        <f t="shared" si="6"/>
        <v>54000</v>
      </c>
      <c r="V21" s="371">
        <f t="shared" si="7"/>
        <v>5400000</v>
      </c>
      <c r="W21" s="362">
        <f>VLOOKUP(B21,CN!B21:P278,15,FALSE)</f>
        <v>4675320</v>
      </c>
      <c r="X21" s="653">
        <f t="shared" si="10"/>
        <v>724680</v>
      </c>
      <c r="Y21" s="568">
        <f t="shared" si="8"/>
        <v>10</v>
      </c>
      <c r="Z21" s="493">
        <f>IFERROR(INDEX('[10]CN BC'!$M$10:$M$276,MATCH(B21,'[10]CN BC'!$H$10:$H$276,0)),"")</f>
        <v>0</v>
      </c>
      <c r="AA21" s="522" t="s">
        <v>819</v>
      </c>
      <c r="AB21" s="108"/>
      <c r="AC21" s="108"/>
      <c r="AD21" s="155"/>
      <c r="AE21" s="108"/>
      <c r="AF21" s="108"/>
      <c r="AG21" s="108"/>
      <c r="AH21" s="108"/>
      <c r="AI21" s="108"/>
      <c r="AJ21" s="108"/>
    </row>
    <row r="22" spans="1:40" s="372" customFormat="1" ht="28.5" customHeight="1">
      <c r="A22" s="379">
        <f>_xlfn.AGGREGATE(4,7,A$11:A21)+1</f>
        <v>11</v>
      </c>
      <c r="B22" s="363" t="s">
        <v>1475</v>
      </c>
      <c r="C22" s="364" t="s">
        <v>49</v>
      </c>
      <c r="D22" s="434" t="s">
        <v>1686</v>
      </c>
      <c r="E22" s="426" t="s">
        <v>1585</v>
      </c>
      <c r="F22" s="373">
        <v>3.66</v>
      </c>
      <c r="G22" s="367"/>
      <c r="H22" s="445">
        <f t="shared" si="0"/>
        <v>3.66</v>
      </c>
      <c r="I22" s="368"/>
      <c r="J22" s="369">
        <f t="shared" si="1"/>
        <v>3.66</v>
      </c>
      <c r="K22" s="362">
        <f t="shared" si="9"/>
        <v>6588000</v>
      </c>
      <c r="L22" s="366" t="str">
        <f>VLOOKUP(B22,'[8]Gui chi Quynh'!$B$11:$E$401,4,FALSE)</f>
        <v>A3</v>
      </c>
      <c r="M22" s="494">
        <f t="shared" si="2"/>
        <v>7905600</v>
      </c>
      <c r="N22" s="376">
        <v>19</v>
      </c>
      <c r="O22" s="440">
        <f>IFERROR(INDEX('[9]CN BC'!$J$10:$J$277,MATCH(B22,'[9]CN BC'!$H$10:$H$277,0)),"")</f>
        <v>19</v>
      </c>
      <c r="P22" s="494">
        <f t="shared" si="3"/>
        <v>7905600</v>
      </c>
      <c r="Q22" s="460"/>
      <c r="R22" s="362">
        <f t="shared" si="4"/>
        <v>0</v>
      </c>
      <c r="S22" s="370"/>
      <c r="T22" s="362">
        <f t="shared" si="5"/>
        <v>0</v>
      </c>
      <c r="U22" s="584">
        <f t="shared" si="6"/>
        <v>65880</v>
      </c>
      <c r="V22" s="371">
        <f t="shared" si="7"/>
        <v>7905600</v>
      </c>
      <c r="W22" s="362">
        <f>VLOOKUP(B22,CN!B22:P279,15,FALSE)</f>
        <v>6535620</v>
      </c>
      <c r="X22" s="653">
        <f t="shared" si="10"/>
        <v>1369980</v>
      </c>
      <c r="Y22" s="568">
        <f t="shared" si="8"/>
        <v>11</v>
      </c>
      <c r="Z22" s="493">
        <f>IFERROR(INDEX('[10]CN BC'!$M$10:$M$276,MATCH(B22,'[10]CN BC'!$H$10:$H$276,0)),"")</f>
        <v>0</v>
      </c>
      <c r="AA22" s="522" t="s">
        <v>820</v>
      </c>
      <c r="AB22" s="471"/>
      <c r="AC22" s="108"/>
      <c r="AD22" s="155"/>
    </row>
    <row r="23" spans="1:40" s="372" customFormat="1" ht="28.5" customHeight="1">
      <c r="A23" s="379">
        <f>_xlfn.AGGREGATE(4,7,A$11:A22)+1</f>
        <v>12</v>
      </c>
      <c r="B23" s="363" t="s">
        <v>1476</v>
      </c>
      <c r="C23" s="364" t="s">
        <v>1209</v>
      </c>
      <c r="D23" s="434" t="s">
        <v>1687</v>
      </c>
      <c r="E23" s="426" t="s">
        <v>1586</v>
      </c>
      <c r="F23" s="373">
        <v>3</v>
      </c>
      <c r="G23" s="367"/>
      <c r="H23" s="445">
        <f t="shared" si="0"/>
        <v>3</v>
      </c>
      <c r="I23" s="368"/>
      <c r="J23" s="369">
        <f t="shared" si="1"/>
        <v>3</v>
      </c>
      <c r="K23" s="362">
        <f t="shared" si="9"/>
        <v>5400000</v>
      </c>
      <c r="L23" s="366" t="str">
        <f>VLOOKUP(B23,'[8]Gui chi Quynh'!$B$11:$E$401,4,FALSE)</f>
        <v>A3</v>
      </c>
      <c r="M23" s="494">
        <f t="shared" si="2"/>
        <v>6480000</v>
      </c>
      <c r="N23" s="376">
        <v>19</v>
      </c>
      <c r="O23" s="440">
        <f>IFERROR(INDEX('[9]CN BC'!$J$10:$J$277,MATCH(B23,'[9]CN BC'!$H$10:$H$277,0)),"")</f>
        <v>19</v>
      </c>
      <c r="P23" s="494">
        <f t="shared" si="3"/>
        <v>6480000</v>
      </c>
      <c r="Q23" s="392"/>
      <c r="R23" s="362">
        <f t="shared" si="4"/>
        <v>0</v>
      </c>
      <c r="S23" s="370"/>
      <c r="T23" s="362">
        <f t="shared" si="5"/>
        <v>0</v>
      </c>
      <c r="U23" s="584">
        <f t="shared" si="6"/>
        <v>54000</v>
      </c>
      <c r="V23" s="371">
        <f t="shared" si="7"/>
        <v>6480000</v>
      </c>
      <c r="W23" s="362">
        <f>VLOOKUP(B23,CN!B23:P280,15,FALSE)</f>
        <v>3896100</v>
      </c>
      <c r="X23" s="653">
        <f t="shared" si="10"/>
        <v>2583900</v>
      </c>
      <c r="Y23" s="568">
        <f t="shared" si="8"/>
        <v>12</v>
      </c>
      <c r="Z23" s="493">
        <f>IFERROR(INDEX('[10]CN BC'!$M$10:$M$276,MATCH(B23,'[10]CN BC'!$H$10:$H$276,0)),"")</f>
        <v>0</v>
      </c>
      <c r="AA23" s="522" t="s">
        <v>1119</v>
      </c>
      <c r="AB23" s="108"/>
      <c r="AC23" s="108"/>
      <c r="AD23" s="155"/>
      <c r="AE23" s="108"/>
      <c r="AF23" s="108"/>
      <c r="AG23" s="108"/>
      <c r="AH23" s="108"/>
      <c r="AI23" s="108"/>
      <c r="AJ23" s="108"/>
    </row>
    <row r="24" spans="1:40" s="372" customFormat="1" ht="28.5" customHeight="1">
      <c r="A24" s="379">
        <f>_xlfn.AGGREGATE(4,7,A$11:A23)+1</f>
        <v>13</v>
      </c>
      <c r="B24" s="363" t="s">
        <v>1477</v>
      </c>
      <c r="C24" s="364" t="s">
        <v>920</v>
      </c>
      <c r="D24" s="434" t="s">
        <v>1688</v>
      </c>
      <c r="E24" s="426" t="s">
        <v>1587</v>
      </c>
      <c r="F24" s="373">
        <v>3.66</v>
      </c>
      <c r="G24" s="367"/>
      <c r="H24" s="445">
        <f t="shared" si="0"/>
        <v>3.66</v>
      </c>
      <c r="I24" s="368">
        <v>0.25</v>
      </c>
      <c r="J24" s="369">
        <f t="shared" si="1"/>
        <v>3.91</v>
      </c>
      <c r="K24" s="362">
        <f t="shared" si="9"/>
        <v>7038000</v>
      </c>
      <c r="L24" s="366" t="str">
        <f>VLOOKUP(B24,'[8]Gui chi Quynh'!$B$11:$E$401,4,FALSE)</f>
        <v>A1</v>
      </c>
      <c r="M24" s="494">
        <f t="shared" si="2"/>
        <v>11260800</v>
      </c>
      <c r="N24" s="376">
        <v>19</v>
      </c>
      <c r="O24" s="440">
        <f>IFERROR(INDEX('[9]CN BC'!$J$10:$J$277,MATCH(B24,'[9]CN BC'!$H$10:$H$277,0)),"")</f>
        <v>19</v>
      </c>
      <c r="P24" s="494">
        <f t="shared" si="3"/>
        <v>11260800</v>
      </c>
      <c r="Q24" s="460"/>
      <c r="R24" s="362">
        <f t="shared" si="4"/>
        <v>0</v>
      </c>
      <c r="S24" s="370"/>
      <c r="T24" s="362">
        <f t="shared" si="5"/>
        <v>0</v>
      </c>
      <c r="U24" s="584">
        <f t="shared" si="6"/>
        <v>70380</v>
      </c>
      <c r="V24" s="371">
        <f t="shared" si="7"/>
        <v>11260800</v>
      </c>
      <c r="W24" s="362">
        <f>VLOOKUP(B24,CN!B20:P281,15,FALSE)</f>
        <v>7319520</v>
      </c>
      <c r="X24" s="653">
        <f t="shared" si="10"/>
        <v>3941280</v>
      </c>
      <c r="Y24" s="568">
        <f t="shared" si="8"/>
        <v>13</v>
      </c>
      <c r="Z24" s="493">
        <f>IFERROR(INDEX('[10]CN BC'!$M$10:$M$276,MATCH(B24,'[10]CN BC'!$H$10:$H$276,0)),"")</f>
        <v>0</v>
      </c>
      <c r="AA24" s="522" t="s">
        <v>1120</v>
      </c>
      <c r="AB24" s="108"/>
      <c r="AC24" s="108"/>
      <c r="AD24" s="155"/>
      <c r="AE24" s="108"/>
      <c r="AF24" s="108"/>
      <c r="AG24" s="108"/>
      <c r="AH24" s="108"/>
      <c r="AI24" s="108"/>
      <c r="AJ24" s="108"/>
    </row>
    <row r="25" spans="1:40" s="372" customFormat="1" ht="28.5" customHeight="1">
      <c r="A25" s="379">
        <f>_xlfn.AGGREGATE(4,7,A$11:A24)+1</f>
        <v>14</v>
      </c>
      <c r="B25" s="462" t="s">
        <v>1946</v>
      </c>
      <c r="C25" s="364"/>
      <c r="D25" s="379" t="s">
        <v>1950</v>
      </c>
      <c r="E25" s="479" t="s">
        <v>1951</v>
      </c>
      <c r="F25" s="369">
        <v>2.34</v>
      </c>
      <c r="G25" s="367"/>
      <c r="H25" s="445">
        <f t="shared" si="0"/>
        <v>2.34</v>
      </c>
      <c r="I25" s="368">
        <v>0.45</v>
      </c>
      <c r="J25" s="369">
        <f t="shared" si="1"/>
        <v>2.79</v>
      </c>
      <c r="K25" s="362">
        <f t="shared" si="9"/>
        <v>5022000</v>
      </c>
      <c r="L25" s="366" t="str">
        <f>VLOOKUP(B25,'[8]Gui chi Quynh'!$B$11:$E$401,4,FALSE)</f>
        <v>A1</v>
      </c>
      <c r="M25" s="494">
        <f t="shared" si="2"/>
        <v>8035200</v>
      </c>
      <c r="N25" s="376">
        <v>19</v>
      </c>
      <c r="O25" s="440">
        <f>IFERROR(INDEX('[9]CN BC'!$J$10:$J$277,MATCH(B25,'[9]CN BC'!$H$10:$H$277,0)),"")</f>
        <v>19</v>
      </c>
      <c r="P25" s="494">
        <f t="shared" si="3"/>
        <v>8035200</v>
      </c>
      <c r="Q25" s="460"/>
      <c r="R25" s="362">
        <f t="shared" si="4"/>
        <v>0</v>
      </c>
      <c r="S25" s="370"/>
      <c r="T25" s="362">
        <f t="shared" si="5"/>
        <v>0</v>
      </c>
      <c r="U25" s="584">
        <f t="shared" si="6"/>
        <v>50220</v>
      </c>
      <c r="V25" s="371">
        <f t="shared" si="7"/>
        <v>8035200</v>
      </c>
      <c r="W25" s="362">
        <f>VLOOKUP(B25,CN!B19:P283,15,FALSE)</f>
        <v>5840640</v>
      </c>
      <c r="X25" s="653">
        <f t="shared" si="10"/>
        <v>2194560</v>
      </c>
      <c r="Y25" s="568">
        <f t="shared" si="8"/>
        <v>14</v>
      </c>
      <c r="Z25" s="493">
        <f>IFERROR(INDEX('[10]CN BC'!$M$10:$M$276,MATCH(B25,'[10]CN BC'!$H$10:$H$276,0)),"")</f>
        <v>0</v>
      </c>
      <c r="AA25" s="522" t="s">
        <v>1122</v>
      </c>
      <c r="AB25" s="108"/>
      <c r="AC25" s="108"/>
      <c r="AD25" s="155"/>
      <c r="AE25" s="108"/>
      <c r="AF25" s="108"/>
      <c r="AG25" s="108"/>
      <c r="AH25" s="108"/>
      <c r="AI25" s="108"/>
      <c r="AJ25" s="108"/>
    </row>
    <row r="26" spans="1:40" s="372" customFormat="1" ht="28.5" customHeight="1">
      <c r="A26" s="379">
        <f>_xlfn.AGGREGATE(4,7,A$11:A25)+1</f>
        <v>15</v>
      </c>
      <c r="B26" s="462" t="s">
        <v>1997</v>
      </c>
      <c r="C26" s="364"/>
      <c r="D26" s="379"/>
      <c r="E26" s="479"/>
      <c r="F26" s="369">
        <v>2.34</v>
      </c>
      <c r="G26" s="367"/>
      <c r="H26" s="445">
        <f t="shared" si="0"/>
        <v>2.34</v>
      </c>
      <c r="I26" s="368"/>
      <c r="J26" s="369">
        <f t="shared" si="1"/>
        <v>2.34</v>
      </c>
      <c r="K26" s="362">
        <f t="shared" si="9"/>
        <v>4212000</v>
      </c>
      <c r="L26" s="366" t="str">
        <f>VLOOKUP(B26,'[8]Gui chi Quynh'!$B$11:$E$401,4,FALSE)</f>
        <v>A3</v>
      </c>
      <c r="M26" s="494">
        <f t="shared" si="2"/>
        <v>5054400</v>
      </c>
      <c r="N26" s="376">
        <v>19</v>
      </c>
      <c r="O26" s="440">
        <f>IFERROR(INDEX('[9]CN BC'!$J$10:$J$277,MATCH(B26,'[9]CN BC'!$H$10:$H$277,0)),"")</f>
        <v>19</v>
      </c>
      <c r="P26" s="494">
        <f t="shared" si="3"/>
        <v>5054400</v>
      </c>
      <c r="Q26" s="460"/>
      <c r="R26" s="362">
        <f>Q26*$G$8*1.4</f>
        <v>0</v>
      </c>
      <c r="S26" s="370"/>
      <c r="T26" s="362">
        <f t="shared" si="5"/>
        <v>0</v>
      </c>
      <c r="U26" s="584">
        <f t="shared" si="6"/>
        <v>42120</v>
      </c>
      <c r="V26" s="371">
        <f t="shared" si="7"/>
        <v>5054400</v>
      </c>
      <c r="W26" s="362">
        <f>VLOOKUP(B26,CN!B24:P285,15,FALSE)</f>
        <v>4380480</v>
      </c>
      <c r="X26" s="653">
        <f t="shared" si="10"/>
        <v>673920</v>
      </c>
      <c r="Y26" s="568">
        <f t="shared" si="8"/>
        <v>15</v>
      </c>
      <c r="Z26" s="493">
        <f>IFERROR(INDEX('[10]CN BC'!$M$10:$M$276,MATCH(B26,'[10]CN BC'!$H$10:$H$276,0)),"")</f>
        <v>0</v>
      </c>
      <c r="AA26" s="522" t="s">
        <v>1124</v>
      </c>
      <c r="AB26" s="108"/>
      <c r="AC26" s="108"/>
      <c r="AD26" s="487"/>
    </row>
    <row r="27" spans="1:40" s="372" customFormat="1" ht="28.5" customHeight="1">
      <c r="A27" s="379">
        <f>_xlfn.AGGREGATE(4,7,A$11:A26)+1</f>
        <v>16</v>
      </c>
      <c r="B27" s="462" t="s">
        <v>1998</v>
      </c>
      <c r="C27" s="364"/>
      <c r="D27" s="379"/>
      <c r="E27" s="479"/>
      <c r="F27" s="373">
        <v>3.33</v>
      </c>
      <c r="G27" s="367"/>
      <c r="H27" s="445">
        <f t="shared" si="0"/>
        <v>3.33</v>
      </c>
      <c r="I27" s="368"/>
      <c r="J27" s="369">
        <f t="shared" si="1"/>
        <v>3.33</v>
      </c>
      <c r="K27" s="362">
        <f t="shared" si="9"/>
        <v>5994000</v>
      </c>
      <c r="L27" s="366" t="str">
        <f>VLOOKUP(B27,'[8]Gui chi Quynh'!$B$11:$E$401,4,FALSE)</f>
        <v>A2</v>
      </c>
      <c r="M27" s="494">
        <f t="shared" si="2"/>
        <v>8391600</v>
      </c>
      <c r="N27" s="376">
        <v>19</v>
      </c>
      <c r="O27" s="440">
        <f>IFERROR(INDEX('[9]CN BC'!$J$10:$J$277,MATCH(B27,'[9]CN BC'!$H$10:$H$277,0)),"")</f>
        <v>19</v>
      </c>
      <c r="P27" s="494">
        <f t="shared" si="3"/>
        <v>8391600</v>
      </c>
      <c r="Q27" s="460"/>
      <c r="R27" s="362">
        <f t="shared" si="4"/>
        <v>0</v>
      </c>
      <c r="S27" s="370"/>
      <c r="T27" s="362">
        <f t="shared" si="5"/>
        <v>0</v>
      </c>
      <c r="U27" s="584">
        <f t="shared" si="6"/>
        <v>59940</v>
      </c>
      <c r="V27" s="371">
        <f t="shared" si="7"/>
        <v>8391600</v>
      </c>
      <c r="W27" s="362">
        <f>VLOOKUP(B27,CN!B25:P286,15,FALSE)</f>
        <v>5138640</v>
      </c>
      <c r="X27" s="653">
        <f t="shared" si="10"/>
        <v>3252960</v>
      </c>
      <c r="Y27" s="568">
        <f t="shared" si="8"/>
        <v>16</v>
      </c>
      <c r="Z27" s="493">
        <f>IFERROR(INDEX('[10]CN BC'!$M$10:$M$276,MATCH(B27,'[10]CN BC'!$H$10:$H$276,0)),"")</f>
        <v>0</v>
      </c>
      <c r="AA27" s="522" t="s">
        <v>1125</v>
      </c>
      <c r="AB27" s="108"/>
      <c r="AC27" s="108"/>
      <c r="AD27" s="487"/>
    </row>
    <row r="28" spans="1:40" s="372" customFormat="1" ht="28.5" customHeight="1">
      <c r="A28" s="379">
        <f>_xlfn.AGGREGATE(4,7,A$11:A27)+1</f>
        <v>17</v>
      </c>
      <c r="B28" s="462" t="s">
        <v>1999</v>
      </c>
      <c r="C28" s="364"/>
      <c r="D28" s="379"/>
      <c r="E28" s="479"/>
      <c r="F28" s="373">
        <v>3.66</v>
      </c>
      <c r="G28" s="367"/>
      <c r="H28" s="445">
        <f t="shared" si="0"/>
        <v>3.66</v>
      </c>
      <c r="I28" s="368"/>
      <c r="J28" s="369">
        <f t="shared" si="1"/>
        <v>3.66</v>
      </c>
      <c r="K28" s="362">
        <f t="shared" si="9"/>
        <v>6588000</v>
      </c>
      <c r="L28" s="366" t="str">
        <f>VLOOKUP(B28,'[8]Gui chi Quynh'!$B$11:$E$401,4,FALSE)</f>
        <v>A3</v>
      </c>
      <c r="M28" s="494">
        <f t="shared" si="2"/>
        <v>7905600</v>
      </c>
      <c r="N28" s="376">
        <v>19</v>
      </c>
      <c r="O28" s="440">
        <f>IFERROR(INDEX('[9]CN BC'!$J$10:$J$277,MATCH(B28,'[9]CN BC'!$H$10:$H$277,0)),"")</f>
        <v>19</v>
      </c>
      <c r="P28" s="494">
        <f t="shared" si="3"/>
        <v>7905600</v>
      </c>
      <c r="Q28" s="460"/>
      <c r="R28" s="362">
        <f t="shared" si="4"/>
        <v>0</v>
      </c>
      <c r="S28" s="370"/>
      <c r="T28" s="362">
        <f t="shared" si="5"/>
        <v>0</v>
      </c>
      <c r="U28" s="584">
        <f t="shared" si="6"/>
        <v>65880</v>
      </c>
      <c r="V28" s="371">
        <f t="shared" si="7"/>
        <v>7905600</v>
      </c>
      <c r="W28" s="362">
        <f>VLOOKUP(B28,CN!B27:P287,15,FALSE)</f>
        <v>4668300</v>
      </c>
      <c r="X28" s="653">
        <f t="shared" si="10"/>
        <v>3237300</v>
      </c>
      <c r="Y28" s="568">
        <f t="shared" si="8"/>
        <v>17</v>
      </c>
      <c r="Z28" s="493">
        <f>IFERROR(INDEX('[10]CN BC'!$M$10:$M$276,MATCH(B28,'[10]CN BC'!$H$10:$H$276,0)),"")</f>
        <v>0</v>
      </c>
      <c r="AA28" s="522" t="s">
        <v>1126</v>
      </c>
      <c r="AB28" s="108"/>
      <c r="AC28" s="108"/>
      <c r="AD28" s="487"/>
    </row>
    <row r="29" spans="1:40" s="372" customFormat="1" ht="28.5" customHeight="1">
      <c r="A29" s="379">
        <f>_xlfn.AGGREGATE(4,7,A$11:A28)+1</f>
        <v>18</v>
      </c>
      <c r="B29" s="462" t="s">
        <v>2001</v>
      </c>
      <c r="C29" s="364"/>
      <c r="D29" s="379"/>
      <c r="E29" s="479"/>
      <c r="F29" s="373">
        <v>3</v>
      </c>
      <c r="G29" s="367"/>
      <c r="H29" s="445">
        <f t="shared" si="0"/>
        <v>3</v>
      </c>
      <c r="I29" s="368"/>
      <c r="J29" s="369">
        <f t="shared" si="1"/>
        <v>3</v>
      </c>
      <c r="K29" s="362">
        <f t="shared" si="9"/>
        <v>5400000</v>
      </c>
      <c r="L29" s="366" t="str">
        <f>VLOOKUP(B29,'[8]Gui chi Quynh'!$B$11:$E$401,4,FALSE)</f>
        <v>A3</v>
      </c>
      <c r="M29" s="494">
        <f t="shared" si="2"/>
        <v>6480000</v>
      </c>
      <c r="N29" s="376">
        <v>19</v>
      </c>
      <c r="O29" s="440">
        <f>IFERROR(INDEX('[9]CN BC'!$J$10:$J$277,MATCH(B29,'[9]CN BC'!$H$10:$H$277,0)),"")</f>
        <v>19</v>
      </c>
      <c r="P29" s="494">
        <f t="shared" si="3"/>
        <v>6480000</v>
      </c>
      <c r="Q29" s="460"/>
      <c r="R29" s="362">
        <f t="shared" si="4"/>
        <v>0</v>
      </c>
      <c r="S29" s="370"/>
      <c r="T29" s="362">
        <f t="shared" si="5"/>
        <v>0</v>
      </c>
      <c r="U29" s="584">
        <f t="shared" si="6"/>
        <v>54000</v>
      </c>
      <c r="V29" s="371">
        <f t="shared" si="7"/>
        <v>6480000</v>
      </c>
      <c r="W29" s="362">
        <f>VLOOKUP(B29,CN!B29:P288,15,FALSE)</f>
        <v>4212000</v>
      </c>
      <c r="X29" s="653">
        <f t="shared" si="10"/>
        <v>2268000</v>
      </c>
      <c r="Y29" s="568">
        <f t="shared" si="8"/>
        <v>18</v>
      </c>
      <c r="Z29" s="493">
        <f>IFERROR(INDEX('[10]CN BC'!$M$10:$M$276,MATCH(B29,'[10]CN BC'!$H$10:$H$276,0)),"")</f>
        <v>0</v>
      </c>
      <c r="AA29" s="522" t="s">
        <v>1127</v>
      </c>
      <c r="AB29" s="108"/>
      <c r="AC29" s="108"/>
      <c r="AD29" s="487"/>
    </row>
    <row r="30" spans="1:40" s="372" customFormat="1" ht="37.5" customHeight="1">
      <c r="A30" s="379">
        <f>_xlfn.AGGREGATE(4,7,A$11:A29)+1</f>
        <v>19</v>
      </c>
      <c r="B30" s="462" t="s">
        <v>2021</v>
      </c>
      <c r="C30" s="364"/>
      <c r="D30" s="379"/>
      <c r="E30" s="479"/>
      <c r="F30" s="373">
        <v>3.66</v>
      </c>
      <c r="G30" s="367"/>
      <c r="H30" s="445">
        <f t="shared" si="0"/>
        <v>3.66</v>
      </c>
      <c r="I30" s="368"/>
      <c r="J30" s="369">
        <f t="shared" si="1"/>
        <v>3.66</v>
      </c>
      <c r="K30" s="362">
        <f t="shared" si="9"/>
        <v>6588000</v>
      </c>
      <c r="L30" s="366" t="str">
        <f>VLOOKUP(B30,'[8]Gui chi Quynh'!$B$11:$E$401,4,FALSE)</f>
        <v>A4</v>
      </c>
      <c r="M30" s="494">
        <f t="shared" si="2"/>
        <v>6588000</v>
      </c>
      <c r="N30" s="376">
        <v>19</v>
      </c>
      <c r="O30" s="440">
        <f>IFERROR(INDEX('[9]CN BC'!$J$10:$J$277,MATCH(B30,'[9]CN BC'!$H$10:$H$277,0)),"")</f>
        <v>19</v>
      </c>
      <c r="P30" s="494">
        <f t="shared" si="3"/>
        <v>6588000</v>
      </c>
      <c r="Q30" s="460"/>
      <c r="R30" s="362">
        <f t="shared" si="4"/>
        <v>0</v>
      </c>
      <c r="S30" s="370"/>
      <c r="T30" s="362">
        <f t="shared" si="5"/>
        <v>0</v>
      </c>
      <c r="U30" s="584">
        <f t="shared" si="6"/>
        <v>65880</v>
      </c>
      <c r="V30" s="371">
        <f t="shared" si="7"/>
        <v>6588000</v>
      </c>
      <c r="W30" s="362" t="e">
        <f>VLOOKUP(B30,CN!B30:P289,15,FALSE)</f>
        <v>#N/A</v>
      </c>
      <c r="X30" s="653" t="e">
        <f t="shared" si="10"/>
        <v>#N/A</v>
      </c>
      <c r="Y30" s="568">
        <f t="shared" si="8"/>
        <v>19</v>
      </c>
      <c r="Z30" s="493">
        <f>IFERROR(INDEX('[10]CN BC'!$M$10:$M$276,MATCH(B30,'[10]CN BC'!$H$10:$H$276,0)),"")</f>
        <v>0</v>
      </c>
      <c r="AA30" s="540"/>
      <c r="AD30" s="487"/>
    </row>
    <row r="31" spans="1:40" s="372" customFormat="1" ht="25.5" customHeight="1">
      <c r="A31" s="379">
        <f>_xlfn.AGGREGATE(4,7,A$11:A30)+1</f>
        <v>20</v>
      </c>
      <c r="B31" s="363" t="s">
        <v>1478</v>
      </c>
      <c r="C31" s="364" t="s">
        <v>272</v>
      </c>
      <c r="D31" s="434" t="s">
        <v>1689</v>
      </c>
      <c r="E31" s="423" t="s">
        <v>371</v>
      </c>
      <c r="F31" s="373">
        <v>3.66</v>
      </c>
      <c r="G31" s="367"/>
      <c r="H31" s="368">
        <f t="shared" si="0"/>
        <v>3.66</v>
      </c>
      <c r="I31" s="368"/>
      <c r="J31" s="369">
        <f t="shared" si="1"/>
        <v>3.66</v>
      </c>
      <c r="K31" s="362">
        <f>J31*$G$8</f>
        <v>6588000</v>
      </c>
      <c r="L31" s="366" t="str">
        <f>VLOOKUP(B31,'[8]Gui chi Quynh'!$B$11:$E$401,4,FALSE)</f>
        <v>A4</v>
      </c>
      <c r="M31" s="494">
        <f t="shared" si="2"/>
        <v>6588000</v>
      </c>
      <c r="N31" s="376">
        <v>19</v>
      </c>
      <c r="O31" s="440">
        <f>IFERROR(INDEX('[9]CN BC'!$J$10:$J$277,MATCH(B31,'[9]CN BC'!$H$10:$H$277,0)),"")</f>
        <v>19</v>
      </c>
      <c r="P31" s="494">
        <f t="shared" si="3"/>
        <v>6588000</v>
      </c>
      <c r="Q31" s="460"/>
      <c r="R31" s="362">
        <f t="shared" si="4"/>
        <v>0</v>
      </c>
      <c r="S31" s="370"/>
      <c r="T31" s="362">
        <f t="shared" si="5"/>
        <v>0</v>
      </c>
      <c r="U31" s="584">
        <f t="shared" si="6"/>
        <v>65880</v>
      </c>
      <c r="V31" s="371">
        <f t="shared" si="7"/>
        <v>6588000</v>
      </c>
      <c r="W31" s="362">
        <f>VLOOKUP(B31,CN!B31:P290,15,FALSE)</f>
        <v>5601960</v>
      </c>
      <c r="X31" s="653">
        <f t="shared" si="10"/>
        <v>986040</v>
      </c>
      <c r="Y31" s="568">
        <f t="shared" si="8"/>
        <v>20</v>
      </c>
      <c r="Z31" s="493">
        <f>IFERROR(INDEX('[10]CN BC'!$M$10:$M$276,MATCH(B31,'[10]CN BC'!$H$10:$H$276,0)),"")</f>
        <v>0</v>
      </c>
      <c r="AA31" s="141"/>
      <c r="AB31" s="108"/>
      <c r="AC31" s="108"/>
      <c r="AD31" s="155"/>
      <c r="AE31" s="108"/>
      <c r="AF31" s="108"/>
      <c r="AG31" s="108"/>
      <c r="AH31" s="108"/>
      <c r="AI31" s="108"/>
      <c r="AJ31" s="108"/>
    </row>
    <row r="32" spans="1:40" s="372" customFormat="1" ht="29.25" customHeight="1">
      <c r="A32" s="379">
        <f>_xlfn.AGGREGATE(4,7,A$11:A31)+1</f>
        <v>21</v>
      </c>
      <c r="B32" s="33" t="s">
        <v>1479</v>
      </c>
      <c r="C32" s="34" t="s">
        <v>912</v>
      </c>
      <c r="D32" s="406" t="s">
        <v>1690</v>
      </c>
      <c r="E32" s="424" t="s">
        <v>372</v>
      </c>
      <c r="F32" s="83">
        <v>3.66</v>
      </c>
      <c r="G32" s="157"/>
      <c r="H32" s="368">
        <f t="shared" si="0"/>
        <v>3.66</v>
      </c>
      <c r="I32" s="81"/>
      <c r="J32" s="369">
        <f t="shared" si="1"/>
        <v>3.66</v>
      </c>
      <c r="K32" s="362">
        <f>J32*$G$8</f>
        <v>6588000</v>
      </c>
      <c r="L32" s="366" t="str">
        <f>VLOOKUP(B32,'[8]Gui chi Quynh'!$B$11:$E$401,4,FALSE)</f>
        <v>A4</v>
      </c>
      <c r="M32" s="494">
        <f t="shared" si="2"/>
        <v>6588000</v>
      </c>
      <c r="N32" s="376">
        <v>19</v>
      </c>
      <c r="O32" s="440">
        <f>IFERROR(INDEX('[9]CN BC'!$J$10:$J$277,MATCH(B32,'[9]CN BC'!$H$10:$H$277,0)),"")</f>
        <v>19</v>
      </c>
      <c r="P32" s="494">
        <f t="shared" si="3"/>
        <v>6588000</v>
      </c>
      <c r="Q32" s="392"/>
      <c r="R32" s="362">
        <f t="shared" si="4"/>
        <v>0</v>
      </c>
      <c r="S32" s="74"/>
      <c r="T32" s="362">
        <f t="shared" si="5"/>
        <v>0</v>
      </c>
      <c r="U32" s="584">
        <f t="shared" si="6"/>
        <v>65880</v>
      </c>
      <c r="V32" s="371">
        <f t="shared" si="7"/>
        <v>6588000</v>
      </c>
      <c r="W32" s="362">
        <f>VLOOKUP(B32,CN!B32:P291,15,FALSE)</f>
        <v>4668300</v>
      </c>
      <c r="X32" s="653">
        <f t="shared" si="10"/>
        <v>1919700</v>
      </c>
      <c r="Y32" s="568">
        <f t="shared" si="8"/>
        <v>21</v>
      </c>
      <c r="Z32" s="493">
        <f>IFERROR(INDEX('[10]CN BC'!$M$10:$M$276,MATCH(B32,'[10]CN BC'!$H$10:$H$276,0)),"")</f>
        <v>0</v>
      </c>
      <c r="AA32" s="141"/>
      <c r="AB32" s="108"/>
      <c r="AC32" s="108"/>
      <c r="AD32" s="155"/>
      <c r="AE32" s="108"/>
      <c r="AF32" s="108"/>
      <c r="AG32" s="108"/>
      <c r="AH32" s="108"/>
      <c r="AI32" s="108"/>
      <c r="AJ32" s="108"/>
      <c r="AK32" s="108"/>
      <c r="AL32" s="108"/>
      <c r="AM32" s="108"/>
      <c r="AN32" s="108"/>
    </row>
    <row r="33" spans="1:40" s="372" customFormat="1" ht="30" customHeight="1">
      <c r="A33" s="379">
        <f>_xlfn.AGGREGATE(4,7,A$11:A32)+1</f>
        <v>22</v>
      </c>
      <c r="B33" s="363" t="s">
        <v>1480</v>
      </c>
      <c r="C33" s="364" t="s">
        <v>733</v>
      </c>
      <c r="D33" s="406" t="s">
        <v>1691</v>
      </c>
      <c r="E33" s="426" t="s">
        <v>735</v>
      </c>
      <c r="F33" s="373">
        <v>3.33</v>
      </c>
      <c r="G33" s="367"/>
      <c r="H33" s="445">
        <f t="shared" si="0"/>
        <v>3.33</v>
      </c>
      <c r="I33" s="368">
        <v>0.45</v>
      </c>
      <c r="J33" s="369">
        <f t="shared" si="1"/>
        <v>3.7800000000000002</v>
      </c>
      <c r="K33" s="362">
        <f>J33*$G$8</f>
        <v>6804000</v>
      </c>
      <c r="L33" s="366" t="str">
        <f>VLOOKUP(B33,'[8]Gui chi Quynh'!$B$11:$E$401,4,FALSE)</f>
        <v>A3</v>
      </c>
      <c r="M33" s="494">
        <f t="shared" si="2"/>
        <v>8164800</v>
      </c>
      <c r="N33" s="376">
        <v>19</v>
      </c>
      <c r="O33" s="440">
        <f>IFERROR(INDEX('[9]CN BC'!$J$10:$J$277,MATCH(B33,'[9]CN BC'!$H$10:$H$277,0)),"")</f>
        <v>19</v>
      </c>
      <c r="P33" s="494">
        <f t="shared" si="3"/>
        <v>8164800</v>
      </c>
      <c r="Q33" s="392"/>
      <c r="R33" s="362">
        <f t="shared" si="4"/>
        <v>0</v>
      </c>
      <c r="S33" s="370"/>
      <c r="T33" s="362">
        <f t="shared" si="5"/>
        <v>0</v>
      </c>
      <c r="U33" s="584">
        <f t="shared" si="6"/>
        <v>68040</v>
      </c>
      <c r="V33" s="371">
        <f t="shared" si="7"/>
        <v>8164800</v>
      </c>
      <c r="W33" s="362">
        <f>VLOOKUP(B33,CN!B76:P292,15,FALSE)</f>
        <v>6732180</v>
      </c>
      <c r="X33" s="653">
        <f>V33-W33</f>
        <v>1432620</v>
      </c>
      <c r="Y33" s="568">
        <f t="shared" si="8"/>
        <v>22</v>
      </c>
      <c r="Z33" s="493">
        <f>IFERROR(INDEX('[10]CN BC'!$M$10:$M$276,MATCH(B33,'[10]CN BC'!$H$10:$H$276,0)),"")</f>
        <v>0</v>
      </c>
      <c r="AA33" s="141"/>
      <c r="AB33" s="108"/>
      <c r="AC33" s="108"/>
      <c r="AD33" s="155"/>
      <c r="AE33" s="108"/>
      <c r="AF33" s="108"/>
      <c r="AG33" s="108"/>
      <c r="AH33" s="108"/>
      <c r="AI33" s="108"/>
      <c r="AJ33" s="108"/>
      <c r="AK33" s="108"/>
      <c r="AL33" s="108"/>
      <c r="AM33" s="108"/>
      <c r="AN33" s="108"/>
    </row>
    <row r="34" spans="1:40" s="372" customFormat="1" ht="30" customHeight="1">
      <c r="A34" s="379">
        <f>_xlfn.AGGREGATE(4,7,A$11:A33)+1</f>
        <v>23</v>
      </c>
      <c r="B34" s="363" t="s">
        <v>1481</v>
      </c>
      <c r="C34" s="364" t="s">
        <v>736</v>
      </c>
      <c r="D34" s="434" t="s">
        <v>1692</v>
      </c>
      <c r="E34" s="426">
        <v>1603205353742</v>
      </c>
      <c r="F34" s="373">
        <v>3.33</v>
      </c>
      <c r="G34" s="367"/>
      <c r="H34" s="445">
        <f>F34+(F34*G34)</f>
        <v>3.33</v>
      </c>
      <c r="I34" s="368"/>
      <c r="J34" s="369">
        <f>H34+I34</f>
        <v>3.33</v>
      </c>
      <c r="K34" s="362">
        <f>J34*$G$8</f>
        <v>5994000</v>
      </c>
      <c r="L34" s="366" t="str">
        <f>VLOOKUP(B34,'[8]Gui chi Quynh'!$B$11:$E$401,4,FALSE)</f>
        <v>A4</v>
      </c>
      <c r="M34" s="494">
        <f t="shared" si="2"/>
        <v>5994000</v>
      </c>
      <c r="N34" s="376">
        <v>19</v>
      </c>
      <c r="O34" s="440">
        <f>IFERROR(INDEX('[9]CN BC'!$J$10:$J$277,MATCH(B34,'[9]CN BC'!$H$10:$H$277,0)),"")</f>
        <v>19</v>
      </c>
      <c r="P34" s="494">
        <f t="shared" si="3"/>
        <v>5994000</v>
      </c>
      <c r="Q34" s="460"/>
      <c r="R34" s="362">
        <f t="shared" si="4"/>
        <v>0</v>
      </c>
      <c r="S34" s="370"/>
      <c r="T34" s="362">
        <f t="shared" si="5"/>
        <v>0</v>
      </c>
      <c r="U34" s="584">
        <f t="shared" si="6"/>
        <v>59940</v>
      </c>
      <c r="V34" s="371">
        <f t="shared" si="7"/>
        <v>5994000</v>
      </c>
      <c r="W34" s="362">
        <f>VLOOKUP(B34,CN!B77:P293,15,FALSE)</f>
        <v>4282200</v>
      </c>
      <c r="X34" s="653">
        <f t="shared" si="10"/>
        <v>1711800</v>
      </c>
      <c r="Y34" s="568">
        <f t="shared" si="8"/>
        <v>23</v>
      </c>
      <c r="Z34" s="493">
        <f>IFERROR(INDEX('[10]CN BC'!$M$10:$M$276,MATCH(B34,'[10]CN BC'!$H$10:$H$276,0)),"")</f>
        <v>0</v>
      </c>
      <c r="AA34" s="141"/>
      <c r="AB34" s="108"/>
      <c r="AC34" s="108"/>
      <c r="AD34" s="155"/>
      <c r="AE34" s="108"/>
      <c r="AF34" s="108"/>
      <c r="AG34" s="108"/>
      <c r="AH34" s="108"/>
      <c r="AI34" s="108"/>
      <c r="AJ34" s="108"/>
    </row>
    <row r="35" spans="1:40" s="372" customFormat="1" ht="30" customHeight="1">
      <c r="A35" s="379">
        <f>_xlfn.AGGREGATE(4,7,A$11:A34)+1</f>
        <v>24</v>
      </c>
      <c r="B35" s="363" t="s">
        <v>1865</v>
      </c>
      <c r="C35" s="364" t="s">
        <v>737</v>
      </c>
      <c r="D35" s="406" t="s">
        <v>1693</v>
      </c>
      <c r="E35" s="426">
        <v>1603205357136</v>
      </c>
      <c r="F35" s="373">
        <v>3.33</v>
      </c>
      <c r="G35" s="367"/>
      <c r="H35" s="445">
        <f t="shared" ref="H35:H96" si="11">F35+(F35*G35)</f>
        <v>3.33</v>
      </c>
      <c r="I35" s="368"/>
      <c r="J35" s="369">
        <f t="shared" ref="J35:J96" si="12">H35+I35</f>
        <v>3.33</v>
      </c>
      <c r="K35" s="362">
        <f t="shared" ref="K35:K96" si="13">J35*$G$8</f>
        <v>5994000</v>
      </c>
      <c r="L35" s="366" t="str">
        <f>VLOOKUP(B35,'[8]Gui chi Quynh'!$B$11:$E$401,4,FALSE)</f>
        <v>A3</v>
      </c>
      <c r="M35" s="494">
        <f t="shared" si="2"/>
        <v>7192800</v>
      </c>
      <c r="N35" s="376">
        <v>19</v>
      </c>
      <c r="O35" s="440">
        <f>IFERROR(INDEX('[9]CN BC'!$J$10:$J$277,MATCH(B35,'[9]CN BC'!$H$10:$H$277,0)),"")</f>
        <v>19</v>
      </c>
      <c r="P35" s="494">
        <f t="shared" si="3"/>
        <v>7192800</v>
      </c>
      <c r="Q35" s="392"/>
      <c r="R35" s="362">
        <f t="shared" si="4"/>
        <v>0</v>
      </c>
      <c r="S35" s="370"/>
      <c r="T35" s="362">
        <f t="shared" si="5"/>
        <v>0</v>
      </c>
      <c r="U35" s="584">
        <f t="shared" si="6"/>
        <v>59940</v>
      </c>
      <c r="V35" s="371">
        <f t="shared" si="7"/>
        <v>7192800</v>
      </c>
      <c r="W35" s="362">
        <f>VLOOKUP(B35,CN!B34:P294,15,FALSE)</f>
        <v>4282200</v>
      </c>
      <c r="X35" s="653">
        <f t="shared" si="10"/>
        <v>2910600</v>
      </c>
      <c r="Y35" s="568">
        <f t="shared" si="8"/>
        <v>24</v>
      </c>
      <c r="Z35" s="493">
        <f>IFERROR(INDEX('[10]CN BC'!$M$10:$M$276,MATCH(B35,'[10]CN BC'!$H$10:$H$276,0)),"")</f>
        <v>0</v>
      </c>
      <c r="AA35" s="141"/>
      <c r="AB35" s="108"/>
      <c r="AC35" s="108"/>
      <c r="AD35" s="155"/>
      <c r="AE35" s="108"/>
      <c r="AF35" s="108"/>
      <c r="AG35" s="108"/>
      <c r="AH35" s="108"/>
      <c r="AI35" s="108"/>
      <c r="AJ35" s="108"/>
      <c r="AK35" s="108"/>
      <c r="AL35" s="108"/>
      <c r="AM35" s="108"/>
      <c r="AN35" s="108"/>
    </row>
    <row r="36" spans="1:40" s="372" customFormat="1" ht="30" customHeight="1">
      <c r="A36" s="379">
        <f>_xlfn.AGGREGATE(4,7,A$11:A35)+1</f>
        <v>25</v>
      </c>
      <c r="B36" s="363" t="s">
        <v>1482</v>
      </c>
      <c r="C36" s="364" t="s">
        <v>1421</v>
      </c>
      <c r="D36" s="406" t="s">
        <v>1694</v>
      </c>
      <c r="E36" s="422" t="s">
        <v>1422</v>
      </c>
      <c r="F36" s="373">
        <v>3.33</v>
      </c>
      <c r="G36" s="367"/>
      <c r="H36" s="445">
        <f t="shared" si="11"/>
        <v>3.33</v>
      </c>
      <c r="I36" s="368"/>
      <c r="J36" s="369">
        <f t="shared" si="12"/>
        <v>3.33</v>
      </c>
      <c r="K36" s="362">
        <f t="shared" si="13"/>
        <v>5994000</v>
      </c>
      <c r="L36" s="366" t="str">
        <f>VLOOKUP(B36,'[8]Gui chi Quynh'!$B$11:$E$401,4,FALSE)</f>
        <v>A3</v>
      </c>
      <c r="M36" s="494">
        <f t="shared" si="2"/>
        <v>7192800</v>
      </c>
      <c r="N36" s="376">
        <v>19</v>
      </c>
      <c r="O36" s="440">
        <f>IFERROR(INDEX('[9]CN BC'!$J$10:$J$277,MATCH(B36,'[9]CN BC'!$H$10:$H$277,0)),"")</f>
        <v>19</v>
      </c>
      <c r="P36" s="494">
        <f t="shared" si="3"/>
        <v>7192800</v>
      </c>
      <c r="Q36" s="392"/>
      <c r="R36" s="362">
        <f t="shared" si="4"/>
        <v>0</v>
      </c>
      <c r="S36" s="385"/>
      <c r="T36" s="362">
        <f t="shared" si="5"/>
        <v>0</v>
      </c>
      <c r="U36" s="584">
        <f t="shared" si="6"/>
        <v>59940</v>
      </c>
      <c r="V36" s="371">
        <f t="shared" si="7"/>
        <v>7192800</v>
      </c>
      <c r="W36" s="362">
        <f>VLOOKUP(B36,CN!B78:P295,15,FALSE)</f>
        <v>3896100</v>
      </c>
      <c r="X36" s="653">
        <f t="shared" si="10"/>
        <v>3296700</v>
      </c>
      <c r="Y36" s="568">
        <f t="shared" si="8"/>
        <v>25</v>
      </c>
      <c r="Z36" s="493">
        <f>IFERROR(INDEX('[10]CN BC'!$M$10:$M$276,MATCH(B36,'[10]CN BC'!$H$10:$H$276,0)),"")</f>
        <v>0</v>
      </c>
      <c r="AA36" s="141"/>
      <c r="AB36" s="108"/>
      <c r="AC36" s="108"/>
      <c r="AD36" s="155"/>
      <c r="AE36" s="108"/>
      <c r="AF36" s="108"/>
      <c r="AG36" s="108"/>
      <c r="AH36" s="108"/>
      <c r="AI36" s="108"/>
      <c r="AJ36" s="108"/>
      <c r="AK36" s="108"/>
      <c r="AL36" s="108"/>
      <c r="AM36" s="108"/>
      <c r="AN36" s="108"/>
    </row>
    <row r="37" spans="1:40" s="372" customFormat="1" ht="30" customHeight="1">
      <c r="A37" s="379">
        <f>_xlfn.AGGREGATE(4,7,A$11:A36)+1</f>
        <v>26</v>
      </c>
      <c r="B37" s="363" t="s">
        <v>1483</v>
      </c>
      <c r="C37" s="364" t="s">
        <v>49</v>
      </c>
      <c r="D37" s="406" t="s">
        <v>1695</v>
      </c>
      <c r="E37" s="422" t="s">
        <v>1432</v>
      </c>
      <c r="F37" s="366">
        <v>4.9800000000000004</v>
      </c>
      <c r="G37" s="367">
        <v>0.05</v>
      </c>
      <c r="H37" s="368">
        <f t="shared" si="11"/>
        <v>5.2290000000000001</v>
      </c>
      <c r="I37" s="395">
        <v>0.25</v>
      </c>
      <c r="J37" s="369">
        <f t="shared" si="12"/>
        <v>5.4790000000000001</v>
      </c>
      <c r="K37" s="362">
        <f t="shared" si="13"/>
        <v>9862200</v>
      </c>
      <c r="L37" s="366" t="str">
        <f>VLOOKUP(B37,'[8]Gui chi Quynh'!$B$11:$E$401,4,FALSE)</f>
        <v>A2</v>
      </c>
      <c r="M37" s="494">
        <f t="shared" si="2"/>
        <v>13807080</v>
      </c>
      <c r="N37" s="376">
        <v>19</v>
      </c>
      <c r="O37" s="440">
        <f>IFERROR(INDEX('[9]CN BC'!$J$10:$J$277,MATCH(B37,'[9]CN BC'!$H$10:$H$277,0)),"")</f>
        <v>19</v>
      </c>
      <c r="P37" s="494">
        <f t="shared" si="3"/>
        <v>13807080</v>
      </c>
      <c r="Q37" s="392"/>
      <c r="R37" s="362">
        <f t="shared" si="4"/>
        <v>0</v>
      </c>
      <c r="S37" s="385"/>
      <c r="T37" s="362">
        <f t="shared" si="5"/>
        <v>0</v>
      </c>
      <c r="U37" s="584">
        <f t="shared" si="6"/>
        <v>98622</v>
      </c>
      <c r="V37" s="371">
        <f t="shared" si="7"/>
        <v>13807080</v>
      </c>
      <c r="W37" s="362">
        <f>VLOOKUP(B37,CN!B28:P296,15,FALSE)</f>
        <v>10350288.000000002</v>
      </c>
      <c r="X37" s="653">
        <f t="shared" si="10"/>
        <v>3456791.9999999981</v>
      </c>
      <c r="Y37" s="568">
        <f t="shared" si="8"/>
        <v>26</v>
      </c>
      <c r="Z37" s="493">
        <f>IFERROR(INDEX('[10]CN BC'!$M$10:$M$276,MATCH(B37,'[10]CN BC'!$H$10:$H$276,0)),"")</f>
        <v>0</v>
      </c>
      <c r="AA37" s="141"/>
      <c r="AB37" s="108"/>
      <c r="AC37" s="108"/>
      <c r="AD37" s="155"/>
      <c r="AE37" s="108"/>
      <c r="AF37" s="108"/>
      <c r="AG37" s="108"/>
      <c r="AH37" s="108"/>
      <c r="AI37" s="108"/>
      <c r="AJ37" s="108"/>
      <c r="AK37" s="108"/>
      <c r="AL37" s="108"/>
      <c r="AM37" s="108"/>
      <c r="AN37" s="108"/>
    </row>
    <row r="38" spans="1:40" s="372" customFormat="1" ht="30" customHeight="1">
      <c r="A38" s="379">
        <f>_xlfn.AGGREGATE(4,7,A$11:A37)+1</f>
        <v>27</v>
      </c>
      <c r="B38" s="33" t="s">
        <v>1568</v>
      </c>
      <c r="C38" s="34"/>
      <c r="D38" s="406" t="s">
        <v>1696</v>
      </c>
      <c r="E38" s="432" t="s">
        <v>1569</v>
      </c>
      <c r="F38" s="83">
        <v>3</v>
      </c>
      <c r="G38" s="157"/>
      <c r="H38" s="445">
        <f t="shared" si="11"/>
        <v>3</v>
      </c>
      <c r="I38" s="81"/>
      <c r="J38" s="369">
        <f t="shared" si="12"/>
        <v>3</v>
      </c>
      <c r="K38" s="362">
        <f t="shared" si="13"/>
        <v>5400000</v>
      </c>
      <c r="L38" s="366" t="str">
        <f>VLOOKUP(B38,'[8]Gui chi Quynh'!$B$11:$E$401,4,FALSE)</f>
        <v>A3</v>
      </c>
      <c r="M38" s="494">
        <f t="shared" si="2"/>
        <v>6480000</v>
      </c>
      <c r="N38" s="376">
        <v>19</v>
      </c>
      <c r="O38" s="440">
        <f>IFERROR(INDEX('[9]CN BC'!$J$10:$J$277,MATCH(B38,'[9]CN BC'!$H$10:$H$277,0)),"")</f>
        <v>19</v>
      </c>
      <c r="P38" s="494">
        <f t="shared" si="3"/>
        <v>6480000</v>
      </c>
      <c r="Q38" s="392"/>
      <c r="R38" s="362">
        <f t="shared" si="4"/>
        <v>0</v>
      </c>
      <c r="S38" s="74"/>
      <c r="T38" s="362">
        <f t="shared" si="5"/>
        <v>0</v>
      </c>
      <c r="U38" s="584">
        <f t="shared" si="6"/>
        <v>54000</v>
      </c>
      <c r="V38" s="371">
        <f t="shared" si="7"/>
        <v>6480000</v>
      </c>
      <c r="W38" s="362">
        <f>VLOOKUP(B38,CN!B33:P297,15,FALSE)</f>
        <v>4675320</v>
      </c>
      <c r="X38" s="653">
        <f t="shared" si="10"/>
        <v>1804680</v>
      </c>
      <c r="Y38" s="568">
        <f t="shared" si="8"/>
        <v>27</v>
      </c>
      <c r="Z38" s="493">
        <f>IFERROR(INDEX('[10]CN BC'!$M$10:$M$276,MATCH(B38,'[10]CN BC'!$H$10:$H$276,0)),"")</f>
        <v>0</v>
      </c>
      <c r="AA38" s="141"/>
      <c r="AB38" s="108"/>
      <c r="AC38" s="108"/>
      <c r="AD38" s="155"/>
      <c r="AE38" s="108"/>
      <c r="AF38" s="108"/>
      <c r="AG38" s="108"/>
      <c r="AH38" s="108"/>
      <c r="AI38" s="108"/>
      <c r="AJ38" s="108"/>
      <c r="AK38" s="108"/>
      <c r="AL38" s="108"/>
      <c r="AM38" s="108"/>
      <c r="AN38" s="108"/>
    </row>
    <row r="39" spans="1:40" s="372" customFormat="1" ht="30" customHeight="1">
      <c r="A39" s="379">
        <f>_xlfn.AGGREGATE(4,7,A$11:A38)+1</f>
        <v>28</v>
      </c>
      <c r="B39" s="363" t="s">
        <v>1832</v>
      </c>
      <c r="C39" s="364"/>
      <c r="D39" s="434" t="s">
        <v>1963</v>
      </c>
      <c r="E39" s="195">
        <v>1603215005610</v>
      </c>
      <c r="F39" s="373">
        <v>3</v>
      </c>
      <c r="G39" s="367"/>
      <c r="H39" s="368">
        <f t="shared" si="11"/>
        <v>3</v>
      </c>
      <c r="I39" s="368"/>
      <c r="J39" s="369">
        <f t="shared" si="12"/>
        <v>3</v>
      </c>
      <c r="K39" s="362">
        <f t="shared" si="13"/>
        <v>5400000</v>
      </c>
      <c r="L39" s="366" t="str">
        <f>VLOOKUP(B39,'[8]Gui chi Quynh'!$B$11:$E$401,4,FALSE)</f>
        <v>A4</v>
      </c>
      <c r="M39" s="494">
        <f t="shared" si="2"/>
        <v>5400000</v>
      </c>
      <c r="N39" s="376">
        <v>19</v>
      </c>
      <c r="O39" s="440">
        <f>IFERROR(INDEX('[9]CN BC'!$J$10:$J$277,MATCH(B39,'[9]CN BC'!$H$10:$H$277,0)),"")</f>
        <v>19</v>
      </c>
      <c r="P39" s="494">
        <f t="shared" si="3"/>
        <v>5400000</v>
      </c>
      <c r="Q39" s="392"/>
      <c r="R39" s="362">
        <f t="shared" si="4"/>
        <v>0</v>
      </c>
      <c r="S39" s="370"/>
      <c r="T39" s="362">
        <f t="shared" si="5"/>
        <v>0</v>
      </c>
      <c r="U39" s="584">
        <f t="shared" si="6"/>
        <v>54000</v>
      </c>
      <c r="V39" s="371">
        <f t="shared" si="7"/>
        <v>5400000</v>
      </c>
      <c r="W39" s="362">
        <f>VLOOKUP(B39,CN!B26:P298,15,FALSE)</f>
        <v>3896100</v>
      </c>
      <c r="X39" s="653">
        <f t="shared" si="10"/>
        <v>1503900</v>
      </c>
      <c r="Y39" s="568">
        <f t="shared" si="8"/>
        <v>28</v>
      </c>
      <c r="Z39" s="493">
        <f>IFERROR(INDEX('[10]CN BC'!$M$10:$M$276,MATCH(B39,'[10]CN BC'!$H$10:$H$276,0)),"")</f>
        <v>0</v>
      </c>
      <c r="AA39" s="141"/>
      <c r="AB39" s="108"/>
      <c r="AC39" s="108"/>
      <c r="AD39" s="155"/>
      <c r="AE39" s="108"/>
      <c r="AF39" s="108"/>
      <c r="AG39" s="108"/>
      <c r="AH39" s="108"/>
      <c r="AI39" s="108"/>
      <c r="AJ39" s="108"/>
    </row>
    <row r="40" spans="1:40" s="108" customFormat="1" ht="27" customHeight="1">
      <c r="A40" s="379">
        <f>_xlfn.AGGREGATE(4,7,A$11:A39)+1</f>
        <v>29</v>
      </c>
      <c r="B40" s="33" t="s">
        <v>1555</v>
      </c>
      <c r="C40" s="149" t="s">
        <v>1105</v>
      </c>
      <c r="D40" s="406" t="s">
        <v>1658</v>
      </c>
      <c r="E40" s="424" t="s">
        <v>1278</v>
      </c>
      <c r="F40" s="10">
        <v>4.9800000000000004</v>
      </c>
      <c r="G40" s="45"/>
      <c r="H40" s="368">
        <f t="shared" si="11"/>
        <v>4.9800000000000004</v>
      </c>
      <c r="I40" s="464">
        <v>0.45</v>
      </c>
      <c r="J40" s="369">
        <f t="shared" si="12"/>
        <v>5.4300000000000006</v>
      </c>
      <c r="K40" s="362">
        <f t="shared" si="13"/>
        <v>9774000.0000000019</v>
      </c>
      <c r="L40" s="366" t="str">
        <f>VLOOKUP(B40,'[8]Gui chi Quynh'!$B$11:$E$401,4,FALSE)</f>
        <v>A3</v>
      </c>
      <c r="M40" s="494">
        <f t="shared" si="2"/>
        <v>11728800.000000002</v>
      </c>
      <c r="N40" s="376">
        <v>19</v>
      </c>
      <c r="O40" s="440">
        <f>IFERROR(INDEX('[9]CN BC'!$J$10:$J$277,MATCH(B40,'[9]CN BC'!$H$10:$H$277,0)),"")</f>
        <v>20</v>
      </c>
      <c r="P40" s="494">
        <f t="shared" si="3"/>
        <v>11728800.000000002</v>
      </c>
      <c r="Q40" s="454"/>
      <c r="R40" s="362">
        <f t="shared" si="4"/>
        <v>0</v>
      </c>
      <c r="S40" s="74"/>
      <c r="T40" s="362">
        <f t="shared" si="5"/>
        <v>0</v>
      </c>
      <c r="U40" s="584">
        <f t="shared" si="6"/>
        <v>97740</v>
      </c>
      <c r="V40" s="371">
        <f t="shared" si="7"/>
        <v>11728800.000000002</v>
      </c>
      <c r="W40" s="362">
        <f>VLOOKUP(B40,CN!B34:P299,15,FALSE)</f>
        <v>6644430</v>
      </c>
      <c r="X40" s="653">
        <f t="shared" si="10"/>
        <v>5084370.0000000019</v>
      </c>
      <c r="Y40" s="568">
        <f t="shared" si="8"/>
        <v>29</v>
      </c>
      <c r="Z40" s="493">
        <f>IFERROR(INDEX('[10]CN BC'!$M$10:$M$276,MATCH(B40,'[10]CN BC'!$H$10:$H$276,0)),"")</f>
        <v>0</v>
      </c>
      <c r="AA40" s="522" t="s">
        <v>812</v>
      </c>
      <c r="AD40" s="155"/>
    </row>
    <row r="41" spans="1:40" s="372" customFormat="1" ht="28.5" customHeight="1">
      <c r="A41" s="379">
        <f>_xlfn.AGGREGATE(4,7,A$11:A40)+1</f>
        <v>30</v>
      </c>
      <c r="B41" s="363" t="s">
        <v>1866</v>
      </c>
      <c r="C41" s="364" t="s">
        <v>873</v>
      </c>
      <c r="D41" s="434" t="s">
        <v>1697</v>
      </c>
      <c r="E41" s="423" t="s">
        <v>1300</v>
      </c>
      <c r="F41" s="366">
        <v>4.9800000000000004</v>
      </c>
      <c r="G41" s="367">
        <v>0.06</v>
      </c>
      <c r="H41" s="368">
        <f t="shared" si="11"/>
        <v>5.2788000000000004</v>
      </c>
      <c r="I41" s="368">
        <v>0.25</v>
      </c>
      <c r="J41" s="369">
        <f t="shared" si="12"/>
        <v>5.5288000000000004</v>
      </c>
      <c r="K41" s="362">
        <f t="shared" si="13"/>
        <v>9951840</v>
      </c>
      <c r="L41" s="366" t="str">
        <f>VLOOKUP(B41,'[8]Gui chi Quynh'!$B$11:$E$401,4,FALSE)</f>
        <v>A4</v>
      </c>
      <c r="M41" s="494">
        <f t="shared" si="2"/>
        <v>9951840</v>
      </c>
      <c r="N41" s="376">
        <v>19</v>
      </c>
      <c r="O41" s="440">
        <f>IFERROR(INDEX('[9]CN BC'!$J$10:$J$277,MATCH(B41,'[9]CN BC'!$H$10:$H$277,0)),"")</f>
        <v>19</v>
      </c>
      <c r="P41" s="494">
        <f t="shared" si="3"/>
        <v>9951840</v>
      </c>
      <c r="Q41" s="460"/>
      <c r="R41" s="362">
        <f t="shared" si="4"/>
        <v>0</v>
      </c>
      <c r="S41" s="370"/>
      <c r="T41" s="362">
        <f t="shared" si="5"/>
        <v>0</v>
      </c>
      <c r="U41" s="584">
        <f t="shared" si="6"/>
        <v>99518</v>
      </c>
      <c r="V41" s="371">
        <f t="shared" si="7"/>
        <v>9951840</v>
      </c>
      <c r="W41" s="362">
        <f>VLOOKUP(B41,CN!B45:P300,15,FALSE)</f>
        <v>7550712</v>
      </c>
      <c r="X41" s="653">
        <f t="shared" si="10"/>
        <v>2401128</v>
      </c>
      <c r="Y41" s="568">
        <f t="shared" si="8"/>
        <v>30</v>
      </c>
      <c r="Z41" s="493">
        <f>IFERROR(INDEX('[10]CN BC'!$M$10:$M$276,MATCH(B41,'[10]CN BC'!$H$10:$H$276,0)),"")</f>
        <v>0</v>
      </c>
      <c r="AA41" s="522" t="s">
        <v>813</v>
      </c>
      <c r="AB41" s="108"/>
      <c r="AC41" s="108"/>
      <c r="AD41" s="487"/>
    </row>
    <row r="42" spans="1:40" s="108" customFormat="1" ht="30" customHeight="1">
      <c r="A42" s="379">
        <f>_xlfn.AGGREGATE(4,7,A$11:A41)+1</f>
        <v>31</v>
      </c>
      <c r="B42" s="33" t="s">
        <v>1867</v>
      </c>
      <c r="C42" s="34" t="s">
        <v>883</v>
      </c>
      <c r="D42" s="406" t="s">
        <v>1698</v>
      </c>
      <c r="E42" s="424" t="s">
        <v>1299</v>
      </c>
      <c r="F42" s="10">
        <v>4.32</v>
      </c>
      <c r="G42" s="157"/>
      <c r="H42" s="368">
        <f t="shared" si="11"/>
        <v>4.32</v>
      </c>
      <c r="I42" s="81"/>
      <c r="J42" s="369">
        <f t="shared" si="12"/>
        <v>4.32</v>
      </c>
      <c r="K42" s="362">
        <f t="shared" si="13"/>
        <v>7776000.0000000009</v>
      </c>
      <c r="L42" s="366" t="str">
        <f>VLOOKUP(B42,'[8]Gui chi Quynh'!$B$11:$E$401,4,FALSE)</f>
        <v>A4</v>
      </c>
      <c r="M42" s="494">
        <f t="shared" si="2"/>
        <v>7776000.0000000009</v>
      </c>
      <c r="N42" s="376">
        <v>19</v>
      </c>
      <c r="O42" s="440">
        <f>IFERROR(INDEX('[9]CN BC'!$J$10:$J$277,MATCH(B42,'[9]CN BC'!$H$10:$H$277,0)),"")</f>
        <v>19</v>
      </c>
      <c r="P42" s="494">
        <f t="shared" si="3"/>
        <v>7776000.0000000009</v>
      </c>
      <c r="Q42" s="392"/>
      <c r="R42" s="362">
        <f t="shared" si="4"/>
        <v>0</v>
      </c>
      <c r="S42" s="385"/>
      <c r="T42" s="362">
        <f t="shared" si="5"/>
        <v>0</v>
      </c>
      <c r="U42" s="584">
        <f t="shared" si="6"/>
        <v>77760</v>
      </c>
      <c r="V42" s="371">
        <f t="shared" si="7"/>
        <v>7776000.0000000009</v>
      </c>
      <c r="W42" s="362">
        <f>VLOOKUP(B42,CN!B34:P301,15,FALSE)</f>
        <v>5054400</v>
      </c>
      <c r="X42" s="653">
        <f t="shared" si="10"/>
        <v>2721600.0000000009</v>
      </c>
      <c r="Y42" s="568">
        <f t="shared" si="8"/>
        <v>31</v>
      </c>
      <c r="Z42" s="493">
        <f>IFERROR(INDEX('[10]CN BC'!$M$10:$M$276,MATCH(B42,'[10]CN BC'!$H$10:$H$276,0)),"")</f>
        <v>0</v>
      </c>
      <c r="AA42" s="522" t="s">
        <v>814</v>
      </c>
      <c r="AD42" s="155"/>
    </row>
    <row r="43" spans="1:40" s="372" customFormat="1" ht="30" customHeight="1">
      <c r="A43" s="379">
        <f>_xlfn.AGGREGATE(4,7,A$11:A42)+1</f>
        <v>32</v>
      </c>
      <c r="B43" s="363" t="s">
        <v>1485</v>
      </c>
      <c r="C43" s="364" t="s">
        <v>1009</v>
      </c>
      <c r="D43" s="406" t="s">
        <v>1699</v>
      </c>
      <c r="E43" s="423" t="s">
        <v>373</v>
      </c>
      <c r="F43" s="366">
        <v>3.99</v>
      </c>
      <c r="G43" s="367"/>
      <c r="H43" s="368">
        <f t="shared" si="11"/>
        <v>3.99</v>
      </c>
      <c r="I43" s="368"/>
      <c r="J43" s="369">
        <f t="shared" si="12"/>
        <v>3.99</v>
      </c>
      <c r="K43" s="362">
        <f t="shared" si="13"/>
        <v>7182000</v>
      </c>
      <c r="L43" s="366" t="str">
        <f>VLOOKUP(B43,'[8]Gui chi Quynh'!$B$11:$E$401,4,FALSE)</f>
        <v>A4</v>
      </c>
      <c r="M43" s="494">
        <f t="shared" si="2"/>
        <v>7182000</v>
      </c>
      <c r="N43" s="376">
        <v>19</v>
      </c>
      <c r="O43" s="440">
        <f>IFERROR(INDEX('[9]CN BC'!$J$10:$J$277,MATCH(B43,'[9]CN BC'!$H$10:$H$277,0)),"")</f>
        <v>19</v>
      </c>
      <c r="P43" s="494">
        <f t="shared" si="3"/>
        <v>7182000</v>
      </c>
      <c r="Q43" s="392"/>
      <c r="R43" s="362">
        <f t="shared" si="4"/>
        <v>0</v>
      </c>
      <c r="S43" s="385"/>
      <c r="T43" s="362">
        <f t="shared" si="5"/>
        <v>0</v>
      </c>
      <c r="U43" s="584">
        <f t="shared" si="6"/>
        <v>71820</v>
      </c>
      <c r="V43" s="371">
        <f t="shared" si="7"/>
        <v>7182000</v>
      </c>
      <c r="W43" s="362">
        <f>VLOOKUP(B43,CN!B35:P302,15,FALSE)</f>
        <v>5054400</v>
      </c>
      <c r="X43" s="653">
        <f t="shared" si="10"/>
        <v>2127600</v>
      </c>
      <c r="Y43" s="568">
        <f t="shared" si="8"/>
        <v>32</v>
      </c>
      <c r="Z43" s="493">
        <f>IFERROR(INDEX('[10]CN BC'!$M$10:$M$276,MATCH(B43,'[10]CN BC'!$H$10:$H$276,0)),"")</f>
        <v>0</v>
      </c>
      <c r="AA43" s="522" t="s">
        <v>815</v>
      </c>
      <c r="AB43" s="108"/>
      <c r="AC43" s="108"/>
      <c r="AD43" s="155"/>
      <c r="AE43" s="108"/>
      <c r="AF43" s="108"/>
      <c r="AG43" s="108"/>
      <c r="AH43" s="108"/>
      <c r="AI43" s="108"/>
      <c r="AJ43" s="108"/>
      <c r="AK43" s="108"/>
      <c r="AL43" s="108"/>
      <c r="AM43" s="108"/>
      <c r="AN43" s="108"/>
    </row>
    <row r="44" spans="1:40" s="372" customFormat="1" ht="30" customHeight="1">
      <c r="A44" s="379">
        <f>_xlfn.AGGREGATE(4,7,A$11:A43)+1</f>
        <v>33</v>
      </c>
      <c r="B44" s="363" t="s">
        <v>1559</v>
      </c>
      <c r="C44" s="375"/>
      <c r="D44" s="406" t="s">
        <v>1647</v>
      </c>
      <c r="E44" s="423" t="s">
        <v>406</v>
      </c>
      <c r="F44" s="373">
        <v>3.66</v>
      </c>
      <c r="G44" s="378"/>
      <c r="H44" s="368">
        <f t="shared" si="11"/>
        <v>3.66</v>
      </c>
      <c r="I44" s="368"/>
      <c r="J44" s="369">
        <f t="shared" si="12"/>
        <v>3.66</v>
      </c>
      <c r="K44" s="362">
        <f t="shared" si="13"/>
        <v>6588000</v>
      </c>
      <c r="L44" s="366" t="str">
        <f>VLOOKUP(B44,'[8]Gui chi Quynh'!$B$11:$E$401,4,FALSE)</f>
        <v>A4</v>
      </c>
      <c r="M44" s="494">
        <f t="shared" si="2"/>
        <v>6588000</v>
      </c>
      <c r="N44" s="376">
        <v>19</v>
      </c>
      <c r="O44" s="440">
        <f>IFERROR(INDEX('[9]CN BC'!$J$10:$J$277,MATCH(B44,'[9]CN BC'!$H$10:$H$277,0)),"")</f>
        <v>19</v>
      </c>
      <c r="P44" s="494">
        <f t="shared" si="3"/>
        <v>6588000</v>
      </c>
      <c r="Q44" s="392"/>
      <c r="R44" s="362">
        <f t="shared" si="4"/>
        <v>0</v>
      </c>
      <c r="S44" s="370"/>
      <c r="T44" s="362">
        <f t="shared" si="5"/>
        <v>0</v>
      </c>
      <c r="U44" s="584">
        <f t="shared" si="6"/>
        <v>65880</v>
      </c>
      <c r="V44" s="371">
        <f t="shared" si="7"/>
        <v>6588000</v>
      </c>
      <c r="W44" s="362">
        <f>VLOOKUP(B44,CN!B36:P303,15,FALSE)</f>
        <v>4282200</v>
      </c>
      <c r="X44" s="653">
        <f>V44-W44</f>
        <v>2305800</v>
      </c>
      <c r="Y44" s="568">
        <f t="shared" ref="Y44:Y63" si="14">A44</f>
        <v>33</v>
      </c>
      <c r="Z44" s="493">
        <f>IFERROR(INDEX('[10]CN BC'!$M$10:$M$276,MATCH(B44,'[10]CN BC'!$H$10:$H$276,0)),"")</f>
        <v>0</v>
      </c>
      <c r="AA44" s="522" t="s">
        <v>816</v>
      </c>
      <c r="AB44" s="108"/>
      <c r="AC44" s="108"/>
      <c r="AD44" s="155"/>
      <c r="AE44" s="108"/>
      <c r="AF44" s="108"/>
      <c r="AG44" s="108"/>
      <c r="AH44" s="108"/>
      <c r="AI44" s="108"/>
      <c r="AJ44" s="108"/>
      <c r="AK44" s="108"/>
      <c r="AL44" s="108"/>
      <c r="AM44" s="108"/>
      <c r="AN44" s="108"/>
    </row>
    <row r="45" spans="1:40" s="372" customFormat="1" ht="30" customHeight="1">
      <c r="A45" s="379">
        <f>_xlfn.AGGREGATE(4,7,A$11:A44)+1</f>
        <v>34</v>
      </c>
      <c r="B45" s="363" t="s">
        <v>1868</v>
      </c>
      <c r="C45" s="364" t="s">
        <v>956</v>
      </c>
      <c r="D45" s="434" t="s">
        <v>1700</v>
      </c>
      <c r="E45" s="423" t="s">
        <v>1303</v>
      </c>
      <c r="F45" s="366">
        <v>4.6500000000000004</v>
      </c>
      <c r="G45" s="367"/>
      <c r="H45" s="368">
        <f t="shared" si="11"/>
        <v>4.6500000000000004</v>
      </c>
      <c r="I45" s="368"/>
      <c r="J45" s="369">
        <f t="shared" si="12"/>
        <v>4.6500000000000004</v>
      </c>
      <c r="K45" s="362">
        <f t="shared" si="13"/>
        <v>8370000.0000000009</v>
      </c>
      <c r="L45" s="366" t="str">
        <f>VLOOKUP(B45,'[8]Gui chi Quynh'!$B$11:$E$401,4,FALSE)</f>
        <v>A4</v>
      </c>
      <c r="M45" s="494">
        <f t="shared" si="2"/>
        <v>8370000.0000000009</v>
      </c>
      <c r="N45" s="376">
        <v>19</v>
      </c>
      <c r="O45" s="440">
        <f>IFERROR(INDEX('[9]CN BC'!$J$10:$J$277,MATCH(B45,'[9]CN BC'!$H$10:$H$277,0)),"")</f>
        <v>19</v>
      </c>
      <c r="P45" s="494">
        <f t="shared" si="3"/>
        <v>8370000.0000000009</v>
      </c>
      <c r="Q45" s="392"/>
      <c r="R45" s="362">
        <f t="shared" si="4"/>
        <v>0</v>
      </c>
      <c r="S45" s="370"/>
      <c r="T45" s="362">
        <f t="shared" si="5"/>
        <v>0</v>
      </c>
      <c r="U45" s="584">
        <f t="shared" si="6"/>
        <v>83700</v>
      </c>
      <c r="V45" s="371">
        <f t="shared" si="7"/>
        <v>8370000.0000000009</v>
      </c>
      <c r="W45" s="362">
        <f>VLOOKUP(B45,CN!B37:P304,15,FALSE)</f>
        <v>5826600.0000000009</v>
      </c>
      <c r="X45" s="653">
        <f t="shared" si="10"/>
        <v>2543400</v>
      </c>
      <c r="Y45" s="568">
        <f t="shared" si="14"/>
        <v>34</v>
      </c>
      <c r="Z45" s="493">
        <f>IFERROR(INDEX('[10]CN BC'!$M$10:$M$276,MATCH(B45,'[10]CN BC'!$H$10:$H$276,0)),"")</f>
        <v>0</v>
      </c>
      <c r="AA45" s="522" t="s">
        <v>817</v>
      </c>
      <c r="AB45" s="108"/>
      <c r="AC45" s="108"/>
      <c r="AD45" s="155"/>
      <c r="AE45" s="108"/>
      <c r="AF45" s="108"/>
      <c r="AG45" s="108"/>
      <c r="AH45" s="108"/>
      <c r="AI45" s="108"/>
      <c r="AJ45" s="108"/>
    </row>
    <row r="46" spans="1:40" s="372" customFormat="1" ht="30" customHeight="1">
      <c r="A46" s="379">
        <f>_xlfn.AGGREGATE(4,7,A$11:A45)+1</f>
        <v>35</v>
      </c>
      <c r="B46" s="363" t="s">
        <v>1869</v>
      </c>
      <c r="C46" s="364" t="s">
        <v>958</v>
      </c>
      <c r="D46" s="406" t="s">
        <v>1701</v>
      </c>
      <c r="E46" s="423" t="s">
        <v>1304</v>
      </c>
      <c r="F46" s="373">
        <v>4.32</v>
      </c>
      <c r="G46" s="367"/>
      <c r="H46" s="368">
        <f t="shared" si="11"/>
        <v>4.32</v>
      </c>
      <c r="I46" s="368"/>
      <c r="J46" s="369">
        <f t="shared" si="12"/>
        <v>4.32</v>
      </c>
      <c r="K46" s="362">
        <f t="shared" si="13"/>
        <v>7776000.0000000009</v>
      </c>
      <c r="L46" s="366" t="str">
        <f>VLOOKUP(B46,'[8]Gui chi Quynh'!$B$11:$E$401,4,FALSE)</f>
        <v>A3</v>
      </c>
      <c r="M46" s="494">
        <f t="shared" si="2"/>
        <v>9331200</v>
      </c>
      <c r="N46" s="376">
        <v>19</v>
      </c>
      <c r="O46" s="440">
        <f>IFERROR(INDEX('[9]CN BC'!$J$10:$J$277,MATCH(B46,'[9]CN BC'!$H$10:$H$277,0)),"")</f>
        <v>19</v>
      </c>
      <c r="P46" s="494">
        <f t="shared" si="3"/>
        <v>9331200</v>
      </c>
      <c r="Q46" s="392"/>
      <c r="R46" s="362">
        <f t="shared" si="4"/>
        <v>0</v>
      </c>
      <c r="S46" s="385"/>
      <c r="T46" s="362">
        <f t="shared" si="5"/>
        <v>0</v>
      </c>
      <c r="U46" s="584">
        <f t="shared" si="6"/>
        <v>77760</v>
      </c>
      <c r="V46" s="371">
        <f t="shared" si="7"/>
        <v>9331200</v>
      </c>
      <c r="W46" s="362">
        <f>VLOOKUP(B46,CN!B38:P305,15,FALSE)</f>
        <v>6528600</v>
      </c>
      <c r="X46" s="653">
        <f t="shared" si="10"/>
        <v>2802600</v>
      </c>
      <c r="Y46" s="568">
        <f t="shared" si="14"/>
        <v>35</v>
      </c>
      <c r="Z46" s="493">
        <f>IFERROR(INDEX('[10]CN BC'!$M$10:$M$276,MATCH(B46,'[10]CN BC'!$H$10:$H$276,0)),"")</f>
        <v>0</v>
      </c>
      <c r="AA46" s="522" t="s">
        <v>818</v>
      </c>
      <c r="AB46" s="108"/>
      <c r="AC46" s="108"/>
      <c r="AD46" s="155"/>
      <c r="AE46" s="108"/>
      <c r="AF46" s="108"/>
      <c r="AG46" s="108"/>
      <c r="AH46" s="108"/>
      <c r="AI46" s="108"/>
      <c r="AJ46" s="108"/>
      <c r="AK46" s="108"/>
      <c r="AL46" s="108"/>
      <c r="AM46" s="108"/>
      <c r="AN46" s="108"/>
    </row>
    <row r="47" spans="1:40" s="372" customFormat="1" ht="30" customHeight="1">
      <c r="A47" s="379">
        <f>_xlfn.AGGREGATE(4,7,A$11:A46)+1</f>
        <v>36</v>
      </c>
      <c r="B47" s="363" t="s">
        <v>1870</v>
      </c>
      <c r="C47" s="364" t="s">
        <v>967</v>
      </c>
      <c r="D47" s="434" t="s">
        <v>1702</v>
      </c>
      <c r="E47" s="423" t="s">
        <v>1306</v>
      </c>
      <c r="F47" s="366">
        <v>4.9800000000000004</v>
      </c>
      <c r="G47" s="367">
        <v>0.08</v>
      </c>
      <c r="H47" s="368">
        <f t="shared" si="11"/>
        <v>5.3784000000000001</v>
      </c>
      <c r="I47" s="368"/>
      <c r="J47" s="369">
        <f t="shared" si="12"/>
        <v>5.3784000000000001</v>
      </c>
      <c r="K47" s="362">
        <f t="shared" si="13"/>
        <v>9681120</v>
      </c>
      <c r="L47" s="366" t="str">
        <f>VLOOKUP(B47,'[8]Gui chi Quynh'!$B$11:$E$401,4,FALSE)</f>
        <v>A3</v>
      </c>
      <c r="M47" s="494">
        <f t="shared" si="2"/>
        <v>11617344</v>
      </c>
      <c r="N47" s="376">
        <v>19</v>
      </c>
      <c r="O47" s="440">
        <f>IFERROR(INDEX('[9]CN BC'!$J$10:$J$277,MATCH(B47,'[9]CN BC'!$H$10:$H$277,0)),"")</f>
        <v>19</v>
      </c>
      <c r="P47" s="494">
        <f t="shared" si="3"/>
        <v>11617344</v>
      </c>
      <c r="Q47" s="460"/>
      <c r="R47" s="362">
        <f t="shared" si="4"/>
        <v>0</v>
      </c>
      <c r="S47" s="370"/>
      <c r="T47" s="362">
        <f t="shared" si="5"/>
        <v>0</v>
      </c>
      <c r="U47" s="584">
        <f t="shared" si="6"/>
        <v>96811</v>
      </c>
      <c r="V47" s="371">
        <f t="shared" si="7"/>
        <v>11617344</v>
      </c>
      <c r="W47" s="362">
        <f>VLOOKUP(B47,CN!B41:P306,15,FALSE)</f>
        <v>6409260.0000000009</v>
      </c>
      <c r="X47" s="653">
        <f t="shared" si="10"/>
        <v>5208083.9999999991</v>
      </c>
      <c r="Y47" s="568">
        <f t="shared" si="14"/>
        <v>36</v>
      </c>
      <c r="Z47" s="493">
        <f>IFERROR(INDEX('[10]CN BC'!$M$10:$M$276,MATCH(B47,'[10]CN BC'!$H$10:$H$276,0)),"")</f>
        <v>0</v>
      </c>
      <c r="AA47" s="522" t="s">
        <v>819</v>
      </c>
      <c r="AB47" s="108"/>
      <c r="AC47" s="108"/>
      <c r="AD47" s="487"/>
    </row>
    <row r="48" spans="1:40" s="372" customFormat="1" ht="26.25" customHeight="1">
      <c r="A48" s="379">
        <f>_xlfn.AGGREGATE(4,7,A$11:A47)+1</f>
        <v>37</v>
      </c>
      <c r="B48" s="363" t="s">
        <v>847</v>
      </c>
      <c r="C48" s="364" t="s">
        <v>896</v>
      </c>
      <c r="D48" s="434" t="s">
        <v>1703</v>
      </c>
      <c r="E48" s="423" t="s">
        <v>1307</v>
      </c>
      <c r="F48" s="373">
        <v>3.99</v>
      </c>
      <c r="G48" s="367"/>
      <c r="H48" s="368">
        <f t="shared" si="11"/>
        <v>3.99</v>
      </c>
      <c r="I48" s="368"/>
      <c r="J48" s="369">
        <f t="shared" si="12"/>
        <v>3.99</v>
      </c>
      <c r="K48" s="362">
        <f t="shared" si="13"/>
        <v>7182000</v>
      </c>
      <c r="L48" s="366" t="str">
        <f>VLOOKUP(B48,'[8]Gui chi Quynh'!$B$11:$E$401,4,FALSE)</f>
        <v>A4</v>
      </c>
      <c r="M48" s="494">
        <f t="shared" si="2"/>
        <v>7182000</v>
      </c>
      <c r="N48" s="376">
        <v>19</v>
      </c>
      <c r="O48" s="467">
        <f>IFERROR(INDEX('[9]CN BC'!$J$10:$J$277,MATCH(B48,'[9]CN BC'!$H$10:$H$277,0)),"")</f>
        <v>19</v>
      </c>
      <c r="P48" s="494">
        <f t="shared" si="3"/>
        <v>7182000</v>
      </c>
      <c r="Q48" s="460"/>
      <c r="R48" s="362">
        <f t="shared" si="4"/>
        <v>0</v>
      </c>
      <c r="S48" s="370"/>
      <c r="T48" s="362">
        <f t="shared" si="5"/>
        <v>0</v>
      </c>
      <c r="U48" s="362">
        <f t="shared" si="6"/>
        <v>71820</v>
      </c>
      <c r="V48" s="371">
        <f t="shared" si="7"/>
        <v>7182000</v>
      </c>
      <c r="W48" s="362">
        <f>VLOOKUP(B48,CN!B46:P307,15,FALSE)</f>
        <v>7076160</v>
      </c>
      <c r="X48" s="653">
        <f t="shared" si="10"/>
        <v>105840</v>
      </c>
      <c r="Y48" s="572">
        <f t="shared" si="14"/>
        <v>37</v>
      </c>
      <c r="Z48" s="551"/>
      <c r="AA48" s="540" t="s">
        <v>820</v>
      </c>
      <c r="AD48" s="487"/>
    </row>
    <row r="49" spans="1:40" s="372" customFormat="1" ht="30" customHeight="1">
      <c r="A49" s="379">
        <f>_xlfn.AGGREGATE(4,7,A$11:A48)+1</f>
        <v>38</v>
      </c>
      <c r="B49" s="363" t="s">
        <v>1486</v>
      </c>
      <c r="C49" s="364" t="s">
        <v>1218</v>
      </c>
      <c r="D49" s="406" t="s">
        <v>1704</v>
      </c>
      <c r="E49" s="426" t="s">
        <v>1588</v>
      </c>
      <c r="F49" s="373">
        <v>3.66</v>
      </c>
      <c r="G49" s="367"/>
      <c r="H49" s="368">
        <f t="shared" si="11"/>
        <v>3.66</v>
      </c>
      <c r="I49" s="368"/>
      <c r="J49" s="369">
        <f t="shared" si="12"/>
        <v>3.66</v>
      </c>
      <c r="K49" s="362">
        <f t="shared" si="13"/>
        <v>6588000</v>
      </c>
      <c r="L49" s="366" t="str">
        <f>VLOOKUP(B49,'[8]Gui chi Quynh'!$B$11:$E$401,4,FALSE)</f>
        <v>A4</v>
      </c>
      <c r="M49" s="494">
        <f t="shared" si="2"/>
        <v>6588000</v>
      </c>
      <c r="N49" s="376">
        <v>19</v>
      </c>
      <c r="O49" s="440">
        <f>IFERROR(INDEX('[9]CN BC'!$J$10:$J$277,MATCH(B49,'[9]CN BC'!$H$10:$H$277,0)),"")</f>
        <v>19</v>
      </c>
      <c r="P49" s="494">
        <f t="shared" si="3"/>
        <v>6588000</v>
      </c>
      <c r="Q49" s="392"/>
      <c r="R49" s="362">
        <f t="shared" si="4"/>
        <v>0</v>
      </c>
      <c r="S49" s="370"/>
      <c r="T49" s="362">
        <f t="shared" si="5"/>
        <v>0</v>
      </c>
      <c r="U49" s="584">
        <f t="shared" si="6"/>
        <v>65880</v>
      </c>
      <c r="V49" s="371">
        <f t="shared" si="7"/>
        <v>6588000</v>
      </c>
      <c r="W49" s="362">
        <f>VLOOKUP(B49,CN!B47:P308,15,FALSE)</f>
        <v>4282200</v>
      </c>
      <c r="X49" s="653">
        <f t="shared" si="10"/>
        <v>2305800</v>
      </c>
      <c r="Y49" s="572">
        <f t="shared" si="14"/>
        <v>38</v>
      </c>
      <c r="Z49" s="493">
        <f>IFERROR(INDEX('[10]CN BC'!$M$10:$M$276,MATCH(B49,'[10]CN BC'!$H$10:$H$276,0)),"")</f>
        <v>0</v>
      </c>
      <c r="AA49" s="522" t="s">
        <v>1119</v>
      </c>
      <c r="AB49" s="108"/>
      <c r="AC49" s="108"/>
      <c r="AD49" s="155"/>
      <c r="AE49" s="108"/>
      <c r="AF49" s="108"/>
      <c r="AG49" s="108"/>
      <c r="AH49" s="108"/>
      <c r="AI49" s="108"/>
      <c r="AJ49" s="108"/>
      <c r="AK49" s="108"/>
      <c r="AL49" s="108"/>
      <c r="AM49" s="108"/>
      <c r="AN49" s="108"/>
    </row>
    <row r="50" spans="1:40" s="108" customFormat="1" ht="30" customHeight="1">
      <c r="A50" s="379">
        <f>_xlfn.AGGREGATE(4,7,A$11:A49)+1</f>
        <v>39</v>
      </c>
      <c r="B50" s="363" t="s">
        <v>1871</v>
      </c>
      <c r="C50" s="364" t="s">
        <v>873</v>
      </c>
      <c r="D50" s="434" t="s">
        <v>1705</v>
      </c>
      <c r="E50" s="423" t="s">
        <v>1309</v>
      </c>
      <c r="F50" s="366">
        <v>4.9800000000000004</v>
      </c>
      <c r="G50" s="367"/>
      <c r="H50" s="368">
        <f t="shared" si="11"/>
        <v>4.9800000000000004</v>
      </c>
      <c r="I50" s="368">
        <v>0.35</v>
      </c>
      <c r="J50" s="369">
        <f t="shared" si="12"/>
        <v>5.33</v>
      </c>
      <c r="K50" s="362">
        <f t="shared" si="13"/>
        <v>9594000</v>
      </c>
      <c r="L50" s="366" t="str">
        <f>VLOOKUP(B50,'[8]Gui chi Quynh'!$B$11:$E$401,4,FALSE)</f>
        <v>A3</v>
      </c>
      <c r="M50" s="494">
        <f t="shared" si="2"/>
        <v>11512800</v>
      </c>
      <c r="N50" s="376">
        <v>19</v>
      </c>
      <c r="O50" s="440">
        <f>IFERROR(INDEX('[9]CN BC'!$J$10:$J$277,MATCH(B50,'[9]CN BC'!$H$10:$H$277,0)),"")</f>
        <v>20</v>
      </c>
      <c r="P50" s="494">
        <f t="shared" si="3"/>
        <v>11512800</v>
      </c>
      <c r="Q50" s="460"/>
      <c r="R50" s="362">
        <f t="shared" si="4"/>
        <v>0</v>
      </c>
      <c r="S50" s="370"/>
      <c r="T50" s="362">
        <f t="shared" si="5"/>
        <v>0</v>
      </c>
      <c r="U50" s="584">
        <f t="shared" si="6"/>
        <v>95940</v>
      </c>
      <c r="V50" s="371">
        <f t="shared" si="7"/>
        <v>11512800</v>
      </c>
      <c r="W50" s="362">
        <f>VLOOKUP(B50,CN!B47:P309,15,FALSE)</f>
        <v>9138402</v>
      </c>
      <c r="X50" s="653">
        <f t="shared" si="10"/>
        <v>2374398</v>
      </c>
      <c r="Y50" s="572">
        <f t="shared" si="14"/>
        <v>39</v>
      </c>
      <c r="Z50" s="493">
        <f>IFERROR(INDEX('[10]CN BC'!$M$10:$M$276,MATCH(B50,'[10]CN BC'!$H$10:$H$276,0)),"")</f>
        <v>0</v>
      </c>
      <c r="AA50" s="522" t="s">
        <v>1120</v>
      </c>
      <c r="AD50" s="155"/>
    </row>
    <row r="51" spans="1:40" s="372" customFormat="1" ht="30" customHeight="1">
      <c r="A51" s="379">
        <f>_xlfn.AGGREGATE(4,7,A$11:A50)+1</f>
        <v>40</v>
      </c>
      <c r="B51" s="363" t="s">
        <v>1872</v>
      </c>
      <c r="C51" s="364" t="s">
        <v>966</v>
      </c>
      <c r="D51" s="434" t="s">
        <v>1706</v>
      </c>
      <c r="E51" s="423" t="s">
        <v>1311</v>
      </c>
      <c r="F51" s="366">
        <v>4.9800000000000004</v>
      </c>
      <c r="G51" s="367">
        <v>0.05</v>
      </c>
      <c r="H51" s="368">
        <f t="shared" si="11"/>
        <v>5.2290000000000001</v>
      </c>
      <c r="I51" s="368"/>
      <c r="J51" s="369">
        <f t="shared" si="12"/>
        <v>5.2290000000000001</v>
      </c>
      <c r="K51" s="362">
        <f t="shared" si="13"/>
        <v>9412200</v>
      </c>
      <c r="L51" s="366" t="str">
        <f>VLOOKUP(B51,'[8]Gui chi Quynh'!$B$11:$E$401,4,FALSE)</f>
        <v>A4</v>
      </c>
      <c r="M51" s="494">
        <f t="shared" si="2"/>
        <v>9412200</v>
      </c>
      <c r="N51" s="376">
        <v>19</v>
      </c>
      <c r="O51" s="440">
        <f>IFERROR(INDEX('[9]CN BC'!$J$10:$J$277,MATCH(B51,'[9]CN BC'!$H$10:$H$277,0)),"")</f>
        <v>19</v>
      </c>
      <c r="P51" s="494">
        <f t="shared" si="3"/>
        <v>9412200</v>
      </c>
      <c r="Q51" s="460"/>
      <c r="R51" s="362">
        <f t="shared" si="4"/>
        <v>0</v>
      </c>
      <c r="S51" s="370"/>
      <c r="T51" s="362">
        <f t="shared" si="5"/>
        <v>0</v>
      </c>
      <c r="U51" s="584">
        <f t="shared" si="6"/>
        <v>94122</v>
      </c>
      <c r="V51" s="371">
        <f t="shared" si="7"/>
        <v>9412200</v>
      </c>
      <c r="W51" s="362">
        <f>VLOOKUP(B51,CN!B47:P310,15,FALSE)</f>
        <v>6234930.0000000009</v>
      </c>
      <c r="X51" s="653">
        <f t="shared" si="10"/>
        <v>3177269.9999999991</v>
      </c>
      <c r="Y51" s="572">
        <f t="shared" si="14"/>
        <v>40</v>
      </c>
      <c r="Z51" s="493">
        <f>IFERROR(INDEX('[10]CN BC'!$M$10:$M$276,MATCH(B51,'[10]CN BC'!$H$10:$H$276,0)),"")</f>
        <v>0</v>
      </c>
      <c r="AA51" s="522" t="s">
        <v>1121</v>
      </c>
      <c r="AB51" s="108"/>
      <c r="AC51" s="108"/>
      <c r="AD51" s="487"/>
    </row>
    <row r="52" spans="1:40" s="372" customFormat="1" ht="32.25" customHeight="1">
      <c r="A52" s="379">
        <f>_xlfn.AGGREGATE(4,7,A$11:A51)+1</f>
        <v>41</v>
      </c>
      <c r="B52" s="363" t="s">
        <v>1487</v>
      </c>
      <c r="C52" s="364" t="s">
        <v>917</v>
      </c>
      <c r="D52" s="434" t="s">
        <v>1707</v>
      </c>
      <c r="E52" s="423" t="s">
        <v>1312</v>
      </c>
      <c r="F52" s="373">
        <v>3.99</v>
      </c>
      <c r="G52" s="367"/>
      <c r="H52" s="368">
        <f t="shared" si="11"/>
        <v>3.99</v>
      </c>
      <c r="I52" s="368"/>
      <c r="J52" s="369">
        <f t="shared" si="12"/>
        <v>3.99</v>
      </c>
      <c r="K52" s="362">
        <f t="shared" si="13"/>
        <v>7182000</v>
      </c>
      <c r="L52" s="366" t="str">
        <f>VLOOKUP(B52,'[8]Gui chi Quynh'!$B$11:$E$401,4,FALSE)</f>
        <v>A3</v>
      </c>
      <c r="M52" s="494">
        <f t="shared" si="2"/>
        <v>8618400</v>
      </c>
      <c r="N52" s="376">
        <v>19</v>
      </c>
      <c r="O52" s="440">
        <f>IFERROR(INDEX('[9]CN BC'!$J$10:$J$277,MATCH(B52,'[9]CN BC'!$H$10:$H$277,0)),"")</f>
        <v>19</v>
      </c>
      <c r="P52" s="494">
        <f t="shared" si="3"/>
        <v>8618400</v>
      </c>
      <c r="Q52" s="460"/>
      <c r="R52" s="362">
        <f t="shared" si="4"/>
        <v>0</v>
      </c>
      <c r="S52" s="370"/>
      <c r="T52" s="362">
        <f t="shared" si="5"/>
        <v>0</v>
      </c>
      <c r="U52" s="584">
        <f t="shared" si="6"/>
        <v>71820</v>
      </c>
      <c r="V52" s="371">
        <f t="shared" si="7"/>
        <v>8618400</v>
      </c>
      <c r="W52" s="362">
        <f>VLOOKUP(B52,CN!B48:P311,15,FALSE)</f>
        <v>5601960</v>
      </c>
      <c r="X52" s="653">
        <f t="shared" si="10"/>
        <v>3016440</v>
      </c>
      <c r="Y52" s="568">
        <f t="shared" si="14"/>
        <v>41</v>
      </c>
      <c r="Z52" s="493">
        <f>IFERROR(INDEX('[10]CN BC'!$M$10:$M$276,MATCH(B52,'[10]CN BC'!$H$10:$H$276,0)),"")</f>
        <v>0</v>
      </c>
      <c r="AA52" s="522" t="s">
        <v>1122</v>
      </c>
      <c r="AB52" s="108"/>
      <c r="AC52" s="108"/>
      <c r="AD52" s="487"/>
    </row>
    <row r="53" spans="1:40" s="372" customFormat="1" ht="30" customHeight="1">
      <c r="A53" s="379">
        <f>_xlfn.AGGREGATE(4,7,A$11:A52)+1</f>
        <v>42</v>
      </c>
      <c r="B53" s="363" t="s">
        <v>1488</v>
      </c>
      <c r="C53" s="364" t="s">
        <v>874</v>
      </c>
      <c r="D53" s="434" t="s">
        <v>1708</v>
      </c>
      <c r="E53" s="423" t="s">
        <v>374</v>
      </c>
      <c r="F53" s="373">
        <v>3.66</v>
      </c>
      <c r="G53" s="367"/>
      <c r="H53" s="368">
        <f t="shared" si="11"/>
        <v>3.66</v>
      </c>
      <c r="I53" s="368"/>
      <c r="J53" s="369">
        <f t="shared" si="12"/>
        <v>3.66</v>
      </c>
      <c r="K53" s="362">
        <f t="shared" si="13"/>
        <v>6588000</v>
      </c>
      <c r="L53" s="366" t="str">
        <f>VLOOKUP(B53,'[8]Gui chi Quynh'!$B$11:$E$401,4,FALSE)</f>
        <v>A4</v>
      </c>
      <c r="M53" s="494">
        <f t="shared" si="2"/>
        <v>6588000</v>
      </c>
      <c r="N53" s="376">
        <v>19</v>
      </c>
      <c r="O53" s="440">
        <f>IFERROR(INDEX('[9]CN BC'!$J$10:$J$277,MATCH(B53,'[9]CN BC'!$H$10:$H$277,0)),"")</f>
        <v>19</v>
      </c>
      <c r="P53" s="494">
        <f t="shared" si="3"/>
        <v>6588000</v>
      </c>
      <c r="Q53" s="460"/>
      <c r="R53" s="362">
        <f t="shared" si="4"/>
        <v>0</v>
      </c>
      <c r="S53" s="370"/>
      <c r="T53" s="362">
        <f t="shared" si="5"/>
        <v>0</v>
      </c>
      <c r="U53" s="584">
        <f t="shared" si="6"/>
        <v>65880</v>
      </c>
      <c r="V53" s="371">
        <f t="shared" si="7"/>
        <v>6588000</v>
      </c>
      <c r="W53" s="362">
        <f>VLOOKUP(B53,CN!B48:P312,15,FALSE)</f>
        <v>4282200</v>
      </c>
      <c r="X53" s="653">
        <f t="shared" si="10"/>
        <v>2305800</v>
      </c>
      <c r="Y53" s="568">
        <f t="shared" si="14"/>
        <v>42</v>
      </c>
      <c r="Z53" s="493">
        <f>IFERROR(INDEX('[10]CN BC'!$M$10:$M$276,MATCH(B53,'[10]CN BC'!$H$10:$H$276,0)),"")</f>
        <v>0</v>
      </c>
      <c r="AA53" s="522" t="s">
        <v>1123</v>
      </c>
      <c r="AB53" s="108"/>
      <c r="AC53" s="108"/>
      <c r="AD53" s="155"/>
      <c r="AE53" s="108"/>
      <c r="AF53" s="108"/>
      <c r="AG53" s="108"/>
      <c r="AH53" s="108"/>
      <c r="AI53" s="108"/>
      <c r="AJ53" s="108"/>
    </row>
    <row r="54" spans="1:40" s="372" customFormat="1" ht="30" customHeight="1">
      <c r="A54" s="379">
        <f>_xlfn.AGGREGATE(4,7,A$11:A53)+1</f>
        <v>43</v>
      </c>
      <c r="B54" s="363" t="s">
        <v>1489</v>
      </c>
      <c r="C54" s="364" t="s">
        <v>1423</v>
      </c>
      <c r="D54" s="434" t="s">
        <v>1709</v>
      </c>
      <c r="E54" s="422" t="s">
        <v>1424</v>
      </c>
      <c r="F54" s="373">
        <v>3.33</v>
      </c>
      <c r="G54" s="367"/>
      <c r="H54" s="445">
        <f t="shared" si="11"/>
        <v>3.33</v>
      </c>
      <c r="I54" s="368"/>
      <c r="J54" s="369">
        <f t="shared" si="12"/>
        <v>3.33</v>
      </c>
      <c r="K54" s="362">
        <f t="shared" si="13"/>
        <v>5994000</v>
      </c>
      <c r="L54" s="366" t="str">
        <f>VLOOKUP(B54,'[8]Gui chi Quynh'!$B$11:$E$401,4,FALSE)</f>
        <v>A3</v>
      </c>
      <c r="M54" s="494">
        <f t="shared" si="2"/>
        <v>7192800</v>
      </c>
      <c r="N54" s="376">
        <v>19</v>
      </c>
      <c r="O54" s="440">
        <f>IFERROR(INDEX('[9]CN BC'!$J$10:$J$277,MATCH(B54,'[9]CN BC'!$H$10:$H$277,0)),"")</f>
        <v>20</v>
      </c>
      <c r="P54" s="494">
        <f t="shared" si="3"/>
        <v>7192800</v>
      </c>
      <c r="Q54" s="460"/>
      <c r="R54" s="362">
        <f t="shared" si="4"/>
        <v>0</v>
      </c>
      <c r="S54" s="370"/>
      <c r="T54" s="362">
        <f t="shared" si="5"/>
        <v>0</v>
      </c>
      <c r="U54" s="584">
        <f t="shared" si="6"/>
        <v>59940</v>
      </c>
      <c r="V54" s="371">
        <f t="shared" si="7"/>
        <v>7192800</v>
      </c>
      <c r="W54" s="362">
        <f>VLOOKUP(B54,CN!B49:P313,15,FALSE)</f>
        <v>3896100</v>
      </c>
      <c r="X54" s="653">
        <f t="shared" si="10"/>
        <v>3296700</v>
      </c>
      <c r="Y54" s="568">
        <f t="shared" si="14"/>
        <v>43</v>
      </c>
      <c r="Z54" s="493">
        <f>IFERROR(INDEX('[10]CN BC'!$M$10:$M$276,MATCH(B54,'[10]CN BC'!$H$10:$H$276,0)),"")</f>
        <v>0</v>
      </c>
      <c r="AA54" s="522" t="s">
        <v>1124</v>
      </c>
      <c r="AB54" s="108"/>
      <c r="AC54" s="108"/>
      <c r="AD54" s="155"/>
      <c r="AE54" s="108"/>
      <c r="AF54" s="108"/>
      <c r="AG54" s="108"/>
      <c r="AH54" s="108"/>
      <c r="AI54" s="108"/>
      <c r="AJ54" s="108"/>
    </row>
    <row r="55" spans="1:40" s="372" customFormat="1" ht="30" customHeight="1">
      <c r="A55" s="379">
        <f>_xlfn.AGGREGATE(4,7,A$11:A54)+1</f>
        <v>44</v>
      </c>
      <c r="B55" s="363" t="s">
        <v>1490</v>
      </c>
      <c r="C55" s="364" t="s">
        <v>960</v>
      </c>
      <c r="D55" s="434" t="s">
        <v>1710</v>
      </c>
      <c r="E55" s="422" t="s">
        <v>1425</v>
      </c>
      <c r="F55" s="373">
        <v>3.33</v>
      </c>
      <c r="G55" s="367"/>
      <c r="H55" s="445">
        <f t="shared" si="11"/>
        <v>3.33</v>
      </c>
      <c r="I55" s="368"/>
      <c r="J55" s="369">
        <f t="shared" si="12"/>
        <v>3.33</v>
      </c>
      <c r="K55" s="362">
        <f t="shared" si="13"/>
        <v>5994000</v>
      </c>
      <c r="L55" s="366" t="str">
        <f>VLOOKUP(B55,'[8]Gui chi Quynh'!$B$11:$E$401,4,FALSE)</f>
        <v>A3</v>
      </c>
      <c r="M55" s="494">
        <f t="shared" si="2"/>
        <v>7192800</v>
      </c>
      <c r="N55" s="376">
        <v>19</v>
      </c>
      <c r="O55" s="440">
        <f>IFERROR(INDEX('[9]CN BC'!$J$10:$J$277,MATCH(B55,'[9]CN BC'!$H$10:$H$277,0)),"")</f>
        <v>19</v>
      </c>
      <c r="P55" s="494">
        <f t="shared" si="3"/>
        <v>7192800</v>
      </c>
      <c r="Q55" s="460"/>
      <c r="R55" s="362">
        <f t="shared" si="4"/>
        <v>0</v>
      </c>
      <c r="S55" s="370"/>
      <c r="T55" s="362">
        <f t="shared" si="5"/>
        <v>0</v>
      </c>
      <c r="U55" s="584">
        <f t="shared" si="6"/>
        <v>59940</v>
      </c>
      <c r="V55" s="371">
        <f t="shared" si="7"/>
        <v>7192800</v>
      </c>
      <c r="W55" s="362">
        <f>VLOOKUP(B55,CN!B50:P314,15,FALSE)</f>
        <v>3896100</v>
      </c>
      <c r="X55" s="653">
        <f>V55-W55</f>
        <v>3296700</v>
      </c>
      <c r="Y55" s="568">
        <f t="shared" si="14"/>
        <v>44</v>
      </c>
      <c r="Z55" s="493">
        <f>IFERROR(INDEX('[10]CN BC'!$M$10:$M$276,MATCH(B55,'[10]CN BC'!$H$10:$H$276,0)),"")</f>
        <v>0</v>
      </c>
      <c r="AA55" s="522" t="s">
        <v>1125</v>
      </c>
      <c r="AB55" s="108"/>
      <c r="AC55" s="108"/>
      <c r="AD55" s="155"/>
      <c r="AE55" s="108"/>
      <c r="AF55" s="108"/>
      <c r="AG55" s="108"/>
      <c r="AH55" s="108"/>
      <c r="AI55" s="108"/>
      <c r="AJ55" s="108"/>
    </row>
    <row r="56" spans="1:40" s="372" customFormat="1" ht="30" customHeight="1">
      <c r="A56" s="379">
        <f>_xlfn.AGGREGATE(4,7,A$11:A55)+1</f>
        <v>45</v>
      </c>
      <c r="B56" s="363" t="s">
        <v>1873</v>
      </c>
      <c r="C56" s="364" t="s">
        <v>889</v>
      </c>
      <c r="D56" s="406" t="s">
        <v>1711</v>
      </c>
      <c r="E56" s="423" t="s">
        <v>1322</v>
      </c>
      <c r="F56" s="373">
        <v>3.99</v>
      </c>
      <c r="G56" s="367"/>
      <c r="H56" s="368">
        <f t="shared" si="11"/>
        <v>3.99</v>
      </c>
      <c r="I56" s="368">
        <f>0.25</f>
        <v>0.25</v>
      </c>
      <c r="J56" s="369">
        <f t="shared" si="12"/>
        <v>4.24</v>
      </c>
      <c r="K56" s="362">
        <f t="shared" si="13"/>
        <v>7632000</v>
      </c>
      <c r="L56" s="366" t="str">
        <f>VLOOKUP(B56,'[8]Gui chi Quynh'!$B$11:$E$401,4,FALSE)</f>
        <v>A3</v>
      </c>
      <c r="M56" s="494">
        <f t="shared" si="2"/>
        <v>9158400</v>
      </c>
      <c r="N56" s="376">
        <v>19</v>
      </c>
      <c r="O56" s="440">
        <f>IFERROR(INDEX('[9]CN BC'!$J$10:$J$277,MATCH(B56,'[9]CN BC'!$H$10:$H$277,0)),"")</f>
        <v>20</v>
      </c>
      <c r="P56" s="494">
        <f t="shared" si="3"/>
        <v>9158400</v>
      </c>
      <c r="Q56" s="392"/>
      <c r="R56" s="362">
        <f t="shared" si="4"/>
        <v>0</v>
      </c>
      <c r="S56" s="370"/>
      <c r="T56" s="362">
        <f t="shared" si="5"/>
        <v>0</v>
      </c>
      <c r="U56" s="584">
        <f t="shared" si="6"/>
        <v>76320</v>
      </c>
      <c r="V56" s="371">
        <f t="shared" si="7"/>
        <v>9158400</v>
      </c>
      <c r="W56" s="362">
        <f>VLOOKUP(B56,CN!B51:P315,15,FALSE)</f>
        <v>5346900</v>
      </c>
      <c r="X56" s="653">
        <f t="shared" si="10"/>
        <v>3811500</v>
      </c>
      <c r="Y56" s="568">
        <f t="shared" si="14"/>
        <v>45</v>
      </c>
      <c r="Z56" s="493">
        <f>IFERROR(INDEX('[10]CN BC'!$M$10:$M$276,MATCH(B56,'[10]CN BC'!$H$10:$H$276,0)),"")</f>
        <v>0</v>
      </c>
      <c r="AA56" s="522" t="s">
        <v>1126</v>
      </c>
      <c r="AB56" s="108"/>
      <c r="AC56" s="108"/>
      <c r="AD56" s="155"/>
      <c r="AE56" s="108"/>
      <c r="AF56" s="108"/>
      <c r="AG56" s="108"/>
      <c r="AH56" s="108"/>
      <c r="AI56" s="108"/>
      <c r="AJ56" s="108"/>
      <c r="AK56" s="108"/>
      <c r="AL56" s="108"/>
      <c r="AM56" s="108"/>
      <c r="AN56" s="108"/>
    </row>
    <row r="57" spans="1:40" s="372" customFormat="1" ht="30" customHeight="1">
      <c r="A57" s="379">
        <f>_xlfn.AGGREGATE(4,7,A$11:A56)+1</f>
        <v>46</v>
      </c>
      <c r="B57" s="363" t="s">
        <v>1491</v>
      </c>
      <c r="C57" s="364" t="s">
        <v>1206</v>
      </c>
      <c r="D57" s="434" t="s">
        <v>1712</v>
      </c>
      <c r="E57" s="423" t="s">
        <v>1323</v>
      </c>
      <c r="F57" s="373">
        <v>3.99</v>
      </c>
      <c r="G57" s="367"/>
      <c r="H57" s="368">
        <f t="shared" si="11"/>
        <v>3.99</v>
      </c>
      <c r="I57" s="368"/>
      <c r="J57" s="369">
        <f t="shared" si="12"/>
        <v>3.99</v>
      </c>
      <c r="K57" s="362">
        <f t="shared" si="13"/>
        <v>7182000</v>
      </c>
      <c r="L57" s="366" t="str">
        <f>VLOOKUP(B57,'[8]Gui chi Quynh'!$B$11:$E$401,4,FALSE)</f>
        <v>A3</v>
      </c>
      <c r="M57" s="494">
        <f t="shared" si="2"/>
        <v>8618400</v>
      </c>
      <c r="N57" s="376">
        <v>19</v>
      </c>
      <c r="O57" s="440">
        <f>IFERROR(INDEX('[9]CN BC'!$J$10:$J$277,MATCH(B57,'[9]CN BC'!$H$10:$H$277,0)),"")</f>
        <v>20</v>
      </c>
      <c r="P57" s="494">
        <f t="shared" si="3"/>
        <v>8618400</v>
      </c>
      <c r="Q57" s="460">
        <v>0</v>
      </c>
      <c r="R57" s="362">
        <f>Q57*$G$8*0.8</f>
        <v>0</v>
      </c>
      <c r="S57" s="370"/>
      <c r="T57" s="362">
        <f t="shared" si="5"/>
        <v>0</v>
      </c>
      <c r="U57" s="584">
        <f t="shared" si="6"/>
        <v>71820</v>
      </c>
      <c r="V57" s="371">
        <f t="shared" si="7"/>
        <v>8618400</v>
      </c>
      <c r="W57" s="362">
        <f>VLOOKUP(B57,CN!B57:P316,15,FALSE)</f>
        <v>6065280</v>
      </c>
      <c r="X57" s="653">
        <f t="shared" si="10"/>
        <v>2553120</v>
      </c>
      <c r="Y57" s="568">
        <f t="shared" si="14"/>
        <v>46</v>
      </c>
      <c r="Z57" s="493">
        <f>IFERROR(INDEX('[10]CN BC'!$M$10:$M$276,MATCH(B57,'[10]CN BC'!$H$10:$H$276,0)),"")</f>
        <v>0</v>
      </c>
      <c r="AA57" s="522" t="s">
        <v>1127</v>
      </c>
      <c r="AB57" s="108"/>
      <c r="AC57" s="108"/>
      <c r="AD57" s="155"/>
      <c r="AE57" s="108"/>
      <c r="AF57" s="108"/>
      <c r="AG57" s="108"/>
      <c r="AH57" s="108"/>
      <c r="AI57" s="108"/>
      <c r="AJ57" s="108"/>
    </row>
    <row r="58" spans="1:40" s="372" customFormat="1" ht="30" customHeight="1">
      <c r="A58" s="379">
        <f>_xlfn.AGGREGATE(4,7,A$11:A57)+1</f>
        <v>47</v>
      </c>
      <c r="B58" s="363" t="s">
        <v>845</v>
      </c>
      <c r="C58" s="364" t="s">
        <v>992</v>
      </c>
      <c r="D58" s="434" t="s">
        <v>1713</v>
      </c>
      <c r="E58" s="423" t="s">
        <v>1324</v>
      </c>
      <c r="F58" s="373">
        <v>3.99</v>
      </c>
      <c r="G58" s="367"/>
      <c r="H58" s="368">
        <f t="shared" si="11"/>
        <v>3.99</v>
      </c>
      <c r="I58" s="368"/>
      <c r="J58" s="369">
        <f t="shared" si="12"/>
        <v>3.99</v>
      </c>
      <c r="K58" s="362">
        <f t="shared" si="13"/>
        <v>7182000</v>
      </c>
      <c r="L58" s="366" t="str">
        <f>VLOOKUP(B58,'[8]Gui chi Quynh'!$B$11:$E$401,4,FALSE)</f>
        <v>A3</v>
      </c>
      <c r="M58" s="494">
        <f t="shared" si="2"/>
        <v>8618400</v>
      </c>
      <c r="N58" s="376">
        <v>19</v>
      </c>
      <c r="O58" s="440">
        <f>IFERROR(INDEX('[9]CN BC'!$J$10:$J$277,MATCH(B58,'[9]CN BC'!$H$10:$H$277,0)),"")</f>
        <v>20</v>
      </c>
      <c r="P58" s="494">
        <f t="shared" si="3"/>
        <v>8618400</v>
      </c>
      <c r="Q58" s="392"/>
      <c r="R58" s="362">
        <f t="shared" ref="R58:R118" si="15">Q58*$G$8*1</f>
        <v>0</v>
      </c>
      <c r="S58" s="370"/>
      <c r="T58" s="362">
        <f t="shared" si="5"/>
        <v>0</v>
      </c>
      <c r="U58" s="584">
        <f t="shared" si="6"/>
        <v>71820</v>
      </c>
      <c r="V58" s="371">
        <f t="shared" si="7"/>
        <v>8618400</v>
      </c>
      <c r="W58" s="362">
        <f>VLOOKUP(B58,CN!B16:P317,15,FALSE)</f>
        <v>5601960</v>
      </c>
      <c r="X58" s="653">
        <f t="shared" si="10"/>
        <v>3016440</v>
      </c>
      <c r="Y58" s="568">
        <f t="shared" si="14"/>
        <v>47</v>
      </c>
      <c r="Z58" s="493">
        <f>IFERROR(INDEX('[10]CN BC'!$M$10:$M$276,MATCH(B58,'[10]CN BC'!$H$10:$H$276,0)),"")</f>
        <v>0</v>
      </c>
      <c r="AA58" s="522" t="s">
        <v>1131</v>
      </c>
      <c r="AB58" s="108"/>
      <c r="AC58" s="108"/>
      <c r="AD58" s="155"/>
      <c r="AE58" s="108"/>
      <c r="AF58" s="108"/>
      <c r="AG58" s="108"/>
      <c r="AH58" s="108"/>
      <c r="AI58" s="108"/>
      <c r="AJ58" s="108"/>
    </row>
    <row r="59" spans="1:40" s="372" customFormat="1" ht="31.5" customHeight="1">
      <c r="A59" s="379">
        <f>_xlfn.AGGREGATE(4,7,A$11:A58)+1</f>
        <v>48</v>
      </c>
      <c r="B59" s="363" t="s">
        <v>1492</v>
      </c>
      <c r="C59" s="364" t="s">
        <v>889</v>
      </c>
      <c r="D59" s="406" t="s">
        <v>1714</v>
      </c>
      <c r="E59" s="194" t="s">
        <v>1938</v>
      </c>
      <c r="F59" s="373">
        <v>3.99</v>
      </c>
      <c r="G59" s="367"/>
      <c r="H59" s="368">
        <f t="shared" si="11"/>
        <v>3.99</v>
      </c>
      <c r="I59" s="368"/>
      <c r="J59" s="369">
        <f t="shared" si="12"/>
        <v>3.99</v>
      </c>
      <c r="K59" s="362">
        <f t="shared" si="13"/>
        <v>7182000</v>
      </c>
      <c r="L59" s="366" t="str">
        <f>VLOOKUP(B59,'[8]Gui chi Quynh'!$B$11:$E$401,4,FALSE)</f>
        <v>A3</v>
      </c>
      <c r="M59" s="494">
        <f t="shared" si="2"/>
        <v>8618400</v>
      </c>
      <c r="N59" s="376">
        <v>19</v>
      </c>
      <c r="O59" s="440">
        <f>IFERROR(INDEX('[9]CN BC'!$J$10:$J$277,MATCH(B59,'[9]CN BC'!$H$10:$H$277,0)),"")</f>
        <v>20</v>
      </c>
      <c r="P59" s="494">
        <f t="shared" si="3"/>
        <v>8618400</v>
      </c>
      <c r="Q59" s="392"/>
      <c r="R59" s="362">
        <f t="shared" si="15"/>
        <v>0</v>
      </c>
      <c r="S59" s="385"/>
      <c r="T59" s="362">
        <f t="shared" si="5"/>
        <v>0</v>
      </c>
      <c r="U59" s="584">
        <f t="shared" si="6"/>
        <v>71820</v>
      </c>
      <c r="V59" s="371">
        <f t="shared" si="7"/>
        <v>8618400</v>
      </c>
      <c r="W59" s="362">
        <f>VLOOKUP(B59,CN!B57:P318,15,FALSE)</f>
        <v>6945120</v>
      </c>
      <c r="X59" s="653">
        <f t="shared" si="10"/>
        <v>1673280</v>
      </c>
      <c r="Y59" s="568">
        <f t="shared" si="14"/>
        <v>48</v>
      </c>
      <c r="Z59" s="493">
        <f>IFERROR(INDEX('[10]CN BC'!$M$10:$M$276,MATCH(B59,'[10]CN BC'!$H$10:$H$276,0)),"")</f>
        <v>0</v>
      </c>
      <c r="AA59" s="522" t="s">
        <v>1132</v>
      </c>
      <c r="AB59" s="108"/>
      <c r="AC59" s="108"/>
      <c r="AD59" s="155"/>
      <c r="AE59" s="108"/>
      <c r="AF59" s="108"/>
      <c r="AG59" s="108"/>
      <c r="AH59" s="108"/>
      <c r="AI59" s="108"/>
      <c r="AJ59" s="108"/>
      <c r="AK59" s="108"/>
      <c r="AL59" s="108"/>
      <c r="AM59" s="108"/>
      <c r="AN59" s="108"/>
    </row>
    <row r="60" spans="1:40" s="372" customFormat="1" ht="31.5" customHeight="1">
      <c r="A60" s="379">
        <f>_xlfn.AGGREGATE(4,7,A$11:A59)+1</f>
        <v>49</v>
      </c>
      <c r="B60" s="363" t="s">
        <v>1558</v>
      </c>
      <c r="C60" s="364"/>
      <c r="D60" s="434" t="s">
        <v>1715</v>
      </c>
      <c r="E60" s="423" t="s">
        <v>21</v>
      </c>
      <c r="F60" s="373">
        <v>4.32</v>
      </c>
      <c r="G60" s="367"/>
      <c r="H60" s="368">
        <f t="shared" si="11"/>
        <v>4.32</v>
      </c>
      <c r="I60" s="368"/>
      <c r="J60" s="369">
        <f t="shared" si="12"/>
        <v>4.32</v>
      </c>
      <c r="K60" s="362">
        <f t="shared" si="13"/>
        <v>7776000.0000000009</v>
      </c>
      <c r="L60" s="366" t="str">
        <f>VLOOKUP(B60,'[8]Gui chi Quynh'!$B$11:$E$401,4,FALSE)</f>
        <v>A3</v>
      </c>
      <c r="M60" s="494">
        <f t="shared" si="2"/>
        <v>9331200</v>
      </c>
      <c r="N60" s="376">
        <v>19</v>
      </c>
      <c r="O60" s="440">
        <f>IFERROR(INDEX('[9]CN BC'!$J$10:$J$277,MATCH(B60,'[9]CN BC'!$H$10:$H$277,0)),"")</f>
        <v>20</v>
      </c>
      <c r="P60" s="494">
        <f t="shared" si="3"/>
        <v>9331200</v>
      </c>
      <c r="Q60" s="392"/>
      <c r="R60" s="362">
        <f t="shared" si="15"/>
        <v>0</v>
      </c>
      <c r="S60" s="370"/>
      <c r="T60" s="362">
        <f t="shared" si="5"/>
        <v>0</v>
      </c>
      <c r="U60" s="584">
        <f t="shared" si="6"/>
        <v>77760</v>
      </c>
      <c r="V60" s="371">
        <f t="shared" si="7"/>
        <v>9331200</v>
      </c>
      <c r="W60" s="362">
        <f>VLOOKUP(B60,CN!B59:P319,15,FALSE)</f>
        <v>5440500</v>
      </c>
      <c r="X60" s="653">
        <f t="shared" si="10"/>
        <v>3890700</v>
      </c>
      <c r="Y60" s="568">
        <f t="shared" si="14"/>
        <v>49</v>
      </c>
      <c r="Z60" s="493"/>
      <c r="AA60" s="522" t="s">
        <v>1133</v>
      </c>
      <c r="AB60" s="108"/>
      <c r="AC60" s="108"/>
      <c r="AD60" s="155"/>
      <c r="AE60" s="108"/>
      <c r="AF60" s="108"/>
      <c r="AG60" s="108"/>
      <c r="AH60" s="108"/>
      <c r="AI60" s="108"/>
      <c r="AJ60" s="108"/>
    </row>
    <row r="61" spans="1:40" s="372" customFormat="1" ht="31.5" customHeight="1">
      <c r="A61" s="379">
        <f>_xlfn.AGGREGATE(4,7,A$11:A60)+1</f>
        <v>50</v>
      </c>
      <c r="B61" s="363" t="s">
        <v>1493</v>
      </c>
      <c r="C61" s="364" t="s">
        <v>874</v>
      </c>
      <c r="D61" s="434" t="s">
        <v>1716</v>
      </c>
      <c r="E61" s="423" t="s">
        <v>1330</v>
      </c>
      <c r="F61" s="366">
        <v>4.6500000000000004</v>
      </c>
      <c r="G61" s="367"/>
      <c r="H61" s="368">
        <f t="shared" si="11"/>
        <v>4.6500000000000004</v>
      </c>
      <c r="I61" s="368"/>
      <c r="J61" s="369">
        <f t="shared" si="12"/>
        <v>4.6500000000000004</v>
      </c>
      <c r="K61" s="362">
        <f t="shared" si="13"/>
        <v>8370000.0000000009</v>
      </c>
      <c r="L61" s="366" t="str">
        <f>VLOOKUP(B61,'[8]Gui chi Quynh'!$B$11:$E$401,4,FALSE)</f>
        <v>A3</v>
      </c>
      <c r="M61" s="494">
        <f t="shared" si="2"/>
        <v>10044000</v>
      </c>
      <c r="N61" s="376">
        <v>19</v>
      </c>
      <c r="O61" s="440">
        <f>IFERROR(INDEX('[9]CN BC'!$J$10:$J$277,MATCH(B61,'[9]CN BC'!$H$10:$H$277,0)),"")</f>
        <v>19</v>
      </c>
      <c r="P61" s="494">
        <f t="shared" si="3"/>
        <v>10044000</v>
      </c>
      <c r="Q61" s="460"/>
      <c r="R61" s="362">
        <f t="shared" si="15"/>
        <v>0</v>
      </c>
      <c r="S61" s="370"/>
      <c r="T61" s="362">
        <f t="shared" si="5"/>
        <v>0</v>
      </c>
      <c r="U61" s="584">
        <f t="shared" si="6"/>
        <v>83700</v>
      </c>
      <c r="V61" s="371">
        <f t="shared" si="7"/>
        <v>10044000</v>
      </c>
      <c r="W61" s="362">
        <f>VLOOKUP(B61,CN!B60:P320,15,FALSE)</f>
        <v>6528600</v>
      </c>
      <c r="X61" s="653">
        <f t="shared" si="10"/>
        <v>3515400</v>
      </c>
      <c r="Y61" s="568">
        <f t="shared" si="14"/>
        <v>50</v>
      </c>
      <c r="Z61" s="493">
        <f>IFERROR(INDEX('[10]CN BC'!$M$10:$M$276,MATCH(B61,'[10]CN BC'!$H$10:$H$276,0)),"")</f>
        <v>0</v>
      </c>
      <c r="AA61" s="522" t="s">
        <v>1142</v>
      </c>
      <c r="AB61" s="108"/>
      <c r="AC61" s="108"/>
      <c r="AD61" s="155"/>
    </row>
    <row r="62" spans="1:40" s="372" customFormat="1" ht="31.5" customHeight="1">
      <c r="A62" s="379">
        <f>_xlfn.AGGREGATE(4,7,A$11:A61)+1</f>
        <v>51</v>
      </c>
      <c r="B62" s="363" t="s">
        <v>1874</v>
      </c>
      <c r="C62" s="364" t="s">
        <v>986</v>
      </c>
      <c r="D62" s="434" t="s">
        <v>1717</v>
      </c>
      <c r="E62" s="423" t="s">
        <v>1331</v>
      </c>
      <c r="F62" s="366">
        <v>4.6500000000000004</v>
      </c>
      <c r="G62" s="367"/>
      <c r="H62" s="368">
        <f t="shared" si="11"/>
        <v>4.6500000000000004</v>
      </c>
      <c r="I62" s="368"/>
      <c r="J62" s="369">
        <f t="shared" si="12"/>
        <v>4.6500000000000004</v>
      </c>
      <c r="K62" s="362">
        <f t="shared" si="13"/>
        <v>8370000.0000000009</v>
      </c>
      <c r="L62" s="366" t="str">
        <f>VLOOKUP(B62,'[8]Gui chi Quynh'!$B$11:$E$401,4,FALSE)</f>
        <v>A4</v>
      </c>
      <c r="M62" s="494">
        <f t="shared" si="2"/>
        <v>8370000.0000000009</v>
      </c>
      <c r="N62" s="376">
        <v>19</v>
      </c>
      <c r="O62" s="440">
        <f>IFERROR(INDEX('[9]CN BC'!$J$10:$J$277,MATCH(B62,'[9]CN BC'!$H$10:$H$277,0)),"")</f>
        <v>19</v>
      </c>
      <c r="P62" s="494">
        <f t="shared" si="3"/>
        <v>8370000.0000000009</v>
      </c>
      <c r="Q62" s="460"/>
      <c r="R62" s="362">
        <f t="shared" si="15"/>
        <v>0</v>
      </c>
      <c r="S62" s="370"/>
      <c r="T62" s="362">
        <f t="shared" si="5"/>
        <v>0</v>
      </c>
      <c r="U62" s="584">
        <f t="shared" si="6"/>
        <v>83700</v>
      </c>
      <c r="V62" s="371">
        <f t="shared" si="7"/>
        <v>8370000.0000000009</v>
      </c>
      <c r="W62" s="362">
        <f>VLOOKUP(B62,CN!B61:P321,15,FALSE)</f>
        <v>5826600.0000000009</v>
      </c>
      <c r="X62" s="653">
        <f t="shared" si="10"/>
        <v>2543400</v>
      </c>
      <c r="Y62" s="568">
        <f t="shared" si="14"/>
        <v>51</v>
      </c>
      <c r="Z62" s="493">
        <f>IFERROR(INDEX('[10]CN BC'!$M$10:$M$276,MATCH(B62,'[10]CN BC'!$H$10:$H$276,0)),"")</f>
        <v>0</v>
      </c>
      <c r="AA62" s="522" t="s">
        <v>1143</v>
      </c>
      <c r="AB62" s="108"/>
      <c r="AC62" s="108"/>
      <c r="AD62" s="155"/>
      <c r="AE62" s="108"/>
      <c r="AF62" s="108"/>
      <c r="AG62" s="108"/>
      <c r="AH62" s="108"/>
      <c r="AI62" s="108"/>
      <c r="AJ62" s="108"/>
    </row>
    <row r="63" spans="1:40" s="372" customFormat="1" ht="31.5" customHeight="1">
      <c r="A63" s="379">
        <f>_xlfn.AGGREGATE(4,7,A$11:A62)+1</f>
        <v>52</v>
      </c>
      <c r="B63" s="363" t="s">
        <v>1875</v>
      </c>
      <c r="C63" s="364" t="s">
        <v>987</v>
      </c>
      <c r="D63" s="434" t="s">
        <v>1718</v>
      </c>
      <c r="E63" s="423" t="s">
        <v>1332</v>
      </c>
      <c r="F63" s="366">
        <v>4.6500000000000004</v>
      </c>
      <c r="G63" s="367"/>
      <c r="H63" s="368">
        <f t="shared" si="11"/>
        <v>4.6500000000000004</v>
      </c>
      <c r="I63" s="368"/>
      <c r="J63" s="369">
        <f t="shared" si="12"/>
        <v>4.6500000000000004</v>
      </c>
      <c r="K63" s="362">
        <f t="shared" si="13"/>
        <v>8370000.0000000009</v>
      </c>
      <c r="L63" s="366" t="str">
        <f>VLOOKUP(B63,'[8]Gui chi Quynh'!$B$11:$E$401,4,FALSE)</f>
        <v>A3</v>
      </c>
      <c r="M63" s="494">
        <f t="shared" si="2"/>
        <v>10044000</v>
      </c>
      <c r="N63" s="376">
        <v>19</v>
      </c>
      <c r="O63" s="440">
        <f>IFERROR(INDEX('[9]CN BC'!$J$10:$J$277,MATCH(B63,'[9]CN BC'!$H$10:$H$277,0)),"")</f>
        <v>19</v>
      </c>
      <c r="P63" s="494">
        <f t="shared" si="3"/>
        <v>10044000</v>
      </c>
      <c r="Q63" s="460"/>
      <c r="R63" s="362">
        <f t="shared" si="15"/>
        <v>0</v>
      </c>
      <c r="S63" s="370"/>
      <c r="T63" s="362">
        <f t="shared" si="5"/>
        <v>0</v>
      </c>
      <c r="U63" s="584">
        <f t="shared" si="6"/>
        <v>83700</v>
      </c>
      <c r="V63" s="371">
        <f t="shared" si="7"/>
        <v>10044000</v>
      </c>
      <c r="W63" s="362">
        <f>VLOOKUP(B63,CN!B62:P322,15,FALSE)</f>
        <v>5440500</v>
      </c>
      <c r="X63" s="653">
        <f t="shared" si="10"/>
        <v>4603500</v>
      </c>
      <c r="Y63" s="568">
        <f t="shared" si="14"/>
        <v>52</v>
      </c>
      <c r="Z63" s="493">
        <f>IFERROR(INDEX('[10]CN BC'!$M$10:$M$276,MATCH(B63,'[10]CN BC'!$H$10:$H$276,0)),"")</f>
        <v>0</v>
      </c>
      <c r="AA63" s="522" t="s">
        <v>1144</v>
      </c>
      <c r="AB63" s="108"/>
      <c r="AC63" s="108"/>
      <c r="AD63" s="155"/>
    </row>
    <row r="64" spans="1:40" s="372" customFormat="1" ht="31.5" customHeight="1">
      <c r="A64" s="379">
        <f>_xlfn.AGGREGATE(4,7,A$11:A63)+1</f>
        <v>53</v>
      </c>
      <c r="B64" s="363" t="s">
        <v>1494</v>
      </c>
      <c r="C64" s="364" t="s">
        <v>967</v>
      </c>
      <c r="D64" s="434" t="s">
        <v>1719</v>
      </c>
      <c r="E64" s="423" t="s">
        <v>1333</v>
      </c>
      <c r="F64" s="373">
        <v>3.99</v>
      </c>
      <c r="G64" s="367"/>
      <c r="H64" s="368">
        <f t="shared" si="11"/>
        <v>3.99</v>
      </c>
      <c r="I64" s="368"/>
      <c r="J64" s="369">
        <f t="shared" si="12"/>
        <v>3.99</v>
      </c>
      <c r="K64" s="362">
        <f t="shared" si="13"/>
        <v>7182000</v>
      </c>
      <c r="L64" s="366" t="str">
        <f>VLOOKUP(B64,'[8]Gui chi Quynh'!$B$11:$E$401,4,FALSE)</f>
        <v>A3</v>
      </c>
      <c r="M64" s="494">
        <f t="shared" ref="M64:M124" si="16">IF(L64="A1",K64*1.6,IF(L64="A2",K64*1.4,IF(L64="A3",K64*1.2,IF(L64="A4",K64*1,IF(L64="B1",K64*0.7,IF(L64="B2",K64*0.5,IF(L64="C1",K64*0.3,IF(L64="C2",K64*0.2,0))))))))</f>
        <v>8618400</v>
      </c>
      <c r="N64" s="376">
        <v>19</v>
      </c>
      <c r="O64" s="440">
        <f>IFERROR(INDEX('[9]CN BC'!$J$10:$J$277,MATCH(B64,'[9]CN BC'!$H$10:$H$277,0)),"")</f>
        <v>19</v>
      </c>
      <c r="P64" s="494">
        <f t="shared" ref="P64:P65" si="17">IF(O64&gt;=N64,M64,M64/N64*O64)</f>
        <v>8618400</v>
      </c>
      <c r="Q64" s="460"/>
      <c r="R64" s="362">
        <f t="shared" si="15"/>
        <v>0</v>
      </c>
      <c r="S64" s="370"/>
      <c r="T64" s="362">
        <f t="shared" ref="T64:T65" si="18">S64*$G$8*1</f>
        <v>0</v>
      </c>
      <c r="U64" s="584">
        <f t="shared" ref="U64:U124" si="19">IF(OR(L64="A DN",L64="KXL", L64=""),"0",ROUND(J64*0.01*$G$8+Q64*1%*$G$8+S64*1%*$G$8,))</f>
        <v>71820</v>
      </c>
      <c r="V64" s="371">
        <f t="shared" si="7"/>
        <v>8618400</v>
      </c>
      <c r="W64" s="362">
        <f>VLOOKUP(B64,CN!B63:P323,15,FALSE)</f>
        <v>5601960</v>
      </c>
      <c r="X64" s="653">
        <f t="shared" si="10"/>
        <v>3016440</v>
      </c>
      <c r="Y64" s="568">
        <f t="shared" ref="Y64:Y124" si="20">A64</f>
        <v>53</v>
      </c>
      <c r="Z64" s="493">
        <f>IFERROR(INDEX('[10]CN BC'!$M$10:$M$276,MATCH(B64,'[10]CN BC'!$H$10:$H$276,0)),"")</f>
        <v>0</v>
      </c>
      <c r="AA64" s="522" t="s">
        <v>1145</v>
      </c>
      <c r="AB64" s="108"/>
      <c r="AC64" s="108"/>
      <c r="AD64" s="155"/>
      <c r="AE64" s="108"/>
      <c r="AF64" s="108"/>
      <c r="AG64" s="108"/>
      <c r="AH64" s="108"/>
      <c r="AI64" s="108"/>
      <c r="AJ64" s="108"/>
    </row>
    <row r="65" spans="1:40" s="372" customFormat="1" ht="31.5" customHeight="1">
      <c r="A65" s="379">
        <f>_xlfn.AGGREGATE(4,7,A$11:A64)+1</f>
        <v>54</v>
      </c>
      <c r="B65" s="363" t="s">
        <v>1495</v>
      </c>
      <c r="C65" s="364" t="s">
        <v>1200</v>
      </c>
      <c r="D65" s="434" t="s">
        <v>1720</v>
      </c>
      <c r="E65" s="423" t="s">
        <v>1335</v>
      </c>
      <c r="F65" s="366">
        <v>4.9800000000000004</v>
      </c>
      <c r="G65" s="367"/>
      <c r="H65" s="368">
        <f t="shared" si="11"/>
        <v>4.9800000000000004</v>
      </c>
      <c r="I65" s="368"/>
      <c r="J65" s="369">
        <f t="shared" si="12"/>
        <v>4.9800000000000004</v>
      </c>
      <c r="K65" s="362">
        <f t="shared" si="13"/>
        <v>8964000</v>
      </c>
      <c r="L65" s="366" t="str">
        <f>VLOOKUP(B65,'[8]Gui chi Quynh'!$B$11:$E$401,4,FALSE)</f>
        <v>A3</v>
      </c>
      <c r="M65" s="494">
        <f t="shared" si="16"/>
        <v>10756800</v>
      </c>
      <c r="N65" s="376">
        <v>19</v>
      </c>
      <c r="O65" s="440">
        <f>IFERROR(INDEX('[9]CN BC'!$J$10:$J$277,MATCH(B65,'[9]CN BC'!$H$10:$H$277,0)),"")</f>
        <v>19</v>
      </c>
      <c r="P65" s="494">
        <f t="shared" si="17"/>
        <v>10756800</v>
      </c>
      <c r="Q65" s="460"/>
      <c r="R65" s="362">
        <f t="shared" si="15"/>
        <v>0</v>
      </c>
      <c r="S65" s="370"/>
      <c r="T65" s="362">
        <f t="shared" si="18"/>
        <v>0</v>
      </c>
      <c r="U65" s="584">
        <f t="shared" si="19"/>
        <v>89640</v>
      </c>
      <c r="V65" s="371">
        <f t="shared" si="7"/>
        <v>10756800</v>
      </c>
      <c r="W65" s="362">
        <f>VLOOKUP(B65,CN!B64:P324,15,FALSE)</f>
        <v>6117930</v>
      </c>
      <c r="X65" s="653">
        <f t="shared" si="10"/>
        <v>4638870</v>
      </c>
      <c r="Y65" s="568">
        <f t="shared" si="20"/>
        <v>54</v>
      </c>
      <c r="Z65" s="493">
        <f>IFERROR(INDEX('[10]CN BC'!$M$10:$M$276,MATCH(B65,'[10]CN BC'!$H$10:$H$276,0)),"")</f>
        <v>0</v>
      </c>
      <c r="AA65" s="522" t="s">
        <v>1146</v>
      </c>
      <c r="AB65" s="108"/>
      <c r="AC65" s="108"/>
      <c r="AD65" s="155"/>
      <c r="AE65" s="108"/>
      <c r="AF65" s="108"/>
      <c r="AG65" s="108"/>
      <c r="AH65" s="108"/>
      <c r="AI65" s="108"/>
      <c r="AJ65" s="108"/>
    </row>
    <row r="66" spans="1:40" s="372" customFormat="1" ht="31.5" customHeight="1">
      <c r="A66" s="379">
        <f>_xlfn.AGGREGATE(4,7,A$11:A65)+1</f>
        <v>55</v>
      </c>
      <c r="B66" s="363" t="s">
        <v>1876</v>
      </c>
      <c r="C66" s="364" t="s">
        <v>448</v>
      </c>
      <c r="D66" s="434" t="s">
        <v>1721</v>
      </c>
      <c r="E66" s="423" t="s">
        <v>504</v>
      </c>
      <c r="F66" s="373">
        <v>3.99</v>
      </c>
      <c r="G66" s="367"/>
      <c r="H66" s="368">
        <f t="shared" si="11"/>
        <v>3.99</v>
      </c>
      <c r="I66" s="368"/>
      <c r="J66" s="369">
        <f t="shared" si="12"/>
        <v>3.99</v>
      </c>
      <c r="K66" s="362">
        <f t="shared" si="13"/>
        <v>7182000</v>
      </c>
      <c r="L66" s="366" t="str">
        <f>VLOOKUP(B66,'[8]Gui chi Quynh'!$B$11:$E$401,4,FALSE)</f>
        <v>A3</v>
      </c>
      <c r="M66" s="494">
        <f t="shared" si="16"/>
        <v>8618400</v>
      </c>
      <c r="N66" s="376">
        <v>19</v>
      </c>
      <c r="O66" s="440">
        <f>IFERROR(INDEX('[9]CN BC'!$J$10:$J$277,MATCH(B66,'[9]CN BC'!$H$10:$H$277,0)),"")</f>
        <v>19</v>
      </c>
      <c r="P66" s="494">
        <f>IF(O66&gt;=N66,M66,M66/N66*O66)</f>
        <v>8618400</v>
      </c>
      <c r="Q66" s="460"/>
      <c r="R66" s="362">
        <f t="shared" si="15"/>
        <v>0</v>
      </c>
      <c r="S66" s="370"/>
      <c r="T66" s="362">
        <f>S66*$G$8*1</f>
        <v>0</v>
      </c>
      <c r="U66" s="584">
        <f t="shared" si="19"/>
        <v>71820</v>
      </c>
      <c r="V66" s="371">
        <f t="shared" ref="V66:V127" si="21">(P66+R66+T66)</f>
        <v>8618400</v>
      </c>
      <c r="W66" s="362">
        <f>VLOOKUP(B66,CN!B67:P325,15,FALSE)</f>
        <v>5601960</v>
      </c>
      <c r="X66" s="653">
        <f>V66-W66</f>
        <v>3016440</v>
      </c>
      <c r="Y66" s="568">
        <f t="shared" si="20"/>
        <v>55</v>
      </c>
      <c r="Z66" s="493">
        <f>IFERROR(INDEX('[10]CN BC'!$M$10:$M$276,MATCH(B66,'[10]CN BC'!$H$10:$H$276,0)),"")</f>
        <v>0</v>
      </c>
      <c r="AA66" s="522" t="s">
        <v>1147</v>
      </c>
      <c r="AB66" s="108"/>
      <c r="AC66" s="108"/>
      <c r="AD66" s="155"/>
      <c r="AE66" s="108"/>
      <c r="AF66" s="108"/>
      <c r="AG66" s="108"/>
      <c r="AH66" s="108"/>
      <c r="AI66" s="108"/>
      <c r="AJ66" s="108"/>
    </row>
    <row r="67" spans="1:40" s="372" customFormat="1" ht="31.5" customHeight="1">
      <c r="A67" s="379">
        <f>_xlfn.AGGREGATE(4,7,A$11:A66)+1</f>
        <v>56</v>
      </c>
      <c r="B67" s="363" t="s">
        <v>1496</v>
      </c>
      <c r="C67" s="364" t="s">
        <v>883</v>
      </c>
      <c r="D67" s="434" t="s">
        <v>1722</v>
      </c>
      <c r="E67" s="422" t="s">
        <v>1589</v>
      </c>
      <c r="F67" s="373">
        <v>3.33</v>
      </c>
      <c r="G67" s="367"/>
      <c r="H67" s="445">
        <f t="shared" si="11"/>
        <v>3.33</v>
      </c>
      <c r="I67" s="368">
        <v>0.45</v>
      </c>
      <c r="J67" s="369">
        <f t="shared" si="12"/>
        <v>3.7800000000000002</v>
      </c>
      <c r="K67" s="362">
        <f t="shared" si="13"/>
        <v>6804000</v>
      </c>
      <c r="L67" s="366" t="str">
        <f>VLOOKUP(B67,'[8]Gui chi Quynh'!$B$11:$E$401,4,FALSE)</f>
        <v>A3</v>
      </c>
      <c r="M67" s="494">
        <f t="shared" si="16"/>
        <v>8164800</v>
      </c>
      <c r="N67" s="376">
        <v>19</v>
      </c>
      <c r="O67" s="440">
        <f>IFERROR(INDEX('[9]CN BC'!$J$10:$J$277,MATCH(B67,'[9]CN BC'!$H$10:$H$277,0)),"")</f>
        <v>19</v>
      </c>
      <c r="P67" s="494">
        <f>IF(O67&gt;=N67,M67,M67/N67*O67)</f>
        <v>8164800</v>
      </c>
      <c r="Q67" s="392"/>
      <c r="R67" s="362">
        <f t="shared" si="15"/>
        <v>0</v>
      </c>
      <c r="S67" s="370"/>
      <c r="T67" s="362">
        <f>S67*$G$8*1</f>
        <v>0</v>
      </c>
      <c r="U67" s="584">
        <f t="shared" si="19"/>
        <v>68040</v>
      </c>
      <c r="V67" s="371">
        <f t="shared" si="21"/>
        <v>8164800</v>
      </c>
      <c r="W67" s="362">
        <f>VLOOKUP(B67,CN!B67:P326,15,FALSE)</f>
        <v>6191640</v>
      </c>
      <c r="X67" s="653">
        <f t="shared" si="10"/>
        <v>1973160</v>
      </c>
      <c r="Y67" s="568">
        <f t="shared" si="20"/>
        <v>56</v>
      </c>
      <c r="Z67" s="493">
        <f>IFERROR(INDEX('[10]CN BC'!$M$10:$M$276,MATCH(B67,'[10]CN BC'!$H$10:$H$276,0)),"")</f>
        <v>0</v>
      </c>
      <c r="AA67" s="522" t="s">
        <v>1148</v>
      </c>
      <c r="AB67" s="108"/>
      <c r="AC67" s="108"/>
      <c r="AD67" s="155"/>
      <c r="AE67" s="108"/>
      <c r="AF67" s="108"/>
      <c r="AG67" s="108"/>
      <c r="AH67" s="108"/>
      <c r="AI67" s="108"/>
      <c r="AJ67" s="108"/>
    </row>
    <row r="68" spans="1:40" s="372" customFormat="1" ht="31.5" customHeight="1">
      <c r="A68" s="379">
        <f>_xlfn.AGGREGATE(4,7,A$11:A67)+1</f>
        <v>57</v>
      </c>
      <c r="B68" s="363" t="s">
        <v>1497</v>
      </c>
      <c r="C68" s="364" t="s">
        <v>1078</v>
      </c>
      <c r="D68" s="434" t="s">
        <v>1723</v>
      </c>
      <c r="E68" s="422" t="s">
        <v>1590</v>
      </c>
      <c r="F68" s="373">
        <v>3</v>
      </c>
      <c r="G68" s="367"/>
      <c r="H68" s="445">
        <f t="shared" si="11"/>
        <v>3</v>
      </c>
      <c r="I68" s="368"/>
      <c r="J68" s="369">
        <f t="shared" si="12"/>
        <v>3</v>
      </c>
      <c r="K68" s="362">
        <f t="shared" si="13"/>
        <v>5400000</v>
      </c>
      <c r="L68" s="366" t="str">
        <f>VLOOKUP(B68,'[8]Gui chi Quynh'!$B$11:$E$401,4,FALSE)</f>
        <v>A3</v>
      </c>
      <c r="M68" s="494">
        <f t="shared" si="16"/>
        <v>6480000</v>
      </c>
      <c r="N68" s="376">
        <v>19</v>
      </c>
      <c r="O68" s="440">
        <f>IFERROR(INDEX('[9]CN BC'!$J$10:$J$277,MATCH(B68,'[9]CN BC'!$H$10:$H$277,0)),"")</f>
        <v>19</v>
      </c>
      <c r="P68" s="494">
        <f t="shared" ref="P68:P129" si="22">IF(O68&gt;=N68,M68,M68/N68*O68)</f>
        <v>6480000</v>
      </c>
      <c r="Q68" s="460"/>
      <c r="R68" s="362">
        <f t="shared" si="15"/>
        <v>0</v>
      </c>
      <c r="S68" s="370"/>
      <c r="T68" s="362">
        <f>S68*$G$8*1</f>
        <v>0</v>
      </c>
      <c r="U68" s="584">
        <f t="shared" si="19"/>
        <v>54000</v>
      </c>
      <c r="V68" s="371">
        <f t="shared" si="21"/>
        <v>6480000</v>
      </c>
      <c r="W68" s="362">
        <f>VLOOKUP(B68,CN!B68:P327,15,FALSE)</f>
        <v>4675320</v>
      </c>
      <c r="X68" s="653">
        <f t="shared" si="10"/>
        <v>1804680</v>
      </c>
      <c r="Y68" s="568">
        <f t="shared" si="20"/>
        <v>57</v>
      </c>
      <c r="Z68" s="493">
        <f>IFERROR(INDEX('[10]CN BC'!$M$10:$M$276,MATCH(B68,'[10]CN BC'!$H$10:$H$276,0)),"")</f>
        <v>0</v>
      </c>
      <c r="AA68" s="522" t="s">
        <v>1149</v>
      </c>
      <c r="AB68" s="108"/>
      <c r="AC68" s="108"/>
      <c r="AD68" s="155"/>
      <c r="AE68" s="108"/>
      <c r="AF68" s="108"/>
      <c r="AG68" s="108"/>
      <c r="AH68" s="108"/>
      <c r="AI68" s="108"/>
      <c r="AJ68" s="108"/>
    </row>
    <row r="69" spans="1:40" s="372" customFormat="1" ht="31.5" customHeight="1">
      <c r="A69" s="379">
        <f>_xlfn.AGGREGATE(4,7,A$11:A68)+1</f>
        <v>58</v>
      </c>
      <c r="B69" s="363" t="s">
        <v>1929</v>
      </c>
      <c r="C69" s="364"/>
      <c r="D69" s="434" t="s">
        <v>1964</v>
      </c>
      <c r="E69" s="480" t="s">
        <v>1932</v>
      </c>
      <c r="F69" s="366">
        <v>2.34</v>
      </c>
      <c r="G69" s="367"/>
      <c r="H69" s="368">
        <f t="shared" si="11"/>
        <v>2.34</v>
      </c>
      <c r="I69" s="368"/>
      <c r="J69" s="369">
        <f t="shared" si="12"/>
        <v>2.34</v>
      </c>
      <c r="K69" s="362">
        <f t="shared" si="13"/>
        <v>4212000</v>
      </c>
      <c r="L69" s="366" t="str">
        <f>VLOOKUP(B69,'[8]Gui chi Quynh'!$B$11:$E$401,4,FALSE)</f>
        <v>A4</v>
      </c>
      <c r="M69" s="494">
        <f t="shared" si="16"/>
        <v>4212000</v>
      </c>
      <c r="N69" s="376">
        <v>19</v>
      </c>
      <c r="O69" s="440">
        <f>IFERROR(INDEX('[9]CN BC'!$J$10:$J$277,MATCH(B69,'[9]CN BC'!$H$10:$H$277,0)),"")</f>
        <v>19</v>
      </c>
      <c r="P69" s="494">
        <f t="shared" si="22"/>
        <v>4212000</v>
      </c>
      <c r="Q69" s="460"/>
      <c r="R69" s="362">
        <f t="shared" si="15"/>
        <v>0</v>
      </c>
      <c r="S69" s="370"/>
      <c r="T69" s="362">
        <f>S69*$G$8*1</f>
        <v>0</v>
      </c>
      <c r="U69" s="584">
        <f t="shared" si="19"/>
        <v>42120</v>
      </c>
      <c r="V69" s="371">
        <f t="shared" si="21"/>
        <v>4212000</v>
      </c>
      <c r="W69" s="362">
        <f>VLOOKUP(B69,CN!B69:P328,15,FALSE)</f>
        <v>3123900</v>
      </c>
      <c r="X69" s="653">
        <f t="shared" si="10"/>
        <v>1088100</v>
      </c>
      <c r="Y69" s="568">
        <f t="shared" si="20"/>
        <v>58</v>
      </c>
      <c r="Z69" s="493">
        <f>IFERROR(INDEX('[10]CN BC'!$M$10:$M$276,MATCH(B69,'[10]CN BC'!$H$10:$H$276,0)),"")</f>
        <v>0</v>
      </c>
      <c r="AA69" s="522" t="s">
        <v>1150</v>
      </c>
      <c r="AB69" s="108"/>
      <c r="AC69" s="108"/>
      <c r="AD69" s="155"/>
      <c r="AE69" s="108"/>
      <c r="AF69" s="108"/>
      <c r="AG69" s="108"/>
      <c r="AH69" s="108"/>
      <c r="AI69" s="108"/>
      <c r="AJ69" s="108"/>
    </row>
    <row r="70" spans="1:40" s="372" customFormat="1" ht="31.5" customHeight="1">
      <c r="A70" s="379">
        <f>_xlfn.AGGREGATE(4,7,A$11:A69)+1</f>
        <v>59</v>
      </c>
      <c r="B70" s="363" t="s">
        <v>1498</v>
      </c>
      <c r="C70" s="364" t="s">
        <v>958</v>
      </c>
      <c r="D70" s="434" t="s">
        <v>1724</v>
      </c>
      <c r="E70" s="422" t="s">
        <v>1591</v>
      </c>
      <c r="F70" s="373">
        <v>3</v>
      </c>
      <c r="G70" s="367"/>
      <c r="H70" s="445">
        <f t="shared" si="11"/>
        <v>3</v>
      </c>
      <c r="I70" s="368"/>
      <c r="J70" s="369">
        <f t="shared" si="12"/>
        <v>3</v>
      </c>
      <c r="K70" s="362">
        <f t="shared" si="13"/>
        <v>5400000</v>
      </c>
      <c r="L70" s="366" t="str">
        <f>VLOOKUP(B70,'[8]Gui chi Quynh'!$B$11:$E$401,4,FALSE)</f>
        <v>A3</v>
      </c>
      <c r="M70" s="494">
        <f t="shared" si="16"/>
        <v>6480000</v>
      </c>
      <c r="N70" s="376">
        <v>19</v>
      </c>
      <c r="O70" s="440">
        <f>IFERROR(INDEX('[9]CN BC'!$J$10:$J$277,MATCH(B70,'[9]CN BC'!$H$10:$H$277,0)),"")</f>
        <v>19</v>
      </c>
      <c r="P70" s="494">
        <f t="shared" si="22"/>
        <v>6480000</v>
      </c>
      <c r="Q70" s="460"/>
      <c r="R70" s="362">
        <f t="shared" si="15"/>
        <v>0</v>
      </c>
      <c r="S70" s="370"/>
      <c r="T70" s="362">
        <f t="shared" ref="T70:T131" si="23">S70*$G$8*1</f>
        <v>0</v>
      </c>
      <c r="U70" s="584">
        <f t="shared" si="19"/>
        <v>54000</v>
      </c>
      <c r="V70" s="371">
        <f t="shared" si="21"/>
        <v>6480000</v>
      </c>
      <c r="W70" s="362">
        <f>VLOOKUP(B70,CN!B69:P329,15,FALSE)</f>
        <v>5026320</v>
      </c>
      <c r="X70" s="653">
        <f t="shared" si="10"/>
        <v>1453680</v>
      </c>
      <c r="Y70" s="568">
        <f t="shared" si="20"/>
        <v>59</v>
      </c>
      <c r="Z70" s="493">
        <f>IFERROR(INDEX('[10]CN BC'!$M$10:$M$276,MATCH(B70,'[10]CN BC'!$H$10:$H$276,0)),"")</f>
        <v>0</v>
      </c>
      <c r="AA70" s="522" t="s">
        <v>1151</v>
      </c>
      <c r="AB70" s="108"/>
      <c r="AC70" s="108"/>
      <c r="AD70" s="487"/>
    </row>
    <row r="71" spans="1:40" s="372" customFormat="1" ht="30.75" customHeight="1">
      <c r="A71" s="379">
        <f>_xlfn.AGGREGATE(4,7,A$11:A70)+1</f>
        <v>60</v>
      </c>
      <c r="B71" s="363" t="s">
        <v>1925</v>
      </c>
      <c r="C71" s="364"/>
      <c r="D71" s="434" t="s">
        <v>1965</v>
      </c>
      <c r="E71" s="515" t="s">
        <v>1930</v>
      </c>
      <c r="F71" s="366">
        <v>2.34</v>
      </c>
      <c r="G71" s="367"/>
      <c r="H71" s="368">
        <f t="shared" si="11"/>
        <v>2.34</v>
      </c>
      <c r="I71" s="368"/>
      <c r="J71" s="369">
        <f t="shared" si="12"/>
        <v>2.34</v>
      </c>
      <c r="K71" s="362">
        <f t="shared" si="13"/>
        <v>4212000</v>
      </c>
      <c r="L71" s="366" t="str">
        <f>VLOOKUP(B71,'[8]Gui chi Quynh'!$B$11:$E$401,4,FALSE)</f>
        <v>A3</v>
      </c>
      <c r="M71" s="494">
        <f t="shared" si="16"/>
        <v>5054400</v>
      </c>
      <c r="N71" s="376">
        <v>19</v>
      </c>
      <c r="O71" s="440">
        <f>IFERROR(INDEX('[9]CN BC'!$J$10:$J$277,MATCH(B71,'[9]CN BC'!$H$10:$H$277,0)),"")</f>
        <v>19</v>
      </c>
      <c r="P71" s="494">
        <f t="shared" si="22"/>
        <v>5054400</v>
      </c>
      <c r="Q71" s="460"/>
      <c r="R71" s="362">
        <f t="shared" si="15"/>
        <v>0</v>
      </c>
      <c r="S71" s="370"/>
      <c r="T71" s="362">
        <f t="shared" si="23"/>
        <v>0</v>
      </c>
      <c r="U71" s="584">
        <f t="shared" si="19"/>
        <v>42120</v>
      </c>
      <c r="V71" s="371">
        <f t="shared" si="21"/>
        <v>5054400</v>
      </c>
      <c r="W71" s="362">
        <f>VLOOKUP(B71,CN!B70:P330,15,FALSE)</f>
        <v>3748680</v>
      </c>
      <c r="X71" s="653">
        <f t="shared" si="10"/>
        <v>1305720</v>
      </c>
      <c r="Y71" s="568">
        <f t="shared" si="20"/>
        <v>60</v>
      </c>
      <c r="Z71" s="493">
        <f>IFERROR(INDEX('[10]CN BC'!$M$10:$M$276,MATCH(B71,'[10]CN BC'!$H$10:$H$276,0)),"")</f>
        <v>0</v>
      </c>
      <c r="AA71" s="522" t="s">
        <v>1152</v>
      </c>
      <c r="AB71" s="108"/>
      <c r="AC71" s="108"/>
      <c r="AD71" s="487"/>
    </row>
    <row r="72" spans="1:40" s="372" customFormat="1" ht="30.75" customHeight="1">
      <c r="A72" s="379">
        <f>_xlfn.AGGREGATE(4,7,A$11:A71)+1</f>
        <v>61</v>
      </c>
      <c r="B72" s="363" t="s">
        <v>2018</v>
      </c>
      <c r="C72" s="364"/>
      <c r="D72" s="434"/>
      <c r="E72" s="515"/>
      <c r="F72" s="366">
        <v>1.9890000000000001</v>
      </c>
      <c r="G72" s="367"/>
      <c r="H72" s="368">
        <f t="shared" si="11"/>
        <v>1.9890000000000001</v>
      </c>
      <c r="I72" s="368"/>
      <c r="J72" s="369">
        <f t="shared" si="12"/>
        <v>1.9890000000000001</v>
      </c>
      <c r="K72" s="362">
        <f t="shared" si="13"/>
        <v>3580200</v>
      </c>
      <c r="L72" s="366" t="str">
        <f>VLOOKUP(B72,'[8]Gui chi Quynh'!$B$11:$E$401,4,FALSE)</f>
        <v>A4</v>
      </c>
      <c r="M72" s="494">
        <f t="shared" si="16"/>
        <v>3580200</v>
      </c>
      <c r="N72" s="376">
        <v>19</v>
      </c>
      <c r="O72" s="440">
        <f>IFERROR(INDEX('[9]CN BC'!$J$10:$J$277,MATCH(B72,'[9]CN BC'!$H$10:$H$277,0)),"")</f>
        <v>19</v>
      </c>
      <c r="P72" s="494">
        <f t="shared" si="22"/>
        <v>3580200</v>
      </c>
      <c r="Q72" s="460"/>
      <c r="R72" s="362">
        <f t="shared" si="15"/>
        <v>0</v>
      </c>
      <c r="S72" s="370"/>
      <c r="T72" s="362">
        <f t="shared" si="23"/>
        <v>0</v>
      </c>
      <c r="U72" s="584">
        <f t="shared" si="19"/>
        <v>35802</v>
      </c>
      <c r="V72" s="371">
        <f t="shared" si="21"/>
        <v>3580200</v>
      </c>
      <c r="W72" s="362">
        <f>VLOOKUP(B72,CN!B71:P331,15,FALSE)</f>
        <v>3832919.9999999995</v>
      </c>
      <c r="X72" s="653">
        <f>V72-W72</f>
        <v>-252719.99999999953</v>
      </c>
      <c r="Y72" s="568">
        <f t="shared" si="20"/>
        <v>61</v>
      </c>
      <c r="Z72" s="493">
        <f>IFERROR(INDEX('[10]CN BC'!$M$10:$M$276,MATCH(B72,'[10]CN BC'!$H$10:$H$276,0)),"")</f>
        <v>0</v>
      </c>
      <c r="AA72" s="540"/>
      <c r="AD72" s="487"/>
    </row>
    <row r="73" spans="1:40" s="372" customFormat="1" ht="30.75" customHeight="1">
      <c r="A73" s="543">
        <f>_xlfn.AGGREGATE(4,7,A$11:A72)+1</f>
        <v>62</v>
      </c>
      <c r="B73" s="575" t="s">
        <v>2024</v>
      </c>
      <c r="C73" s="527"/>
      <c r="D73" s="576"/>
      <c r="E73" s="593"/>
      <c r="F73" s="548"/>
      <c r="G73" s="528"/>
      <c r="H73" s="472"/>
      <c r="I73" s="472"/>
      <c r="J73" s="529">
        <v>1.9890000000000001</v>
      </c>
      <c r="K73" s="530">
        <f t="shared" si="13"/>
        <v>3580200</v>
      </c>
      <c r="L73" s="548" t="str">
        <f>VLOOKUP(B73,'[8]Gui chi Quynh'!$B$11:$E$401,4,FALSE)</f>
        <v>A4</v>
      </c>
      <c r="M73" s="531">
        <f t="shared" si="16"/>
        <v>3580200</v>
      </c>
      <c r="N73" s="376">
        <v>19</v>
      </c>
      <c r="O73" s="532">
        <f>IFERROR(INDEX('[9]CN BC'!$J$10:$J$277,MATCH(B73,'[9]CN BC'!$H$10:$H$277,0)),"")</f>
        <v>19</v>
      </c>
      <c r="P73" s="531">
        <f t="shared" si="22"/>
        <v>3580200</v>
      </c>
      <c r="Q73" s="533"/>
      <c r="R73" s="530">
        <f t="shared" si="15"/>
        <v>0</v>
      </c>
      <c r="S73" s="534"/>
      <c r="T73" s="530">
        <f t="shared" si="23"/>
        <v>0</v>
      </c>
      <c r="U73" s="530"/>
      <c r="V73" s="547">
        <f t="shared" si="21"/>
        <v>3580200</v>
      </c>
      <c r="W73" s="362">
        <f>VLOOKUP(B73,CN!B74:P332,15,FALSE)</f>
        <v>3285360</v>
      </c>
      <c r="X73" s="653">
        <f t="shared" si="10"/>
        <v>294840</v>
      </c>
      <c r="Y73" s="571"/>
      <c r="Z73" s="550" t="s">
        <v>2025</v>
      </c>
      <c r="AA73" s="540"/>
      <c r="AD73" s="487"/>
    </row>
    <row r="74" spans="1:40" s="372" customFormat="1" ht="30" customHeight="1">
      <c r="A74" s="379">
        <f>_xlfn.AGGREGATE(4,7,A$11:A73)+1</f>
        <v>63</v>
      </c>
      <c r="B74" s="363" t="s">
        <v>1499</v>
      </c>
      <c r="C74" s="525" t="s">
        <v>365</v>
      </c>
      <c r="D74" s="434" t="s">
        <v>1725</v>
      </c>
      <c r="E74" s="423" t="s">
        <v>378</v>
      </c>
      <c r="F74" s="373">
        <v>3.99</v>
      </c>
      <c r="G74" s="526"/>
      <c r="H74" s="368">
        <f t="shared" si="11"/>
        <v>3.99</v>
      </c>
      <c r="I74" s="368">
        <v>0.35</v>
      </c>
      <c r="J74" s="369">
        <f t="shared" si="12"/>
        <v>4.34</v>
      </c>
      <c r="K74" s="362">
        <f t="shared" si="13"/>
        <v>7812000</v>
      </c>
      <c r="L74" s="366" t="str">
        <f>VLOOKUP(B74,'[8]Gui chi Quynh'!$B$11:$E$401,4,FALSE)</f>
        <v>A3</v>
      </c>
      <c r="M74" s="494">
        <f t="shared" si="16"/>
        <v>9374400</v>
      </c>
      <c r="N74" s="376">
        <v>19</v>
      </c>
      <c r="O74" s="440">
        <f>IFERROR(INDEX('[9]CN BC'!$J$10:$J$277,MATCH(B74,'[9]CN BC'!$H$10:$H$277,0)),"")</f>
        <v>19</v>
      </c>
      <c r="P74" s="494">
        <f t="shared" si="22"/>
        <v>9374400</v>
      </c>
      <c r="Q74" s="460"/>
      <c r="R74" s="362">
        <f t="shared" si="15"/>
        <v>0</v>
      </c>
      <c r="S74" s="370"/>
      <c r="T74" s="362">
        <f t="shared" si="23"/>
        <v>0</v>
      </c>
      <c r="U74" s="584">
        <f t="shared" si="19"/>
        <v>78120</v>
      </c>
      <c r="V74" s="371">
        <f t="shared" si="21"/>
        <v>9374400</v>
      </c>
      <c r="W74" s="362">
        <f>VLOOKUP(B74,CN!B79:P334,15,FALSE)</f>
        <v>5054400</v>
      </c>
      <c r="X74" s="653">
        <f t="shared" ref="X74:X135" si="24">V74-W74</f>
        <v>4320000</v>
      </c>
      <c r="Y74" s="568">
        <f t="shared" si="20"/>
        <v>63</v>
      </c>
      <c r="Z74" s="493">
        <f>IFERROR(INDEX('[10]CN BC'!$M$10:$M$276,MATCH(B74,'[10]CN BC'!$H$10:$H$276,0)),"")</f>
        <v>0</v>
      </c>
      <c r="AA74" s="522" t="s">
        <v>812</v>
      </c>
      <c r="AB74" s="108"/>
      <c r="AC74" s="108"/>
      <c r="AD74" s="487"/>
    </row>
    <row r="75" spans="1:40" s="108" customFormat="1" ht="28.5" customHeight="1">
      <c r="A75" s="379">
        <f>_xlfn.AGGREGATE(4,7,A$11:A74)+1</f>
        <v>64</v>
      </c>
      <c r="B75" s="33" t="s">
        <v>843</v>
      </c>
      <c r="C75" s="34" t="s">
        <v>865</v>
      </c>
      <c r="D75" s="406" t="s">
        <v>1726</v>
      </c>
      <c r="E75" s="424" t="s">
        <v>1316</v>
      </c>
      <c r="F75" s="83">
        <v>3.99</v>
      </c>
      <c r="G75" s="157"/>
      <c r="H75" s="368">
        <f t="shared" si="11"/>
        <v>3.99</v>
      </c>
      <c r="I75" s="81">
        <v>0.45</v>
      </c>
      <c r="J75" s="369">
        <f t="shared" si="12"/>
        <v>4.4400000000000004</v>
      </c>
      <c r="K75" s="362">
        <f t="shared" si="13"/>
        <v>7992000.0000000009</v>
      </c>
      <c r="L75" s="366" t="str">
        <f>VLOOKUP(B75,'[8]Gui chi Quynh'!$B$11:$E$401,4,FALSE)</f>
        <v>A3</v>
      </c>
      <c r="M75" s="494">
        <f t="shared" si="16"/>
        <v>9590400</v>
      </c>
      <c r="N75" s="376">
        <v>19</v>
      </c>
      <c r="O75" s="440">
        <f>IFERROR(INDEX('[9]CN BC'!$J$10:$J$277,MATCH(B75,'[9]CN BC'!$H$10:$H$277,0)),"")</f>
        <v>19</v>
      </c>
      <c r="P75" s="494">
        <f t="shared" si="22"/>
        <v>9590400</v>
      </c>
      <c r="Q75" s="392"/>
      <c r="R75" s="362">
        <f t="shared" si="15"/>
        <v>0</v>
      </c>
      <c r="S75" s="385"/>
      <c r="T75" s="362">
        <f t="shared" si="23"/>
        <v>0</v>
      </c>
      <c r="U75" s="584">
        <f t="shared" si="19"/>
        <v>79920</v>
      </c>
      <c r="V75" s="371">
        <f t="shared" si="21"/>
        <v>9590400</v>
      </c>
      <c r="W75" s="362">
        <f>VLOOKUP(B75,CN!B80:P335,15,FALSE)</f>
        <v>7813260.0000000009</v>
      </c>
      <c r="X75" s="653">
        <f t="shared" si="24"/>
        <v>1777139.9999999991</v>
      </c>
      <c r="Y75" s="568">
        <f t="shared" si="20"/>
        <v>64</v>
      </c>
      <c r="Z75" s="493">
        <f>IFERROR(INDEX('[10]CN BC'!$M$10:$M$276,MATCH(B75,'[10]CN BC'!$H$10:$H$276,0)),"")</f>
        <v>0</v>
      </c>
      <c r="AA75" s="522" t="s">
        <v>813</v>
      </c>
      <c r="AD75" s="155"/>
    </row>
    <row r="76" spans="1:40" s="372" customFormat="1" ht="28.5" customHeight="1">
      <c r="A76" s="379">
        <f>_xlfn.AGGREGATE(4,7,A$11:A75)+1</f>
        <v>65</v>
      </c>
      <c r="B76" s="363" t="s">
        <v>846</v>
      </c>
      <c r="C76" s="364" t="s">
        <v>920</v>
      </c>
      <c r="D76" s="406" t="s">
        <v>1727</v>
      </c>
      <c r="E76" s="423" t="s">
        <v>1317</v>
      </c>
      <c r="F76" s="373">
        <v>3.99</v>
      </c>
      <c r="G76" s="367"/>
      <c r="H76" s="368">
        <f t="shared" si="11"/>
        <v>3.99</v>
      </c>
      <c r="I76" s="368">
        <v>0.25</v>
      </c>
      <c r="J76" s="369">
        <f t="shared" si="12"/>
        <v>4.24</v>
      </c>
      <c r="K76" s="362">
        <f t="shared" si="13"/>
        <v>7632000</v>
      </c>
      <c r="L76" s="366" t="str">
        <f>VLOOKUP(B76,'[8]Gui chi Quynh'!$B$11:$E$401,4,FALSE)</f>
        <v>A3</v>
      </c>
      <c r="M76" s="494">
        <f t="shared" si="16"/>
        <v>9158400</v>
      </c>
      <c r="N76" s="376">
        <v>19</v>
      </c>
      <c r="O76" s="440">
        <f>IFERROR(INDEX('[9]CN BC'!$J$10:$J$277,MATCH(B76,'[9]CN BC'!$H$10:$H$277,0)),"")</f>
        <v>19</v>
      </c>
      <c r="P76" s="494">
        <f t="shared" si="22"/>
        <v>9158400</v>
      </c>
      <c r="Q76" s="392"/>
      <c r="R76" s="362">
        <f t="shared" si="15"/>
        <v>0</v>
      </c>
      <c r="S76" s="370"/>
      <c r="T76" s="362">
        <f t="shared" si="23"/>
        <v>0</v>
      </c>
      <c r="U76" s="584">
        <f t="shared" si="19"/>
        <v>76320</v>
      </c>
      <c r="V76" s="371">
        <f t="shared" si="21"/>
        <v>9158400</v>
      </c>
      <c r="W76" s="362">
        <f>VLOOKUP(B76,CN!B44:P336,15,FALSE)</f>
        <v>6416280</v>
      </c>
      <c r="X76" s="653">
        <f t="shared" si="24"/>
        <v>2742120</v>
      </c>
      <c r="Y76" s="568">
        <f t="shared" si="20"/>
        <v>65</v>
      </c>
      <c r="Z76" s="493">
        <f>IFERROR(INDEX('[10]CN BC'!$M$10:$M$276,MATCH(B76,'[10]CN BC'!$H$10:$H$276,0)),"")</f>
        <v>0</v>
      </c>
      <c r="AA76" s="522" t="s">
        <v>814</v>
      </c>
      <c r="AB76" s="108"/>
      <c r="AC76" s="108"/>
      <c r="AD76" s="155"/>
      <c r="AE76" s="108"/>
      <c r="AF76" s="108"/>
      <c r="AG76" s="108"/>
      <c r="AH76" s="108"/>
      <c r="AI76" s="108"/>
      <c r="AJ76" s="108"/>
      <c r="AK76" s="108"/>
      <c r="AL76" s="108"/>
      <c r="AM76" s="108"/>
      <c r="AN76" s="108"/>
    </row>
    <row r="77" spans="1:40" s="372" customFormat="1" ht="33" customHeight="1">
      <c r="A77" s="379">
        <f>_xlfn.AGGREGATE(4,7,A$11:A76)+1</f>
        <v>66</v>
      </c>
      <c r="B77" s="363" t="s">
        <v>1500</v>
      </c>
      <c r="C77" s="364" t="s">
        <v>277</v>
      </c>
      <c r="D77" s="434" t="s">
        <v>1728</v>
      </c>
      <c r="E77" s="423" t="s">
        <v>377</v>
      </c>
      <c r="F77" s="373">
        <v>3.99</v>
      </c>
      <c r="G77" s="367"/>
      <c r="H77" s="368">
        <f t="shared" si="11"/>
        <v>3.99</v>
      </c>
      <c r="I77" s="368"/>
      <c r="J77" s="369">
        <f t="shared" si="12"/>
        <v>3.99</v>
      </c>
      <c r="K77" s="362">
        <f t="shared" si="13"/>
        <v>7182000</v>
      </c>
      <c r="L77" s="366" t="str">
        <f>VLOOKUP(B77,'[8]Gui chi Quynh'!$B$11:$E$401,4,FALSE)</f>
        <v>A3</v>
      </c>
      <c r="M77" s="494">
        <f t="shared" si="16"/>
        <v>8618400</v>
      </c>
      <c r="N77" s="376">
        <v>19</v>
      </c>
      <c r="O77" s="440">
        <f>IFERROR(INDEX('[9]CN BC'!$J$10:$J$277,MATCH(B77,'[9]CN BC'!$H$10:$H$277,0)),"")</f>
        <v>19</v>
      </c>
      <c r="P77" s="494">
        <f t="shared" si="22"/>
        <v>8618400</v>
      </c>
      <c r="Q77" s="460"/>
      <c r="R77" s="362">
        <f t="shared" si="15"/>
        <v>0</v>
      </c>
      <c r="S77" s="370"/>
      <c r="T77" s="362">
        <f t="shared" si="23"/>
        <v>0</v>
      </c>
      <c r="U77" s="584">
        <f t="shared" si="19"/>
        <v>71820</v>
      </c>
      <c r="V77" s="371">
        <f t="shared" si="21"/>
        <v>8618400</v>
      </c>
      <c r="W77" s="362">
        <f>VLOOKUP(B77,CN!B52:P337,15,FALSE)</f>
        <v>4668300</v>
      </c>
      <c r="X77" s="653">
        <f t="shared" si="24"/>
        <v>3950100</v>
      </c>
      <c r="Y77" s="568">
        <f t="shared" si="20"/>
        <v>66</v>
      </c>
      <c r="Z77" s="493">
        <f>IFERROR(INDEX('[10]CN BC'!$M$10:$M$276,MATCH(B77,'[10]CN BC'!$H$10:$H$276,0)),"")</f>
        <v>0</v>
      </c>
      <c r="AA77" s="540" t="s">
        <v>815</v>
      </c>
      <c r="AD77" s="487"/>
    </row>
    <row r="78" spans="1:40" s="372" customFormat="1" ht="30.75" customHeight="1">
      <c r="A78" s="379">
        <f>_xlfn.AGGREGATE(4,7,A$11:A77)+1</f>
        <v>67</v>
      </c>
      <c r="B78" s="363" t="s">
        <v>1877</v>
      </c>
      <c r="C78" s="364" t="s">
        <v>973</v>
      </c>
      <c r="D78" s="434" t="s">
        <v>1729</v>
      </c>
      <c r="E78" s="423" t="s">
        <v>1320</v>
      </c>
      <c r="F78" s="366">
        <v>4.6500000000000004</v>
      </c>
      <c r="G78" s="367"/>
      <c r="H78" s="368">
        <f t="shared" si="11"/>
        <v>4.6500000000000004</v>
      </c>
      <c r="I78" s="368"/>
      <c r="J78" s="369">
        <f t="shared" si="12"/>
        <v>4.6500000000000004</v>
      </c>
      <c r="K78" s="362">
        <f t="shared" si="13"/>
        <v>8370000.0000000009</v>
      </c>
      <c r="L78" s="366" t="str">
        <f>VLOOKUP(B78,'[8]Gui chi Quynh'!$B$11:$E$401,4,FALSE)</f>
        <v>A3</v>
      </c>
      <c r="M78" s="494">
        <f t="shared" si="16"/>
        <v>10044000</v>
      </c>
      <c r="N78" s="376">
        <v>19</v>
      </c>
      <c r="O78" s="440">
        <f>IFERROR(INDEX('[9]CN BC'!$J$10:$J$277,MATCH(B78,'[9]CN BC'!$H$10:$H$277,0)),"")</f>
        <v>19</v>
      </c>
      <c r="P78" s="494">
        <f t="shared" si="22"/>
        <v>10044000</v>
      </c>
      <c r="Q78" s="460"/>
      <c r="R78" s="362">
        <f t="shared" si="15"/>
        <v>0</v>
      </c>
      <c r="S78" s="370"/>
      <c r="T78" s="362">
        <f t="shared" si="23"/>
        <v>0</v>
      </c>
      <c r="U78" s="584">
        <f t="shared" si="19"/>
        <v>83700</v>
      </c>
      <c r="V78" s="371">
        <f t="shared" si="21"/>
        <v>10044000</v>
      </c>
      <c r="W78" s="362">
        <f>VLOOKUP(B78,CN!B53:P338,15,FALSE)</f>
        <v>6528600</v>
      </c>
      <c r="X78" s="653">
        <f t="shared" si="24"/>
        <v>3515400</v>
      </c>
      <c r="Y78" s="568">
        <f t="shared" si="20"/>
        <v>67</v>
      </c>
      <c r="Z78" s="493">
        <f>IFERROR(INDEX('[10]CN BC'!$M$10:$M$276,MATCH(B78,'[10]CN BC'!$H$10:$H$276,0)),"")</f>
        <v>0</v>
      </c>
      <c r="AA78" s="540" t="s">
        <v>816</v>
      </c>
      <c r="AD78" s="487"/>
    </row>
    <row r="79" spans="1:40" s="372" customFormat="1" ht="28.5" customHeight="1">
      <c r="A79" s="379">
        <f>_xlfn.AGGREGATE(4,7,A$11:A78)+1</f>
        <v>68</v>
      </c>
      <c r="B79" s="363" t="s">
        <v>1501</v>
      </c>
      <c r="C79" s="364" t="s">
        <v>313</v>
      </c>
      <c r="D79" s="434" t="s">
        <v>1730</v>
      </c>
      <c r="E79" s="422" t="s">
        <v>314</v>
      </c>
      <c r="F79" s="373">
        <v>3.66</v>
      </c>
      <c r="G79" s="367"/>
      <c r="H79" s="368">
        <f t="shared" si="11"/>
        <v>3.66</v>
      </c>
      <c r="I79" s="368"/>
      <c r="J79" s="369">
        <f t="shared" si="12"/>
        <v>3.66</v>
      </c>
      <c r="K79" s="362">
        <f t="shared" si="13"/>
        <v>6588000</v>
      </c>
      <c r="L79" s="366" t="str">
        <f>VLOOKUP(B79,'[8]Gui chi Quynh'!$B$11:$E$401,4,FALSE)</f>
        <v>A3</v>
      </c>
      <c r="M79" s="494">
        <f t="shared" si="16"/>
        <v>7905600</v>
      </c>
      <c r="N79" s="376">
        <v>19</v>
      </c>
      <c r="O79" s="440">
        <f>IFERROR(INDEX('[9]CN BC'!$J$10:$J$277,MATCH(B79,'[9]CN BC'!$H$10:$H$277,0)),"")</f>
        <v>19</v>
      </c>
      <c r="P79" s="494">
        <f t="shared" si="22"/>
        <v>7905600</v>
      </c>
      <c r="Q79" s="460"/>
      <c r="R79" s="362">
        <f t="shared" si="15"/>
        <v>0</v>
      </c>
      <c r="S79" s="370"/>
      <c r="T79" s="362">
        <f t="shared" si="23"/>
        <v>0</v>
      </c>
      <c r="U79" s="584">
        <f t="shared" si="19"/>
        <v>65880</v>
      </c>
      <c r="V79" s="371">
        <f t="shared" si="21"/>
        <v>7905600</v>
      </c>
      <c r="W79" s="362">
        <f>VLOOKUP(B79,CN!B56:P339,15,FALSE)</f>
        <v>5601960</v>
      </c>
      <c r="X79" s="653">
        <f t="shared" si="24"/>
        <v>2303640</v>
      </c>
      <c r="Y79" s="568">
        <f t="shared" si="20"/>
        <v>68</v>
      </c>
      <c r="Z79" s="493">
        <f>IFERROR(INDEX('[10]CN BC'!$M$10:$M$276,MATCH(B79,'[10]CN BC'!$H$10:$H$276,0)),"")</f>
        <v>0</v>
      </c>
      <c r="AA79" s="522" t="s">
        <v>817</v>
      </c>
      <c r="AB79" s="108"/>
      <c r="AC79" s="108"/>
      <c r="AD79" s="155"/>
      <c r="AE79" s="108"/>
      <c r="AF79" s="108"/>
      <c r="AG79" s="108"/>
      <c r="AH79" s="108"/>
      <c r="AI79" s="108"/>
      <c r="AJ79" s="108"/>
    </row>
    <row r="80" spans="1:40" s="372" customFormat="1" ht="28.5" customHeight="1">
      <c r="A80" s="379">
        <f>_xlfn.AGGREGATE(4,7,A$11:A79)+1</f>
        <v>69</v>
      </c>
      <c r="B80" s="363" t="s">
        <v>1878</v>
      </c>
      <c r="C80" s="364" t="s">
        <v>970</v>
      </c>
      <c r="D80" s="434" t="s">
        <v>1731</v>
      </c>
      <c r="E80" s="423" t="s">
        <v>1314</v>
      </c>
      <c r="F80" s="366">
        <v>4.32</v>
      </c>
      <c r="G80" s="367"/>
      <c r="H80" s="368">
        <f t="shared" si="11"/>
        <v>4.32</v>
      </c>
      <c r="I80" s="368"/>
      <c r="J80" s="369">
        <f t="shared" si="12"/>
        <v>4.32</v>
      </c>
      <c r="K80" s="362">
        <f t="shared" si="13"/>
        <v>7776000.0000000009</v>
      </c>
      <c r="L80" s="366" t="str">
        <f>VLOOKUP(B80,'[8]Gui chi Quynh'!$B$11:$E$401,4,FALSE)</f>
        <v>A4</v>
      </c>
      <c r="M80" s="494">
        <f t="shared" si="16"/>
        <v>7776000.0000000009</v>
      </c>
      <c r="N80" s="376">
        <v>19</v>
      </c>
      <c r="O80" s="440">
        <f>IFERROR(INDEX('[9]CN BC'!$J$10:$J$277,MATCH(B80,'[9]CN BC'!$H$10:$H$277,0)),"")</f>
        <v>19</v>
      </c>
      <c r="P80" s="494">
        <f t="shared" si="22"/>
        <v>7776000.0000000009</v>
      </c>
      <c r="Q80" s="460"/>
      <c r="R80" s="362">
        <f t="shared" si="15"/>
        <v>0</v>
      </c>
      <c r="S80" s="370"/>
      <c r="T80" s="362">
        <f t="shared" si="23"/>
        <v>0</v>
      </c>
      <c r="U80" s="584">
        <f t="shared" si="19"/>
        <v>77760</v>
      </c>
      <c r="V80" s="371">
        <f t="shared" si="21"/>
        <v>7776000.0000000009</v>
      </c>
      <c r="W80" s="362">
        <f>VLOOKUP(B80,CN!B56:P340,15,FALSE)</f>
        <v>5440500</v>
      </c>
      <c r="X80" s="653">
        <f t="shared" si="24"/>
        <v>2335500.0000000009</v>
      </c>
      <c r="Y80" s="568">
        <f t="shared" si="20"/>
        <v>69</v>
      </c>
      <c r="Z80" s="493">
        <f>IFERROR(INDEX('[10]CN BC'!$M$10:$M$276,MATCH(B80,'[10]CN BC'!$H$10:$H$276,0)),"")</f>
        <v>0</v>
      </c>
      <c r="AA80" s="522" t="s">
        <v>818</v>
      </c>
      <c r="AB80" s="108"/>
      <c r="AC80" s="108"/>
      <c r="AD80" s="155"/>
      <c r="AE80" s="108"/>
      <c r="AF80" s="108"/>
      <c r="AG80" s="108"/>
      <c r="AH80" s="108"/>
      <c r="AI80" s="108"/>
      <c r="AJ80" s="108"/>
    </row>
    <row r="81" spans="1:36" s="372" customFormat="1" ht="28.5" customHeight="1">
      <c r="A81" s="379">
        <f>_xlfn.AGGREGATE(4,7,A$11:A80)+1</f>
        <v>70</v>
      </c>
      <c r="B81" s="363" t="s">
        <v>1879</v>
      </c>
      <c r="C81" s="364" t="s">
        <v>927</v>
      </c>
      <c r="D81" s="434" t="s">
        <v>1732</v>
      </c>
      <c r="E81" s="423" t="s">
        <v>1315</v>
      </c>
      <c r="F81" s="373">
        <v>4.32</v>
      </c>
      <c r="G81" s="367"/>
      <c r="H81" s="368">
        <f t="shared" si="11"/>
        <v>4.32</v>
      </c>
      <c r="I81" s="368"/>
      <c r="J81" s="369">
        <f t="shared" si="12"/>
        <v>4.32</v>
      </c>
      <c r="K81" s="362">
        <f t="shared" si="13"/>
        <v>7776000.0000000009</v>
      </c>
      <c r="L81" s="366" t="str">
        <f>VLOOKUP(B81,'[8]Gui chi Quynh'!$B$11:$E$401,4,FALSE)</f>
        <v>A3</v>
      </c>
      <c r="M81" s="494">
        <f t="shared" si="16"/>
        <v>9331200</v>
      </c>
      <c r="N81" s="376">
        <v>19</v>
      </c>
      <c r="O81" s="440">
        <f>IFERROR(INDEX('[9]CN BC'!$J$10:$J$277,MATCH(B81,'[9]CN BC'!$H$10:$H$277,0)),"")</f>
        <v>19</v>
      </c>
      <c r="P81" s="494">
        <f t="shared" si="22"/>
        <v>9331200</v>
      </c>
      <c r="Q81" s="460"/>
      <c r="R81" s="362">
        <f t="shared" si="15"/>
        <v>0</v>
      </c>
      <c r="S81" s="370"/>
      <c r="T81" s="362">
        <f t="shared" si="23"/>
        <v>0</v>
      </c>
      <c r="U81" s="584">
        <f t="shared" si="19"/>
        <v>77760</v>
      </c>
      <c r="V81" s="371">
        <f t="shared" si="21"/>
        <v>9331200</v>
      </c>
      <c r="W81" s="362">
        <f>VLOOKUP(B81,CN!B74:P341,15,FALSE)</f>
        <v>8704800</v>
      </c>
      <c r="X81" s="653">
        <f t="shared" si="24"/>
        <v>626400</v>
      </c>
      <c r="Y81" s="568">
        <f t="shared" si="20"/>
        <v>70</v>
      </c>
      <c r="Z81" s="493">
        <f>IFERROR(INDEX('[10]CN BC'!$M$10:$M$276,MATCH(B81,'[10]CN BC'!$H$10:$H$276,0)),"")</f>
        <v>0</v>
      </c>
      <c r="AA81" s="522" t="s">
        <v>819</v>
      </c>
      <c r="AB81" s="108"/>
      <c r="AC81" s="108"/>
      <c r="AD81" s="155"/>
      <c r="AE81" s="108"/>
      <c r="AF81" s="108"/>
      <c r="AG81" s="108"/>
      <c r="AH81" s="108"/>
      <c r="AI81" s="108"/>
      <c r="AJ81" s="108"/>
    </row>
    <row r="82" spans="1:36" s="372" customFormat="1" ht="28.5" customHeight="1">
      <c r="A82" s="379">
        <f>_xlfn.AGGREGATE(4,7,A$11:A81)+1</f>
        <v>71</v>
      </c>
      <c r="B82" s="363" t="s">
        <v>1502</v>
      </c>
      <c r="C82" s="364" t="s">
        <v>1205</v>
      </c>
      <c r="D82" s="434" t="s">
        <v>1733</v>
      </c>
      <c r="E82" s="423" t="s">
        <v>1318</v>
      </c>
      <c r="F82" s="373">
        <v>3.66</v>
      </c>
      <c r="G82" s="367"/>
      <c r="H82" s="368">
        <f t="shared" si="11"/>
        <v>3.66</v>
      </c>
      <c r="I82" s="368"/>
      <c r="J82" s="369">
        <f t="shared" si="12"/>
        <v>3.66</v>
      </c>
      <c r="K82" s="362">
        <f t="shared" si="13"/>
        <v>6588000</v>
      </c>
      <c r="L82" s="366" t="str">
        <f>VLOOKUP(B82,'[8]Gui chi Quynh'!$B$11:$E$401,4,FALSE)</f>
        <v>A3</v>
      </c>
      <c r="M82" s="494">
        <f t="shared" si="16"/>
        <v>7905600</v>
      </c>
      <c r="N82" s="376">
        <v>19</v>
      </c>
      <c r="O82" s="440">
        <f>IFERROR(INDEX('[9]CN BC'!$J$10:$J$277,MATCH(B82,'[9]CN BC'!$H$10:$H$277,0)),"")</f>
        <v>19</v>
      </c>
      <c r="P82" s="494">
        <f t="shared" si="22"/>
        <v>7905600</v>
      </c>
      <c r="Q82" s="460"/>
      <c r="R82" s="362">
        <f t="shared" si="15"/>
        <v>0</v>
      </c>
      <c r="S82" s="370"/>
      <c r="T82" s="362">
        <f t="shared" si="23"/>
        <v>0</v>
      </c>
      <c r="U82" s="584">
        <f t="shared" si="19"/>
        <v>65880</v>
      </c>
      <c r="V82" s="371">
        <f t="shared" si="21"/>
        <v>7905600</v>
      </c>
      <c r="W82" s="362">
        <f>VLOOKUP(B82,CN!B81:P342,15,FALSE)</f>
        <v>5601960</v>
      </c>
      <c r="X82" s="653">
        <f t="shared" si="24"/>
        <v>2303640</v>
      </c>
      <c r="Y82" s="568">
        <f t="shared" si="20"/>
        <v>71</v>
      </c>
      <c r="Z82" s="493">
        <f>IFERROR(INDEX('[10]CN BC'!$M$10:$M$276,MATCH(B82,'[10]CN BC'!$H$10:$H$276,0)),"")</f>
        <v>0</v>
      </c>
      <c r="AA82" s="522" t="s">
        <v>820</v>
      </c>
      <c r="AB82" s="108"/>
      <c r="AC82" s="108"/>
      <c r="AD82" s="155"/>
      <c r="AE82" s="108"/>
      <c r="AF82" s="108"/>
      <c r="AG82" s="108"/>
      <c r="AH82" s="108"/>
      <c r="AI82" s="108"/>
      <c r="AJ82" s="108"/>
    </row>
    <row r="83" spans="1:36" s="372" customFormat="1" ht="28.5" customHeight="1">
      <c r="A83" s="379">
        <f>_xlfn.AGGREGATE(4,7,A$11:A82)+1</f>
        <v>72</v>
      </c>
      <c r="B83" s="363" t="s">
        <v>1503</v>
      </c>
      <c r="C83" s="364" t="s">
        <v>276</v>
      </c>
      <c r="D83" s="434" t="s">
        <v>1735</v>
      </c>
      <c r="E83" s="423" t="s">
        <v>376</v>
      </c>
      <c r="F83" s="373">
        <v>3.66</v>
      </c>
      <c r="G83" s="367"/>
      <c r="H83" s="368">
        <f t="shared" si="11"/>
        <v>3.66</v>
      </c>
      <c r="I83" s="368"/>
      <c r="J83" s="369">
        <f t="shared" si="12"/>
        <v>3.66</v>
      </c>
      <c r="K83" s="362">
        <f t="shared" si="13"/>
        <v>6588000</v>
      </c>
      <c r="L83" s="366" t="str">
        <f>VLOOKUP(B83,'[8]Gui chi Quynh'!$B$11:$E$401,4,FALSE)</f>
        <v>A3</v>
      </c>
      <c r="M83" s="494">
        <f t="shared" si="16"/>
        <v>7905600</v>
      </c>
      <c r="N83" s="376">
        <v>19</v>
      </c>
      <c r="O83" s="440">
        <f>IFERROR(INDEX('[9]CN BC'!$J$10:$J$277,MATCH(B83,'[9]CN BC'!$H$10:$H$277,0)),"")</f>
        <v>19</v>
      </c>
      <c r="P83" s="494">
        <f t="shared" si="22"/>
        <v>7905600</v>
      </c>
      <c r="Q83" s="460"/>
      <c r="R83" s="362">
        <f t="shared" si="15"/>
        <v>0</v>
      </c>
      <c r="S83" s="370"/>
      <c r="T83" s="362">
        <f t="shared" si="23"/>
        <v>0</v>
      </c>
      <c r="U83" s="584">
        <f t="shared" si="19"/>
        <v>65880</v>
      </c>
      <c r="V83" s="371">
        <f t="shared" si="21"/>
        <v>7905600</v>
      </c>
      <c r="W83" s="362" t="e">
        <f>VLOOKUP(B83,CN!B262:P344,15,FALSE)</f>
        <v>#N/A</v>
      </c>
      <c r="X83" s="653" t="e">
        <f t="shared" si="24"/>
        <v>#N/A</v>
      </c>
      <c r="Y83" s="568">
        <f t="shared" si="20"/>
        <v>72</v>
      </c>
      <c r="Z83" s="493">
        <f>IFERROR(INDEX('[10]CN BC'!$M$10:$M$276,MATCH(B83,'[10]CN BC'!$H$10:$H$276,0)),"")</f>
        <v>0</v>
      </c>
      <c r="AA83" s="522" t="s">
        <v>1120</v>
      </c>
      <c r="AB83" s="108"/>
      <c r="AC83" s="108"/>
      <c r="AD83" s="155"/>
      <c r="AE83" s="108"/>
      <c r="AF83" s="108"/>
      <c r="AG83" s="108"/>
      <c r="AH83" s="108"/>
      <c r="AI83" s="108"/>
      <c r="AJ83" s="108"/>
    </row>
    <row r="84" spans="1:36" s="372" customFormat="1" ht="26.25" customHeight="1">
      <c r="A84" s="379">
        <f>_xlfn.AGGREGATE(4,7,A$11:A83)+1</f>
        <v>73</v>
      </c>
      <c r="B84" s="363" t="s">
        <v>1504</v>
      </c>
      <c r="C84" s="364" t="s">
        <v>1041</v>
      </c>
      <c r="D84" s="434" t="s">
        <v>1736</v>
      </c>
      <c r="E84" s="434" t="s">
        <v>503</v>
      </c>
      <c r="F84" s="373">
        <v>4.32</v>
      </c>
      <c r="G84" s="367"/>
      <c r="H84" s="368">
        <f t="shared" si="11"/>
        <v>4.32</v>
      </c>
      <c r="I84" s="368"/>
      <c r="J84" s="369">
        <f t="shared" si="12"/>
        <v>4.32</v>
      </c>
      <c r="K84" s="362">
        <f t="shared" si="13"/>
        <v>7776000.0000000009</v>
      </c>
      <c r="L84" s="366" t="str">
        <f>VLOOKUP(B84,'[8]Gui chi Quynh'!$B$11:$E$401,4,FALSE)</f>
        <v>A3</v>
      </c>
      <c r="M84" s="494">
        <f t="shared" si="16"/>
        <v>9331200</v>
      </c>
      <c r="N84" s="376">
        <v>19</v>
      </c>
      <c r="O84" s="440">
        <f>IFERROR(INDEX('[9]CN BC'!$J$10:$J$277,MATCH(B84,'[9]CN BC'!$H$10:$H$277,0)),"")</f>
        <v>19</v>
      </c>
      <c r="P84" s="494">
        <f t="shared" si="22"/>
        <v>9331200</v>
      </c>
      <c r="Q84" s="460"/>
      <c r="R84" s="362">
        <f t="shared" si="15"/>
        <v>0</v>
      </c>
      <c r="S84" s="370"/>
      <c r="T84" s="362">
        <f t="shared" si="23"/>
        <v>0</v>
      </c>
      <c r="U84" s="584">
        <f t="shared" si="19"/>
        <v>77760</v>
      </c>
      <c r="V84" s="371">
        <f t="shared" si="21"/>
        <v>9331200</v>
      </c>
      <c r="W84" s="362" t="e">
        <f>VLOOKUP(B84,CN!B263:P345,15,FALSE)</f>
        <v>#N/A</v>
      </c>
      <c r="X84" s="653" t="e">
        <f t="shared" si="24"/>
        <v>#N/A</v>
      </c>
      <c r="Y84" s="568">
        <f t="shared" si="20"/>
        <v>73</v>
      </c>
      <c r="Z84" s="493">
        <f>IFERROR(INDEX('[10]CN BC'!$M$10:$M$276,MATCH(B84,'[10]CN BC'!$H$10:$H$276,0)),"")</f>
        <v>0</v>
      </c>
      <c r="AA84" s="522" t="s">
        <v>1121</v>
      </c>
      <c r="AB84" s="108"/>
      <c r="AC84" s="108"/>
      <c r="AD84" s="155"/>
      <c r="AE84" s="108"/>
      <c r="AF84" s="108"/>
      <c r="AG84" s="108"/>
      <c r="AH84" s="108"/>
      <c r="AI84" s="108"/>
      <c r="AJ84" s="108"/>
    </row>
    <row r="85" spans="1:36" s="372" customFormat="1" ht="27" customHeight="1">
      <c r="A85" s="379">
        <f>_xlfn.AGGREGATE(4,7,A$11:A84)+1</f>
        <v>74</v>
      </c>
      <c r="B85" s="363" t="s">
        <v>1505</v>
      </c>
      <c r="C85" s="364" t="s">
        <v>920</v>
      </c>
      <c r="D85" s="434" t="s">
        <v>1737</v>
      </c>
      <c r="E85" s="422" t="s">
        <v>1592</v>
      </c>
      <c r="F85" s="373">
        <v>3.33</v>
      </c>
      <c r="G85" s="367"/>
      <c r="H85" s="445">
        <f t="shared" si="11"/>
        <v>3.33</v>
      </c>
      <c r="I85" s="368"/>
      <c r="J85" s="369">
        <f t="shared" si="12"/>
        <v>3.33</v>
      </c>
      <c r="K85" s="362">
        <f t="shared" si="13"/>
        <v>5994000</v>
      </c>
      <c r="L85" s="366" t="str">
        <f>VLOOKUP(B85,'[8]Gui chi Quynh'!$B$11:$E$401,4,FALSE)</f>
        <v>A3</v>
      </c>
      <c r="M85" s="494">
        <f t="shared" si="16"/>
        <v>7192800</v>
      </c>
      <c r="N85" s="376">
        <v>19</v>
      </c>
      <c r="O85" s="440">
        <f>IFERROR(INDEX('[9]CN BC'!$J$10:$J$277,MATCH(B85,'[9]CN BC'!$H$10:$H$277,0)),"")</f>
        <v>19</v>
      </c>
      <c r="P85" s="494">
        <f t="shared" si="22"/>
        <v>7192800</v>
      </c>
      <c r="Q85" s="460"/>
      <c r="R85" s="362">
        <f t="shared" si="15"/>
        <v>0</v>
      </c>
      <c r="S85" s="370"/>
      <c r="T85" s="362">
        <f t="shared" si="23"/>
        <v>0</v>
      </c>
      <c r="U85" s="584">
        <f t="shared" si="19"/>
        <v>59940</v>
      </c>
      <c r="V85" s="371">
        <f t="shared" si="21"/>
        <v>7192800</v>
      </c>
      <c r="W85" s="362">
        <f>VLOOKUP(B85,CN!B83:P346,15,FALSE)</f>
        <v>6851520</v>
      </c>
      <c r="X85" s="653">
        <f t="shared" si="24"/>
        <v>341280</v>
      </c>
      <c r="Y85" s="568">
        <f t="shared" si="20"/>
        <v>74</v>
      </c>
      <c r="Z85" s="493">
        <f>IFERROR(INDEX('[10]CN BC'!$M$10:$M$276,MATCH(B85,'[10]CN BC'!$H$10:$H$276,0)),"")</f>
        <v>0</v>
      </c>
      <c r="AA85" s="522" t="s">
        <v>1122</v>
      </c>
      <c r="AB85" s="108"/>
      <c r="AC85" s="108"/>
      <c r="AD85" s="155"/>
      <c r="AE85" s="108"/>
      <c r="AF85" s="108"/>
      <c r="AG85" s="108"/>
      <c r="AH85" s="108"/>
      <c r="AI85" s="108"/>
      <c r="AJ85" s="108"/>
    </row>
    <row r="86" spans="1:36" s="372" customFormat="1" ht="28.15" customHeight="1">
      <c r="A86" s="379">
        <f>_xlfn.AGGREGATE(4,7,A$11:A85)+1</f>
        <v>75</v>
      </c>
      <c r="B86" s="363" t="s">
        <v>1881</v>
      </c>
      <c r="C86" s="364" t="s">
        <v>891</v>
      </c>
      <c r="D86" s="434" t="s">
        <v>1738</v>
      </c>
      <c r="E86" s="423" t="s">
        <v>379</v>
      </c>
      <c r="F86" s="373">
        <v>3.66</v>
      </c>
      <c r="G86" s="367"/>
      <c r="H86" s="368">
        <f t="shared" si="11"/>
        <v>3.66</v>
      </c>
      <c r="I86" s="368"/>
      <c r="J86" s="369">
        <f t="shared" si="12"/>
        <v>3.66</v>
      </c>
      <c r="K86" s="362">
        <f t="shared" si="13"/>
        <v>6588000</v>
      </c>
      <c r="L86" s="366" t="str">
        <f>VLOOKUP(B86,'[8]Gui chi Quynh'!$B$11:$E$401,4,FALSE)</f>
        <v>A4</v>
      </c>
      <c r="M86" s="494">
        <f t="shared" si="16"/>
        <v>6588000</v>
      </c>
      <c r="N86" s="376">
        <v>19</v>
      </c>
      <c r="O86" s="440">
        <f>IFERROR(INDEX('[9]CN BC'!$J$10:$J$277,MATCH(B86,'[9]CN BC'!$H$10:$H$277,0)),"")</f>
        <v>19</v>
      </c>
      <c r="P86" s="494">
        <f t="shared" si="22"/>
        <v>6588000</v>
      </c>
      <c r="Q86" s="460">
        <v>0</v>
      </c>
      <c r="R86" s="362">
        <f t="shared" si="15"/>
        <v>0</v>
      </c>
      <c r="S86" s="370"/>
      <c r="T86" s="362">
        <f t="shared" si="23"/>
        <v>0</v>
      </c>
      <c r="U86" s="584">
        <f t="shared" si="19"/>
        <v>65880</v>
      </c>
      <c r="V86" s="371">
        <f t="shared" si="21"/>
        <v>6588000</v>
      </c>
      <c r="W86" s="362">
        <f>VLOOKUP(B86,CN!B84:P347,15,FALSE)</f>
        <v>5995080</v>
      </c>
      <c r="X86" s="653">
        <f t="shared" si="24"/>
        <v>592920</v>
      </c>
      <c r="Y86" s="568">
        <f t="shared" si="20"/>
        <v>75</v>
      </c>
      <c r="Z86" s="493">
        <f>IFERROR(INDEX('[10]CN BC'!$M$10:$M$276,MATCH(B86,'[10]CN BC'!$H$10:$H$276,0)),"")</f>
        <v>0</v>
      </c>
      <c r="AA86" s="522" t="s">
        <v>1124</v>
      </c>
      <c r="AB86" s="108"/>
      <c r="AC86" s="108"/>
      <c r="AD86" s="155"/>
      <c r="AE86" s="108"/>
      <c r="AF86" s="108"/>
      <c r="AG86" s="108"/>
      <c r="AH86" s="108"/>
      <c r="AI86" s="108"/>
      <c r="AJ86" s="108"/>
    </row>
    <row r="87" spans="1:36" s="372" customFormat="1" ht="27.75" customHeight="1">
      <c r="A87" s="379">
        <f>_xlfn.AGGREGATE(4,7,A$11:A86)+1</f>
        <v>76</v>
      </c>
      <c r="B87" s="390" t="s">
        <v>1506</v>
      </c>
      <c r="C87" s="490" t="s">
        <v>1426</v>
      </c>
      <c r="D87" s="434" t="s">
        <v>1739</v>
      </c>
      <c r="E87" s="422" t="s">
        <v>1427</v>
      </c>
      <c r="F87" s="373">
        <v>3.33</v>
      </c>
      <c r="G87" s="367"/>
      <c r="H87" s="445">
        <f t="shared" si="11"/>
        <v>3.33</v>
      </c>
      <c r="I87" s="368"/>
      <c r="J87" s="369">
        <f t="shared" si="12"/>
        <v>3.33</v>
      </c>
      <c r="K87" s="362">
        <f t="shared" si="13"/>
        <v>5994000</v>
      </c>
      <c r="L87" s="366" t="str">
        <f>VLOOKUP(B87,'[8]Gui chi Quynh'!$B$11:$E$401,4,FALSE)</f>
        <v>A3</v>
      </c>
      <c r="M87" s="494">
        <f t="shared" si="16"/>
        <v>7192800</v>
      </c>
      <c r="N87" s="376">
        <v>19</v>
      </c>
      <c r="O87" s="440">
        <f>IFERROR(INDEX('[9]CN BC'!$J$10:$J$277,MATCH(B87,'[9]CN BC'!$H$10:$H$277,0)),"")</f>
        <v>19</v>
      </c>
      <c r="P87" s="494">
        <f t="shared" si="22"/>
        <v>7192800</v>
      </c>
      <c r="Q87" s="460"/>
      <c r="R87" s="362">
        <f t="shared" si="15"/>
        <v>0</v>
      </c>
      <c r="S87" s="370"/>
      <c r="T87" s="362">
        <f t="shared" si="23"/>
        <v>0</v>
      </c>
      <c r="U87" s="584">
        <f t="shared" si="19"/>
        <v>59940</v>
      </c>
      <c r="V87" s="371">
        <f t="shared" si="21"/>
        <v>7192800</v>
      </c>
      <c r="W87" s="362" t="e">
        <f>VLOOKUP(B87,CN!B85:P348,15,FALSE)</f>
        <v>#N/A</v>
      </c>
      <c r="X87" s="653" t="e">
        <f t="shared" si="24"/>
        <v>#N/A</v>
      </c>
      <c r="Y87" s="568">
        <f t="shared" si="20"/>
        <v>76</v>
      </c>
      <c r="Z87" s="493">
        <f>IFERROR(INDEX('[10]CN BC'!$M$10:$M$276,MATCH(B87,'[10]CN BC'!$H$10:$H$276,0)),"")</f>
        <v>0</v>
      </c>
      <c r="AA87" s="522" t="s">
        <v>1125</v>
      </c>
      <c r="AB87" s="108"/>
      <c r="AC87" s="108"/>
      <c r="AD87" s="155"/>
    </row>
    <row r="88" spans="1:36" s="372" customFormat="1" ht="36.75" customHeight="1">
      <c r="A88" s="379">
        <f>_xlfn.AGGREGATE(4,7,A$11:A87)+1</f>
        <v>77</v>
      </c>
      <c r="B88" s="363" t="s">
        <v>1507</v>
      </c>
      <c r="C88" s="364" t="s">
        <v>1016</v>
      </c>
      <c r="D88" s="434" t="s">
        <v>1740</v>
      </c>
      <c r="E88" s="423" t="s">
        <v>1340</v>
      </c>
      <c r="F88" s="366">
        <v>3.99</v>
      </c>
      <c r="G88" s="367"/>
      <c r="H88" s="368">
        <f t="shared" si="11"/>
        <v>3.99</v>
      </c>
      <c r="I88" s="368"/>
      <c r="J88" s="369">
        <f t="shared" si="12"/>
        <v>3.99</v>
      </c>
      <c r="K88" s="362">
        <f t="shared" si="13"/>
        <v>7182000</v>
      </c>
      <c r="L88" s="366" t="str">
        <f>VLOOKUP(B88,'[8]Gui chi Quynh'!$B$11:$E$401,4,FALSE)</f>
        <v>A4</v>
      </c>
      <c r="M88" s="494">
        <f t="shared" si="16"/>
        <v>7182000</v>
      </c>
      <c r="N88" s="376">
        <v>19</v>
      </c>
      <c r="O88" s="440">
        <f>IFERROR(INDEX('[9]CN BC'!$J$10:$J$277,MATCH(B88,'[9]CN BC'!$H$10:$H$277,0)),"")</f>
        <v>19</v>
      </c>
      <c r="P88" s="494">
        <f t="shared" si="22"/>
        <v>7182000</v>
      </c>
      <c r="Q88" s="460"/>
      <c r="R88" s="362">
        <f t="shared" si="15"/>
        <v>0</v>
      </c>
      <c r="S88" s="370"/>
      <c r="T88" s="362">
        <f t="shared" si="23"/>
        <v>0</v>
      </c>
      <c r="U88" s="584">
        <f t="shared" si="19"/>
        <v>71820</v>
      </c>
      <c r="V88" s="371">
        <f t="shared" si="21"/>
        <v>7182000</v>
      </c>
      <c r="W88" s="362" t="e">
        <f>VLOOKUP(B88,CN!B86:P349,15,FALSE)</f>
        <v>#N/A</v>
      </c>
      <c r="X88" s="653" t="e">
        <f t="shared" si="24"/>
        <v>#N/A</v>
      </c>
      <c r="Y88" s="568">
        <f t="shared" si="20"/>
        <v>77</v>
      </c>
      <c r="Z88" s="493">
        <f>IFERROR(INDEX('[10]CN BC'!$M$10:$M$276,MATCH(B88,'[10]CN BC'!$H$10:$H$276,0)),"")</f>
        <v>0</v>
      </c>
      <c r="AA88" s="523" t="s">
        <v>812</v>
      </c>
      <c r="AB88" s="108"/>
      <c r="AC88" s="108"/>
      <c r="AD88" s="487"/>
    </row>
    <row r="89" spans="1:36" s="372" customFormat="1" ht="27" customHeight="1">
      <c r="A89" s="379">
        <f>_xlfn.AGGREGATE(4,7,A$11:A88)+1</f>
        <v>78</v>
      </c>
      <c r="B89" s="363" t="s">
        <v>1882</v>
      </c>
      <c r="C89" s="364" t="s">
        <v>947</v>
      </c>
      <c r="D89" s="434" t="s">
        <v>1741</v>
      </c>
      <c r="E89" s="423" t="s">
        <v>1341</v>
      </c>
      <c r="F89" s="373">
        <v>4.32</v>
      </c>
      <c r="G89" s="367"/>
      <c r="H89" s="368">
        <f t="shared" si="11"/>
        <v>4.32</v>
      </c>
      <c r="I89" s="368"/>
      <c r="J89" s="369">
        <f t="shared" si="12"/>
        <v>4.32</v>
      </c>
      <c r="K89" s="362">
        <f t="shared" si="13"/>
        <v>7776000.0000000009</v>
      </c>
      <c r="L89" s="366" t="str">
        <f>VLOOKUP(B89,'[8]Gui chi Quynh'!$B$11:$E$401,4,FALSE)</f>
        <v>A4</v>
      </c>
      <c r="M89" s="494">
        <f t="shared" si="16"/>
        <v>7776000.0000000009</v>
      </c>
      <c r="N89" s="376">
        <v>19</v>
      </c>
      <c r="O89" s="440">
        <f>IFERROR(INDEX('[9]CN BC'!$J$10:$J$277,MATCH(B89,'[9]CN BC'!$H$10:$H$277,0)),"")</f>
        <v>19</v>
      </c>
      <c r="P89" s="494">
        <f t="shared" si="22"/>
        <v>7776000.0000000009</v>
      </c>
      <c r="Q89" s="460"/>
      <c r="R89" s="362">
        <f t="shared" si="15"/>
        <v>0</v>
      </c>
      <c r="S89" s="370"/>
      <c r="T89" s="362">
        <f t="shared" si="23"/>
        <v>0</v>
      </c>
      <c r="U89" s="584">
        <f t="shared" si="19"/>
        <v>77760</v>
      </c>
      <c r="V89" s="371">
        <f t="shared" si="21"/>
        <v>7776000.0000000009</v>
      </c>
      <c r="W89" s="362">
        <f>VLOOKUP(B89,CN!B86:P350,15,FALSE)</f>
        <v>7076160</v>
      </c>
      <c r="X89" s="653">
        <f t="shared" si="24"/>
        <v>699840.00000000093</v>
      </c>
      <c r="Y89" s="568">
        <f t="shared" si="20"/>
        <v>78</v>
      </c>
      <c r="Z89" s="493">
        <f>IFERROR(INDEX('[10]CN BC'!$M$10:$M$276,MATCH(B89,'[10]CN BC'!$H$10:$H$276,0)),"")</f>
        <v>0</v>
      </c>
      <c r="AA89" s="523" t="s">
        <v>813</v>
      </c>
      <c r="AB89" s="108"/>
      <c r="AC89" s="108"/>
      <c r="AD89" s="155"/>
    </row>
    <row r="90" spans="1:36" s="108" customFormat="1" ht="28.5" customHeight="1">
      <c r="A90" s="379">
        <f>_xlfn.AGGREGATE(4,7,A$11:A89)+1</f>
        <v>79</v>
      </c>
      <c r="B90" s="33" t="s">
        <v>1508</v>
      </c>
      <c r="C90" s="34" t="s">
        <v>1019</v>
      </c>
      <c r="D90" s="406" t="s">
        <v>1742</v>
      </c>
      <c r="E90" s="424" t="s">
        <v>1342</v>
      </c>
      <c r="F90" s="83">
        <v>3.99</v>
      </c>
      <c r="G90" s="157"/>
      <c r="H90" s="368">
        <f t="shared" si="11"/>
        <v>3.99</v>
      </c>
      <c r="I90" s="81"/>
      <c r="J90" s="369">
        <f t="shared" si="12"/>
        <v>3.99</v>
      </c>
      <c r="K90" s="362">
        <f t="shared" si="13"/>
        <v>7182000</v>
      </c>
      <c r="L90" s="366" t="str">
        <f>VLOOKUP(B90,'[8]Gui chi Quynh'!$B$11:$E$401,4,FALSE)</f>
        <v>A3</v>
      </c>
      <c r="M90" s="494">
        <f t="shared" si="16"/>
        <v>8618400</v>
      </c>
      <c r="N90" s="376">
        <v>19</v>
      </c>
      <c r="O90" s="440">
        <f>IFERROR(INDEX('[9]CN BC'!$J$10:$J$277,MATCH(B90,'[9]CN BC'!$H$10:$H$277,0)),"")</f>
        <v>19</v>
      </c>
      <c r="P90" s="494">
        <f t="shared" si="22"/>
        <v>8618400</v>
      </c>
      <c r="Q90" s="392"/>
      <c r="R90" s="362">
        <f t="shared" si="15"/>
        <v>0</v>
      </c>
      <c r="S90" s="385"/>
      <c r="T90" s="362">
        <f t="shared" si="23"/>
        <v>0</v>
      </c>
      <c r="U90" s="584">
        <f t="shared" si="19"/>
        <v>71820</v>
      </c>
      <c r="V90" s="371">
        <f t="shared" si="21"/>
        <v>8618400</v>
      </c>
      <c r="W90" s="362">
        <f>VLOOKUP(B90,CN!B87:P351,15,FALSE)</f>
        <v>5601960</v>
      </c>
      <c r="X90" s="653">
        <f t="shared" si="24"/>
        <v>3016440</v>
      </c>
      <c r="Y90" s="568">
        <f t="shared" si="20"/>
        <v>79</v>
      </c>
      <c r="Z90" s="493">
        <f>IFERROR(INDEX('[10]CN BC'!$M$10:$M$276,MATCH(B90,'[10]CN BC'!$H$10:$H$276,0)),"")</f>
        <v>0</v>
      </c>
      <c r="AA90" s="523" t="s">
        <v>814</v>
      </c>
      <c r="AD90" s="155"/>
    </row>
    <row r="91" spans="1:36" s="108" customFormat="1" ht="26.25" customHeight="1">
      <c r="A91" s="379">
        <f>_xlfn.AGGREGATE(4,7,A$11:A90)+1</f>
        <v>80</v>
      </c>
      <c r="B91" s="33" t="s">
        <v>1509</v>
      </c>
      <c r="C91" s="34" t="s">
        <v>1023</v>
      </c>
      <c r="D91" s="406" t="s">
        <v>1743</v>
      </c>
      <c r="E91" s="424" t="s">
        <v>1344</v>
      </c>
      <c r="F91" s="10">
        <v>3.99</v>
      </c>
      <c r="G91" s="157"/>
      <c r="H91" s="368">
        <f t="shared" si="11"/>
        <v>3.99</v>
      </c>
      <c r="I91" s="81"/>
      <c r="J91" s="369">
        <f t="shared" si="12"/>
        <v>3.99</v>
      </c>
      <c r="K91" s="362">
        <f t="shared" si="13"/>
        <v>7182000</v>
      </c>
      <c r="L91" s="366" t="str">
        <f>VLOOKUP(B91,'[8]Gui chi Quynh'!$B$11:$E$401,4,FALSE)</f>
        <v>A4</v>
      </c>
      <c r="M91" s="494">
        <f t="shared" si="16"/>
        <v>7182000</v>
      </c>
      <c r="N91" s="376">
        <v>19</v>
      </c>
      <c r="O91" s="440">
        <f>IFERROR(INDEX('[9]CN BC'!$J$10:$J$277,MATCH(B91,'[9]CN BC'!$H$10:$H$277,0)),"")</f>
        <v>19</v>
      </c>
      <c r="P91" s="494">
        <f t="shared" si="22"/>
        <v>7182000</v>
      </c>
      <c r="Q91" s="392"/>
      <c r="R91" s="362">
        <f t="shared" si="15"/>
        <v>0</v>
      </c>
      <c r="S91" s="385"/>
      <c r="T91" s="362">
        <f t="shared" si="23"/>
        <v>0</v>
      </c>
      <c r="U91" s="584">
        <f t="shared" si="19"/>
        <v>71820</v>
      </c>
      <c r="V91" s="371">
        <f t="shared" si="21"/>
        <v>7182000</v>
      </c>
      <c r="W91" s="362">
        <f>VLOOKUP(B91,CN!B88:P352,15,FALSE)</f>
        <v>6065280</v>
      </c>
      <c r="X91" s="653">
        <f t="shared" si="24"/>
        <v>1116720</v>
      </c>
      <c r="Y91" s="568">
        <f t="shared" si="20"/>
        <v>80</v>
      </c>
      <c r="Z91" s="493">
        <f>IFERROR(INDEX('[10]CN BC'!$M$10:$M$276,MATCH(B91,'[10]CN BC'!$H$10:$H$276,0)),"")</f>
        <v>0</v>
      </c>
      <c r="AA91" s="523" t="s">
        <v>815</v>
      </c>
      <c r="AD91" s="155"/>
    </row>
    <row r="92" spans="1:36" s="372" customFormat="1" ht="25.5" customHeight="1">
      <c r="A92" s="379">
        <f>_xlfn.AGGREGATE(4,7,A$11:A91)+1</f>
        <v>81</v>
      </c>
      <c r="B92" s="363" t="s">
        <v>1510</v>
      </c>
      <c r="C92" s="364" t="s">
        <v>891</v>
      </c>
      <c r="D92" s="434" t="s">
        <v>1744</v>
      </c>
      <c r="E92" s="423" t="s">
        <v>1347</v>
      </c>
      <c r="F92" s="373">
        <v>3.66</v>
      </c>
      <c r="G92" s="367"/>
      <c r="H92" s="368">
        <f t="shared" si="11"/>
        <v>3.66</v>
      </c>
      <c r="I92" s="368"/>
      <c r="J92" s="369">
        <f t="shared" si="12"/>
        <v>3.66</v>
      </c>
      <c r="K92" s="362">
        <f t="shared" si="13"/>
        <v>6588000</v>
      </c>
      <c r="L92" s="366" t="str">
        <f>VLOOKUP(B92,'[8]Gui chi Quynh'!$B$11:$E$401,4,FALSE)</f>
        <v>A4</v>
      </c>
      <c r="M92" s="494">
        <f t="shared" si="16"/>
        <v>6588000</v>
      </c>
      <c r="N92" s="376">
        <v>19</v>
      </c>
      <c r="O92" s="440">
        <f>IFERROR(INDEX('[9]CN BC'!$J$10:$J$277,MATCH(B92,'[9]CN BC'!$H$10:$H$277,0)),"")</f>
        <v>19</v>
      </c>
      <c r="P92" s="494">
        <f t="shared" si="22"/>
        <v>6588000</v>
      </c>
      <c r="Q92" s="460"/>
      <c r="R92" s="362">
        <f t="shared" si="15"/>
        <v>0</v>
      </c>
      <c r="S92" s="370"/>
      <c r="T92" s="362">
        <f t="shared" si="23"/>
        <v>0</v>
      </c>
      <c r="U92" s="584">
        <f t="shared" si="19"/>
        <v>65880</v>
      </c>
      <c r="V92" s="371">
        <f t="shared" si="21"/>
        <v>6588000</v>
      </c>
      <c r="W92" s="362" t="e">
        <f>VLOOKUP(B92,CN!B89:P353,15,FALSE)</f>
        <v>#N/A</v>
      </c>
      <c r="X92" s="653" t="e">
        <f t="shared" si="24"/>
        <v>#N/A</v>
      </c>
      <c r="Y92" s="568">
        <f t="shared" si="20"/>
        <v>81</v>
      </c>
      <c r="Z92" s="551">
        <f>IFERROR(INDEX('[10]CN BC'!$M$10:$M$276,MATCH(B92,'[10]CN BC'!$H$10:$H$276,0)),"")</f>
        <v>0</v>
      </c>
      <c r="AA92" s="539" t="s">
        <v>816</v>
      </c>
      <c r="AD92" s="487"/>
    </row>
    <row r="93" spans="1:36" s="372" customFormat="1" ht="27" customHeight="1">
      <c r="A93" s="379">
        <f>_xlfn.AGGREGATE(4,7,A$11:A92)+1</f>
        <v>82</v>
      </c>
      <c r="B93" s="390" t="s">
        <v>1511</v>
      </c>
      <c r="C93" s="364" t="s">
        <v>867</v>
      </c>
      <c r="D93" s="434" t="s">
        <v>1745</v>
      </c>
      <c r="E93" s="423" t="s">
        <v>1349</v>
      </c>
      <c r="F93" s="373">
        <v>3.99</v>
      </c>
      <c r="G93" s="367"/>
      <c r="H93" s="368">
        <f t="shared" si="11"/>
        <v>3.99</v>
      </c>
      <c r="I93" s="368"/>
      <c r="J93" s="369">
        <f t="shared" si="12"/>
        <v>3.99</v>
      </c>
      <c r="K93" s="362">
        <f t="shared" si="13"/>
        <v>7182000</v>
      </c>
      <c r="L93" s="366" t="str">
        <f>VLOOKUP(B93,'[8]Gui chi Quynh'!$B$11:$E$401,4,FALSE)</f>
        <v>A3</v>
      </c>
      <c r="M93" s="494">
        <f t="shared" si="16"/>
        <v>8618400</v>
      </c>
      <c r="N93" s="376">
        <v>19</v>
      </c>
      <c r="O93" s="440">
        <f>IFERROR(INDEX('[9]CN BC'!$J$10:$J$277,MATCH(B93,'[9]CN BC'!$H$10:$H$277,0)),"")</f>
        <v>19</v>
      </c>
      <c r="P93" s="494">
        <f t="shared" si="22"/>
        <v>8618400</v>
      </c>
      <c r="Q93" s="392"/>
      <c r="R93" s="362">
        <f t="shared" si="15"/>
        <v>0</v>
      </c>
      <c r="S93" s="370"/>
      <c r="T93" s="362">
        <f t="shared" si="23"/>
        <v>0</v>
      </c>
      <c r="U93" s="584">
        <f t="shared" si="19"/>
        <v>71820</v>
      </c>
      <c r="V93" s="371">
        <f t="shared" si="21"/>
        <v>8618400</v>
      </c>
      <c r="W93" s="362">
        <f>VLOOKUP(B93,CN!B90:P354,15,FALSE)</f>
        <v>8087040</v>
      </c>
      <c r="X93" s="653">
        <f t="shared" si="24"/>
        <v>531360</v>
      </c>
      <c r="Y93" s="568">
        <f t="shared" si="20"/>
        <v>82</v>
      </c>
      <c r="Z93" s="493">
        <f>IFERROR(INDEX('[10]CN BC'!$M$10:$M$276,MATCH(B93,'[10]CN BC'!$H$10:$H$276,0)),"")</f>
        <v>0</v>
      </c>
      <c r="AA93" s="523" t="s">
        <v>817</v>
      </c>
      <c r="AB93" s="108"/>
      <c r="AC93" s="108"/>
      <c r="AD93" s="155"/>
      <c r="AE93" s="108"/>
      <c r="AF93" s="108"/>
      <c r="AG93" s="108"/>
      <c r="AH93" s="108"/>
      <c r="AI93" s="108"/>
      <c r="AJ93" s="108"/>
    </row>
    <row r="94" spans="1:36" s="372" customFormat="1" ht="27" customHeight="1">
      <c r="A94" s="379">
        <f>_xlfn.AGGREGATE(4,7,A$11:A93)+1</f>
        <v>83</v>
      </c>
      <c r="B94" s="363" t="s">
        <v>1512</v>
      </c>
      <c r="C94" s="364" t="s">
        <v>1209</v>
      </c>
      <c r="D94" s="434" t="s">
        <v>1746</v>
      </c>
      <c r="E94" s="423" t="s">
        <v>1350</v>
      </c>
      <c r="F94" s="373">
        <v>3.99</v>
      </c>
      <c r="G94" s="367"/>
      <c r="H94" s="368">
        <f t="shared" si="11"/>
        <v>3.99</v>
      </c>
      <c r="I94" s="368"/>
      <c r="J94" s="369">
        <f t="shared" si="12"/>
        <v>3.99</v>
      </c>
      <c r="K94" s="362">
        <f t="shared" si="13"/>
        <v>7182000</v>
      </c>
      <c r="L94" s="366" t="str">
        <f>VLOOKUP(B94,'[8]Gui chi Quynh'!$B$11:$E$401,4,FALSE)</f>
        <v>A4</v>
      </c>
      <c r="M94" s="494">
        <f t="shared" si="16"/>
        <v>7182000</v>
      </c>
      <c r="N94" s="376">
        <v>19</v>
      </c>
      <c r="O94" s="440">
        <f>IFERROR(INDEX('[9]CN BC'!$J$10:$J$277,MATCH(B94,'[9]CN BC'!$H$10:$H$277,0)),"")</f>
        <v>19</v>
      </c>
      <c r="P94" s="494">
        <f t="shared" si="22"/>
        <v>7182000</v>
      </c>
      <c r="Q94" s="460"/>
      <c r="R94" s="362">
        <f t="shared" si="15"/>
        <v>0</v>
      </c>
      <c r="S94" s="370"/>
      <c r="T94" s="362">
        <f t="shared" si="23"/>
        <v>0</v>
      </c>
      <c r="U94" s="584">
        <f t="shared" si="19"/>
        <v>71820</v>
      </c>
      <c r="V94" s="371">
        <f t="shared" si="21"/>
        <v>7182000</v>
      </c>
      <c r="W94" s="362">
        <f>VLOOKUP(B94,CN!B91:P355,15,FALSE)</f>
        <v>7469280</v>
      </c>
      <c r="X94" s="653">
        <f t="shared" si="24"/>
        <v>-287280</v>
      </c>
      <c r="Y94" s="568">
        <f t="shared" si="20"/>
        <v>83</v>
      </c>
      <c r="Z94" s="493">
        <f>IFERROR(INDEX('[10]CN BC'!$M$10:$M$276,MATCH(B94,'[10]CN BC'!$H$10:$H$276,0)),"")</f>
        <v>0</v>
      </c>
      <c r="AA94" s="523" t="s">
        <v>818</v>
      </c>
      <c r="AB94" s="108"/>
      <c r="AC94" s="108"/>
      <c r="AD94" s="155"/>
      <c r="AE94" s="108"/>
      <c r="AF94" s="108"/>
      <c r="AG94" s="108"/>
      <c r="AH94" s="108"/>
      <c r="AI94" s="108"/>
      <c r="AJ94" s="108"/>
    </row>
    <row r="95" spans="1:36" s="108" customFormat="1" ht="27" customHeight="1">
      <c r="A95" s="379">
        <f>_xlfn.AGGREGATE(4,7,A$11:A94)+1</f>
        <v>84</v>
      </c>
      <c r="B95" s="33" t="s">
        <v>1513</v>
      </c>
      <c r="C95" s="34" t="s">
        <v>1211</v>
      </c>
      <c r="D95" s="406" t="s">
        <v>1747</v>
      </c>
      <c r="E95" s="424" t="s">
        <v>1353</v>
      </c>
      <c r="F95" s="83">
        <v>3.99</v>
      </c>
      <c r="G95" s="157"/>
      <c r="H95" s="368">
        <f t="shared" si="11"/>
        <v>3.99</v>
      </c>
      <c r="I95" s="514">
        <v>0.45</v>
      </c>
      <c r="J95" s="369">
        <f t="shared" si="12"/>
        <v>4.4400000000000004</v>
      </c>
      <c r="K95" s="362">
        <f t="shared" si="13"/>
        <v>7992000.0000000009</v>
      </c>
      <c r="L95" s="366" t="str">
        <f>VLOOKUP(B95,'[8]Gui chi Quynh'!$B$11:$E$401,4,FALSE)</f>
        <v>A2</v>
      </c>
      <c r="M95" s="494">
        <f t="shared" si="16"/>
        <v>11188800</v>
      </c>
      <c r="N95" s="376">
        <v>19</v>
      </c>
      <c r="O95" s="440">
        <f>IFERROR(INDEX('[9]CN BC'!$J$10:$J$277,MATCH(B95,'[9]CN BC'!$H$10:$H$277,0)),"")</f>
        <v>20</v>
      </c>
      <c r="P95" s="494">
        <f t="shared" si="22"/>
        <v>11188800</v>
      </c>
      <c r="Q95" s="392"/>
      <c r="R95" s="362">
        <f t="shared" si="15"/>
        <v>0</v>
      </c>
      <c r="S95" s="385"/>
      <c r="T95" s="362">
        <f t="shared" si="23"/>
        <v>0</v>
      </c>
      <c r="U95" s="584">
        <f t="shared" si="19"/>
        <v>79920</v>
      </c>
      <c r="V95" s="371">
        <f t="shared" si="21"/>
        <v>11188800</v>
      </c>
      <c r="W95" s="362">
        <f>VLOOKUP(B95,CN!B39:P356,15,FALSE)</f>
        <v>8124480</v>
      </c>
      <c r="X95" s="653">
        <f t="shared" si="24"/>
        <v>3064320</v>
      </c>
      <c r="Y95" s="568">
        <f t="shared" si="20"/>
        <v>84</v>
      </c>
      <c r="Z95" s="493">
        <f>IFERROR(INDEX('[10]CN BC'!$M$10:$M$276,MATCH(B95,'[10]CN BC'!$H$10:$H$276,0)),"")</f>
        <v>0</v>
      </c>
      <c r="AA95" s="523" t="s">
        <v>819</v>
      </c>
      <c r="AD95" s="155"/>
    </row>
    <row r="96" spans="1:36" s="372" customFormat="1" ht="30" customHeight="1">
      <c r="A96" s="379">
        <f>_xlfn.AGGREGATE(4,7,A$11:A95)+1</f>
        <v>85</v>
      </c>
      <c r="B96" s="363" t="s">
        <v>1514</v>
      </c>
      <c r="C96" s="364" t="s">
        <v>979</v>
      </c>
      <c r="D96" s="434" t="s">
        <v>1748</v>
      </c>
      <c r="E96" s="423" t="s">
        <v>1354</v>
      </c>
      <c r="F96" s="373">
        <v>3.66</v>
      </c>
      <c r="G96" s="367"/>
      <c r="H96" s="368">
        <f t="shared" si="11"/>
        <v>3.66</v>
      </c>
      <c r="I96" s="368"/>
      <c r="J96" s="369">
        <f t="shared" si="12"/>
        <v>3.66</v>
      </c>
      <c r="K96" s="362">
        <f t="shared" si="13"/>
        <v>6588000</v>
      </c>
      <c r="L96" s="366" t="str">
        <f>VLOOKUP(B96,'[8]Gui chi Quynh'!$B$11:$E$401,4,FALSE)</f>
        <v>A4</v>
      </c>
      <c r="M96" s="494">
        <f t="shared" si="16"/>
        <v>6588000</v>
      </c>
      <c r="N96" s="376">
        <v>19</v>
      </c>
      <c r="O96" s="440">
        <f>IFERROR(INDEX('[9]CN BC'!$J$10:$J$277,MATCH(B96,'[9]CN BC'!$H$10:$H$277,0)),"")</f>
        <v>19</v>
      </c>
      <c r="P96" s="494">
        <f t="shared" si="22"/>
        <v>6588000</v>
      </c>
      <c r="Q96" s="460"/>
      <c r="R96" s="362">
        <f t="shared" si="15"/>
        <v>0</v>
      </c>
      <c r="S96" s="370"/>
      <c r="T96" s="362">
        <f t="shared" si="23"/>
        <v>0</v>
      </c>
      <c r="U96" s="584">
        <f t="shared" si="19"/>
        <v>65880</v>
      </c>
      <c r="V96" s="371">
        <f t="shared" si="21"/>
        <v>6588000</v>
      </c>
      <c r="W96" s="362">
        <f>VLOOKUP(B96,CN!B92:P357,15,FALSE)</f>
        <v>5601960</v>
      </c>
      <c r="X96" s="653">
        <f t="shared" si="24"/>
        <v>986040</v>
      </c>
      <c r="Y96" s="568">
        <f t="shared" si="20"/>
        <v>85</v>
      </c>
      <c r="Z96" s="493">
        <f>IFERROR(INDEX('[10]CN BC'!$M$10:$M$276,MATCH(B96,'[10]CN BC'!$H$10:$H$276,0)),"")</f>
        <v>0</v>
      </c>
      <c r="AA96" s="523" t="s">
        <v>820</v>
      </c>
      <c r="AB96" s="108"/>
      <c r="AC96" s="108"/>
      <c r="AD96" s="487"/>
    </row>
    <row r="97" spans="1:40" s="372" customFormat="1" ht="24.75" customHeight="1">
      <c r="A97" s="379">
        <f>_xlfn.AGGREGATE(4,7,A$11:A96)+1</f>
        <v>86</v>
      </c>
      <c r="B97" s="363" t="s">
        <v>1515</v>
      </c>
      <c r="C97" s="364" t="s">
        <v>1212</v>
      </c>
      <c r="D97" s="434" t="s">
        <v>1749</v>
      </c>
      <c r="E97" s="423" t="s">
        <v>1355</v>
      </c>
      <c r="F97" s="373">
        <v>3.66</v>
      </c>
      <c r="G97" s="367"/>
      <c r="H97" s="368">
        <f t="shared" ref="H97:H158" si="25">F97+(F97*G97)</f>
        <v>3.66</v>
      </c>
      <c r="I97" s="368"/>
      <c r="J97" s="369">
        <f t="shared" ref="J97:J158" si="26">H97+I97</f>
        <v>3.66</v>
      </c>
      <c r="K97" s="362">
        <f t="shared" ref="K97:K158" si="27">J97*$G$8</f>
        <v>6588000</v>
      </c>
      <c r="L97" s="366" t="str">
        <f>VLOOKUP(B97,'[8]Gui chi Quynh'!$B$11:$E$401,4,FALSE)</f>
        <v>A4</v>
      </c>
      <c r="M97" s="494">
        <f t="shared" si="16"/>
        <v>6588000</v>
      </c>
      <c r="N97" s="376">
        <v>19</v>
      </c>
      <c r="O97" s="440">
        <f>IFERROR(INDEX('[9]CN BC'!$J$10:$J$277,MATCH(B97,'[9]CN BC'!$H$10:$H$277,0)),"")</f>
        <v>19</v>
      </c>
      <c r="P97" s="494">
        <f t="shared" si="22"/>
        <v>6588000</v>
      </c>
      <c r="Q97" s="392"/>
      <c r="R97" s="362">
        <f t="shared" si="15"/>
        <v>0</v>
      </c>
      <c r="S97" s="370"/>
      <c r="T97" s="362">
        <f t="shared" si="23"/>
        <v>0</v>
      </c>
      <c r="U97" s="584">
        <f t="shared" si="19"/>
        <v>65880</v>
      </c>
      <c r="V97" s="371">
        <f t="shared" si="21"/>
        <v>6588000</v>
      </c>
      <c r="W97" s="362">
        <f>VLOOKUP(B97,CN!B93:P358,15,FALSE)</f>
        <v>5601960</v>
      </c>
      <c r="X97" s="653">
        <f t="shared" si="24"/>
        <v>986040</v>
      </c>
      <c r="Y97" s="568">
        <f t="shared" si="20"/>
        <v>86</v>
      </c>
      <c r="Z97" s="493">
        <f>IFERROR(INDEX('[10]CN BC'!$M$10:$M$276,MATCH(B97,'[10]CN BC'!$H$10:$H$276,0)),"")</f>
        <v>0</v>
      </c>
      <c r="AA97" s="523" t="s">
        <v>1119</v>
      </c>
      <c r="AB97" s="108"/>
      <c r="AC97" s="108"/>
      <c r="AD97" s="155"/>
      <c r="AE97" s="108"/>
      <c r="AF97" s="108"/>
      <c r="AG97" s="108"/>
      <c r="AH97" s="108"/>
      <c r="AI97" s="108"/>
      <c r="AJ97" s="108"/>
    </row>
    <row r="98" spans="1:40" s="108" customFormat="1" ht="24.75" customHeight="1">
      <c r="A98" s="379">
        <f>_xlfn.AGGREGATE(4,7,A$11:A97)+1</f>
        <v>87</v>
      </c>
      <c r="B98" s="33" t="s">
        <v>1516</v>
      </c>
      <c r="C98" s="34" t="s">
        <v>1213</v>
      </c>
      <c r="D98" s="406" t="s">
        <v>1750</v>
      </c>
      <c r="E98" s="424" t="s">
        <v>1356</v>
      </c>
      <c r="F98" s="373">
        <v>3.66</v>
      </c>
      <c r="G98" s="157"/>
      <c r="H98" s="368">
        <f t="shared" si="25"/>
        <v>3.66</v>
      </c>
      <c r="I98" s="81"/>
      <c r="J98" s="369">
        <f t="shared" si="26"/>
        <v>3.66</v>
      </c>
      <c r="K98" s="362">
        <f t="shared" si="27"/>
        <v>6588000</v>
      </c>
      <c r="L98" s="366" t="str">
        <f>VLOOKUP(B98,'[8]Gui chi Quynh'!$B$11:$E$401,4,FALSE)</f>
        <v>A3</v>
      </c>
      <c r="M98" s="494">
        <f t="shared" si="16"/>
        <v>7905600</v>
      </c>
      <c r="N98" s="376">
        <v>19</v>
      </c>
      <c r="O98" s="440">
        <f>IFERROR(INDEX('[9]CN BC'!$J$10:$J$277,MATCH(B98,'[9]CN BC'!$H$10:$H$277,0)),"")</f>
        <v>19</v>
      </c>
      <c r="P98" s="494">
        <f t="shared" si="22"/>
        <v>7905600</v>
      </c>
      <c r="Q98" s="392"/>
      <c r="R98" s="362">
        <f t="shared" si="15"/>
        <v>0</v>
      </c>
      <c r="S98" s="385"/>
      <c r="T98" s="362">
        <f t="shared" si="23"/>
        <v>0</v>
      </c>
      <c r="U98" s="584">
        <f t="shared" si="19"/>
        <v>65880</v>
      </c>
      <c r="V98" s="371">
        <f t="shared" si="21"/>
        <v>7905600</v>
      </c>
      <c r="W98" s="362">
        <f>VLOOKUP(B98,CN!B93:P359,15,FALSE)</f>
        <v>7469280</v>
      </c>
      <c r="X98" s="653">
        <f t="shared" si="24"/>
        <v>436320</v>
      </c>
      <c r="Y98" s="568">
        <f t="shared" si="20"/>
        <v>87</v>
      </c>
      <c r="Z98" s="493">
        <f>IFERROR(INDEX('[10]CN BC'!$M$10:$M$276,MATCH(B98,'[10]CN BC'!$H$10:$H$276,0)),"")</f>
        <v>0</v>
      </c>
      <c r="AA98" s="523" t="s">
        <v>1120</v>
      </c>
      <c r="AD98" s="155"/>
    </row>
    <row r="99" spans="1:40" s="108" customFormat="1" ht="26.25" customHeight="1">
      <c r="A99" s="379">
        <f>_xlfn.AGGREGATE(4,7,A$11:A98)+1</f>
        <v>88</v>
      </c>
      <c r="B99" s="33" t="s">
        <v>1883</v>
      </c>
      <c r="C99" s="34" t="s">
        <v>282</v>
      </c>
      <c r="D99" s="406" t="s">
        <v>1751</v>
      </c>
      <c r="E99" s="424" t="s">
        <v>381</v>
      </c>
      <c r="F99" s="83">
        <v>3.99</v>
      </c>
      <c r="G99" s="157"/>
      <c r="H99" s="368">
        <f t="shared" si="25"/>
        <v>3.99</v>
      </c>
      <c r="I99" s="81">
        <v>0.35</v>
      </c>
      <c r="J99" s="369">
        <f t="shared" si="26"/>
        <v>4.34</v>
      </c>
      <c r="K99" s="362">
        <f t="shared" si="27"/>
        <v>7812000</v>
      </c>
      <c r="L99" s="366" t="str">
        <f>VLOOKUP(B99,'[8]Gui chi Quynh'!$B$11:$E$401,4,FALSE)</f>
        <v>A3</v>
      </c>
      <c r="M99" s="494">
        <f t="shared" si="16"/>
        <v>9374400</v>
      </c>
      <c r="N99" s="376">
        <v>19</v>
      </c>
      <c r="O99" s="440">
        <f>IFERROR(INDEX('[9]CN BC'!$J$10:$J$277,MATCH(B99,'[9]CN BC'!$H$10:$H$277,0)),"")</f>
        <v>19</v>
      </c>
      <c r="P99" s="494">
        <f t="shared" si="22"/>
        <v>9374400</v>
      </c>
      <c r="Q99" s="392"/>
      <c r="R99" s="362">
        <f t="shared" si="15"/>
        <v>0</v>
      </c>
      <c r="S99" s="385"/>
      <c r="T99" s="362">
        <f t="shared" si="23"/>
        <v>0</v>
      </c>
      <c r="U99" s="584">
        <f t="shared" si="19"/>
        <v>78120</v>
      </c>
      <c r="V99" s="371">
        <f t="shared" si="21"/>
        <v>9374400</v>
      </c>
      <c r="W99" s="362">
        <f>VLOOKUP(B99,CN!B94:P360,15,FALSE)</f>
        <v>8124480</v>
      </c>
      <c r="X99" s="653">
        <f t="shared" si="24"/>
        <v>1249920</v>
      </c>
      <c r="Y99" s="568">
        <f t="shared" si="20"/>
        <v>88</v>
      </c>
      <c r="Z99" s="493">
        <f>IFERROR(INDEX('[10]CN BC'!$M$10:$M$276,MATCH(B99,'[10]CN BC'!$H$10:$H$276,0)),"")</f>
        <v>0</v>
      </c>
      <c r="AA99" s="523" t="s">
        <v>1121</v>
      </c>
      <c r="AD99" s="155"/>
    </row>
    <row r="100" spans="1:40" s="372" customFormat="1" ht="23.25" customHeight="1">
      <c r="A100" s="379">
        <f>_xlfn.AGGREGATE(4,7,A$11:A99)+1</f>
        <v>89</v>
      </c>
      <c r="B100" s="363" t="s">
        <v>1833</v>
      </c>
      <c r="C100" s="364"/>
      <c r="D100" s="434" t="s">
        <v>1966</v>
      </c>
      <c r="E100" s="486">
        <v>1603215005649</v>
      </c>
      <c r="F100" s="373">
        <v>3.33</v>
      </c>
      <c r="G100" s="367"/>
      <c r="H100" s="445">
        <f t="shared" si="25"/>
        <v>3.33</v>
      </c>
      <c r="I100" s="368"/>
      <c r="J100" s="369">
        <f t="shared" si="26"/>
        <v>3.33</v>
      </c>
      <c r="K100" s="362">
        <f t="shared" si="27"/>
        <v>5994000</v>
      </c>
      <c r="L100" s="366" t="str">
        <f>VLOOKUP(B100,'[8]Gui chi Quynh'!$B$11:$E$401,4,FALSE)</f>
        <v>A4</v>
      </c>
      <c r="M100" s="494">
        <f t="shared" si="16"/>
        <v>5994000</v>
      </c>
      <c r="N100" s="376">
        <v>19</v>
      </c>
      <c r="O100" s="440">
        <f>IFERROR(INDEX('[9]CN BC'!$J$10:$J$277,MATCH(B100,'[9]CN BC'!$H$10:$H$277,0)),"")</f>
        <v>19</v>
      </c>
      <c r="P100" s="494">
        <f t="shared" si="22"/>
        <v>5994000</v>
      </c>
      <c r="Q100" s="460"/>
      <c r="R100" s="362">
        <f t="shared" si="15"/>
        <v>0</v>
      </c>
      <c r="S100" s="370"/>
      <c r="T100" s="362">
        <f t="shared" si="23"/>
        <v>0</v>
      </c>
      <c r="U100" s="584">
        <f t="shared" si="19"/>
        <v>59940</v>
      </c>
      <c r="V100" s="371">
        <f t="shared" si="21"/>
        <v>5994000</v>
      </c>
      <c r="W100" s="362">
        <f>VLOOKUP(B100,CN!B95:P361,15,FALSE)</f>
        <v>5995080</v>
      </c>
      <c r="X100" s="653">
        <f t="shared" si="24"/>
        <v>-1080</v>
      </c>
      <c r="Y100" s="568">
        <f t="shared" si="20"/>
        <v>89</v>
      </c>
      <c r="Z100" s="493">
        <f>IFERROR(INDEX('[10]CN BC'!$M$10:$M$276,MATCH(B100,'[10]CN BC'!$H$10:$H$276,0)),"")</f>
        <v>0</v>
      </c>
      <c r="AA100" s="523" t="s">
        <v>1122</v>
      </c>
      <c r="AB100" s="108"/>
      <c r="AC100" s="108"/>
      <c r="AD100" s="155"/>
    </row>
    <row r="101" spans="1:40" s="372" customFormat="1" ht="29.25" customHeight="1">
      <c r="A101" s="379">
        <f>_xlfn.AGGREGATE(4,7,A$11:A100)+1</f>
        <v>90</v>
      </c>
      <c r="B101" s="363" t="s">
        <v>1884</v>
      </c>
      <c r="C101" s="364" t="s">
        <v>1175</v>
      </c>
      <c r="D101" s="406" t="s">
        <v>1752</v>
      </c>
      <c r="E101" s="423" t="s">
        <v>1345</v>
      </c>
      <c r="F101" s="373">
        <v>3.99</v>
      </c>
      <c r="G101" s="367"/>
      <c r="H101" s="368">
        <f t="shared" si="25"/>
        <v>3.99</v>
      </c>
      <c r="I101" s="368">
        <v>0.25</v>
      </c>
      <c r="J101" s="369">
        <f t="shared" si="26"/>
        <v>4.24</v>
      </c>
      <c r="K101" s="362">
        <f t="shared" si="27"/>
        <v>7632000</v>
      </c>
      <c r="L101" s="366" t="str">
        <f>VLOOKUP(B101,'[8]Gui chi Quynh'!$B$11:$E$401,4,FALSE)</f>
        <v>A2</v>
      </c>
      <c r="M101" s="494">
        <f t="shared" si="16"/>
        <v>10684800</v>
      </c>
      <c r="N101" s="376">
        <v>19</v>
      </c>
      <c r="O101" s="440">
        <f>IFERROR(INDEX('[9]CN BC'!$J$10:$J$277,MATCH(B101,'[9]CN BC'!$H$10:$H$277,0)),"")</f>
        <v>19</v>
      </c>
      <c r="P101" s="494">
        <f t="shared" si="22"/>
        <v>10684800</v>
      </c>
      <c r="Q101" s="392"/>
      <c r="R101" s="362">
        <f t="shared" si="15"/>
        <v>0</v>
      </c>
      <c r="S101" s="370"/>
      <c r="T101" s="362">
        <f t="shared" si="23"/>
        <v>0</v>
      </c>
      <c r="U101" s="584">
        <f t="shared" si="19"/>
        <v>76320</v>
      </c>
      <c r="V101" s="371">
        <f t="shared" si="21"/>
        <v>10684800</v>
      </c>
      <c r="W101" s="362">
        <f>VLOOKUP(B101,CN!B97:P362,15,FALSE)</f>
        <v>6416280</v>
      </c>
      <c r="X101" s="653">
        <f t="shared" si="24"/>
        <v>4268520</v>
      </c>
      <c r="Y101" s="568">
        <f t="shared" si="20"/>
        <v>90</v>
      </c>
      <c r="Z101" s="493">
        <f>IFERROR(INDEX('[10]CN BC'!$M$10:$M$276,MATCH(B101,'[10]CN BC'!$H$10:$H$276,0)),"")</f>
        <v>0</v>
      </c>
      <c r="AA101" s="523" t="s">
        <v>1123</v>
      </c>
      <c r="AB101" s="108"/>
      <c r="AC101" s="108"/>
      <c r="AD101" s="155"/>
      <c r="AE101" s="108"/>
      <c r="AF101" s="108"/>
      <c r="AG101" s="108"/>
      <c r="AH101" s="108"/>
      <c r="AI101" s="108"/>
      <c r="AJ101" s="108"/>
      <c r="AK101" s="108"/>
      <c r="AL101" s="108"/>
      <c r="AM101" s="108"/>
      <c r="AN101" s="108"/>
    </row>
    <row r="102" spans="1:40" s="372" customFormat="1" ht="29.25" customHeight="1">
      <c r="A102" s="379">
        <f>_xlfn.AGGREGATE(4,7,A$11:A101)+1</f>
        <v>91</v>
      </c>
      <c r="B102" s="363" t="s">
        <v>1517</v>
      </c>
      <c r="C102" s="364" t="s">
        <v>731</v>
      </c>
      <c r="D102" s="434" t="s">
        <v>1753</v>
      </c>
      <c r="E102" s="426">
        <v>1603205286594</v>
      </c>
      <c r="F102" s="373">
        <v>3.33</v>
      </c>
      <c r="G102" s="367"/>
      <c r="H102" s="445">
        <f t="shared" si="25"/>
        <v>3.33</v>
      </c>
      <c r="I102" s="368"/>
      <c r="J102" s="369">
        <f t="shared" si="26"/>
        <v>3.33</v>
      </c>
      <c r="K102" s="362">
        <f t="shared" si="27"/>
        <v>5994000</v>
      </c>
      <c r="L102" s="366" t="str">
        <f>VLOOKUP(B102,'[8]Gui chi Quynh'!$B$11:$E$401,4,FALSE)</f>
        <v>A3</v>
      </c>
      <c r="M102" s="494">
        <f t="shared" si="16"/>
        <v>7192800</v>
      </c>
      <c r="N102" s="376">
        <v>19</v>
      </c>
      <c r="O102" s="440">
        <f>IFERROR(INDEX('[9]CN BC'!$J$10:$J$277,MATCH(B102,'[9]CN BC'!$H$10:$H$277,0)),"")</f>
        <v>19</v>
      </c>
      <c r="P102" s="494">
        <f t="shared" si="22"/>
        <v>7192800</v>
      </c>
      <c r="Q102" s="460"/>
      <c r="R102" s="362">
        <f t="shared" si="15"/>
        <v>0</v>
      </c>
      <c r="S102" s="370"/>
      <c r="T102" s="362">
        <f t="shared" si="23"/>
        <v>0</v>
      </c>
      <c r="U102" s="584">
        <f t="shared" si="19"/>
        <v>59940</v>
      </c>
      <c r="V102" s="371">
        <f t="shared" si="21"/>
        <v>7192800</v>
      </c>
      <c r="W102" s="362">
        <f>VLOOKUP(B102,CN!B99:P363,15,FALSE)</f>
        <v>5138640</v>
      </c>
      <c r="X102" s="653">
        <f t="shared" si="24"/>
        <v>2054160</v>
      </c>
      <c r="Y102" s="568">
        <f t="shared" si="20"/>
        <v>91</v>
      </c>
      <c r="Z102" s="493">
        <f>IFERROR(INDEX('[10]CN BC'!$M$10:$M$276,MATCH(B102,'[10]CN BC'!$H$10:$H$276,0)),"")</f>
        <v>0</v>
      </c>
      <c r="AA102" s="523" t="s">
        <v>1124</v>
      </c>
      <c r="AB102" s="108"/>
      <c r="AC102" s="108"/>
      <c r="AD102" s="487"/>
    </row>
    <row r="103" spans="1:40" s="372" customFormat="1" ht="28.5" customHeight="1">
      <c r="A103" s="379">
        <f>_xlfn.AGGREGATE(4,7,A$11:A102)+1</f>
        <v>92</v>
      </c>
      <c r="B103" s="363" t="s">
        <v>1518</v>
      </c>
      <c r="C103" s="364" t="s">
        <v>1207</v>
      </c>
      <c r="D103" s="406" t="s">
        <v>1754</v>
      </c>
      <c r="E103" s="423" t="s">
        <v>1346</v>
      </c>
      <c r="F103" s="366">
        <v>3.99</v>
      </c>
      <c r="G103" s="367"/>
      <c r="H103" s="368">
        <f t="shared" si="25"/>
        <v>3.99</v>
      </c>
      <c r="I103" s="368"/>
      <c r="J103" s="369">
        <f t="shared" si="26"/>
        <v>3.99</v>
      </c>
      <c r="K103" s="362">
        <f t="shared" si="27"/>
        <v>7182000</v>
      </c>
      <c r="L103" s="366" t="str">
        <f>VLOOKUP(B103,'[8]Gui chi Quynh'!$B$11:$E$401,4,FALSE)</f>
        <v>A4</v>
      </c>
      <c r="M103" s="494">
        <f t="shared" si="16"/>
        <v>7182000</v>
      </c>
      <c r="N103" s="376">
        <v>19</v>
      </c>
      <c r="O103" s="440">
        <f>IFERROR(INDEX('[9]CN BC'!$J$10:$J$277,MATCH(B103,'[9]CN BC'!$H$10:$H$277,0)),"")</f>
        <v>19</v>
      </c>
      <c r="P103" s="494">
        <f t="shared" si="22"/>
        <v>7182000</v>
      </c>
      <c r="Q103" s="392"/>
      <c r="R103" s="362">
        <f t="shared" si="15"/>
        <v>0</v>
      </c>
      <c r="S103" s="385"/>
      <c r="T103" s="362">
        <f t="shared" si="23"/>
        <v>0</v>
      </c>
      <c r="U103" s="584">
        <f t="shared" si="19"/>
        <v>71820</v>
      </c>
      <c r="V103" s="371">
        <f t="shared" si="21"/>
        <v>7182000</v>
      </c>
      <c r="W103" s="362">
        <f>VLOOKUP(B103,CN!B99:P364,15,FALSE)</f>
        <v>7076160</v>
      </c>
      <c r="X103" s="653">
        <f t="shared" si="24"/>
        <v>105840</v>
      </c>
      <c r="Y103" s="568">
        <f t="shared" si="20"/>
        <v>92</v>
      </c>
      <c r="Z103" s="493">
        <f>IFERROR(INDEX('[10]CN BC'!$M$10:$M$276,MATCH(B103,'[10]CN BC'!$H$10:$H$276,0)),"")</f>
        <v>0</v>
      </c>
      <c r="AA103" s="523" t="s">
        <v>1125</v>
      </c>
      <c r="AB103" s="108"/>
      <c r="AC103" s="108"/>
      <c r="AD103" s="155"/>
      <c r="AE103" s="108"/>
      <c r="AF103" s="108"/>
      <c r="AG103" s="108"/>
      <c r="AH103" s="108"/>
      <c r="AI103" s="108"/>
      <c r="AJ103" s="108"/>
      <c r="AK103" s="108"/>
      <c r="AL103" s="108"/>
      <c r="AM103" s="108"/>
      <c r="AN103" s="108"/>
    </row>
    <row r="104" spans="1:40" s="372" customFormat="1" ht="28.5" customHeight="1">
      <c r="A104" s="379">
        <f>_xlfn.AGGREGATE(4,7,A$11:A103)+1</f>
        <v>93</v>
      </c>
      <c r="B104" s="363" t="s">
        <v>1519</v>
      </c>
      <c r="C104" s="364" t="s">
        <v>728</v>
      </c>
      <c r="D104" s="406" t="s">
        <v>1755</v>
      </c>
      <c r="E104" s="423" t="s">
        <v>771</v>
      </c>
      <c r="F104" s="373">
        <v>3.66</v>
      </c>
      <c r="G104" s="367"/>
      <c r="H104" s="368">
        <f t="shared" si="25"/>
        <v>3.66</v>
      </c>
      <c r="I104" s="368"/>
      <c r="J104" s="369">
        <f t="shared" si="26"/>
        <v>3.66</v>
      </c>
      <c r="K104" s="362">
        <f t="shared" si="27"/>
        <v>6588000</v>
      </c>
      <c r="L104" s="366" t="str">
        <f>VLOOKUP(B104,'[8]Gui chi Quynh'!$B$11:$E$401,4,FALSE)</f>
        <v>A4</v>
      </c>
      <c r="M104" s="494">
        <f t="shared" si="16"/>
        <v>6588000</v>
      </c>
      <c r="N104" s="376">
        <v>19</v>
      </c>
      <c r="O104" s="440">
        <f>IFERROR(INDEX('[9]CN BC'!$J$10:$J$277,MATCH(B104,'[9]CN BC'!$H$10:$H$277,0)),"")</f>
        <v>19</v>
      </c>
      <c r="P104" s="494">
        <f t="shared" si="22"/>
        <v>6588000</v>
      </c>
      <c r="Q104" s="392"/>
      <c r="R104" s="362">
        <f t="shared" si="15"/>
        <v>0</v>
      </c>
      <c r="S104" s="385"/>
      <c r="T104" s="362">
        <f t="shared" si="23"/>
        <v>0</v>
      </c>
      <c r="U104" s="584">
        <f t="shared" si="19"/>
        <v>65880</v>
      </c>
      <c r="V104" s="371">
        <f t="shared" si="21"/>
        <v>6588000</v>
      </c>
      <c r="W104" s="362">
        <f>VLOOKUP(B104,CN!B100:P365,15,FALSE)</f>
        <v>6535620</v>
      </c>
      <c r="X104" s="653">
        <f t="shared" si="24"/>
        <v>52380</v>
      </c>
      <c r="Y104" s="568">
        <f t="shared" si="20"/>
        <v>93</v>
      </c>
      <c r="Z104" s="493">
        <f>IFERROR(INDEX('[10]CN BC'!$M$10:$M$276,MATCH(B104,'[10]CN BC'!$H$10:$H$276,0)),"")</f>
        <v>0</v>
      </c>
      <c r="AA104" s="523" t="s">
        <v>1126</v>
      </c>
      <c r="AB104" s="108"/>
      <c r="AC104" s="108"/>
      <c r="AD104" s="155"/>
      <c r="AE104" s="108"/>
      <c r="AF104" s="108"/>
      <c r="AG104" s="108"/>
      <c r="AH104" s="108"/>
      <c r="AI104" s="108"/>
      <c r="AJ104" s="108"/>
      <c r="AK104" s="108"/>
      <c r="AL104" s="108"/>
      <c r="AM104" s="108"/>
      <c r="AN104" s="108"/>
    </row>
    <row r="105" spans="1:40" s="372" customFormat="1" ht="25.5" customHeight="1">
      <c r="A105" s="379">
        <f>_xlfn.AGGREGATE(4,7,A$11:A104)+1</f>
        <v>94</v>
      </c>
      <c r="B105" s="363" t="s">
        <v>1520</v>
      </c>
      <c r="C105" s="364" t="s">
        <v>876</v>
      </c>
      <c r="D105" s="434" t="s">
        <v>1756</v>
      </c>
      <c r="E105" s="365" t="s">
        <v>1593</v>
      </c>
      <c r="F105" s="373">
        <v>3.99</v>
      </c>
      <c r="G105" s="367"/>
      <c r="H105" s="368">
        <f t="shared" si="25"/>
        <v>3.99</v>
      </c>
      <c r="I105" s="368">
        <v>0.25</v>
      </c>
      <c r="J105" s="369">
        <f t="shared" si="26"/>
        <v>4.24</v>
      </c>
      <c r="K105" s="362">
        <f t="shared" si="27"/>
        <v>7632000</v>
      </c>
      <c r="L105" s="366" t="str">
        <f>VLOOKUP(B105,'[8]Gui chi Quynh'!$B$11:$E$401,4,FALSE)</f>
        <v>A3</v>
      </c>
      <c r="M105" s="494">
        <f t="shared" si="16"/>
        <v>9158400</v>
      </c>
      <c r="N105" s="376">
        <v>19</v>
      </c>
      <c r="O105" s="467">
        <f>IFERROR(INDEX('[9]CN BC'!$J$10:$J$277,MATCH(B105,'[9]CN BC'!$H$10:$H$277,0)),"")</f>
        <v>19</v>
      </c>
      <c r="P105" s="494">
        <f t="shared" si="22"/>
        <v>9158400</v>
      </c>
      <c r="Q105" s="460"/>
      <c r="R105" s="362">
        <f t="shared" si="15"/>
        <v>0</v>
      </c>
      <c r="S105" s="370"/>
      <c r="T105" s="362">
        <f t="shared" si="23"/>
        <v>0</v>
      </c>
      <c r="U105" s="362">
        <f t="shared" si="19"/>
        <v>76320</v>
      </c>
      <c r="V105" s="371">
        <f t="shared" si="21"/>
        <v>9158400</v>
      </c>
      <c r="W105" s="362">
        <f>VLOOKUP(B105,CN!B101:P366,15,FALSE)</f>
        <v>6945120</v>
      </c>
      <c r="X105" s="653">
        <f t="shared" si="24"/>
        <v>2213280</v>
      </c>
      <c r="Y105" s="568">
        <f t="shared" si="20"/>
        <v>94</v>
      </c>
      <c r="Z105" s="551"/>
      <c r="AA105" s="539" t="s">
        <v>1127</v>
      </c>
      <c r="AD105" s="487"/>
    </row>
    <row r="106" spans="1:40" s="372" customFormat="1" ht="28.5" customHeight="1">
      <c r="A106" s="379">
        <f>_xlfn.AGGREGATE(4,7,A$11:A105)+1</f>
        <v>95</v>
      </c>
      <c r="B106" s="363" t="s">
        <v>1467</v>
      </c>
      <c r="C106" s="375" t="s">
        <v>1021</v>
      </c>
      <c r="D106" s="434" t="s">
        <v>1674</v>
      </c>
      <c r="E106" s="423" t="s">
        <v>1343</v>
      </c>
      <c r="F106" s="366">
        <v>3.99</v>
      </c>
      <c r="G106" s="367"/>
      <c r="H106" s="368">
        <f>F106+(F106*G106)</f>
        <v>3.99</v>
      </c>
      <c r="I106" s="368"/>
      <c r="J106" s="369">
        <f>H106+I106</f>
        <v>3.99</v>
      </c>
      <c r="K106" s="362">
        <f>J106*$G$8</f>
        <v>7182000</v>
      </c>
      <c r="L106" s="366" t="str">
        <f>VLOOKUP(B106,'[8]Gui chi Quynh'!$B$11:$E$401,4,FALSE)</f>
        <v>A3</v>
      </c>
      <c r="M106" s="494">
        <f t="shared" si="16"/>
        <v>8618400</v>
      </c>
      <c r="N106" s="376">
        <v>19</v>
      </c>
      <c r="O106" s="440">
        <f>IFERROR(INDEX('[9]CN BC'!$J$10:$J$277,MATCH(B106,'[9]CN BC'!$H$10:$H$277,0)),"")</f>
        <v>19</v>
      </c>
      <c r="P106" s="494">
        <f t="shared" si="22"/>
        <v>8618400</v>
      </c>
      <c r="Q106" s="460"/>
      <c r="R106" s="362">
        <f t="shared" si="15"/>
        <v>0</v>
      </c>
      <c r="S106" s="370"/>
      <c r="T106" s="362">
        <f t="shared" si="23"/>
        <v>0</v>
      </c>
      <c r="U106" s="584">
        <f>IF(OR(L106="A DN",L106="KXL", L106=""),"0",ROUND(J106*0.01*$G$8+Q106*1%*$G$8+S106*1%*$G$8,))</f>
        <v>71820</v>
      </c>
      <c r="V106" s="371">
        <f t="shared" si="21"/>
        <v>8618400</v>
      </c>
      <c r="W106" s="362">
        <f>VLOOKUP(B106,CN!B102:P367,15,FALSE)</f>
        <v>8087040</v>
      </c>
      <c r="X106" s="653">
        <f t="shared" si="24"/>
        <v>531360</v>
      </c>
      <c r="Y106" s="568">
        <f t="shared" si="20"/>
        <v>95</v>
      </c>
      <c r="Z106" s="493">
        <f>IFERROR(INDEX('[10]CN BC'!$M$10:$M$276,MATCH(B106,'[10]CN BC'!$H$10:$H$276,0)),"")</f>
        <v>0</v>
      </c>
      <c r="AA106" s="523" t="s">
        <v>1131</v>
      </c>
      <c r="AB106" s="108"/>
      <c r="AC106" s="108"/>
      <c r="AD106" s="155">
        <f>3.68*1490000*1.4</f>
        <v>7676479.9999999991</v>
      </c>
      <c r="AE106" s="108"/>
      <c r="AF106" s="108"/>
      <c r="AG106" s="108"/>
      <c r="AH106" s="108"/>
      <c r="AI106" s="108"/>
      <c r="AJ106" s="108"/>
    </row>
    <row r="107" spans="1:40" s="372" customFormat="1" ht="28.5" customHeight="1">
      <c r="A107" s="379">
        <f>_xlfn.AGGREGATE(4,7,A$11:A106)+1</f>
        <v>96</v>
      </c>
      <c r="B107" s="363" t="s">
        <v>2011</v>
      </c>
      <c r="C107" s="375"/>
      <c r="D107" s="434"/>
      <c r="E107" s="423"/>
      <c r="F107" s="366">
        <v>2.2690000000000001</v>
      </c>
      <c r="G107" s="367"/>
      <c r="H107" s="368">
        <f>F107+(F107*G107)</f>
        <v>2.2690000000000001</v>
      </c>
      <c r="I107" s="368"/>
      <c r="J107" s="369">
        <f>H107+I107</f>
        <v>2.2690000000000001</v>
      </c>
      <c r="K107" s="362">
        <f>J107*$G$8</f>
        <v>4084200</v>
      </c>
      <c r="L107" s="366" t="str">
        <f>VLOOKUP(B107,'[8]Gui chi Quynh'!$B$11:$E$401,4,FALSE)</f>
        <v>A4</v>
      </c>
      <c r="M107" s="494">
        <f t="shared" si="16"/>
        <v>4084200</v>
      </c>
      <c r="N107" s="376">
        <v>19</v>
      </c>
      <c r="O107" s="440">
        <f>IFERROR(INDEX('[9]CN BC'!$J$10:$J$277,MATCH(B107,'[9]CN BC'!$H$10:$H$277,0)),"")</f>
        <v>19</v>
      </c>
      <c r="P107" s="494">
        <f t="shared" si="22"/>
        <v>4084200</v>
      </c>
      <c r="Q107" s="460"/>
      <c r="R107" s="362">
        <f t="shared" si="15"/>
        <v>0</v>
      </c>
      <c r="S107" s="370"/>
      <c r="T107" s="362">
        <f t="shared" si="23"/>
        <v>0</v>
      </c>
      <c r="U107" s="584">
        <f>IF(OR(L107="A DN",L107="KXL", L107=""),"0",ROUND(J107*0.01*$G$8+Q107*1%*$G$8+S107*1%*$G$8,))</f>
        <v>40842</v>
      </c>
      <c r="V107" s="371">
        <f t="shared" si="21"/>
        <v>4084200</v>
      </c>
      <c r="W107" s="362">
        <f>VLOOKUP(B107,CN!B103:P368,15,FALSE)</f>
        <v>4373460</v>
      </c>
      <c r="X107" s="653">
        <f t="shared" si="24"/>
        <v>-289260</v>
      </c>
      <c r="Y107" s="568">
        <f t="shared" si="20"/>
        <v>96</v>
      </c>
      <c r="Z107" s="493">
        <f>IFERROR(INDEX('[10]CN BC'!$M$10:$M$276,MATCH(B107,'[10]CN BC'!$H$10:$H$276,0)),"")</f>
        <v>0</v>
      </c>
      <c r="AA107" s="540"/>
      <c r="AD107" s="487"/>
    </row>
    <row r="108" spans="1:40" s="372" customFormat="1" ht="28.5" customHeight="1">
      <c r="A108" s="379">
        <f>_xlfn.AGGREGATE(4,7,A$11:A107)+1</f>
        <v>97</v>
      </c>
      <c r="B108" s="363" t="s">
        <v>2017</v>
      </c>
      <c r="C108" s="375"/>
      <c r="D108" s="434"/>
      <c r="E108" s="423"/>
      <c r="F108" s="366">
        <v>1.9890000000000001</v>
      </c>
      <c r="G108" s="367"/>
      <c r="H108" s="368">
        <f>F108+(F108*G108)</f>
        <v>1.9890000000000001</v>
      </c>
      <c r="I108" s="368"/>
      <c r="J108" s="369">
        <f>H108+I108</f>
        <v>1.9890000000000001</v>
      </c>
      <c r="K108" s="362">
        <f>J108*$G$8</f>
        <v>3580200</v>
      </c>
      <c r="L108" s="366" t="str">
        <f>VLOOKUP(B108,'[8]Gui chi Quynh'!$B$11:$E$401,4,FALSE)</f>
        <v>A4</v>
      </c>
      <c r="M108" s="494">
        <f t="shared" si="16"/>
        <v>3580200</v>
      </c>
      <c r="N108" s="376">
        <v>19</v>
      </c>
      <c r="O108" s="440">
        <f>IFERROR(INDEX('[9]CN BC'!$J$10:$J$277,MATCH(B108,'[9]CN BC'!$H$10:$H$277,0)),"")</f>
        <v>19</v>
      </c>
      <c r="P108" s="494">
        <f t="shared" si="22"/>
        <v>3580200</v>
      </c>
      <c r="Q108" s="460"/>
      <c r="R108" s="362">
        <f t="shared" si="15"/>
        <v>0</v>
      </c>
      <c r="S108" s="370"/>
      <c r="T108" s="362">
        <f t="shared" si="23"/>
        <v>0</v>
      </c>
      <c r="U108" s="584">
        <f>IF(OR(L108="A DN",L108="KXL", L108=""),"0",ROUND(J108*0.01*$G$8+Q108*1%*$G$8+S108*1%*$G$8,))</f>
        <v>35802</v>
      </c>
      <c r="V108" s="371">
        <f t="shared" si="21"/>
        <v>3580200</v>
      </c>
      <c r="W108" s="362">
        <f>VLOOKUP(B108,CN!B104:P369,15,FALSE)</f>
        <v>3832919.9999999995</v>
      </c>
      <c r="X108" s="653">
        <f t="shared" si="24"/>
        <v>-252719.99999999953</v>
      </c>
      <c r="Y108" s="568">
        <f t="shared" si="20"/>
        <v>97</v>
      </c>
      <c r="Z108" s="493">
        <f>IFERROR(INDEX('[10]CN BC'!$M$10:$M$276,MATCH(B108,'[10]CN BC'!$H$10:$H$276,0)),"")</f>
        <v>0</v>
      </c>
      <c r="AA108" s="540"/>
      <c r="AD108" s="487"/>
    </row>
    <row r="109" spans="1:40" s="108" customFormat="1" ht="26.25" customHeight="1">
      <c r="A109" s="379">
        <f>_xlfn.AGGREGATE(4,7,A$11:A108)+1</f>
        <v>98</v>
      </c>
      <c r="B109" s="33" t="s">
        <v>1886</v>
      </c>
      <c r="C109" s="34" t="s">
        <v>1032</v>
      </c>
      <c r="D109" s="406" t="s">
        <v>1758</v>
      </c>
      <c r="E109" s="424" t="s">
        <v>1363</v>
      </c>
      <c r="F109" s="10">
        <v>4.9800000000000004</v>
      </c>
      <c r="G109" s="157">
        <v>7.0000000000000007E-2</v>
      </c>
      <c r="H109" s="368">
        <f t="shared" si="25"/>
        <v>5.3286000000000007</v>
      </c>
      <c r="I109" s="81"/>
      <c r="J109" s="369">
        <f t="shared" si="26"/>
        <v>5.3286000000000007</v>
      </c>
      <c r="K109" s="362">
        <f t="shared" si="27"/>
        <v>9591480.0000000019</v>
      </c>
      <c r="L109" s="366" t="str">
        <f>VLOOKUP(B109,'[8]Gui chi Quynh'!$B$11:$E$401,4,FALSE)</f>
        <v>A4</v>
      </c>
      <c r="M109" s="494">
        <f t="shared" si="16"/>
        <v>9591480.0000000019</v>
      </c>
      <c r="N109" s="376">
        <v>19</v>
      </c>
      <c r="O109" s="440">
        <f>IFERROR(INDEX('[9]CN BC'!$J$10:$J$277,MATCH(B109,'[9]CN BC'!$H$10:$H$277,0)),"")</f>
        <v>19</v>
      </c>
      <c r="P109" s="494">
        <f t="shared" si="22"/>
        <v>9591480.0000000019</v>
      </c>
      <c r="Q109" s="392"/>
      <c r="R109" s="362">
        <f t="shared" si="15"/>
        <v>0</v>
      </c>
      <c r="S109" s="385"/>
      <c r="T109" s="362">
        <f t="shared" si="23"/>
        <v>0</v>
      </c>
      <c r="U109" s="584">
        <f t="shared" si="19"/>
        <v>95915</v>
      </c>
      <c r="V109" s="371">
        <f t="shared" si="21"/>
        <v>9591480.0000000019</v>
      </c>
      <c r="W109" s="362">
        <f>VLOOKUP(B109,CN!B106:P371,15,FALSE)</f>
        <v>6292260</v>
      </c>
      <c r="X109" s="653">
        <f t="shared" si="24"/>
        <v>3299220.0000000019</v>
      </c>
      <c r="Y109" s="568">
        <f t="shared" si="20"/>
        <v>98</v>
      </c>
      <c r="Z109" s="493">
        <f>IFERROR(INDEX('[10]CN BC'!$M$10:$M$276,MATCH(B109,'[10]CN BC'!$H$10:$H$276,0)),"")</f>
        <v>0</v>
      </c>
      <c r="AA109" s="522" t="s">
        <v>812</v>
      </c>
      <c r="AD109" s="155"/>
    </row>
    <row r="110" spans="1:40" s="372" customFormat="1" ht="31.5" customHeight="1">
      <c r="A110" s="379">
        <f>_xlfn.AGGREGATE(4,7,A$11:A109)+1</f>
        <v>99</v>
      </c>
      <c r="B110" s="363" t="s">
        <v>1887</v>
      </c>
      <c r="C110" s="364" t="s">
        <v>884</v>
      </c>
      <c r="D110" s="434" t="s">
        <v>1759</v>
      </c>
      <c r="E110" s="423" t="s">
        <v>1364</v>
      </c>
      <c r="F110" s="366">
        <v>4.9800000000000004</v>
      </c>
      <c r="G110" s="367">
        <v>7.0000000000000007E-2</v>
      </c>
      <c r="H110" s="368">
        <f t="shared" si="25"/>
        <v>5.3286000000000007</v>
      </c>
      <c r="I110" s="368"/>
      <c r="J110" s="369">
        <f t="shared" si="26"/>
        <v>5.3286000000000007</v>
      </c>
      <c r="K110" s="362">
        <f t="shared" si="27"/>
        <v>9591480.0000000019</v>
      </c>
      <c r="L110" s="366" t="str">
        <f>VLOOKUP(B110,'[8]Gui chi Quynh'!$B$11:$E$401,4,FALSE)</f>
        <v>A2</v>
      </c>
      <c r="M110" s="494">
        <f t="shared" si="16"/>
        <v>13428072.000000002</v>
      </c>
      <c r="N110" s="376">
        <v>19</v>
      </c>
      <c r="O110" s="440">
        <f>IFERROR(INDEX('[9]CN BC'!$J$10:$J$277,MATCH(B110,'[9]CN BC'!$H$10:$H$277,0)),"")</f>
        <v>19</v>
      </c>
      <c r="P110" s="494">
        <f t="shared" si="22"/>
        <v>13428072.000000002</v>
      </c>
      <c r="Q110" s="392"/>
      <c r="R110" s="362">
        <f t="shared" si="15"/>
        <v>0</v>
      </c>
      <c r="S110" s="370"/>
      <c r="T110" s="362">
        <f t="shared" si="23"/>
        <v>0</v>
      </c>
      <c r="U110" s="584">
        <f t="shared" si="19"/>
        <v>95915</v>
      </c>
      <c r="V110" s="371">
        <f t="shared" si="21"/>
        <v>13428072.000000002</v>
      </c>
      <c r="W110" s="362">
        <f>VLOOKUP(B110,CN!B107:P372,15,FALSE)</f>
        <v>8891064</v>
      </c>
      <c r="X110" s="653">
        <f t="shared" si="24"/>
        <v>4537008.0000000019</v>
      </c>
      <c r="Y110" s="568">
        <f t="shared" si="20"/>
        <v>99</v>
      </c>
      <c r="Z110" s="493">
        <f>IFERROR(INDEX('[10]CN BC'!$M$10:$M$276,MATCH(B110,'[10]CN BC'!$H$10:$H$276,0)),"")</f>
        <v>0</v>
      </c>
      <c r="AA110" s="522" t="s">
        <v>813</v>
      </c>
      <c r="AB110" s="108"/>
      <c r="AC110" s="108"/>
      <c r="AD110" s="155"/>
      <c r="AE110" s="108"/>
      <c r="AF110" s="108"/>
      <c r="AG110" s="108"/>
      <c r="AH110" s="108"/>
      <c r="AI110" s="108"/>
      <c r="AJ110" s="108"/>
    </row>
    <row r="111" spans="1:40" s="372" customFormat="1" ht="25.5" customHeight="1">
      <c r="A111" s="379">
        <f>_xlfn.AGGREGATE(4,7,A$11:A110)+1</f>
        <v>100</v>
      </c>
      <c r="B111" s="363" t="s">
        <v>1888</v>
      </c>
      <c r="C111" s="364" t="s">
        <v>1043</v>
      </c>
      <c r="D111" s="434" t="s">
        <v>1760</v>
      </c>
      <c r="E111" s="423" t="s">
        <v>1369</v>
      </c>
      <c r="F111" s="366">
        <v>4.32</v>
      </c>
      <c r="G111" s="367"/>
      <c r="H111" s="368">
        <f t="shared" si="25"/>
        <v>4.32</v>
      </c>
      <c r="I111" s="368"/>
      <c r="J111" s="369">
        <f t="shared" si="26"/>
        <v>4.32</v>
      </c>
      <c r="K111" s="362">
        <f t="shared" si="27"/>
        <v>7776000.0000000009</v>
      </c>
      <c r="L111" s="366" t="str">
        <f>VLOOKUP(B111,'[8]Gui chi Quynh'!$B$11:$E$401,4,FALSE)</f>
        <v>A4</v>
      </c>
      <c r="M111" s="494">
        <f t="shared" si="16"/>
        <v>7776000.0000000009</v>
      </c>
      <c r="N111" s="376">
        <v>19</v>
      </c>
      <c r="O111" s="440">
        <f>IFERROR(INDEX('[9]CN BC'!$J$10:$J$277,MATCH(B111,'[9]CN BC'!$H$10:$H$277,0)),"")</f>
        <v>19</v>
      </c>
      <c r="P111" s="494">
        <f t="shared" si="22"/>
        <v>7776000.0000000009</v>
      </c>
      <c r="Q111" s="460"/>
      <c r="R111" s="362">
        <f t="shared" si="15"/>
        <v>0</v>
      </c>
      <c r="S111" s="370"/>
      <c r="T111" s="362">
        <f t="shared" si="23"/>
        <v>0</v>
      </c>
      <c r="U111" s="584">
        <f t="shared" si="19"/>
        <v>77760</v>
      </c>
      <c r="V111" s="371">
        <f t="shared" si="21"/>
        <v>7776000.0000000009</v>
      </c>
      <c r="W111" s="362">
        <f>VLOOKUP(B111,CN!B43:P373,15,FALSE)</f>
        <v>5440500</v>
      </c>
      <c r="X111" s="653">
        <f t="shared" si="24"/>
        <v>2335500.0000000009</v>
      </c>
      <c r="Y111" s="568">
        <f t="shared" si="20"/>
        <v>100</v>
      </c>
      <c r="Z111" s="493">
        <f>IFERROR(INDEX('[10]CN BC'!$M$10:$M$276,MATCH(B111,'[10]CN BC'!$H$10:$H$276,0)),"")</f>
        <v>0</v>
      </c>
      <c r="AA111" s="522" t="s">
        <v>814</v>
      </c>
      <c r="AB111" s="108"/>
      <c r="AC111" s="108"/>
      <c r="AD111" s="155"/>
      <c r="AE111" s="108"/>
      <c r="AF111" s="108"/>
      <c r="AG111" s="108"/>
      <c r="AH111" s="108"/>
      <c r="AI111" s="108"/>
      <c r="AJ111" s="108"/>
    </row>
    <row r="112" spans="1:40" s="372" customFormat="1" ht="25.5" customHeight="1">
      <c r="A112" s="379">
        <f>_xlfn.AGGREGATE(4,7,A$11:A111)+1</f>
        <v>101</v>
      </c>
      <c r="B112" s="363" t="s">
        <v>1889</v>
      </c>
      <c r="C112" s="364" t="s">
        <v>1028</v>
      </c>
      <c r="D112" s="434" t="s">
        <v>1761</v>
      </c>
      <c r="E112" s="423" t="s">
        <v>42</v>
      </c>
      <c r="F112" s="366">
        <v>4.9800000000000004</v>
      </c>
      <c r="G112" s="367">
        <v>0.15</v>
      </c>
      <c r="H112" s="368">
        <f t="shared" si="25"/>
        <v>5.7270000000000003</v>
      </c>
      <c r="I112" s="368"/>
      <c r="J112" s="369">
        <f t="shared" si="26"/>
        <v>5.7270000000000003</v>
      </c>
      <c r="K112" s="362">
        <f t="shared" si="27"/>
        <v>10308600</v>
      </c>
      <c r="L112" s="366" t="str">
        <f>VLOOKUP(B112,'[8]Gui chi Quynh'!$B$11:$E$401,4,FALSE)</f>
        <v>A2</v>
      </c>
      <c r="M112" s="494">
        <f t="shared" si="16"/>
        <v>14432040</v>
      </c>
      <c r="N112" s="376">
        <v>19</v>
      </c>
      <c r="O112" s="440">
        <f>IFERROR(INDEX('[9]CN BC'!$J$10:$J$277,MATCH(B112,'[9]CN BC'!$H$10:$H$277,0)),"")</f>
        <v>19</v>
      </c>
      <c r="P112" s="494">
        <f t="shared" si="22"/>
        <v>14432040</v>
      </c>
      <c r="Q112" s="460"/>
      <c r="R112" s="362">
        <f t="shared" si="15"/>
        <v>0</v>
      </c>
      <c r="S112" s="370"/>
      <c r="T112" s="362">
        <f t="shared" si="23"/>
        <v>0</v>
      </c>
      <c r="U112" s="584">
        <f t="shared" si="19"/>
        <v>103086</v>
      </c>
      <c r="V112" s="371">
        <f t="shared" si="21"/>
        <v>14432040</v>
      </c>
      <c r="W112" s="362">
        <f>VLOOKUP(B112,CN!B111:P374,15,FALSE)</f>
        <v>6759090</v>
      </c>
      <c r="X112" s="653">
        <f t="shared" si="24"/>
        <v>7672950</v>
      </c>
      <c r="Y112" s="568">
        <f t="shared" si="20"/>
        <v>101</v>
      </c>
      <c r="Z112" s="493">
        <f>IFERROR(INDEX('[10]CN BC'!$M$10:$M$276,MATCH(B112,'[10]CN BC'!$H$10:$H$276,0)),"")</f>
        <v>0</v>
      </c>
      <c r="AA112" s="522" t="s">
        <v>815</v>
      </c>
      <c r="AB112" s="108"/>
      <c r="AC112" s="108"/>
      <c r="AD112" s="155"/>
      <c r="AE112" s="108"/>
      <c r="AF112" s="108"/>
      <c r="AG112" s="108"/>
      <c r="AH112" s="108"/>
      <c r="AI112" s="108"/>
      <c r="AJ112" s="108"/>
    </row>
    <row r="113" spans="1:40" s="372" customFormat="1" ht="25.5" customHeight="1">
      <c r="A113" s="379">
        <f>_xlfn.AGGREGATE(4,7,A$11:A112)+1</f>
        <v>102</v>
      </c>
      <c r="B113" s="363" t="s">
        <v>1890</v>
      </c>
      <c r="C113" s="364" t="s">
        <v>1039</v>
      </c>
      <c r="D113" s="434" t="s">
        <v>1762</v>
      </c>
      <c r="E113" s="423" t="s">
        <v>1367</v>
      </c>
      <c r="F113" s="366">
        <v>4.6500000000000004</v>
      </c>
      <c r="G113" s="367"/>
      <c r="H113" s="368">
        <f t="shared" si="25"/>
        <v>4.6500000000000004</v>
      </c>
      <c r="I113" s="368">
        <f>0.25</f>
        <v>0.25</v>
      </c>
      <c r="J113" s="369">
        <f t="shared" si="26"/>
        <v>4.9000000000000004</v>
      </c>
      <c r="K113" s="362">
        <f t="shared" si="27"/>
        <v>8820000</v>
      </c>
      <c r="L113" s="366" t="str">
        <f>VLOOKUP(B113,'[8]Gui chi Quynh'!$B$11:$E$401,4,FALSE)</f>
        <v>A1</v>
      </c>
      <c r="M113" s="494">
        <f t="shared" si="16"/>
        <v>14112000</v>
      </c>
      <c r="N113" s="376">
        <v>19</v>
      </c>
      <c r="O113" s="440">
        <f>IFERROR(INDEX('[9]CN BC'!$J$10:$J$277,MATCH(B113,'[9]CN BC'!$H$10:$H$277,0)),"")</f>
        <v>19</v>
      </c>
      <c r="P113" s="494">
        <f t="shared" si="22"/>
        <v>14112000</v>
      </c>
      <c r="Q113" s="460"/>
      <c r="R113" s="362">
        <f t="shared" si="15"/>
        <v>0</v>
      </c>
      <c r="S113" s="370"/>
      <c r="T113" s="362">
        <f t="shared" si="23"/>
        <v>0</v>
      </c>
      <c r="U113" s="584">
        <f t="shared" si="19"/>
        <v>88200</v>
      </c>
      <c r="V113" s="371">
        <f t="shared" si="21"/>
        <v>14112000</v>
      </c>
      <c r="W113" s="362">
        <f>VLOOKUP(B113,CN!B112:P375,15,FALSE)</f>
        <v>8026199.9999999991</v>
      </c>
      <c r="X113" s="653">
        <f t="shared" si="24"/>
        <v>6085800.0000000009</v>
      </c>
      <c r="Y113" s="568">
        <f t="shared" si="20"/>
        <v>102</v>
      </c>
      <c r="Z113" s="493">
        <f>IFERROR(INDEX('[10]CN BC'!$M$10:$M$276,MATCH(B113,'[10]CN BC'!$H$10:$H$276,0)),"")</f>
        <v>0</v>
      </c>
      <c r="AA113" s="522" t="s">
        <v>816</v>
      </c>
      <c r="AB113" s="108"/>
      <c r="AC113" s="108"/>
      <c r="AD113" s="155"/>
      <c r="AE113" s="108"/>
      <c r="AF113" s="108"/>
      <c r="AG113" s="108"/>
      <c r="AH113" s="108"/>
      <c r="AI113" s="108"/>
      <c r="AJ113" s="108"/>
    </row>
    <row r="114" spans="1:40" s="372" customFormat="1" ht="25.5" customHeight="1">
      <c r="A114" s="379">
        <f>_xlfn.AGGREGATE(4,7,A$11:A113)+1</f>
        <v>103</v>
      </c>
      <c r="B114" s="363" t="s">
        <v>1891</v>
      </c>
      <c r="C114" s="364" t="s">
        <v>1000</v>
      </c>
      <c r="D114" s="434" t="s">
        <v>1763</v>
      </c>
      <c r="E114" s="423" t="s">
        <v>1377</v>
      </c>
      <c r="F114" s="366">
        <v>4.9800000000000004</v>
      </c>
      <c r="G114" s="367">
        <v>0.06</v>
      </c>
      <c r="H114" s="368">
        <f t="shared" si="25"/>
        <v>5.2788000000000004</v>
      </c>
      <c r="I114" s="368">
        <v>0.25</v>
      </c>
      <c r="J114" s="369">
        <f t="shared" si="26"/>
        <v>5.5288000000000004</v>
      </c>
      <c r="K114" s="362">
        <f t="shared" si="27"/>
        <v>9951840</v>
      </c>
      <c r="L114" s="366" t="str">
        <f>VLOOKUP(B114,'[8]Gui chi Quynh'!$B$11:$E$401,4,FALSE)</f>
        <v>A2</v>
      </c>
      <c r="M114" s="494">
        <f t="shared" si="16"/>
        <v>13932576</v>
      </c>
      <c r="N114" s="376">
        <v>19</v>
      </c>
      <c r="O114" s="440">
        <f>IFERROR(INDEX('[9]CN BC'!$J$10:$J$277,MATCH(B114,'[9]CN BC'!$H$10:$H$277,0)),"")</f>
        <v>19</v>
      </c>
      <c r="P114" s="494">
        <f t="shared" si="22"/>
        <v>13932576</v>
      </c>
      <c r="Q114" s="392"/>
      <c r="R114" s="362">
        <f t="shared" si="15"/>
        <v>0</v>
      </c>
      <c r="S114" s="370"/>
      <c r="T114" s="362">
        <f t="shared" si="23"/>
        <v>0</v>
      </c>
      <c r="U114" s="584">
        <f t="shared" si="19"/>
        <v>99518</v>
      </c>
      <c r="V114" s="371">
        <f t="shared" si="21"/>
        <v>13932576</v>
      </c>
      <c r="W114" s="362">
        <f>VLOOKUP(B114,CN!B113:P376,15,FALSE)</f>
        <v>9218664</v>
      </c>
      <c r="X114" s="653">
        <f t="shared" si="24"/>
        <v>4713912</v>
      </c>
      <c r="Y114" s="568">
        <f t="shared" si="20"/>
        <v>103</v>
      </c>
      <c r="Z114" s="493">
        <f>IFERROR(INDEX('[10]CN BC'!$M$10:$M$276,MATCH(B114,'[10]CN BC'!$H$10:$H$276,0)),"")</f>
        <v>0</v>
      </c>
      <c r="AA114" s="522" t="s">
        <v>817</v>
      </c>
      <c r="AB114" s="108"/>
      <c r="AC114" s="108"/>
      <c r="AD114" s="155"/>
      <c r="AE114" s="108"/>
      <c r="AF114" s="108"/>
      <c r="AG114" s="108"/>
      <c r="AH114" s="108"/>
      <c r="AI114" s="108"/>
      <c r="AJ114" s="108"/>
    </row>
    <row r="115" spans="1:40" s="372" customFormat="1" ht="25.5" customHeight="1">
      <c r="A115" s="379">
        <f>_xlfn.AGGREGATE(4,7,A$11:A114)+1</f>
        <v>104</v>
      </c>
      <c r="B115" s="363" t="s">
        <v>1525</v>
      </c>
      <c r="C115" s="364" t="s">
        <v>1009</v>
      </c>
      <c r="D115" s="434" t="s">
        <v>1764</v>
      </c>
      <c r="E115" s="423" t="s">
        <v>1372</v>
      </c>
      <c r="F115" s="373">
        <v>3.99</v>
      </c>
      <c r="G115" s="367"/>
      <c r="H115" s="368">
        <f t="shared" si="25"/>
        <v>3.99</v>
      </c>
      <c r="I115" s="368"/>
      <c r="J115" s="369">
        <f t="shared" si="26"/>
        <v>3.99</v>
      </c>
      <c r="K115" s="362">
        <f t="shared" si="27"/>
        <v>7182000</v>
      </c>
      <c r="L115" s="366" t="str">
        <f>VLOOKUP(B115,'[8]Gui chi Quynh'!$B$11:$E$401,4,FALSE)</f>
        <v>A3</v>
      </c>
      <c r="M115" s="494">
        <f t="shared" si="16"/>
        <v>8618400</v>
      </c>
      <c r="N115" s="376">
        <v>19</v>
      </c>
      <c r="O115" s="440">
        <f>IFERROR(INDEX('[9]CN BC'!$J$10:$J$277,MATCH(B115,'[9]CN BC'!$H$10:$H$277,0)),"")</f>
        <v>19</v>
      </c>
      <c r="P115" s="494">
        <f t="shared" si="22"/>
        <v>8618400</v>
      </c>
      <c r="Q115" s="460"/>
      <c r="R115" s="362">
        <f t="shared" si="15"/>
        <v>0</v>
      </c>
      <c r="S115" s="370"/>
      <c r="T115" s="362">
        <f t="shared" si="23"/>
        <v>0</v>
      </c>
      <c r="U115" s="584">
        <f t="shared" si="19"/>
        <v>71820</v>
      </c>
      <c r="V115" s="371">
        <f t="shared" si="21"/>
        <v>8618400</v>
      </c>
      <c r="W115" s="362">
        <f>VLOOKUP(B115,CN!B114:P377,15,FALSE)</f>
        <v>6535620</v>
      </c>
      <c r="X115" s="653">
        <f t="shared" si="24"/>
        <v>2082780</v>
      </c>
      <c r="Y115" s="568">
        <f t="shared" si="20"/>
        <v>104</v>
      </c>
      <c r="Z115" s="493">
        <f>IFERROR(INDEX('[10]CN BC'!$M$10:$M$276,MATCH(B115,'[10]CN BC'!$H$10:$H$276,0)),"")</f>
        <v>0</v>
      </c>
      <c r="AA115" s="522" t="s">
        <v>818</v>
      </c>
      <c r="AB115" s="471"/>
      <c r="AC115" s="108"/>
      <c r="AD115" s="155"/>
      <c r="AE115" s="108"/>
      <c r="AF115" s="108"/>
      <c r="AG115" s="108"/>
      <c r="AH115" s="108"/>
      <c r="AI115" s="108"/>
      <c r="AJ115" s="108"/>
    </row>
    <row r="116" spans="1:40" s="372" customFormat="1" ht="25.5" customHeight="1">
      <c r="A116" s="379">
        <f>_xlfn.AGGREGATE(4,7,A$11:A115)+1</f>
        <v>105</v>
      </c>
      <c r="B116" s="363" t="s">
        <v>1892</v>
      </c>
      <c r="C116" s="364" t="s">
        <v>920</v>
      </c>
      <c r="D116" s="406" t="s">
        <v>1765</v>
      </c>
      <c r="E116" s="423" t="s">
        <v>1374</v>
      </c>
      <c r="F116" s="366">
        <v>4.9800000000000004</v>
      </c>
      <c r="G116" s="367">
        <v>0.05</v>
      </c>
      <c r="H116" s="368">
        <f t="shared" si="25"/>
        <v>5.2290000000000001</v>
      </c>
      <c r="I116" s="368"/>
      <c r="J116" s="369">
        <f t="shared" si="26"/>
        <v>5.2290000000000001</v>
      </c>
      <c r="K116" s="362">
        <f t="shared" si="27"/>
        <v>9412200</v>
      </c>
      <c r="L116" s="366" t="str">
        <f>VLOOKUP(B116,'[8]Gui chi Quynh'!$B$11:$E$401,4,FALSE)</f>
        <v>A4</v>
      </c>
      <c r="M116" s="494">
        <f t="shared" si="16"/>
        <v>9412200</v>
      </c>
      <c r="N116" s="376">
        <v>19</v>
      </c>
      <c r="O116" s="440">
        <f>IFERROR(INDEX('[9]CN BC'!$J$10:$J$277,MATCH(B116,'[9]CN BC'!$H$10:$H$277,0)),"")</f>
        <v>19</v>
      </c>
      <c r="P116" s="494">
        <f t="shared" si="22"/>
        <v>9412200</v>
      </c>
      <c r="Q116" s="392"/>
      <c r="R116" s="362">
        <f t="shared" si="15"/>
        <v>0</v>
      </c>
      <c r="S116" s="370"/>
      <c r="T116" s="362">
        <f t="shared" si="23"/>
        <v>0</v>
      </c>
      <c r="U116" s="584">
        <f t="shared" si="19"/>
        <v>94122</v>
      </c>
      <c r="V116" s="371">
        <f t="shared" si="21"/>
        <v>9412200</v>
      </c>
      <c r="W116" s="362">
        <f>VLOOKUP(B116,CN!B115:P378,15,FALSE)</f>
        <v>6234930.0000000009</v>
      </c>
      <c r="X116" s="653">
        <f t="shared" si="24"/>
        <v>3177269.9999999991</v>
      </c>
      <c r="Y116" s="568">
        <f t="shared" si="20"/>
        <v>105</v>
      </c>
      <c r="Z116" s="493">
        <f>IFERROR(INDEX('[10]CN BC'!$M$10:$M$276,MATCH(B116,'[10]CN BC'!$H$10:$H$276,0)),"")</f>
        <v>0</v>
      </c>
      <c r="AA116" s="522" t="s">
        <v>819</v>
      </c>
      <c r="AB116" s="108"/>
      <c r="AC116" s="108"/>
      <c r="AD116" s="155"/>
      <c r="AE116" s="108"/>
      <c r="AF116" s="108"/>
      <c r="AG116" s="108"/>
      <c r="AH116" s="108"/>
      <c r="AI116" s="108"/>
      <c r="AJ116" s="108"/>
      <c r="AK116" s="108"/>
      <c r="AL116" s="108"/>
      <c r="AM116" s="108"/>
      <c r="AN116" s="108"/>
    </row>
    <row r="117" spans="1:40" s="372" customFormat="1" ht="25.5" customHeight="1">
      <c r="A117" s="379">
        <f>_xlfn.AGGREGATE(4,7,A$11:A116)+1</f>
        <v>106</v>
      </c>
      <c r="B117" s="363" t="s">
        <v>1526</v>
      </c>
      <c r="C117" s="364" t="s">
        <v>1214</v>
      </c>
      <c r="D117" s="434" t="s">
        <v>1766</v>
      </c>
      <c r="E117" s="194" t="s">
        <v>1939</v>
      </c>
      <c r="F117" s="373">
        <v>3.66</v>
      </c>
      <c r="G117" s="367"/>
      <c r="H117" s="368">
        <f t="shared" si="25"/>
        <v>3.66</v>
      </c>
      <c r="I117" s="368">
        <v>0.35</v>
      </c>
      <c r="J117" s="369">
        <f t="shared" si="26"/>
        <v>4.01</v>
      </c>
      <c r="K117" s="362">
        <f t="shared" si="27"/>
        <v>7218000</v>
      </c>
      <c r="L117" s="366" t="str">
        <f>VLOOKUP(B117,'[8]Gui chi Quynh'!$B$11:$E$401,4,FALSE)</f>
        <v>A2</v>
      </c>
      <c r="M117" s="494">
        <f t="shared" si="16"/>
        <v>10105200</v>
      </c>
      <c r="N117" s="376">
        <v>19</v>
      </c>
      <c r="O117" s="440">
        <f>IFERROR(INDEX('[9]CN BC'!$J$10:$J$277,MATCH(B117,'[9]CN BC'!$H$10:$H$277,0)),"")</f>
        <v>19</v>
      </c>
      <c r="P117" s="494">
        <f t="shared" si="22"/>
        <v>10105200</v>
      </c>
      <c r="Q117" s="460"/>
      <c r="R117" s="362">
        <f t="shared" si="15"/>
        <v>0</v>
      </c>
      <c r="S117" s="370"/>
      <c r="T117" s="362">
        <f t="shared" si="23"/>
        <v>0</v>
      </c>
      <c r="U117" s="584">
        <f t="shared" si="19"/>
        <v>72180</v>
      </c>
      <c r="V117" s="371">
        <f t="shared" si="21"/>
        <v>10105200</v>
      </c>
      <c r="W117" s="362">
        <f>VLOOKUP(B117,CN!B116:P379,15,FALSE)</f>
        <v>6093360</v>
      </c>
      <c r="X117" s="653">
        <f t="shared" si="24"/>
        <v>4011840</v>
      </c>
      <c r="Y117" s="568">
        <f t="shared" si="20"/>
        <v>106</v>
      </c>
      <c r="Z117" s="493">
        <f>IFERROR(INDEX('[10]CN BC'!$M$10:$M$276,MATCH(B117,'[10]CN BC'!$H$10:$H$276,0)),"")</f>
        <v>0</v>
      </c>
      <c r="AA117" s="522" t="s">
        <v>820</v>
      </c>
      <c r="AB117" s="108"/>
      <c r="AC117" s="108"/>
      <c r="AD117" s="155"/>
      <c r="AE117" s="108"/>
      <c r="AF117" s="108"/>
      <c r="AG117" s="108"/>
      <c r="AH117" s="108"/>
      <c r="AI117" s="108"/>
      <c r="AJ117" s="108"/>
    </row>
    <row r="118" spans="1:40" s="372" customFormat="1" ht="26.25" customHeight="1">
      <c r="A118" s="379">
        <f>_xlfn.AGGREGATE(4,7,A$11:A117)+1</f>
        <v>107</v>
      </c>
      <c r="B118" s="363" t="s">
        <v>1527</v>
      </c>
      <c r="C118" s="364" t="s">
        <v>1009</v>
      </c>
      <c r="D118" s="434" t="s">
        <v>1767</v>
      </c>
      <c r="E118" s="423" t="s">
        <v>1379</v>
      </c>
      <c r="F118" s="373">
        <v>3.66</v>
      </c>
      <c r="G118" s="367"/>
      <c r="H118" s="368">
        <f t="shared" si="25"/>
        <v>3.66</v>
      </c>
      <c r="I118" s="368"/>
      <c r="J118" s="369">
        <f t="shared" si="26"/>
        <v>3.66</v>
      </c>
      <c r="K118" s="362">
        <f t="shared" si="27"/>
        <v>6588000</v>
      </c>
      <c r="L118" s="366" t="str">
        <f>VLOOKUP(B118,'[8]Gui chi Quynh'!$B$11:$E$401,4,FALSE)</f>
        <v>A4</v>
      </c>
      <c r="M118" s="494">
        <f t="shared" si="16"/>
        <v>6588000</v>
      </c>
      <c r="N118" s="376">
        <v>19</v>
      </c>
      <c r="O118" s="440">
        <f>IFERROR(INDEX('[9]CN BC'!$J$10:$J$277,MATCH(B118,'[9]CN BC'!$H$10:$H$277,0)),"")</f>
        <v>19</v>
      </c>
      <c r="P118" s="494">
        <f t="shared" si="22"/>
        <v>6588000</v>
      </c>
      <c r="Q118" s="460"/>
      <c r="R118" s="362">
        <f t="shared" si="15"/>
        <v>0</v>
      </c>
      <c r="S118" s="370"/>
      <c r="T118" s="362">
        <f t="shared" si="23"/>
        <v>0</v>
      </c>
      <c r="U118" s="584">
        <f t="shared" si="19"/>
        <v>65880</v>
      </c>
      <c r="V118" s="371">
        <f t="shared" si="21"/>
        <v>6588000</v>
      </c>
      <c r="W118" s="362">
        <f>VLOOKUP(B118,CN!B117:P380,15,FALSE)</f>
        <v>7469280</v>
      </c>
      <c r="X118" s="653">
        <f t="shared" si="24"/>
        <v>-881280</v>
      </c>
      <c r="Y118" s="568">
        <f t="shared" si="20"/>
        <v>107</v>
      </c>
      <c r="Z118" s="493">
        <f>IFERROR(INDEX('[10]CN BC'!$M$10:$M$276,MATCH(B118,'[10]CN BC'!$H$10:$H$276,0)),"")</f>
        <v>0</v>
      </c>
      <c r="AA118" s="522" t="s">
        <v>1119</v>
      </c>
      <c r="AB118" s="108"/>
      <c r="AC118" s="108"/>
      <c r="AD118" s="487"/>
    </row>
    <row r="119" spans="1:40" s="372" customFormat="1" ht="27.75" customHeight="1">
      <c r="A119" s="379">
        <f>_xlfn.AGGREGATE(4,7,A$11:A118)+1</f>
        <v>108</v>
      </c>
      <c r="B119" s="363" t="s">
        <v>1893</v>
      </c>
      <c r="C119" s="364" t="s">
        <v>891</v>
      </c>
      <c r="D119" s="434" t="s">
        <v>1768</v>
      </c>
      <c r="E119" s="423" t="s">
        <v>387</v>
      </c>
      <c r="F119" s="373">
        <v>3.66</v>
      </c>
      <c r="G119" s="367"/>
      <c r="H119" s="368">
        <f t="shared" si="25"/>
        <v>3.66</v>
      </c>
      <c r="I119" s="368"/>
      <c r="J119" s="369">
        <f t="shared" si="26"/>
        <v>3.66</v>
      </c>
      <c r="K119" s="362">
        <f t="shared" si="27"/>
        <v>6588000</v>
      </c>
      <c r="L119" s="366" t="str">
        <f>VLOOKUP(B119,'[8]Gui chi Quynh'!$B$11:$E$401,4,FALSE)</f>
        <v>A3</v>
      </c>
      <c r="M119" s="494">
        <f t="shared" si="16"/>
        <v>7905600</v>
      </c>
      <c r="N119" s="376">
        <v>19</v>
      </c>
      <c r="O119" s="440">
        <f>IFERROR(INDEX('[9]CN BC'!$J$10:$J$277,MATCH(B119,'[9]CN BC'!$H$10:$H$277,0)),"")</f>
        <v>19</v>
      </c>
      <c r="P119" s="494">
        <f t="shared" si="22"/>
        <v>7905600</v>
      </c>
      <c r="Q119" s="392"/>
      <c r="R119" s="362">
        <f t="shared" ref="R119:R181" si="28">Q119*$G$8*1</f>
        <v>0</v>
      </c>
      <c r="S119" s="370"/>
      <c r="T119" s="362">
        <f t="shared" si="23"/>
        <v>0</v>
      </c>
      <c r="U119" s="584">
        <f t="shared" si="19"/>
        <v>65880</v>
      </c>
      <c r="V119" s="371">
        <f t="shared" si="21"/>
        <v>7905600</v>
      </c>
      <c r="W119" s="362">
        <f>VLOOKUP(B119,CN!B118:P381,15,FALSE)</f>
        <v>4668300</v>
      </c>
      <c r="X119" s="653">
        <f t="shared" si="24"/>
        <v>3237300</v>
      </c>
      <c r="Y119" s="568">
        <f t="shared" si="20"/>
        <v>108</v>
      </c>
      <c r="Z119" s="493">
        <f>IFERROR(INDEX('[10]CN BC'!$M$10:$M$276,MATCH(B119,'[10]CN BC'!$H$10:$H$276,0)),"")</f>
        <v>0</v>
      </c>
      <c r="AA119" s="522" t="s">
        <v>1120</v>
      </c>
      <c r="AB119" s="108"/>
      <c r="AC119" s="108"/>
      <c r="AD119" s="155"/>
      <c r="AE119" s="108"/>
      <c r="AF119" s="108"/>
      <c r="AG119" s="108"/>
      <c r="AH119" s="108"/>
      <c r="AI119" s="108"/>
      <c r="AJ119" s="108"/>
    </row>
    <row r="120" spans="1:40" s="372" customFormat="1" ht="27.75" customHeight="1">
      <c r="A120" s="379">
        <f>_xlfn.AGGREGATE(4,7,A$11:A119)+1</f>
        <v>109</v>
      </c>
      <c r="B120" s="363" t="s">
        <v>1894</v>
      </c>
      <c r="C120" s="364" t="s">
        <v>880</v>
      </c>
      <c r="D120" s="434" t="s">
        <v>1769</v>
      </c>
      <c r="E120" s="423" t="s">
        <v>388</v>
      </c>
      <c r="F120" s="373">
        <v>3.66</v>
      </c>
      <c r="G120" s="367"/>
      <c r="H120" s="368">
        <f t="shared" si="25"/>
        <v>3.66</v>
      </c>
      <c r="I120" s="368"/>
      <c r="J120" s="369">
        <f t="shared" si="26"/>
        <v>3.66</v>
      </c>
      <c r="K120" s="362">
        <f t="shared" si="27"/>
        <v>6588000</v>
      </c>
      <c r="L120" s="366" t="str">
        <f>VLOOKUP(B120,'[8]Gui chi Quynh'!$B$11:$E$401,4,FALSE)</f>
        <v>A2</v>
      </c>
      <c r="M120" s="494">
        <f t="shared" si="16"/>
        <v>9223200</v>
      </c>
      <c r="N120" s="376">
        <v>19</v>
      </c>
      <c r="O120" s="440">
        <f>IFERROR(INDEX('[9]CN BC'!$J$10:$J$277,MATCH(B120,'[9]CN BC'!$H$10:$H$277,0)),"")</f>
        <v>19</v>
      </c>
      <c r="P120" s="494">
        <f t="shared" si="22"/>
        <v>9223200</v>
      </c>
      <c r="Q120" s="460"/>
      <c r="R120" s="362">
        <f t="shared" si="28"/>
        <v>0</v>
      </c>
      <c r="S120" s="370"/>
      <c r="T120" s="362">
        <f t="shared" si="23"/>
        <v>0</v>
      </c>
      <c r="U120" s="584">
        <f t="shared" si="19"/>
        <v>65880</v>
      </c>
      <c r="V120" s="371">
        <f t="shared" si="21"/>
        <v>9223200</v>
      </c>
      <c r="W120" s="362">
        <f>VLOOKUP(B120,CN!B119:P382,15,FALSE)</f>
        <v>4668300</v>
      </c>
      <c r="X120" s="653">
        <f t="shared" si="24"/>
        <v>4554900</v>
      </c>
      <c r="Y120" s="568">
        <f t="shared" si="20"/>
        <v>109</v>
      </c>
      <c r="Z120" s="493">
        <f>IFERROR(INDEX('[10]CN BC'!$M$10:$M$276,MATCH(B120,'[10]CN BC'!$H$10:$H$276,0)),"")</f>
        <v>0</v>
      </c>
      <c r="AA120" s="522" t="s">
        <v>1121</v>
      </c>
      <c r="AB120" s="108"/>
      <c r="AC120" s="108"/>
      <c r="AD120" s="155"/>
      <c r="AE120" s="108"/>
      <c r="AF120" s="108"/>
      <c r="AG120" s="108"/>
      <c r="AH120" s="108"/>
      <c r="AI120" s="108"/>
      <c r="AJ120" s="108"/>
    </row>
    <row r="121" spans="1:40" s="372" customFormat="1" ht="32.25" customHeight="1">
      <c r="A121" s="379">
        <f>_xlfn.AGGREGATE(4,7,A$11:A120)+1</f>
        <v>110</v>
      </c>
      <c r="B121" s="363" t="s">
        <v>2023</v>
      </c>
      <c r="C121" s="592" t="s">
        <v>364</v>
      </c>
      <c r="D121" s="434" t="s">
        <v>1770</v>
      </c>
      <c r="E121" s="423" t="s">
        <v>386</v>
      </c>
      <c r="F121" s="373">
        <v>3.66</v>
      </c>
      <c r="G121" s="367"/>
      <c r="H121" s="368">
        <f t="shared" si="25"/>
        <v>3.66</v>
      </c>
      <c r="I121" s="368"/>
      <c r="J121" s="369">
        <f t="shared" si="26"/>
        <v>3.66</v>
      </c>
      <c r="K121" s="362">
        <f t="shared" si="27"/>
        <v>6588000</v>
      </c>
      <c r="L121" s="366" t="str">
        <f>VLOOKUP(B121,'[8]Gui chi Quynh'!$B$11:$E$401,4,FALSE)</f>
        <v>A4</v>
      </c>
      <c r="M121" s="494">
        <f t="shared" si="16"/>
        <v>6588000</v>
      </c>
      <c r="N121" s="376">
        <v>19</v>
      </c>
      <c r="O121" s="467">
        <f>IFERROR(INDEX('[9]CN BC'!$J$10:$J$277,MATCH(B121,'[9]CN BC'!$H$10:$H$277,0)),"")</f>
        <v>19</v>
      </c>
      <c r="P121" s="494">
        <f t="shared" si="22"/>
        <v>6588000</v>
      </c>
      <c r="Q121" s="460"/>
      <c r="R121" s="362">
        <f t="shared" si="28"/>
        <v>0</v>
      </c>
      <c r="S121" s="370"/>
      <c r="T121" s="362">
        <f t="shared" si="23"/>
        <v>0</v>
      </c>
      <c r="U121" s="362">
        <f t="shared" si="19"/>
        <v>65880</v>
      </c>
      <c r="V121" s="371">
        <f t="shared" si="21"/>
        <v>6588000</v>
      </c>
      <c r="W121" s="362">
        <f>VLOOKUP(B121,CN!B109:P383,15,FALSE)</f>
        <v>4668300</v>
      </c>
      <c r="X121" s="653">
        <f t="shared" si="24"/>
        <v>1919700</v>
      </c>
      <c r="Y121" s="568">
        <f t="shared" si="20"/>
        <v>110</v>
      </c>
      <c r="Z121" s="551"/>
      <c r="AA121" s="540" t="s">
        <v>1122</v>
      </c>
      <c r="AD121" s="487"/>
    </row>
    <row r="122" spans="1:40" s="372" customFormat="1" ht="27.75" customHeight="1">
      <c r="A122" s="379">
        <f>_xlfn.AGGREGATE(4,7,A$11:A121)+1</f>
        <v>111</v>
      </c>
      <c r="B122" s="363" t="s">
        <v>1528</v>
      </c>
      <c r="C122" s="364" t="s">
        <v>455</v>
      </c>
      <c r="D122" s="406" t="s">
        <v>1771</v>
      </c>
      <c r="E122" s="423" t="s">
        <v>456</v>
      </c>
      <c r="F122" s="373">
        <v>3.66</v>
      </c>
      <c r="G122" s="367"/>
      <c r="H122" s="445">
        <f t="shared" si="25"/>
        <v>3.66</v>
      </c>
      <c r="I122" s="368"/>
      <c r="J122" s="369">
        <f t="shared" si="26"/>
        <v>3.66</v>
      </c>
      <c r="K122" s="362">
        <f t="shared" si="27"/>
        <v>6588000</v>
      </c>
      <c r="L122" s="366" t="str">
        <f>VLOOKUP(B122,'[8]Gui chi Quynh'!$B$11:$E$401,4,FALSE)</f>
        <v>A3</v>
      </c>
      <c r="M122" s="494">
        <f t="shared" si="16"/>
        <v>7905600</v>
      </c>
      <c r="N122" s="376">
        <v>19</v>
      </c>
      <c r="O122" s="440">
        <f>IFERROR(INDEX('[9]CN BC'!$J$10:$J$277,MATCH(B122,'[9]CN BC'!$H$10:$H$277,0)),"")</f>
        <v>19</v>
      </c>
      <c r="P122" s="494">
        <f t="shared" si="22"/>
        <v>7905600</v>
      </c>
      <c r="Q122" s="392"/>
      <c r="R122" s="362">
        <f t="shared" si="28"/>
        <v>0</v>
      </c>
      <c r="S122" s="370"/>
      <c r="T122" s="362">
        <f t="shared" si="23"/>
        <v>0</v>
      </c>
      <c r="U122" s="584">
        <f t="shared" si="19"/>
        <v>65880</v>
      </c>
      <c r="V122" s="371">
        <f t="shared" si="21"/>
        <v>7905600</v>
      </c>
      <c r="W122" s="362">
        <f>VLOOKUP(B122,CN!B120:P384,15,FALSE)</f>
        <v>4282200</v>
      </c>
      <c r="X122" s="653">
        <f t="shared" si="24"/>
        <v>3623400</v>
      </c>
      <c r="Y122" s="568">
        <f t="shared" si="20"/>
        <v>111</v>
      </c>
      <c r="Z122" s="493">
        <f>IFERROR(INDEX('[10]CN BC'!$M$10:$M$276,MATCH(B122,'[10]CN BC'!$H$10:$H$276,0)),"")</f>
        <v>0</v>
      </c>
      <c r="AA122" s="522" t="s">
        <v>1123</v>
      </c>
      <c r="AB122" s="108"/>
      <c r="AC122" s="108"/>
      <c r="AD122" s="155"/>
      <c r="AE122" s="108"/>
      <c r="AF122" s="108"/>
      <c r="AG122" s="108"/>
      <c r="AH122" s="108"/>
      <c r="AI122" s="108"/>
      <c r="AJ122" s="108"/>
      <c r="AK122" s="108"/>
      <c r="AL122" s="108"/>
      <c r="AM122" s="108"/>
      <c r="AN122" s="108"/>
    </row>
    <row r="123" spans="1:40" s="372" customFormat="1" ht="24" customHeight="1">
      <c r="A123" s="379">
        <f>_xlfn.AGGREGATE(4,7,A$11:A122)+1</f>
        <v>112</v>
      </c>
      <c r="B123" s="363" t="s">
        <v>1529</v>
      </c>
      <c r="C123" s="364" t="s">
        <v>876</v>
      </c>
      <c r="D123" s="406" t="s">
        <v>1772</v>
      </c>
      <c r="E123" s="423" t="s">
        <v>743</v>
      </c>
      <c r="F123" s="373">
        <v>3.33</v>
      </c>
      <c r="G123" s="367"/>
      <c r="H123" s="445">
        <f t="shared" si="25"/>
        <v>3.33</v>
      </c>
      <c r="I123" s="368">
        <v>0.25</v>
      </c>
      <c r="J123" s="369">
        <f t="shared" si="26"/>
        <v>3.58</v>
      </c>
      <c r="K123" s="362">
        <f t="shared" si="27"/>
        <v>6444000</v>
      </c>
      <c r="L123" s="366" t="str">
        <f>VLOOKUP(B123,'[8]Gui chi Quynh'!$B$11:$E$401,4,FALSE)</f>
        <v>A1</v>
      </c>
      <c r="M123" s="494">
        <f t="shared" si="16"/>
        <v>10310400</v>
      </c>
      <c r="N123" s="376">
        <v>19</v>
      </c>
      <c r="O123" s="440">
        <f>IFERROR(INDEX('[9]CN BC'!$J$10:$J$277,MATCH(B123,'[9]CN BC'!$H$10:$H$277,0)),"")</f>
        <v>19</v>
      </c>
      <c r="P123" s="494">
        <f t="shared" si="22"/>
        <v>10310400</v>
      </c>
      <c r="Q123" s="392"/>
      <c r="R123" s="362">
        <f t="shared" si="28"/>
        <v>0</v>
      </c>
      <c r="S123" s="385"/>
      <c r="T123" s="362">
        <f t="shared" si="23"/>
        <v>0</v>
      </c>
      <c r="U123" s="584">
        <f t="shared" si="19"/>
        <v>64440</v>
      </c>
      <c r="V123" s="371">
        <f t="shared" si="21"/>
        <v>10310400</v>
      </c>
      <c r="W123" s="362">
        <f>VLOOKUP(B123,CN!B121:P385,15,FALSE)</f>
        <v>5995080</v>
      </c>
      <c r="X123" s="653">
        <f t="shared" si="24"/>
        <v>4315320</v>
      </c>
      <c r="Y123" s="568">
        <f t="shared" si="20"/>
        <v>112</v>
      </c>
      <c r="Z123" s="493">
        <f>IFERROR(INDEX('[10]CN BC'!$M$10:$M$276,MATCH(B123,'[10]CN BC'!$H$10:$H$276,0)),"")</f>
        <v>0</v>
      </c>
      <c r="AA123" s="522" t="s">
        <v>1124</v>
      </c>
      <c r="AB123" s="108"/>
      <c r="AC123" s="108"/>
      <c r="AD123" s="155"/>
      <c r="AE123" s="108"/>
      <c r="AF123" s="108"/>
      <c r="AG123" s="108"/>
      <c r="AH123" s="108"/>
      <c r="AI123" s="108"/>
      <c r="AJ123" s="108"/>
      <c r="AK123" s="108"/>
      <c r="AL123" s="108"/>
      <c r="AM123" s="108"/>
      <c r="AN123" s="108"/>
    </row>
    <row r="124" spans="1:40" s="372" customFormat="1" ht="30" customHeight="1">
      <c r="A124" s="379">
        <f>_xlfn.AGGREGATE(4,7,A$11:A123)+1</f>
        <v>113</v>
      </c>
      <c r="B124" s="363" t="s">
        <v>1530</v>
      </c>
      <c r="C124" s="364" t="s">
        <v>886</v>
      </c>
      <c r="D124" s="434" t="s">
        <v>1773</v>
      </c>
      <c r="E124" s="430">
        <v>1603205357641</v>
      </c>
      <c r="F124" s="373">
        <v>3.66</v>
      </c>
      <c r="G124" s="367"/>
      <c r="H124" s="368">
        <f t="shared" si="25"/>
        <v>3.66</v>
      </c>
      <c r="I124" s="368"/>
      <c r="J124" s="369">
        <f t="shared" si="26"/>
        <v>3.66</v>
      </c>
      <c r="K124" s="362">
        <f t="shared" si="27"/>
        <v>6588000</v>
      </c>
      <c r="L124" s="366" t="str">
        <f>VLOOKUP(B124,'[8]Gui chi Quynh'!$B$11:$E$401,4,FALSE)</f>
        <v>A4</v>
      </c>
      <c r="M124" s="494">
        <f t="shared" si="16"/>
        <v>6588000</v>
      </c>
      <c r="N124" s="376">
        <v>19</v>
      </c>
      <c r="O124" s="440">
        <f>IFERROR(INDEX('[9]CN BC'!$J$10:$J$277,MATCH(B124,'[9]CN BC'!$H$10:$H$277,0)),"")</f>
        <v>19</v>
      </c>
      <c r="P124" s="494">
        <f t="shared" si="22"/>
        <v>6588000</v>
      </c>
      <c r="Q124" s="460"/>
      <c r="R124" s="362">
        <f t="shared" si="28"/>
        <v>0</v>
      </c>
      <c r="S124" s="370"/>
      <c r="T124" s="362">
        <f t="shared" si="23"/>
        <v>0</v>
      </c>
      <c r="U124" s="584">
        <f t="shared" si="19"/>
        <v>65880</v>
      </c>
      <c r="V124" s="371">
        <f t="shared" si="21"/>
        <v>6588000</v>
      </c>
      <c r="W124" s="362">
        <f>VLOOKUP(B124,CN!B122:P386,15,FALSE)</f>
        <v>4282200</v>
      </c>
      <c r="X124" s="653">
        <f t="shared" si="24"/>
        <v>2305800</v>
      </c>
      <c r="Y124" s="568">
        <f t="shared" si="20"/>
        <v>113</v>
      </c>
      <c r="Z124" s="493">
        <f>IFERROR(INDEX('[10]CN BC'!$M$10:$M$276,MATCH(B124,'[10]CN BC'!$H$10:$H$276,0)),"")</f>
        <v>0</v>
      </c>
      <c r="AA124" s="540" t="s">
        <v>1125</v>
      </c>
      <c r="AB124" s="541"/>
      <c r="AD124" s="487"/>
    </row>
    <row r="125" spans="1:40" s="372" customFormat="1" ht="25.9" customHeight="1">
      <c r="A125" s="379">
        <f>_xlfn.AGGREGATE(4,7,A$11:A124)+1</f>
        <v>114</v>
      </c>
      <c r="B125" s="363" t="s">
        <v>1531</v>
      </c>
      <c r="C125" s="364" t="s">
        <v>746</v>
      </c>
      <c r="D125" s="406" t="s">
        <v>1774</v>
      </c>
      <c r="E125" s="430">
        <v>1603205357120</v>
      </c>
      <c r="F125" s="373">
        <v>3.33</v>
      </c>
      <c r="G125" s="367"/>
      <c r="H125" s="445">
        <f t="shared" si="25"/>
        <v>3.33</v>
      </c>
      <c r="I125" s="368"/>
      <c r="J125" s="369">
        <f t="shared" si="26"/>
        <v>3.33</v>
      </c>
      <c r="K125" s="362">
        <f t="shared" si="27"/>
        <v>5994000</v>
      </c>
      <c r="L125" s="366" t="str">
        <f>VLOOKUP(B125,'[8]Gui chi Quynh'!$B$11:$E$401,4,FALSE)</f>
        <v>A3</v>
      </c>
      <c r="M125" s="494">
        <f t="shared" ref="M125:M187" si="29">IF(L125="A1",K125*1.6,IF(L125="A2",K125*1.4,IF(L125="A3",K125*1.2,IF(L125="A4",K125*1,IF(L125="B1",K125*0.7,IF(L125="B2",K125*0.5,IF(L125="C1",K125*0.3,IF(L125="C2",K125*0.2,0))))))))</f>
        <v>7192800</v>
      </c>
      <c r="N125" s="376">
        <v>19</v>
      </c>
      <c r="O125" s="440">
        <f>IFERROR(INDEX('[9]CN BC'!$J$10:$J$277,MATCH(B125,'[9]CN BC'!$H$10:$H$277,0)),"")</f>
        <v>19</v>
      </c>
      <c r="P125" s="494">
        <f t="shared" si="22"/>
        <v>7192800</v>
      </c>
      <c r="Q125" s="392"/>
      <c r="R125" s="362">
        <f t="shared" si="28"/>
        <v>0</v>
      </c>
      <c r="S125" s="370"/>
      <c r="T125" s="362">
        <f t="shared" si="23"/>
        <v>0</v>
      </c>
      <c r="U125" s="584">
        <f t="shared" ref="U125:U196" si="30">IF(OR(L125="A DN",L125="KXL", L125=""),"0",ROUND(J125*0.01*$G$8+Q125*1%*$G$8+S125*1%*$G$8,))</f>
        <v>59940</v>
      </c>
      <c r="V125" s="371">
        <f t="shared" si="21"/>
        <v>7192800</v>
      </c>
      <c r="W125" s="362">
        <f>VLOOKUP(B125,CN!B123:P387,15,FALSE)</f>
        <v>4675320</v>
      </c>
      <c r="X125" s="653">
        <f t="shared" si="24"/>
        <v>2517480</v>
      </c>
      <c r="Y125" s="568">
        <f t="shared" ref="Y125:Y194" si="31">A125</f>
        <v>114</v>
      </c>
      <c r="Z125" s="493">
        <f>IFERROR(INDEX('[10]CN BC'!$M$10:$M$276,MATCH(B125,'[10]CN BC'!$H$10:$H$276,0)),"")</f>
        <v>0</v>
      </c>
      <c r="AA125" s="522" t="s">
        <v>1126</v>
      </c>
      <c r="AB125" s="108"/>
      <c r="AC125" s="108"/>
      <c r="AD125" s="155"/>
      <c r="AE125" s="108"/>
      <c r="AF125" s="108"/>
      <c r="AG125" s="108"/>
      <c r="AH125" s="108"/>
      <c r="AI125" s="108"/>
      <c r="AJ125" s="108"/>
      <c r="AK125" s="108"/>
      <c r="AL125" s="108"/>
      <c r="AM125" s="108"/>
      <c r="AN125" s="108"/>
    </row>
    <row r="126" spans="1:40" s="372" customFormat="1" ht="32.25" customHeight="1">
      <c r="A126" s="379">
        <f>_xlfn.AGGREGATE(4,7,A$11:A125)+1</f>
        <v>115</v>
      </c>
      <c r="B126" s="363" t="s">
        <v>1895</v>
      </c>
      <c r="C126" s="364" t="s">
        <v>905</v>
      </c>
      <c r="D126" s="434" t="s">
        <v>1775</v>
      </c>
      <c r="E126" s="423" t="s">
        <v>1261</v>
      </c>
      <c r="F126" s="366">
        <v>4.9800000000000004</v>
      </c>
      <c r="G126" s="367">
        <v>7.0000000000000007E-2</v>
      </c>
      <c r="H126" s="368">
        <f t="shared" si="25"/>
        <v>5.3286000000000007</v>
      </c>
      <c r="I126" s="368"/>
      <c r="J126" s="369">
        <f t="shared" si="26"/>
        <v>5.3286000000000007</v>
      </c>
      <c r="K126" s="362">
        <f t="shared" si="27"/>
        <v>9591480.0000000019</v>
      </c>
      <c r="L126" s="366" t="str">
        <f>VLOOKUP(B126,'[8]Gui chi Quynh'!$B$11:$E$401,4,FALSE)</f>
        <v>A3</v>
      </c>
      <c r="M126" s="494">
        <f t="shared" si="29"/>
        <v>11509776.000000002</v>
      </c>
      <c r="N126" s="376">
        <v>19</v>
      </c>
      <c r="O126" s="440">
        <f>IFERROR(INDEX('[9]CN BC'!$J$10:$J$277,MATCH(B126,'[9]CN BC'!$H$10:$H$277,0)),"")</f>
        <v>19</v>
      </c>
      <c r="P126" s="494">
        <f t="shared" si="22"/>
        <v>11509776.000000002</v>
      </c>
      <c r="Q126" s="392"/>
      <c r="R126" s="362">
        <f t="shared" si="28"/>
        <v>0</v>
      </c>
      <c r="S126" s="370"/>
      <c r="T126" s="362">
        <f t="shared" si="23"/>
        <v>0</v>
      </c>
      <c r="U126" s="584">
        <f t="shared" si="30"/>
        <v>95915</v>
      </c>
      <c r="V126" s="371">
        <f t="shared" si="21"/>
        <v>11509776.000000002</v>
      </c>
      <c r="W126" s="362">
        <f>VLOOKUP(B126,CN!B124:P388,15,FALSE)</f>
        <v>6350760.0000000009</v>
      </c>
      <c r="X126" s="653">
        <f t="shared" si="24"/>
        <v>5159016.0000000009</v>
      </c>
      <c r="Y126" s="568">
        <f t="shared" si="31"/>
        <v>115</v>
      </c>
      <c r="Z126" s="493">
        <f>IFERROR(INDEX('[10]CN BC'!$M$10:$M$276,MATCH(B126,'[10]CN BC'!$H$10:$H$276,0)),"")</f>
        <v>0</v>
      </c>
      <c r="AA126" s="522" t="s">
        <v>1127</v>
      </c>
      <c r="AB126" s="524"/>
      <c r="AC126" s="108"/>
      <c r="AD126" s="155"/>
      <c r="AE126" s="108"/>
      <c r="AF126" s="108"/>
      <c r="AG126" s="108"/>
      <c r="AH126" s="108"/>
      <c r="AI126" s="108"/>
      <c r="AJ126" s="108"/>
    </row>
    <row r="127" spans="1:40" s="372" customFormat="1" ht="25.5" customHeight="1">
      <c r="A127" s="379">
        <f>_xlfn.AGGREGATE(4,7,A$11:A126)+1</f>
        <v>116</v>
      </c>
      <c r="B127" s="363" t="s">
        <v>1896</v>
      </c>
      <c r="C127" s="364" t="s">
        <v>1035</v>
      </c>
      <c r="D127" s="434" t="s">
        <v>1776</v>
      </c>
      <c r="E127" s="423" t="s">
        <v>1365</v>
      </c>
      <c r="F127" s="366">
        <v>4.9800000000000004</v>
      </c>
      <c r="G127" s="367">
        <v>0.1</v>
      </c>
      <c r="H127" s="368">
        <f t="shared" si="25"/>
        <v>5.4780000000000006</v>
      </c>
      <c r="I127" s="368"/>
      <c r="J127" s="369">
        <f t="shared" si="26"/>
        <v>5.4780000000000006</v>
      </c>
      <c r="K127" s="362">
        <f t="shared" si="27"/>
        <v>9860400.0000000019</v>
      </c>
      <c r="L127" s="366" t="str">
        <f>VLOOKUP(B127,'[8]Gui chi Quynh'!$B$11:$E$401,4,FALSE)</f>
        <v>A3</v>
      </c>
      <c r="M127" s="494">
        <f t="shared" si="29"/>
        <v>11832480.000000002</v>
      </c>
      <c r="N127" s="376">
        <v>19</v>
      </c>
      <c r="O127" s="440">
        <f>IFERROR(INDEX('[9]CN BC'!$J$10:$J$277,MATCH(B127,'[9]CN BC'!$H$10:$H$277,0)),"")</f>
        <v>19</v>
      </c>
      <c r="P127" s="494">
        <f t="shared" si="22"/>
        <v>11832480.000000002</v>
      </c>
      <c r="Q127" s="485"/>
      <c r="R127" s="362">
        <f>Q127*$G$8*0.8</f>
        <v>0</v>
      </c>
      <c r="S127" s="370"/>
      <c r="T127" s="362">
        <f t="shared" si="23"/>
        <v>0</v>
      </c>
      <c r="U127" s="584">
        <f t="shared" si="30"/>
        <v>98604</v>
      </c>
      <c r="V127" s="371">
        <f t="shared" si="21"/>
        <v>11832480.000000002</v>
      </c>
      <c r="W127" s="362" t="e">
        <f>VLOOKUP(B127,CN!B125:P389,15,FALSE)</f>
        <v>#N/A</v>
      </c>
      <c r="X127" s="653" t="e">
        <f t="shared" si="24"/>
        <v>#N/A</v>
      </c>
      <c r="Y127" s="568">
        <f t="shared" si="31"/>
        <v>116</v>
      </c>
      <c r="Z127" s="493">
        <f>IFERROR(INDEX('[10]CN BC'!$M$10:$M$276,MATCH(B127,'[10]CN BC'!$H$10:$H$276,0)),"")</f>
        <v>0</v>
      </c>
      <c r="AA127" s="522" t="s">
        <v>1131</v>
      </c>
      <c r="AB127" s="108"/>
      <c r="AC127" s="108"/>
      <c r="AD127" s="155"/>
      <c r="AE127" s="108"/>
      <c r="AF127" s="108"/>
      <c r="AG127" s="108"/>
      <c r="AH127" s="108"/>
      <c r="AI127" s="108"/>
      <c r="AJ127" s="108"/>
    </row>
    <row r="128" spans="1:40" s="372" customFormat="1" ht="29.25" customHeight="1">
      <c r="A128" s="379">
        <f>_xlfn.AGGREGATE(4,7,A$11:A127)+1</f>
        <v>117</v>
      </c>
      <c r="B128" s="363" t="s">
        <v>1532</v>
      </c>
      <c r="C128" s="364" t="s">
        <v>884</v>
      </c>
      <c r="D128" s="406" t="s">
        <v>1777</v>
      </c>
      <c r="E128" s="422" t="s">
        <v>1594</v>
      </c>
      <c r="F128" s="373">
        <v>3.33</v>
      </c>
      <c r="G128" s="367"/>
      <c r="H128" s="445">
        <f t="shared" si="25"/>
        <v>3.33</v>
      </c>
      <c r="I128" s="368"/>
      <c r="J128" s="369">
        <f t="shared" si="26"/>
        <v>3.33</v>
      </c>
      <c r="K128" s="362">
        <f t="shared" si="27"/>
        <v>5994000</v>
      </c>
      <c r="L128" s="366" t="str">
        <f>VLOOKUP(B128,'[8]Gui chi Quynh'!$B$11:$E$401,4,FALSE)</f>
        <v>A4</v>
      </c>
      <c r="M128" s="494">
        <f t="shared" si="29"/>
        <v>5994000</v>
      </c>
      <c r="N128" s="376">
        <v>19</v>
      </c>
      <c r="O128" s="440">
        <f>IFERROR(INDEX('[9]CN BC'!$J$10:$J$277,MATCH(B128,'[9]CN BC'!$H$10:$H$277,0)),"")</f>
        <v>19</v>
      </c>
      <c r="P128" s="494">
        <f t="shared" si="22"/>
        <v>5994000</v>
      </c>
      <c r="Q128" s="455"/>
      <c r="R128" s="362">
        <f t="shared" si="28"/>
        <v>0</v>
      </c>
      <c r="S128" s="370"/>
      <c r="T128" s="362">
        <f t="shared" si="23"/>
        <v>0</v>
      </c>
      <c r="U128" s="584">
        <f t="shared" si="30"/>
        <v>59940</v>
      </c>
      <c r="V128" s="371">
        <f t="shared" ref="V128:V190" si="32">(P128+R128+T128)</f>
        <v>5994000</v>
      </c>
      <c r="W128" s="362">
        <f>VLOOKUP(B128,CN!B126:P390,15,FALSE)</f>
        <v>6851520</v>
      </c>
      <c r="X128" s="653">
        <f t="shared" si="24"/>
        <v>-857520</v>
      </c>
      <c r="Y128" s="568">
        <f t="shared" si="31"/>
        <v>117</v>
      </c>
      <c r="Z128" s="493">
        <f>IFERROR(INDEX('[10]CN BC'!$M$10:$M$276,MATCH(B128,'[10]CN BC'!$H$10:$H$276,0)),"")</f>
        <v>0</v>
      </c>
      <c r="AA128" s="522" t="s">
        <v>1132</v>
      </c>
      <c r="AB128" s="108"/>
      <c r="AC128" s="108"/>
      <c r="AD128" s="155"/>
      <c r="AE128" s="108"/>
      <c r="AF128" s="108"/>
      <c r="AG128" s="108"/>
      <c r="AH128" s="108"/>
      <c r="AI128" s="108"/>
      <c r="AJ128" s="108"/>
      <c r="AK128" s="108"/>
      <c r="AL128" s="108"/>
      <c r="AM128" s="108"/>
      <c r="AN128" s="108"/>
    </row>
    <row r="129" spans="1:40" s="372" customFormat="1" ht="25.5" customHeight="1">
      <c r="A129" s="379">
        <f>_xlfn.AGGREGATE(4,7,A$11:A128)+1</f>
        <v>118</v>
      </c>
      <c r="B129" s="363" t="s">
        <v>1608</v>
      </c>
      <c r="C129" s="375" t="s">
        <v>1011</v>
      </c>
      <c r="D129" s="482" t="s">
        <v>1968</v>
      </c>
      <c r="E129" s="102">
        <v>1603215003955</v>
      </c>
      <c r="F129" s="373">
        <v>3</v>
      </c>
      <c r="G129" s="378"/>
      <c r="H129" s="445">
        <f t="shared" si="25"/>
        <v>3</v>
      </c>
      <c r="I129" s="368"/>
      <c r="J129" s="369">
        <f t="shared" si="26"/>
        <v>3</v>
      </c>
      <c r="K129" s="362">
        <f t="shared" si="27"/>
        <v>5400000</v>
      </c>
      <c r="L129" s="366" t="str">
        <f>VLOOKUP(B129,'[8]Gui chi Quynh'!$B$11:$E$401,4,FALSE)</f>
        <v>A3</v>
      </c>
      <c r="M129" s="494">
        <f t="shared" si="29"/>
        <v>6480000</v>
      </c>
      <c r="N129" s="376">
        <v>19</v>
      </c>
      <c r="O129" s="440">
        <f>IFERROR(INDEX('[9]CN BC'!$J$10:$J$277,MATCH(B129,'[9]CN BC'!$H$10:$H$277,0)),"")</f>
        <v>19</v>
      </c>
      <c r="P129" s="494">
        <f t="shared" si="22"/>
        <v>6480000</v>
      </c>
      <c r="Q129" s="460"/>
      <c r="R129" s="362">
        <f t="shared" si="28"/>
        <v>0</v>
      </c>
      <c r="S129" s="370"/>
      <c r="T129" s="362">
        <f t="shared" si="23"/>
        <v>0</v>
      </c>
      <c r="U129" s="584">
        <f t="shared" si="30"/>
        <v>54000</v>
      </c>
      <c r="V129" s="371">
        <f t="shared" si="32"/>
        <v>6480000</v>
      </c>
      <c r="W129" s="362">
        <f>VLOOKUP(B129,CN!B127:P391,15,FALSE)</f>
        <v>3896100</v>
      </c>
      <c r="X129" s="653">
        <f t="shared" si="24"/>
        <v>2583900</v>
      </c>
      <c r="Y129" s="568">
        <f t="shared" si="31"/>
        <v>118</v>
      </c>
      <c r="Z129" s="493">
        <f>IFERROR(INDEX('[10]CN BC'!$M$10:$M$276,MATCH(B129,'[10]CN BC'!$H$10:$H$276,0)),"")</f>
        <v>0</v>
      </c>
      <c r="AA129" s="522" t="s">
        <v>1133</v>
      </c>
      <c r="AB129" s="108"/>
      <c r="AC129" s="108"/>
      <c r="AD129" s="155"/>
      <c r="AE129" s="108"/>
      <c r="AF129" s="108"/>
      <c r="AG129" s="108"/>
      <c r="AH129" s="108"/>
      <c r="AI129" s="108"/>
      <c r="AJ129" s="108"/>
    </row>
    <row r="130" spans="1:40" s="372" customFormat="1" ht="24.75" customHeight="1">
      <c r="A130" s="379">
        <f>_xlfn.AGGREGATE(4,7,A$11:A129)+1</f>
        <v>119</v>
      </c>
      <c r="B130" s="363" t="s">
        <v>1835</v>
      </c>
      <c r="C130" s="375"/>
      <c r="D130" s="434" t="s">
        <v>1970</v>
      </c>
      <c r="E130" s="477" t="s">
        <v>1969</v>
      </c>
      <c r="F130" s="373">
        <v>3</v>
      </c>
      <c r="G130" s="378"/>
      <c r="H130" s="368">
        <f t="shared" si="25"/>
        <v>3</v>
      </c>
      <c r="I130" s="368"/>
      <c r="J130" s="369">
        <f t="shared" si="26"/>
        <v>3</v>
      </c>
      <c r="K130" s="362">
        <f t="shared" si="27"/>
        <v>5400000</v>
      </c>
      <c r="L130" s="366" t="str">
        <f>VLOOKUP(B130,'[8]Gui chi Quynh'!$B$11:$E$401,4,FALSE)</f>
        <v>A1</v>
      </c>
      <c r="M130" s="494">
        <f t="shared" si="29"/>
        <v>8640000</v>
      </c>
      <c r="N130" s="376">
        <v>19</v>
      </c>
      <c r="O130" s="440">
        <f>IFERROR(INDEX('[9]CN BC'!$J$10:$J$277,MATCH(B130,'[9]CN BC'!$H$10:$H$277,0)),"")</f>
        <v>19</v>
      </c>
      <c r="P130" s="494">
        <f t="shared" ref="P130:P194" si="33">IF(O130&gt;=N130,M130,M130/N130*O130)</f>
        <v>8640000</v>
      </c>
      <c r="Q130" s="392"/>
      <c r="R130" s="362">
        <f t="shared" si="28"/>
        <v>0</v>
      </c>
      <c r="S130" s="370"/>
      <c r="T130" s="362">
        <f t="shared" si="23"/>
        <v>0</v>
      </c>
      <c r="U130" s="584">
        <f t="shared" si="30"/>
        <v>54000</v>
      </c>
      <c r="V130" s="371">
        <f t="shared" si="32"/>
        <v>8640000</v>
      </c>
      <c r="W130" s="362">
        <f>VLOOKUP(B130,CN!B128:P392,15,FALSE)</f>
        <v>4914000</v>
      </c>
      <c r="X130" s="653">
        <f t="shared" si="24"/>
        <v>3726000</v>
      </c>
      <c r="Y130" s="568">
        <f t="shared" si="31"/>
        <v>119</v>
      </c>
      <c r="Z130" s="493">
        <f>IFERROR(INDEX('[10]CN BC'!$M$10:$M$276,MATCH(B130,'[10]CN BC'!$H$10:$H$276,0)),"")</f>
        <v>0</v>
      </c>
      <c r="AA130" s="522" t="s">
        <v>1142</v>
      </c>
      <c r="AB130" s="108"/>
      <c r="AC130" s="108"/>
      <c r="AD130" s="155"/>
      <c r="AE130" s="108"/>
      <c r="AF130" s="108"/>
      <c r="AG130" s="108"/>
      <c r="AH130" s="108"/>
      <c r="AI130" s="108"/>
      <c r="AJ130" s="108"/>
    </row>
    <row r="131" spans="1:40" s="372" customFormat="1" ht="29.25" customHeight="1">
      <c r="A131" s="379">
        <f>_xlfn.AGGREGATE(4,7,A$11:A130)+1</f>
        <v>120</v>
      </c>
      <c r="B131" s="363" t="s">
        <v>1897</v>
      </c>
      <c r="C131" s="375" t="s">
        <v>868</v>
      </c>
      <c r="D131" s="434" t="s">
        <v>1670</v>
      </c>
      <c r="E131" s="423" t="s">
        <v>1286</v>
      </c>
      <c r="F131" s="366">
        <v>4.9800000000000004</v>
      </c>
      <c r="G131" s="367">
        <v>0.11</v>
      </c>
      <c r="H131" s="368">
        <f t="shared" si="25"/>
        <v>5.5278000000000009</v>
      </c>
      <c r="I131" s="368"/>
      <c r="J131" s="369">
        <f t="shared" si="26"/>
        <v>5.5278000000000009</v>
      </c>
      <c r="K131" s="362">
        <f t="shared" si="27"/>
        <v>9950040.0000000019</v>
      </c>
      <c r="L131" s="366" t="str">
        <f>VLOOKUP(B131,'[8]Gui chi Quynh'!$B$11:$E$401,4,FALSE)</f>
        <v>A4</v>
      </c>
      <c r="M131" s="494">
        <f t="shared" si="29"/>
        <v>9950040.0000000019</v>
      </c>
      <c r="N131" s="376">
        <v>19</v>
      </c>
      <c r="O131" s="440">
        <f>IFERROR(INDEX('[9]CN BC'!$J$10:$J$277,MATCH(B131,'[9]CN BC'!$H$10:$H$277,0)),"")</f>
        <v>19</v>
      </c>
      <c r="P131" s="494">
        <f t="shared" si="33"/>
        <v>9950040.0000000019</v>
      </c>
      <c r="Q131" s="460"/>
      <c r="R131" s="362">
        <f>Q131*$G$8*0.8</f>
        <v>0</v>
      </c>
      <c r="S131" s="370"/>
      <c r="T131" s="362">
        <f t="shared" si="23"/>
        <v>0</v>
      </c>
      <c r="U131" s="584">
        <f t="shared" si="30"/>
        <v>99500</v>
      </c>
      <c r="V131" s="371">
        <f t="shared" si="32"/>
        <v>9950040.0000000019</v>
      </c>
      <c r="W131" s="362">
        <f>VLOOKUP(B131,CN!B129:P393,15,FALSE)</f>
        <v>6583590.0000000009</v>
      </c>
      <c r="X131" s="653">
        <f t="shared" si="24"/>
        <v>3366450.0000000009</v>
      </c>
      <c r="Y131" s="568">
        <f t="shared" si="31"/>
        <v>120</v>
      </c>
      <c r="Z131" s="493">
        <f>IFERROR(INDEX('[10]CN BC'!$M$10:$M$276,MATCH(B131,'[10]CN BC'!$H$10:$H$276,0)),"")</f>
        <v>0</v>
      </c>
      <c r="AA131" s="540" t="s">
        <v>1143</v>
      </c>
      <c r="AD131" s="487"/>
    </row>
    <row r="132" spans="1:40" s="372" customFormat="1" ht="25.5" customHeight="1">
      <c r="A132" s="379">
        <f>_xlfn.AGGREGATE(4,7,A$11:A131)+1</f>
        <v>121</v>
      </c>
      <c r="B132" s="363" t="s">
        <v>1840</v>
      </c>
      <c r="C132" s="375"/>
      <c r="D132" s="434" t="s">
        <v>1971</v>
      </c>
      <c r="E132" s="102">
        <v>1603205596180</v>
      </c>
      <c r="F132" s="366">
        <v>2.67</v>
      </c>
      <c r="G132" s="367"/>
      <c r="H132" s="368">
        <f t="shared" si="25"/>
        <v>2.67</v>
      </c>
      <c r="I132" s="368"/>
      <c r="J132" s="369">
        <f t="shared" si="26"/>
        <v>2.67</v>
      </c>
      <c r="K132" s="362">
        <f t="shared" si="27"/>
        <v>4806000</v>
      </c>
      <c r="L132" s="366" t="str">
        <f>VLOOKUP(B132,'[8]Gui chi Quynh'!$B$11:$E$401,4,FALSE)</f>
        <v>A2</v>
      </c>
      <c r="M132" s="494">
        <f t="shared" si="29"/>
        <v>6728400</v>
      </c>
      <c r="N132" s="376">
        <v>19</v>
      </c>
      <c r="O132" s="440">
        <f>IFERROR(INDEX('[9]CN BC'!$J$10:$J$277,MATCH(B132,'[9]CN BC'!$H$10:$H$277,0)),"")</f>
        <v>19</v>
      </c>
      <c r="P132" s="494">
        <f t="shared" si="33"/>
        <v>6728400</v>
      </c>
      <c r="Q132" s="392"/>
      <c r="R132" s="362">
        <f t="shared" si="28"/>
        <v>0</v>
      </c>
      <c r="S132" s="370"/>
      <c r="T132" s="362">
        <f t="shared" ref="T132:T196" si="34">S132*$G$8*1</f>
        <v>0</v>
      </c>
      <c r="U132" s="584">
        <f t="shared" si="30"/>
        <v>48060</v>
      </c>
      <c r="V132" s="371">
        <f t="shared" si="32"/>
        <v>6728400</v>
      </c>
      <c r="W132" s="362">
        <f>VLOOKUP(B132,CN!B130:P394,15,FALSE)</f>
        <v>5616000</v>
      </c>
      <c r="X132" s="653">
        <f t="shared" si="24"/>
        <v>1112400</v>
      </c>
      <c r="Y132" s="568">
        <f t="shared" si="31"/>
        <v>121</v>
      </c>
      <c r="Z132" s="493">
        <f>IFERROR(INDEX('[10]CN BC'!$M$10:$M$276,MATCH(B132,'[10]CN BC'!$H$10:$H$276,0)),"")</f>
        <v>0</v>
      </c>
      <c r="AA132" s="522" t="s">
        <v>1144</v>
      </c>
      <c r="AB132" s="108"/>
      <c r="AC132" s="108"/>
      <c r="AD132" s="155"/>
      <c r="AE132" s="108"/>
      <c r="AF132" s="108"/>
      <c r="AG132" s="108"/>
      <c r="AH132" s="108"/>
      <c r="AI132" s="108"/>
      <c r="AJ132" s="108"/>
    </row>
    <row r="133" spans="1:40" s="372" customFormat="1" ht="24.75" customHeight="1">
      <c r="A133" s="379">
        <f>_xlfn.AGGREGATE(4,7,A$11:A132)+1</f>
        <v>122</v>
      </c>
      <c r="B133" s="363" t="s">
        <v>1943</v>
      </c>
      <c r="C133" s="375"/>
      <c r="D133" s="434" t="s">
        <v>1972</v>
      </c>
      <c r="E133" s="423"/>
      <c r="F133" s="373">
        <v>3</v>
      </c>
      <c r="G133" s="367"/>
      <c r="H133" s="368">
        <f t="shared" si="25"/>
        <v>3</v>
      </c>
      <c r="I133" s="368"/>
      <c r="J133" s="369">
        <f t="shared" si="26"/>
        <v>3</v>
      </c>
      <c r="K133" s="362">
        <f t="shared" si="27"/>
        <v>5400000</v>
      </c>
      <c r="L133" s="366" t="str">
        <f>VLOOKUP(B133,'[8]Gui chi Quynh'!$B$11:$E$401,4,FALSE)</f>
        <v>A2</v>
      </c>
      <c r="M133" s="494">
        <f t="shared" si="29"/>
        <v>7559999.9999999991</v>
      </c>
      <c r="N133" s="376">
        <v>19</v>
      </c>
      <c r="O133" s="440">
        <f>IFERROR(INDEX('[9]CN BC'!$J$10:$J$277,MATCH(B133,'[9]CN BC'!$H$10:$H$277,0)),"")</f>
        <v>19</v>
      </c>
      <c r="P133" s="494">
        <f t="shared" si="33"/>
        <v>7559999.9999999991</v>
      </c>
      <c r="Q133" s="460"/>
      <c r="R133" s="362">
        <f t="shared" si="28"/>
        <v>0</v>
      </c>
      <c r="S133" s="370"/>
      <c r="T133" s="362">
        <f t="shared" si="34"/>
        <v>0</v>
      </c>
      <c r="U133" s="584">
        <f t="shared" si="30"/>
        <v>54000</v>
      </c>
      <c r="V133" s="371">
        <f t="shared" si="32"/>
        <v>7559999.9999999991</v>
      </c>
      <c r="W133" s="362">
        <f>VLOOKUP(B133,CN!B144:P395,15,FALSE)</f>
        <v>6233760</v>
      </c>
      <c r="X133" s="653">
        <f t="shared" si="24"/>
        <v>1326239.9999999991</v>
      </c>
      <c r="Y133" s="568">
        <f t="shared" si="31"/>
        <v>122</v>
      </c>
      <c r="Z133" s="493">
        <f>IFERROR(INDEX('[10]CN BC'!$M$10:$M$276,MATCH(B133,'[10]CN BC'!$H$10:$H$276,0)),"")</f>
        <v>0</v>
      </c>
      <c r="AA133" s="522" t="s">
        <v>1145</v>
      </c>
      <c r="AB133" s="108"/>
      <c r="AC133" s="108"/>
      <c r="AD133" s="487"/>
    </row>
    <row r="134" spans="1:40" s="372" customFormat="1" ht="26.25" customHeight="1">
      <c r="A134" s="379">
        <f>_xlfn.AGGREGATE(4,7,A$11:A133)+1</f>
        <v>123</v>
      </c>
      <c r="B134" s="363" t="s">
        <v>1994</v>
      </c>
      <c r="C134" s="375"/>
      <c r="D134" s="434"/>
      <c r="E134" s="423"/>
      <c r="F134" s="366">
        <v>4.32</v>
      </c>
      <c r="G134" s="367"/>
      <c r="H134" s="368">
        <f t="shared" si="25"/>
        <v>4.32</v>
      </c>
      <c r="I134" s="368"/>
      <c r="J134" s="369">
        <f t="shared" si="26"/>
        <v>4.32</v>
      </c>
      <c r="K134" s="362">
        <f t="shared" si="27"/>
        <v>7776000.0000000009</v>
      </c>
      <c r="L134" s="366" t="str">
        <f>VLOOKUP(B134,'[8]Gui chi Quynh'!$B$11:$E$401,4,FALSE)</f>
        <v>A4</v>
      </c>
      <c r="M134" s="494">
        <f t="shared" si="29"/>
        <v>7776000.0000000009</v>
      </c>
      <c r="N134" s="376">
        <v>19</v>
      </c>
      <c r="O134" s="440">
        <f>IFERROR(INDEX('[9]CN BC'!$J$10:$J$277,MATCH(B134,'[9]CN BC'!$H$10:$H$277,0)),"")</f>
        <v>19</v>
      </c>
      <c r="P134" s="494">
        <f t="shared" si="33"/>
        <v>7776000.0000000009</v>
      </c>
      <c r="Q134" s="460"/>
      <c r="R134" s="362">
        <f t="shared" si="28"/>
        <v>0</v>
      </c>
      <c r="S134" s="370"/>
      <c r="T134" s="362">
        <f t="shared" si="34"/>
        <v>0</v>
      </c>
      <c r="U134" s="584">
        <f t="shared" si="30"/>
        <v>77760</v>
      </c>
      <c r="V134" s="371">
        <f t="shared" si="32"/>
        <v>7776000.0000000009</v>
      </c>
      <c r="W134" s="362">
        <f>VLOOKUP(B134,CN!B145:P396,15,FALSE)</f>
        <v>5440500</v>
      </c>
      <c r="X134" s="653">
        <f t="shared" si="24"/>
        <v>2335500.0000000009</v>
      </c>
      <c r="Y134" s="568">
        <f t="shared" si="31"/>
        <v>123</v>
      </c>
      <c r="Z134" s="493">
        <f>IFERROR(INDEX('[10]CN BC'!$M$10:$M$276,MATCH(B134,'[10]CN BC'!$H$10:$H$276,0)),"")</f>
        <v>0</v>
      </c>
      <c r="AA134" s="522" t="s">
        <v>1146</v>
      </c>
      <c r="AB134" s="108"/>
      <c r="AC134" s="108"/>
      <c r="AD134" s="155"/>
      <c r="AE134" s="108"/>
      <c r="AF134" s="108"/>
      <c r="AG134" s="108"/>
      <c r="AH134" s="108"/>
      <c r="AI134" s="108"/>
      <c r="AJ134" s="108"/>
    </row>
    <row r="135" spans="1:40" s="372" customFormat="1" ht="25.5" customHeight="1">
      <c r="A135" s="379">
        <f>_xlfn.AGGREGATE(4,7,A$11:A134)+1</f>
        <v>124</v>
      </c>
      <c r="B135" s="363" t="s">
        <v>2000</v>
      </c>
      <c r="C135" s="375"/>
      <c r="D135" s="434"/>
      <c r="E135" s="423"/>
      <c r="F135" s="366">
        <v>2.67</v>
      </c>
      <c r="G135" s="367"/>
      <c r="H135" s="368">
        <f t="shared" si="25"/>
        <v>2.67</v>
      </c>
      <c r="I135" s="368"/>
      <c r="J135" s="369">
        <f t="shared" si="26"/>
        <v>2.67</v>
      </c>
      <c r="K135" s="362">
        <f t="shared" si="27"/>
        <v>4806000</v>
      </c>
      <c r="L135" s="366" t="str">
        <f>VLOOKUP(B135,'[8]Gui chi Quynh'!$B$11:$E$401,4,FALSE)</f>
        <v>A4</v>
      </c>
      <c r="M135" s="494">
        <f t="shared" si="29"/>
        <v>4806000</v>
      </c>
      <c r="N135" s="376">
        <v>19</v>
      </c>
      <c r="O135" s="440">
        <f>IFERROR(INDEX('[9]CN BC'!$J$10:$J$277,MATCH(B135,'[9]CN BC'!$H$10:$H$277,0)),"")</f>
        <v>19</v>
      </c>
      <c r="P135" s="494">
        <f t="shared" si="33"/>
        <v>4806000</v>
      </c>
      <c r="Q135" s="460"/>
      <c r="R135" s="362">
        <f>Q135*$G$8*1.2</f>
        <v>0</v>
      </c>
      <c r="S135" s="370"/>
      <c r="T135" s="362">
        <f t="shared" si="34"/>
        <v>0</v>
      </c>
      <c r="U135" s="584">
        <f t="shared" si="30"/>
        <v>48060</v>
      </c>
      <c r="V135" s="371">
        <f t="shared" si="32"/>
        <v>4806000</v>
      </c>
      <c r="W135" s="362">
        <f>VLOOKUP(B135,CN!B146:P397,15,FALSE)</f>
        <v>4212000</v>
      </c>
      <c r="X135" s="653">
        <f t="shared" si="24"/>
        <v>594000</v>
      </c>
      <c r="Y135" s="568">
        <f>A135</f>
        <v>124</v>
      </c>
      <c r="Z135" s="493">
        <f>IFERROR(INDEX('[10]CN BC'!$M$10:$M$276,MATCH(B135,'[10]CN BC'!$H$10:$H$276,0)),"")</f>
        <v>0</v>
      </c>
      <c r="AA135" s="522" t="s">
        <v>1147</v>
      </c>
      <c r="AB135" s="108"/>
      <c r="AC135" s="108"/>
      <c r="AD135" s="487"/>
    </row>
    <row r="136" spans="1:40" s="108" customFormat="1" ht="25.5" customHeight="1">
      <c r="A136" s="379">
        <f>_xlfn.AGGREGATE(4,7,A$11:A135)+1</f>
        <v>125</v>
      </c>
      <c r="B136" s="33" t="s">
        <v>1898</v>
      </c>
      <c r="C136" s="34" t="s">
        <v>1019</v>
      </c>
      <c r="D136" s="406" t="s">
        <v>1781</v>
      </c>
      <c r="E136" s="424" t="s">
        <v>1386</v>
      </c>
      <c r="F136" s="10">
        <v>4.6500000000000004</v>
      </c>
      <c r="G136" s="157"/>
      <c r="H136" s="368">
        <f t="shared" si="25"/>
        <v>4.6500000000000004</v>
      </c>
      <c r="I136" s="368">
        <v>0.45</v>
      </c>
      <c r="J136" s="369">
        <f t="shared" si="26"/>
        <v>5.1000000000000005</v>
      </c>
      <c r="K136" s="362">
        <f t="shared" si="27"/>
        <v>9180000.0000000019</v>
      </c>
      <c r="L136" s="366" t="str">
        <f>VLOOKUP(B136,'[8]Gui chi Quynh'!$B$11:$E$401,4,FALSE)</f>
        <v>A1</v>
      </c>
      <c r="M136" s="494">
        <f t="shared" si="29"/>
        <v>14688000.000000004</v>
      </c>
      <c r="N136" s="376">
        <v>19</v>
      </c>
      <c r="O136" s="440">
        <f>IFERROR(INDEX('[9]CN BC'!$J$10:$J$277,MATCH(B136,'[9]CN BC'!$H$10:$H$277,0)),"")</f>
        <v>19</v>
      </c>
      <c r="P136" s="494">
        <f t="shared" si="33"/>
        <v>14688000.000000004</v>
      </c>
      <c r="Q136" s="392"/>
      <c r="R136" s="362">
        <f>Q136*$G$8*1</f>
        <v>0</v>
      </c>
      <c r="S136" s="385"/>
      <c r="T136" s="362">
        <f t="shared" si="34"/>
        <v>0</v>
      </c>
      <c r="U136" s="584">
        <f t="shared" si="30"/>
        <v>91800</v>
      </c>
      <c r="V136" s="371">
        <f t="shared" si="32"/>
        <v>14688000.000000004</v>
      </c>
      <c r="W136" s="362">
        <f>VLOOKUP(B136,CN!B147:P398,15,FALSE)</f>
        <v>8894340</v>
      </c>
      <c r="X136" s="653">
        <f t="shared" ref="X136:X198" si="35">V136-W136</f>
        <v>5793660.0000000037</v>
      </c>
      <c r="Y136" s="568">
        <f t="shared" si="31"/>
        <v>125</v>
      </c>
      <c r="Z136" s="493">
        <f>IFERROR(INDEX('[10]CN BC'!$M$10:$M$276,MATCH(B136,'[10]CN BC'!$H$10:$H$276,0)),"")</f>
        <v>0</v>
      </c>
      <c r="AA136" s="522" t="s">
        <v>812</v>
      </c>
      <c r="AD136" s="155"/>
    </row>
    <row r="137" spans="1:40" s="372" customFormat="1" ht="27.75" customHeight="1">
      <c r="A137" s="379">
        <f>_xlfn.AGGREGATE(4,7,A$11:A136)+1</f>
        <v>126</v>
      </c>
      <c r="B137" s="363" t="s">
        <v>526</v>
      </c>
      <c r="C137" s="375" t="s">
        <v>1060</v>
      </c>
      <c r="D137" s="406" t="s">
        <v>1646</v>
      </c>
      <c r="E137" s="423" t="s">
        <v>1398</v>
      </c>
      <c r="F137" s="366">
        <v>4.9800000000000004</v>
      </c>
      <c r="G137" s="367">
        <v>0.16</v>
      </c>
      <c r="H137" s="368">
        <f t="shared" si="25"/>
        <v>5.7768000000000006</v>
      </c>
      <c r="I137" s="368">
        <f>0.35</f>
        <v>0.35</v>
      </c>
      <c r="J137" s="369">
        <f t="shared" si="26"/>
        <v>6.1268000000000002</v>
      </c>
      <c r="K137" s="362">
        <f t="shared" si="27"/>
        <v>11028240</v>
      </c>
      <c r="L137" s="366" t="str">
        <f>VLOOKUP(B137,'[8]Gui chi Quynh'!$B$11:$E$401,4,FALSE)</f>
        <v>A1</v>
      </c>
      <c r="M137" s="494">
        <f t="shared" si="29"/>
        <v>17645184</v>
      </c>
      <c r="N137" s="376">
        <v>19</v>
      </c>
      <c r="O137" s="440">
        <f>IFERROR(INDEX('[9]CN BC'!$J$10:$J$277,MATCH(B137,'[9]CN BC'!$H$10:$H$277,0)),"")</f>
        <v>19</v>
      </c>
      <c r="P137" s="494">
        <f t="shared" si="33"/>
        <v>17645184</v>
      </c>
      <c r="Q137" s="392"/>
      <c r="R137" s="362">
        <f>Q137*$G$8*1</f>
        <v>0</v>
      </c>
      <c r="S137" s="385"/>
      <c r="T137" s="362">
        <f t="shared" si="34"/>
        <v>0</v>
      </c>
      <c r="U137" s="584">
        <f>IF(OR(L137="A DN",L137="KXL", L137=""),"0",ROUND(J137*0.01*$G$8+Q137*1%*$G$8+S137*1%*$G$8,))</f>
        <v>110282</v>
      </c>
      <c r="V137" s="371">
        <f t="shared" si="32"/>
        <v>17645184</v>
      </c>
      <c r="W137" s="362">
        <f>VLOOKUP(B137,CN!B148:P399,15,FALSE)</f>
        <v>8672508</v>
      </c>
      <c r="X137" s="653">
        <f t="shared" si="35"/>
        <v>8972676</v>
      </c>
      <c r="Y137" s="568">
        <f t="shared" si="31"/>
        <v>126</v>
      </c>
      <c r="Z137" s="493">
        <f>IFERROR(INDEX('[10]CN BC'!$M$10:$M$276,MATCH(B137,'[10]CN BC'!$H$10:$H$276,0)),"")</f>
        <v>0</v>
      </c>
      <c r="AA137" s="522" t="s">
        <v>813</v>
      </c>
      <c r="AB137" s="108"/>
      <c r="AC137" s="108"/>
      <c r="AD137" s="155"/>
      <c r="AE137" s="108"/>
      <c r="AF137" s="108"/>
      <c r="AG137" s="108"/>
      <c r="AH137" s="108"/>
      <c r="AI137" s="108"/>
      <c r="AJ137" s="108"/>
      <c r="AK137" s="108"/>
      <c r="AL137" s="108"/>
      <c r="AM137" s="108"/>
      <c r="AN137" s="108"/>
    </row>
    <row r="138" spans="1:40" s="108" customFormat="1" ht="24.75" customHeight="1">
      <c r="A138" s="379">
        <f>_xlfn.AGGREGATE(4,7,A$11:A137)+1</f>
        <v>127</v>
      </c>
      <c r="B138" s="33" t="s">
        <v>1899</v>
      </c>
      <c r="C138" s="403" t="s">
        <v>1046</v>
      </c>
      <c r="D138" s="406" t="s">
        <v>1778</v>
      </c>
      <c r="E138" s="433" t="s">
        <v>1381</v>
      </c>
      <c r="F138" s="366">
        <v>4.9800000000000004</v>
      </c>
      <c r="G138" s="367">
        <v>0.06</v>
      </c>
      <c r="H138" s="368">
        <f t="shared" si="25"/>
        <v>5.2788000000000004</v>
      </c>
      <c r="I138" s="368"/>
      <c r="J138" s="369">
        <f t="shared" si="26"/>
        <v>5.2788000000000004</v>
      </c>
      <c r="K138" s="362">
        <f t="shared" si="27"/>
        <v>9501840</v>
      </c>
      <c r="L138" s="366" t="str">
        <f>VLOOKUP(B138,'[8]Gui chi Quynh'!$B$11:$E$401,4,FALSE)</f>
        <v>A2</v>
      </c>
      <c r="M138" s="494">
        <f t="shared" si="29"/>
        <v>13302576</v>
      </c>
      <c r="N138" s="376">
        <v>19</v>
      </c>
      <c r="O138" s="440">
        <f>IFERROR(INDEX('[9]CN BC'!$J$10:$J$277,MATCH(B138,'[9]CN BC'!$H$10:$H$277,0)),"")</f>
        <v>19</v>
      </c>
      <c r="P138" s="494">
        <f t="shared" si="33"/>
        <v>13302576</v>
      </c>
      <c r="Q138" s="392"/>
      <c r="R138" s="362">
        <f t="shared" si="28"/>
        <v>0</v>
      </c>
      <c r="S138" s="404"/>
      <c r="T138" s="362">
        <f t="shared" si="34"/>
        <v>0</v>
      </c>
      <c r="U138" s="584">
        <f t="shared" si="30"/>
        <v>95018</v>
      </c>
      <c r="V138" s="371">
        <f t="shared" si="32"/>
        <v>13302576</v>
      </c>
      <c r="W138" s="362">
        <f>VLOOKUP(B138,CN!B142:P400,15,FALSE)</f>
        <v>7550712</v>
      </c>
      <c r="X138" s="653">
        <f t="shared" si="35"/>
        <v>5751864</v>
      </c>
      <c r="Y138" s="568">
        <f t="shared" si="31"/>
        <v>127</v>
      </c>
      <c r="Z138" s="493">
        <f>IFERROR(INDEX('[10]CN BC'!$M$10:$M$276,MATCH(B138,'[10]CN BC'!$H$10:$H$276,0)),"")</f>
        <v>0</v>
      </c>
      <c r="AA138" s="522" t="s">
        <v>814</v>
      </c>
      <c r="AD138" s="155"/>
    </row>
    <row r="139" spans="1:40" s="372" customFormat="1" ht="28.5" customHeight="1">
      <c r="A139" s="379">
        <f>_xlfn.AGGREGATE(4,7,A$11:A138)+1</f>
        <v>128</v>
      </c>
      <c r="B139" s="363" t="s">
        <v>461</v>
      </c>
      <c r="C139" s="364" t="s">
        <v>1185</v>
      </c>
      <c r="D139" s="434" t="s">
        <v>1779</v>
      </c>
      <c r="E139" s="423" t="s">
        <v>1384</v>
      </c>
      <c r="F139" s="366">
        <v>4.9800000000000004</v>
      </c>
      <c r="G139" s="367">
        <v>0.06</v>
      </c>
      <c r="H139" s="368">
        <f t="shared" si="25"/>
        <v>5.2788000000000004</v>
      </c>
      <c r="I139" s="368"/>
      <c r="J139" s="369">
        <f t="shared" si="26"/>
        <v>5.2788000000000004</v>
      </c>
      <c r="K139" s="362">
        <f t="shared" si="27"/>
        <v>9501840</v>
      </c>
      <c r="L139" s="366" t="str">
        <f>VLOOKUP(B139,'[8]Gui chi Quynh'!$B$11:$E$401,4,FALSE)</f>
        <v>A3</v>
      </c>
      <c r="M139" s="494">
        <f t="shared" si="29"/>
        <v>11402208</v>
      </c>
      <c r="N139" s="376">
        <v>19</v>
      </c>
      <c r="O139" s="440">
        <f>IFERROR(INDEX('[9]CN BC'!$J$10:$J$277,MATCH(B139,'[9]CN BC'!$H$10:$H$277,0)),"")</f>
        <v>19</v>
      </c>
      <c r="P139" s="494">
        <f t="shared" si="33"/>
        <v>11402208</v>
      </c>
      <c r="Q139" s="460"/>
      <c r="R139" s="362">
        <f t="shared" si="28"/>
        <v>0</v>
      </c>
      <c r="S139" s="370"/>
      <c r="T139" s="362">
        <f t="shared" si="34"/>
        <v>0</v>
      </c>
      <c r="U139" s="584">
        <f t="shared" si="30"/>
        <v>95018</v>
      </c>
      <c r="V139" s="371">
        <f t="shared" si="32"/>
        <v>11402208</v>
      </c>
      <c r="W139" s="362">
        <f>VLOOKUP(B139,CN!B149:P401,15,FALSE)</f>
        <v>6234930.0000000009</v>
      </c>
      <c r="X139" s="653">
        <f t="shared" si="35"/>
        <v>5167277.9999999991</v>
      </c>
      <c r="Y139" s="568">
        <f t="shared" si="31"/>
        <v>128</v>
      </c>
      <c r="Z139" s="551">
        <f>IFERROR(INDEX('[10]CN BC'!$M$10:$M$276,MATCH(B139,'[10]CN BC'!$H$10:$H$276,0)),"")</f>
        <v>0</v>
      </c>
      <c r="AA139" s="540" t="s">
        <v>815</v>
      </c>
      <c r="AD139" s="487"/>
    </row>
    <row r="140" spans="1:40" s="108" customFormat="1" ht="25.5" customHeight="1">
      <c r="A140" s="379">
        <f>_xlfn.AGGREGATE(4,7,A$11:A139)+1</f>
        <v>129</v>
      </c>
      <c r="B140" s="33" t="s">
        <v>1900</v>
      </c>
      <c r="C140" s="34" t="s">
        <v>1049</v>
      </c>
      <c r="D140" s="406" t="s">
        <v>1780</v>
      </c>
      <c r="E140" s="424" t="s">
        <v>1385</v>
      </c>
      <c r="F140" s="10">
        <v>4.6500000000000004</v>
      </c>
      <c r="G140" s="157"/>
      <c r="H140" s="368">
        <f t="shared" si="25"/>
        <v>4.6500000000000004</v>
      </c>
      <c r="I140" s="368"/>
      <c r="J140" s="369">
        <f t="shared" si="26"/>
        <v>4.6500000000000004</v>
      </c>
      <c r="K140" s="362">
        <f t="shared" si="27"/>
        <v>8370000.0000000009</v>
      </c>
      <c r="L140" s="366" t="str">
        <f>VLOOKUP(B140,'[8]Gui chi Quynh'!$B$11:$E$401,4,FALSE)</f>
        <v>A3</v>
      </c>
      <c r="M140" s="494">
        <f t="shared" si="29"/>
        <v>10044000</v>
      </c>
      <c r="N140" s="376">
        <v>19</v>
      </c>
      <c r="O140" s="440">
        <f>IFERROR(INDEX('[9]CN BC'!$J$10:$J$277,MATCH(B140,'[9]CN BC'!$H$10:$H$277,0)),"")</f>
        <v>19</v>
      </c>
      <c r="P140" s="494">
        <f t="shared" si="33"/>
        <v>10044000</v>
      </c>
      <c r="Q140" s="392"/>
      <c r="R140" s="362">
        <f t="shared" si="28"/>
        <v>0</v>
      </c>
      <c r="S140" s="385"/>
      <c r="T140" s="362">
        <f t="shared" si="34"/>
        <v>0</v>
      </c>
      <c r="U140" s="584">
        <f t="shared" si="30"/>
        <v>83700</v>
      </c>
      <c r="V140" s="371">
        <f t="shared" si="32"/>
        <v>10044000</v>
      </c>
      <c r="W140" s="362">
        <f>VLOOKUP(B140,CN!B150:P402,15,FALSE)</f>
        <v>5826600.0000000009</v>
      </c>
      <c r="X140" s="653">
        <f t="shared" si="35"/>
        <v>4217399.9999999991</v>
      </c>
      <c r="Y140" s="568">
        <f t="shared" si="31"/>
        <v>129</v>
      </c>
      <c r="Z140" s="493">
        <f>IFERROR(INDEX('[10]CN BC'!$M$10:$M$276,MATCH(B140,'[10]CN BC'!$H$10:$H$276,0)),"")</f>
        <v>0</v>
      </c>
      <c r="AA140" s="522" t="s">
        <v>816</v>
      </c>
      <c r="AD140" s="155"/>
    </row>
    <row r="141" spans="1:40" s="108" customFormat="1" ht="25.5" customHeight="1">
      <c r="A141" s="379">
        <f>_xlfn.AGGREGATE(4,7,A$11:A140)+1</f>
        <v>130</v>
      </c>
      <c r="B141" s="33" t="s">
        <v>1901</v>
      </c>
      <c r="C141" s="34" t="s">
        <v>1051</v>
      </c>
      <c r="D141" s="406" t="s">
        <v>1782</v>
      </c>
      <c r="E141" s="424" t="s">
        <v>1387</v>
      </c>
      <c r="F141" s="10">
        <v>4.32</v>
      </c>
      <c r="G141" s="157"/>
      <c r="H141" s="368">
        <f t="shared" si="25"/>
        <v>4.32</v>
      </c>
      <c r="I141" s="81"/>
      <c r="J141" s="369">
        <f t="shared" si="26"/>
        <v>4.32</v>
      </c>
      <c r="K141" s="362">
        <f t="shared" si="27"/>
        <v>7776000.0000000009</v>
      </c>
      <c r="L141" s="366" t="str">
        <f>VLOOKUP(B141,'[8]Gui chi Quynh'!$B$11:$E$401,4,FALSE)</f>
        <v>A3</v>
      </c>
      <c r="M141" s="494">
        <f t="shared" si="29"/>
        <v>9331200</v>
      </c>
      <c r="N141" s="376">
        <v>19</v>
      </c>
      <c r="O141" s="440">
        <f>IFERROR(INDEX('[9]CN BC'!$J$10:$J$277,MATCH(B141,'[9]CN BC'!$H$10:$H$277,0)),"")</f>
        <v>19</v>
      </c>
      <c r="P141" s="494">
        <f t="shared" si="33"/>
        <v>9331200</v>
      </c>
      <c r="Q141" s="392"/>
      <c r="R141" s="362">
        <f t="shared" si="28"/>
        <v>0</v>
      </c>
      <c r="S141" s="385"/>
      <c r="T141" s="362">
        <f t="shared" si="34"/>
        <v>0</v>
      </c>
      <c r="U141" s="584">
        <f t="shared" si="30"/>
        <v>77760</v>
      </c>
      <c r="V141" s="371">
        <f t="shared" si="32"/>
        <v>9331200</v>
      </c>
      <c r="W141" s="362">
        <f>VLOOKUP(B141,CN!B151:P403,15,FALSE)</f>
        <v>5440500</v>
      </c>
      <c r="X141" s="653">
        <f t="shared" si="35"/>
        <v>3890700</v>
      </c>
      <c r="Y141" s="568">
        <f t="shared" si="31"/>
        <v>130</v>
      </c>
      <c r="Z141" s="493">
        <f>IFERROR(INDEX('[10]CN BC'!$M$10:$M$276,MATCH(B141,'[10]CN BC'!$H$10:$H$276,0)),"")</f>
        <v>0</v>
      </c>
      <c r="AA141" s="522" t="s">
        <v>817</v>
      </c>
      <c r="AD141" s="155"/>
    </row>
    <row r="142" spans="1:40" s="108" customFormat="1" ht="25.5" customHeight="1">
      <c r="A142" s="379">
        <f>_xlfn.AGGREGATE(4,7,A$11:A141)+1</f>
        <v>131</v>
      </c>
      <c r="B142" s="33" t="s">
        <v>1534</v>
      </c>
      <c r="C142" s="34" t="s">
        <v>1053</v>
      </c>
      <c r="D142" s="406" t="s">
        <v>1783</v>
      </c>
      <c r="E142" s="424" t="s">
        <v>1388</v>
      </c>
      <c r="F142" s="10">
        <v>4.32</v>
      </c>
      <c r="G142" s="157"/>
      <c r="H142" s="368">
        <f t="shared" si="25"/>
        <v>4.32</v>
      </c>
      <c r="I142" s="81"/>
      <c r="J142" s="369">
        <f t="shared" si="26"/>
        <v>4.32</v>
      </c>
      <c r="K142" s="362">
        <f t="shared" si="27"/>
        <v>7776000.0000000009</v>
      </c>
      <c r="L142" s="366" t="str">
        <f>VLOOKUP(B142,'[8]Gui chi Quynh'!$B$11:$E$401,4,FALSE)</f>
        <v>A3</v>
      </c>
      <c r="M142" s="494">
        <f t="shared" si="29"/>
        <v>9331200</v>
      </c>
      <c r="N142" s="376">
        <v>19</v>
      </c>
      <c r="O142" s="440">
        <f>IFERROR(INDEX('[9]CN BC'!$J$10:$J$277,MATCH(B142,'[9]CN BC'!$H$10:$H$277,0)),"")</f>
        <v>19</v>
      </c>
      <c r="P142" s="494">
        <f t="shared" si="33"/>
        <v>9331200</v>
      </c>
      <c r="Q142" s="392"/>
      <c r="R142" s="362">
        <f t="shared" si="28"/>
        <v>0</v>
      </c>
      <c r="S142" s="385"/>
      <c r="T142" s="362">
        <f t="shared" si="34"/>
        <v>0</v>
      </c>
      <c r="U142" s="584">
        <f t="shared" si="30"/>
        <v>77760</v>
      </c>
      <c r="V142" s="371">
        <f t="shared" si="32"/>
        <v>9331200</v>
      </c>
      <c r="W142" s="362">
        <f>VLOOKUP(B142,CN!B152:P404,15,FALSE)</f>
        <v>5440500</v>
      </c>
      <c r="X142" s="653">
        <f t="shared" si="35"/>
        <v>3890700</v>
      </c>
      <c r="Y142" s="568">
        <f t="shared" si="31"/>
        <v>131</v>
      </c>
      <c r="Z142" s="493">
        <f>IFERROR(INDEX('[10]CN BC'!$M$10:$M$276,MATCH(B142,'[10]CN BC'!$H$10:$H$276,0)),"")</f>
        <v>0</v>
      </c>
      <c r="AA142" s="522" t="s">
        <v>818</v>
      </c>
      <c r="AD142" s="155"/>
    </row>
    <row r="143" spans="1:40" s="372" customFormat="1" ht="25.5" customHeight="1">
      <c r="A143" s="379">
        <f>_xlfn.AGGREGATE(4,7,A$11:A142)+1</f>
        <v>132</v>
      </c>
      <c r="B143" s="363" t="s">
        <v>1535</v>
      </c>
      <c r="C143" s="364" t="s">
        <v>986</v>
      </c>
      <c r="D143" s="434" t="s">
        <v>1784</v>
      </c>
      <c r="E143" s="422" t="s">
        <v>1595</v>
      </c>
      <c r="F143" s="373">
        <v>3.33</v>
      </c>
      <c r="G143" s="367"/>
      <c r="H143" s="445">
        <f t="shared" si="25"/>
        <v>3.33</v>
      </c>
      <c r="I143" s="368">
        <v>0.25</v>
      </c>
      <c r="J143" s="369">
        <f t="shared" si="26"/>
        <v>3.58</v>
      </c>
      <c r="K143" s="362">
        <f t="shared" si="27"/>
        <v>6444000</v>
      </c>
      <c r="L143" s="366" t="str">
        <f>VLOOKUP(B143,'[8]Gui chi Quynh'!$B$11:$E$401,4,FALSE)</f>
        <v>A3</v>
      </c>
      <c r="M143" s="494">
        <f t="shared" si="29"/>
        <v>7732800</v>
      </c>
      <c r="N143" s="376">
        <v>19</v>
      </c>
      <c r="O143" s="440">
        <f>IFERROR(INDEX('[9]CN BC'!$J$10:$J$277,MATCH(B143,'[9]CN BC'!$H$10:$H$277,0)),"")</f>
        <v>19</v>
      </c>
      <c r="P143" s="494">
        <f t="shared" si="33"/>
        <v>7732800</v>
      </c>
      <c r="Q143" s="460"/>
      <c r="R143" s="362">
        <f t="shared" si="28"/>
        <v>0</v>
      </c>
      <c r="S143" s="370"/>
      <c r="T143" s="362">
        <f t="shared" si="34"/>
        <v>0</v>
      </c>
      <c r="U143" s="584">
        <f t="shared" si="30"/>
        <v>64440</v>
      </c>
      <c r="V143" s="371">
        <f t="shared" si="32"/>
        <v>7732800</v>
      </c>
      <c r="W143" s="362">
        <f>VLOOKUP(B143,CN!B153:P405,15,FALSE)</f>
        <v>7319520</v>
      </c>
      <c r="X143" s="653">
        <f t="shared" si="35"/>
        <v>413280</v>
      </c>
      <c r="Y143" s="568">
        <f t="shared" si="31"/>
        <v>132</v>
      </c>
      <c r="Z143" s="493">
        <f>IFERROR(INDEX('[10]CN BC'!$M$10:$M$276,MATCH(B143,'[10]CN BC'!$H$10:$H$276,0)),"")</f>
        <v>0</v>
      </c>
      <c r="AA143" s="522" t="s">
        <v>819</v>
      </c>
      <c r="AB143" s="108"/>
      <c r="AC143" s="108"/>
      <c r="AD143" s="155"/>
      <c r="AE143" s="108"/>
      <c r="AF143" s="108"/>
      <c r="AG143" s="108"/>
      <c r="AH143" s="108"/>
      <c r="AI143" s="108"/>
      <c r="AJ143" s="108"/>
    </row>
    <row r="144" spans="1:40" s="372" customFormat="1" ht="24.75" customHeight="1">
      <c r="A144" s="379">
        <f>_xlfn.AGGREGATE(4,7,A$11:A143)+1</f>
        <v>133</v>
      </c>
      <c r="B144" s="390" t="s">
        <v>1903</v>
      </c>
      <c r="C144" s="364" t="s">
        <v>1058</v>
      </c>
      <c r="D144" s="434" t="s">
        <v>1786</v>
      </c>
      <c r="E144" s="423" t="s">
        <v>1392</v>
      </c>
      <c r="F144" s="373">
        <v>4.32</v>
      </c>
      <c r="G144" s="367"/>
      <c r="H144" s="368">
        <f t="shared" si="25"/>
        <v>4.32</v>
      </c>
      <c r="I144" s="368"/>
      <c r="J144" s="369">
        <f t="shared" si="26"/>
        <v>4.32</v>
      </c>
      <c r="K144" s="362">
        <f t="shared" si="27"/>
        <v>7776000.0000000009</v>
      </c>
      <c r="L144" s="366" t="str">
        <f>VLOOKUP(B144,'[8]Gui chi Quynh'!$B$11:$E$401,4,FALSE)</f>
        <v>A3</v>
      </c>
      <c r="M144" s="494">
        <f t="shared" si="29"/>
        <v>9331200</v>
      </c>
      <c r="N144" s="376">
        <v>19</v>
      </c>
      <c r="O144" s="440">
        <f>IFERROR(INDEX('[9]CN BC'!$J$10:$J$277,MATCH(B144,'[9]CN BC'!$H$10:$H$277,0)),"")</f>
        <v>19</v>
      </c>
      <c r="P144" s="494">
        <f t="shared" si="33"/>
        <v>9331200</v>
      </c>
      <c r="Q144" s="460"/>
      <c r="R144" s="362">
        <f t="shared" si="28"/>
        <v>0</v>
      </c>
      <c r="S144" s="370"/>
      <c r="T144" s="362">
        <f t="shared" si="34"/>
        <v>0</v>
      </c>
      <c r="U144" s="584">
        <f t="shared" si="30"/>
        <v>77760</v>
      </c>
      <c r="V144" s="371">
        <f t="shared" si="32"/>
        <v>9331200</v>
      </c>
      <c r="W144" s="362">
        <f>VLOOKUP(B144,CN!B154:P406,15,FALSE)</f>
        <v>5440500</v>
      </c>
      <c r="X144" s="653">
        <f t="shared" si="35"/>
        <v>3890700</v>
      </c>
      <c r="Y144" s="568">
        <f t="shared" si="31"/>
        <v>133</v>
      </c>
      <c r="Z144" s="493">
        <f>IFERROR(INDEX('[10]CN BC'!$M$10:$M$276,MATCH(B144,'[10]CN BC'!$H$10:$H$276,0)),"")</f>
        <v>0</v>
      </c>
      <c r="AA144" s="522" t="s">
        <v>1119</v>
      </c>
      <c r="AB144" s="471"/>
      <c r="AC144" s="108"/>
      <c r="AD144" s="155"/>
      <c r="AE144" s="108"/>
      <c r="AF144" s="108"/>
      <c r="AG144" s="108"/>
      <c r="AH144" s="108"/>
      <c r="AI144" s="108"/>
      <c r="AJ144" s="108"/>
    </row>
    <row r="145" spans="1:40" s="372" customFormat="1" ht="24.75" customHeight="1">
      <c r="A145" s="379">
        <f>_xlfn.AGGREGATE(4,7,A$11:A144)+1</f>
        <v>134</v>
      </c>
      <c r="B145" s="363" t="s">
        <v>1904</v>
      </c>
      <c r="C145" s="364" t="s">
        <v>885</v>
      </c>
      <c r="D145" s="406" t="s">
        <v>1787</v>
      </c>
      <c r="E145" s="423" t="s">
        <v>1396</v>
      </c>
      <c r="F145" s="366">
        <v>4.6500000000000004</v>
      </c>
      <c r="G145" s="367"/>
      <c r="H145" s="368">
        <f t="shared" si="25"/>
        <v>4.6500000000000004</v>
      </c>
      <c r="I145" s="368"/>
      <c r="J145" s="369">
        <f t="shared" si="26"/>
        <v>4.6500000000000004</v>
      </c>
      <c r="K145" s="362">
        <f t="shared" si="27"/>
        <v>8370000.0000000009</v>
      </c>
      <c r="L145" s="366" t="str">
        <f>VLOOKUP(B145,'[8]Gui chi Quynh'!$B$11:$E$401,4,FALSE)</f>
        <v>A4</v>
      </c>
      <c r="M145" s="494">
        <f t="shared" si="29"/>
        <v>8370000.0000000009</v>
      </c>
      <c r="N145" s="376">
        <v>19</v>
      </c>
      <c r="O145" s="440">
        <f>IFERROR(INDEX('[9]CN BC'!$J$10:$J$277,MATCH(B145,'[9]CN BC'!$H$10:$H$277,0)),"")</f>
        <v>19</v>
      </c>
      <c r="P145" s="494">
        <f t="shared" si="33"/>
        <v>8370000.0000000009</v>
      </c>
      <c r="Q145" s="392"/>
      <c r="R145" s="362">
        <f t="shared" si="28"/>
        <v>0</v>
      </c>
      <c r="S145" s="385"/>
      <c r="T145" s="362">
        <f t="shared" si="34"/>
        <v>0</v>
      </c>
      <c r="U145" s="584">
        <f t="shared" si="30"/>
        <v>83700</v>
      </c>
      <c r="V145" s="371">
        <f t="shared" si="32"/>
        <v>8370000.0000000009</v>
      </c>
      <c r="W145" s="362">
        <f>VLOOKUP(B145,CN!B155:P407,15,FALSE)</f>
        <v>5826600.0000000009</v>
      </c>
      <c r="X145" s="653">
        <f t="shared" si="35"/>
        <v>2543400</v>
      </c>
      <c r="Y145" s="568">
        <f t="shared" si="31"/>
        <v>134</v>
      </c>
      <c r="Z145" s="493">
        <f>IFERROR(INDEX('[10]CN BC'!$M$10:$M$276,MATCH(B145,'[10]CN BC'!$H$10:$H$276,0)),"")</f>
        <v>0</v>
      </c>
      <c r="AA145" s="522" t="s">
        <v>1120</v>
      </c>
      <c r="AB145" s="108"/>
      <c r="AC145" s="108"/>
      <c r="AD145" s="155"/>
      <c r="AE145" s="108"/>
      <c r="AF145" s="108"/>
      <c r="AG145" s="108"/>
      <c r="AH145" s="108"/>
      <c r="AI145" s="108"/>
      <c r="AJ145" s="108"/>
      <c r="AK145" s="108"/>
      <c r="AL145" s="108"/>
      <c r="AM145" s="108"/>
      <c r="AN145" s="108"/>
    </row>
    <row r="146" spans="1:40" s="372" customFormat="1" ht="24.75" customHeight="1">
      <c r="A146" s="379">
        <f>_xlfn.AGGREGATE(4,7,A$11:A145)+1</f>
        <v>135</v>
      </c>
      <c r="B146" s="363" t="s">
        <v>1536</v>
      </c>
      <c r="C146" s="364" t="s">
        <v>947</v>
      </c>
      <c r="D146" s="434" t="s">
        <v>1788</v>
      </c>
      <c r="E146" s="423" t="s">
        <v>389</v>
      </c>
      <c r="F146" s="373">
        <v>3.66</v>
      </c>
      <c r="G146" s="367"/>
      <c r="H146" s="368">
        <f t="shared" si="25"/>
        <v>3.66</v>
      </c>
      <c r="I146" s="368"/>
      <c r="J146" s="369">
        <f t="shared" si="26"/>
        <v>3.66</v>
      </c>
      <c r="K146" s="362">
        <f t="shared" si="27"/>
        <v>6588000</v>
      </c>
      <c r="L146" s="366" t="str">
        <f>VLOOKUP(B146,'[8]Gui chi Quynh'!$B$11:$E$401,4,FALSE)</f>
        <v>A3</v>
      </c>
      <c r="M146" s="494">
        <f t="shared" si="29"/>
        <v>7905600</v>
      </c>
      <c r="N146" s="376">
        <v>19</v>
      </c>
      <c r="O146" s="440">
        <f>IFERROR(INDEX('[9]CN BC'!$J$10:$J$277,MATCH(B146,'[9]CN BC'!$H$10:$H$277,0)),"")</f>
        <v>19</v>
      </c>
      <c r="P146" s="494">
        <f t="shared" si="33"/>
        <v>7905600</v>
      </c>
      <c r="Q146" s="460"/>
      <c r="R146" s="362">
        <f t="shared" si="28"/>
        <v>0</v>
      </c>
      <c r="S146" s="370"/>
      <c r="T146" s="362">
        <f t="shared" si="34"/>
        <v>0</v>
      </c>
      <c r="U146" s="584">
        <f t="shared" si="30"/>
        <v>65880</v>
      </c>
      <c r="V146" s="371">
        <f t="shared" si="32"/>
        <v>7905600</v>
      </c>
      <c r="W146" s="362">
        <f>VLOOKUP(B146,CN!B130:P408,15,FALSE)</f>
        <v>4668300</v>
      </c>
      <c r="X146" s="653">
        <f t="shared" si="35"/>
        <v>3237300</v>
      </c>
      <c r="Y146" s="568">
        <f t="shared" si="31"/>
        <v>135</v>
      </c>
      <c r="Z146" s="493">
        <f>IFERROR(INDEX('[10]CN BC'!$M$10:$M$276,MATCH(B146,'[10]CN BC'!$H$10:$H$276,0)),"")</f>
        <v>0</v>
      </c>
      <c r="AA146" s="522" t="s">
        <v>1121</v>
      </c>
      <c r="AB146" s="108"/>
      <c r="AC146" s="108"/>
      <c r="AD146" s="155"/>
      <c r="AE146" s="108"/>
      <c r="AF146" s="108"/>
      <c r="AG146" s="108"/>
      <c r="AH146" s="108"/>
      <c r="AI146" s="108"/>
      <c r="AJ146" s="108"/>
    </row>
    <row r="147" spans="1:40" s="372" customFormat="1" ht="24.75" customHeight="1">
      <c r="A147" s="379">
        <f>_xlfn.AGGREGATE(4,7,A$11:A146)+1</f>
        <v>136</v>
      </c>
      <c r="B147" s="363" t="s">
        <v>1537</v>
      </c>
      <c r="C147" s="364" t="s">
        <v>1199</v>
      </c>
      <c r="D147" s="406" t="s">
        <v>1789</v>
      </c>
      <c r="E147" s="423" t="s">
        <v>1334</v>
      </c>
      <c r="F147" s="373">
        <v>3.99</v>
      </c>
      <c r="G147" s="367"/>
      <c r="H147" s="368">
        <f t="shared" si="25"/>
        <v>3.99</v>
      </c>
      <c r="I147" s="368"/>
      <c r="J147" s="369">
        <f t="shared" si="26"/>
        <v>3.99</v>
      </c>
      <c r="K147" s="362">
        <f t="shared" si="27"/>
        <v>7182000</v>
      </c>
      <c r="L147" s="366" t="str">
        <f>VLOOKUP(B147,'[8]Gui chi Quynh'!$B$11:$E$401,4,FALSE)</f>
        <v>A3</v>
      </c>
      <c r="M147" s="494">
        <f t="shared" si="29"/>
        <v>8618400</v>
      </c>
      <c r="N147" s="376">
        <v>19</v>
      </c>
      <c r="O147" s="440">
        <f>IFERROR(INDEX('[9]CN BC'!$J$10:$J$277,MATCH(B147,'[9]CN BC'!$H$10:$H$277,0)),"")</f>
        <v>19</v>
      </c>
      <c r="P147" s="494">
        <f t="shared" si="33"/>
        <v>8618400</v>
      </c>
      <c r="Q147" s="392"/>
      <c r="R147" s="362">
        <f t="shared" si="28"/>
        <v>0</v>
      </c>
      <c r="S147" s="370"/>
      <c r="T147" s="362">
        <f t="shared" si="34"/>
        <v>0</v>
      </c>
      <c r="U147" s="584">
        <f t="shared" si="30"/>
        <v>71820</v>
      </c>
      <c r="V147" s="371">
        <f t="shared" si="32"/>
        <v>8618400</v>
      </c>
      <c r="W147" s="362">
        <f>VLOOKUP(B147,CN!B108:P409,15,FALSE)</f>
        <v>6065280</v>
      </c>
      <c r="X147" s="653">
        <f t="shared" si="35"/>
        <v>2553120</v>
      </c>
      <c r="Y147" s="568">
        <f t="shared" si="31"/>
        <v>136</v>
      </c>
      <c r="Z147" s="493">
        <f>IFERROR(INDEX('[10]CN BC'!$M$10:$M$276,MATCH(B147,'[10]CN BC'!$H$10:$H$276,0)),"")</f>
        <v>0</v>
      </c>
      <c r="AA147" s="522" t="s">
        <v>1122</v>
      </c>
      <c r="AB147" s="108"/>
      <c r="AC147" s="108"/>
      <c r="AD147" s="155"/>
      <c r="AE147" s="108"/>
      <c r="AF147" s="108"/>
      <c r="AG147" s="108"/>
      <c r="AH147" s="108"/>
      <c r="AI147" s="108"/>
      <c r="AJ147" s="108"/>
      <c r="AK147" s="108"/>
      <c r="AL147" s="108"/>
      <c r="AM147" s="108"/>
      <c r="AN147" s="108"/>
    </row>
    <row r="148" spans="1:40" s="372" customFormat="1" ht="24.75" customHeight="1">
      <c r="A148" s="379">
        <f>_xlfn.AGGREGATE(4,7,A$11:A147)+1</f>
        <v>137</v>
      </c>
      <c r="B148" s="363" t="s">
        <v>1905</v>
      </c>
      <c r="C148" s="364" t="s">
        <v>1207</v>
      </c>
      <c r="D148" s="406" t="s">
        <v>1790</v>
      </c>
      <c r="E148" s="428" t="s">
        <v>463</v>
      </c>
      <c r="F148" s="373">
        <v>3.66</v>
      </c>
      <c r="G148" s="367"/>
      <c r="H148" s="445">
        <f t="shared" si="25"/>
        <v>3.66</v>
      </c>
      <c r="I148" s="368"/>
      <c r="J148" s="369">
        <f t="shared" si="26"/>
        <v>3.66</v>
      </c>
      <c r="K148" s="362">
        <f t="shared" si="27"/>
        <v>6588000</v>
      </c>
      <c r="L148" s="366" t="str">
        <f>VLOOKUP(B148,'[8]Gui chi Quynh'!$B$11:$E$401,4,FALSE)</f>
        <v>A2</v>
      </c>
      <c r="M148" s="494">
        <f t="shared" si="29"/>
        <v>9223200</v>
      </c>
      <c r="N148" s="376">
        <v>19</v>
      </c>
      <c r="O148" s="440">
        <f>IFERROR(INDEX('[9]CN BC'!$J$10:$J$277,MATCH(B148,'[9]CN BC'!$H$10:$H$277,0)),"")</f>
        <v>19</v>
      </c>
      <c r="P148" s="494">
        <f t="shared" si="33"/>
        <v>9223200</v>
      </c>
      <c r="Q148" s="392"/>
      <c r="R148" s="362">
        <f t="shared" si="28"/>
        <v>0</v>
      </c>
      <c r="S148" s="385"/>
      <c r="T148" s="362">
        <f t="shared" si="34"/>
        <v>0</v>
      </c>
      <c r="U148" s="584">
        <f t="shared" si="30"/>
        <v>65880</v>
      </c>
      <c r="V148" s="371">
        <f t="shared" si="32"/>
        <v>9223200</v>
      </c>
      <c r="W148" s="362">
        <f>VLOOKUP(B148,CN!B131:P410,15,FALSE)</f>
        <v>5995080</v>
      </c>
      <c r="X148" s="653">
        <f t="shared" si="35"/>
        <v>3228120</v>
      </c>
      <c r="Y148" s="568">
        <f t="shared" si="31"/>
        <v>137</v>
      </c>
      <c r="Z148" s="493">
        <f>IFERROR(INDEX('[10]CN BC'!$M$10:$M$276,MATCH(B148,'[10]CN BC'!$H$10:$H$276,0)),"")</f>
        <v>0</v>
      </c>
      <c r="AA148" s="522" t="s">
        <v>1123</v>
      </c>
      <c r="AB148" s="108"/>
      <c r="AC148" s="108"/>
      <c r="AD148" s="155"/>
      <c r="AE148" s="108"/>
      <c r="AF148" s="108"/>
      <c r="AG148" s="108"/>
      <c r="AH148" s="108"/>
      <c r="AI148" s="108"/>
      <c r="AJ148" s="108"/>
      <c r="AK148" s="108"/>
      <c r="AL148" s="108"/>
      <c r="AM148" s="108"/>
      <c r="AN148" s="108"/>
    </row>
    <row r="149" spans="1:40" s="372" customFormat="1" ht="34.5" customHeight="1">
      <c r="A149" s="379">
        <f>_xlfn.AGGREGATE(4,7,A$11:A148)+1</f>
        <v>138</v>
      </c>
      <c r="B149" s="363" t="s">
        <v>1538</v>
      </c>
      <c r="C149" s="364" t="s">
        <v>1019</v>
      </c>
      <c r="D149" s="406" t="s">
        <v>1791</v>
      </c>
      <c r="E149" s="428" t="s">
        <v>510</v>
      </c>
      <c r="F149" s="373">
        <v>3.66</v>
      </c>
      <c r="G149" s="367"/>
      <c r="H149" s="368">
        <f t="shared" si="25"/>
        <v>3.66</v>
      </c>
      <c r="I149" s="368"/>
      <c r="J149" s="369">
        <f t="shared" si="26"/>
        <v>3.66</v>
      </c>
      <c r="K149" s="362">
        <f t="shared" si="27"/>
        <v>6588000</v>
      </c>
      <c r="L149" s="366" t="str">
        <f>VLOOKUP(B149,'[8]Gui chi Quynh'!$B$11:$E$401,4,FALSE)</f>
        <v>A1</v>
      </c>
      <c r="M149" s="494">
        <f t="shared" si="29"/>
        <v>10540800</v>
      </c>
      <c r="N149" s="376">
        <v>19</v>
      </c>
      <c r="O149" s="440">
        <f>IFERROR(INDEX('[9]CN BC'!$J$10:$J$277,MATCH(B149,'[9]CN BC'!$H$10:$H$277,0)),"")</f>
        <v>19</v>
      </c>
      <c r="P149" s="494">
        <f t="shared" si="33"/>
        <v>10540800</v>
      </c>
      <c r="Q149" s="392"/>
      <c r="R149" s="362">
        <f t="shared" si="28"/>
        <v>0</v>
      </c>
      <c r="S149" s="385"/>
      <c r="T149" s="362">
        <f t="shared" si="34"/>
        <v>0</v>
      </c>
      <c r="U149" s="584">
        <f t="shared" si="30"/>
        <v>65880</v>
      </c>
      <c r="V149" s="371">
        <f t="shared" si="32"/>
        <v>10540800</v>
      </c>
      <c r="W149" s="362">
        <f>VLOOKUP(B149,CN!B96:P411,15,FALSE)</f>
        <v>5601960</v>
      </c>
      <c r="X149" s="653">
        <f t="shared" si="35"/>
        <v>4938840</v>
      </c>
      <c r="Y149" s="568">
        <f t="shared" si="31"/>
        <v>138</v>
      </c>
      <c r="Z149" s="493">
        <f>IFERROR(INDEX('[10]CN BC'!$M$10:$M$276,MATCH(B149,'[10]CN BC'!$H$10:$H$276,0)),"")</f>
        <v>0</v>
      </c>
      <c r="AA149" s="522" t="s">
        <v>1124</v>
      </c>
      <c r="AB149" s="108"/>
      <c r="AC149" s="108"/>
      <c r="AD149" s="155"/>
      <c r="AE149" s="108"/>
      <c r="AF149" s="108"/>
      <c r="AG149" s="108"/>
      <c r="AH149" s="108"/>
      <c r="AI149" s="108"/>
      <c r="AJ149" s="108"/>
      <c r="AK149" s="108"/>
      <c r="AL149" s="108"/>
      <c r="AM149" s="108"/>
      <c r="AN149" s="108"/>
    </row>
    <row r="150" spans="1:40" s="372" customFormat="1" ht="25.5" customHeight="1">
      <c r="A150" s="379">
        <f>_xlfn.AGGREGATE(4,7,A$11:A149)+1</f>
        <v>139</v>
      </c>
      <c r="B150" s="363" t="s">
        <v>1907</v>
      </c>
      <c r="C150" s="364" t="s">
        <v>878</v>
      </c>
      <c r="D150" s="434" t="s">
        <v>1793</v>
      </c>
      <c r="E150" s="423" t="s">
        <v>1400</v>
      </c>
      <c r="F150" s="366">
        <v>4.9800000000000004</v>
      </c>
      <c r="G150" s="367">
        <v>0.11</v>
      </c>
      <c r="H150" s="368">
        <f t="shared" si="25"/>
        <v>5.5278000000000009</v>
      </c>
      <c r="I150" s="368"/>
      <c r="J150" s="369">
        <f t="shared" si="26"/>
        <v>5.5278000000000009</v>
      </c>
      <c r="K150" s="362">
        <f t="shared" si="27"/>
        <v>9950040.0000000019</v>
      </c>
      <c r="L150" s="366" t="str">
        <f>VLOOKUP(B150,'[8]Gui chi Quynh'!$B$11:$E$401,4,FALSE)</f>
        <v>A4</v>
      </c>
      <c r="M150" s="494">
        <f t="shared" si="29"/>
        <v>9950040.0000000019</v>
      </c>
      <c r="N150" s="376">
        <v>19</v>
      </c>
      <c r="O150" s="440">
        <f>IFERROR(INDEX('[9]CN BC'!$J$10:$J$277,MATCH(B150,'[9]CN BC'!$H$10:$H$277,0)),"")</f>
        <v>19</v>
      </c>
      <c r="P150" s="494">
        <f t="shared" si="33"/>
        <v>9950040.0000000019</v>
      </c>
      <c r="Q150" s="460"/>
      <c r="R150" s="362">
        <f t="shared" si="28"/>
        <v>0</v>
      </c>
      <c r="S150" s="370"/>
      <c r="T150" s="362">
        <f t="shared" si="34"/>
        <v>0</v>
      </c>
      <c r="U150" s="584">
        <f t="shared" si="30"/>
        <v>99500</v>
      </c>
      <c r="V150" s="371">
        <f t="shared" si="32"/>
        <v>9950040.0000000019</v>
      </c>
      <c r="W150" s="362">
        <f>VLOOKUP(B150,CN!B133:P413,15,FALSE)</f>
        <v>4608513</v>
      </c>
      <c r="X150" s="653">
        <f t="shared" si="35"/>
        <v>5341527.0000000019</v>
      </c>
      <c r="Y150" s="568">
        <f t="shared" si="31"/>
        <v>139</v>
      </c>
      <c r="Z150" s="493">
        <f>IFERROR(INDEX('[10]CN BC'!$M$10:$M$276,MATCH(B150,'[10]CN BC'!$H$10:$H$276,0)),"")</f>
        <v>0</v>
      </c>
      <c r="AA150" s="522" t="s">
        <v>1126</v>
      </c>
      <c r="AB150" s="108"/>
      <c r="AC150" s="108"/>
      <c r="AD150" s="155"/>
    </row>
    <row r="151" spans="1:40" s="372" customFormat="1" ht="25.5" customHeight="1">
      <c r="A151" s="379">
        <f>_xlfn.AGGREGATE(4,7,A$11:A150)+1</f>
        <v>140</v>
      </c>
      <c r="B151" s="363" t="s">
        <v>1908</v>
      </c>
      <c r="C151" s="364" t="s">
        <v>1064</v>
      </c>
      <c r="D151" s="434" t="s">
        <v>1794</v>
      </c>
      <c r="E151" s="423" t="s">
        <v>1401</v>
      </c>
      <c r="F151" s="366">
        <v>4.9800000000000004</v>
      </c>
      <c r="G151" s="367">
        <v>0.08</v>
      </c>
      <c r="H151" s="368">
        <f t="shared" si="25"/>
        <v>5.3784000000000001</v>
      </c>
      <c r="I151" s="368"/>
      <c r="J151" s="369">
        <f t="shared" si="26"/>
        <v>5.3784000000000001</v>
      </c>
      <c r="K151" s="362">
        <f t="shared" si="27"/>
        <v>9681120</v>
      </c>
      <c r="L151" s="366" t="str">
        <f>VLOOKUP(B151,'[8]Gui chi Quynh'!$B$11:$E$401,4,FALSE)</f>
        <v>A3</v>
      </c>
      <c r="M151" s="494">
        <f t="shared" si="29"/>
        <v>11617344</v>
      </c>
      <c r="N151" s="376">
        <v>19</v>
      </c>
      <c r="O151" s="440">
        <f>IFERROR(INDEX('[9]CN BC'!$J$10:$J$277,MATCH(B151,'[9]CN BC'!$H$10:$H$277,0)),"")</f>
        <v>19</v>
      </c>
      <c r="P151" s="494">
        <f t="shared" si="33"/>
        <v>11617344</v>
      </c>
      <c r="Q151" s="460"/>
      <c r="R151" s="362">
        <f t="shared" si="28"/>
        <v>0</v>
      </c>
      <c r="S151" s="370"/>
      <c r="T151" s="362">
        <f t="shared" si="34"/>
        <v>0</v>
      </c>
      <c r="U151" s="584">
        <f t="shared" si="30"/>
        <v>96811</v>
      </c>
      <c r="V151" s="371">
        <f t="shared" si="32"/>
        <v>11617344</v>
      </c>
      <c r="W151" s="362">
        <f>VLOOKUP(B151,CN!B134:P414,15,FALSE)</f>
        <v>7691112.0000000009</v>
      </c>
      <c r="X151" s="653">
        <f t="shared" si="35"/>
        <v>3926231.9999999991</v>
      </c>
      <c r="Y151" s="568">
        <f t="shared" si="31"/>
        <v>140</v>
      </c>
      <c r="Z151" s="493">
        <f>IFERROR(INDEX('[10]CN BC'!$M$10:$M$276,MATCH(B151,'[10]CN BC'!$H$10:$H$276,0)),"")</f>
        <v>0</v>
      </c>
      <c r="AA151" s="522" t="s">
        <v>1127</v>
      </c>
      <c r="AB151" s="108"/>
      <c r="AC151" s="108"/>
      <c r="AD151" s="155"/>
      <c r="AE151" s="108"/>
      <c r="AF151" s="108"/>
      <c r="AG151" s="108"/>
      <c r="AH151" s="108"/>
      <c r="AI151" s="108"/>
      <c r="AJ151" s="108"/>
    </row>
    <row r="152" spans="1:40" s="108" customFormat="1" ht="24" customHeight="1">
      <c r="A152" s="379">
        <f>_xlfn.AGGREGATE(4,7,A$11:A151)+1</f>
        <v>141</v>
      </c>
      <c r="B152" s="33" t="s">
        <v>1909</v>
      </c>
      <c r="C152" s="409" t="s">
        <v>1069</v>
      </c>
      <c r="D152" s="407" t="s">
        <v>1795</v>
      </c>
      <c r="E152" s="425" t="s">
        <v>1404</v>
      </c>
      <c r="F152" s="366">
        <v>4.32</v>
      </c>
      <c r="G152" s="468"/>
      <c r="H152" s="368">
        <f t="shared" si="25"/>
        <v>4.32</v>
      </c>
      <c r="I152" s="368"/>
      <c r="J152" s="369">
        <f t="shared" si="26"/>
        <v>4.32</v>
      </c>
      <c r="K152" s="362">
        <f t="shared" si="27"/>
        <v>7776000.0000000009</v>
      </c>
      <c r="L152" s="366" t="str">
        <f>VLOOKUP(B152,'[8]Gui chi Quynh'!$B$11:$E$401,4,FALSE)</f>
        <v>A4</v>
      </c>
      <c r="M152" s="494">
        <f t="shared" si="29"/>
        <v>7776000.0000000009</v>
      </c>
      <c r="N152" s="376">
        <v>19</v>
      </c>
      <c r="O152" s="440">
        <f>IFERROR(INDEX('[9]CN BC'!$J$10:$J$277,MATCH(B152,'[9]CN BC'!$H$10:$H$277,0)),"")</f>
        <v>19</v>
      </c>
      <c r="P152" s="494">
        <f t="shared" si="33"/>
        <v>7776000.0000000009</v>
      </c>
      <c r="Q152" s="392"/>
      <c r="R152" s="362">
        <f t="shared" si="28"/>
        <v>0</v>
      </c>
      <c r="S152" s="408"/>
      <c r="T152" s="362">
        <f t="shared" si="34"/>
        <v>0</v>
      </c>
      <c r="U152" s="584">
        <f t="shared" si="30"/>
        <v>77760</v>
      </c>
      <c r="V152" s="371">
        <f t="shared" si="32"/>
        <v>7776000.0000000009</v>
      </c>
      <c r="W152" s="362">
        <f>VLOOKUP(B152,CN!B135:P415,15,FALSE)</f>
        <v>5440500</v>
      </c>
      <c r="X152" s="653">
        <f t="shared" si="35"/>
        <v>2335500.0000000009</v>
      </c>
      <c r="Y152" s="568">
        <f t="shared" si="31"/>
        <v>141</v>
      </c>
      <c r="Z152" s="493">
        <f>IFERROR(INDEX('[10]CN BC'!$M$10:$M$276,MATCH(B152,'[10]CN BC'!$H$10:$H$276,0)),"")</f>
        <v>0</v>
      </c>
      <c r="AA152" s="522" t="s">
        <v>1131</v>
      </c>
      <c r="AD152" s="155"/>
    </row>
    <row r="153" spans="1:40" s="108" customFormat="1" ht="21.75" customHeight="1">
      <c r="A153" s="379">
        <f>_xlfn.AGGREGATE(4,7,A$11:A152)+1</f>
        <v>142</v>
      </c>
      <c r="B153" s="33" t="s">
        <v>1539</v>
      </c>
      <c r="C153" s="34" t="s">
        <v>910</v>
      </c>
      <c r="D153" s="406" t="s">
        <v>1796</v>
      </c>
      <c r="E153" s="424" t="s">
        <v>1405</v>
      </c>
      <c r="F153" s="10">
        <v>4.32</v>
      </c>
      <c r="G153" s="157"/>
      <c r="H153" s="368">
        <f t="shared" si="25"/>
        <v>4.32</v>
      </c>
      <c r="I153" s="368"/>
      <c r="J153" s="369">
        <f t="shared" si="26"/>
        <v>4.32</v>
      </c>
      <c r="K153" s="362">
        <f t="shared" si="27"/>
        <v>7776000.0000000009</v>
      </c>
      <c r="L153" s="366" t="str">
        <f>VLOOKUP(B153,'[8]Gui chi Quynh'!$B$11:$E$401,4,FALSE)</f>
        <v>A3</v>
      </c>
      <c r="M153" s="494">
        <f t="shared" si="29"/>
        <v>9331200</v>
      </c>
      <c r="N153" s="376">
        <v>19</v>
      </c>
      <c r="O153" s="440">
        <f>IFERROR(INDEX('[9]CN BC'!$J$10:$J$277,MATCH(B153,'[9]CN BC'!$H$10:$H$277,0)),"")</f>
        <v>19</v>
      </c>
      <c r="P153" s="494">
        <f t="shared" si="33"/>
        <v>9331200</v>
      </c>
      <c r="Q153" s="392"/>
      <c r="R153" s="362">
        <f t="shared" si="28"/>
        <v>0</v>
      </c>
      <c r="S153" s="385"/>
      <c r="T153" s="362">
        <f t="shared" si="34"/>
        <v>0</v>
      </c>
      <c r="U153" s="584">
        <f t="shared" si="30"/>
        <v>77760</v>
      </c>
      <c r="V153" s="371">
        <f t="shared" si="32"/>
        <v>9331200</v>
      </c>
      <c r="W153" s="362">
        <f>VLOOKUP(B153,CN!B136:P416,15,FALSE)</f>
        <v>6528600</v>
      </c>
      <c r="X153" s="653">
        <f t="shared" si="35"/>
        <v>2802600</v>
      </c>
      <c r="Y153" s="568">
        <f t="shared" si="31"/>
        <v>142</v>
      </c>
      <c r="Z153" s="493">
        <f>IFERROR(INDEX('[10]CN BC'!$M$10:$M$276,MATCH(B153,'[10]CN BC'!$H$10:$H$276,0)),"")</f>
        <v>0</v>
      </c>
      <c r="AA153" s="522" t="s">
        <v>1132</v>
      </c>
      <c r="AD153" s="155"/>
    </row>
    <row r="154" spans="1:40" s="372" customFormat="1" ht="24" customHeight="1">
      <c r="A154" s="379">
        <f>_xlfn.AGGREGATE(4,7,A$11:A153)+1</f>
        <v>143</v>
      </c>
      <c r="B154" s="363" t="s">
        <v>1910</v>
      </c>
      <c r="C154" s="364" t="s">
        <v>1072</v>
      </c>
      <c r="D154" s="406" t="s">
        <v>1797</v>
      </c>
      <c r="E154" s="423" t="s">
        <v>1406</v>
      </c>
      <c r="F154" s="366">
        <v>4.6500000000000004</v>
      </c>
      <c r="G154" s="367"/>
      <c r="H154" s="368">
        <f t="shared" si="25"/>
        <v>4.6500000000000004</v>
      </c>
      <c r="I154" s="368"/>
      <c r="J154" s="369">
        <f t="shared" si="26"/>
        <v>4.6500000000000004</v>
      </c>
      <c r="K154" s="362">
        <f t="shared" si="27"/>
        <v>8370000.0000000009</v>
      </c>
      <c r="L154" s="366" t="str">
        <f>VLOOKUP(B154,'[8]Gui chi Quynh'!$B$11:$E$401,4,FALSE)</f>
        <v>A3</v>
      </c>
      <c r="M154" s="494">
        <f t="shared" si="29"/>
        <v>10044000</v>
      </c>
      <c r="N154" s="376">
        <v>19</v>
      </c>
      <c r="O154" s="440">
        <f>IFERROR(INDEX('[9]CN BC'!$J$10:$J$277,MATCH(B154,'[9]CN BC'!$H$10:$H$277,0)),"")</f>
        <v>19</v>
      </c>
      <c r="P154" s="494">
        <f t="shared" si="33"/>
        <v>10044000</v>
      </c>
      <c r="Q154" s="392"/>
      <c r="R154" s="362">
        <f t="shared" si="28"/>
        <v>0</v>
      </c>
      <c r="S154" s="385"/>
      <c r="T154" s="362">
        <f t="shared" si="34"/>
        <v>0</v>
      </c>
      <c r="U154" s="584">
        <f t="shared" si="30"/>
        <v>83700</v>
      </c>
      <c r="V154" s="371">
        <f t="shared" si="32"/>
        <v>10044000</v>
      </c>
      <c r="W154" s="362">
        <f>VLOOKUP(B154,CN!B137:P417,15,FALSE)</f>
        <v>6528600</v>
      </c>
      <c r="X154" s="653">
        <f t="shared" si="35"/>
        <v>3515400</v>
      </c>
      <c r="Y154" s="568">
        <f t="shared" si="31"/>
        <v>143</v>
      </c>
      <c r="Z154" s="493">
        <f>IFERROR(INDEX('[10]CN BC'!$M$10:$M$276,MATCH(B154,'[10]CN BC'!$H$10:$H$276,0)),"")</f>
        <v>0</v>
      </c>
      <c r="AA154" s="522" t="s">
        <v>1133</v>
      </c>
      <c r="AB154" s="108"/>
      <c r="AC154" s="108"/>
      <c r="AD154" s="155"/>
      <c r="AE154" s="108"/>
      <c r="AF154" s="108"/>
      <c r="AG154" s="108"/>
      <c r="AH154" s="108"/>
      <c r="AI154" s="108"/>
      <c r="AJ154" s="108"/>
      <c r="AK154" s="108"/>
      <c r="AL154" s="108"/>
      <c r="AM154" s="108"/>
      <c r="AN154" s="108"/>
    </row>
    <row r="155" spans="1:40" s="372" customFormat="1" ht="24.75" customHeight="1">
      <c r="A155" s="379">
        <f>_xlfn.AGGREGATE(4,7,A$11:A154)+1</f>
        <v>144</v>
      </c>
      <c r="B155" s="363" t="s">
        <v>1911</v>
      </c>
      <c r="C155" s="364" t="s">
        <v>873</v>
      </c>
      <c r="D155" s="434" t="s">
        <v>1798</v>
      </c>
      <c r="E155" s="423" t="s">
        <v>1407</v>
      </c>
      <c r="F155" s="366">
        <v>4.6500000000000004</v>
      </c>
      <c r="G155" s="367"/>
      <c r="H155" s="368">
        <f t="shared" si="25"/>
        <v>4.6500000000000004</v>
      </c>
      <c r="I155" s="368"/>
      <c r="J155" s="369">
        <f t="shared" si="26"/>
        <v>4.6500000000000004</v>
      </c>
      <c r="K155" s="362">
        <f t="shared" si="27"/>
        <v>8370000.0000000009</v>
      </c>
      <c r="L155" s="366" t="str">
        <f>VLOOKUP(B155,'[8]Gui chi Quynh'!$B$11:$E$401,4,FALSE)</f>
        <v>A3</v>
      </c>
      <c r="M155" s="494">
        <f t="shared" si="29"/>
        <v>10044000</v>
      </c>
      <c r="N155" s="376">
        <v>19</v>
      </c>
      <c r="O155" s="440">
        <f>IFERROR(INDEX('[9]CN BC'!$J$10:$J$277,MATCH(B155,'[9]CN BC'!$H$10:$H$277,0)),"")</f>
        <v>19</v>
      </c>
      <c r="P155" s="494">
        <f t="shared" si="33"/>
        <v>10044000</v>
      </c>
      <c r="Q155" s="392"/>
      <c r="R155" s="362">
        <f t="shared" si="28"/>
        <v>0</v>
      </c>
      <c r="S155" s="370"/>
      <c r="T155" s="362">
        <f t="shared" si="34"/>
        <v>0</v>
      </c>
      <c r="U155" s="584">
        <f t="shared" si="30"/>
        <v>83700</v>
      </c>
      <c r="V155" s="371">
        <f t="shared" si="32"/>
        <v>10044000</v>
      </c>
      <c r="W155" s="362">
        <f>VLOOKUP(B155,CN!B138:P418,15,FALSE)</f>
        <v>6528600</v>
      </c>
      <c r="X155" s="653">
        <f t="shared" si="35"/>
        <v>3515400</v>
      </c>
      <c r="Y155" s="568">
        <f t="shared" si="31"/>
        <v>144</v>
      </c>
      <c r="Z155" s="493">
        <f>IFERROR(INDEX('[10]CN BC'!$M$10:$M$276,MATCH(B155,'[10]CN BC'!$H$10:$H$276,0)),"")</f>
        <v>0</v>
      </c>
      <c r="AA155" s="522" t="s">
        <v>1142</v>
      </c>
      <c r="AB155" s="108"/>
      <c r="AC155" s="108"/>
      <c r="AD155" s="155"/>
      <c r="AE155" s="108"/>
      <c r="AF155" s="108"/>
      <c r="AG155" s="108"/>
      <c r="AH155" s="108"/>
      <c r="AI155" s="108"/>
      <c r="AJ155" s="108"/>
    </row>
    <row r="156" spans="1:40" s="108" customFormat="1" ht="24.75" customHeight="1">
      <c r="A156" s="379">
        <f>_xlfn.AGGREGATE(4,7,A$11:A155)+1</f>
        <v>145</v>
      </c>
      <c r="B156" s="33" t="s">
        <v>1912</v>
      </c>
      <c r="C156" s="34" t="s">
        <v>867</v>
      </c>
      <c r="D156" s="406" t="s">
        <v>1799</v>
      </c>
      <c r="E156" s="424" t="s">
        <v>1409</v>
      </c>
      <c r="F156" s="10">
        <v>4.6500000000000004</v>
      </c>
      <c r="G156" s="157"/>
      <c r="H156" s="368">
        <f t="shared" si="25"/>
        <v>4.6500000000000004</v>
      </c>
      <c r="I156" s="81"/>
      <c r="J156" s="369">
        <f t="shared" si="26"/>
        <v>4.6500000000000004</v>
      </c>
      <c r="K156" s="362">
        <f t="shared" si="27"/>
        <v>8370000.0000000009</v>
      </c>
      <c r="L156" s="366" t="str">
        <f>VLOOKUP(B156,'[8]Gui chi Quynh'!$B$11:$E$401,4,FALSE)</f>
        <v>A3</v>
      </c>
      <c r="M156" s="494">
        <f t="shared" si="29"/>
        <v>10044000</v>
      </c>
      <c r="N156" s="376">
        <v>19</v>
      </c>
      <c r="O156" s="440">
        <f>IFERROR(INDEX('[9]CN BC'!$J$10:$J$277,MATCH(B156,'[9]CN BC'!$H$10:$H$277,0)),"")</f>
        <v>19</v>
      </c>
      <c r="P156" s="494">
        <f t="shared" si="33"/>
        <v>10044000</v>
      </c>
      <c r="Q156" s="392"/>
      <c r="R156" s="362">
        <f t="shared" si="28"/>
        <v>0</v>
      </c>
      <c r="S156" s="385"/>
      <c r="T156" s="362">
        <f t="shared" si="34"/>
        <v>0</v>
      </c>
      <c r="U156" s="584">
        <f t="shared" si="30"/>
        <v>83700</v>
      </c>
      <c r="V156" s="371">
        <f t="shared" si="32"/>
        <v>10044000</v>
      </c>
      <c r="W156" s="362">
        <f>VLOOKUP(B156,CN!B139:P419,15,FALSE)</f>
        <v>6528600</v>
      </c>
      <c r="X156" s="653">
        <f t="shared" si="35"/>
        <v>3515400</v>
      </c>
      <c r="Y156" s="568">
        <f t="shared" si="31"/>
        <v>145</v>
      </c>
      <c r="Z156" s="493">
        <f>IFERROR(INDEX('[10]CN BC'!$M$10:$M$276,MATCH(B156,'[10]CN BC'!$H$10:$H$276,0)),"")</f>
        <v>0</v>
      </c>
      <c r="AA156" s="522" t="s">
        <v>1144</v>
      </c>
      <c r="AD156" s="155"/>
    </row>
    <row r="157" spans="1:40" s="108" customFormat="1" ht="24.75" customHeight="1">
      <c r="A157" s="379">
        <f>_xlfn.AGGREGATE(4,7,A$11:A156)+1</f>
        <v>146</v>
      </c>
      <c r="B157" s="33" t="s">
        <v>1913</v>
      </c>
      <c r="C157" s="34" t="s">
        <v>1078</v>
      </c>
      <c r="D157" s="406" t="s">
        <v>1800</v>
      </c>
      <c r="E157" s="424" t="s">
        <v>1410</v>
      </c>
      <c r="F157" s="10">
        <v>4.6500000000000004</v>
      </c>
      <c r="G157" s="157"/>
      <c r="H157" s="368">
        <f t="shared" si="25"/>
        <v>4.6500000000000004</v>
      </c>
      <c r="I157" s="81"/>
      <c r="J157" s="369">
        <f t="shared" si="26"/>
        <v>4.6500000000000004</v>
      </c>
      <c r="K157" s="362">
        <f t="shared" si="27"/>
        <v>8370000.0000000009</v>
      </c>
      <c r="L157" s="366" t="str">
        <f>VLOOKUP(B157,'[8]Gui chi Quynh'!$B$11:$E$401,4,FALSE)</f>
        <v>A4</v>
      </c>
      <c r="M157" s="494">
        <f t="shared" si="29"/>
        <v>8370000.0000000009</v>
      </c>
      <c r="N157" s="376">
        <v>19</v>
      </c>
      <c r="O157" s="440">
        <f>IFERROR(INDEX('[9]CN BC'!$J$10:$J$277,MATCH(B157,'[9]CN BC'!$H$10:$H$277,0)),"")</f>
        <v>19</v>
      </c>
      <c r="P157" s="494">
        <f t="shared" si="33"/>
        <v>8370000.0000000009</v>
      </c>
      <c r="Q157" s="392"/>
      <c r="R157" s="362">
        <f t="shared" si="28"/>
        <v>0</v>
      </c>
      <c r="S157" s="385"/>
      <c r="T157" s="362">
        <f t="shared" si="34"/>
        <v>0</v>
      </c>
      <c r="U157" s="584">
        <f t="shared" si="30"/>
        <v>83700</v>
      </c>
      <c r="V157" s="371">
        <f t="shared" si="32"/>
        <v>8370000.0000000009</v>
      </c>
      <c r="W157" s="362">
        <f>VLOOKUP(B157,CN!B140:P420,15,FALSE)</f>
        <v>5440500</v>
      </c>
      <c r="X157" s="653">
        <f t="shared" si="35"/>
        <v>2929500.0000000009</v>
      </c>
      <c r="Y157" s="568">
        <f t="shared" si="31"/>
        <v>146</v>
      </c>
      <c r="Z157" s="493">
        <f>IFERROR(INDEX('[10]CN BC'!$M$10:$M$276,MATCH(B157,'[10]CN BC'!$H$10:$H$276,0)),"")</f>
        <v>0</v>
      </c>
      <c r="AA157" s="522" t="s">
        <v>1145</v>
      </c>
      <c r="AD157" s="155"/>
    </row>
    <row r="158" spans="1:40" s="108" customFormat="1" ht="24.75" customHeight="1">
      <c r="A158" s="379">
        <f>_xlfn.AGGREGATE(4,7,A$11:A157)+1</f>
        <v>147</v>
      </c>
      <c r="B158" s="33" t="s">
        <v>1540</v>
      </c>
      <c r="C158" s="34" t="s">
        <v>1019</v>
      </c>
      <c r="D158" s="406" t="s">
        <v>1801</v>
      </c>
      <c r="E158" s="424" t="s">
        <v>1412</v>
      </c>
      <c r="F158" s="10">
        <v>3.99</v>
      </c>
      <c r="G158" s="157"/>
      <c r="H158" s="368">
        <f t="shared" si="25"/>
        <v>3.99</v>
      </c>
      <c r="I158" s="81"/>
      <c r="J158" s="369">
        <f t="shared" si="26"/>
        <v>3.99</v>
      </c>
      <c r="K158" s="362">
        <f t="shared" si="27"/>
        <v>7182000</v>
      </c>
      <c r="L158" s="366" t="str">
        <f>VLOOKUP(B158,'[8]Gui chi Quynh'!$B$11:$E$401,4,FALSE)</f>
        <v>A4</v>
      </c>
      <c r="M158" s="494">
        <f t="shared" si="29"/>
        <v>7182000</v>
      </c>
      <c r="N158" s="376">
        <v>19</v>
      </c>
      <c r="O158" s="440">
        <f>IFERROR(INDEX('[9]CN BC'!$J$10:$J$277,MATCH(B158,'[9]CN BC'!$H$10:$H$277,0)),"")</f>
        <v>19</v>
      </c>
      <c r="P158" s="494">
        <f t="shared" si="33"/>
        <v>7182000</v>
      </c>
      <c r="Q158" s="392"/>
      <c r="R158" s="362">
        <f t="shared" si="28"/>
        <v>0</v>
      </c>
      <c r="S158" s="385"/>
      <c r="T158" s="362">
        <f t="shared" si="34"/>
        <v>0</v>
      </c>
      <c r="U158" s="584">
        <f t="shared" si="30"/>
        <v>71820</v>
      </c>
      <c r="V158" s="371">
        <f t="shared" si="32"/>
        <v>7182000</v>
      </c>
      <c r="W158" s="362">
        <f>VLOOKUP(B158,CN!B141:P421,15,FALSE)</f>
        <v>5054400</v>
      </c>
      <c r="X158" s="653">
        <f t="shared" si="35"/>
        <v>2127600</v>
      </c>
      <c r="Y158" s="568">
        <f t="shared" si="31"/>
        <v>147</v>
      </c>
      <c r="Z158" s="493">
        <f>IFERROR(INDEX('[10]CN BC'!$M$10:$M$276,MATCH(B158,'[10]CN BC'!$H$10:$H$276,0)),"")</f>
        <v>0</v>
      </c>
      <c r="AA158" s="522" t="s">
        <v>1146</v>
      </c>
      <c r="AD158" s="155"/>
    </row>
    <row r="159" spans="1:40" s="372" customFormat="1" ht="25.5" customHeight="1">
      <c r="A159" s="379">
        <f>_xlfn.AGGREGATE(4,7,A$11:A158)+1</f>
        <v>148</v>
      </c>
      <c r="B159" s="363" t="s">
        <v>1609</v>
      </c>
      <c r="C159" s="364" t="s">
        <v>876</v>
      </c>
      <c r="D159" s="434" t="s">
        <v>1973</v>
      </c>
      <c r="E159" s="426" t="s">
        <v>1611</v>
      </c>
      <c r="F159" s="373">
        <v>3</v>
      </c>
      <c r="G159" s="367"/>
      <c r="H159" s="445">
        <f t="shared" ref="H159:H199" si="36">F159+(F159*G159)</f>
        <v>3</v>
      </c>
      <c r="I159" s="368"/>
      <c r="J159" s="369">
        <f t="shared" ref="J159:J199" si="37">H159+I159</f>
        <v>3</v>
      </c>
      <c r="K159" s="362">
        <f t="shared" ref="K159:K199" si="38">J159*$G$8</f>
        <v>5400000</v>
      </c>
      <c r="L159" s="366" t="str">
        <f>VLOOKUP(B159,'[8]Gui chi Quynh'!$B$11:$E$401,4,FALSE)</f>
        <v>A2</v>
      </c>
      <c r="M159" s="494">
        <f t="shared" si="29"/>
        <v>7559999.9999999991</v>
      </c>
      <c r="N159" s="376">
        <v>19</v>
      </c>
      <c r="O159" s="440">
        <f>IFERROR(INDEX('[9]CN BC'!$J$10:$J$277,MATCH(B159,'[9]CN BC'!$H$10:$H$277,0)),"")</f>
        <v>19</v>
      </c>
      <c r="P159" s="494">
        <f t="shared" si="33"/>
        <v>7559999.9999999991</v>
      </c>
      <c r="Q159" s="460"/>
      <c r="R159" s="362">
        <f t="shared" si="28"/>
        <v>0</v>
      </c>
      <c r="S159" s="370"/>
      <c r="T159" s="362">
        <f t="shared" si="34"/>
        <v>0</v>
      </c>
      <c r="U159" s="584">
        <f t="shared" si="30"/>
        <v>54000</v>
      </c>
      <c r="V159" s="371">
        <f t="shared" si="32"/>
        <v>7559999.9999999991</v>
      </c>
      <c r="W159" s="362">
        <f>VLOOKUP(B159,CN!B159:P422,15,FALSE)</f>
        <v>4675320</v>
      </c>
      <c r="X159" s="653">
        <f t="shared" si="35"/>
        <v>2884679.9999999991</v>
      </c>
      <c r="Y159" s="568">
        <f t="shared" si="31"/>
        <v>148</v>
      </c>
      <c r="Z159" s="493">
        <f>IFERROR(INDEX('[10]CN BC'!$M$10:$M$276,MATCH(B159,'[10]CN BC'!$H$10:$H$276,0)),"")</f>
        <v>0</v>
      </c>
      <c r="AA159" s="522" t="s">
        <v>1147</v>
      </c>
      <c r="AB159" s="108"/>
      <c r="AC159" s="108"/>
      <c r="AD159" s="155"/>
      <c r="AE159" s="108"/>
      <c r="AF159" s="108"/>
      <c r="AG159" s="108"/>
      <c r="AH159" s="108"/>
      <c r="AI159" s="108"/>
      <c r="AJ159" s="108"/>
    </row>
    <row r="160" spans="1:40" s="372" customFormat="1" ht="25.5" customHeight="1">
      <c r="A160" s="379">
        <f>_xlfn.AGGREGATE(4,7,A$11:A159)+1</f>
        <v>149</v>
      </c>
      <c r="B160" s="363" t="s">
        <v>1610</v>
      </c>
      <c r="C160" s="364" t="s">
        <v>885</v>
      </c>
      <c r="D160" s="434" t="s">
        <v>1974</v>
      </c>
      <c r="E160" s="426" t="s">
        <v>1612</v>
      </c>
      <c r="F160" s="366">
        <v>2.67</v>
      </c>
      <c r="G160" s="367"/>
      <c r="H160" s="368">
        <f t="shared" si="36"/>
        <v>2.67</v>
      </c>
      <c r="I160" s="368">
        <v>0.25</v>
      </c>
      <c r="J160" s="369">
        <f t="shared" si="37"/>
        <v>2.92</v>
      </c>
      <c r="K160" s="362">
        <f t="shared" si="38"/>
        <v>5256000</v>
      </c>
      <c r="L160" s="366" t="str">
        <f>VLOOKUP(B160,'[8]Gui chi Quynh'!$B$11:$E$401,4,FALSE)</f>
        <v>A1</v>
      </c>
      <c r="M160" s="494">
        <f t="shared" si="29"/>
        <v>8409600</v>
      </c>
      <c r="N160" s="376">
        <v>19</v>
      </c>
      <c r="O160" s="440">
        <f>IFERROR(INDEX('[9]CN BC'!$J$10:$J$277,MATCH(B160,'[9]CN BC'!$H$10:$H$277,0)),"")</f>
        <v>19</v>
      </c>
      <c r="P160" s="494">
        <f t="shared" si="33"/>
        <v>8409600</v>
      </c>
      <c r="Q160" s="460"/>
      <c r="R160" s="362">
        <f t="shared" si="28"/>
        <v>0</v>
      </c>
      <c r="S160" s="370"/>
      <c r="T160" s="362">
        <f t="shared" si="34"/>
        <v>0</v>
      </c>
      <c r="U160" s="584">
        <f t="shared" si="30"/>
        <v>52560</v>
      </c>
      <c r="V160" s="371">
        <f t="shared" si="32"/>
        <v>8409600</v>
      </c>
      <c r="W160" s="362">
        <f>VLOOKUP(B160,CN!B159:P423,15,FALSE)</f>
        <v>6084000</v>
      </c>
      <c r="X160" s="653">
        <f t="shared" si="35"/>
        <v>2325600</v>
      </c>
      <c r="Y160" s="568">
        <f t="shared" si="31"/>
        <v>149</v>
      </c>
      <c r="Z160" s="493">
        <f>IFERROR(INDEX('[10]CN BC'!$M$10:$M$276,MATCH(B160,'[10]CN BC'!$H$10:$H$276,0)),"")</f>
        <v>0</v>
      </c>
      <c r="AA160" s="522" t="s">
        <v>1148</v>
      </c>
      <c r="AB160" s="108"/>
      <c r="AC160" s="108"/>
      <c r="AD160" s="155"/>
      <c r="AE160" s="108"/>
      <c r="AF160" s="108"/>
      <c r="AG160" s="108"/>
      <c r="AH160" s="108"/>
      <c r="AI160" s="108"/>
      <c r="AJ160" s="108"/>
    </row>
    <row r="161" spans="1:36" s="372" customFormat="1" ht="25.5" customHeight="1">
      <c r="A161" s="379">
        <f>_xlfn.AGGREGATE(4,7,A$11:A160)+1</f>
        <v>150</v>
      </c>
      <c r="B161" s="390" t="s">
        <v>1838</v>
      </c>
      <c r="C161" s="364"/>
      <c r="D161" s="434" t="s">
        <v>1975</v>
      </c>
      <c r="E161" s="102">
        <v>1603205590132</v>
      </c>
      <c r="F161" s="366">
        <v>2.67</v>
      </c>
      <c r="G161" s="367"/>
      <c r="H161" s="368">
        <f t="shared" si="36"/>
        <v>2.67</v>
      </c>
      <c r="I161" s="368">
        <v>0.25</v>
      </c>
      <c r="J161" s="369">
        <f t="shared" si="37"/>
        <v>2.92</v>
      </c>
      <c r="K161" s="362">
        <f t="shared" si="38"/>
        <v>5256000</v>
      </c>
      <c r="L161" s="366" t="str">
        <f>VLOOKUP(B161,'[8]Gui chi Quynh'!$B$11:$E$401,4,FALSE)</f>
        <v>A1</v>
      </c>
      <c r="M161" s="494">
        <f t="shared" si="29"/>
        <v>8409600</v>
      </c>
      <c r="N161" s="376">
        <v>19</v>
      </c>
      <c r="O161" s="440">
        <f>IFERROR(INDEX('[9]CN BC'!$J$10:$J$277,MATCH(B161,'[9]CN BC'!$H$10:$H$277,0)),"")</f>
        <v>19</v>
      </c>
      <c r="P161" s="494">
        <f t="shared" si="33"/>
        <v>8409600</v>
      </c>
      <c r="Q161" s="392"/>
      <c r="R161" s="362">
        <f t="shared" si="28"/>
        <v>0</v>
      </c>
      <c r="S161" s="370"/>
      <c r="T161" s="362">
        <f t="shared" si="34"/>
        <v>0</v>
      </c>
      <c r="U161" s="584">
        <f t="shared" si="30"/>
        <v>52560</v>
      </c>
      <c r="V161" s="371">
        <f t="shared" si="32"/>
        <v>8409600</v>
      </c>
      <c r="W161" s="362">
        <f>VLOOKUP(B161,CN!B159:P424,15,FALSE)</f>
        <v>6084000</v>
      </c>
      <c r="X161" s="653">
        <f t="shared" si="35"/>
        <v>2325600</v>
      </c>
      <c r="Y161" s="568">
        <f t="shared" si="31"/>
        <v>150</v>
      </c>
      <c r="Z161" s="493">
        <f>IFERROR(INDEX('[10]CN BC'!$M$10:$M$276,MATCH(B161,'[10]CN BC'!$H$10:$H$276,0)),"")</f>
        <v>0</v>
      </c>
      <c r="AA161" s="522" t="s">
        <v>1149</v>
      </c>
      <c r="AB161" s="108"/>
      <c r="AC161" s="108"/>
      <c r="AD161" s="155"/>
      <c r="AE161" s="108"/>
      <c r="AF161" s="108"/>
      <c r="AG161" s="108"/>
      <c r="AH161" s="108"/>
      <c r="AI161" s="108"/>
      <c r="AJ161" s="108"/>
    </row>
    <row r="162" spans="1:36" s="372" customFormat="1" ht="25.5" customHeight="1">
      <c r="A162" s="379">
        <f>_xlfn.AGGREGATE(4,7,A$11:A161)+1</f>
        <v>151</v>
      </c>
      <c r="B162" s="390" t="s">
        <v>1993</v>
      </c>
      <c r="C162" s="364"/>
      <c r="D162" s="434"/>
      <c r="E162" s="486"/>
      <c r="F162" s="366">
        <v>3.99</v>
      </c>
      <c r="G162" s="367"/>
      <c r="H162" s="368">
        <f t="shared" si="36"/>
        <v>3.99</v>
      </c>
      <c r="I162" s="368"/>
      <c r="J162" s="369">
        <f t="shared" si="37"/>
        <v>3.99</v>
      </c>
      <c r="K162" s="362">
        <f t="shared" si="38"/>
        <v>7182000</v>
      </c>
      <c r="L162" s="366" t="str">
        <f>VLOOKUP(B162,'[8]Gui chi Quynh'!$B$11:$E$401,4,FALSE)</f>
        <v>A3</v>
      </c>
      <c r="M162" s="494">
        <f t="shared" si="29"/>
        <v>8618400</v>
      </c>
      <c r="N162" s="376">
        <v>19</v>
      </c>
      <c r="O162" s="440">
        <f>IFERROR(INDEX('[9]CN BC'!$J$10:$J$277,MATCH(B162,'[9]CN BC'!$H$10:$H$277,0)),"")</f>
        <v>19</v>
      </c>
      <c r="P162" s="494">
        <f t="shared" si="33"/>
        <v>8618400</v>
      </c>
      <c r="Q162" s="460"/>
      <c r="R162" s="362">
        <f t="shared" si="28"/>
        <v>0</v>
      </c>
      <c r="S162" s="370"/>
      <c r="T162" s="362">
        <f t="shared" si="34"/>
        <v>0</v>
      </c>
      <c r="U162" s="584">
        <f t="shared" si="30"/>
        <v>71820</v>
      </c>
      <c r="V162" s="371">
        <f t="shared" si="32"/>
        <v>8618400</v>
      </c>
      <c r="W162" s="362">
        <f>VLOOKUP(B162,CN!B160:P425,15,FALSE)</f>
        <v>6065280</v>
      </c>
      <c r="X162" s="653">
        <f t="shared" si="35"/>
        <v>2553120</v>
      </c>
      <c r="Y162" s="568">
        <f t="shared" si="31"/>
        <v>151</v>
      </c>
      <c r="Z162" s="493">
        <f>IFERROR(INDEX('[10]CN BC'!$M$10:$M$276,MATCH(B162,'[10]CN BC'!$H$10:$H$276,0)),"")</f>
        <v>0</v>
      </c>
      <c r="AA162" s="522" t="s">
        <v>1150</v>
      </c>
      <c r="AB162" s="108"/>
      <c r="AC162" s="108"/>
      <c r="AD162" s="155"/>
      <c r="AE162" s="108"/>
      <c r="AF162" s="108"/>
      <c r="AG162" s="108"/>
      <c r="AH162" s="108"/>
      <c r="AI162" s="108"/>
      <c r="AJ162" s="108"/>
    </row>
    <row r="163" spans="1:36" s="372" customFormat="1" ht="30.75" customHeight="1">
      <c r="A163" s="379">
        <f>_xlfn.AGGREGATE(4,7,A$11:A162)+1</f>
        <v>152</v>
      </c>
      <c r="B163" s="390" t="s">
        <v>2002</v>
      </c>
      <c r="C163" s="364"/>
      <c r="D163" s="434"/>
      <c r="E163" s="486"/>
      <c r="F163" s="366">
        <v>2.67</v>
      </c>
      <c r="G163" s="367"/>
      <c r="H163" s="368">
        <f t="shared" si="36"/>
        <v>2.67</v>
      </c>
      <c r="I163" s="368"/>
      <c r="J163" s="369">
        <f t="shared" si="37"/>
        <v>2.67</v>
      </c>
      <c r="K163" s="362">
        <f t="shared" si="38"/>
        <v>4806000</v>
      </c>
      <c r="L163" s="366" t="str">
        <f>VLOOKUP(B163,'[8]Gui chi Quynh'!$B$11:$E$401,4,FALSE)</f>
        <v>A3</v>
      </c>
      <c r="M163" s="494">
        <f t="shared" si="29"/>
        <v>5767200</v>
      </c>
      <c r="N163" s="376">
        <v>19</v>
      </c>
      <c r="O163" s="440">
        <f>IFERROR(INDEX('[9]CN BC'!$J$10:$J$277,MATCH(B163,'[9]CN BC'!$H$10:$H$277,0)),"")</f>
        <v>19</v>
      </c>
      <c r="P163" s="494">
        <f t="shared" si="33"/>
        <v>5767200</v>
      </c>
      <c r="Q163" s="460"/>
      <c r="R163" s="362">
        <f t="shared" si="28"/>
        <v>0</v>
      </c>
      <c r="S163" s="370"/>
      <c r="T163" s="362">
        <f t="shared" si="34"/>
        <v>0</v>
      </c>
      <c r="U163" s="584">
        <f t="shared" si="30"/>
        <v>48060</v>
      </c>
      <c r="V163" s="371">
        <f t="shared" si="32"/>
        <v>5767200</v>
      </c>
      <c r="W163" s="362">
        <f>VLOOKUP(B163,CN!B161:P426,15,FALSE)</f>
        <v>3123900</v>
      </c>
      <c r="X163" s="653">
        <f t="shared" si="35"/>
        <v>2643300</v>
      </c>
      <c r="Y163" s="568">
        <f t="shared" si="31"/>
        <v>152</v>
      </c>
      <c r="Z163" s="551">
        <f>IFERROR(INDEX('[10]CN BC'!$M$10:$M$276,MATCH(B163,'[10]CN BC'!$H$10:$H$276,0)),"")</f>
        <v>0</v>
      </c>
      <c r="AA163" s="540" t="s">
        <v>1151</v>
      </c>
      <c r="AD163" s="487"/>
    </row>
    <row r="164" spans="1:36" s="372" customFormat="1" ht="31.5" customHeight="1">
      <c r="A164" s="379">
        <f>_xlfn.AGGREGATE(4,7,A$11:A163)+1</f>
        <v>153</v>
      </c>
      <c r="B164" s="390" t="s">
        <v>2004</v>
      </c>
      <c r="C164" s="364"/>
      <c r="D164" s="434"/>
      <c r="E164" s="486"/>
      <c r="F164" s="366">
        <v>2.34</v>
      </c>
      <c r="G164" s="367"/>
      <c r="H164" s="368">
        <f t="shared" si="36"/>
        <v>2.34</v>
      </c>
      <c r="I164" s="368"/>
      <c r="J164" s="369">
        <f t="shared" si="37"/>
        <v>2.34</v>
      </c>
      <c r="K164" s="362">
        <f t="shared" si="38"/>
        <v>4212000</v>
      </c>
      <c r="L164" s="366" t="str">
        <f>VLOOKUP(B164,'[8]Gui chi Quynh'!$B$11:$E$401,4,FALSE)</f>
        <v>A3</v>
      </c>
      <c r="M164" s="494">
        <f t="shared" si="29"/>
        <v>5054400</v>
      </c>
      <c r="N164" s="376">
        <v>19</v>
      </c>
      <c r="O164" s="440">
        <f>IFERROR(INDEX('[9]CN BC'!$J$10:$J$277,MATCH(B164,'[9]CN BC'!$H$10:$H$277,0)),"")</f>
        <v>19</v>
      </c>
      <c r="P164" s="494">
        <f t="shared" si="33"/>
        <v>5054400</v>
      </c>
      <c r="Q164" s="460"/>
      <c r="R164" s="362">
        <f t="shared" si="28"/>
        <v>0</v>
      </c>
      <c r="S164" s="370"/>
      <c r="T164" s="362">
        <f t="shared" si="34"/>
        <v>0</v>
      </c>
      <c r="U164" s="584">
        <f t="shared" si="30"/>
        <v>42120</v>
      </c>
      <c r="V164" s="371">
        <f t="shared" si="32"/>
        <v>5054400</v>
      </c>
      <c r="W164" s="362">
        <f>VLOOKUP(B164,CN!B162:P427,15,FALSE)</f>
        <v>2737800</v>
      </c>
      <c r="X164" s="653">
        <f t="shared" si="35"/>
        <v>2316600</v>
      </c>
      <c r="Y164" s="568">
        <f t="shared" si="31"/>
        <v>153</v>
      </c>
      <c r="Z164" s="551">
        <f>IFERROR(INDEX('[10]CN BC'!$M$10:$M$276,MATCH(B164,'[10]CN BC'!$H$10:$H$276,0)),"")</f>
        <v>0</v>
      </c>
      <c r="AA164" s="574"/>
      <c r="AD164" s="487"/>
    </row>
    <row r="165" spans="1:36" s="372" customFormat="1" ht="29.25" customHeight="1">
      <c r="A165" s="379">
        <f>_xlfn.AGGREGATE(4,7,A$11:A164)+1</f>
        <v>154</v>
      </c>
      <c r="B165" s="363" t="s">
        <v>1914</v>
      </c>
      <c r="C165" s="364" t="s">
        <v>876</v>
      </c>
      <c r="D165" s="434" t="s">
        <v>1803</v>
      </c>
      <c r="E165" s="423" t="s">
        <v>0</v>
      </c>
      <c r="F165" s="366">
        <v>4.32</v>
      </c>
      <c r="G165" s="367"/>
      <c r="H165" s="368">
        <f t="shared" si="36"/>
        <v>4.32</v>
      </c>
      <c r="I165" s="368">
        <v>0.45</v>
      </c>
      <c r="J165" s="369">
        <f t="shared" si="37"/>
        <v>4.7700000000000005</v>
      </c>
      <c r="K165" s="362">
        <f t="shared" si="38"/>
        <v>8586000</v>
      </c>
      <c r="L165" s="366" t="str">
        <f>VLOOKUP(B165,'[8]Gui chi Quynh'!$B$11:$E$401,4,FALSE)</f>
        <v>A1</v>
      </c>
      <c r="M165" s="494">
        <f t="shared" si="29"/>
        <v>13737600</v>
      </c>
      <c r="N165" s="376">
        <v>19</v>
      </c>
      <c r="O165" s="440">
        <f>IFERROR(INDEX('[9]CN BC'!$J$10:$J$277,MATCH(B165,'[9]CN BC'!$H$10:$H$277,0)),"")</f>
        <v>19</v>
      </c>
      <c r="P165" s="494">
        <f t="shared" si="33"/>
        <v>13737600</v>
      </c>
      <c r="Q165" s="460"/>
      <c r="R165" s="362">
        <f t="shared" si="28"/>
        <v>0</v>
      </c>
      <c r="S165" s="370"/>
      <c r="T165" s="362">
        <f t="shared" si="34"/>
        <v>0</v>
      </c>
      <c r="U165" s="584">
        <f t="shared" si="30"/>
        <v>85860</v>
      </c>
      <c r="V165" s="371">
        <f t="shared" si="32"/>
        <v>13737600</v>
      </c>
      <c r="W165" s="362">
        <f>VLOOKUP(B165,CN!B162:P428,15,FALSE)</f>
        <v>8353800.0000000009</v>
      </c>
      <c r="X165" s="653">
        <f t="shared" si="35"/>
        <v>5383799.9999999991</v>
      </c>
      <c r="Y165" s="568">
        <f t="shared" si="31"/>
        <v>154</v>
      </c>
      <c r="Z165" s="493">
        <f>IFERROR(INDEX('[10]CN BC'!$M$10:$M$276,MATCH(B165,'[10]CN BC'!$H$10:$H$276,0)),"")</f>
        <v>0</v>
      </c>
      <c r="AA165" s="141"/>
      <c r="AB165" s="471"/>
      <c r="AC165" s="108"/>
      <c r="AD165" s="155"/>
      <c r="AE165" s="108"/>
      <c r="AF165" s="108"/>
      <c r="AG165" s="108"/>
      <c r="AH165" s="108"/>
      <c r="AI165" s="108"/>
      <c r="AJ165" s="108"/>
    </row>
    <row r="166" spans="1:36" s="372" customFormat="1" ht="27.75" customHeight="1">
      <c r="A166" s="379">
        <f>_xlfn.AGGREGATE(4,7,A$11:A165)+1</f>
        <v>155</v>
      </c>
      <c r="B166" s="363" t="s">
        <v>1915</v>
      </c>
      <c r="C166" s="364" t="s">
        <v>1087</v>
      </c>
      <c r="D166" s="434" t="s">
        <v>1804</v>
      </c>
      <c r="E166" s="423" t="s">
        <v>1420</v>
      </c>
      <c r="F166" s="366">
        <v>4.6500000000000004</v>
      </c>
      <c r="G166" s="367"/>
      <c r="H166" s="368">
        <f t="shared" si="36"/>
        <v>4.6500000000000004</v>
      </c>
      <c r="I166" s="368">
        <v>0.35</v>
      </c>
      <c r="J166" s="369">
        <f t="shared" si="37"/>
        <v>5</v>
      </c>
      <c r="K166" s="362">
        <f t="shared" si="38"/>
        <v>9000000</v>
      </c>
      <c r="L166" s="366" t="str">
        <f>VLOOKUP(B166,'[8]Gui chi Quynh'!$B$11:$E$401,4,FALSE)</f>
        <v>A3</v>
      </c>
      <c r="M166" s="494">
        <f t="shared" si="29"/>
        <v>10800000</v>
      </c>
      <c r="N166" s="376">
        <v>19</v>
      </c>
      <c r="O166" s="440">
        <f>IFERROR(INDEX('[9]CN BC'!$J$10:$J$277,MATCH(B166,'[9]CN BC'!$H$10:$H$277,0)),"")</f>
        <v>19</v>
      </c>
      <c r="P166" s="494">
        <f t="shared" si="33"/>
        <v>10800000</v>
      </c>
      <c r="Q166" s="460"/>
      <c r="R166" s="362">
        <f t="shared" si="28"/>
        <v>0</v>
      </c>
      <c r="S166" s="370"/>
      <c r="T166" s="362">
        <f t="shared" si="34"/>
        <v>0</v>
      </c>
      <c r="U166" s="584">
        <f t="shared" si="30"/>
        <v>90000</v>
      </c>
      <c r="V166" s="371">
        <f t="shared" si="32"/>
        <v>10800000</v>
      </c>
      <c r="W166" s="362">
        <f>VLOOKUP(B166,CN!B163:P429,15,FALSE)</f>
        <v>6991920.0000000009</v>
      </c>
      <c r="X166" s="653">
        <f t="shared" si="35"/>
        <v>3808079.9999999991</v>
      </c>
      <c r="Y166" s="568">
        <f t="shared" si="31"/>
        <v>155</v>
      </c>
      <c r="Z166" s="493">
        <f>IFERROR(INDEX('[10]CN BC'!$M$10:$M$276,MATCH(B166,'[10]CN BC'!$H$10:$H$276,0)),"")</f>
        <v>0</v>
      </c>
      <c r="AA166" s="141"/>
      <c r="AB166" s="108"/>
      <c r="AC166" s="108"/>
      <c r="AD166" s="155"/>
      <c r="AE166" s="108"/>
      <c r="AF166" s="108"/>
      <c r="AG166" s="108"/>
      <c r="AH166" s="108"/>
      <c r="AI166" s="108"/>
      <c r="AJ166" s="108"/>
    </row>
    <row r="167" spans="1:36" s="372" customFormat="1" ht="27.75" customHeight="1">
      <c r="A167" s="379">
        <f>_xlfn.AGGREGATE(4,7,A$11:A166)+1</f>
        <v>156</v>
      </c>
      <c r="B167" s="363" t="s">
        <v>1916</v>
      </c>
      <c r="C167" s="364" t="s">
        <v>1090</v>
      </c>
      <c r="D167" s="434" t="s">
        <v>1805</v>
      </c>
      <c r="E167" s="423" t="s">
        <v>1</v>
      </c>
      <c r="F167" s="366">
        <v>4.32</v>
      </c>
      <c r="G167" s="367"/>
      <c r="H167" s="368">
        <f t="shared" si="36"/>
        <v>4.32</v>
      </c>
      <c r="I167" s="368">
        <v>0.25</v>
      </c>
      <c r="J167" s="369">
        <f t="shared" si="37"/>
        <v>4.57</v>
      </c>
      <c r="K167" s="362">
        <f t="shared" si="38"/>
        <v>8226000.0000000009</v>
      </c>
      <c r="L167" s="366" t="str">
        <f>VLOOKUP(B167,'[8]Gui chi Quynh'!$B$11:$E$401,4,FALSE)</f>
        <v>A4</v>
      </c>
      <c r="M167" s="494">
        <f t="shared" si="29"/>
        <v>8226000.0000000009</v>
      </c>
      <c r="N167" s="376">
        <v>19</v>
      </c>
      <c r="O167" s="440">
        <f>IFERROR(INDEX('[9]CN BC'!$J$10:$J$277,MATCH(B167,'[9]CN BC'!$H$10:$H$277,0)),"")</f>
        <v>19</v>
      </c>
      <c r="P167" s="494">
        <f t="shared" si="33"/>
        <v>8226000.0000000009</v>
      </c>
      <c r="Q167" s="460"/>
      <c r="R167" s="362">
        <f t="shared" si="28"/>
        <v>0</v>
      </c>
      <c r="S167" s="370"/>
      <c r="T167" s="362">
        <f t="shared" si="34"/>
        <v>0</v>
      </c>
      <c r="U167" s="584">
        <f t="shared" si="30"/>
        <v>82260</v>
      </c>
      <c r="V167" s="371">
        <f t="shared" si="32"/>
        <v>8226000.0000000009</v>
      </c>
      <c r="W167" s="362">
        <f>VLOOKUP(B167,CN!B164:P430,15,FALSE)</f>
        <v>5054400</v>
      </c>
      <c r="X167" s="653">
        <f t="shared" si="35"/>
        <v>3171600.0000000009</v>
      </c>
      <c r="Y167" s="568">
        <f t="shared" si="31"/>
        <v>156</v>
      </c>
      <c r="Z167" s="493">
        <f>IFERROR(INDEX('[10]CN BC'!$M$10:$M$276,MATCH(B167,'[10]CN BC'!$H$10:$H$276,0)),"")</f>
        <v>0</v>
      </c>
      <c r="AA167" s="141"/>
      <c r="AB167" s="108"/>
      <c r="AC167" s="108"/>
      <c r="AD167" s="155"/>
      <c r="AE167" s="108"/>
      <c r="AF167" s="108"/>
      <c r="AG167" s="108"/>
      <c r="AH167" s="108"/>
      <c r="AI167" s="108"/>
      <c r="AJ167" s="108"/>
    </row>
    <row r="168" spans="1:36" s="372" customFormat="1" ht="27.75" customHeight="1">
      <c r="A168" s="379">
        <f>_xlfn.AGGREGATE(4,7,A$11:A167)+1</f>
        <v>157</v>
      </c>
      <c r="B168" s="363" t="s">
        <v>1542</v>
      </c>
      <c r="C168" s="364" t="s">
        <v>970</v>
      </c>
      <c r="D168" s="434" t="s">
        <v>1806</v>
      </c>
      <c r="E168" s="423" t="s">
        <v>3</v>
      </c>
      <c r="F168" s="373">
        <v>3.99</v>
      </c>
      <c r="G168" s="367"/>
      <c r="H168" s="368">
        <f t="shared" si="36"/>
        <v>3.99</v>
      </c>
      <c r="I168" s="368"/>
      <c r="J168" s="369">
        <f t="shared" si="37"/>
        <v>3.99</v>
      </c>
      <c r="K168" s="362">
        <f t="shared" si="38"/>
        <v>7182000</v>
      </c>
      <c r="L168" s="366" t="str">
        <f>VLOOKUP(B168,'[8]Gui chi Quynh'!$B$11:$E$401,4,FALSE)</f>
        <v>A4</v>
      </c>
      <c r="M168" s="494">
        <f t="shared" si="29"/>
        <v>7182000</v>
      </c>
      <c r="N168" s="376">
        <v>19</v>
      </c>
      <c r="O168" s="440">
        <f>IFERROR(INDEX('[9]CN BC'!$J$10:$J$277,MATCH(B168,'[9]CN BC'!$H$10:$H$277,0)),"")</f>
        <v>19</v>
      </c>
      <c r="P168" s="494">
        <f t="shared" si="33"/>
        <v>7182000</v>
      </c>
      <c r="Q168" s="460"/>
      <c r="R168" s="362">
        <f t="shared" si="28"/>
        <v>0</v>
      </c>
      <c r="S168" s="370"/>
      <c r="T168" s="362">
        <f t="shared" si="34"/>
        <v>0</v>
      </c>
      <c r="U168" s="584">
        <f t="shared" si="30"/>
        <v>71820</v>
      </c>
      <c r="V168" s="371">
        <f t="shared" si="32"/>
        <v>7182000</v>
      </c>
      <c r="W168" s="362">
        <f>VLOOKUP(B168,CN!B165:P431,15,FALSE)</f>
        <v>5054400</v>
      </c>
      <c r="X168" s="653">
        <f t="shared" si="35"/>
        <v>2127600</v>
      </c>
      <c r="Y168" s="568">
        <f t="shared" si="31"/>
        <v>157</v>
      </c>
      <c r="Z168" s="493">
        <f>IFERROR(INDEX('[10]CN BC'!$M$10:$M$276,MATCH(B168,'[10]CN BC'!$H$10:$H$276,0)),"")</f>
        <v>0</v>
      </c>
      <c r="AA168" s="141"/>
      <c r="AB168" s="108"/>
      <c r="AC168" s="108"/>
      <c r="AD168" s="155"/>
      <c r="AE168" s="108"/>
      <c r="AF168" s="108"/>
      <c r="AG168" s="108"/>
      <c r="AH168" s="108"/>
      <c r="AI168" s="108"/>
      <c r="AJ168" s="108"/>
    </row>
    <row r="169" spans="1:36" s="372" customFormat="1" ht="27.75" customHeight="1">
      <c r="A169" s="379">
        <f>_xlfn.AGGREGATE(4,7,A$11:A168)+1</f>
        <v>158</v>
      </c>
      <c r="B169" s="363" t="s">
        <v>1543</v>
      </c>
      <c r="C169" s="364" t="s">
        <v>1215</v>
      </c>
      <c r="D169" s="434" t="s">
        <v>1807</v>
      </c>
      <c r="E169" s="423" t="s">
        <v>4</v>
      </c>
      <c r="F169" s="373">
        <v>3.99</v>
      </c>
      <c r="G169" s="367"/>
      <c r="H169" s="368">
        <f t="shared" si="36"/>
        <v>3.99</v>
      </c>
      <c r="I169" s="368">
        <v>0.25</v>
      </c>
      <c r="J169" s="369">
        <f t="shared" si="37"/>
        <v>4.24</v>
      </c>
      <c r="K169" s="362">
        <f t="shared" si="38"/>
        <v>7632000</v>
      </c>
      <c r="L169" s="366" t="str">
        <f>VLOOKUP(B169,'[8]Gui chi Quynh'!$B$11:$E$401,4,FALSE)</f>
        <v>A3</v>
      </c>
      <c r="M169" s="494">
        <f t="shared" si="29"/>
        <v>9158400</v>
      </c>
      <c r="N169" s="376">
        <v>19</v>
      </c>
      <c r="O169" s="440">
        <f>IFERROR(INDEX('[9]CN BC'!$J$10:$J$277,MATCH(B169,'[9]CN BC'!$H$10:$H$277,0)),"")</f>
        <v>19</v>
      </c>
      <c r="P169" s="494">
        <f t="shared" si="33"/>
        <v>9158400</v>
      </c>
      <c r="Q169" s="460"/>
      <c r="R169" s="362">
        <f t="shared" si="28"/>
        <v>0</v>
      </c>
      <c r="S169" s="370"/>
      <c r="T169" s="362">
        <f t="shared" si="34"/>
        <v>0</v>
      </c>
      <c r="U169" s="584">
        <f t="shared" si="30"/>
        <v>76320</v>
      </c>
      <c r="V169" s="371">
        <f t="shared" si="32"/>
        <v>9158400</v>
      </c>
      <c r="W169" s="362">
        <f>VLOOKUP(B169,CN!B166:P432,15,FALSE)</f>
        <v>7076160</v>
      </c>
      <c r="X169" s="653">
        <f t="shared" si="35"/>
        <v>2082240</v>
      </c>
      <c r="Y169" s="568">
        <f t="shared" si="31"/>
        <v>158</v>
      </c>
      <c r="Z169" s="493">
        <f>IFERROR(INDEX('[10]CN BC'!$M$10:$M$276,MATCH(B169,'[10]CN BC'!$H$10:$H$276,0)),"")</f>
        <v>0</v>
      </c>
      <c r="AA169" s="141"/>
      <c r="AB169" s="108"/>
      <c r="AC169" s="108"/>
      <c r="AD169" s="155"/>
      <c r="AE169" s="108"/>
      <c r="AF169" s="108"/>
      <c r="AG169" s="108"/>
      <c r="AH169" s="108"/>
      <c r="AI169" s="108"/>
      <c r="AJ169" s="108"/>
    </row>
    <row r="170" spans="1:36" s="372" customFormat="1" ht="23.25" customHeight="1">
      <c r="A170" s="379">
        <f>_xlfn.AGGREGATE(4,7,A$11:A169)+1</f>
        <v>159</v>
      </c>
      <c r="B170" s="363" t="s">
        <v>1544</v>
      </c>
      <c r="C170" s="364" t="s">
        <v>878</v>
      </c>
      <c r="D170" s="434" t="s">
        <v>1808</v>
      </c>
      <c r="E170" s="423" t="s">
        <v>5</v>
      </c>
      <c r="F170" s="373">
        <v>3.66</v>
      </c>
      <c r="G170" s="367"/>
      <c r="H170" s="368">
        <f t="shared" si="36"/>
        <v>3.66</v>
      </c>
      <c r="I170" s="368"/>
      <c r="J170" s="369">
        <f t="shared" si="37"/>
        <v>3.66</v>
      </c>
      <c r="K170" s="362">
        <f t="shared" si="38"/>
        <v>6588000</v>
      </c>
      <c r="L170" s="366" t="str">
        <f>VLOOKUP(B170,'[8]Gui chi Quynh'!$B$11:$E$401,4,FALSE)</f>
        <v>A4</v>
      </c>
      <c r="M170" s="494">
        <f t="shared" si="29"/>
        <v>6588000</v>
      </c>
      <c r="N170" s="376">
        <v>19</v>
      </c>
      <c r="O170" s="440">
        <f>IFERROR(INDEX('[9]CN BC'!$J$10:$J$277,MATCH(B170,'[9]CN BC'!$H$10:$H$277,0)),"")</f>
        <v>19</v>
      </c>
      <c r="P170" s="494">
        <f t="shared" si="33"/>
        <v>6588000</v>
      </c>
      <c r="Q170" s="460"/>
      <c r="R170" s="362">
        <f t="shared" si="28"/>
        <v>0</v>
      </c>
      <c r="S170" s="370"/>
      <c r="T170" s="362">
        <f t="shared" si="34"/>
        <v>0</v>
      </c>
      <c r="U170" s="584">
        <f t="shared" si="30"/>
        <v>65880</v>
      </c>
      <c r="V170" s="371">
        <f t="shared" si="32"/>
        <v>6588000</v>
      </c>
      <c r="W170" s="362">
        <f>VLOOKUP(B170,CN!B167:P433,15,FALSE)</f>
        <v>4668300</v>
      </c>
      <c r="X170" s="653">
        <f t="shared" si="35"/>
        <v>1919700</v>
      </c>
      <c r="Y170" s="568">
        <f t="shared" si="31"/>
        <v>159</v>
      </c>
      <c r="Z170" s="493">
        <f>IFERROR(INDEX('[10]CN BC'!$M$10:$M$276,MATCH(B170,'[10]CN BC'!$H$10:$H$276,0)),"")</f>
        <v>0</v>
      </c>
      <c r="AA170" s="536"/>
      <c r="AD170" s="487"/>
    </row>
    <row r="171" spans="1:36" s="372" customFormat="1" ht="27.75" customHeight="1">
      <c r="A171" s="379">
        <f>_xlfn.AGGREGATE(4,7,A$11:A170)+1</f>
        <v>160</v>
      </c>
      <c r="B171" s="363" t="s">
        <v>1917</v>
      </c>
      <c r="C171" s="364" t="s">
        <v>1212</v>
      </c>
      <c r="D171" s="434" t="s">
        <v>1809</v>
      </c>
      <c r="E171" s="423" t="s">
        <v>394</v>
      </c>
      <c r="F171" s="373">
        <v>3.66</v>
      </c>
      <c r="G171" s="367"/>
      <c r="H171" s="368">
        <f t="shared" si="36"/>
        <v>3.66</v>
      </c>
      <c r="I171" s="368"/>
      <c r="J171" s="369">
        <f t="shared" si="37"/>
        <v>3.66</v>
      </c>
      <c r="K171" s="362">
        <f t="shared" si="38"/>
        <v>6588000</v>
      </c>
      <c r="L171" s="366" t="str">
        <f>VLOOKUP(B171,'[8]Gui chi Quynh'!$B$11:$E$401,4,FALSE)</f>
        <v>A4</v>
      </c>
      <c r="M171" s="494">
        <f t="shared" si="29"/>
        <v>6588000</v>
      </c>
      <c r="N171" s="376">
        <v>19</v>
      </c>
      <c r="O171" s="440">
        <f>IFERROR(INDEX('[9]CN BC'!$J$10:$J$277,MATCH(B171,'[9]CN BC'!$H$10:$H$277,0)),"")</f>
        <v>19</v>
      </c>
      <c r="P171" s="494">
        <f t="shared" si="33"/>
        <v>6588000</v>
      </c>
      <c r="Q171" s="460"/>
      <c r="R171" s="362">
        <f t="shared" si="28"/>
        <v>0</v>
      </c>
      <c r="S171" s="370"/>
      <c r="T171" s="362">
        <f t="shared" si="34"/>
        <v>0</v>
      </c>
      <c r="U171" s="584">
        <f t="shared" si="30"/>
        <v>65880</v>
      </c>
      <c r="V171" s="371">
        <f t="shared" si="32"/>
        <v>6588000</v>
      </c>
      <c r="W171" s="362">
        <f>VLOOKUP(B171,CN!B168:P434,15,FALSE)</f>
        <v>4668300</v>
      </c>
      <c r="X171" s="653">
        <f t="shared" si="35"/>
        <v>1919700</v>
      </c>
      <c r="Y171" s="568">
        <f t="shared" si="31"/>
        <v>160</v>
      </c>
      <c r="Z171" s="493">
        <f>IFERROR(INDEX('[10]CN BC'!$M$10:$M$276,MATCH(B171,'[10]CN BC'!$H$10:$H$276,0)),"")</f>
        <v>0</v>
      </c>
      <c r="AA171" s="141"/>
      <c r="AB171" s="108"/>
      <c r="AC171" s="108"/>
      <c r="AD171" s="155"/>
      <c r="AE171" s="108"/>
      <c r="AF171" s="108"/>
      <c r="AG171" s="108"/>
      <c r="AH171" s="108"/>
      <c r="AI171" s="108"/>
      <c r="AJ171" s="108"/>
    </row>
    <row r="172" spans="1:36" s="372" customFormat="1" ht="26.25" customHeight="1">
      <c r="A172" s="379">
        <f>_xlfn.AGGREGATE(4,7,A$11:A171)+1</f>
        <v>161</v>
      </c>
      <c r="B172" s="390" t="s">
        <v>1918</v>
      </c>
      <c r="C172" s="538" t="s">
        <v>868</v>
      </c>
      <c r="D172" s="434" t="s">
        <v>1810</v>
      </c>
      <c r="E172" s="423" t="s">
        <v>393</v>
      </c>
      <c r="F172" s="373">
        <v>3.99</v>
      </c>
      <c r="G172" s="367"/>
      <c r="H172" s="368">
        <f t="shared" si="36"/>
        <v>3.99</v>
      </c>
      <c r="I172" s="368"/>
      <c r="J172" s="369">
        <f t="shared" si="37"/>
        <v>3.99</v>
      </c>
      <c r="K172" s="362">
        <f t="shared" si="38"/>
        <v>7182000</v>
      </c>
      <c r="L172" s="366" t="str">
        <f>VLOOKUP(B172,'[8]Gui chi Quynh'!$B$11:$E$401,4,FALSE)</f>
        <v>A4</v>
      </c>
      <c r="M172" s="494">
        <f t="shared" si="29"/>
        <v>7182000</v>
      </c>
      <c r="N172" s="376">
        <v>19</v>
      </c>
      <c r="O172" s="440">
        <f>IFERROR(INDEX('[9]CN BC'!$J$10:$J$277,MATCH(B172,'[9]CN BC'!$H$10:$H$277,0)),"")</f>
        <v>19</v>
      </c>
      <c r="P172" s="494">
        <f t="shared" si="33"/>
        <v>7182000</v>
      </c>
      <c r="Q172" s="460"/>
      <c r="R172" s="362">
        <f t="shared" si="28"/>
        <v>0</v>
      </c>
      <c r="S172" s="370"/>
      <c r="T172" s="362">
        <f t="shared" si="34"/>
        <v>0</v>
      </c>
      <c r="U172" s="584">
        <f t="shared" si="30"/>
        <v>71820</v>
      </c>
      <c r="V172" s="371">
        <f t="shared" si="32"/>
        <v>7182000</v>
      </c>
      <c r="W172" s="362">
        <f>VLOOKUP(B172,CN!B169:P435,15,FALSE)</f>
        <v>4668300</v>
      </c>
      <c r="X172" s="653">
        <f t="shared" si="35"/>
        <v>2513700</v>
      </c>
      <c r="Y172" s="568">
        <f t="shared" si="31"/>
        <v>161</v>
      </c>
      <c r="Z172" s="493">
        <f>IFERROR(INDEX('[10]CN BC'!$M$10:$M$276,MATCH(B172,'[10]CN BC'!$H$10:$H$276,0)),"")</f>
        <v>0</v>
      </c>
      <c r="AA172" s="536"/>
      <c r="AD172" s="487"/>
    </row>
    <row r="173" spans="1:36" s="372" customFormat="1" ht="27.75" customHeight="1">
      <c r="A173" s="379">
        <f>_xlfn.AGGREGATE(4,7,A$11:A172)+1</f>
        <v>162</v>
      </c>
      <c r="B173" s="363" t="s">
        <v>1545</v>
      </c>
      <c r="C173" s="364" t="s">
        <v>1218</v>
      </c>
      <c r="D173" s="434" t="s">
        <v>1811</v>
      </c>
      <c r="E173" s="423" t="s">
        <v>395</v>
      </c>
      <c r="F173" s="373">
        <v>3.66</v>
      </c>
      <c r="G173" s="367"/>
      <c r="H173" s="368">
        <f t="shared" si="36"/>
        <v>3.66</v>
      </c>
      <c r="I173" s="368"/>
      <c r="J173" s="369">
        <f t="shared" si="37"/>
        <v>3.66</v>
      </c>
      <c r="K173" s="362">
        <f t="shared" si="38"/>
        <v>6588000</v>
      </c>
      <c r="L173" s="366" t="str">
        <f>VLOOKUP(B173,'[8]Gui chi Quynh'!$B$11:$E$401,4,FALSE)</f>
        <v>A4</v>
      </c>
      <c r="M173" s="494">
        <f t="shared" si="29"/>
        <v>6588000</v>
      </c>
      <c r="N173" s="376">
        <v>19</v>
      </c>
      <c r="O173" s="440">
        <f>IFERROR(INDEX('[9]CN BC'!$J$10:$J$277,MATCH(B173,'[9]CN BC'!$H$10:$H$277,0)),"")</f>
        <v>19</v>
      </c>
      <c r="P173" s="494">
        <f t="shared" si="33"/>
        <v>6588000</v>
      </c>
      <c r="Q173" s="460"/>
      <c r="R173" s="362">
        <f t="shared" si="28"/>
        <v>0</v>
      </c>
      <c r="S173" s="370"/>
      <c r="T173" s="362">
        <f t="shared" si="34"/>
        <v>0</v>
      </c>
      <c r="U173" s="584">
        <f t="shared" si="30"/>
        <v>65880</v>
      </c>
      <c r="V173" s="371">
        <f t="shared" si="32"/>
        <v>6588000</v>
      </c>
      <c r="W173" s="362">
        <f>VLOOKUP(B173,CN!B170:P436,15,FALSE)</f>
        <v>4668300</v>
      </c>
      <c r="X173" s="653">
        <f t="shared" si="35"/>
        <v>1919700</v>
      </c>
      <c r="Y173" s="568">
        <f t="shared" si="31"/>
        <v>162</v>
      </c>
      <c r="Z173" s="493">
        <f>IFERROR(INDEX('[10]CN BC'!$M$10:$M$276,MATCH(B173,'[10]CN BC'!$H$10:$H$276,0)),"")</f>
        <v>0</v>
      </c>
      <c r="AA173" s="536"/>
      <c r="AD173" s="487"/>
    </row>
    <row r="174" spans="1:36" s="372" customFormat="1" ht="27.75" customHeight="1">
      <c r="A174" s="379">
        <f>_xlfn.AGGREGATE(4,7,A$11:A173)+1</f>
        <v>163</v>
      </c>
      <c r="B174" s="363" t="s">
        <v>1546</v>
      </c>
      <c r="C174" s="364" t="s">
        <v>469</v>
      </c>
      <c r="D174" s="434" t="s">
        <v>1812</v>
      </c>
      <c r="E174" s="423" t="s">
        <v>473</v>
      </c>
      <c r="F174" s="373">
        <v>3.66</v>
      </c>
      <c r="G174" s="367"/>
      <c r="H174" s="368">
        <f t="shared" si="36"/>
        <v>3.66</v>
      </c>
      <c r="I174" s="368"/>
      <c r="J174" s="369">
        <f t="shared" si="37"/>
        <v>3.66</v>
      </c>
      <c r="K174" s="362">
        <f t="shared" si="38"/>
        <v>6588000</v>
      </c>
      <c r="L174" s="366" t="str">
        <f>VLOOKUP(B174,'[8]Gui chi Quynh'!$B$11:$E$401,4,FALSE)</f>
        <v>A3</v>
      </c>
      <c r="M174" s="494">
        <f t="shared" si="29"/>
        <v>7905600</v>
      </c>
      <c r="N174" s="376">
        <v>19</v>
      </c>
      <c r="O174" s="440">
        <f>IFERROR(INDEX('[9]CN BC'!$J$10:$J$277,MATCH(B174,'[9]CN BC'!$H$10:$H$277,0)),"")</f>
        <v>19</v>
      </c>
      <c r="P174" s="494">
        <f t="shared" si="33"/>
        <v>7905600</v>
      </c>
      <c r="Q174" s="460"/>
      <c r="R174" s="362">
        <f t="shared" si="28"/>
        <v>0</v>
      </c>
      <c r="S174" s="370"/>
      <c r="T174" s="362">
        <f t="shared" si="34"/>
        <v>0</v>
      </c>
      <c r="U174" s="584">
        <f t="shared" si="30"/>
        <v>65880</v>
      </c>
      <c r="V174" s="371">
        <f t="shared" si="32"/>
        <v>7905600</v>
      </c>
      <c r="W174" s="362">
        <f>VLOOKUP(B174,CN!B171:P437,15,FALSE)</f>
        <v>5601960</v>
      </c>
      <c r="X174" s="653">
        <f t="shared" si="35"/>
        <v>2303640</v>
      </c>
      <c r="Y174" s="568">
        <f t="shared" si="31"/>
        <v>163</v>
      </c>
      <c r="Z174" s="493">
        <f>IFERROR(INDEX('[10]CN BC'!$M$10:$M$276,MATCH(B174,'[10]CN BC'!$H$10:$H$276,0)),"")</f>
        <v>0</v>
      </c>
      <c r="AA174" s="141"/>
      <c r="AB174" s="471"/>
      <c r="AC174" s="108"/>
      <c r="AD174" s="155"/>
      <c r="AE174" s="108"/>
      <c r="AF174" s="108"/>
      <c r="AG174" s="108"/>
      <c r="AH174" s="108"/>
      <c r="AI174" s="108"/>
      <c r="AJ174" s="108"/>
    </row>
    <row r="175" spans="1:36" s="372" customFormat="1" ht="25.5" customHeight="1">
      <c r="A175" s="379">
        <f>_xlfn.AGGREGATE(4,7,A$11:A174)+1</f>
        <v>164</v>
      </c>
      <c r="B175" s="363" t="s">
        <v>1547</v>
      </c>
      <c r="C175" s="364" t="s">
        <v>1196</v>
      </c>
      <c r="D175" s="434" t="s">
        <v>1813</v>
      </c>
      <c r="E175" s="365" t="s">
        <v>490</v>
      </c>
      <c r="F175" s="373">
        <v>3.66</v>
      </c>
      <c r="G175" s="367"/>
      <c r="H175" s="445">
        <f t="shared" si="36"/>
        <v>3.66</v>
      </c>
      <c r="I175" s="368"/>
      <c r="J175" s="369">
        <f t="shared" si="37"/>
        <v>3.66</v>
      </c>
      <c r="K175" s="362">
        <f t="shared" si="38"/>
        <v>6588000</v>
      </c>
      <c r="L175" s="366" t="str">
        <f>VLOOKUP(B175,'[8]Gui chi Quynh'!$B$11:$E$401,4,FALSE)</f>
        <v>A3</v>
      </c>
      <c r="M175" s="494">
        <f t="shared" si="29"/>
        <v>7905600</v>
      </c>
      <c r="N175" s="376">
        <v>19</v>
      </c>
      <c r="O175" s="440">
        <f>IFERROR(INDEX('[9]CN BC'!$J$10:$J$277,MATCH(B175,'[9]CN BC'!$H$10:$H$277,0)),"")</f>
        <v>19</v>
      </c>
      <c r="P175" s="494">
        <f t="shared" si="33"/>
        <v>7905600</v>
      </c>
      <c r="Q175" s="460"/>
      <c r="R175" s="362">
        <f t="shared" si="28"/>
        <v>0</v>
      </c>
      <c r="S175" s="370"/>
      <c r="T175" s="362">
        <f t="shared" si="34"/>
        <v>0</v>
      </c>
      <c r="U175" s="584">
        <f t="shared" si="30"/>
        <v>65880</v>
      </c>
      <c r="V175" s="371">
        <f t="shared" si="32"/>
        <v>7905600</v>
      </c>
      <c r="W175" s="362">
        <f>VLOOKUP(B175,CN!B172:P438,15,FALSE)</f>
        <v>4282200</v>
      </c>
      <c r="X175" s="653">
        <f t="shared" si="35"/>
        <v>3623400</v>
      </c>
      <c r="Y175" s="568">
        <f t="shared" si="31"/>
        <v>164</v>
      </c>
      <c r="Z175" s="493">
        <f>IFERROR(INDEX('[10]CN BC'!$M$10:$M$276,MATCH(B175,'[10]CN BC'!$H$10:$H$276,0)),"")</f>
        <v>0</v>
      </c>
      <c r="AA175" s="141"/>
      <c r="AB175" s="108"/>
      <c r="AC175" s="108"/>
      <c r="AD175" s="155"/>
      <c r="AE175" s="108"/>
      <c r="AF175" s="108"/>
      <c r="AG175" s="108"/>
      <c r="AH175" s="108"/>
      <c r="AI175" s="108"/>
      <c r="AJ175" s="108"/>
    </row>
    <row r="176" spans="1:36" s="372" customFormat="1" ht="23.25" customHeight="1">
      <c r="A176" s="379">
        <f>_xlfn.AGGREGATE(4,7,A$11:A175)+1</f>
        <v>165</v>
      </c>
      <c r="B176" s="363" t="s">
        <v>1919</v>
      </c>
      <c r="C176" s="364" t="s">
        <v>755</v>
      </c>
      <c r="D176" s="434" t="s">
        <v>1814</v>
      </c>
      <c r="E176" s="423" t="s">
        <v>750</v>
      </c>
      <c r="F176" s="373">
        <v>3.33</v>
      </c>
      <c r="G176" s="367"/>
      <c r="H176" s="445">
        <f t="shared" si="36"/>
        <v>3.33</v>
      </c>
      <c r="I176" s="368"/>
      <c r="J176" s="369">
        <f t="shared" si="37"/>
        <v>3.33</v>
      </c>
      <c r="K176" s="362">
        <f t="shared" si="38"/>
        <v>5994000</v>
      </c>
      <c r="L176" s="366" t="str">
        <f>VLOOKUP(B176,'[8]Gui chi Quynh'!$B$11:$E$401,4,FALSE)</f>
        <v>A3</v>
      </c>
      <c r="M176" s="494">
        <f t="shared" si="29"/>
        <v>7192800</v>
      </c>
      <c r="N176" s="376">
        <v>19</v>
      </c>
      <c r="O176" s="440">
        <f>IFERROR(INDEX('[9]CN BC'!$J$10:$J$277,MATCH(B176,'[9]CN BC'!$H$10:$H$277,0)),"")</f>
        <v>19</v>
      </c>
      <c r="P176" s="494">
        <f t="shared" si="33"/>
        <v>7192800</v>
      </c>
      <c r="Q176" s="392"/>
      <c r="R176" s="362">
        <f t="shared" si="28"/>
        <v>0</v>
      </c>
      <c r="S176" s="370"/>
      <c r="T176" s="362">
        <f t="shared" si="34"/>
        <v>0</v>
      </c>
      <c r="U176" s="584">
        <f t="shared" si="30"/>
        <v>59940</v>
      </c>
      <c r="V176" s="371">
        <f t="shared" si="32"/>
        <v>7192800</v>
      </c>
      <c r="W176" s="362">
        <f>VLOOKUP(B176,CN!B173:P439,15,FALSE)</f>
        <v>4282200</v>
      </c>
      <c r="X176" s="653">
        <f t="shared" si="35"/>
        <v>2910600</v>
      </c>
      <c r="Y176" s="568">
        <f t="shared" si="31"/>
        <v>165</v>
      </c>
      <c r="Z176" s="493">
        <f>IFERROR(INDEX('[10]CN BC'!$M$10:$M$276,MATCH(B176,'[10]CN BC'!$H$10:$H$276,0)),"")</f>
        <v>0</v>
      </c>
      <c r="AA176" s="141"/>
      <c r="AB176" s="108"/>
      <c r="AC176" s="108"/>
      <c r="AD176" s="155"/>
      <c r="AE176" s="108"/>
      <c r="AF176" s="108"/>
      <c r="AG176" s="108"/>
      <c r="AH176" s="108"/>
      <c r="AI176" s="108"/>
      <c r="AJ176" s="108"/>
    </row>
    <row r="177" spans="1:36" s="372" customFormat="1" ht="25.5" customHeight="1">
      <c r="A177" s="379">
        <f>_xlfn.AGGREGATE(4,7,A$11:A176)+1</f>
        <v>166</v>
      </c>
      <c r="B177" s="363" t="s">
        <v>1548</v>
      </c>
      <c r="C177" s="364" t="s">
        <v>889</v>
      </c>
      <c r="D177" s="434" t="s">
        <v>1815</v>
      </c>
      <c r="E177" s="423" t="s">
        <v>752</v>
      </c>
      <c r="F177" s="373">
        <v>3.66</v>
      </c>
      <c r="G177" s="367"/>
      <c r="H177" s="445">
        <f t="shared" si="36"/>
        <v>3.66</v>
      </c>
      <c r="I177" s="368"/>
      <c r="J177" s="369">
        <f t="shared" si="37"/>
        <v>3.66</v>
      </c>
      <c r="K177" s="362">
        <f t="shared" si="38"/>
        <v>6588000</v>
      </c>
      <c r="L177" s="366" t="str">
        <f>VLOOKUP(B177,'[8]Gui chi Quynh'!$B$11:$E$401,4,FALSE)</f>
        <v>A4</v>
      </c>
      <c r="M177" s="494">
        <f t="shared" si="29"/>
        <v>6588000</v>
      </c>
      <c r="N177" s="376">
        <v>19</v>
      </c>
      <c r="O177" s="440">
        <f>IFERROR(INDEX('[9]CN BC'!$J$10:$J$277,MATCH(B177,'[9]CN BC'!$H$10:$H$277,0)),"")</f>
        <v>19</v>
      </c>
      <c r="P177" s="494">
        <f t="shared" si="33"/>
        <v>6588000</v>
      </c>
      <c r="Q177" s="460"/>
      <c r="R177" s="362">
        <f t="shared" si="28"/>
        <v>0</v>
      </c>
      <c r="S177" s="370"/>
      <c r="T177" s="362">
        <f t="shared" si="34"/>
        <v>0</v>
      </c>
      <c r="U177" s="584">
        <f t="shared" si="30"/>
        <v>65880</v>
      </c>
      <c r="V177" s="371">
        <f t="shared" si="32"/>
        <v>6588000</v>
      </c>
      <c r="W177" s="362">
        <f>VLOOKUP(B177,CN!B174:P440,15,FALSE)</f>
        <v>4282200</v>
      </c>
      <c r="X177" s="653">
        <f t="shared" si="35"/>
        <v>2305800</v>
      </c>
      <c r="Y177" s="568">
        <f t="shared" si="31"/>
        <v>166</v>
      </c>
      <c r="Z177" s="493">
        <f>IFERROR(INDEX('[10]CN BC'!$M$10:$M$276,MATCH(B177,'[10]CN BC'!$H$10:$H$276,0)),"")</f>
        <v>0</v>
      </c>
      <c r="AA177" s="536"/>
      <c r="AD177" s="487"/>
    </row>
    <row r="178" spans="1:36" s="372" customFormat="1" ht="25.5" customHeight="1">
      <c r="A178" s="379">
        <f>_xlfn.AGGREGATE(4,7,A$11:A177)+1</f>
        <v>167</v>
      </c>
      <c r="B178" s="363" t="s">
        <v>1549</v>
      </c>
      <c r="C178" s="364" t="s">
        <v>1428</v>
      </c>
      <c r="D178" s="434" t="s">
        <v>1816</v>
      </c>
      <c r="E178" s="422" t="s">
        <v>1429</v>
      </c>
      <c r="F178" s="463">
        <v>3.33</v>
      </c>
      <c r="G178" s="367"/>
      <c r="H178" s="445">
        <f t="shared" si="36"/>
        <v>3.33</v>
      </c>
      <c r="I178" s="368">
        <v>0.25</v>
      </c>
      <c r="J178" s="369">
        <f t="shared" si="37"/>
        <v>3.58</v>
      </c>
      <c r="K178" s="362">
        <f t="shared" si="38"/>
        <v>6444000</v>
      </c>
      <c r="L178" s="366" t="str">
        <f>VLOOKUP(B178,'[8]Gui chi Quynh'!$B$11:$E$401,4,FALSE)</f>
        <v>A3</v>
      </c>
      <c r="M178" s="494">
        <f t="shared" si="29"/>
        <v>7732800</v>
      </c>
      <c r="N178" s="376">
        <v>19</v>
      </c>
      <c r="O178" s="440">
        <f>IFERROR(INDEX('[9]CN BC'!$J$10:$J$277,MATCH(B178,'[9]CN BC'!$H$10:$H$277,0)),"")</f>
        <v>19</v>
      </c>
      <c r="P178" s="494">
        <f t="shared" si="33"/>
        <v>7732800</v>
      </c>
      <c r="Q178" s="460"/>
      <c r="R178" s="362">
        <f t="shared" si="28"/>
        <v>0</v>
      </c>
      <c r="S178" s="370"/>
      <c r="T178" s="362">
        <f t="shared" si="34"/>
        <v>0</v>
      </c>
      <c r="U178" s="584">
        <f t="shared" si="30"/>
        <v>64440</v>
      </c>
      <c r="V178" s="371">
        <f t="shared" si="32"/>
        <v>7732800</v>
      </c>
      <c r="W178" s="362">
        <f>VLOOKUP(B178,CN!B175:P441,15,FALSE)</f>
        <v>4574700</v>
      </c>
      <c r="X178" s="653">
        <f t="shared" si="35"/>
        <v>3158100</v>
      </c>
      <c r="Y178" s="568">
        <f t="shared" si="31"/>
        <v>167</v>
      </c>
      <c r="Z178" s="493">
        <f>IFERROR(INDEX('[10]CN BC'!$M$10:$M$276,MATCH(B178,'[10]CN BC'!$H$10:$H$276,0)),"")</f>
        <v>0</v>
      </c>
      <c r="AA178" s="141"/>
      <c r="AB178" s="108"/>
      <c r="AC178" s="108"/>
      <c r="AD178" s="155"/>
      <c r="AE178" s="108"/>
      <c r="AF178" s="108"/>
      <c r="AG178" s="108"/>
      <c r="AH178" s="108"/>
      <c r="AI178" s="108"/>
      <c r="AJ178" s="108"/>
    </row>
    <row r="179" spans="1:36" s="372" customFormat="1" ht="25.5" customHeight="1">
      <c r="A179" s="379">
        <f>_xlfn.AGGREGATE(4,7,A$11:A178)+1</f>
        <v>168</v>
      </c>
      <c r="B179" s="363" t="s">
        <v>1550</v>
      </c>
      <c r="C179" s="364" t="s">
        <v>1428</v>
      </c>
      <c r="D179" s="434" t="s">
        <v>1817</v>
      </c>
      <c r="E179" s="422" t="s">
        <v>1430</v>
      </c>
      <c r="F179" s="463">
        <v>3.33</v>
      </c>
      <c r="G179" s="367"/>
      <c r="H179" s="445">
        <f t="shared" si="36"/>
        <v>3.33</v>
      </c>
      <c r="I179" s="368"/>
      <c r="J179" s="369">
        <f t="shared" si="37"/>
        <v>3.33</v>
      </c>
      <c r="K179" s="362">
        <f t="shared" si="38"/>
        <v>5994000</v>
      </c>
      <c r="L179" s="366" t="str">
        <f>VLOOKUP(B179,'[8]Gui chi Quynh'!$B$11:$E$401,4,FALSE)</f>
        <v>A3</v>
      </c>
      <c r="M179" s="494">
        <f t="shared" si="29"/>
        <v>7192800</v>
      </c>
      <c r="N179" s="376">
        <v>19</v>
      </c>
      <c r="O179" s="440">
        <f>IFERROR(INDEX('[9]CN BC'!$J$10:$J$277,MATCH(B179,'[9]CN BC'!$H$10:$H$277,0)),"")</f>
        <v>19</v>
      </c>
      <c r="P179" s="494">
        <f t="shared" si="33"/>
        <v>7192800</v>
      </c>
      <c r="Q179" s="392"/>
      <c r="R179" s="362">
        <f t="shared" si="28"/>
        <v>0</v>
      </c>
      <c r="S179" s="370"/>
      <c r="T179" s="362">
        <f t="shared" si="34"/>
        <v>0</v>
      </c>
      <c r="U179" s="584">
        <f t="shared" si="30"/>
        <v>59940</v>
      </c>
      <c r="V179" s="371">
        <f t="shared" si="32"/>
        <v>7192800</v>
      </c>
      <c r="W179" s="362">
        <f>VLOOKUP(B179,CN!B176:P442,15,FALSE)</f>
        <v>4282200</v>
      </c>
      <c r="X179" s="653">
        <f t="shared" si="35"/>
        <v>2910600</v>
      </c>
      <c r="Y179" s="568">
        <f t="shared" si="31"/>
        <v>168</v>
      </c>
      <c r="Z179" s="493">
        <f>IFERROR(INDEX('[10]CN BC'!$M$10:$M$276,MATCH(B179,'[10]CN BC'!$H$10:$H$276,0)),"")</f>
        <v>0</v>
      </c>
      <c r="AA179" s="141"/>
      <c r="AB179" s="471"/>
      <c r="AC179" s="108"/>
      <c r="AD179" s="155"/>
      <c r="AE179" s="108"/>
      <c r="AF179" s="108"/>
      <c r="AG179" s="108"/>
      <c r="AH179" s="108"/>
      <c r="AI179" s="108"/>
      <c r="AJ179" s="108"/>
    </row>
    <row r="180" spans="1:36" s="372" customFormat="1" ht="25.5" customHeight="1">
      <c r="A180" s="379">
        <f>_xlfn.AGGREGATE(4,7,A$11:A179)+1</f>
        <v>169</v>
      </c>
      <c r="B180" s="363" t="s">
        <v>1836</v>
      </c>
      <c r="C180" s="364"/>
      <c r="D180" s="434" t="s">
        <v>1976</v>
      </c>
      <c r="E180" s="481" t="s">
        <v>1977</v>
      </c>
      <c r="F180" s="365">
        <v>2.67</v>
      </c>
      <c r="G180" s="367"/>
      <c r="H180" s="368">
        <f t="shared" si="36"/>
        <v>2.67</v>
      </c>
      <c r="I180" s="368"/>
      <c r="J180" s="369">
        <f t="shared" si="37"/>
        <v>2.67</v>
      </c>
      <c r="K180" s="362">
        <f t="shared" si="38"/>
        <v>4806000</v>
      </c>
      <c r="L180" s="366" t="str">
        <f>VLOOKUP(B180,'[8]Gui chi Quynh'!$B$11:$E$401,4,FALSE)</f>
        <v>A4</v>
      </c>
      <c r="M180" s="494">
        <f t="shared" si="29"/>
        <v>4806000</v>
      </c>
      <c r="N180" s="376">
        <v>19</v>
      </c>
      <c r="O180" s="440">
        <f>IFERROR(INDEX('[9]CN BC'!$J$10:$J$277,MATCH(B180,'[9]CN BC'!$H$10:$H$277,0)),"")</f>
        <v>19</v>
      </c>
      <c r="P180" s="494">
        <f t="shared" si="33"/>
        <v>4806000</v>
      </c>
      <c r="Q180" s="460"/>
      <c r="R180" s="362">
        <f t="shared" si="28"/>
        <v>0</v>
      </c>
      <c r="S180" s="370"/>
      <c r="T180" s="362">
        <f t="shared" si="34"/>
        <v>0</v>
      </c>
      <c r="U180" s="584">
        <f t="shared" si="30"/>
        <v>48060</v>
      </c>
      <c r="V180" s="371">
        <f t="shared" si="32"/>
        <v>4806000</v>
      </c>
      <c r="W180" s="362">
        <f>VLOOKUP(B180,CN!B177:P443,15,FALSE)</f>
        <v>4212000</v>
      </c>
      <c r="X180" s="653">
        <f t="shared" si="35"/>
        <v>594000</v>
      </c>
      <c r="Y180" s="568">
        <f t="shared" si="31"/>
        <v>169</v>
      </c>
      <c r="Z180" s="493">
        <f>IFERROR(INDEX('[10]CN BC'!$M$10:$M$276,MATCH(B180,'[10]CN BC'!$H$10:$H$276,0)),"")</f>
        <v>0</v>
      </c>
      <c r="AA180" s="141"/>
      <c r="AB180" s="471"/>
      <c r="AC180" s="108"/>
      <c r="AD180" s="155"/>
      <c r="AE180" s="108"/>
      <c r="AF180" s="108"/>
      <c r="AG180" s="108"/>
      <c r="AH180" s="108"/>
      <c r="AI180" s="108"/>
      <c r="AJ180" s="108"/>
    </row>
    <row r="181" spans="1:36" s="372" customFormat="1" ht="25.5" customHeight="1">
      <c r="A181" s="379">
        <f>_xlfn.AGGREGATE(4,7,A$11:A180)+1</f>
        <v>170</v>
      </c>
      <c r="B181" s="363" t="s">
        <v>1837</v>
      </c>
      <c r="C181" s="364"/>
      <c r="D181" s="434" t="s">
        <v>1978</v>
      </c>
      <c r="E181" s="481" t="s">
        <v>1979</v>
      </c>
      <c r="F181" s="365">
        <v>2.67</v>
      </c>
      <c r="G181" s="367"/>
      <c r="H181" s="368">
        <f t="shared" si="36"/>
        <v>2.67</v>
      </c>
      <c r="I181" s="368"/>
      <c r="J181" s="369">
        <f t="shared" si="37"/>
        <v>2.67</v>
      </c>
      <c r="K181" s="362">
        <f t="shared" si="38"/>
        <v>4806000</v>
      </c>
      <c r="L181" s="366" t="str">
        <f>VLOOKUP(B181,'[8]Gui chi Quynh'!$B$11:$E$401,4,FALSE)</f>
        <v>A3</v>
      </c>
      <c r="M181" s="494">
        <f t="shared" si="29"/>
        <v>5767200</v>
      </c>
      <c r="N181" s="376">
        <v>19</v>
      </c>
      <c r="O181" s="440">
        <f>IFERROR(INDEX('[9]CN BC'!$J$10:$J$277,MATCH(B181,'[9]CN BC'!$H$10:$H$277,0)),"")</f>
        <v>19</v>
      </c>
      <c r="P181" s="494">
        <f t="shared" si="33"/>
        <v>5767200</v>
      </c>
      <c r="Q181" s="392"/>
      <c r="R181" s="362">
        <f t="shared" si="28"/>
        <v>0</v>
      </c>
      <c r="S181" s="370"/>
      <c r="T181" s="362">
        <f t="shared" si="34"/>
        <v>0</v>
      </c>
      <c r="U181" s="584">
        <f t="shared" si="30"/>
        <v>48060</v>
      </c>
      <c r="V181" s="371">
        <f t="shared" si="32"/>
        <v>5767200</v>
      </c>
      <c r="W181" s="362">
        <f>VLOOKUP(B181,CN!B178:P444,15,FALSE)</f>
        <v>3123900</v>
      </c>
      <c r="X181" s="653">
        <f t="shared" si="35"/>
        <v>2643300</v>
      </c>
      <c r="Y181" s="568">
        <f t="shared" si="31"/>
        <v>170</v>
      </c>
      <c r="Z181" s="493">
        <f>IFERROR(INDEX('[10]CN BC'!$M$10:$M$276,MATCH(B181,'[10]CN BC'!$H$10:$H$276,0)),"")</f>
        <v>0</v>
      </c>
      <c r="AA181" s="141"/>
      <c r="AB181" s="471"/>
      <c r="AC181" s="108"/>
      <c r="AD181" s="155"/>
      <c r="AE181" s="108"/>
      <c r="AF181" s="108"/>
      <c r="AG181" s="108"/>
      <c r="AH181" s="108"/>
      <c r="AI181" s="108"/>
      <c r="AJ181" s="108"/>
    </row>
    <row r="182" spans="1:36" s="372" customFormat="1" ht="25.5" customHeight="1">
      <c r="A182" s="379">
        <f>_xlfn.AGGREGATE(4,7,A$11:A181)+1</f>
        <v>171</v>
      </c>
      <c r="B182" s="390" t="s">
        <v>1839</v>
      </c>
      <c r="C182" s="364"/>
      <c r="D182" s="434" t="s">
        <v>1980</v>
      </c>
      <c r="E182" s="481" t="s">
        <v>1981</v>
      </c>
      <c r="F182" s="463">
        <v>3</v>
      </c>
      <c r="G182" s="367"/>
      <c r="H182" s="368">
        <f t="shared" si="36"/>
        <v>3</v>
      </c>
      <c r="I182" s="368"/>
      <c r="J182" s="369">
        <f t="shared" si="37"/>
        <v>3</v>
      </c>
      <c r="K182" s="362">
        <f t="shared" si="38"/>
        <v>5400000</v>
      </c>
      <c r="L182" s="366" t="str">
        <f>VLOOKUP(B182,'[8]Gui chi Quynh'!$B$11:$E$401,4,FALSE)</f>
        <v>A3</v>
      </c>
      <c r="M182" s="494">
        <f t="shared" si="29"/>
        <v>6480000</v>
      </c>
      <c r="N182" s="376">
        <v>19</v>
      </c>
      <c r="O182" s="440">
        <f>IFERROR(INDEX('[9]CN BC'!$J$10:$J$277,MATCH(B182,'[9]CN BC'!$H$10:$H$277,0)),"")</f>
        <v>19</v>
      </c>
      <c r="P182" s="494">
        <f t="shared" si="33"/>
        <v>6480000</v>
      </c>
      <c r="Q182" s="392"/>
      <c r="R182" s="362">
        <f t="shared" ref="R182:R199" si="39">Q182*$G$8*1</f>
        <v>0</v>
      </c>
      <c r="S182" s="370"/>
      <c r="T182" s="362">
        <f t="shared" si="34"/>
        <v>0</v>
      </c>
      <c r="U182" s="584">
        <f t="shared" si="30"/>
        <v>54000</v>
      </c>
      <c r="V182" s="371">
        <f t="shared" si="32"/>
        <v>6480000</v>
      </c>
      <c r="W182" s="362">
        <f>VLOOKUP(B182,CN!B179:P445,15,FALSE)</f>
        <v>3896100</v>
      </c>
      <c r="X182" s="653">
        <f t="shared" si="35"/>
        <v>2583900</v>
      </c>
      <c r="Y182" s="568">
        <f t="shared" si="31"/>
        <v>171</v>
      </c>
      <c r="Z182" s="493">
        <f>IFERROR(INDEX('[10]CN BC'!$M$10:$M$276,MATCH(B182,'[10]CN BC'!$H$10:$H$276,0)),"")</f>
        <v>0</v>
      </c>
      <c r="AA182" s="141"/>
      <c r="AB182" s="471"/>
      <c r="AC182" s="108"/>
      <c r="AD182" s="155"/>
      <c r="AE182" s="108"/>
      <c r="AF182" s="108"/>
      <c r="AG182" s="108"/>
      <c r="AH182" s="108"/>
      <c r="AI182" s="108"/>
      <c r="AJ182" s="108"/>
    </row>
    <row r="183" spans="1:36" s="372" customFormat="1" ht="25.5" customHeight="1">
      <c r="A183" s="379">
        <f>_xlfn.AGGREGATE(4,7,A$11:A182)+1</f>
        <v>172</v>
      </c>
      <c r="B183" s="390" t="s">
        <v>1844</v>
      </c>
      <c r="C183" s="364"/>
      <c r="D183" s="434" t="s">
        <v>1982</v>
      </c>
      <c r="E183" s="481" t="s">
        <v>1983</v>
      </c>
      <c r="F183" s="463">
        <v>3.66</v>
      </c>
      <c r="G183" s="367"/>
      <c r="H183" s="368">
        <f t="shared" si="36"/>
        <v>3.66</v>
      </c>
      <c r="I183" s="368"/>
      <c r="J183" s="369">
        <f t="shared" si="37"/>
        <v>3.66</v>
      </c>
      <c r="K183" s="362">
        <f t="shared" si="38"/>
        <v>6588000</v>
      </c>
      <c r="L183" s="366" t="str">
        <f>VLOOKUP(B183,'[8]Gui chi Quynh'!$B$11:$E$401,4,FALSE)</f>
        <v>A3</v>
      </c>
      <c r="M183" s="494">
        <f t="shared" si="29"/>
        <v>7905600</v>
      </c>
      <c r="N183" s="376">
        <v>19</v>
      </c>
      <c r="O183" s="440">
        <f>IFERROR(INDEX('[9]CN BC'!$J$10:$J$277,MATCH(B183,'[9]CN BC'!$H$10:$H$277,0)),"")</f>
        <v>19</v>
      </c>
      <c r="P183" s="494">
        <f t="shared" si="33"/>
        <v>7905600</v>
      </c>
      <c r="Q183" s="460"/>
      <c r="R183" s="362">
        <f t="shared" si="39"/>
        <v>0</v>
      </c>
      <c r="S183" s="370"/>
      <c r="T183" s="362">
        <f t="shared" si="34"/>
        <v>0</v>
      </c>
      <c r="U183" s="584">
        <f t="shared" si="30"/>
        <v>65880</v>
      </c>
      <c r="V183" s="371">
        <f t="shared" si="32"/>
        <v>7905600</v>
      </c>
      <c r="W183" s="362">
        <f>VLOOKUP(B183,CN!B180:P446,15,FALSE)</f>
        <v>4282200</v>
      </c>
      <c r="X183" s="653">
        <f t="shared" si="35"/>
        <v>3623400</v>
      </c>
      <c r="Y183" s="568">
        <f t="shared" si="31"/>
        <v>172</v>
      </c>
      <c r="Z183" s="493">
        <f>IFERROR(INDEX('[10]CN BC'!$M$10:$M$276,MATCH(B183,'[10]CN BC'!$H$10:$H$276,0)),"")</f>
        <v>0</v>
      </c>
      <c r="AA183" s="141"/>
      <c r="AB183" s="471"/>
      <c r="AC183" s="108"/>
      <c r="AD183" s="155"/>
      <c r="AE183" s="108"/>
      <c r="AF183" s="108"/>
      <c r="AG183" s="108"/>
      <c r="AH183" s="108"/>
      <c r="AI183" s="108"/>
      <c r="AJ183" s="108"/>
    </row>
    <row r="184" spans="1:36" s="372" customFormat="1" ht="24" customHeight="1">
      <c r="A184" s="379">
        <f>_xlfn.AGGREGATE(4,7,A$11:A183)+1</f>
        <v>173</v>
      </c>
      <c r="B184" s="390" t="s">
        <v>1926</v>
      </c>
      <c r="C184" s="364"/>
      <c r="D184" s="434" t="s">
        <v>1984</v>
      </c>
      <c r="E184" s="477" t="s">
        <v>1985</v>
      </c>
      <c r="F184" s="473">
        <v>2.34</v>
      </c>
      <c r="G184" s="367"/>
      <c r="H184" s="368">
        <f t="shared" si="36"/>
        <v>2.34</v>
      </c>
      <c r="I184" s="368"/>
      <c r="J184" s="369">
        <f t="shared" si="37"/>
        <v>2.34</v>
      </c>
      <c r="K184" s="362">
        <f t="shared" si="38"/>
        <v>4212000</v>
      </c>
      <c r="L184" s="366" t="str">
        <f>VLOOKUP(B184,'[8]Gui chi Quynh'!$B$11:$E$401,4,FALSE)</f>
        <v>A3</v>
      </c>
      <c r="M184" s="494">
        <f t="shared" si="29"/>
        <v>5054400</v>
      </c>
      <c r="N184" s="376">
        <v>19</v>
      </c>
      <c r="O184" s="440">
        <f>IFERROR(INDEX('[9]CN BC'!$J$10:$J$277,MATCH(B184,'[9]CN BC'!$H$10:$H$277,0)),"")</f>
        <v>19</v>
      </c>
      <c r="P184" s="494">
        <f t="shared" si="33"/>
        <v>5054400</v>
      </c>
      <c r="Q184" s="460"/>
      <c r="R184" s="362">
        <f t="shared" si="39"/>
        <v>0</v>
      </c>
      <c r="S184" s="370"/>
      <c r="T184" s="362">
        <f t="shared" si="34"/>
        <v>0</v>
      </c>
      <c r="U184" s="584">
        <f t="shared" si="30"/>
        <v>42120</v>
      </c>
      <c r="V184" s="371">
        <f t="shared" si="32"/>
        <v>5054400</v>
      </c>
      <c r="W184" s="362">
        <f>VLOOKUP(B184,CN!B181:P447,15,FALSE)</f>
        <v>3123900</v>
      </c>
      <c r="X184" s="653">
        <f t="shared" si="35"/>
        <v>1930500</v>
      </c>
      <c r="Y184" s="568">
        <f t="shared" si="31"/>
        <v>173</v>
      </c>
      <c r="Z184" s="493">
        <f>IFERROR(INDEX('[10]CN BC'!$M$10:$M$276,MATCH(B184,'[10]CN BC'!$H$10:$H$276,0)),"")</f>
        <v>0</v>
      </c>
      <c r="AA184" s="141"/>
      <c r="AB184" s="471"/>
      <c r="AC184" s="108"/>
      <c r="AD184" s="155"/>
      <c r="AE184" s="108"/>
      <c r="AF184" s="108"/>
      <c r="AG184" s="108"/>
      <c r="AH184" s="108"/>
      <c r="AI184" s="108"/>
      <c r="AJ184" s="108"/>
    </row>
    <row r="185" spans="1:36" s="372" customFormat="1" ht="24.75" customHeight="1">
      <c r="A185" s="379">
        <f>_xlfn.AGGREGATE(4,7,A$11:A184)+1</f>
        <v>174</v>
      </c>
      <c r="B185" s="390" t="s">
        <v>1927</v>
      </c>
      <c r="C185" s="364"/>
      <c r="D185" s="434" t="s">
        <v>1986</v>
      </c>
      <c r="E185" s="422" t="s">
        <v>1987</v>
      </c>
      <c r="F185" s="473">
        <v>2.34</v>
      </c>
      <c r="G185" s="367"/>
      <c r="H185" s="368">
        <f t="shared" si="36"/>
        <v>2.34</v>
      </c>
      <c r="I185" s="368"/>
      <c r="J185" s="369">
        <f t="shared" si="37"/>
        <v>2.34</v>
      </c>
      <c r="K185" s="362">
        <f t="shared" si="38"/>
        <v>4212000</v>
      </c>
      <c r="L185" s="366" t="str">
        <f>VLOOKUP(B185,'[8]Gui chi Quynh'!$B$11:$E$401,4,FALSE)</f>
        <v>A3</v>
      </c>
      <c r="M185" s="494">
        <f t="shared" si="29"/>
        <v>5054400</v>
      </c>
      <c r="N185" s="376">
        <v>19</v>
      </c>
      <c r="O185" s="440">
        <f>IFERROR(INDEX('[9]CN BC'!$J$10:$J$277,MATCH(B185,'[9]CN BC'!$H$10:$H$277,0)),"")</f>
        <v>19</v>
      </c>
      <c r="P185" s="494">
        <f t="shared" si="33"/>
        <v>5054400</v>
      </c>
      <c r="Q185" s="460"/>
      <c r="R185" s="362">
        <f t="shared" si="39"/>
        <v>0</v>
      </c>
      <c r="S185" s="370"/>
      <c r="T185" s="362">
        <f t="shared" si="34"/>
        <v>0</v>
      </c>
      <c r="U185" s="584">
        <f t="shared" si="30"/>
        <v>42120</v>
      </c>
      <c r="V185" s="371">
        <f t="shared" si="32"/>
        <v>5054400</v>
      </c>
      <c r="W185" s="362" t="e">
        <f>VLOOKUP(B185,CN!B182:P448,15,FALSE)</f>
        <v>#N/A</v>
      </c>
      <c r="X185" s="653" t="e">
        <f t="shared" si="35"/>
        <v>#N/A</v>
      </c>
      <c r="Y185" s="568">
        <f t="shared" si="31"/>
        <v>174</v>
      </c>
      <c r="Z185" s="493">
        <f>IFERROR(INDEX('[10]CN BC'!$M$10:$M$276,MATCH(B185,'[10]CN BC'!$H$10:$H$276,0)),"")</f>
        <v>0</v>
      </c>
      <c r="AA185" s="536"/>
      <c r="AB185" s="541"/>
      <c r="AD185" s="487"/>
    </row>
    <row r="186" spans="1:36" s="372" customFormat="1" ht="24" customHeight="1">
      <c r="A186" s="379">
        <f>_xlfn.AGGREGATE(4,7,A$11:A185)+1</f>
        <v>175</v>
      </c>
      <c r="B186" s="390" t="s">
        <v>1941</v>
      </c>
      <c r="C186" s="364"/>
      <c r="D186" s="434" t="s">
        <v>1989</v>
      </c>
      <c r="E186" s="477" t="s">
        <v>1988</v>
      </c>
      <c r="F186" s="473">
        <v>2.34</v>
      </c>
      <c r="G186" s="367"/>
      <c r="H186" s="368">
        <f t="shared" si="36"/>
        <v>2.34</v>
      </c>
      <c r="I186" s="368"/>
      <c r="J186" s="369">
        <f t="shared" si="37"/>
        <v>2.34</v>
      </c>
      <c r="K186" s="362">
        <f t="shared" si="38"/>
        <v>4212000</v>
      </c>
      <c r="L186" s="366" t="str">
        <f>VLOOKUP(B186,'[8]Gui chi Quynh'!$B$11:$E$401,4,FALSE)</f>
        <v>A3</v>
      </c>
      <c r="M186" s="494">
        <f t="shared" si="29"/>
        <v>5054400</v>
      </c>
      <c r="N186" s="376">
        <v>19</v>
      </c>
      <c r="O186" s="440">
        <f>IFERROR(INDEX('[9]CN BC'!$J$10:$J$277,MATCH(B186,'[9]CN BC'!$H$10:$H$277,0)),"")</f>
        <v>19</v>
      </c>
      <c r="P186" s="494">
        <f t="shared" si="33"/>
        <v>5054400</v>
      </c>
      <c r="Q186" s="460"/>
      <c r="R186" s="362">
        <f t="shared" si="39"/>
        <v>0</v>
      </c>
      <c r="S186" s="370"/>
      <c r="T186" s="362">
        <f t="shared" si="34"/>
        <v>0</v>
      </c>
      <c r="U186" s="584">
        <f t="shared" si="30"/>
        <v>42120</v>
      </c>
      <c r="V186" s="371">
        <f t="shared" si="32"/>
        <v>5054400</v>
      </c>
      <c r="W186" s="362">
        <f>VLOOKUP(B186,CN!B183:P449,15,FALSE)</f>
        <v>3123900</v>
      </c>
      <c r="X186" s="653">
        <f t="shared" si="35"/>
        <v>1930500</v>
      </c>
      <c r="Y186" s="568">
        <f t="shared" si="31"/>
        <v>175</v>
      </c>
      <c r="Z186" s="493">
        <f>IFERROR(INDEX('[10]CN BC'!$M$10:$M$276,MATCH(B186,'[10]CN BC'!$H$10:$H$276,0)),"")</f>
        <v>0</v>
      </c>
      <c r="AA186" s="141"/>
      <c r="AB186" s="471"/>
      <c r="AC186" s="108"/>
      <c r="AD186" s="155"/>
      <c r="AE186" s="108"/>
      <c r="AF186" s="108"/>
      <c r="AG186" s="108"/>
      <c r="AH186" s="108"/>
      <c r="AI186" s="108"/>
      <c r="AJ186" s="108"/>
    </row>
    <row r="187" spans="1:36" s="372" customFormat="1" ht="24" customHeight="1">
      <c r="A187" s="379">
        <f>_xlfn.AGGREGATE(4,7,A$11:A186)+1</f>
        <v>176</v>
      </c>
      <c r="B187" s="390" t="s">
        <v>1942</v>
      </c>
      <c r="C187" s="364"/>
      <c r="D187" s="434" t="s">
        <v>1990</v>
      </c>
      <c r="E187" s="422"/>
      <c r="F187" s="473">
        <v>2.34</v>
      </c>
      <c r="G187" s="367"/>
      <c r="H187" s="368">
        <f t="shared" si="36"/>
        <v>2.34</v>
      </c>
      <c r="I187" s="368"/>
      <c r="J187" s="369">
        <f t="shared" si="37"/>
        <v>2.34</v>
      </c>
      <c r="K187" s="362">
        <f t="shared" si="38"/>
        <v>4212000</v>
      </c>
      <c r="L187" s="366" t="str">
        <f>VLOOKUP(B187,'[8]Gui chi Quynh'!$B$11:$E$401,4,FALSE)</f>
        <v>A4</v>
      </c>
      <c r="M187" s="494">
        <f t="shared" si="29"/>
        <v>4212000</v>
      </c>
      <c r="N187" s="376">
        <v>19</v>
      </c>
      <c r="O187" s="440">
        <f>IFERROR(INDEX('[9]CN BC'!$J$10:$J$277,MATCH(B187,'[9]CN BC'!$H$10:$H$277,0)),"")</f>
        <v>19</v>
      </c>
      <c r="P187" s="494">
        <f t="shared" si="33"/>
        <v>4212000</v>
      </c>
      <c r="Q187" s="460"/>
      <c r="R187" s="362">
        <f t="shared" si="39"/>
        <v>0</v>
      </c>
      <c r="S187" s="370"/>
      <c r="T187" s="362">
        <f t="shared" si="34"/>
        <v>0</v>
      </c>
      <c r="U187" s="584">
        <f t="shared" si="30"/>
        <v>42120</v>
      </c>
      <c r="V187" s="371">
        <f t="shared" si="32"/>
        <v>4212000</v>
      </c>
      <c r="W187" s="362" t="e">
        <f>VLOOKUP(B187,CN!B184:P450,15,FALSE)</f>
        <v>#N/A</v>
      </c>
      <c r="X187" s="653" t="e">
        <f t="shared" si="35"/>
        <v>#N/A</v>
      </c>
      <c r="Y187" s="568">
        <f t="shared" si="31"/>
        <v>176</v>
      </c>
      <c r="Z187" s="493">
        <f>IFERROR(INDEX('[10]CN BC'!$M$10:$M$276,MATCH(B187,'[10]CN BC'!$H$10:$H$276,0)),"")</f>
        <v>0</v>
      </c>
      <c r="AA187" s="141"/>
      <c r="AB187" s="471"/>
      <c r="AC187" s="108"/>
      <c r="AD187" s="155"/>
      <c r="AE187" s="108"/>
      <c r="AF187" s="108"/>
      <c r="AG187" s="108"/>
      <c r="AH187" s="108"/>
      <c r="AI187" s="108"/>
      <c r="AJ187" s="108"/>
    </row>
    <row r="188" spans="1:36" s="372" customFormat="1" ht="24" customHeight="1">
      <c r="A188" s="379">
        <f>_xlfn.AGGREGATE(4,7,A$11:A187)+1</f>
        <v>177</v>
      </c>
      <c r="B188" s="390" t="s">
        <v>1945</v>
      </c>
      <c r="C188" s="364"/>
      <c r="D188" s="379" t="s">
        <v>1948</v>
      </c>
      <c r="E188" s="422" t="s">
        <v>1949</v>
      </c>
      <c r="F188" s="473">
        <v>3.33</v>
      </c>
      <c r="G188" s="367"/>
      <c r="H188" s="445">
        <f t="shared" si="36"/>
        <v>3.33</v>
      </c>
      <c r="I188" s="368"/>
      <c r="J188" s="369">
        <f t="shared" si="37"/>
        <v>3.33</v>
      </c>
      <c r="K188" s="362">
        <f t="shared" si="38"/>
        <v>5994000</v>
      </c>
      <c r="L188" s="366" t="str">
        <f>VLOOKUP(B188,'[8]Gui chi Quynh'!$B$11:$E$401,4,FALSE)</f>
        <v>A4</v>
      </c>
      <c r="M188" s="494">
        <f t="shared" ref="M188:M199" si="40">IF(L188="A1",K188*1.6,IF(L188="A2",K188*1.4,IF(L188="A3",K188*1.2,IF(L188="A4",K188*1,IF(L188="B1",K188*0.7,IF(L188="B2",K188*0.5,IF(L188="C1",K188*0.3,IF(L188="C2",K188*0.2,0))))))))</f>
        <v>5994000</v>
      </c>
      <c r="N188" s="376">
        <v>19</v>
      </c>
      <c r="O188" s="440">
        <f>IFERROR(INDEX('[9]CN BC'!$J$10:$J$277,MATCH(B188,'[9]CN BC'!$H$10:$H$277,0)),"")</f>
        <v>19</v>
      </c>
      <c r="P188" s="494">
        <f t="shared" si="33"/>
        <v>5994000</v>
      </c>
      <c r="Q188" s="460"/>
      <c r="R188" s="362">
        <f t="shared" si="39"/>
        <v>0</v>
      </c>
      <c r="S188" s="370"/>
      <c r="T188" s="362">
        <f t="shared" si="34"/>
        <v>0</v>
      </c>
      <c r="U188" s="584">
        <f t="shared" si="30"/>
        <v>59940</v>
      </c>
      <c r="V188" s="371">
        <f t="shared" si="32"/>
        <v>5994000</v>
      </c>
      <c r="W188" s="362">
        <f>VLOOKUP(B188,CN!B185:P451,15,FALSE)</f>
        <v>4282200</v>
      </c>
      <c r="X188" s="653">
        <f t="shared" si="35"/>
        <v>1711800</v>
      </c>
      <c r="Y188" s="568">
        <f t="shared" si="31"/>
        <v>177</v>
      </c>
      <c r="Z188" s="493">
        <f>IFERROR(INDEX('[10]CN BC'!$M$10:$M$276,MATCH(B188,'[10]CN BC'!$H$10:$H$276,0)),"")</f>
        <v>0</v>
      </c>
      <c r="AA188" s="141"/>
      <c r="AB188" s="471"/>
      <c r="AC188" s="108"/>
      <c r="AD188" s="487"/>
    </row>
    <row r="189" spans="1:36" s="372" customFormat="1" ht="24" customHeight="1">
      <c r="A189" s="379">
        <f>_xlfn.AGGREGATE(4,7,A$11:A188)+1</f>
        <v>178</v>
      </c>
      <c r="B189" s="390" t="s">
        <v>2003</v>
      </c>
      <c r="C189" s="364"/>
      <c r="D189" s="379"/>
      <c r="E189" s="422"/>
      <c r="F189" s="463">
        <v>3.33</v>
      </c>
      <c r="G189" s="367"/>
      <c r="H189" s="445">
        <f t="shared" si="36"/>
        <v>3.33</v>
      </c>
      <c r="I189" s="368"/>
      <c r="J189" s="369">
        <f t="shared" si="37"/>
        <v>3.33</v>
      </c>
      <c r="K189" s="362">
        <f t="shared" si="38"/>
        <v>5994000</v>
      </c>
      <c r="L189" s="366" t="str">
        <f>VLOOKUP(B189,'[8]Gui chi Quynh'!$B$11:$E$401,4,FALSE)</f>
        <v>A4</v>
      </c>
      <c r="M189" s="494">
        <f t="shared" si="40"/>
        <v>5994000</v>
      </c>
      <c r="N189" s="376">
        <v>19</v>
      </c>
      <c r="O189" s="440">
        <f>IFERROR(INDEX('[9]CN BC'!$J$10:$J$277,MATCH(B189,'[9]CN BC'!$H$10:$H$277,0)),"")</f>
        <v>19</v>
      </c>
      <c r="P189" s="494">
        <f t="shared" si="33"/>
        <v>5994000</v>
      </c>
      <c r="Q189" s="460"/>
      <c r="R189" s="362">
        <f t="shared" si="39"/>
        <v>0</v>
      </c>
      <c r="S189" s="370"/>
      <c r="T189" s="362">
        <f t="shared" si="34"/>
        <v>0</v>
      </c>
      <c r="U189" s="584">
        <f t="shared" si="30"/>
        <v>59940</v>
      </c>
      <c r="V189" s="371">
        <f t="shared" si="32"/>
        <v>5994000</v>
      </c>
      <c r="W189" s="362">
        <f>VLOOKUP(B189,CN!B186:P452,15,FALSE)</f>
        <v>3896100</v>
      </c>
      <c r="X189" s="653">
        <f t="shared" si="35"/>
        <v>2097900</v>
      </c>
      <c r="Y189" s="568">
        <f t="shared" si="31"/>
        <v>178</v>
      </c>
      <c r="Z189" s="493">
        <f>IFERROR(INDEX('[10]CN BC'!$M$10:$M$276,MATCH(B189,'[10]CN BC'!$H$10:$H$276,0)),"")</f>
        <v>0</v>
      </c>
      <c r="AA189" s="141"/>
      <c r="AB189" s="471"/>
      <c r="AC189" s="108"/>
      <c r="AD189" s="487"/>
    </row>
    <row r="190" spans="1:36" s="372" customFormat="1" ht="24" customHeight="1">
      <c r="A190" s="379">
        <f>_xlfn.AGGREGATE(4,7,A$11:A189)+1</f>
        <v>179</v>
      </c>
      <c r="B190" s="390" t="s">
        <v>2010</v>
      </c>
      <c r="C190" s="364"/>
      <c r="D190" s="379"/>
      <c r="E190" s="422"/>
      <c r="F190" s="463">
        <v>1.9890000000000001</v>
      </c>
      <c r="G190" s="367"/>
      <c r="H190" s="445">
        <f t="shared" si="36"/>
        <v>1.9890000000000001</v>
      </c>
      <c r="I190" s="368"/>
      <c r="J190" s="369">
        <f t="shared" si="37"/>
        <v>1.9890000000000001</v>
      </c>
      <c r="K190" s="362">
        <f t="shared" si="38"/>
        <v>3580200</v>
      </c>
      <c r="L190" s="366" t="str">
        <f>VLOOKUP(B190,'[8]Gui chi Quynh'!$B$11:$E$401,4,FALSE)</f>
        <v>A3</v>
      </c>
      <c r="M190" s="494">
        <f t="shared" si="40"/>
        <v>4296240</v>
      </c>
      <c r="N190" s="376">
        <v>19</v>
      </c>
      <c r="O190" s="440">
        <f>IFERROR(INDEX('[9]CN BC'!$J$10:$J$277,MATCH(B190,'[9]CN BC'!$H$10:$H$277,0)),"")</f>
        <v>19</v>
      </c>
      <c r="P190" s="494">
        <f t="shared" si="33"/>
        <v>4296240</v>
      </c>
      <c r="Q190" s="460"/>
      <c r="R190" s="362">
        <f t="shared" si="39"/>
        <v>0</v>
      </c>
      <c r="S190" s="370"/>
      <c r="T190" s="362">
        <f t="shared" si="34"/>
        <v>0</v>
      </c>
      <c r="U190" s="584">
        <f t="shared" si="30"/>
        <v>35802</v>
      </c>
      <c r="V190" s="371">
        <f t="shared" si="32"/>
        <v>4296240</v>
      </c>
      <c r="W190" s="362">
        <f>VLOOKUP(B190,CN!B187:P453,15,FALSE)</f>
        <v>2737800</v>
      </c>
      <c r="X190" s="653">
        <f t="shared" si="35"/>
        <v>1558440</v>
      </c>
      <c r="Y190" s="568">
        <f t="shared" si="31"/>
        <v>179</v>
      </c>
      <c r="Z190" s="493">
        <f>IFERROR(INDEX('[10]CN BC'!$M$10:$M$276,MATCH(B190,'[10]CN BC'!$H$10:$H$276,0)),"")</f>
        <v>0</v>
      </c>
      <c r="AA190" s="536"/>
      <c r="AB190" s="541"/>
      <c r="AD190" s="487"/>
    </row>
    <row r="191" spans="1:36" s="372" customFormat="1" ht="24" customHeight="1">
      <c r="A191" s="379">
        <f>_xlfn.AGGREGATE(4,7,A$11:A190)+1</f>
        <v>180</v>
      </c>
      <c r="B191" s="363" t="s">
        <v>1554</v>
      </c>
      <c r="C191" s="364" t="s">
        <v>1197</v>
      </c>
      <c r="D191" s="434" t="s">
        <v>1818</v>
      </c>
      <c r="E191" s="435" t="s">
        <v>1570</v>
      </c>
      <c r="F191" s="373">
        <v>3.66</v>
      </c>
      <c r="G191" s="367"/>
      <c r="H191" s="445">
        <f t="shared" si="36"/>
        <v>3.66</v>
      </c>
      <c r="I191" s="447">
        <v>0.45</v>
      </c>
      <c r="J191" s="369">
        <f t="shared" si="37"/>
        <v>4.1100000000000003</v>
      </c>
      <c r="K191" s="362">
        <f t="shared" si="38"/>
        <v>7398000.0000000009</v>
      </c>
      <c r="L191" s="366" t="str">
        <f>VLOOKUP(B191,'[8]Gui chi Quynh'!$B$11:$E$401,4,FALSE)</f>
        <v>A3</v>
      </c>
      <c r="M191" s="494">
        <f t="shared" si="40"/>
        <v>8877600</v>
      </c>
      <c r="N191" s="376">
        <v>19</v>
      </c>
      <c r="O191" s="440">
        <f>IFERROR(INDEX('[9]CN BC'!$J$10:$J$277,MATCH(B191,'[9]CN BC'!$H$10:$H$277,0)),"")</f>
        <v>19</v>
      </c>
      <c r="P191" s="494">
        <f t="shared" si="33"/>
        <v>8877600</v>
      </c>
      <c r="Q191" s="460"/>
      <c r="R191" s="362">
        <f t="shared" si="39"/>
        <v>0</v>
      </c>
      <c r="S191" s="370"/>
      <c r="T191" s="362">
        <f t="shared" si="34"/>
        <v>0</v>
      </c>
      <c r="U191" s="584">
        <f t="shared" si="30"/>
        <v>73980</v>
      </c>
      <c r="V191" s="371">
        <f t="shared" ref="V191:V199" si="41">(P191+R191+T191)</f>
        <v>8877600</v>
      </c>
      <c r="W191" s="362" t="e">
        <f>VLOOKUP(B191,CN!B188:P454,15,FALSE)</f>
        <v>#N/A</v>
      </c>
      <c r="X191" s="653" t="e">
        <f t="shared" si="35"/>
        <v>#N/A</v>
      </c>
      <c r="Y191" s="568">
        <f t="shared" si="31"/>
        <v>180</v>
      </c>
      <c r="Z191" s="493">
        <f>IFERROR(INDEX('[10]CN BC'!$M$10:$M$276,MATCH(B191,'[10]CN BC'!$H$10:$H$276,0)),"")</f>
        <v>0</v>
      </c>
      <c r="AA191" s="141"/>
      <c r="AB191" s="108"/>
      <c r="AC191" s="108"/>
      <c r="AD191" s="155"/>
      <c r="AE191" s="108"/>
      <c r="AF191" s="108"/>
      <c r="AG191" s="108"/>
      <c r="AH191" s="108"/>
      <c r="AI191" s="108"/>
      <c r="AJ191" s="108"/>
    </row>
    <row r="192" spans="1:36" s="372" customFormat="1" ht="24" customHeight="1">
      <c r="A192" s="379">
        <f>_xlfn.AGGREGATE(4,7,A$11:A191)+1</f>
        <v>181</v>
      </c>
      <c r="B192" s="363" t="s">
        <v>1920</v>
      </c>
      <c r="C192" s="364" t="s">
        <v>1051</v>
      </c>
      <c r="D192" s="434" t="s">
        <v>1819</v>
      </c>
      <c r="E192" s="423" t="s">
        <v>1414</v>
      </c>
      <c r="F192" s="366">
        <v>4.6500000000000004</v>
      </c>
      <c r="G192" s="367"/>
      <c r="H192" s="368">
        <f t="shared" si="36"/>
        <v>4.6500000000000004</v>
      </c>
      <c r="I192" s="472">
        <v>0.25</v>
      </c>
      <c r="J192" s="369">
        <f t="shared" si="37"/>
        <v>4.9000000000000004</v>
      </c>
      <c r="K192" s="362">
        <f t="shared" si="38"/>
        <v>8820000</v>
      </c>
      <c r="L192" s="366" t="str">
        <f>VLOOKUP(B192,'[8]Gui chi Quynh'!$B$11:$E$401,4,FALSE)</f>
        <v>A3</v>
      </c>
      <c r="M192" s="494">
        <f t="shared" si="40"/>
        <v>10584000</v>
      </c>
      <c r="N192" s="376">
        <v>19</v>
      </c>
      <c r="O192" s="440">
        <f>IFERROR(INDEX('[9]CN BC'!$J$10:$J$277,MATCH(B192,'[9]CN BC'!$H$10:$H$277,0)),"")</f>
        <v>19</v>
      </c>
      <c r="P192" s="494">
        <f t="shared" si="33"/>
        <v>10584000</v>
      </c>
      <c r="Q192" s="460"/>
      <c r="R192" s="362">
        <f t="shared" si="39"/>
        <v>0</v>
      </c>
      <c r="S192" s="370"/>
      <c r="T192" s="362">
        <f t="shared" si="34"/>
        <v>0</v>
      </c>
      <c r="U192" s="584">
        <f t="shared" si="30"/>
        <v>88200</v>
      </c>
      <c r="V192" s="371">
        <f t="shared" si="41"/>
        <v>10584000</v>
      </c>
      <c r="W192" s="362">
        <f>VLOOKUP(B192,CN!B189:P455,15,FALSE)</f>
        <v>6119100.0000000009</v>
      </c>
      <c r="X192" s="653">
        <f t="shared" si="35"/>
        <v>4464899.9999999991</v>
      </c>
      <c r="Y192" s="568">
        <f t="shared" si="31"/>
        <v>181</v>
      </c>
      <c r="Z192" s="493">
        <f>IFERROR(INDEX('[10]CN BC'!$M$10:$M$276,MATCH(B192,'[10]CN BC'!$H$10:$H$276,0)),"")</f>
        <v>0</v>
      </c>
      <c r="AA192" s="141"/>
      <c r="AB192" s="108"/>
      <c r="AC192" s="108"/>
      <c r="AD192" s="155"/>
      <c r="AE192" s="108"/>
      <c r="AF192" s="108"/>
      <c r="AG192" s="108"/>
      <c r="AH192" s="108"/>
      <c r="AI192" s="108"/>
      <c r="AJ192" s="108"/>
    </row>
    <row r="193" spans="1:40" s="372" customFormat="1" ht="24" customHeight="1">
      <c r="A193" s="379">
        <f>_xlfn.AGGREGATE(4,7,A$11:A192)+1</f>
        <v>182</v>
      </c>
      <c r="B193" s="363" t="s">
        <v>1921</v>
      </c>
      <c r="C193" s="364" t="s">
        <v>1083</v>
      </c>
      <c r="D193" s="406" t="s">
        <v>1820</v>
      </c>
      <c r="E193" s="423" t="s">
        <v>1415</v>
      </c>
      <c r="F193" s="366">
        <v>4.6500000000000004</v>
      </c>
      <c r="G193" s="367"/>
      <c r="H193" s="368">
        <f t="shared" si="36"/>
        <v>4.6500000000000004</v>
      </c>
      <c r="I193" s="395">
        <v>0.25</v>
      </c>
      <c r="J193" s="369">
        <f t="shared" si="37"/>
        <v>4.9000000000000004</v>
      </c>
      <c r="K193" s="362">
        <f t="shared" si="38"/>
        <v>8820000</v>
      </c>
      <c r="L193" s="366" t="str">
        <f>VLOOKUP(B193,'[8]Gui chi Quynh'!$B$11:$E$401,4,FALSE)</f>
        <v>A3</v>
      </c>
      <c r="M193" s="494">
        <f t="shared" si="40"/>
        <v>10584000</v>
      </c>
      <c r="N193" s="376">
        <v>19</v>
      </c>
      <c r="O193" s="440">
        <f>IFERROR(INDEX('[9]CN BC'!$J$10:$J$277,MATCH(B193,'[9]CN BC'!$H$10:$H$277,0)),"")</f>
        <v>19</v>
      </c>
      <c r="P193" s="494">
        <f t="shared" si="33"/>
        <v>10584000</v>
      </c>
      <c r="Q193" s="392"/>
      <c r="R193" s="362">
        <f t="shared" si="39"/>
        <v>0</v>
      </c>
      <c r="S193" s="385"/>
      <c r="T193" s="362">
        <f t="shared" si="34"/>
        <v>0</v>
      </c>
      <c r="U193" s="584">
        <f t="shared" si="30"/>
        <v>88200</v>
      </c>
      <c r="V193" s="371">
        <f t="shared" si="41"/>
        <v>10584000</v>
      </c>
      <c r="W193" s="362">
        <f>VLOOKUP(B193,CN!B190:P456,15,FALSE)</f>
        <v>6879600</v>
      </c>
      <c r="X193" s="653">
        <f t="shared" si="35"/>
        <v>3704400</v>
      </c>
      <c r="Y193" s="568">
        <f t="shared" si="31"/>
        <v>182</v>
      </c>
      <c r="Z193" s="493">
        <f>IFERROR(INDEX('[10]CN BC'!$M$10:$M$276,MATCH(B193,'[10]CN BC'!$H$10:$H$276,0)),"")</f>
        <v>0</v>
      </c>
      <c r="AA193" s="141"/>
      <c r="AB193" s="108"/>
      <c r="AC193" s="108"/>
      <c r="AD193" s="155"/>
      <c r="AE193" s="108"/>
      <c r="AF193" s="108"/>
      <c r="AG193" s="108"/>
      <c r="AH193" s="108"/>
      <c r="AI193" s="108"/>
      <c r="AJ193" s="108"/>
      <c r="AK193" s="108"/>
      <c r="AL193" s="108"/>
      <c r="AM193" s="108"/>
      <c r="AN193" s="108"/>
    </row>
    <row r="194" spans="1:40" s="372" customFormat="1" ht="30" customHeight="1">
      <c r="A194" s="543">
        <f>_xlfn.AGGREGATE(4,7,A$11:A193)+1</f>
        <v>183</v>
      </c>
      <c r="B194" s="575" t="s">
        <v>1922</v>
      </c>
      <c r="C194" s="527" t="s">
        <v>863</v>
      </c>
      <c r="D194" s="576" t="s">
        <v>1821</v>
      </c>
      <c r="E194" s="577" t="s">
        <v>392</v>
      </c>
      <c r="F194" s="578">
        <v>3.66</v>
      </c>
      <c r="G194" s="528"/>
      <c r="H194" s="472">
        <f t="shared" si="36"/>
        <v>3.66</v>
      </c>
      <c r="I194" s="472"/>
      <c r="J194" s="529">
        <f t="shared" si="37"/>
        <v>3.66</v>
      </c>
      <c r="K194" s="530">
        <f t="shared" si="38"/>
        <v>6588000</v>
      </c>
      <c r="L194" s="548" t="str">
        <f>VLOOKUP(B194,'[8]Gui chi Quynh'!$B$11:$E$401,4,FALSE)</f>
        <v>B2</v>
      </c>
      <c r="M194" s="531">
        <f t="shared" si="40"/>
        <v>3294000</v>
      </c>
      <c r="N194" s="376">
        <v>19</v>
      </c>
      <c r="O194" s="532">
        <f>IFERROR(INDEX('[9]CN BC'!$J$10:$J$277,MATCH(B194,'[9]CN BC'!$H$10:$H$277,0)),"")</f>
        <v>19</v>
      </c>
      <c r="P194" s="531">
        <f t="shared" si="33"/>
        <v>3294000</v>
      </c>
      <c r="Q194" s="533"/>
      <c r="R194" s="530">
        <f t="shared" si="39"/>
        <v>0</v>
      </c>
      <c r="S194" s="534"/>
      <c r="T194" s="530">
        <f t="shared" si="34"/>
        <v>0</v>
      </c>
      <c r="U194" s="530">
        <f t="shared" si="30"/>
        <v>65880</v>
      </c>
      <c r="V194" s="547">
        <f t="shared" si="41"/>
        <v>3294000</v>
      </c>
      <c r="W194" s="362">
        <f>VLOOKUP(B194,CN!B191:P457,15,FALSE)</f>
        <v>4668300</v>
      </c>
      <c r="X194" s="653">
        <f t="shared" si="35"/>
        <v>-1374300</v>
      </c>
      <c r="Y194" s="571">
        <f t="shared" si="31"/>
        <v>183</v>
      </c>
      <c r="Z194" s="550" t="s">
        <v>2026</v>
      </c>
      <c r="AA194" s="536"/>
      <c r="AD194" s="487"/>
    </row>
    <row r="195" spans="1:40" s="372" customFormat="1" ht="24" customHeight="1">
      <c r="A195" s="379">
        <f>_xlfn.AGGREGATE(4,7,A$11:A194)+1</f>
        <v>184</v>
      </c>
      <c r="B195" s="363" t="s">
        <v>1923</v>
      </c>
      <c r="C195" s="364" t="s">
        <v>1013</v>
      </c>
      <c r="D195" s="434" t="s">
        <v>1822</v>
      </c>
      <c r="E195" s="428" t="s">
        <v>511</v>
      </c>
      <c r="F195" s="373">
        <v>3.66</v>
      </c>
      <c r="G195" s="367"/>
      <c r="H195" s="445">
        <f t="shared" si="36"/>
        <v>3.66</v>
      </c>
      <c r="I195" s="368"/>
      <c r="J195" s="369">
        <f t="shared" si="37"/>
        <v>3.66</v>
      </c>
      <c r="K195" s="362">
        <f t="shared" si="38"/>
        <v>6588000</v>
      </c>
      <c r="L195" s="366" t="str">
        <f>VLOOKUP(B195,'[8]Gui chi Quynh'!$B$11:$E$401,4,FALSE)</f>
        <v>A4</v>
      </c>
      <c r="M195" s="494">
        <f t="shared" si="40"/>
        <v>6588000</v>
      </c>
      <c r="N195" s="376">
        <v>19</v>
      </c>
      <c r="O195" s="440">
        <f>IFERROR(INDEX('[9]CN BC'!$J$10:$J$277,MATCH(B195,'[9]CN BC'!$H$10:$H$277,0)),"")</f>
        <v>19</v>
      </c>
      <c r="P195" s="494">
        <f>IF(O195&gt;=N195,M195,M195/N195*O195)</f>
        <v>6588000</v>
      </c>
      <c r="Q195" s="460"/>
      <c r="R195" s="362">
        <f t="shared" si="39"/>
        <v>0</v>
      </c>
      <c r="S195" s="370"/>
      <c r="T195" s="362">
        <f t="shared" si="34"/>
        <v>0</v>
      </c>
      <c r="U195" s="584">
        <f t="shared" si="30"/>
        <v>65880</v>
      </c>
      <c r="V195" s="371">
        <f t="shared" si="41"/>
        <v>6588000</v>
      </c>
      <c r="W195" s="362">
        <f>VLOOKUP(B195,CN!B192:P458,15,FALSE)</f>
        <v>5138640</v>
      </c>
      <c r="X195" s="653">
        <f t="shared" si="35"/>
        <v>1449360</v>
      </c>
      <c r="Y195" s="568">
        <f t="shared" ref="Y195:Y199" si="42">A195</f>
        <v>184</v>
      </c>
      <c r="Z195" s="493">
        <f>IFERROR(INDEX('[10]CN BC'!$M$10:$M$276,MATCH(B195,'[10]CN BC'!$H$10:$H$276,0)),"")</f>
        <v>0</v>
      </c>
      <c r="AA195" s="141"/>
      <c r="AB195" s="108"/>
      <c r="AC195" s="108"/>
      <c r="AD195" s="487"/>
    </row>
    <row r="196" spans="1:40" s="372" customFormat="1" ht="24" customHeight="1">
      <c r="A196" s="379">
        <f>_xlfn.AGGREGATE(4,7,A$11:A195)+1</f>
        <v>185</v>
      </c>
      <c r="B196" s="363" t="s">
        <v>1552</v>
      </c>
      <c r="C196" s="364" t="s">
        <v>981</v>
      </c>
      <c r="D196" s="434" t="s">
        <v>1823</v>
      </c>
      <c r="E196" s="423" t="s">
        <v>1418</v>
      </c>
      <c r="F196" s="366">
        <v>4.32</v>
      </c>
      <c r="G196" s="367"/>
      <c r="H196" s="368">
        <f t="shared" si="36"/>
        <v>4.32</v>
      </c>
      <c r="I196" s="368"/>
      <c r="J196" s="369">
        <f t="shared" si="37"/>
        <v>4.32</v>
      </c>
      <c r="K196" s="362">
        <f t="shared" si="38"/>
        <v>7776000.0000000009</v>
      </c>
      <c r="L196" s="366" t="str">
        <f>VLOOKUP(B196,'[8]Gui chi Quynh'!$B$11:$E$401,4,FALSE)</f>
        <v>A4</v>
      </c>
      <c r="M196" s="494">
        <f t="shared" si="40"/>
        <v>7776000.0000000009</v>
      </c>
      <c r="N196" s="376">
        <v>19</v>
      </c>
      <c r="O196" s="440">
        <f>IFERROR(INDEX('[9]CN BC'!$J$10:$J$277,MATCH(B196,'[9]CN BC'!$H$10:$H$277,0)),"")</f>
        <v>19</v>
      </c>
      <c r="P196" s="494">
        <f>IF(O196&gt;=N196,M196,M196/N196*O196)</f>
        <v>7776000.0000000009</v>
      </c>
      <c r="Q196" s="460"/>
      <c r="R196" s="362">
        <f t="shared" si="39"/>
        <v>0</v>
      </c>
      <c r="S196" s="370"/>
      <c r="T196" s="362">
        <f t="shared" si="34"/>
        <v>0</v>
      </c>
      <c r="U196" s="584">
        <f t="shared" si="30"/>
        <v>77760</v>
      </c>
      <c r="V196" s="371">
        <f t="shared" si="41"/>
        <v>7776000.0000000009</v>
      </c>
      <c r="W196" s="362">
        <f>VLOOKUP(B196,CN!B193:P459,15,FALSE)</f>
        <v>5440500</v>
      </c>
      <c r="X196" s="653">
        <f t="shared" si="35"/>
        <v>2335500.0000000009</v>
      </c>
      <c r="Y196" s="568">
        <f t="shared" si="42"/>
        <v>185</v>
      </c>
      <c r="Z196" s="493">
        <f>IFERROR(INDEX('[10]CN BC'!$M$10:$M$276,MATCH(B196,'[10]CN BC'!$H$10:$H$276,0)),"")</f>
        <v>0</v>
      </c>
      <c r="AA196" s="141"/>
      <c r="AB196" s="108"/>
      <c r="AC196" s="108"/>
      <c r="AD196" s="487"/>
    </row>
    <row r="197" spans="1:40" s="372" customFormat="1" ht="24" customHeight="1">
      <c r="A197" s="379">
        <f>_xlfn.AGGREGATE(4,7,A$11:A196)+1</f>
        <v>186</v>
      </c>
      <c r="B197" s="363" t="s">
        <v>1940</v>
      </c>
      <c r="C197" s="364"/>
      <c r="D197" s="434" t="s">
        <v>1991</v>
      </c>
      <c r="E197" s="423" t="s">
        <v>1992</v>
      </c>
      <c r="F197" s="373">
        <v>3.33</v>
      </c>
      <c r="G197" s="367"/>
      <c r="H197" s="445">
        <f t="shared" si="36"/>
        <v>3.33</v>
      </c>
      <c r="I197" s="368"/>
      <c r="J197" s="369">
        <f t="shared" si="37"/>
        <v>3.33</v>
      </c>
      <c r="K197" s="362">
        <f t="shared" si="38"/>
        <v>5994000</v>
      </c>
      <c r="L197" s="366" t="str">
        <f>VLOOKUP(B197,'[8]Gui chi Quynh'!$B$11:$E$401,4,FALSE)</f>
        <v>A4</v>
      </c>
      <c r="M197" s="494">
        <f t="shared" si="40"/>
        <v>5994000</v>
      </c>
      <c r="N197" s="376">
        <v>19</v>
      </c>
      <c r="O197" s="440">
        <f>IFERROR(INDEX('[9]CN BC'!$J$10:$J$277,MATCH(B197,'[9]CN BC'!$H$10:$H$277,0)),"")</f>
        <v>19</v>
      </c>
      <c r="P197" s="494">
        <f>IF(O197&gt;=N197,M197,M197/N197*O197)</f>
        <v>5994000</v>
      </c>
      <c r="Q197" s="460"/>
      <c r="R197" s="362">
        <f t="shared" si="39"/>
        <v>0</v>
      </c>
      <c r="S197" s="370"/>
      <c r="T197" s="362">
        <f>S197*$G$8*1</f>
        <v>0</v>
      </c>
      <c r="U197" s="584">
        <f t="shared" ref="U197:U199" si="43">IF(OR(L197="A DN",L197="KXL", L197=""),"0",ROUND(J197*0.01*$G$8+Q197*1%*$G$8+S197*1%*$G$8,))</f>
        <v>59940</v>
      </c>
      <c r="V197" s="371">
        <f t="shared" si="41"/>
        <v>5994000</v>
      </c>
      <c r="W197" s="362">
        <f>VLOOKUP(B197,CN!B194:P460,15,FALSE)</f>
        <v>5454540</v>
      </c>
      <c r="X197" s="653">
        <f t="shared" si="35"/>
        <v>539460</v>
      </c>
      <c r="Y197" s="568">
        <f t="shared" si="42"/>
        <v>186</v>
      </c>
      <c r="Z197" s="493">
        <f>IFERROR(INDEX('[10]CN BC'!$M$10:$M$276,MATCH(B197,'[10]CN BC'!$H$10:$H$276,0)),"")</f>
        <v>0</v>
      </c>
      <c r="AA197" s="141"/>
      <c r="AB197" s="108"/>
      <c r="AC197" s="108"/>
      <c r="AD197" s="155"/>
      <c r="AE197" s="108"/>
      <c r="AF197" s="108"/>
      <c r="AG197" s="108"/>
      <c r="AH197" s="108"/>
      <c r="AI197" s="108"/>
      <c r="AJ197" s="108"/>
    </row>
    <row r="198" spans="1:40" s="108" customFormat="1" ht="24" customHeight="1">
      <c r="A198" s="379">
        <f>_xlfn.AGGREGATE(4,7,A$11:A197)+1</f>
        <v>187</v>
      </c>
      <c r="B198" s="33" t="s">
        <v>1553</v>
      </c>
      <c r="C198" s="403" t="s">
        <v>501</v>
      </c>
      <c r="D198" s="406" t="s">
        <v>1824</v>
      </c>
      <c r="E198" s="436">
        <v>1603205246186</v>
      </c>
      <c r="F198" s="366">
        <v>4.9800000000000004</v>
      </c>
      <c r="G198" s="367"/>
      <c r="H198" s="368">
        <f t="shared" si="36"/>
        <v>4.9800000000000004</v>
      </c>
      <c r="I198" s="368"/>
      <c r="J198" s="369">
        <f t="shared" si="37"/>
        <v>4.9800000000000004</v>
      </c>
      <c r="K198" s="362">
        <f t="shared" si="38"/>
        <v>8964000</v>
      </c>
      <c r="L198" s="366" t="str">
        <f>VLOOKUP(B198,'[8]Gui chi Quynh'!$B$11:$E$401,4,FALSE)</f>
        <v>A4</v>
      </c>
      <c r="M198" s="494">
        <f t="shared" si="40"/>
        <v>8964000</v>
      </c>
      <c r="N198" s="376">
        <v>19</v>
      </c>
      <c r="O198" s="440">
        <f>IFERROR(INDEX('[9]CN BC'!$J$10:$J$277,MATCH(B198,'[9]CN BC'!$H$10:$H$277,0)),"")</f>
        <v>19</v>
      </c>
      <c r="P198" s="494">
        <f>IF(O198&gt;=N198,M198,M198/N198*O198)</f>
        <v>8964000</v>
      </c>
      <c r="Q198" s="392"/>
      <c r="R198" s="362">
        <f t="shared" si="39"/>
        <v>0</v>
      </c>
      <c r="S198" s="404"/>
      <c r="T198" s="362">
        <f>S198*$G$8*1</f>
        <v>0</v>
      </c>
      <c r="U198" s="584">
        <f t="shared" si="43"/>
        <v>89640</v>
      </c>
      <c r="V198" s="371">
        <f t="shared" si="41"/>
        <v>8964000</v>
      </c>
      <c r="W198" s="362">
        <f>VLOOKUP(B198,CN!B195:P461,15,FALSE)</f>
        <v>6117930</v>
      </c>
      <c r="X198" s="653">
        <f t="shared" si="35"/>
        <v>2846070</v>
      </c>
      <c r="Y198" s="568">
        <f t="shared" si="42"/>
        <v>187</v>
      </c>
      <c r="Z198" s="493">
        <f>IFERROR(INDEX('[10]CN BC'!$M$10:$M$276,MATCH(B198,'[10]CN BC'!$H$10:$H$276,0)),"")</f>
        <v>0</v>
      </c>
      <c r="AA198" s="141"/>
      <c r="AD198" s="155"/>
    </row>
    <row r="199" spans="1:40" s="372" customFormat="1" ht="24" customHeight="1">
      <c r="A199" s="379">
        <f>_xlfn.AGGREGATE(4,7,A$11:A198)+1</f>
        <v>188</v>
      </c>
      <c r="B199" s="363" t="s">
        <v>1560</v>
      </c>
      <c r="C199" s="364"/>
      <c r="D199" s="483" t="s">
        <v>1825</v>
      </c>
      <c r="E199" s="484">
        <v>1603215002692</v>
      </c>
      <c r="F199" s="373">
        <v>3.33</v>
      </c>
      <c r="G199" s="367"/>
      <c r="H199" s="445">
        <f t="shared" si="36"/>
        <v>3.33</v>
      </c>
      <c r="I199" s="368">
        <v>0.35</v>
      </c>
      <c r="J199" s="369">
        <f t="shared" si="37"/>
        <v>3.68</v>
      </c>
      <c r="K199" s="362">
        <f t="shared" si="38"/>
        <v>6624000</v>
      </c>
      <c r="L199" s="366" t="str">
        <f>VLOOKUP(B199,'[8]Gui chi Quynh'!$B$11:$E$401,4,FALSE)</f>
        <v>A3</v>
      </c>
      <c r="M199" s="494">
        <f t="shared" si="40"/>
        <v>7948800</v>
      </c>
      <c r="N199" s="376">
        <v>19</v>
      </c>
      <c r="O199" s="440">
        <f>IFERROR(INDEX('[9]CN BC'!$J$10:$J$277,MATCH(B199,'[9]CN BC'!$H$10:$H$277,0)),"")</f>
        <v>19</v>
      </c>
      <c r="P199" s="494">
        <f>IF(O199&gt;=N199,M199,M199/N199*O199)</f>
        <v>7948800</v>
      </c>
      <c r="Q199" s="392"/>
      <c r="R199" s="362">
        <f t="shared" si="39"/>
        <v>0</v>
      </c>
      <c r="S199" s="385"/>
      <c r="T199" s="362">
        <f>S199*$G$8*1</f>
        <v>0</v>
      </c>
      <c r="U199" s="584">
        <f t="shared" si="43"/>
        <v>66240</v>
      </c>
      <c r="V199" s="371">
        <f t="shared" si="41"/>
        <v>7948800</v>
      </c>
      <c r="W199" s="362" t="e">
        <f>VLOOKUP(B199,CN!B196:P462,15,FALSE)</f>
        <v>#N/A</v>
      </c>
      <c r="X199" s="653" t="e">
        <f t="shared" ref="X199" si="44">V199-W199</f>
        <v>#N/A</v>
      </c>
      <c r="Y199" s="568">
        <f t="shared" si="42"/>
        <v>188</v>
      </c>
      <c r="Z199" s="493">
        <f>IFERROR(INDEX('[10]CN BC'!$M$10:$M$276,MATCH(B199,'[10]CN BC'!$H$10:$H$276,0)),"")</f>
        <v>0</v>
      </c>
      <c r="AA199" s="141"/>
      <c r="AB199" s="108"/>
      <c r="AC199" s="108"/>
      <c r="AD199" s="155"/>
      <c r="AE199" s="108"/>
      <c r="AF199" s="108"/>
      <c r="AG199" s="108"/>
      <c r="AH199" s="108"/>
      <c r="AI199" s="108"/>
      <c r="AJ199" s="108"/>
      <c r="AK199" s="108"/>
      <c r="AL199" s="108"/>
      <c r="AM199" s="108"/>
      <c r="AN199" s="108"/>
    </row>
    <row r="200" spans="1:40" s="124" customFormat="1" ht="21.75" customHeight="1">
      <c r="A200" s="347"/>
      <c r="B200" s="410" t="s">
        <v>1109</v>
      </c>
      <c r="C200" s="411"/>
      <c r="D200" s="412"/>
      <c r="E200" s="348"/>
      <c r="F200" s="413">
        <f t="shared" ref="F200:K200" si="45">SUM(F12:F199)</f>
        <v>703.75600000000065</v>
      </c>
      <c r="G200" s="413">
        <f t="shared" si="45"/>
        <v>1.3900000000000003</v>
      </c>
      <c r="H200" s="413">
        <f t="shared" si="45"/>
        <v>710.6782000000004</v>
      </c>
      <c r="I200" s="413">
        <f t="shared" si="45"/>
        <v>12.249999999999996</v>
      </c>
      <c r="J200" s="413">
        <f t="shared" si="45"/>
        <v>724.91720000000032</v>
      </c>
      <c r="K200" s="414">
        <f t="shared" si="45"/>
        <v>1304850960</v>
      </c>
      <c r="L200" s="413"/>
      <c r="M200" s="415">
        <f t="shared" ref="M200:X200" si="46">SUM(M12:M199)</f>
        <v>1526065920</v>
      </c>
      <c r="N200" s="415">
        <f t="shared" si="46"/>
        <v>3572</v>
      </c>
      <c r="O200" s="416">
        <f t="shared" si="46"/>
        <v>3581</v>
      </c>
      <c r="P200" s="415">
        <f t="shared" si="46"/>
        <v>1526065920</v>
      </c>
      <c r="Q200" s="475">
        <f t="shared" si="46"/>
        <v>0</v>
      </c>
      <c r="R200" s="415">
        <f t="shared" si="46"/>
        <v>0</v>
      </c>
      <c r="S200" s="417">
        <f t="shared" si="46"/>
        <v>0</v>
      </c>
      <c r="T200" s="415">
        <f t="shared" si="46"/>
        <v>0</v>
      </c>
      <c r="U200" s="586">
        <f t="shared" si="46"/>
        <v>13012705</v>
      </c>
      <c r="V200" s="415">
        <f t="shared" si="46"/>
        <v>1526065920</v>
      </c>
      <c r="W200" s="415" t="e">
        <f t="shared" si="46"/>
        <v>#N/A</v>
      </c>
      <c r="X200" s="442" t="e">
        <f t="shared" si="46"/>
        <v>#N/A</v>
      </c>
      <c r="Y200" s="349"/>
      <c r="Z200" s="348"/>
      <c r="AA200" s="438"/>
      <c r="AD200" s="156"/>
    </row>
    <row r="201" spans="1:40" ht="2.25" customHeight="1">
      <c r="F201" s="1"/>
      <c r="G201" s="4"/>
      <c r="K201" s="357"/>
      <c r="L201" s="1"/>
      <c r="M201" s="3"/>
      <c r="N201" s="1"/>
      <c r="O201" s="1"/>
      <c r="P201" s="3"/>
      <c r="Q201" s="451"/>
      <c r="R201" s="3"/>
      <c r="S201" s="382"/>
      <c r="T201" s="3"/>
      <c r="U201" s="581"/>
      <c r="V201" s="3"/>
      <c r="W201" s="3"/>
      <c r="X201" s="3"/>
    </row>
    <row r="202" spans="1:40" s="16" customFormat="1" ht="21.75" customHeight="1">
      <c r="B202" s="492" t="s">
        <v>2164</v>
      </c>
      <c r="C202" s="14"/>
      <c r="D202" s="14"/>
      <c r="E202" s="14"/>
      <c r="F202" s="15"/>
      <c r="G202" s="15"/>
      <c r="H202" s="15"/>
      <c r="I202" s="15"/>
      <c r="J202" s="80"/>
      <c r="K202" s="355"/>
      <c r="L202" s="18"/>
      <c r="M202" s="17"/>
      <c r="N202" s="18"/>
      <c r="O202" s="18"/>
      <c r="P202" s="43"/>
      <c r="Q202" s="450"/>
      <c r="R202" s="17"/>
      <c r="S202" s="381"/>
      <c r="T202" s="17"/>
      <c r="U202" s="579"/>
      <c r="V202" s="43"/>
      <c r="W202" s="43"/>
      <c r="X202" s="43"/>
      <c r="Z202" s="97"/>
      <c r="AA202" s="106"/>
      <c r="AD202" s="152"/>
    </row>
    <row r="203" spans="1:40" s="16" customFormat="1" ht="3.75" customHeight="1">
      <c r="B203" s="37"/>
      <c r="C203" s="14"/>
      <c r="D203" s="14"/>
      <c r="E203" s="14"/>
      <c r="F203" s="15"/>
      <c r="G203" s="15"/>
      <c r="H203" s="15"/>
      <c r="I203" s="15"/>
      <c r="J203" s="80"/>
      <c r="K203" s="355"/>
      <c r="L203" s="18"/>
      <c r="M203" s="17"/>
      <c r="N203" s="18"/>
      <c r="O203" s="18"/>
      <c r="P203" s="43"/>
      <c r="Q203" s="450"/>
      <c r="R203" s="17"/>
      <c r="S203" s="381"/>
      <c r="T203" s="17"/>
      <c r="U203" s="579"/>
      <c r="V203" s="43"/>
      <c r="W203" s="43"/>
      <c r="X203" s="43"/>
      <c r="Z203" s="97"/>
      <c r="AA203" s="106"/>
      <c r="AD203" s="152"/>
    </row>
    <row r="204" spans="1:40" ht="15.75">
      <c r="F204" s="1"/>
      <c r="G204" s="4"/>
      <c r="K204" s="356"/>
      <c r="L204" s="1"/>
      <c r="M204" s="3"/>
      <c r="N204" s="1"/>
      <c r="O204" s="1"/>
      <c r="P204" s="1"/>
      <c r="Q204" s="456"/>
      <c r="R204" s="1"/>
      <c r="S204" s="386"/>
      <c r="T204" s="1566" t="s">
        <v>2165</v>
      </c>
      <c r="U204" s="1566"/>
      <c r="V204" s="1566"/>
      <c r="W204" s="1566"/>
      <c r="X204" s="1566"/>
      <c r="Y204" s="1566"/>
      <c r="Z204" s="1566"/>
    </row>
    <row r="205" spans="1:40" s="16" customFormat="1">
      <c r="A205" s="1543" t="s">
        <v>859</v>
      </c>
      <c r="B205" s="1543"/>
      <c r="C205" s="14"/>
      <c r="D205" s="14"/>
      <c r="E205" s="14"/>
      <c r="F205" s="14"/>
      <c r="G205" s="14"/>
      <c r="H205" s="14"/>
      <c r="I205" s="13"/>
      <c r="J205" s="1552" t="s">
        <v>1446</v>
      </c>
      <c r="K205" s="1552"/>
      <c r="L205" s="1552"/>
      <c r="M205" s="1552"/>
      <c r="N205" s="1552"/>
      <c r="O205" s="1543" t="s">
        <v>1191</v>
      </c>
      <c r="P205" s="1543"/>
      <c r="Q205" s="1543"/>
      <c r="R205" s="1543"/>
      <c r="S205" s="14"/>
      <c r="T205" s="1543" t="s">
        <v>41</v>
      </c>
      <c r="U205" s="1543"/>
      <c r="V205" s="1543"/>
      <c r="W205" s="1543"/>
      <c r="X205" s="1543"/>
      <c r="Y205" s="1543"/>
      <c r="Z205" s="1543"/>
      <c r="AA205" s="106"/>
      <c r="AD205" s="152"/>
    </row>
    <row r="206" spans="1:40" s="16" customFormat="1" ht="13.5" customHeight="1">
      <c r="A206" s="13"/>
      <c r="B206" s="13"/>
      <c r="C206" s="14"/>
      <c r="D206" s="14"/>
      <c r="E206" s="14"/>
      <c r="F206" s="14"/>
      <c r="G206" s="14"/>
      <c r="H206" s="14"/>
      <c r="I206" s="13"/>
      <c r="J206" s="178"/>
      <c r="K206" s="352"/>
      <c r="L206" s="594"/>
      <c r="M206" s="14"/>
      <c r="N206" s="13"/>
      <c r="O206" s="14"/>
      <c r="P206" s="13"/>
      <c r="Q206" s="457"/>
      <c r="R206" s="13"/>
      <c r="S206" s="387"/>
      <c r="U206" s="587"/>
      <c r="V206" s="13"/>
      <c r="W206" s="13"/>
      <c r="X206" s="13"/>
      <c r="Z206" s="98"/>
      <c r="AA206" s="106"/>
      <c r="AD206" s="152"/>
    </row>
    <row r="207" spans="1:40" s="16" customFormat="1" ht="10.5" customHeight="1">
      <c r="A207" s="13"/>
      <c r="B207" s="13"/>
      <c r="C207" s="14"/>
      <c r="D207" s="14"/>
      <c r="E207" s="14"/>
      <c r="F207" s="14"/>
      <c r="G207" s="14"/>
      <c r="H207" s="14"/>
      <c r="I207" s="13"/>
      <c r="J207" s="178"/>
      <c r="K207" s="352"/>
      <c r="L207" s="649">
        <f>COUNTIF(L12:L199,"A1")</f>
        <v>11</v>
      </c>
      <c r="M207" s="14"/>
      <c r="N207" s="13"/>
      <c r="O207" s="14"/>
      <c r="P207" s="13"/>
      <c r="Q207" s="457"/>
      <c r="R207" s="13"/>
      <c r="S207" s="387"/>
      <c r="U207" s="587"/>
      <c r="V207" s="13"/>
      <c r="W207" s="13"/>
      <c r="X207" s="13"/>
      <c r="Z207" s="98"/>
      <c r="AA207" s="106"/>
      <c r="AD207" s="152"/>
    </row>
    <row r="208" spans="1:40" s="16" customFormat="1" ht="13.5" customHeight="1">
      <c r="G208" s="21"/>
      <c r="H208" s="18"/>
      <c r="J208" s="178"/>
      <c r="K208" s="352"/>
      <c r="L208" s="649">
        <f>COUNTIF($L$12:$L$199,"A2")</f>
        <v>16</v>
      </c>
      <c r="M208" s="13"/>
      <c r="N208" s="13"/>
      <c r="O208" s="18"/>
      <c r="P208" s="18"/>
      <c r="Q208" s="458"/>
      <c r="R208" s="18"/>
      <c r="S208" s="388"/>
      <c r="T208" s="18"/>
      <c r="U208" s="588"/>
      <c r="V208" s="18"/>
      <c r="W208" s="18"/>
      <c r="X208" s="18"/>
      <c r="Z208" s="96"/>
      <c r="AA208" s="106"/>
      <c r="AD208" s="152"/>
    </row>
    <row r="209" spans="1:30" s="16" customFormat="1" ht="13.5" customHeight="1">
      <c r="G209" s="21"/>
      <c r="H209" s="18"/>
      <c r="J209" s="178"/>
      <c r="K209" s="352"/>
      <c r="L209" s="649">
        <f>COUNTIF($L$12:$L$199,"A3")</f>
        <v>93</v>
      </c>
      <c r="M209" s="13"/>
      <c r="N209" s="13"/>
      <c r="O209" s="18"/>
      <c r="P209" s="87"/>
      <c r="Q209" s="458"/>
      <c r="R209" s="18"/>
      <c r="S209" s="388"/>
      <c r="T209" s="18"/>
      <c r="U209" s="588"/>
      <c r="V209" s="18"/>
      <c r="W209" s="18"/>
      <c r="X209" s="18"/>
      <c r="Z209" s="448"/>
      <c r="AA209" s="106"/>
      <c r="AD209" s="152"/>
    </row>
    <row r="210" spans="1:30" s="16" customFormat="1" ht="13.5" customHeight="1">
      <c r="G210" s="21"/>
      <c r="H210" s="18"/>
      <c r="J210" s="178"/>
      <c r="K210" s="352"/>
      <c r="L210" s="649">
        <f>COUNTIF($L$12:$L$199,"A4")</f>
        <v>67</v>
      </c>
      <c r="M210" s="13"/>
      <c r="N210" s="13"/>
      <c r="O210" s="18"/>
      <c r="P210" s="44"/>
      <c r="Q210" s="458"/>
      <c r="R210" s="18"/>
      <c r="S210" s="388"/>
      <c r="T210" s="18"/>
      <c r="U210" s="588"/>
      <c r="V210" s="44"/>
      <c r="W210" s="44"/>
      <c r="X210" s="44"/>
      <c r="Z210" s="96"/>
      <c r="AA210" s="106"/>
      <c r="AD210" s="152"/>
    </row>
    <row r="211" spans="1:30" s="16" customFormat="1" ht="13.5" customHeight="1">
      <c r="G211" s="21"/>
      <c r="H211" s="18"/>
      <c r="I211" s="18"/>
      <c r="J211" s="225"/>
      <c r="K211" s="353"/>
      <c r="L211" s="649"/>
      <c r="M211" s="13"/>
      <c r="N211" s="18"/>
      <c r="O211" s="18"/>
      <c r="P211" s="18"/>
      <c r="Q211" s="458"/>
      <c r="R211" s="18"/>
      <c r="S211" s="388"/>
      <c r="T211" s="18"/>
      <c r="U211" s="588"/>
      <c r="V211" s="18"/>
      <c r="W211" s="18"/>
      <c r="X211" s="18"/>
      <c r="Z211" s="448"/>
      <c r="AA211" s="106"/>
      <c r="AD211" s="152"/>
    </row>
    <row r="212" spans="1:30" s="16" customFormat="1" ht="13.5" customHeight="1">
      <c r="G212" s="1553"/>
      <c r="H212" s="1553"/>
      <c r="I212" s="18"/>
      <c r="J212" s="225"/>
      <c r="K212" s="353"/>
      <c r="L212" s="649"/>
      <c r="M212" s="13"/>
      <c r="N212" s="18"/>
      <c r="O212" s="18"/>
      <c r="P212" s="18"/>
      <c r="Q212" s="458"/>
      <c r="R212" s="18"/>
      <c r="S212" s="388"/>
      <c r="T212" s="18"/>
      <c r="U212" s="588"/>
      <c r="V212" s="18"/>
      <c r="W212" s="18"/>
      <c r="X212" s="18"/>
      <c r="Z212" s="96"/>
      <c r="AA212" s="106"/>
      <c r="AD212" s="152"/>
    </row>
    <row r="213" spans="1:30" s="16" customFormat="1">
      <c r="A213" s="1543" t="s">
        <v>1827</v>
      </c>
      <c r="B213" s="1543"/>
      <c r="C213" s="13"/>
      <c r="D213" s="13"/>
      <c r="E213" s="13"/>
      <c r="F213" s="14"/>
      <c r="G213" s="14"/>
      <c r="H213" s="14"/>
      <c r="I213" s="13"/>
      <c r="J213" s="1552" t="s">
        <v>1458</v>
      </c>
      <c r="K213" s="1552"/>
      <c r="L213" s="1552"/>
      <c r="M213" s="1552"/>
      <c r="N213" s="1552"/>
      <c r="O213" s="1543" t="s">
        <v>1445</v>
      </c>
      <c r="P213" s="1543"/>
      <c r="Q213" s="1543"/>
      <c r="R213" s="1543"/>
      <c r="S213" s="14"/>
      <c r="T213" s="1543" t="s">
        <v>1433</v>
      </c>
      <c r="U213" s="1543"/>
      <c r="V213" s="1543"/>
      <c r="W213" s="1543"/>
      <c r="X213" s="1543"/>
      <c r="Y213" s="1543"/>
      <c r="Z213" s="1543"/>
      <c r="AA213" s="106"/>
      <c r="AD213" s="152"/>
    </row>
    <row r="214" spans="1:30" ht="15.75">
      <c r="A214" s="6"/>
      <c r="J214" s="179"/>
      <c r="K214" s="358"/>
      <c r="L214" s="7"/>
      <c r="M214" s="7"/>
    </row>
    <row r="215" spans="1:30" ht="15.75" customHeight="1">
      <c r="A215" s="6"/>
      <c r="J215" s="179"/>
      <c r="K215" s="358"/>
      <c r="L215" s="7"/>
      <c r="M215" s="7"/>
    </row>
    <row r="218" spans="1:30">
      <c r="K218" s="359"/>
    </row>
    <row r="271" ht="15.75" customHeight="1"/>
  </sheetData>
  <sheetProtection deleteColumns="0" deleteRows="0" selectLockedCells="1"/>
  <mergeCells count="23">
    <mergeCell ref="A213:B213"/>
    <mergeCell ref="J213:N213"/>
    <mergeCell ref="O213:R213"/>
    <mergeCell ref="T213:Z213"/>
    <mergeCell ref="T204:Z204"/>
    <mergeCell ref="A205:B205"/>
    <mergeCell ref="J205:N205"/>
    <mergeCell ref="O205:R205"/>
    <mergeCell ref="T205:Z205"/>
    <mergeCell ref="G212:H212"/>
    <mergeCell ref="B11:C11"/>
    <mergeCell ref="Y11:Z11"/>
    <mergeCell ref="A1:L1"/>
    <mergeCell ref="R1:Z1"/>
    <mergeCell ref="A2:L2"/>
    <mergeCell ref="R2:Z2"/>
    <mergeCell ref="A3:L3"/>
    <mergeCell ref="A5:Z5"/>
    <mergeCell ref="A6:Z6"/>
    <mergeCell ref="A7:Z7"/>
    <mergeCell ref="N8:R8"/>
    <mergeCell ref="B10:C10"/>
    <mergeCell ref="Y10:Z10"/>
  </mergeCells>
  <conditionalFormatting sqref="A1:L2 N1:R2 AA1:IW2 A3:XFD6 A7 AA7:IW7 A8:XFD9 AA10:XFD10 A10:Y11 AA11:IW15 D12 F12:K15 Q12:S39 A12:A199 L12:N199 P12:P199 T12:W199 Y12:Y199 B13:C39 E16:G16 AB16:IW21 AA16:AA30 H16:K39 F17:G20 E21:G21 AC22:IW22 F22:G30 AB23:IW30 E31:G35 AA31:IW39 F36:G39 H40 J40:K40 R40 E41:G43 AB41:IW73 H41:K105 F44:G44 E45:G48 F49:G49 E50:G53 F54:G55 E56:G58 F59:G60 E61:G66 F67:G73 E74:G84 AA74:IW109 F85:G85 E86:G86 F87:G87 E88:G99 F100:G100 E101:G104 F105:G105 E106:K108 E109:G116 H109:J130 K109:K135 AB110:IW114 AA110:AA115 AC115:IW115 AA116:IW122 F117:G117 E118:G127 AB123:IW123 AA123:AA163 AC124:IW124 AB125:IW125 AC126:IW126 AB127:IW143 F128:G128 E129:G130 E131:J135 E136:K140 E141:G142 H141:K199 F143:G143 AC144:IW144 E144:G158 AB145:IW163 F159:G164 AA164:IW164 AA165 AC165:IW165 E165:G177 AA166:IW173 AA174 AC174:IW174 AA175:IW178 G178:G190 AA179:AA190 AC179:IW190 E191:G197 AA191:IW205 F198:G199 A200:Z203 A204:T204 A205:J205 O205 T205 A206:XFD212 A213:J213 O213 T213 AA213:IW213 A214:XFD65460">
    <cfRule type="cellIs" dxfId="805" priority="44" stopIfTrue="1" operator="equal">
      <formula>"B"</formula>
    </cfRule>
    <cfRule type="cellIs" dxfId="804" priority="43" stopIfTrue="1" operator="equal">
      <formula>"C"</formula>
    </cfRule>
    <cfRule type="cellIs" dxfId="803" priority="42" stopIfTrue="1" operator="equal">
      <formula>"A DN"</formula>
    </cfRule>
  </conditionalFormatting>
  <conditionalFormatting sqref="B40:C40 F40:G40 I40 Q40 S40">
    <cfRule type="cellIs" dxfId="802" priority="28" stopIfTrue="1" operator="equal">
      <formula>"C"</formula>
    </cfRule>
    <cfRule type="cellIs" dxfId="801" priority="29" stopIfTrue="1" operator="equal">
      <formula>"B"</formula>
    </cfRule>
    <cfRule type="cellIs" dxfId="800" priority="30" stopIfTrue="1" operator="equal">
      <formula>"A DN"</formula>
    </cfRule>
  </conditionalFormatting>
  <conditionalFormatting sqref="B41:C199 Q41:S199">
    <cfRule type="cellIs" dxfId="799" priority="37" stopIfTrue="1" operator="equal">
      <formula>"KXL"</formula>
    </cfRule>
    <cfRule type="cellIs" dxfId="798" priority="38" stopIfTrue="1" operator="equal">
      <formula>"A DN"</formula>
    </cfRule>
    <cfRule type="cellIs" dxfId="797" priority="39" stopIfTrue="1" operator="equal">
      <formula>"C"</formula>
    </cfRule>
    <cfRule type="cellIs" dxfId="796" priority="40" stopIfTrue="1" operator="equal">
      <formula>"B"</formula>
    </cfRule>
  </conditionalFormatting>
  <conditionalFormatting sqref="E40">
    <cfRule type="cellIs" dxfId="795" priority="24" stopIfTrue="1" operator="equal">
      <formula>"KXL"</formula>
    </cfRule>
    <cfRule type="cellIs" dxfId="794" priority="25" stopIfTrue="1" operator="equal">
      <formula>"A DN"</formula>
    </cfRule>
    <cfRule type="cellIs" dxfId="793" priority="26" stopIfTrue="1" operator="equal">
      <formula>"C"</formula>
    </cfRule>
    <cfRule type="cellIs" dxfId="792" priority="27" stopIfTrue="1" operator="equal">
      <formula>"B"</formula>
    </cfRule>
  </conditionalFormatting>
  <conditionalFormatting sqref="L12:L22 L36 L83:L93 L109:L119 L150:L160">
    <cfRule type="expression" dxfId="791" priority="1432" stopIfTrue="1">
      <formula>"if=B1"</formula>
    </cfRule>
  </conditionalFormatting>
  <conditionalFormatting sqref="L12:L22 L36 L93 L119 L160">
    <cfRule type="expression" dxfId="790" priority="1433" stopIfTrue="1">
      <formula>#REF!</formula>
    </cfRule>
    <cfRule type="expression" dxfId="789" priority="1434" stopIfTrue="1">
      <formula>#REF!</formula>
    </cfRule>
  </conditionalFormatting>
  <conditionalFormatting sqref="L12:L73">
    <cfRule type="cellIs" dxfId="788" priority="1453" stopIfTrue="1" operator="equal">
      <formula>"D"</formula>
    </cfRule>
    <cfRule type="cellIs" dxfId="787" priority="1454" stopIfTrue="1" operator="equal">
      <formula>"B1"</formula>
    </cfRule>
    <cfRule type="expression" dxfId="786" priority="1455" stopIfTrue="1">
      <formula>#REF!</formula>
    </cfRule>
    <cfRule type="expression" dxfId="785" priority="1457" stopIfTrue="1">
      <formula>#REF!</formula>
    </cfRule>
    <cfRule type="cellIs" dxfId="784" priority="1451" stopIfTrue="1" operator="equal">
      <formula>"B1"</formula>
    </cfRule>
    <cfRule type="expression" dxfId="783" priority="1452" stopIfTrue="1">
      <formula>#REF!</formula>
    </cfRule>
    <cfRule type="cellIs" dxfId="782" priority="1450" stopIfTrue="1" operator="equal">
      <formula>"B2"</formula>
    </cfRule>
  </conditionalFormatting>
  <conditionalFormatting sqref="L12:L82">
    <cfRule type="cellIs" dxfId="781" priority="1438" stopIfTrue="1" operator="equal">
      <formula>"C2"</formula>
    </cfRule>
    <cfRule type="cellIs" dxfId="780" priority="1439" stopIfTrue="1" operator="equal">
      <formula>"C1"</formula>
    </cfRule>
    <cfRule type="cellIs" dxfId="779" priority="1440" stopIfTrue="1" operator="equal">
      <formula>"C2"</formula>
    </cfRule>
    <cfRule type="cellIs" dxfId="778" priority="1441" stopIfTrue="1" operator="equal">
      <formula>"D"</formula>
    </cfRule>
    <cfRule type="cellIs" dxfId="777" priority="1442" stopIfTrue="1" operator="equal">
      <formula>"E"</formula>
    </cfRule>
    <cfRule type="cellIs" dxfId="776" priority="1443" stopIfTrue="1" operator="equal">
      <formula>"A DN"</formula>
    </cfRule>
    <cfRule type="cellIs" dxfId="775" priority="1444" stopIfTrue="1" operator="equal">
      <formula>"A DN"</formula>
    </cfRule>
    <cfRule type="cellIs" dxfId="774" priority="1445" stopIfTrue="1" operator="equal">
      <formula>"E"</formula>
    </cfRule>
    <cfRule type="cellIs" dxfId="773" priority="1446" stopIfTrue="1" operator="equal">
      <formula>"D"</formula>
    </cfRule>
    <cfRule type="cellIs" dxfId="772" priority="1447" stopIfTrue="1" operator="equal">
      <formula>"D1"</formula>
    </cfRule>
    <cfRule type="cellIs" dxfId="771" priority="1448" stopIfTrue="1" operator="equal">
      <formula>"C2"</formula>
    </cfRule>
    <cfRule type="cellIs" dxfId="770" priority="1449" stopIfTrue="1" operator="equal">
      <formula>"C1"</formula>
    </cfRule>
    <cfRule type="cellIs" dxfId="769" priority="1456" stopIfTrue="1" operator="equal">
      <formula>"B2"</formula>
    </cfRule>
  </conditionalFormatting>
  <conditionalFormatting sqref="L23:L24 L37:L82 L94:L108 L120:L149 L161:L199">
    <cfRule type="expression" dxfId="768" priority="10" stopIfTrue="1">
      <formula>$B12</formula>
    </cfRule>
    <cfRule type="expression" dxfId="767" priority="11" stopIfTrue="1">
      <formula>B12</formula>
    </cfRule>
    <cfRule type="expression" dxfId="766" priority="9" stopIfTrue="1">
      <formula>"if=B1"</formula>
    </cfRule>
  </conditionalFormatting>
  <conditionalFormatting sqref="L25 L35 L84:L92 L109:L118 L150:L159">
    <cfRule type="expression" dxfId="765" priority="1538" stopIfTrue="1">
      <formula>$B15</formula>
    </cfRule>
    <cfRule type="expression" dxfId="764" priority="1539" stopIfTrue="1">
      <formula>B15</formula>
    </cfRule>
  </conditionalFormatting>
  <conditionalFormatting sqref="L25:L35">
    <cfRule type="expression" dxfId="763" priority="1537" stopIfTrue="1">
      <formula>"if=B1"</formula>
    </cfRule>
  </conditionalFormatting>
  <conditionalFormatting sqref="L26:L33">
    <cfRule type="expression" dxfId="762" priority="1837" stopIfTrue="1">
      <formula>$B17</formula>
    </cfRule>
    <cfRule type="expression" dxfId="761" priority="1838" stopIfTrue="1">
      <formula>B17</formula>
    </cfRule>
  </conditionalFormatting>
  <conditionalFormatting sqref="L34 L83">
    <cfRule type="expression" dxfId="760" priority="1677" stopIfTrue="1">
      <formula>#REF!</formula>
    </cfRule>
    <cfRule type="expression" dxfId="759" priority="1678" stopIfTrue="1">
      <formula>#REF!</formula>
    </cfRule>
  </conditionalFormatting>
  <conditionalFormatting sqref="L74:L82">
    <cfRule type="cellIs" dxfId="758" priority="1583" stopIfTrue="1" operator="equal">
      <formula>"B1"</formula>
    </cfRule>
    <cfRule type="cellIs" dxfId="757" priority="1578" stopIfTrue="1" operator="equal">
      <formula>"B1"</formula>
    </cfRule>
    <cfRule type="expression" dxfId="756" priority="1579" stopIfTrue="1">
      <formula>B63</formula>
    </cfRule>
    <cfRule type="cellIs" dxfId="755" priority="1580" stopIfTrue="1" operator="equal">
      <formula>"D"</formula>
    </cfRule>
    <cfRule type="expression" dxfId="754" priority="1584" stopIfTrue="1">
      <formula>B63</formula>
    </cfRule>
    <cfRule type="cellIs" dxfId="753" priority="1587" stopIfTrue="1" operator="equal">
      <formula>"B2"</formula>
    </cfRule>
    <cfRule type="expression" dxfId="752" priority="1588" stopIfTrue="1">
      <formula>B63</formula>
    </cfRule>
  </conditionalFormatting>
  <conditionalFormatting sqref="L83:L149">
    <cfRule type="cellIs" dxfId="751" priority="1697" stopIfTrue="1" operator="equal">
      <formula>"D"</formula>
    </cfRule>
    <cfRule type="expression" dxfId="750" priority="1696" stopIfTrue="1">
      <formula>B73</formula>
    </cfRule>
    <cfRule type="cellIs" dxfId="749" priority="1695" stopIfTrue="1" operator="equal">
      <formula>"B1"</formula>
    </cfRule>
    <cfRule type="cellIs" dxfId="748" priority="1694" stopIfTrue="1" operator="equal">
      <formula>"B2"</formula>
    </cfRule>
    <cfRule type="cellIs" dxfId="747" priority="1698" stopIfTrue="1" operator="equal">
      <formula>"B1"</formula>
    </cfRule>
    <cfRule type="expression" dxfId="746" priority="1699" stopIfTrue="1">
      <formula>B73</formula>
    </cfRule>
    <cfRule type="expression" dxfId="745" priority="1701" stopIfTrue="1">
      <formula>B73</formula>
    </cfRule>
  </conditionalFormatting>
  <conditionalFormatting sqref="L83:L199">
    <cfRule type="cellIs" dxfId="744" priority="1687" stopIfTrue="1" operator="equal">
      <formula>"A DN"</formula>
    </cfRule>
    <cfRule type="cellIs" dxfId="743" priority="1688" stopIfTrue="1" operator="equal">
      <formula>"A DN"</formula>
    </cfRule>
    <cfRule type="cellIs" dxfId="742" priority="1689" stopIfTrue="1" operator="equal">
      <formula>"E"</formula>
    </cfRule>
    <cfRule type="cellIs" dxfId="741" priority="1690" stopIfTrue="1" operator="equal">
      <formula>"D"</formula>
    </cfRule>
    <cfRule type="cellIs" dxfId="740" priority="1691" stopIfTrue="1" operator="equal">
      <formula>"D1"</formula>
    </cfRule>
    <cfRule type="cellIs" dxfId="739" priority="1692" stopIfTrue="1" operator="equal">
      <formula>"C2"</formula>
    </cfRule>
    <cfRule type="cellIs" dxfId="738" priority="1693" stopIfTrue="1" operator="equal">
      <formula>"C1"</formula>
    </cfRule>
    <cfRule type="cellIs" dxfId="737" priority="1682" stopIfTrue="1" operator="equal">
      <formula>"C2"</formula>
    </cfRule>
    <cfRule type="cellIs" dxfId="736" priority="1683" stopIfTrue="1" operator="equal">
      <formula>"C1"</formula>
    </cfRule>
    <cfRule type="cellIs" dxfId="735" priority="1700" stopIfTrue="1" operator="equal">
      <formula>"B2"</formula>
    </cfRule>
    <cfRule type="cellIs" dxfId="734" priority="1684" stopIfTrue="1" operator="equal">
      <formula>"C2"</formula>
    </cfRule>
    <cfRule type="cellIs" dxfId="733" priority="1685" stopIfTrue="1" operator="equal">
      <formula>"D"</formula>
    </cfRule>
    <cfRule type="cellIs" dxfId="732" priority="1686" stopIfTrue="1" operator="equal">
      <formula>"E"</formula>
    </cfRule>
  </conditionalFormatting>
  <conditionalFormatting sqref="L150:L199">
    <cfRule type="cellIs" dxfId="731" priority="1987" stopIfTrue="1" operator="equal">
      <formula>"B1"</formula>
    </cfRule>
    <cfRule type="expression" dxfId="730" priority="1988" stopIfTrue="1">
      <formula>B141</formula>
    </cfRule>
    <cfRule type="cellIs" dxfId="729" priority="1989" stopIfTrue="1" operator="equal">
      <formula>"D"</formula>
    </cfRule>
    <cfRule type="cellIs" dxfId="728" priority="1992" stopIfTrue="1" operator="equal">
      <formula>"B1"</formula>
    </cfRule>
    <cfRule type="expression" dxfId="727" priority="1993" stopIfTrue="1">
      <formula>B141</formula>
    </cfRule>
    <cfRule type="cellIs" dxfId="726" priority="1996" stopIfTrue="1" operator="equal">
      <formula>"B2"</formula>
    </cfRule>
    <cfRule type="expression" dxfId="725" priority="1997" stopIfTrue="1">
      <formula>B141</formula>
    </cfRule>
  </conditionalFormatting>
  <conditionalFormatting sqref="L12:N199 A1:L2 N1:R2 AA1:IW2 A3:XFD6 A7 AA7:IW7 A8:XFD9 AA10:XFD10 A10:Y11 AA11:IW15 D12 F12:K15 Q12:S39 A12:A199 P12:P199 T12:W199 Y12:Y199 B13:C39 E16:G16 AB16:IW21 AA16:AA30 H16:K39 F17:G20 E21:G21 AC22:IW22 F22:G30 AB23:IW30 E31:G35 AA31:IW39 F36:G39 H40 J40:K40 R40 E41:G43 AB41:IW73 H41:K105 F44:G44 E45:G48 F49:G49 E50:G53 F54:G55 E56:G58 F59:G60 E61:G66 F67:G73 E74:G84 AA74:IW109 F85:G85 E86:G86 F87:G87 E88:G99 F100:G100 E101:G104 F105:G105 E106:K108 E109:G116 H109:J130 K109:K135 AB110:IW114 AA110:AA115 AC115:IW115 AA116:IW122 F117:G117 E118:G127 AB123:IW123 AA123:AA163 AC124:IW124 AB125:IW125 AC126:IW126 AB127:IW143 F128:G128 E129:G130 E131:J135 E136:K140 E141:G142 H141:K199 F143:G143 AC144:IW144 E144:G158 AB145:IW163 F159:G164 AA164:IW164 AA165 AC165:IW165 E165:G177 AA166:IW173 AA174 AC174:IW174 AA175:IW178 G178:G190 AA179:AA190 AC179:IW190 E191:G197 AA191:IW205 F198:G199 A200:Z203 A204:T204 A205:J205 O205 T205 A206:XFD212 A213:J213 O213 T213 AA213:IW213 A214:XFD65460">
    <cfRule type="cellIs" dxfId="724" priority="41" stopIfTrue="1" operator="equal">
      <formula>"KXL"</formula>
    </cfRule>
  </conditionalFormatting>
  <conditionalFormatting sqref="AA40:IW40 AA41:AA73">
    <cfRule type="cellIs" dxfId="723" priority="36" stopIfTrue="1" operator="equal">
      <formula>"A DN"</formula>
    </cfRule>
    <cfRule type="cellIs" dxfId="722" priority="35" stopIfTrue="1" operator="equal">
      <formula>"B"</formula>
    </cfRule>
    <cfRule type="cellIs" dxfId="721" priority="34" stopIfTrue="1" operator="equal">
      <formula>"C"</formula>
    </cfRule>
  </conditionalFormatting>
  <printOptions horizontalCentered="1"/>
  <pageMargins left="0.21" right="0.17" top="0.28999999999999998" bottom="0.33" header="0.17" footer="0.17"/>
  <pageSetup paperSize="9" scale="80" orientation="landscape" r:id="rId1"/>
  <headerFooter alignWithMargins="0">
    <oddFooter>Page &amp;P of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Q422"/>
  <sheetViews>
    <sheetView topLeftCell="A347" zoomScale="120" zoomScaleNormal="120" workbookViewId="0">
      <selection activeCell="AB350" sqref="AB350"/>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09" hidden="1" customWidth="1"/>
    <col min="8" max="8" width="11.28515625" style="2" hidden="1" customWidth="1"/>
    <col min="9" max="9" width="5.28515625" style="2" hidden="1" customWidth="1"/>
    <col min="10" max="10" width="19" style="2" customWidth="1"/>
    <col min="11" max="11" width="9.5703125" style="79" hidden="1" customWidth="1"/>
    <col min="12" max="12" width="14.85546875" style="354"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59" hidden="1" customWidth="1"/>
    <col min="19" max="19" width="11.85546875" style="2" hidden="1" customWidth="1"/>
    <col min="20" max="20" width="5.28515625" style="389" hidden="1" customWidth="1"/>
    <col min="21" max="21" width="11.28515625" style="2" hidden="1" customWidth="1"/>
    <col min="22" max="22" width="11.85546875" style="589" hidden="1" customWidth="1"/>
    <col min="23" max="23" width="18.85546875" style="2" hidden="1" customWidth="1"/>
    <col min="24" max="24" width="11.140625" style="2" customWidth="1"/>
    <col min="25" max="25" width="11.5703125" style="2" customWidth="1"/>
    <col min="26" max="26" width="17.7109375" style="2" customWidth="1"/>
    <col min="27" max="27" width="3.85546875" style="2" customWidth="1"/>
    <col min="28" max="28" width="20.5703125" style="96" customWidth="1"/>
    <col min="29" max="29" width="11.28515625" style="219" customWidth="1"/>
    <col min="30" max="30" width="12.7109375" style="2" customWidth="1"/>
    <col min="31" max="31" width="17.85546875" style="2" customWidth="1"/>
    <col min="32" max="32" width="10.42578125" style="151" bestFit="1" customWidth="1"/>
    <col min="33" max="16384" width="9.140625" style="2"/>
  </cols>
  <sheetData>
    <row r="1" spans="1:35" s="670" customFormat="1">
      <c r="A1" s="1557" t="s">
        <v>492</v>
      </c>
      <c r="B1" s="1557"/>
      <c r="C1" s="1557"/>
      <c r="D1" s="1557"/>
      <c r="E1" s="1557"/>
      <c r="F1" s="1557"/>
      <c r="G1" s="1557"/>
      <c r="H1" s="1557"/>
      <c r="I1" s="1557"/>
      <c r="J1" s="1557"/>
      <c r="K1" s="669"/>
      <c r="L1" s="669"/>
      <c r="M1" s="669"/>
      <c r="O1" s="671"/>
      <c r="P1" s="671"/>
      <c r="Q1" s="671"/>
      <c r="R1" s="671"/>
      <c r="S1" s="671"/>
      <c r="T1" s="672"/>
      <c r="U1" s="1555" t="s">
        <v>849</v>
      </c>
      <c r="V1" s="1555"/>
      <c r="W1" s="1555"/>
      <c r="X1" s="1555"/>
      <c r="Y1" s="1555"/>
      <c r="Z1" s="1555"/>
      <c r="AA1" s="1555"/>
      <c r="AB1" s="1555"/>
      <c r="AC1" s="671"/>
      <c r="AD1" s="671"/>
      <c r="AE1" s="671"/>
      <c r="AF1" s="671"/>
    </row>
    <row r="2" spans="1:35" s="670" customFormat="1" ht="14.25">
      <c r="A2" s="1555" t="s">
        <v>1563</v>
      </c>
      <c r="B2" s="1555"/>
      <c r="C2" s="1555"/>
      <c r="D2" s="1555"/>
      <c r="E2" s="1555"/>
      <c r="F2" s="1555"/>
      <c r="G2" s="1555"/>
      <c r="H2" s="1555"/>
      <c r="I2" s="1555"/>
      <c r="J2" s="1555"/>
      <c r="K2" s="673"/>
      <c r="L2" s="673"/>
      <c r="M2" s="673"/>
      <c r="O2" s="671"/>
      <c r="P2" s="671"/>
      <c r="Q2" s="671"/>
      <c r="R2" s="671"/>
      <c r="S2" s="671"/>
      <c r="T2" s="671"/>
      <c r="U2" s="671"/>
      <c r="V2" s="671"/>
      <c r="W2" s="671"/>
      <c r="X2" s="1555" t="s">
        <v>2179</v>
      </c>
      <c r="Y2" s="1555"/>
      <c r="Z2" s="1555"/>
      <c r="AA2" s="1555"/>
      <c r="AB2" s="1555"/>
      <c r="AC2" s="671"/>
      <c r="AF2" s="671"/>
    </row>
    <row r="3" spans="1:35" s="670" customFormat="1" ht="15" customHeight="1">
      <c r="A3" s="1555" t="s">
        <v>1564</v>
      </c>
      <c r="B3" s="1555"/>
      <c r="C3" s="1555"/>
      <c r="D3" s="1555"/>
      <c r="E3" s="1555"/>
      <c r="F3" s="1555"/>
      <c r="G3" s="1555"/>
      <c r="H3" s="1555"/>
      <c r="I3" s="1555"/>
      <c r="J3" s="1555"/>
      <c r="K3" s="1555"/>
      <c r="L3" s="1555"/>
      <c r="M3" s="1555"/>
      <c r="O3" s="671"/>
      <c r="P3" s="671"/>
      <c r="Q3" s="671"/>
      <c r="R3" s="671"/>
      <c r="S3" s="671"/>
      <c r="T3" s="671"/>
      <c r="U3" s="671"/>
      <c r="V3" s="671"/>
      <c r="W3" s="671"/>
      <c r="X3" s="671"/>
      <c r="Y3" s="671"/>
      <c r="Z3" s="1555" t="s">
        <v>2180</v>
      </c>
      <c r="AA3" s="1555"/>
      <c r="AB3" s="1555"/>
      <c r="AC3" s="671"/>
      <c r="AD3" s="671"/>
      <c r="AE3" s="671"/>
      <c r="AF3" s="671"/>
    </row>
    <row r="4" spans="1:35" s="670" customFormat="1" ht="16.5" customHeight="1">
      <c r="A4" s="1555"/>
      <c r="B4" s="1555"/>
      <c r="C4" s="1555"/>
      <c r="D4" s="1555"/>
      <c r="E4" s="1555"/>
      <c r="F4" s="1555"/>
      <c r="G4" s="1555"/>
      <c r="H4" s="1555"/>
      <c r="I4" s="1555"/>
      <c r="J4" s="1555"/>
      <c r="K4" s="1555"/>
      <c r="L4" s="1555"/>
      <c r="M4" s="1555"/>
      <c r="N4" s="674"/>
      <c r="O4" s="675"/>
      <c r="P4" s="669"/>
      <c r="Q4" s="669"/>
      <c r="R4" s="669"/>
      <c r="S4" s="675"/>
      <c r="T4" s="676"/>
      <c r="U4" s="675"/>
      <c r="V4" s="677"/>
      <c r="W4" s="677"/>
      <c r="X4" s="675"/>
      <c r="Y4" s="675"/>
      <c r="Z4" s="1557" t="s">
        <v>2181</v>
      </c>
      <c r="AA4" s="1557"/>
      <c r="AB4" s="1557"/>
      <c r="AC4" s="680"/>
      <c r="AD4" s="680"/>
      <c r="AE4" s="680"/>
      <c r="AF4" s="680"/>
    </row>
    <row r="5" spans="1:35" s="670" customFormat="1" ht="16.5" customHeight="1">
      <c r="A5" s="678"/>
      <c r="B5" s="679"/>
      <c r="C5" s="679"/>
      <c r="D5" s="679"/>
      <c r="E5" s="679"/>
      <c r="F5" s="679"/>
      <c r="G5" s="679"/>
      <c r="H5" s="679"/>
      <c r="I5" s="679"/>
      <c r="J5" s="679"/>
      <c r="K5" s="678"/>
      <c r="L5" s="678"/>
      <c r="M5" s="678"/>
      <c r="N5" s="674"/>
      <c r="O5" s="675"/>
      <c r="P5" s="669"/>
      <c r="Q5" s="669"/>
      <c r="R5" s="669"/>
      <c r="S5" s="675"/>
      <c r="T5" s="676"/>
      <c r="U5" s="675"/>
      <c r="V5" s="677"/>
      <c r="W5" s="677"/>
      <c r="X5" s="675"/>
      <c r="Y5" s="675"/>
      <c r="Z5" s="1557" t="s">
        <v>2182</v>
      </c>
      <c r="AA5" s="1557"/>
      <c r="AB5" s="1557"/>
      <c r="AC5" s="680"/>
      <c r="AD5" s="680"/>
      <c r="AE5" s="680"/>
      <c r="AF5" s="680"/>
    </row>
    <row r="6" spans="1:35" s="670" customFormat="1" ht="18.75" customHeight="1">
      <c r="A6" s="1554" t="s">
        <v>2183</v>
      </c>
      <c r="B6" s="1554"/>
      <c r="C6" s="1554"/>
      <c r="D6" s="1554"/>
      <c r="E6" s="1554"/>
      <c r="F6" s="1554"/>
      <c r="G6" s="1554"/>
      <c r="H6" s="1554"/>
      <c r="I6" s="1554"/>
      <c r="J6" s="1554"/>
      <c r="K6" s="1554"/>
      <c r="L6" s="1554"/>
      <c r="M6" s="1554"/>
      <c r="N6" s="1554"/>
      <c r="O6" s="1554"/>
      <c r="P6" s="1554"/>
      <c r="Q6" s="1554"/>
      <c r="R6" s="1554"/>
      <c r="S6" s="1554"/>
      <c r="T6" s="1554"/>
      <c r="U6" s="1554"/>
      <c r="V6" s="1554"/>
      <c r="W6" s="1554"/>
      <c r="X6" s="1554"/>
      <c r="Y6" s="1554"/>
      <c r="Z6" s="1554"/>
      <c r="AA6" s="1554"/>
      <c r="AB6" s="1554"/>
      <c r="AC6" s="681"/>
      <c r="AD6" s="681"/>
      <c r="AE6" s="681"/>
      <c r="AF6" s="681"/>
    </row>
    <row r="7" spans="1:35" s="670" customFormat="1" ht="18.75" customHeight="1">
      <c r="A7" s="1554" t="s">
        <v>2216</v>
      </c>
      <c r="B7" s="1554"/>
      <c r="C7" s="1554"/>
      <c r="D7" s="1554"/>
      <c r="E7" s="1554"/>
      <c r="F7" s="1554"/>
      <c r="G7" s="1554"/>
      <c r="H7" s="1554"/>
      <c r="I7" s="1554"/>
      <c r="J7" s="1554"/>
      <c r="K7" s="1554"/>
      <c r="L7" s="1554"/>
      <c r="M7" s="1554"/>
      <c r="N7" s="1554"/>
      <c r="O7" s="1554"/>
      <c r="P7" s="1554"/>
      <c r="Q7" s="1554"/>
      <c r="R7" s="1554"/>
      <c r="S7" s="1554"/>
      <c r="T7" s="1554"/>
      <c r="U7" s="1554"/>
      <c r="V7" s="1554"/>
      <c r="W7" s="1554"/>
      <c r="X7" s="1554"/>
      <c r="Y7" s="1554"/>
      <c r="Z7" s="1554"/>
      <c r="AA7" s="1554"/>
      <c r="AB7" s="1554"/>
      <c r="AC7" s="681"/>
      <c r="AD7" s="681"/>
      <c r="AE7" s="681"/>
      <c r="AF7" s="681"/>
    </row>
    <row r="8" spans="1:35" hidden="1">
      <c r="A8" s="1544" t="s">
        <v>492</v>
      </c>
      <c r="B8" s="1544"/>
      <c r="C8" s="1544"/>
      <c r="D8" s="1544"/>
      <c r="E8" s="1544"/>
      <c r="F8" s="1544"/>
      <c r="G8" s="1544"/>
      <c r="H8" s="1544"/>
      <c r="I8" s="1544"/>
      <c r="J8" s="1544"/>
      <c r="K8" s="1544"/>
      <c r="L8" s="1544"/>
      <c r="M8" s="1544"/>
      <c r="O8" s="14"/>
      <c r="P8" s="14"/>
      <c r="Q8" s="14"/>
      <c r="R8" s="449"/>
      <c r="S8" s="1543" t="s">
        <v>849</v>
      </c>
      <c r="T8" s="1543"/>
      <c r="U8" s="1543"/>
      <c r="V8" s="1543"/>
      <c r="W8" s="1543"/>
      <c r="X8" s="1543"/>
      <c r="Y8" s="1543"/>
      <c r="Z8" s="1543"/>
      <c r="AA8" s="1543"/>
      <c r="AB8" s="1543"/>
      <c r="AC8" s="1543"/>
      <c r="AD8" s="1543"/>
      <c r="AE8" s="1543"/>
      <c r="AF8" s="219"/>
      <c r="AI8" s="151"/>
    </row>
    <row r="9" spans="1:35" ht="15" hidden="1" customHeight="1">
      <c r="A9" s="1543" t="s">
        <v>1563</v>
      </c>
      <c r="B9" s="1543"/>
      <c r="C9" s="1543"/>
      <c r="D9" s="1543"/>
      <c r="E9" s="1543"/>
      <c r="F9" s="1543"/>
      <c r="G9" s="1543"/>
      <c r="H9" s="1543"/>
      <c r="I9" s="1543"/>
      <c r="J9" s="1543"/>
      <c r="K9" s="1543"/>
      <c r="L9" s="1543"/>
      <c r="M9" s="1543"/>
      <c r="O9" s="14"/>
      <c r="P9" s="14"/>
      <c r="Q9" s="14"/>
      <c r="R9" s="449"/>
      <c r="S9" s="1543" t="s">
        <v>851</v>
      </c>
      <c r="T9" s="1543"/>
      <c r="U9" s="1543"/>
      <c r="V9" s="1543"/>
      <c r="W9" s="1543"/>
      <c r="X9" s="1543"/>
      <c r="Y9" s="1543"/>
      <c r="Z9" s="1543"/>
      <c r="AA9" s="1543"/>
      <c r="AB9" s="1543"/>
      <c r="AC9" s="1543"/>
      <c r="AD9" s="1543"/>
      <c r="AE9" s="1543"/>
      <c r="AF9" s="219"/>
      <c r="AI9" s="151"/>
    </row>
    <row r="10" spans="1:35" ht="16.5" hidden="1" customHeight="1">
      <c r="A10" s="1543" t="s">
        <v>1564</v>
      </c>
      <c r="B10" s="1543"/>
      <c r="C10" s="1543"/>
      <c r="D10" s="1543"/>
      <c r="E10" s="1543"/>
      <c r="F10" s="1543"/>
      <c r="G10" s="1543"/>
      <c r="H10" s="1543"/>
      <c r="I10" s="1543"/>
      <c r="J10" s="1543"/>
      <c r="K10" s="1543"/>
      <c r="L10" s="1543"/>
      <c r="M10" s="1543"/>
      <c r="N10" s="99"/>
      <c r="O10" s="18"/>
      <c r="P10" s="18"/>
      <c r="Q10" s="17"/>
      <c r="R10" s="450"/>
      <c r="S10" s="17"/>
      <c r="T10" s="381"/>
      <c r="U10" s="17"/>
      <c r="V10" s="579"/>
      <c r="W10" s="579"/>
      <c r="X10" s="17"/>
      <c r="Y10" s="17"/>
      <c r="Z10" s="17"/>
      <c r="AA10" s="17"/>
      <c r="AB10" s="17"/>
      <c r="AC10" s="17"/>
      <c r="AD10" s="16"/>
      <c r="AE10" s="96"/>
      <c r="AF10" s="219"/>
      <c r="AI10" s="151"/>
    </row>
    <row r="11" spans="1:35" ht="9" hidden="1" customHeight="1">
      <c r="A11" s="187"/>
      <c r="B11" s="187"/>
      <c r="C11" s="187"/>
      <c r="D11" s="187"/>
      <c r="E11" s="187"/>
      <c r="F11" s="187"/>
      <c r="G11" s="187"/>
      <c r="H11" s="187"/>
      <c r="I11" s="187"/>
      <c r="J11" s="187"/>
      <c r="K11" s="187"/>
      <c r="L11" s="187"/>
      <c r="M11" s="187"/>
      <c r="N11" s="99"/>
      <c r="O11" s="18"/>
      <c r="P11" s="18"/>
      <c r="Q11" s="17"/>
      <c r="R11" s="450"/>
      <c r="S11" s="17"/>
      <c r="T11" s="381"/>
      <c r="U11" s="17"/>
      <c r="V11" s="579"/>
      <c r="W11" s="579"/>
      <c r="X11" s="17"/>
      <c r="Y11" s="17"/>
      <c r="Z11" s="17"/>
      <c r="AA11" s="17"/>
      <c r="AB11" s="17"/>
      <c r="AC11" s="17"/>
      <c r="AD11" s="16"/>
      <c r="AE11" s="96"/>
      <c r="AF11" s="219"/>
      <c r="AI11" s="151"/>
    </row>
    <row r="12" spans="1:35" ht="18.75" hidden="1" customHeight="1">
      <c r="A12" s="1547" t="s">
        <v>2159</v>
      </c>
      <c r="B12" s="1547"/>
      <c r="C12" s="1547"/>
      <c r="D12" s="1547"/>
      <c r="E12" s="1547"/>
      <c r="F12" s="1547"/>
      <c r="G12" s="1547"/>
      <c r="H12" s="1547"/>
      <c r="I12" s="1547"/>
      <c r="J12" s="1547"/>
      <c r="K12" s="1547"/>
      <c r="L12" s="1547"/>
      <c r="M12" s="1547"/>
      <c r="N12" s="1547"/>
      <c r="O12" s="1547"/>
      <c r="P12" s="1547"/>
      <c r="Q12" s="1547"/>
      <c r="R12" s="1547"/>
      <c r="S12" s="1547"/>
      <c r="T12" s="1547"/>
      <c r="U12" s="1547"/>
      <c r="V12" s="1547"/>
      <c r="W12" s="1547"/>
      <c r="X12" s="1547"/>
      <c r="Y12" s="1547"/>
      <c r="Z12" s="1547"/>
      <c r="AA12" s="1547"/>
      <c r="AB12" s="1547"/>
      <c r="AC12" s="1547"/>
      <c r="AD12" s="1547"/>
      <c r="AE12" s="1547"/>
      <c r="AF12" s="219"/>
      <c r="AI12" s="151"/>
    </row>
    <row r="13" spans="1:35" ht="18.75" hidden="1" customHeight="1">
      <c r="A13" s="1547" t="s">
        <v>1600</v>
      </c>
      <c r="B13" s="1547"/>
      <c r="C13" s="1547"/>
      <c r="D13" s="1547"/>
      <c r="E13" s="1547"/>
      <c r="F13" s="1547"/>
      <c r="G13" s="1547"/>
      <c r="H13" s="1547"/>
      <c r="I13" s="1547"/>
      <c r="J13" s="1547"/>
      <c r="K13" s="1547"/>
      <c r="L13" s="1547"/>
      <c r="M13" s="1547"/>
      <c r="N13" s="1547"/>
      <c r="O13" s="1547"/>
      <c r="P13" s="1547"/>
      <c r="Q13" s="1547"/>
      <c r="R13" s="1547"/>
      <c r="S13" s="1547"/>
      <c r="T13" s="1547"/>
      <c r="U13" s="1547"/>
      <c r="V13" s="1547"/>
      <c r="W13" s="1547"/>
      <c r="X13" s="1547"/>
      <c r="Y13" s="1547"/>
      <c r="Z13" s="1547"/>
      <c r="AA13" s="1547"/>
      <c r="AB13" s="1547"/>
      <c r="AC13" s="1547"/>
      <c r="AD13" s="1547"/>
      <c r="AE13" s="1547"/>
      <c r="AF13" s="219"/>
      <c r="AI13" s="151"/>
    </row>
    <row r="14" spans="1:35" ht="54" hidden="1" customHeight="1">
      <c r="A14" s="1548" t="s">
        <v>2007</v>
      </c>
      <c r="B14" s="1548"/>
      <c r="C14" s="1548"/>
      <c r="D14" s="1548"/>
      <c r="E14" s="1548"/>
      <c r="F14" s="1548"/>
      <c r="G14" s="1548"/>
      <c r="H14" s="1548"/>
      <c r="I14" s="1548"/>
      <c r="J14" s="1548"/>
      <c r="K14" s="1548"/>
      <c r="L14" s="1548"/>
      <c r="M14" s="1548"/>
      <c r="N14" s="1548"/>
      <c r="O14" s="1548"/>
      <c r="P14" s="1548"/>
      <c r="Q14" s="1548"/>
      <c r="R14" s="1548"/>
      <c r="S14" s="1548"/>
      <c r="T14" s="1548"/>
      <c r="U14" s="1548"/>
      <c r="V14" s="1548"/>
      <c r="W14" s="1548"/>
      <c r="X14" s="1548"/>
      <c r="Y14" s="1548"/>
      <c r="Z14" s="1548"/>
      <c r="AA14" s="1548"/>
      <c r="AB14" s="1548"/>
      <c r="AC14" s="1548"/>
      <c r="AD14" s="1548"/>
      <c r="AE14" s="1548"/>
      <c r="AF14" s="219"/>
      <c r="AI14" s="151"/>
    </row>
    <row r="15" spans="1:35" s="500" customFormat="1" ht="16.5" hidden="1" customHeight="1">
      <c r="A15" s="499" t="s">
        <v>2013</v>
      </c>
      <c r="C15" s="501">
        <v>1490000</v>
      </c>
      <c r="D15" s="502"/>
      <c r="E15" s="502"/>
      <c r="F15" s="503"/>
      <c r="G15" s="504">
        <v>1800000</v>
      </c>
      <c r="H15" s="504"/>
      <c r="I15" s="505"/>
      <c r="J15" s="505"/>
      <c r="K15" s="506"/>
      <c r="L15" s="507"/>
      <c r="M15" s="505"/>
      <c r="N15" s="508"/>
      <c r="O15" s="1549"/>
      <c r="P15" s="1549"/>
      <c r="Q15" s="1549"/>
      <c r="R15" s="1549"/>
      <c r="S15" s="1549"/>
      <c r="T15" s="509"/>
      <c r="U15" s="510"/>
      <c r="V15" s="580"/>
      <c r="W15" s="580"/>
      <c r="X15" s="651" t="s">
        <v>1181</v>
      </c>
      <c r="Y15" s="651"/>
      <c r="Z15" s="651"/>
      <c r="AA15" s="651"/>
      <c r="AB15" s="651"/>
      <c r="AC15" s="651"/>
      <c r="AD15" s="505"/>
      <c r="AE15" s="511"/>
      <c r="AF15" s="512"/>
      <c r="AI15" s="513"/>
    </row>
    <row r="16" spans="1:35" ht="10.5" hidden="1" customHeight="1">
      <c r="A16" s="1"/>
      <c r="B16" s="7"/>
      <c r="C16" s="7"/>
      <c r="D16" s="7"/>
      <c r="E16" s="14"/>
      <c r="F16" s="188"/>
      <c r="G16" s="222"/>
      <c r="H16" s="1"/>
      <c r="I16" s="1"/>
      <c r="J16" s="1"/>
      <c r="K16" s="73"/>
      <c r="L16" s="356"/>
      <c r="M16" s="1"/>
      <c r="N16" s="3"/>
      <c r="O16" s="1"/>
      <c r="P16" s="1"/>
      <c r="Q16" s="3"/>
      <c r="R16" s="451"/>
      <c r="S16" s="3"/>
      <c r="T16" s="382"/>
      <c r="U16" s="3"/>
      <c r="V16" s="581"/>
      <c r="W16" s="581"/>
      <c r="X16" s="27"/>
      <c r="Y16" s="27"/>
      <c r="Z16" s="27"/>
      <c r="AA16" s="27"/>
      <c r="AB16" s="27"/>
      <c r="AC16" s="27"/>
      <c r="AD16" s="1"/>
      <c r="AE16" s="96"/>
      <c r="AF16" s="219"/>
      <c r="AI16" s="151"/>
    </row>
    <row r="17" spans="1:42" s="500" customFormat="1" ht="16.5" customHeight="1">
      <c r="A17" s="499" t="s">
        <v>2013</v>
      </c>
      <c r="C17" s="501">
        <v>1490000</v>
      </c>
      <c r="D17" s="502"/>
      <c r="E17" s="502"/>
      <c r="F17" s="503"/>
      <c r="G17" s="504">
        <v>1800000</v>
      </c>
      <c r="H17" s="504"/>
      <c r="I17" s="505"/>
      <c r="J17" s="505"/>
      <c r="K17" s="506"/>
      <c r="L17" s="507"/>
      <c r="M17" s="505"/>
      <c r="N17" s="508"/>
      <c r="O17" s="1549"/>
      <c r="P17" s="1549"/>
      <c r="Q17" s="1549"/>
      <c r="R17" s="1549"/>
      <c r="S17" s="1549"/>
      <c r="T17" s="509"/>
      <c r="U17" s="510"/>
      <c r="V17" s="580"/>
      <c r="W17" s="651" t="s">
        <v>1181</v>
      </c>
      <c r="X17" s="651"/>
      <c r="Y17" s="651"/>
      <c r="Z17" s="651"/>
      <c r="AA17" s="505"/>
      <c r="AB17" s="511"/>
      <c r="AC17" s="512"/>
      <c r="AF17" s="513"/>
    </row>
    <row r="18" spans="1:42" ht="10.5" customHeight="1">
      <c r="A18" s="1"/>
      <c r="B18" s="7"/>
      <c r="C18" s="7"/>
      <c r="D18" s="7"/>
      <c r="E18" s="14"/>
      <c r="F18" s="188"/>
      <c r="G18" s="222"/>
      <c r="H18" s="1"/>
      <c r="I18" s="1"/>
      <c r="J18" s="1"/>
      <c r="K18" s="73"/>
      <c r="L18" s="356"/>
      <c r="M18" s="1"/>
      <c r="N18" s="3"/>
      <c r="O18" s="1"/>
      <c r="P18" s="1"/>
      <c r="Q18" s="3"/>
      <c r="R18" s="451"/>
      <c r="S18" s="3"/>
      <c r="T18" s="382"/>
      <c r="U18" s="3"/>
      <c r="V18" s="581"/>
      <c r="W18" s="27"/>
      <c r="X18" s="27"/>
      <c r="Y18" s="27"/>
      <c r="Z18" s="27"/>
      <c r="AA18" s="1"/>
    </row>
    <row r="19" spans="1:42" s="111" customFormat="1" ht="26.25" customHeight="1">
      <c r="A19" s="401" t="s">
        <v>853</v>
      </c>
      <c r="B19" s="1567" t="s">
        <v>854</v>
      </c>
      <c r="C19" s="1567"/>
      <c r="D19" s="88" t="s">
        <v>1598</v>
      </c>
      <c r="E19" s="420" t="s">
        <v>50</v>
      </c>
      <c r="F19" s="40" t="s">
        <v>1137</v>
      </c>
      <c r="G19" s="220" t="s">
        <v>1138</v>
      </c>
      <c r="H19" s="40" t="s">
        <v>1139</v>
      </c>
      <c r="I19" s="40" t="s">
        <v>1140</v>
      </c>
      <c r="J19" s="667" t="s">
        <v>2176</v>
      </c>
      <c r="K19" s="78" t="s">
        <v>855</v>
      </c>
      <c r="L19" s="350" t="s">
        <v>1141</v>
      </c>
      <c r="M19" s="28" t="s">
        <v>860</v>
      </c>
      <c r="N19" s="28" t="s">
        <v>1186</v>
      </c>
      <c r="O19" s="28" t="s">
        <v>861</v>
      </c>
      <c r="P19" s="28" t="s">
        <v>857</v>
      </c>
      <c r="Q19" s="28" t="s">
        <v>1187</v>
      </c>
      <c r="R19" s="452" t="s">
        <v>1247</v>
      </c>
      <c r="S19" s="93" t="s">
        <v>1188</v>
      </c>
      <c r="T19" s="383" t="s">
        <v>1184</v>
      </c>
      <c r="U19" s="28" t="s">
        <v>1189</v>
      </c>
      <c r="V19" s="582" t="s">
        <v>1190</v>
      </c>
      <c r="W19" s="28" t="s">
        <v>1100</v>
      </c>
      <c r="X19" s="666" t="s">
        <v>2172</v>
      </c>
      <c r="Y19" s="666" t="s">
        <v>2173</v>
      </c>
      <c r="Z19" s="666" t="s">
        <v>2174</v>
      </c>
      <c r="AA19" s="1545" t="s">
        <v>2175</v>
      </c>
      <c r="AB19" s="1546"/>
      <c r="AC19" s="437"/>
      <c r="AF19" s="153"/>
    </row>
    <row r="20" spans="1:42" s="108" customFormat="1" ht="15" customHeight="1">
      <c r="A20" s="29" t="s">
        <v>858</v>
      </c>
      <c r="B20" s="1558" t="s">
        <v>525</v>
      </c>
      <c r="C20" s="1558"/>
      <c r="D20" s="29"/>
      <c r="E20" s="421"/>
      <c r="F20" s="29" t="s">
        <v>1112</v>
      </c>
      <c r="G20" s="29" t="s">
        <v>1113</v>
      </c>
      <c r="H20" s="29" t="s">
        <v>1114</v>
      </c>
      <c r="I20" s="29" t="s">
        <v>1115</v>
      </c>
      <c r="J20" s="652" t="s">
        <v>786</v>
      </c>
      <c r="K20" s="72" t="s">
        <v>1112</v>
      </c>
      <c r="L20" s="351" t="s">
        <v>1117</v>
      </c>
      <c r="M20" s="29" t="s">
        <v>1113</v>
      </c>
      <c r="N20" s="29" t="s">
        <v>1114</v>
      </c>
      <c r="O20" s="29" t="s">
        <v>1115</v>
      </c>
      <c r="P20" s="29" t="s">
        <v>1116</v>
      </c>
      <c r="Q20" s="29" t="s">
        <v>1117</v>
      </c>
      <c r="R20" s="453" t="s">
        <v>1125</v>
      </c>
      <c r="S20" s="29" t="s">
        <v>1118</v>
      </c>
      <c r="T20" s="384" t="s">
        <v>1127</v>
      </c>
      <c r="U20" s="29">
        <v>10</v>
      </c>
      <c r="V20" s="583" t="s">
        <v>2022</v>
      </c>
      <c r="W20" s="29">
        <v>11</v>
      </c>
      <c r="X20" s="652">
        <v>1</v>
      </c>
      <c r="Y20" s="652">
        <v>2</v>
      </c>
      <c r="Z20" s="652" t="s">
        <v>2177</v>
      </c>
      <c r="AA20" s="1562" t="s">
        <v>2178</v>
      </c>
      <c r="AB20" s="1563"/>
      <c r="AC20" s="141"/>
      <c r="AF20" s="154"/>
    </row>
    <row r="21" spans="1:42" s="372" customFormat="1" ht="24.75" customHeight="1">
      <c r="A21" s="379">
        <f>_xlfn.AGGREGATE(4,7,A$20:A20)+1</f>
        <v>1</v>
      </c>
      <c r="B21" s="363" t="s">
        <v>1433</v>
      </c>
      <c r="C21" s="375" t="s">
        <v>1434</v>
      </c>
      <c r="D21" s="394" t="s">
        <v>1613</v>
      </c>
      <c r="E21" s="478" t="s">
        <v>1435</v>
      </c>
      <c r="F21" s="366">
        <v>5.76</v>
      </c>
      <c r="G21" s="367">
        <v>0</v>
      </c>
      <c r="H21" s="368">
        <f t="shared" ref="H21:H83" si="0">F21+(F21*G21)</f>
        <v>5.76</v>
      </c>
      <c r="I21" s="368">
        <v>0.9</v>
      </c>
      <c r="J21" s="368" t="str">
        <f>VLOOKUP(B21,TH.T3!B30:J361,9,FALSE)</f>
        <v>Hiệu trưởng</v>
      </c>
      <c r="K21" s="369">
        <f t="shared" ref="K21:K83" si="1">H21+I21</f>
        <v>6.66</v>
      </c>
      <c r="L21" s="362">
        <f t="shared" ref="L21:L83" si="2">K21*$G$17</f>
        <v>11988000</v>
      </c>
      <c r="M21" s="366" t="str">
        <f>VLOOKUP(B21,'[11]Gui chi Quynh'!$B$11:$E$400,4,FALSE)</f>
        <v>A1</v>
      </c>
      <c r="N21" s="494">
        <f t="shared" ref="N21:N83" si="3">IF(M21="A1",L21*1.6,IF(M21="A2",L21*1.4,IF(M21="A3",L21*1.2,IF(M21="A4",L21*1,IF(M21="B1",L21*0.7,IF(M21="B2",L21*0.5,IF(M21="C1",L21*0.3,IF(M21="C2",L21*0.2,0))))))))</f>
        <v>19180800</v>
      </c>
      <c r="O21" s="657">
        <v>19</v>
      </c>
      <c r="P21" s="440">
        <f>IFERROR(INDEX('[12]CN BC'!$J$10:$J$276,MATCH(B21,'[12]CN BC'!$H$10:$H$276,0)),"")</f>
        <v>26</v>
      </c>
      <c r="Q21" s="494">
        <f t="shared" ref="Q21:Q83" si="4">IF(P21&gt;=O21,N21,N21/O21*P21)</f>
        <v>19180800</v>
      </c>
      <c r="R21" s="460"/>
      <c r="S21" s="362">
        <f>R21*$G$17*1.6</f>
        <v>0</v>
      </c>
      <c r="T21" s="370"/>
      <c r="U21" s="362">
        <f t="shared" ref="U21:U83" si="5">T21*$G$17*1</f>
        <v>0</v>
      </c>
      <c r="V21" s="584">
        <f t="shared" ref="V21:V83" si="6">IF(OR(M21="A DN",M21="KXL", M21=""),"0",ROUND(K21*0.01*$G$17+R21*1%*$G$17+T21*1%*$G$17,))</f>
        <v>119880</v>
      </c>
      <c r="W21" s="371">
        <f>(Q21+S21+U21)</f>
        <v>19180800</v>
      </c>
      <c r="X21" s="935">
        <f>W21/Y21</f>
        <v>10.656000000000001</v>
      </c>
      <c r="Y21" s="934">
        <v>1800000</v>
      </c>
      <c r="Z21" s="931">
        <f>X21*Y21</f>
        <v>19180800</v>
      </c>
      <c r="AA21" s="568">
        <f t="shared" ref="AA21:AA83" si="7">A21</f>
        <v>1</v>
      </c>
      <c r="AB21" s="493">
        <f>IFERROR(INDEX('[12]CN BC'!$M$10:$M$276,MATCH(B21,'[12]CN BC'!$H$10:$H$276,0)),"")</f>
        <v>0</v>
      </c>
      <c r="AC21" s="945" t="s">
        <v>2014</v>
      </c>
      <c r="AD21" s="495"/>
      <c r="AE21" s="108"/>
      <c r="AF21" s="155"/>
      <c r="AG21" s="108"/>
      <c r="AH21" s="108"/>
      <c r="AI21" s="108"/>
      <c r="AJ21" s="108"/>
      <c r="AK21" s="108"/>
      <c r="AL21" s="108"/>
      <c r="AM21" s="108"/>
      <c r="AN21" s="108"/>
      <c r="AO21" s="108"/>
      <c r="AP21" s="108"/>
    </row>
    <row r="22" spans="1:42" s="372" customFormat="1" ht="27.75" customHeight="1">
      <c r="A22" s="379">
        <f>_xlfn.AGGREGATE(4,7,A$20:A21)+1</f>
        <v>2</v>
      </c>
      <c r="B22" s="363" t="s">
        <v>1447</v>
      </c>
      <c r="C22" s="375" t="s">
        <v>1439</v>
      </c>
      <c r="D22" s="406" t="s">
        <v>1614</v>
      </c>
      <c r="E22" s="422" t="s">
        <v>1442</v>
      </c>
      <c r="F22" s="366">
        <v>4.9800000000000004</v>
      </c>
      <c r="G22" s="367">
        <v>7.0000000000000007E-2</v>
      </c>
      <c r="H22" s="368">
        <f t="shared" si="0"/>
        <v>5.3286000000000007</v>
      </c>
      <c r="I22" s="368">
        <v>0.7</v>
      </c>
      <c r="J22" s="368" t="str">
        <f>VLOOKUP(B22,TH.T3!B31:J362,9,FALSE)</f>
        <v>Phó Hiệu trưởng</v>
      </c>
      <c r="K22" s="369">
        <f t="shared" si="1"/>
        <v>6.0286000000000008</v>
      </c>
      <c r="L22" s="362">
        <f t="shared" si="2"/>
        <v>10851480.000000002</v>
      </c>
      <c r="M22" s="366" t="str">
        <f>VLOOKUP(B22,'[11]Gui chi Quynh'!$B$11:$E$400,4,FALSE)</f>
        <v>A1</v>
      </c>
      <c r="N22" s="494">
        <f t="shared" si="3"/>
        <v>17362368.000000004</v>
      </c>
      <c r="O22" s="366">
        <v>19</v>
      </c>
      <c r="P22" s="440">
        <f>IFERROR(INDEX('[12]CN BC'!$J$10:$J$276,MATCH(B22,'[12]CN BC'!$H$10:$H$276,0)),"")</f>
        <v>24</v>
      </c>
      <c r="Q22" s="494">
        <f t="shared" si="4"/>
        <v>17362368.000000004</v>
      </c>
      <c r="R22" s="460"/>
      <c r="S22" s="362">
        <f>R22*$G$17*1.6</f>
        <v>0</v>
      </c>
      <c r="T22" s="385"/>
      <c r="U22" s="362">
        <f t="shared" si="5"/>
        <v>0</v>
      </c>
      <c r="V22" s="584">
        <f t="shared" si="6"/>
        <v>108515</v>
      </c>
      <c r="W22" s="371">
        <f>(Q22+S22+U22)</f>
        <v>17362368.000000004</v>
      </c>
      <c r="X22" s="935">
        <f t="shared" ref="X22:X84" si="8">W22/Y22</f>
        <v>9.6457600000000028</v>
      </c>
      <c r="Y22" s="934">
        <v>1800000</v>
      </c>
      <c r="Z22" s="931">
        <f t="shared" ref="Z22:Z84" si="9">X22*Y22</f>
        <v>17362368.000000004</v>
      </c>
      <c r="AA22" s="568">
        <f t="shared" si="7"/>
        <v>2</v>
      </c>
      <c r="AB22" s="493">
        <f>IFERROR(INDEX('[12]CN BC'!$M$10:$M$276,MATCH(B22,'[12]CN BC'!$H$10:$H$276,0)),"")</f>
        <v>0</v>
      </c>
      <c r="AC22" s="945" t="s">
        <v>2014</v>
      </c>
      <c r="AD22" s="496"/>
      <c r="AE22" s="465"/>
      <c r="AF22" s="155"/>
      <c r="AG22" s="108"/>
      <c r="AH22" s="108"/>
      <c r="AI22" s="108"/>
      <c r="AJ22" s="108"/>
      <c r="AK22" s="108"/>
      <c r="AL22" s="108"/>
      <c r="AM22" s="108"/>
      <c r="AN22" s="108"/>
      <c r="AO22" s="108"/>
      <c r="AP22" s="108"/>
    </row>
    <row r="23" spans="1:42" s="372" customFormat="1" ht="27" customHeight="1">
      <c r="A23" s="379">
        <f>_xlfn.AGGREGATE(4,7,A$20:A22)+1</f>
        <v>3</v>
      </c>
      <c r="B23" s="363" t="s">
        <v>1845</v>
      </c>
      <c r="C23" s="375" t="s">
        <v>867</v>
      </c>
      <c r="D23" s="434" t="s">
        <v>1615</v>
      </c>
      <c r="E23" s="423" t="s">
        <v>1255</v>
      </c>
      <c r="F23" s="366">
        <v>4.9800000000000004</v>
      </c>
      <c r="G23" s="367">
        <v>0.08</v>
      </c>
      <c r="H23" s="368">
        <f t="shared" si="0"/>
        <v>5.3784000000000001</v>
      </c>
      <c r="I23" s="368">
        <v>0.7</v>
      </c>
      <c r="J23" s="368" t="str">
        <f>VLOOKUP(B23,TH.T3!B32:J363,9,FALSE)</f>
        <v>Phó Hiệu trưởng</v>
      </c>
      <c r="K23" s="369">
        <f t="shared" si="1"/>
        <v>6.0784000000000002</v>
      </c>
      <c r="L23" s="362">
        <f t="shared" si="2"/>
        <v>10941120</v>
      </c>
      <c r="M23" s="366" t="str">
        <f>VLOOKUP(B23,'[11]Gui chi Quynh'!$B$11:$E$400,4,FALSE)</f>
        <v>A1</v>
      </c>
      <c r="N23" s="494">
        <f t="shared" si="3"/>
        <v>17505792</v>
      </c>
      <c r="O23" s="366">
        <v>19</v>
      </c>
      <c r="P23" s="440">
        <f>IFERROR(INDEX('[12]CN BC'!$J$10:$J$276,MATCH(B23,'[12]CN BC'!$H$10:$H$276,0)),"")</f>
        <v>23</v>
      </c>
      <c r="Q23" s="494">
        <f t="shared" si="4"/>
        <v>17505792</v>
      </c>
      <c r="R23" s="460"/>
      <c r="S23" s="362">
        <f>R23*$G$17*1.6</f>
        <v>0</v>
      </c>
      <c r="T23" s="370"/>
      <c r="U23" s="362">
        <f t="shared" si="5"/>
        <v>0</v>
      </c>
      <c r="V23" s="362">
        <f t="shared" si="6"/>
        <v>109411</v>
      </c>
      <c r="W23" s="371">
        <f t="shared" ref="W23:W85" si="10">(Q23+S23+U23)</f>
        <v>17505792</v>
      </c>
      <c r="X23" s="935">
        <f t="shared" si="8"/>
        <v>9.7254400000000008</v>
      </c>
      <c r="Y23" s="934">
        <v>1800000</v>
      </c>
      <c r="Z23" s="931">
        <f t="shared" si="9"/>
        <v>17505792</v>
      </c>
      <c r="AA23" s="568">
        <f t="shared" si="7"/>
        <v>3</v>
      </c>
      <c r="AB23" s="493">
        <f>IFERROR(INDEX('[12]CN BC'!$M$10:$M$276,MATCH(B23,'[12]CN BC'!$H$10:$H$276,0)),"")</f>
        <v>0</v>
      </c>
      <c r="AC23" s="946" t="s">
        <v>2014</v>
      </c>
      <c r="AD23" s="590"/>
      <c r="AE23" s="591"/>
      <c r="AF23" s="487"/>
    </row>
    <row r="24" spans="1:42" s="372" customFormat="1" ht="24.75" customHeight="1">
      <c r="A24" s="379">
        <f>_xlfn.AGGREGATE(4,7,A$20:A23)+1</f>
        <v>4</v>
      </c>
      <c r="B24" s="363" t="s">
        <v>1533</v>
      </c>
      <c r="C24" s="375"/>
      <c r="D24" s="434" t="s">
        <v>1954</v>
      </c>
      <c r="E24" s="102" t="s">
        <v>1937</v>
      </c>
      <c r="F24" s="373">
        <v>4.6500000000000004</v>
      </c>
      <c r="G24" s="367"/>
      <c r="H24" s="368">
        <f t="shared" si="0"/>
        <v>4.6500000000000004</v>
      </c>
      <c r="I24" s="368">
        <v>0.7</v>
      </c>
      <c r="J24" s="368" t="str">
        <f>VLOOKUP(B24,TH.T3!B33:J364,9,FALSE)</f>
        <v>Phó Hiệu trưởng</v>
      </c>
      <c r="K24" s="369">
        <f t="shared" si="1"/>
        <v>5.3500000000000005</v>
      </c>
      <c r="L24" s="362">
        <f t="shared" si="2"/>
        <v>9630000.0000000019</v>
      </c>
      <c r="M24" s="366" t="str">
        <f>VLOOKUP(B24,'[11]Gui chi Quynh'!$B$11:$E$400,4,FALSE)</f>
        <v>A1</v>
      </c>
      <c r="N24" s="494">
        <f t="shared" si="3"/>
        <v>15408000.000000004</v>
      </c>
      <c r="O24" s="366">
        <v>19</v>
      </c>
      <c r="P24" s="440">
        <f>IFERROR(INDEX('[12]CN BC'!$J$10:$J$276,MATCH(B24,'[12]CN BC'!$H$10:$H$276,0)),"")</f>
        <v>26</v>
      </c>
      <c r="Q24" s="494">
        <f t="shared" si="4"/>
        <v>15408000.000000004</v>
      </c>
      <c r="R24" s="460"/>
      <c r="S24" s="362">
        <f t="shared" ref="S24:S32" si="11">R24*$G$17*1</f>
        <v>0</v>
      </c>
      <c r="T24" s="370"/>
      <c r="U24" s="362">
        <f t="shared" si="5"/>
        <v>0</v>
      </c>
      <c r="V24" s="584">
        <f t="shared" si="6"/>
        <v>96300</v>
      </c>
      <c r="W24" s="371">
        <f t="shared" si="10"/>
        <v>15408000.000000004</v>
      </c>
      <c r="X24" s="935">
        <f t="shared" si="8"/>
        <v>8.5600000000000023</v>
      </c>
      <c r="Y24" s="934">
        <v>1800000</v>
      </c>
      <c r="Z24" s="931">
        <f t="shared" si="9"/>
        <v>15408000.000000004</v>
      </c>
      <c r="AA24" s="568">
        <f t="shared" si="7"/>
        <v>4</v>
      </c>
      <c r="AB24" s="493">
        <f>IFERROR(INDEX('[12]CN BC'!$M$10:$M$276,MATCH(B24,'[12]CN BC'!$H$10:$H$276,0)),"")</f>
        <v>0</v>
      </c>
      <c r="AC24" s="945" t="s">
        <v>2014</v>
      </c>
      <c r="AD24" s="497"/>
      <c r="AE24" s="497"/>
      <c r="AF24" s="155"/>
      <c r="AG24" s="108"/>
      <c r="AH24" s="108"/>
      <c r="AI24" s="108"/>
      <c r="AJ24" s="108"/>
      <c r="AK24" s="108"/>
      <c r="AL24" s="108"/>
    </row>
    <row r="25" spans="1:42" s="372" customFormat="1" ht="27.75" customHeight="1">
      <c r="A25" s="379">
        <f>_xlfn.AGGREGATE(4,7,A$20:A24)+1</f>
        <v>5</v>
      </c>
      <c r="B25" s="363" t="s">
        <v>1458</v>
      </c>
      <c r="C25" s="375" t="s">
        <v>891</v>
      </c>
      <c r="D25" s="30" t="s">
        <v>1995</v>
      </c>
      <c r="E25" s="432" t="s">
        <v>1577</v>
      </c>
      <c r="F25" s="366">
        <v>4.9800000000000004</v>
      </c>
      <c r="G25" s="367">
        <v>0.05</v>
      </c>
      <c r="H25" s="368">
        <f t="shared" si="0"/>
        <v>5.2290000000000001</v>
      </c>
      <c r="I25" s="368">
        <v>0.45</v>
      </c>
      <c r="J25" s="368" t="str">
        <f>VLOOKUP(B25,TH.T3!B34:J365,9,FALSE)</f>
        <v>Trưởng phòng TC - HC - TH</v>
      </c>
      <c r="K25" s="369">
        <f t="shared" si="1"/>
        <v>5.6790000000000003</v>
      </c>
      <c r="L25" s="362">
        <f t="shared" si="2"/>
        <v>10222200</v>
      </c>
      <c r="M25" s="366" t="str">
        <f>VLOOKUP(B25,'[11]Gui chi Quynh'!$B$11:$E$400,4,FALSE)</f>
        <v>A1</v>
      </c>
      <c r="N25" s="494">
        <f t="shared" si="3"/>
        <v>16355520</v>
      </c>
      <c r="O25" s="366">
        <v>19</v>
      </c>
      <c r="P25" s="440">
        <f>IFERROR(INDEX('[12]CN BC'!$J$10:$J$276,MATCH(B25,'[12]CN BC'!$H$10:$H$276,0)),"")</f>
        <v>24</v>
      </c>
      <c r="Q25" s="494">
        <f t="shared" si="4"/>
        <v>16355520</v>
      </c>
      <c r="R25" s="392"/>
      <c r="S25" s="362">
        <f t="shared" si="11"/>
        <v>0</v>
      </c>
      <c r="T25" s="385"/>
      <c r="U25" s="362">
        <f t="shared" si="5"/>
        <v>0</v>
      </c>
      <c r="V25" s="584">
        <f t="shared" si="6"/>
        <v>102222</v>
      </c>
      <c r="W25" s="371">
        <f t="shared" si="10"/>
        <v>16355520</v>
      </c>
      <c r="X25" s="935">
        <f t="shared" si="8"/>
        <v>9.0863999999999994</v>
      </c>
      <c r="Y25" s="934">
        <v>1800000</v>
      </c>
      <c r="Z25" s="931">
        <f t="shared" si="9"/>
        <v>16355519.999999998</v>
      </c>
      <c r="AA25" s="568">
        <f t="shared" si="7"/>
        <v>5</v>
      </c>
      <c r="AB25" s="493">
        <f>IFERROR(INDEX('[12]CN BC'!$M$10:$M$276,MATCH(B25,'[12]CN BC'!$H$10:$H$276,0)),"")</f>
        <v>0</v>
      </c>
      <c r="AC25" s="945" t="s">
        <v>2015</v>
      </c>
      <c r="AD25" s="497"/>
      <c r="AE25" s="497"/>
      <c r="AF25" s="155"/>
      <c r="AG25" s="108"/>
      <c r="AH25" s="108"/>
      <c r="AI25" s="108"/>
      <c r="AJ25" s="108"/>
      <c r="AK25" s="108"/>
      <c r="AL25" s="108"/>
      <c r="AM25" s="108"/>
      <c r="AN25" s="108"/>
      <c r="AO25" s="108"/>
      <c r="AP25" s="108"/>
    </row>
    <row r="26" spans="1:42" s="372" customFormat="1" ht="33" customHeight="1">
      <c r="A26" s="379">
        <f>_xlfn.AGGREGATE(4,7,A$20:A25)+1</f>
        <v>6</v>
      </c>
      <c r="B26" s="444" t="s">
        <v>1596</v>
      </c>
      <c r="C26" s="419" t="s">
        <v>979</v>
      </c>
      <c r="D26" s="418" t="s">
        <v>1623</v>
      </c>
      <c r="E26" s="426">
        <v>1603205353720</v>
      </c>
      <c r="F26" s="373">
        <v>3.33</v>
      </c>
      <c r="G26" s="367"/>
      <c r="H26" s="445">
        <f t="shared" si="0"/>
        <v>3.33</v>
      </c>
      <c r="I26" s="368">
        <v>0.35</v>
      </c>
      <c r="J26" s="368" t="str">
        <f>VLOOKUP(B26,TH.T3!B35:J366,9,FALSE)</f>
        <v>Phó Trưởng phòng Tổ chức - Hành chính - TH</v>
      </c>
      <c r="K26" s="369">
        <f t="shared" si="1"/>
        <v>3.68</v>
      </c>
      <c r="L26" s="362">
        <f t="shared" si="2"/>
        <v>6624000</v>
      </c>
      <c r="M26" s="366" t="str">
        <f>VLOOKUP(B26,'[11]Gui chi Quynh'!$B$11:$E$400,4,FALSE)</f>
        <v>A2</v>
      </c>
      <c r="N26" s="494">
        <f t="shared" si="3"/>
        <v>9273600</v>
      </c>
      <c r="O26" s="366">
        <v>19</v>
      </c>
      <c r="P26" s="440">
        <f>IFERROR(INDEX('[12]CN BC'!$J$10:$J$276,MATCH(B26,'[12]CN BC'!$H$10:$H$276,0)),"")</f>
        <v>20</v>
      </c>
      <c r="Q26" s="494">
        <f t="shared" si="4"/>
        <v>9273600</v>
      </c>
      <c r="R26" s="392"/>
      <c r="S26" s="362">
        <f t="shared" si="11"/>
        <v>0</v>
      </c>
      <c r="T26" s="370"/>
      <c r="U26" s="362">
        <f t="shared" si="5"/>
        <v>0</v>
      </c>
      <c r="V26" s="584">
        <f t="shared" si="6"/>
        <v>66240</v>
      </c>
      <c r="W26" s="371">
        <f t="shared" si="10"/>
        <v>9273600</v>
      </c>
      <c r="X26" s="935">
        <f t="shared" si="8"/>
        <v>5.1520000000000001</v>
      </c>
      <c r="Y26" s="934">
        <v>1800000</v>
      </c>
      <c r="Z26" s="931">
        <f t="shared" si="9"/>
        <v>9273600</v>
      </c>
      <c r="AA26" s="568">
        <f t="shared" si="7"/>
        <v>6</v>
      </c>
      <c r="AB26" s="493">
        <f>IFERROR(INDEX('[12]CN BC'!$M$10:$M$276,MATCH(B26,'[12]CN BC'!$H$10:$H$276,0)),"")</f>
        <v>0</v>
      </c>
      <c r="AC26" s="945" t="s">
        <v>2015</v>
      </c>
      <c r="AD26" s="471"/>
      <c r="AE26" s="497"/>
      <c r="AF26" s="155"/>
      <c r="AG26" s="108"/>
      <c r="AH26" s="108"/>
      <c r="AI26" s="108"/>
      <c r="AJ26" s="108"/>
      <c r="AK26" s="108"/>
      <c r="AL26" s="108"/>
    </row>
    <row r="27" spans="1:42" s="372" customFormat="1" ht="33" customHeight="1">
      <c r="A27" s="379">
        <f>_xlfn.AGGREGATE(4,7,A$20:A26)+1</f>
        <v>7</v>
      </c>
      <c r="B27" s="363" t="s">
        <v>1464</v>
      </c>
      <c r="C27" s="375" t="s">
        <v>266</v>
      </c>
      <c r="D27" s="434" t="s">
        <v>1660</v>
      </c>
      <c r="E27" s="428">
        <v>1603205185719</v>
      </c>
      <c r="F27" s="373">
        <v>3</v>
      </c>
      <c r="G27" s="367"/>
      <c r="H27" s="368">
        <f t="shared" si="0"/>
        <v>3</v>
      </c>
      <c r="I27" s="368">
        <v>0.35</v>
      </c>
      <c r="J27" s="368" t="str">
        <f>VLOOKUP(B27,TH.T3!B36:J367,9,FALSE)</f>
        <v>Phó Trưởng phòng Tổ chức - Hành chính - TH</v>
      </c>
      <c r="K27" s="369">
        <f t="shared" si="1"/>
        <v>3.35</v>
      </c>
      <c r="L27" s="362">
        <f t="shared" si="2"/>
        <v>6030000</v>
      </c>
      <c r="M27" s="366" t="str">
        <f>VLOOKUP(B27,'[11]Gui chi Quynh'!$B$11:$E$400,4,FALSE)</f>
        <v>A1</v>
      </c>
      <c r="N27" s="494">
        <f t="shared" si="3"/>
        <v>9648000</v>
      </c>
      <c r="O27" s="366">
        <v>19</v>
      </c>
      <c r="P27" s="440">
        <f>IFERROR(INDEX('[12]CN BC'!$J$10:$J$276,MATCH(B27,'[12]CN BC'!$H$10:$H$276,0)),"")</f>
        <v>22.5</v>
      </c>
      <c r="Q27" s="494">
        <f t="shared" si="4"/>
        <v>9648000</v>
      </c>
      <c r="R27" s="460"/>
      <c r="S27" s="362">
        <f t="shared" si="11"/>
        <v>0</v>
      </c>
      <c r="T27" s="370"/>
      <c r="U27" s="362">
        <f t="shared" si="5"/>
        <v>0</v>
      </c>
      <c r="V27" s="584">
        <f t="shared" si="6"/>
        <v>60300</v>
      </c>
      <c r="W27" s="371">
        <f t="shared" si="10"/>
        <v>9648000</v>
      </c>
      <c r="X27" s="935">
        <f t="shared" si="8"/>
        <v>5.36</v>
      </c>
      <c r="Y27" s="934">
        <v>1800000</v>
      </c>
      <c r="Z27" s="931">
        <f t="shared" si="9"/>
        <v>9648000</v>
      </c>
      <c r="AA27" s="568">
        <f t="shared" si="7"/>
        <v>7</v>
      </c>
      <c r="AB27" s="493">
        <f>IFERROR(INDEX('[12]CN BC'!$M$10:$M$276,MATCH(B27,'[12]CN BC'!$H$10:$H$276,0)),"")</f>
        <v>0</v>
      </c>
      <c r="AC27" s="945" t="s">
        <v>2015</v>
      </c>
      <c r="AD27" s="108"/>
      <c r="AE27" s="497"/>
      <c r="AF27" s="155"/>
      <c r="AG27" s="108"/>
      <c r="AH27" s="108"/>
      <c r="AI27" s="108"/>
      <c r="AJ27" s="108"/>
      <c r="AK27" s="108"/>
      <c r="AL27" s="108"/>
    </row>
    <row r="28" spans="1:42" s="372" customFormat="1" ht="33" customHeight="1">
      <c r="A28" s="379">
        <f>_xlfn.AGGREGATE(4,7,A$20:A27)+1</f>
        <v>8</v>
      </c>
      <c r="B28" s="363" t="s">
        <v>1846</v>
      </c>
      <c r="C28" s="375" t="s">
        <v>996</v>
      </c>
      <c r="D28" s="434" t="s">
        <v>1618</v>
      </c>
      <c r="E28" s="423" t="s">
        <v>1264</v>
      </c>
      <c r="F28" s="366">
        <v>3.66</v>
      </c>
      <c r="G28" s="367"/>
      <c r="H28" s="368">
        <f t="shared" si="0"/>
        <v>3.66</v>
      </c>
      <c r="I28" s="368"/>
      <c r="J28" s="368" t="str">
        <f>VLOOKUP(B28,TH.T3!B37:J368,9,FALSE)</f>
        <v>NV Phòng Tổ chức - Hành chính - Tổng hợp</v>
      </c>
      <c r="K28" s="369">
        <f t="shared" si="1"/>
        <v>3.66</v>
      </c>
      <c r="L28" s="362">
        <f t="shared" si="2"/>
        <v>6588000</v>
      </c>
      <c r="M28" s="366" t="str">
        <f>VLOOKUP(B28,'[11]Gui chi Quynh'!$B$11:$E$400,4,FALSE)</f>
        <v>A1</v>
      </c>
      <c r="N28" s="494">
        <f t="shared" si="3"/>
        <v>10540800</v>
      </c>
      <c r="O28" s="366">
        <v>19</v>
      </c>
      <c r="P28" s="440">
        <f>IFERROR(INDEX('[12]CN BC'!$J$10:$J$276,MATCH(B28,'[12]CN BC'!$H$10:$H$276,0)),"")</f>
        <v>23</v>
      </c>
      <c r="Q28" s="494">
        <f t="shared" si="4"/>
        <v>10540800</v>
      </c>
      <c r="R28" s="460"/>
      <c r="S28" s="362">
        <f t="shared" si="11"/>
        <v>0</v>
      </c>
      <c r="T28" s="370"/>
      <c r="U28" s="362">
        <f t="shared" si="5"/>
        <v>0</v>
      </c>
      <c r="V28" s="584">
        <f t="shared" si="6"/>
        <v>65880</v>
      </c>
      <c r="W28" s="371">
        <f t="shared" si="10"/>
        <v>10540800</v>
      </c>
      <c r="X28" s="935">
        <f t="shared" si="8"/>
        <v>5.8559999999999999</v>
      </c>
      <c r="Y28" s="934">
        <v>1800000</v>
      </c>
      <c r="Z28" s="931">
        <f t="shared" si="9"/>
        <v>10540800</v>
      </c>
      <c r="AA28" s="568">
        <f t="shared" si="7"/>
        <v>8</v>
      </c>
      <c r="AB28" s="493">
        <f>IFERROR(INDEX('[12]CN BC'!$M$10:$M$276,MATCH(B28,'[12]CN BC'!$H$10:$H$276,0)),"")</f>
        <v>0</v>
      </c>
      <c r="AC28" s="945" t="s">
        <v>2015</v>
      </c>
      <c r="AD28" s="497"/>
      <c r="AE28" s="497"/>
      <c r="AF28" s="155"/>
      <c r="AG28" s="108"/>
      <c r="AH28" s="108"/>
      <c r="AI28" s="108"/>
      <c r="AJ28" s="108"/>
      <c r="AK28" s="108"/>
      <c r="AL28" s="108"/>
    </row>
    <row r="29" spans="1:42" s="372" customFormat="1" ht="33" customHeight="1">
      <c r="A29" s="379">
        <f>_xlfn.AGGREGATE(4,7,A$20:A28)+1</f>
        <v>9</v>
      </c>
      <c r="B29" s="363" t="s">
        <v>1827</v>
      </c>
      <c r="C29" s="375" t="s">
        <v>1169</v>
      </c>
      <c r="D29" s="434" t="s">
        <v>1619</v>
      </c>
      <c r="E29" s="423" t="s">
        <v>1265</v>
      </c>
      <c r="F29" s="373">
        <v>3.99</v>
      </c>
      <c r="G29" s="367"/>
      <c r="H29" s="368">
        <f t="shared" si="0"/>
        <v>3.99</v>
      </c>
      <c r="I29" s="368"/>
      <c r="J29" s="368" t="str">
        <f>VLOOKUP(B29,TH.T3!B38:J369,9,FALSE)</f>
        <v>NV Phòng Tổ chức - Hành chính - Tổng hợp</v>
      </c>
      <c r="K29" s="369">
        <f t="shared" si="1"/>
        <v>3.99</v>
      </c>
      <c r="L29" s="362">
        <f t="shared" si="2"/>
        <v>7182000</v>
      </c>
      <c r="M29" s="366" t="str">
        <f>VLOOKUP(B29,'[11]Gui chi Quynh'!$B$11:$E$400,4,FALSE)</f>
        <v>A2</v>
      </c>
      <c r="N29" s="494">
        <f t="shared" si="3"/>
        <v>10054800</v>
      </c>
      <c r="O29" s="366">
        <v>19</v>
      </c>
      <c r="P29" s="440">
        <f>IFERROR(INDEX('[12]CN BC'!$J$10:$J$276,MATCH(B29,'[12]CN BC'!$H$10:$H$276,0)),"")</f>
        <v>22</v>
      </c>
      <c r="Q29" s="494">
        <f t="shared" si="4"/>
        <v>10054800</v>
      </c>
      <c r="R29" s="460"/>
      <c r="S29" s="362">
        <f t="shared" si="11"/>
        <v>0</v>
      </c>
      <c r="T29" s="370"/>
      <c r="U29" s="362">
        <f t="shared" si="5"/>
        <v>0</v>
      </c>
      <c r="V29" s="584">
        <f t="shared" si="6"/>
        <v>71820</v>
      </c>
      <c r="W29" s="371">
        <f t="shared" si="10"/>
        <v>10054800</v>
      </c>
      <c r="X29" s="935">
        <f t="shared" si="8"/>
        <v>5.5860000000000003</v>
      </c>
      <c r="Y29" s="934">
        <v>1800000</v>
      </c>
      <c r="Z29" s="931">
        <f t="shared" si="9"/>
        <v>10054800</v>
      </c>
      <c r="AA29" s="568">
        <f t="shared" si="7"/>
        <v>9</v>
      </c>
      <c r="AB29" s="493">
        <f>IFERROR(INDEX('[12]CN BC'!$M$10:$M$276,MATCH(B29,'[12]CN BC'!$H$10:$H$276,0)),"")</f>
        <v>0</v>
      </c>
      <c r="AC29" s="945" t="s">
        <v>2015</v>
      </c>
      <c r="AD29" s="497"/>
      <c r="AE29" s="497"/>
      <c r="AF29" s="155"/>
      <c r="AG29" s="108"/>
      <c r="AH29" s="108"/>
      <c r="AI29" s="108"/>
      <c r="AJ29" s="108"/>
      <c r="AK29" s="108"/>
      <c r="AL29" s="108"/>
    </row>
    <row r="30" spans="1:42" s="372" customFormat="1" ht="33" customHeight="1">
      <c r="A30" s="379">
        <f>_xlfn.AGGREGATE(4,7,A$20:A29)+1</f>
        <v>10</v>
      </c>
      <c r="B30" s="363" t="s">
        <v>1448</v>
      </c>
      <c r="C30" s="375" t="s">
        <v>951</v>
      </c>
      <c r="D30" s="434" t="s">
        <v>1620</v>
      </c>
      <c r="E30" s="426" t="s">
        <v>1574</v>
      </c>
      <c r="F30" s="366">
        <v>3.46</v>
      </c>
      <c r="G30" s="367"/>
      <c r="H30" s="368">
        <f t="shared" si="0"/>
        <v>3.46</v>
      </c>
      <c r="I30" s="368"/>
      <c r="J30" s="368" t="str">
        <f>VLOOKUP(B30,TH.T3!B39:J370,9,FALSE)</f>
        <v>NV Phòng Tổ chức - Hành chính - Tổng hợp</v>
      </c>
      <c r="K30" s="369">
        <f t="shared" si="1"/>
        <v>3.46</v>
      </c>
      <c r="L30" s="362">
        <f t="shared" si="2"/>
        <v>6228000</v>
      </c>
      <c r="M30" s="366" t="str">
        <f>VLOOKUP(B30,'[11]Gui chi Quynh'!$B$11:$E$400,4,FALSE)</f>
        <v>A3</v>
      </c>
      <c r="N30" s="494">
        <f t="shared" si="3"/>
        <v>7473600</v>
      </c>
      <c r="O30" s="366">
        <v>19</v>
      </c>
      <c r="P30" s="440">
        <f>IFERROR(INDEX('[12]CN BC'!$J$10:$J$276,MATCH(B30,'[12]CN BC'!$H$10:$H$276,0)),"")</f>
        <v>17.5</v>
      </c>
      <c r="Q30" s="494">
        <f t="shared" si="4"/>
        <v>6883578.9473684216</v>
      </c>
      <c r="R30" s="460"/>
      <c r="S30" s="362">
        <f t="shared" si="11"/>
        <v>0</v>
      </c>
      <c r="T30" s="370"/>
      <c r="U30" s="362">
        <f t="shared" si="5"/>
        <v>0</v>
      </c>
      <c r="V30" s="584">
        <f t="shared" si="6"/>
        <v>62280</v>
      </c>
      <c r="W30" s="371">
        <f t="shared" si="10"/>
        <v>6883578.9473684216</v>
      </c>
      <c r="X30" s="935">
        <f t="shared" si="8"/>
        <v>3.8242105263157899</v>
      </c>
      <c r="Y30" s="934">
        <v>1800000</v>
      </c>
      <c r="Z30" s="931">
        <f t="shared" si="9"/>
        <v>6883578.9473684216</v>
      </c>
      <c r="AA30" s="568">
        <f t="shared" si="7"/>
        <v>10</v>
      </c>
      <c r="AB30" s="493" t="str">
        <f>IFERROR(INDEX('[12]CN BC'!$M$10:$M$276,MATCH(B30,'[12]CN BC'!$H$10:$H$276,0)),"")</f>
        <v>Trừ 2 ngày nghỉ phép 11+12/4</v>
      </c>
      <c r="AC30" s="945" t="s">
        <v>2015</v>
      </c>
      <c r="AD30" s="108"/>
      <c r="AE30" s="497"/>
      <c r="AF30" s="155"/>
      <c r="AG30" s="108"/>
      <c r="AH30" s="108"/>
      <c r="AI30" s="108"/>
      <c r="AJ30" s="108"/>
      <c r="AK30" s="108"/>
      <c r="AL30" s="108"/>
    </row>
    <row r="31" spans="1:42" s="372" customFormat="1" ht="33" customHeight="1">
      <c r="A31" s="379">
        <f>_xlfn.AGGREGATE(4,7,A$20:A30)+1</f>
        <v>11</v>
      </c>
      <c r="B31" s="363" t="s">
        <v>1449</v>
      </c>
      <c r="C31" s="375" t="s">
        <v>1436</v>
      </c>
      <c r="D31" s="406" t="s">
        <v>1621</v>
      </c>
      <c r="E31" s="427">
        <v>1603205280047</v>
      </c>
      <c r="F31" s="373">
        <v>3.66</v>
      </c>
      <c r="G31" s="378"/>
      <c r="H31" s="368">
        <f t="shared" si="0"/>
        <v>3.66</v>
      </c>
      <c r="I31" s="368"/>
      <c r="J31" s="368" t="str">
        <f>VLOOKUP(B31,TH.T3!B40:J371,9,FALSE)</f>
        <v>NV Phòng Tổ chức - Hành chính - Tổng hợp</v>
      </c>
      <c r="K31" s="369">
        <f t="shared" si="1"/>
        <v>3.66</v>
      </c>
      <c r="L31" s="362">
        <f t="shared" si="2"/>
        <v>6588000</v>
      </c>
      <c r="M31" s="366" t="str">
        <f>VLOOKUP(B31,'[11]Gui chi Quynh'!$B$11:$E$400,4,FALSE)</f>
        <v>A2</v>
      </c>
      <c r="N31" s="494">
        <f t="shared" si="3"/>
        <v>9223200</v>
      </c>
      <c r="O31" s="366">
        <v>19</v>
      </c>
      <c r="P31" s="440">
        <f>IFERROR(INDEX('[12]CN BC'!$J$10:$J$276,MATCH(B31,'[12]CN BC'!$H$10:$H$276,0)),"")</f>
        <v>19.5</v>
      </c>
      <c r="Q31" s="494">
        <f t="shared" si="4"/>
        <v>9223200</v>
      </c>
      <c r="R31" s="392"/>
      <c r="S31" s="362">
        <f t="shared" si="11"/>
        <v>0</v>
      </c>
      <c r="T31" s="385"/>
      <c r="U31" s="362">
        <f t="shared" si="5"/>
        <v>0</v>
      </c>
      <c r="V31" s="584">
        <f t="shared" si="6"/>
        <v>65880</v>
      </c>
      <c r="W31" s="371">
        <f t="shared" si="10"/>
        <v>9223200</v>
      </c>
      <c r="X31" s="935">
        <f t="shared" si="8"/>
        <v>5.1239999999999997</v>
      </c>
      <c r="Y31" s="934">
        <v>1800000</v>
      </c>
      <c r="Z31" s="931">
        <f t="shared" si="9"/>
        <v>9223200</v>
      </c>
      <c r="AA31" s="568">
        <f t="shared" si="7"/>
        <v>11</v>
      </c>
      <c r="AB31" s="493">
        <f>IFERROR(INDEX('[12]CN BC'!$M$10:$M$276,MATCH(B31,'[12]CN BC'!$H$10:$H$276,0)),"")</f>
        <v>0</v>
      </c>
      <c r="AC31" s="945" t="s">
        <v>2015</v>
      </c>
      <c r="AD31" s="108"/>
      <c r="AE31" s="108"/>
      <c r="AF31" s="155"/>
      <c r="AG31" s="108"/>
      <c r="AH31" s="108"/>
      <c r="AI31" s="108"/>
      <c r="AJ31" s="108"/>
      <c r="AK31" s="108"/>
      <c r="AL31" s="108"/>
      <c r="AM31" s="108"/>
      <c r="AN31" s="108"/>
      <c r="AO31" s="108"/>
      <c r="AP31" s="108"/>
    </row>
    <row r="32" spans="1:42" s="372" customFormat="1" ht="33" customHeight="1">
      <c r="A32" s="379">
        <f>_xlfn.AGGREGATE(4,7,A$20:A31)+1</f>
        <v>12</v>
      </c>
      <c r="B32" s="363" t="s">
        <v>1828</v>
      </c>
      <c r="C32" s="375" t="s">
        <v>996</v>
      </c>
      <c r="D32" s="434" t="s">
        <v>1622</v>
      </c>
      <c r="E32" s="428" t="s">
        <v>385</v>
      </c>
      <c r="F32" s="366">
        <v>3.66</v>
      </c>
      <c r="G32" s="367"/>
      <c r="H32" s="368">
        <f t="shared" si="0"/>
        <v>3.66</v>
      </c>
      <c r="I32" s="368"/>
      <c r="J32" s="368" t="str">
        <f>VLOOKUP(B32,TH.T3!B41:J372,9,FALSE)</f>
        <v>NV Phòng Tổ chức - Hành chính - Tổng hợp</v>
      </c>
      <c r="K32" s="369">
        <f t="shared" si="1"/>
        <v>3.66</v>
      </c>
      <c r="L32" s="362">
        <f t="shared" si="2"/>
        <v>6588000</v>
      </c>
      <c r="M32" s="366" t="str">
        <f>VLOOKUP(B32,'[11]Gui chi Quynh'!$B$11:$E$400,4,FALSE)</f>
        <v>A1</v>
      </c>
      <c r="N32" s="494">
        <f t="shared" si="3"/>
        <v>10540800</v>
      </c>
      <c r="O32" s="366">
        <v>19</v>
      </c>
      <c r="P32" s="440">
        <f>IFERROR(INDEX('[12]CN BC'!$J$10:$J$276,MATCH(B32,'[12]CN BC'!$H$10:$H$276,0)),"")</f>
        <v>21</v>
      </c>
      <c r="Q32" s="494">
        <f t="shared" si="4"/>
        <v>10540800</v>
      </c>
      <c r="R32" s="460"/>
      <c r="S32" s="362">
        <f t="shared" si="11"/>
        <v>0</v>
      </c>
      <c r="T32" s="370"/>
      <c r="U32" s="362">
        <f t="shared" si="5"/>
        <v>0</v>
      </c>
      <c r="V32" s="584">
        <f t="shared" si="6"/>
        <v>65880</v>
      </c>
      <c r="W32" s="371">
        <f t="shared" si="10"/>
        <v>10540800</v>
      </c>
      <c r="X32" s="935">
        <f t="shared" si="8"/>
        <v>5.8559999999999999</v>
      </c>
      <c r="Y32" s="934">
        <v>1800000</v>
      </c>
      <c r="Z32" s="931">
        <f t="shared" si="9"/>
        <v>10540800</v>
      </c>
      <c r="AA32" s="568">
        <f t="shared" si="7"/>
        <v>12</v>
      </c>
      <c r="AB32" s="493">
        <f>IFERROR(INDEX('[12]CN BC'!$M$10:$M$276,MATCH(B32,'[12]CN BC'!$H$10:$H$276,0)),"")</f>
        <v>0</v>
      </c>
      <c r="AC32" s="945" t="s">
        <v>2015</v>
      </c>
      <c r="AD32" s="108"/>
      <c r="AE32" s="108"/>
      <c r="AF32" s="155"/>
      <c r="AG32" s="108"/>
      <c r="AH32" s="108"/>
      <c r="AI32" s="108"/>
      <c r="AJ32" s="108"/>
      <c r="AK32" s="108"/>
      <c r="AL32" s="108"/>
    </row>
    <row r="33" spans="1:42" s="372" customFormat="1" ht="33" customHeight="1">
      <c r="A33" s="379">
        <f>_xlfn.AGGREGATE(4,7,A$20:A32)+1</f>
        <v>13</v>
      </c>
      <c r="B33" s="363" t="s">
        <v>1847</v>
      </c>
      <c r="C33" s="375" t="s">
        <v>1094</v>
      </c>
      <c r="D33" s="406" t="s">
        <v>1643</v>
      </c>
      <c r="E33" s="423" t="s">
        <v>8</v>
      </c>
      <c r="F33" s="366">
        <v>3.66</v>
      </c>
      <c r="G33" s="367"/>
      <c r="H33" s="368">
        <f t="shared" si="0"/>
        <v>3.66</v>
      </c>
      <c r="I33" s="368"/>
      <c r="J33" s="368" t="str">
        <f>VLOOKUP(B33,TH.T3!B42:J373,9,FALSE)</f>
        <v>NV Phòng Tổ chức - Hành chính - Tổng hợp</v>
      </c>
      <c r="K33" s="369">
        <f t="shared" si="1"/>
        <v>3.66</v>
      </c>
      <c r="L33" s="362">
        <f t="shared" si="2"/>
        <v>6588000</v>
      </c>
      <c r="M33" s="366" t="str">
        <f>VLOOKUP(B33,'[11]Gui chi Quynh'!$B$11:$E$400,4,FALSE)</f>
        <v>A3</v>
      </c>
      <c r="N33" s="494">
        <f t="shared" si="3"/>
        <v>7905600</v>
      </c>
      <c r="O33" s="366">
        <v>19</v>
      </c>
      <c r="P33" s="440">
        <f>IFERROR(INDEX('[12]CN BC'!$J$10:$J$276,MATCH(B33,'[12]CN BC'!$H$10:$H$276,0)),"")</f>
        <v>19</v>
      </c>
      <c r="Q33" s="494">
        <f t="shared" si="4"/>
        <v>7905600</v>
      </c>
      <c r="R33" s="460"/>
      <c r="S33" s="362">
        <f>R33*$G$17*1.4</f>
        <v>0</v>
      </c>
      <c r="T33" s="370"/>
      <c r="U33" s="362">
        <f t="shared" si="5"/>
        <v>0</v>
      </c>
      <c r="V33" s="584">
        <f t="shared" si="6"/>
        <v>65880</v>
      </c>
      <c r="W33" s="371">
        <f t="shared" si="10"/>
        <v>7905600</v>
      </c>
      <c r="X33" s="935">
        <f t="shared" si="8"/>
        <v>4.3920000000000003</v>
      </c>
      <c r="Y33" s="934">
        <v>1800000</v>
      </c>
      <c r="Z33" s="931">
        <f t="shared" si="9"/>
        <v>7905600.0000000009</v>
      </c>
      <c r="AA33" s="568">
        <f t="shared" si="7"/>
        <v>13</v>
      </c>
      <c r="AB33" s="493">
        <f>IFERROR(INDEX('[12]CN BC'!$M$10:$M$276,MATCH(B33,'[12]CN BC'!$H$10:$H$276,0)),"")</f>
        <v>0</v>
      </c>
      <c r="AC33" s="945" t="s">
        <v>2015</v>
      </c>
      <c r="AD33" s="108"/>
      <c r="AE33" s="108"/>
      <c r="AF33" s="155"/>
      <c r="AG33" s="108"/>
      <c r="AH33" s="108"/>
      <c r="AI33" s="108"/>
      <c r="AJ33" s="108"/>
      <c r="AK33" s="108"/>
      <c r="AL33" s="108"/>
      <c r="AM33" s="108"/>
      <c r="AN33" s="108"/>
      <c r="AO33" s="108"/>
      <c r="AP33" s="108"/>
    </row>
    <row r="34" spans="1:42" s="372" customFormat="1" ht="33" customHeight="1">
      <c r="A34" s="379">
        <f>_xlfn.AGGREGATE(4,7,A$20:A33)+1</f>
        <v>14</v>
      </c>
      <c r="B34" s="363" t="s">
        <v>1848</v>
      </c>
      <c r="C34" s="375" t="s">
        <v>1431</v>
      </c>
      <c r="D34" s="434" t="s">
        <v>1644</v>
      </c>
      <c r="E34" s="426">
        <v>1603205360856</v>
      </c>
      <c r="F34" s="373">
        <v>3.33</v>
      </c>
      <c r="G34" s="367"/>
      <c r="H34" s="445">
        <f t="shared" si="0"/>
        <v>3.33</v>
      </c>
      <c r="I34" s="368"/>
      <c r="J34" s="368" t="str">
        <f>VLOOKUP(B34,TH.T3!B43:J374,9,FALSE)</f>
        <v>NV Phòng Tổ chức - Hành chính - Tổng hợp</v>
      </c>
      <c r="K34" s="369">
        <f t="shared" si="1"/>
        <v>3.33</v>
      </c>
      <c r="L34" s="362">
        <f t="shared" si="2"/>
        <v>5994000</v>
      </c>
      <c r="M34" s="366" t="str">
        <f>VLOOKUP(B34,'[11]Gui chi Quynh'!$B$11:$E$400,4,FALSE)</f>
        <v>A2</v>
      </c>
      <c r="N34" s="494">
        <f t="shared" si="3"/>
        <v>8391600</v>
      </c>
      <c r="O34" s="366">
        <v>19</v>
      </c>
      <c r="P34" s="440">
        <f>IFERROR(INDEX('[12]CN BC'!$J$10:$J$276,MATCH(B34,'[12]CN BC'!$H$10:$H$276,0)),"")</f>
        <v>19</v>
      </c>
      <c r="Q34" s="494">
        <f t="shared" si="4"/>
        <v>8391600</v>
      </c>
      <c r="R34" s="460"/>
      <c r="S34" s="362">
        <f t="shared" ref="S34:S44" si="12">R34*$G$17*1</f>
        <v>0</v>
      </c>
      <c r="T34" s="370"/>
      <c r="U34" s="362">
        <f t="shared" si="5"/>
        <v>0</v>
      </c>
      <c r="V34" s="584">
        <f t="shared" si="6"/>
        <v>59940</v>
      </c>
      <c r="W34" s="371">
        <f t="shared" si="10"/>
        <v>8391600</v>
      </c>
      <c r="X34" s="935">
        <f t="shared" si="8"/>
        <v>4.6619999999999999</v>
      </c>
      <c r="Y34" s="934">
        <v>1800000</v>
      </c>
      <c r="Z34" s="931">
        <f t="shared" si="9"/>
        <v>8391600</v>
      </c>
      <c r="AA34" s="568">
        <f t="shared" si="7"/>
        <v>14</v>
      </c>
      <c r="AB34" s="493">
        <f>IFERROR(INDEX('[12]CN BC'!$M$10:$M$276,MATCH(B34,'[12]CN BC'!$H$10:$H$276,0)),"")</f>
        <v>0</v>
      </c>
      <c r="AC34" s="946" t="s">
        <v>2015</v>
      </c>
      <c r="AF34" s="487"/>
    </row>
    <row r="35" spans="1:42" s="372" customFormat="1" ht="33" customHeight="1">
      <c r="A35" s="379">
        <f>_xlfn.AGGREGATE(4,7,A$20:A34)+1</f>
        <v>15</v>
      </c>
      <c r="B35" s="444" t="s">
        <v>1603</v>
      </c>
      <c r="C35" s="419" t="s">
        <v>1602</v>
      </c>
      <c r="D35" s="418" t="s">
        <v>1624</v>
      </c>
      <c r="E35" s="426">
        <v>1603205545491</v>
      </c>
      <c r="F35" s="373">
        <f>2.46+0.15</f>
        <v>2.61</v>
      </c>
      <c r="G35" s="367"/>
      <c r="H35" s="368">
        <f t="shared" si="0"/>
        <v>2.61</v>
      </c>
      <c r="I35" s="368"/>
      <c r="J35" s="368" t="str">
        <f>VLOOKUP(B35,TH.T3!B44:J375,9,FALSE)</f>
        <v>NV Phòng Tổ chức - Hành chính - Tổng hợp</v>
      </c>
      <c r="K35" s="369">
        <f t="shared" si="1"/>
        <v>2.61</v>
      </c>
      <c r="L35" s="362">
        <f t="shared" si="2"/>
        <v>4698000</v>
      </c>
      <c r="M35" s="366" t="str">
        <f>VLOOKUP(B35,'[11]Gui chi Quynh'!$B$11:$E$400,4,FALSE)</f>
        <v>A2</v>
      </c>
      <c r="N35" s="494">
        <f t="shared" si="3"/>
        <v>6577200</v>
      </c>
      <c r="O35" s="366">
        <v>19</v>
      </c>
      <c r="P35" s="440">
        <f>IFERROR(INDEX('[12]CN BC'!$J$10:$J$276,MATCH(B35,'[12]CN BC'!$H$10:$H$276,0)),"")</f>
        <v>20.5</v>
      </c>
      <c r="Q35" s="494">
        <f t="shared" si="4"/>
        <v>6577200</v>
      </c>
      <c r="R35" s="460"/>
      <c r="S35" s="362">
        <f t="shared" si="12"/>
        <v>0</v>
      </c>
      <c r="T35" s="370"/>
      <c r="U35" s="362">
        <f t="shared" si="5"/>
        <v>0</v>
      </c>
      <c r="V35" s="584">
        <f t="shared" si="6"/>
        <v>46980</v>
      </c>
      <c r="W35" s="371">
        <f t="shared" si="10"/>
        <v>6577200</v>
      </c>
      <c r="X35" s="935">
        <f t="shared" si="8"/>
        <v>3.6539999999999999</v>
      </c>
      <c r="Y35" s="934">
        <v>1800000</v>
      </c>
      <c r="Z35" s="931">
        <f t="shared" si="9"/>
        <v>6577200</v>
      </c>
      <c r="AA35" s="568">
        <f t="shared" si="7"/>
        <v>15</v>
      </c>
      <c r="AB35" s="493">
        <f>IFERROR(INDEX('[12]CN BC'!$M$10:$M$276,MATCH(B35,'[12]CN BC'!$H$10:$H$276,0)),"")</f>
        <v>0</v>
      </c>
      <c r="AC35" s="946" t="s">
        <v>2015</v>
      </c>
      <c r="AD35" s="108"/>
      <c r="AE35" s="108"/>
      <c r="AF35" s="155"/>
      <c r="AG35" s="108"/>
      <c r="AH35" s="108"/>
      <c r="AI35" s="108"/>
      <c r="AJ35" s="108"/>
      <c r="AK35" s="108"/>
      <c r="AL35" s="108"/>
    </row>
    <row r="36" spans="1:42" s="372" customFormat="1" ht="33" customHeight="1">
      <c r="A36" s="379">
        <f>_xlfn.AGGREGATE(4,7,A$20:A35)+1</f>
        <v>16</v>
      </c>
      <c r="B36" s="363" t="s">
        <v>1450</v>
      </c>
      <c r="C36" s="375" t="s">
        <v>1440</v>
      </c>
      <c r="D36" s="406" t="s">
        <v>1625</v>
      </c>
      <c r="E36" s="422" t="s">
        <v>1441</v>
      </c>
      <c r="F36" s="366">
        <v>4.9800000000000004</v>
      </c>
      <c r="G36" s="367">
        <v>0.05</v>
      </c>
      <c r="H36" s="368">
        <f t="shared" si="0"/>
        <v>5.2290000000000001</v>
      </c>
      <c r="I36" s="368">
        <v>0.45</v>
      </c>
      <c r="J36" s="368" t="str">
        <f>VLOOKUP(B36,TH.T3!B46:J377,9,FALSE)</f>
        <v>Trưởng phòng Quản trị - Dịch vụ</v>
      </c>
      <c r="K36" s="369">
        <f t="shared" si="1"/>
        <v>5.6790000000000003</v>
      </c>
      <c r="L36" s="362">
        <f t="shared" si="2"/>
        <v>10222200</v>
      </c>
      <c r="M36" s="366" t="str">
        <f>VLOOKUP(B36,'[11]Gui chi Quynh'!$B$11:$E$400,4,FALSE)</f>
        <v>A1</v>
      </c>
      <c r="N36" s="494">
        <f t="shared" si="3"/>
        <v>16355520</v>
      </c>
      <c r="O36" s="366">
        <v>19</v>
      </c>
      <c r="P36" s="440">
        <f>IFERROR(INDEX('[12]CN BC'!$J$10:$J$276,MATCH(B36,'[12]CN BC'!$H$10:$H$276,0)),"")</f>
        <v>22</v>
      </c>
      <c r="Q36" s="494">
        <f t="shared" si="4"/>
        <v>16355520</v>
      </c>
      <c r="R36" s="392"/>
      <c r="S36" s="362">
        <f t="shared" si="12"/>
        <v>0</v>
      </c>
      <c r="T36" s="385"/>
      <c r="U36" s="362">
        <f t="shared" si="5"/>
        <v>0</v>
      </c>
      <c r="V36" s="584">
        <f t="shared" si="6"/>
        <v>102222</v>
      </c>
      <c r="W36" s="371">
        <f t="shared" si="10"/>
        <v>16355520</v>
      </c>
      <c r="X36" s="935">
        <f t="shared" si="8"/>
        <v>9.0863999999999994</v>
      </c>
      <c r="Y36" s="934">
        <v>1800000</v>
      </c>
      <c r="Z36" s="931">
        <f t="shared" si="9"/>
        <v>16355519.999999998</v>
      </c>
      <c r="AA36" s="568">
        <f t="shared" si="7"/>
        <v>16</v>
      </c>
      <c r="AB36" s="493">
        <f>IFERROR(INDEX('[12]CN BC'!$M$10:$M$276,MATCH(B36,'[12]CN BC'!$H$10:$H$276,0)),"")</f>
        <v>0</v>
      </c>
      <c r="AC36" s="945" t="s">
        <v>2219</v>
      </c>
      <c r="AD36" s="108"/>
      <c r="AE36" s="108"/>
      <c r="AF36" s="155"/>
      <c r="AG36" s="108"/>
      <c r="AH36" s="108"/>
      <c r="AI36" s="108"/>
      <c r="AJ36" s="108"/>
      <c r="AK36" s="108"/>
      <c r="AL36" s="108"/>
      <c r="AM36" s="108"/>
      <c r="AN36" s="108"/>
      <c r="AO36" s="108"/>
      <c r="AP36" s="108"/>
    </row>
    <row r="37" spans="1:42" s="372" customFormat="1" ht="33" customHeight="1">
      <c r="A37" s="379">
        <f>_xlfn.AGGREGATE(4,7,A$20:A36)+1</f>
        <v>17</v>
      </c>
      <c r="B37" s="363" t="s">
        <v>1996</v>
      </c>
      <c r="C37" s="375" t="s">
        <v>1028</v>
      </c>
      <c r="D37" s="406" t="s">
        <v>1626</v>
      </c>
      <c r="E37" s="423" t="s">
        <v>1393</v>
      </c>
      <c r="F37" s="366">
        <v>4.9800000000000004</v>
      </c>
      <c r="G37" s="367">
        <v>7.0000000000000007E-2</v>
      </c>
      <c r="H37" s="368">
        <f t="shared" si="0"/>
        <v>5.3286000000000007</v>
      </c>
      <c r="I37" s="368">
        <v>0.35</v>
      </c>
      <c r="J37" s="368" t="str">
        <f>VLOOKUP(B37,TH.T3!B47:J378,9,FALSE)</f>
        <v>Phó TP. Quản trị - 
Dịch vụ</v>
      </c>
      <c r="K37" s="369">
        <f t="shared" si="1"/>
        <v>5.6786000000000003</v>
      </c>
      <c r="L37" s="362">
        <f t="shared" si="2"/>
        <v>10221480</v>
      </c>
      <c r="M37" s="366" t="str">
        <f>VLOOKUP(B37,'[11]Gui chi Quynh'!$B$11:$E$400,4,FALSE)</f>
        <v>A1</v>
      </c>
      <c r="N37" s="494">
        <f t="shared" si="3"/>
        <v>16354368</v>
      </c>
      <c r="O37" s="366">
        <v>19</v>
      </c>
      <c r="P37" s="440">
        <f>IFERROR(INDEX('[12]CN BC'!$J$10:$J$276,MATCH(B37,'[12]CN BC'!$H$10:$H$276,0)),"")</f>
        <v>22</v>
      </c>
      <c r="Q37" s="494">
        <f t="shared" si="4"/>
        <v>16354368</v>
      </c>
      <c r="R37" s="392"/>
      <c r="S37" s="362">
        <f t="shared" si="12"/>
        <v>0</v>
      </c>
      <c r="T37" s="385"/>
      <c r="U37" s="362">
        <f t="shared" si="5"/>
        <v>0</v>
      </c>
      <c r="V37" s="584">
        <f t="shared" si="6"/>
        <v>102215</v>
      </c>
      <c r="W37" s="371">
        <f t="shared" si="10"/>
        <v>16354368</v>
      </c>
      <c r="X37" s="935">
        <f t="shared" si="8"/>
        <v>9.0857600000000005</v>
      </c>
      <c r="Y37" s="934">
        <v>1800000</v>
      </c>
      <c r="Z37" s="931">
        <f t="shared" si="9"/>
        <v>16354368</v>
      </c>
      <c r="AA37" s="568">
        <f t="shared" si="7"/>
        <v>17</v>
      </c>
      <c r="AB37" s="493">
        <f>IFERROR(INDEX('[12]CN BC'!$M$10:$M$276,MATCH(B37,'[12]CN BC'!$H$10:$H$276,0)),"")</f>
        <v>0</v>
      </c>
      <c r="AC37" s="945" t="s">
        <v>2219</v>
      </c>
      <c r="AD37" s="108"/>
      <c r="AE37" s="108"/>
      <c r="AF37" s="155"/>
      <c r="AG37" s="108"/>
      <c r="AH37" s="108"/>
      <c r="AI37" s="108"/>
      <c r="AJ37" s="108"/>
      <c r="AK37" s="108"/>
      <c r="AL37" s="108"/>
      <c r="AM37" s="108"/>
      <c r="AN37" s="108"/>
      <c r="AO37" s="108"/>
      <c r="AP37" s="108"/>
    </row>
    <row r="38" spans="1:42" s="108" customFormat="1" ht="33" customHeight="1">
      <c r="A38" s="379">
        <f>_xlfn.AGGREGATE(4,7,A$20:A37)+1</f>
        <v>18</v>
      </c>
      <c r="B38" s="33" t="s">
        <v>1849</v>
      </c>
      <c r="C38" s="149" t="s">
        <v>1172</v>
      </c>
      <c r="D38" s="406" t="s">
        <v>1627</v>
      </c>
      <c r="E38" s="424" t="s">
        <v>1267</v>
      </c>
      <c r="F38" s="10">
        <v>3.65</v>
      </c>
      <c r="G38" s="157"/>
      <c r="H38" s="368">
        <f t="shared" si="0"/>
        <v>3.65</v>
      </c>
      <c r="I38" s="81">
        <v>0.25</v>
      </c>
      <c r="J38" s="368" t="str">
        <f>VLOOKUP(B38,TH.T3!B48:J379,9,FALSE)</f>
        <v>NV Phòng Quản trị - Dịch vụ</v>
      </c>
      <c r="K38" s="369">
        <f t="shared" si="1"/>
        <v>3.9</v>
      </c>
      <c r="L38" s="362">
        <f t="shared" si="2"/>
        <v>7020000</v>
      </c>
      <c r="M38" s="366" t="str">
        <f>VLOOKUP(B38,'[11]Gui chi Quynh'!$B$11:$E$400,4,FALSE)</f>
        <v>A2</v>
      </c>
      <c r="N38" s="494">
        <f t="shared" si="3"/>
        <v>9828000</v>
      </c>
      <c r="O38" s="366">
        <v>19</v>
      </c>
      <c r="P38" s="440">
        <f>IFERROR(INDEX('[12]CN BC'!$J$10:$J$276,MATCH(B38,'[12]CN BC'!$H$10:$H$276,0)),"")</f>
        <v>21</v>
      </c>
      <c r="Q38" s="494">
        <f t="shared" si="4"/>
        <v>9828000</v>
      </c>
      <c r="R38" s="392"/>
      <c r="S38" s="362">
        <f t="shared" si="12"/>
        <v>0</v>
      </c>
      <c r="T38" s="385"/>
      <c r="U38" s="362">
        <f t="shared" si="5"/>
        <v>0</v>
      </c>
      <c r="V38" s="584">
        <f t="shared" si="6"/>
        <v>70200</v>
      </c>
      <c r="W38" s="371">
        <f t="shared" si="10"/>
        <v>9828000</v>
      </c>
      <c r="X38" s="935">
        <f t="shared" si="8"/>
        <v>5.46</v>
      </c>
      <c r="Y38" s="934">
        <v>1800000</v>
      </c>
      <c r="Z38" s="931">
        <f t="shared" si="9"/>
        <v>9828000</v>
      </c>
      <c r="AA38" s="568">
        <f t="shared" si="7"/>
        <v>18</v>
      </c>
      <c r="AB38" s="493">
        <f>IFERROR(INDEX('[12]CN BC'!$M$10:$M$276,MATCH(B38,'[12]CN BC'!$H$10:$H$276,0)),"")</f>
        <v>0</v>
      </c>
      <c r="AC38" s="945" t="s">
        <v>2219</v>
      </c>
      <c r="AF38" s="155"/>
    </row>
    <row r="39" spans="1:42" s="372" customFormat="1" ht="33" customHeight="1">
      <c r="A39" s="379">
        <f>_xlfn.AGGREGATE(4,7,A$20:A38)+1</f>
        <v>19</v>
      </c>
      <c r="B39" s="363" t="s">
        <v>1850</v>
      </c>
      <c r="C39" s="375" t="s">
        <v>1035</v>
      </c>
      <c r="D39" s="434" t="s">
        <v>1628</v>
      </c>
      <c r="E39" s="423" t="s">
        <v>1268</v>
      </c>
      <c r="F39" s="366">
        <v>3.46</v>
      </c>
      <c r="G39" s="367"/>
      <c r="H39" s="368">
        <f t="shared" si="0"/>
        <v>3.46</v>
      </c>
      <c r="I39" s="368"/>
      <c r="J39" s="368" t="str">
        <f>VLOOKUP(B39,TH.T3!B49:J380,9,FALSE)</f>
        <v>NV Phòng Quản trị - Dịch vụ</v>
      </c>
      <c r="K39" s="369">
        <f t="shared" si="1"/>
        <v>3.46</v>
      </c>
      <c r="L39" s="362">
        <f t="shared" si="2"/>
        <v>6228000</v>
      </c>
      <c r="M39" s="366" t="str">
        <f>VLOOKUP(B39,'[11]Gui chi Quynh'!$B$11:$E$400,4,FALSE)</f>
        <v>A3</v>
      </c>
      <c r="N39" s="494">
        <f t="shared" si="3"/>
        <v>7473600</v>
      </c>
      <c r="O39" s="366">
        <v>19</v>
      </c>
      <c r="P39" s="440">
        <f>IFERROR(INDEX('[12]CN BC'!$J$10:$J$276,MATCH(B39,'[12]CN BC'!$H$10:$H$276,0)),"")</f>
        <v>19</v>
      </c>
      <c r="Q39" s="494">
        <f t="shared" si="4"/>
        <v>7473600</v>
      </c>
      <c r="R39" s="460"/>
      <c r="S39" s="362">
        <f t="shared" si="12"/>
        <v>0</v>
      </c>
      <c r="T39" s="370"/>
      <c r="U39" s="362">
        <f t="shared" si="5"/>
        <v>0</v>
      </c>
      <c r="V39" s="584">
        <f t="shared" si="6"/>
        <v>62280</v>
      </c>
      <c r="W39" s="371">
        <f t="shared" si="10"/>
        <v>7473600</v>
      </c>
      <c r="X39" s="935">
        <f t="shared" si="8"/>
        <v>4.1520000000000001</v>
      </c>
      <c r="Y39" s="934">
        <v>1800000</v>
      </c>
      <c r="Z39" s="931">
        <f t="shared" si="9"/>
        <v>7473600</v>
      </c>
      <c r="AA39" s="568">
        <f t="shared" si="7"/>
        <v>19</v>
      </c>
      <c r="AB39" s="493">
        <f>IFERROR(INDEX('[12]CN BC'!$M$10:$M$276,MATCH(B39,'[12]CN BC'!$H$10:$H$276,0)),"")</f>
        <v>0</v>
      </c>
      <c r="AC39" s="945" t="s">
        <v>2219</v>
      </c>
      <c r="AD39" s="108"/>
      <c r="AE39" s="108"/>
      <c r="AF39" s="155"/>
      <c r="AG39" s="108"/>
      <c r="AH39" s="108"/>
      <c r="AI39" s="108"/>
      <c r="AJ39" s="108"/>
      <c r="AK39" s="108"/>
      <c r="AL39" s="108"/>
    </row>
    <row r="40" spans="1:42" s="108" customFormat="1" ht="33" customHeight="1">
      <c r="A40" s="379">
        <f>_xlfn.AGGREGATE(4,7,A$20:A39)+1</f>
        <v>20</v>
      </c>
      <c r="B40" s="33" t="s">
        <v>1451</v>
      </c>
      <c r="C40" s="149" t="s">
        <v>1087</v>
      </c>
      <c r="D40" s="406" t="s">
        <v>1629</v>
      </c>
      <c r="E40" s="431" t="s">
        <v>367</v>
      </c>
      <c r="F40" s="10">
        <v>3.46</v>
      </c>
      <c r="G40" s="157"/>
      <c r="H40" s="368">
        <f t="shared" si="0"/>
        <v>3.46</v>
      </c>
      <c r="I40" s="81"/>
      <c r="J40" s="368" t="str">
        <f>VLOOKUP(B40,TH.T3!B50:J381,9,FALSE)</f>
        <v>Nhân viên phòng Quản trị - Dịch vụ</v>
      </c>
      <c r="K40" s="369">
        <f t="shared" si="1"/>
        <v>3.46</v>
      </c>
      <c r="L40" s="362">
        <f t="shared" si="2"/>
        <v>6228000</v>
      </c>
      <c r="M40" s="366" t="str">
        <f>VLOOKUP(B40,'[11]Gui chi Quynh'!$B$11:$E$400,4,FALSE)</f>
        <v>A2</v>
      </c>
      <c r="N40" s="494">
        <f t="shared" si="3"/>
        <v>8719200</v>
      </c>
      <c r="O40" s="366">
        <v>19</v>
      </c>
      <c r="P40" s="440">
        <f>IFERROR(INDEX('[12]CN BC'!$J$10:$J$276,MATCH(B40,'[12]CN BC'!$H$10:$H$276,0)),"")</f>
        <v>19</v>
      </c>
      <c r="Q40" s="494">
        <f t="shared" si="4"/>
        <v>8719200</v>
      </c>
      <c r="R40" s="392"/>
      <c r="S40" s="362">
        <f t="shared" si="12"/>
        <v>0</v>
      </c>
      <c r="T40" s="385"/>
      <c r="U40" s="362">
        <f t="shared" si="5"/>
        <v>0</v>
      </c>
      <c r="V40" s="584">
        <f t="shared" si="6"/>
        <v>62280</v>
      </c>
      <c r="W40" s="371">
        <f t="shared" si="10"/>
        <v>8719200</v>
      </c>
      <c r="X40" s="935">
        <f t="shared" si="8"/>
        <v>4.8440000000000003</v>
      </c>
      <c r="Y40" s="934">
        <v>1800000</v>
      </c>
      <c r="Z40" s="931">
        <f t="shared" si="9"/>
        <v>8719200</v>
      </c>
      <c r="AA40" s="568">
        <f t="shared" si="7"/>
        <v>20</v>
      </c>
      <c r="AB40" s="493">
        <f>IFERROR(INDEX('[12]CN BC'!$M$10:$M$276,MATCH(B40,'[12]CN BC'!$H$10:$H$276,0)),"")</f>
        <v>0</v>
      </c>
      <c r="AC40" s="945" t="s">
        <v>2219</v>
      </c>
      <c r="AD40" s="471"/>
      <c r="AF40" s="155"/>
    </row>
    <row r="41" spans="1:42" s="372" customFormat="1" ht="33" customHeight="1">
      <c r="A41" s="379">
        <f>_xlfn.AGGREGATE(4,7,A$20:A40)+1</f>
        <v>21</v>
      </c>
      <c r="B41" s="363" t="s">
        <v>1452</v>
      </c>
      <c r="C41" s="375" t="s">
        <v>876</v>
      </c>
      <c r="D41" s="434" t="s">
        <v>1630</v>
      </c>
      <c r="E41" s="426">
        <v>1603205348129</v>
      </c>
      <c r="F41" s="366">
        <v>3.34</v>
      </c>
      <c r="G41" s="367"/>
      <c r="H41" s="368">
        <f t="shared" si="0"/>
        <v>3.34</v>
      </c>
      <c r="I41" s="368"/>
      <c r="J41" s="368" t="str">
        <f>VLOOKUP(B41,TH.T3!B51:J382,9,FALSE)</f>
        <v>Nhân viên phòng Quản trị - Dịch vụ</v>
      </c>
      <c r="K41" s="369">
        <f t="shared" si="1"/>
        <v>3.34</v>
      </c>
      <c r="L41" s="362">
        <f t="shared" si="2"/>
        <v>6012000</v>
      </c>
      <c r="M41" s="366" t="str">
        <f>VLOOKUP(B41,'[11]Gui chi Quynh'!$B$11:$E$400,4,FALSE)</f>
        <v>A3</v>
      </c>
      <c r="N41" s="494">
        <f t="shared" si="3"/>
        <v>7214400</v>
      </c>
      <c r="O41" s="366">
        <v>19</v>
      </c>
      <c r="P41" s="440">
        <f>IFERROR(INDEX('[12]CN BC'!$J$10:$J$276,MATCH(B41,'[12]CN BC'!$H$10:$H$276,0)),"")</f>
        <v>19</v>
      </c>
      <c r="Q41" s="494">
        <f t="shared" si="4"/>
        <v>7214400</v>
      </c>
      <c r="R41" s="460"/>
      <c r="S41" s="362">
        <f t="shared" si="12"/>
        <v>0</v>
      </c>
      <c r="T41" s="370"/>
      <c r="U41" s="362">
        <f t="shared" si="5"/>
        <v>0</v>
      </c>
      <c r="V41" s="584">
        <f t="shared" si="6"/>
        <v>60120</v>
      </c>
      <c r="W41" s="371">
        <f t="shared" si="10"/>
        <v>7214400</v>
      </c>
      <c r="X41" s="935">
        <f t="shared" si="8"/>
        <v>4.008</v>
      </c>
      <c r="Y41" s="934">
        <v>1800000</v>
      </c>
      <c r="Z41" s="931">
        <f t="shared" si="9"/>
        <v>7214400</v>
      </c>
      <c r="AA41" s="568">
        <f t="shared" si="7"/>
        <v>21</v>
      </c>
      <c r="AB41" s="493">
        <f>IFERROR(INDEX('[12]CN BC'!$M$10:$M$276,MATCH(B41,'[12]CN BC'!$H$10:$H$276,0)),"")</f>
        <v>0</v>
      </c>
      <c r="AC41" s="945" t="s">
        <v>2219</v>
      </c>
      <c r="AD41" s="108"/>
      <c r="AE41" s="108"/>
      <c r="AF41" s="155"/>
      <c r="AG41" s="108"/>
      <c r="AH41" s="108"/>
      <c r="AI41" s="108"/>
      <c r="AJ41" s="108"/>
      <c r="AK41" s="108"/>
      <c r="AL41" s="108"/>
    </row>
    <row r="42" spans="1:42" s="108" customFormat="1" ht="33" customHeight="1">
      <c r="A42" s="379">
        <f>_xlfn.AGGREGATE(4,7,A$20:A41)+1</f>
        <v>22</v>
      </c>
      <c r="B42" s="33" t="s">
        <v>1453</v>
      </c>
      <c r="C42" s="149" t="s">
        <v>939</v>
      </c>
      <c r="D42" s="406" t="s">
        <v>1631</v>
      </c>
      <c r="E42" s="431" t="s">
        <v>384</v>
      </c>
      <c r="F42" s="83">
        <v>3.66</v>
      </c>
      <c r="G42" s="157"/>
      <c r="H42" s="445">
        <f t="shared" si="0"/>
        <v>3.66</v>
      </c>
      <c r="I42" s="81"/>
      <c r="J42" s="368" t="str">
        <f>VLOOKUP(B42,TH.T3!B52:J383,9,FALSE)</f>
        <v>Nhân viên phòng Quản trị - Dịch vụ</v>
      </c>
      <c r="K42" s="369">
        <f t="shared" si="1"/>
        <v>3.66</v>
      </c>
      <c r="L42" s="362">
        <f t="shared" si="2"/>
        <v>6588000</v>
      </c>
      <c r="M42" s="366" t="str">
        <f>VLOOKUP(B42,'[11]Gui chi Quynh'!$B$11:$E$400,4,FALSE)</f>
        <v>A3</v>
      </c>
      <c r="N42" s="494">
        <f t="shared" si="3"/>
        <v>7905600</v>
      </c>
      <c r="O42" s="366">
        <v>19</v>
      </c>
      <c r="P42" s="440">
        <f>IFERROR(INDEX('[12]CN BC'!$J$10:$J$276,MATCH(B42,'[12]CN BC'!$H$10:$H$276,0)),"")</f>
        <v>20</v>
      </c>
      <c r="Q42" s="494">
        <f t="shared" si="4"/>
        <v>7905600</v>
      </c>
      <c r="R42" s="392"/>
      <c r="S42" s="362">
        <f t="shared" si="12"/>
        <v>0</v>
      </c>
      <c r="T42" s="385"/>
      <c r="U42" s="362">
        <f t="shared" si="5"/>
        <v>0</v>
      </c>
      <c r="V42" s="584">
        <f t="shared" si="6"/>
        <v>65880</v>
      </c>
      <c r="W42" s="371">
        <f t="shared" si="10"/>
        <v>7905600</v>
      </c>
      <c r="X42" s="935">
        <f t="shared" si="8"/>
        <v>4.3920000000000003</v>
      </c>
      <c r="Y42" s="934">
        <v>1800000</v>
      </c>
      <c r="Z42" s="931">
        <f t="shared" si="9"/>
        <v>7905600.0000000009</v>
      </c>
      <c r="AA42" s="568">
        <f t="shared" si="7"/>
        <v>22</v>
      </c>
      <c r="AB42" s="493">
        <f>IFERROR(INDEX('[12]CN BC'!$M$10:$M$276,MATCH(B42,'[12]CN BC'!$H$10:$H$276,0)),"")</f>
        <v>0</v>
      </c>
      <c r="AC42" s="945" t="s">
        <v>2219</v>
      </c>
      <c r="AF42" s="155"/>
    </row>
    <row r="43" spans="1:42" s="372" customFormat="1" ht="25.5" customHeight="1">
      <c r="A43" s="379">
        <f>_xlfn.AGGREGATE(4,7,A$20:A42)+1</f>
        <v>23</v>
      </c>
      <c r="B43" s="363" t="s">
        <v>1522</v>
      </c>
      <c r="C43" s="380" t="s">
        <v>891</v>
      </c>
      <c r="D43" s="434" t="s">
        <v>1633</v>
      </c>
      <c r="E43" s="430">
        <v>1603205357238</v>
      </c>
      <c r="F43" s="366">
        <v>3.03</v>
      </c>
      <c r="G43" s="367"/>
      <c r="H43" s="368">
        <f t="shared" si="0"/>
        <v>3.03</v>
      </c>
      <c r="I43" s="368"/>
      <c r="J43" s="368" t="s">
        <v>2220</v>
      </c>
      <c r="K43" s="369">
        <f t="shared" si="1"/>
        <v>3.03</v>
      </c>
      <c r="L43" s="362">
        <f t="shared" si="2"/>
        <v>5454000</v>
      </c>
      <c r="M43" s="366" t="str">
        <f>VLOOKUP(B43,'[11]Gui chi Quynh'!$B$11:$E$400,4,FALSE)</f>
        <v>A1</v>
      </c>
      <c r="N43" s="494">
        <f t="shared" si="3"/>
        <v>8726400</v>
      </c>
      <c r="O43" s="366">
        <v>19</v>
      </c>
      <c r="P43" s="440">
        <f>IFERROR(INDEX('[12]CN BC'!$J$10:$J$276,MATCH(B43,'[12]CN BC'!$H$10:$H$276,0)),"")</f>
        <v>20</v>
      </c>
      <c r="Q43" s="494">
        <f t="shared" si="4"/>
        <v>8726400</v>
      </c>
      <c r="R43" s="460"/>
      <c r="S43" s="362">
        <f t="shared" si="12"/>
        <v>0</v>
      </c>
      <c r="T43" s="370"/>
      <c r="U43" s="362">
        <f t="shared" si="5"/>
        <v>0</v>
      </c>
      <c r="V43" s="584">
        <f t="shared" si="6"/>
        <v>54540</v>
      </c>
      <c r="W43" s="371">
        <f t="shared" si="10"/>
        <v>8726400</v>
      </c>
      <c r="X43" s="935">
        <f t="shared" si="8"/>
        <v>4.8479999999999999</v>
      </c>
      <c r="Y43" s="934">
        <v>1800000</v>
      </c>
      <c r="Z43" s="931">
        <f t="shared" si="9"/>
        <v>8726400</v>
      </c>
      <c r="AA43" s="568">
        <f t="shared" si="7"/>
        <v>23</v>
      </c>
      <c r="AB43" s="493">
        <f>IFERROR(INDEX('[12]CN BC'!$M$10:$M$276,MATCH(B43,'[12]CN BC'!$H$10:$H$276,0)),"")</f>
        <v>0</v>
      </c>
      <c r="AC43" s="947" t="s">
        <v>2222</v>
      </c>
      <c r="AD43" s="108"/>
      <c r="AE43" s="108"/>
      <c r="AF43" s="155"/>
      <c r="AG43" s="108"/>
      <c r="AH43" s="108"/>
      <c r="AI43" s="108"/>
      <c r="AJ43" s="108"/>
      <c r="AK43" s="108"/>
      <c r="AL43" s="108"/>
    </row>
    <row r="44" spans="1:42" s="372" customFormat="1" ht="29.25" customHeight="1">
      <c r="A44" s="379">
        <f>_xlfn.AGGREGATE(4,7,A$20:A43)+1</f>
        <v>24</v>
      </c>
      <c r="B44" s="363" t="s">
        <v>1523</v>
      </c>
      <c r="C44" s="380" t="s">
        <v>876</v>
      </c>
      <c r="D44" s="434" t="s">
        <v>1634</v>
      </c>
      <c r="E44" s="426">
        <v>1603205302590</v>
      </c>
      <c r="F44" s="366">
        <v>3.34</v>
      </c>
      <c r="G44" s="367"/>
      <c r="H44" s="368">
        <f t="shared" si="0"/>
        <v>3.34</v>
      </c>
      <c r="I44" s="368"/>
      <c r="J44" s="368" t="s">
        <v>2220</v>
      </c>
      <c r="K44" s="369">
        <f t="shared" si="1"/>
        <v>3.34</v>
      </c>
      <c r="L44" s="362">
        <f t="shared" si="2"/>
        <v>6012000</v>
      </c>
      <c r="M44" s="366" t="str">
        <f>VLOOKUP(B44,'[11]Gui chi Quynh'!$B$11:$E$400,4,FALSE)</f>
        <v>A2</v>
      </c>
      <c r="N44" s="494">
        <f t="shared" si="3"/>
        <v>8416800</v>
      </c>
      <c r="O44" s="366">
        <v>19</v>
      </c>
      <c r="P44" s="440">
        <f>IFERROR(INDEX('[12]CN BC'!$J$10:$J$276,MATCH(B44,'[12]CN BC'!$H$10:$H$276,0)),"")</f>
        <v>20</v>
      </c>
      <c r="Q44" s="494">
        <f t="shared" si="4"/>
        <v>8416800</v>
      </c>
      <c r="R44" s="460"/>
      <c r="S44" s="362">
        <f t="shared" si="12"/>
        <v>0</v>
      </c>
      <c r="T44" s="370"/>
      <c r="U44" s="362">
        <f t="shared" si="5"/>
        <v>0</v>
      </c>
      <c r="V44" s="584">
        <f t="shared" si="6"/>
        <v>60120</v>
      </c>
      <c r="W44" s="371">
        <f t="shared" si="10"/>
        <v>8416800</v>
      </c>
      <c r="X44" s="935">
        <f t="shared" si="8"/>
        <v>4.6760000000000002</v>
      </c>
      <c r="Y44" s="934">
        <v>1800000</v>
      </c>
      <c r="Z44" s="931">
        <f t="shared" si="9"/>
        <v>8416800</v>
      </c>
      <c r="AA44" s="568">
        <f t="shared" si="7"/>
        <v>24</v>
      </c>
      <c r="AB44" s="493">
        <f>IFERROR(INDEX('[12]CN BC'!$M$10:$M$276,MATCH(B44,'[12]CN BC'!$H$10:$H$276,0)),"")</f>
        <v>0</v>
      </c>
      <c r="AC44" s="947" t="s">
        <v>2222</v>
      </c>
      <c r="AD44" s="108"/>
      <c r="AE44" s="108"/>
      <c r="AF44" s="155"/>
      <c r="AG44" s="108"/>
      <c r="AH44" s="108"/>
      <c r="AI44" s="108"/>
      <c r="AJ44" s="108"/>
      <c r="AK44" s="108"/>
      <c r="AL44" s="108"/>
    </row>
    <row r="45" spans="1:42" s="372" customFormat="1" ht="32.25" customHeight="1">
      <c r="A45" s="379">
        <f>_xlfn.AGGREGATE(4,7,A$20:A44)+1</f>
        <v>25</v>
      </c>
      <c r="B45" s="444" t="s">
        <v>1606</v>
      </c>
      <c r="C45" s="419" t="s">
        <v>1605</v>
      </c>
      <c r="D45" s="418" t="s">
        <v>1635</v>
      </c>
      <c r="E45" s="488" t="s">
        <v>1604</v>
      </c>
      <c r="F45" s="373">
        <v>3</v>
      </c>
      <c r="G45" s="367"/>
      <c r="H45" s="445">
        <f t="shared" si="0"/>
        <v>3</v>
      </c>
      <c r="I45" s="368">
        <v>0.35</v>
      </c>
      <c r="J45" s="368" t="s">
        <v>2221</v>
      </c>
      <c r="K45" s="369">
        <f t="shared" si="1"/>
        <v>3.35</v>
      </c>
      <c r="L45" s="362">
        <f t="shared" si="2"/>
        <v>6030000</v>
      </c>
      <c r="M45" s="366" t="str">
        <f>VLOOKUP(B45,'[11]Gui chi Quynh'!$B$11:$E$400,4,FALSE)</f>
        <v>A1</v>
      </c>
      <c r="N45" s="494">
        <f t="shared" si="3"/>
        <v>9648000</v>
      </c>
      <c r="O45" s="366">
        <v>19</v>
      </c>
      <c r="P45" s="440">
        <f>IFERROR(INDEX('[12]CN BC'!$J$10:$J$276,MATCH(B45,'[12]CN BC'!$H$10:$H$276,0)),"")</f>
        <v>25</v>
      </c>
      <c r="Q45" s="494">
        <f t="shared" si="4"/>
        <v>9648000</v>
      </c>
      <c r="R45" s="460"/>
      <c r="S45" s="362">
        <f>R45*$G$17*1.6</f>
        <v>0</v>
      </c>
      <c r="T45" s="370"/>
      <c r="U45" s="362">
        <f t="shared" si="5"/>
        <v>0</v>
      </c>
      <c r="V45" s="584">
        <f t="shared" si="6"/>
        <v>60300</v>
      </c>
      <c r="W45" s="371">
        <f t="shared" si="10"/>
        <v>9648000</v>
      </c>
      <c r="X45" s="935">
        <f t="shared" si="8"/>
        <v>5.36</v>
      </c>
      <c r="Y45" s="934">
        <v>1800000</v>
      </c>
      <c r="Z45" s="931">
        <f t="shared" si="9"/>
        <v>9648000</v>
      </c>
      <c r="AA45" s="568">
        <f t="shared" si="7"/>
        <v>25</v>
      </c>
      <c r="AB45" s="493">
        <f>IFERROR(INDEX('[12]CN BC'!$M$10:$M$276,MATCH(B45,'[12]CN BC'!$H$10:$H$276,0)),"")</f>
        <v>0</v>
      </c>
      <c r="AC45" s="947" t="s">
        <v>2222</v>
      </c>
      <c r="AD45" s="108"/>
      <c r="AE45" s="108"/>
      <c r="AF45" s="155"/>
    </row>
    <row r="46" spans="1:42" s="372" customFormat="1" ht="32.25" customHeight="1">
      <c r="A46" s="379">
        <f>_xlfn.AGGREGATE(4,7,A$20:A45)+1</f>
        <v>26</v>
      </c>
      <c r="B46" s="444" t="s">
        <v>1843</v>
      </c>
      <c r="C46" s="419"/>
      <c r="D46" s="418" t="s">
        <v>1955</v>
      </c>
      <c r="E46" s="479" t="s">
        <v>1936</v>
      </c>
      <c r="F46" s="366">
        <v>2.67</v>
      </c>
      <c r="G46" s="367"/>
      <c r="H46" s="368">
        <f t="shared" si="0"/>
        <v>2.67</v>
      </c>
      <c r="I46" s="368"/>
      <c r="J46" s="368" t="s">
        <v>2220</v>
      </c>
      <c r="K46" s="369">
        <f t="shared" si="1"/>
        <v>2.67</v>
      </c>
      <c r="L46" s="362">
        <f t="shared" si="2"/>
        <v>4806000</v>
      </c>
      <c r="M46" s="366" t="str">
        <f>VLOOKUP(B46,'[11]Gui chi Quynh'!$B$11:$E$400,4,FALSE)</f>
        <v>A2</v>
      </c>
      <c r="N46" s="494">
        <f t="shared" si="3"/>
        <v>6728400</v>
      </c>
      <c r="O46" s="366">
        <v>19</v>
      </c>
      <c r="P46" s="440">
        <f>IFERROR(INDEX('[12]CN BC'!$J$10:$J$276,MATCH(B46,'[12]CN BC'!$H$10:$H$276,0)),"")</f>
        <v>20</v>
      </c>
      <c r="Q46" s="494">
        <f t="shared" si="4"/>
        <v>6728400</v>
      </c>
      <c r="R46" s="460"/>
      <c r="S46" s="362">
        <f>R46*$G$17*1</f>
        <v>0</v>
      </c>
      <c r="T46" s="370"/>
      <c r="U46" s="362">
        <f t="shared" si="5"/>
        <v>0</v>
      </c>
      <c r="V46" s="584">
        <f t="shared" si="6"/>
        <v>48060</v>
      </c>
      <c r="W46" s="371">
        <f t="shared" si="10"/>
        <v>6728400</v>
      </c>
      <c r="X46" s="935">
        <f t="shared" si="8"/>
        <v>3.738</v>
      </c>
      <c r="Y46" s="934">
        <v>1800000</v>
      </c>
      <c r="Z46" s="931">
        <f t="shared" si="9"/>
        <v>6728400</v>
      </c>
      <c r="AA46" s="568">
        <f t="shared" si="7"/>
        <v>26</v>
      </c>
      <c r="AB46" s="493">
        <f>IFERROR(INDEX('[12]CN BC'!$M$10:$M$276,MATCH(B46,'[12]CN BC'!$H$10:$H$276,0)),"")</f>
        <v>0</v>
      </c>
      <c r="AC46" s="947" t="s">
        <v>2222</v>
      </c>
      <c r="AD46" s="108"/>
      <c r="AE46" s="108"/>
      <c r="AF46" s="155"/>
      <c r="AG46" s="108"/>
      <c r="AH46" s="108"/>
      <c r="AI46" s="108"/>
      <c r="AJ46" s="108"/>
      <c r="AK46" s="108"/>
      <c r="AL46" s="108"/>
    </row>
    <row r="47" spans="1:42" s="108" customFormat="1" ht="32.25" customHeight="1">
      <c r="A47" s="379">
        <f>_xlfn.AGGREGATE(4,7,A$20:A46)+1</f>
        <v>27</v>
      </c>
      <c r="B47" s="33" t="s">
        <v>1856</v>
      </c>
      <c r="C47" s="149" t="s">
        <v>880</v>
      </c>
      <c r="D47" s="406" t="s">
        <v>1652</v>
      </c>
      <c r="E47" s="424" t="s">
        <v>1293</v>
      </c>
      <c r="F47" s="10">
        <v>4.9800000000000004</v>
      </c>
      <c r="G47" s="157">
        <v>0.05</v>
      </c>
      <c r="H47" s="368">
        <f t="shared" si="0"/>
        <v>5.2290000000000001</v>
      </c>
      <c r="I47" s="368">
        <v>0.25</v>
      </c>
      <c r="J47" s="368" t="str">
        <f>VLOOKUP(B47,TH.T3!B57:J388,9,FALSE)</f>
        <v>Nhân viên phòng Quản trị - Dịch vụ</v>
      </c>
      <c r="K47" s="369">
        <f t="shared" si="1"/>
        <v>5.4790000000000001</v>
      </c>
      <c r="L47" s="362">
        <f t="shared" si="2"/>
        <v>9862200</v>
      </c>
      <c r="M47" s="366" t="str">
        <f>VLOOKUP(B47,'[11]Gui chi Quynh'!$B$11:$E$400,4,FALSE)</f>
        <v>A3</v>
      </c>
      <c r="N47" s="494">
        <f t="shared" si="3"/>
        <v>11834640</v>
      </c>
      <c r="O47" s="366">
        <v>19</v>
      </c>
      <c r="P47" s="440">
        <f>IFERROR(INDEX('[12]CN BC'!$J$10:$J$276,MATCH(B47,'[12]CN BC'!$H$10:$H$276,0)),"")</f>
        <v>22</v>
      </c>
      <c r="Q47" s="494">
        <f t="shared" si="4"/>
        <v>11834640</v>
      </c>
      <c r="R47" s="392"/>
      <c r="S47" s="362">
        <f>R47*$G$17*1</f>
        <v>0</v>
      </c>
      <c r="T47" s="385"/>
      <c r="U47" s="362">
        <f t="shared" si="5"/>
        <v>0</v>
      </c>
      <c r="V47" s="584">
        <f t="shared" si="6"/>
        <v>98622</v>
      </c>
      <c r="W47" s="371">
        <f t="shared" si="10"/>
        <v>11834640</v>
      </c>
      <c r="X47" s="935">
        <f t="shared" si="8"/>
        <v>6.5747999999999998</v>
      </c>
      <c r="Y47" s="934">
        <v>1800000</v>
      </c>
      <c r="Z47" s="931">
        <f t="shared" si="9"/>
        <v>11834640</v>
      </c>
      <c r="AA47" s="568">
        <f t="shared" si="7"/>
        <v>27</v>
      </c>
      <c r="AB47" s="493">
        <f>IFERROR(INDEX('[12]CN BC'!$M$10:$M$276,MATCH(B47,'[12]CN BC'!$H$10:$H$276,0)),"")</f>
        <v>0</v>
      </c>
      <c r="AC47" s="945" t="s">
        <v>2219</v>
      </c>
      <c r="AF47" s="155"/>
    </row>
    <row r="48" spans="1:42" s="372" customFormat="1" ht="32.25" customHeight="1">
      <c r="A48" s="379">
        <f>_xlfn.AGGREGATE(4,7,A$20:A47)+1</f>
        <v>28</v>
      </c>
      <c r="B48" s="363" t="s">
        <v>1462</v>
      </c>
      <c r="C48" s="375" t="s">
        <v>962</v>
      </c>
      <c r="D48" s="434" t="s">
        <v>1654</v>
      </c>
      <c r="E48" s="428">
        <v>1603205182619</v>
      </c>
      <c r="F48" s="366">
        <v>3.66</v>
      </c>
      <c r="G48" s="367"/>
      <c r="H48" s="368">
        <f t="shared" si="0"/>
        <v>3.66</v>
      </c>
      <c r="I48" s="368"/>
      <c r="J48" s="368" t="str">
        <f>VLOOKUP(B48,TH.T3!B58:J389,9,FALSE)</f>
        <v>Nhân viên phòng Quản trị - Dịch vụ</v>
      </c>
      <c r="K48" s="369">
        <f t="shared" si="1"/>
        <v>3.66</v>
      </c>
      <c r="L48" s="362">
        <f t="shared" si="2"/>
        <v>6588000</v>
      </c>
      <c r="M48" s="366" t="str">
        <f>VLOOKUP(B48,'[11]Gui chi Quynh'!$B$11:$E$400,4,FALSE)</f>
        <v>A2</v>
      </c>
      <c r="N48" s="494">
        <f t="shared" si="3"/>
        <v>9223200</v>
      </c>
      <c r="O48" s="366">
        <v>19</v>
      </c>
      <c r="P48" s="467">
        <f>IFERROR(INDEX('[12]CN BC'!$J$10:$J$276,MATCH(B48,'[12]CN BC'!$H$10:$H$276,0)),"")</f>
        <v>22</v>
      </c>
      <c r="Q48" s="494">
        <f t="shared" si="4"/>
        <v>9223200</v>
      </c>
      <c r="R48" s="460"/>
      <c r="S48" s="362">
        <f>R48*$G$17*0.8</f>
        <v>0</v>
      </c>
      <c r="T48" s="370"/>
      <c r="U48" s="362">
        <f t="shared" si="5"/>
        <v>0</v>
      </c>
      <c r="V48" s="362">
        <f t="shared" si="6"/>
        <v>65880</v>
      </c>
      <c r="W48" s="371">
        <f t="shared" si="10"/>
        <v>9223200</v>
      </c>
      <c r="X48" s="935">
        <f t="shared" si="8"/>
        <v>5.1239999999999997</v>
      </c>
      <c r="Y48" s="934">
        <v>1800000</v>
      </c>
      <c r="Z48" s="931">
        <f t="shared" si="9"/>
        <v>9223200</v>
      </c>
      <c r="AA48" s="568">
        <f t="shared" si="7"/>
        <v>28</v>
      </c>
      <c r="AB48" s="551">
        <f>IFERROR(INDEX('[12]CN BC'!$M$10:$M$276,MATCH(B48,'[12]CN BC'!$H$10:$H$276,0)),"")</f>
        <v>0</v>
      </c>
      <c r="AC48" s="945" t="s">
        <v>2219</v>
      </c>
      <c r="AF48" s="487"/>
    </row>
    <row r="49" spans="1:42" s="372" customFormat="1" ht="32.25" customHeight="1">
      <c r="A49" s="379">
        <f>_xlfn.AGGREGATE(4,7,A$20:A48)+1</f>
        <v>29</v>
      </c>
      <c r="B49" s="363" t="s">
        <v>2012</v>
      </c>
      <c r="C49" s="375"/>
      <c r="D49" s="434"/>
      <c r="E49" s="428"/>
      <c r="F49" s="366">
        <v>4.0599999999999996</v>
      </c>
      <c r="G49" s="367">
        <v>0.1</v>
      </c>
      <c r="H49" s="368">
        <f t="shared" si="0"/>
        <v>4.4659999999999993</v>
      </c>
      <c r="I49" s="368">
        <v>0.35</v>
      </c>
      <c r="J49" s="368" t="str">
        <f>VLOOKUP(B49,TH.T3!B59:J390,9,FALSE)</f>
        <v>Nhân viên phòng Quản trị - Dịch vụ</v>
      </c>
      <c r="K49" s="369">
        <f t="shared" si="1"/>
        <v>4.8159999999999989</v>
      </c>
      <c r="L49" s="362">
        <f t="shared" si="2"/>
        <v>8668799.9999999981</v>
      </c>
      <c r="M49" s="366" t="str">
        <f>VLOOKUP(B49,'[11]Gui chi Quynh'!$B$11:$E$400,4,FALSE)</f>
        <v>A1</v>
      </c>
      <c r="N49" s="494">
        <f t="shared" si="3"/>
        <v>13870079.999999998</v>
      </c>
      <c r="O49" s="366">
        <v>19</v>
      </c>
      <c r="P49" s="440">
        <f>IFERROR(INDEX('[12]CN BC'!$J$10:$J$276,MATCH(B49,'[12]CN BC'!$H$10:$H$276,0)),"")</f>
        <v>22</v>
      </c>
      <c r="Q49" s="494">
        <f t="shared" si="4"/>
        <v>13870079.999999998</v>
      </c>
      <c r="R49" s="460"/>
      <c r="S49" s="362">
        <f>R49*$G$17*0.8</f>
        <v>0</v>
      </c>
      <c r="T49" s="370"/>
      <c r="U49" s="362">
        <f t="shared" si="5"/>
        <v>0</v>
      </c>
      <c r="V49" s="584">
        <f t="shared" si="6"/>
        <v>86688</v>
      </c>
      <c r="W49" s="371">
        <f t="shared" si="10"/>
        <v>13870079.999999998</v>
      </c>
      <c r="X49" s="935">
        <f t="shared" si="8"/>
        <v>7.7055999999999987</v>
      </c>
      <c r="Y49" s="934">
        <v>1800000</v>
      </c>
      <c r="Z49" s="931">
        <f t="shared" si="9"/>
        <v>13870079.999999998</v>
      </c>
      <c r="AA49" s="568">
        <f t="shared" si="7"/>
        <v>29</v>
      </c>
      <c r="AB49" s="493">
        <f>IFERROR(INDEX('[12]CN BC'!$M$10:$M$276,MATCH(B49,'[12]CN BC'!$H$10:$H$276,0)),"")</f>
        <v>0</v>
      </c>
      <c r="AC49" s="945" t="s">
        <v>2219</v>
      </c>
      <c r="AF49" s="487"/>
    </row>
    <row r="50" spans="1:42" s="108" customFormat="1" ht="27" customHeight="1">
      <c r="A50" s="379">
        <f>_xlfn.AGGREGATE(4,7,A$20:A49)+1</f>
        <v>30</v>
      </c>
      <c r="B50" s="33" t="s">
        <v>1852</v>
      </c>
      <c r="C50" s="149" t="s">
        <v>900</v>
      </c>
      <c r="D50" s="406" t="s">
        <v>1636</v>
      </c>
      <c r="E50" s="424" t="s">
        <v>1258</v>
      </c>
      <c r="F50" s="83">
        <v>4.6500000000000004</v>
      </c>
      <c r="G50" s="161"/>
      <c r="H50" s="368">
        <f t="shared" si="0"/>
        <v>4.6500000000000004</v>
      </c>
      <c r="I50" s="81">
        <v>0.45</v>
      </c>
      <c r="J50" s="368" t="str">
        <f>VLOOKUP(B50,TH.T3!B60:J391,9,FALSE)</f>
        <v>Trưởng TT Y tế</v>
      </c>
      <c r="K50" s="369">
        <f t="shared" si="1"/>
        <v>5.1000000000000005</v>
      </c>
      <c r="L50" s="362">
        <f t="shared" si="2"/>
        <v>9180000.0000000019</v>
      </c>
      <c r="M50" s="366" t="str">
        <f>VLOOKUP(B50,'[11]Gui chi Quynh'!$B$11:$E$400,4,FALSE)</f>
        <v>A1</v>
      </c>
      <c r="N50" s="494">
        <f t="shared" si="3"/>
        <v>14688000.000000004</v>
      </c>
      <c r="O50" s="366">
        <v>19</v>
      </c>
      <c r="P50" s="440">
        <f>IFERROR(INDEX('[12]CN BC'!$J$10:$J$276,MATCH(B50,'[12]CN BC'!$H$10:$H$276,0)),"")</f>
        <v>22</v>
      </c>
      <c r="Q50" s="494">
        <f t="shared" si="4"/>
        <v>14688000.000000004</v>
      </c>
      <c r="R50" s="392"/>
      <c r="S50" s="362">
        <f>R50*$G$17*1</f>
        <v>0</v>
      </c>
      <c r="T50" s="385"/>
      <c r="U50" s="362">
        <f t="shared" si="5"/>
        <v>0</v>
      </c>
      <c r="V50" s="584">
        <f t="shared" si="6"/>
        <v>91800</v>
      </c>
      <c r="W50" s="371">
        <f t="shared" si="10"/>
        <v>14688000.000000004</v>
      </c>
      <c r="X50" s="935">
        <f t="shared" si="8"/>
        <v>8.1600000000000019</v>
      </c>
      <c r="Y50" s="934">
        <v>1800000</v>
      </c>
      <c r="Z50" s="931">
        <f t="shared" si="9"/>
        <v>14688000.000000004</v>
      </c>
      <c r="AA50" s="568">
        <f t="shared" si="7"/>
        <v>30</v>
      </c>
      <c r="AB50" s="493">
        <f>IFERROR(INDEX('[12]CN BC'!$M$10:$M$276,MATCH(B50,'[12]CN BC'!$H$10:$H$276,0)),"")</f>
        <v>0</v>
      </c>
      <c r="AC50" s="947" t="s">
        <v>2223</v>
      </c>
      <c r="AF50" s="155"/>
    </row>
    <row r="51" spans="1:42" s="108" customFormat="1" ht="27" customHeight="1">
      <c r="A51" s="379">
        <f>_xlfn.AGGREGATE(4,7,A$20:A50)+1</f>
        <v>31</v>
      </c>
      <c r="B51" s="33" t="s">
        <v>1454</v>
      </c>
      <c r="C51" s="149" t="s">
        <v>885</v>
      </c>
      <c r="D51" s="406" t="s">
        <v>1637</v>
      </c>
      <c r="E51" s="431">
        <v>1603205247426</v>
      </c>
      <c r="F51" s="10">
        <v>3.66</v>
      </c>
      <c r="G51" s="157"/>
      <c r="H51" s="368">
        <f t="shared" si="0"/>
        <v>3.66</v>
      </c>
      <c r="I51" s="81"/>
      <c r="J51" s="368" t="str">
        <f>VLOOKUP(B51,TH.T3!B61:J392,9,FALSE)</f>
        <v>Nhân viên Trung tâm Y tế</v>
      </c>
      <c r="K51" s="369">
        <f t="shared" si="1"/>
        <v>3.66</v>
      </c>
      <c r="L51" s="362">
        <f t="shared" si="2"/>
        <v>6588000</v>
      </c>
      <c r="M51" s="366" t="str">
        <f>VLOOKUP(B51,'[11]Gui chi Quynh'!$B$11:$E$400,4,FALSE)</f>
        <v>A2</v>
      </c>
      <c r="N51" s="494">
        <f t="shared" si="3"/>
        <v>9223200</v>
      </c>
      <c r="O51" s="366">
        <v>19</v>
      </c>
      <c r="P51" s="440">
        <f>IFERROR(INDEX('[12]CN BC'!$J$10:$J$276,MATCH(B51,'[12]CN BC'!$H$10:$H$276,0)),"")</f>
        <v>22</v>
      </c>
      <c r="Q51" s="494">
        <f t="shared" si="4"/>
        <v>9223200</v>
      </c>
      <c r="R51" s="392"/>
      <c r="S51" s="362">
        <f>R51*$G$17*1</f>
        <v>0</v>
      </c>
      <c r="T51" s="385"/>
      <c r="U51" s="362">
        <f t="shared" si="5"/>
        <v>0</v>
      </c>
      <c r="V51" s="584">
        <f t="shared" si="6"/>
        <v>65880</v>
      </c>
      <c r="W51" s="371">
        <f t="shared" si="10"/>
        <v>9223200</v>
      </c>
      <c r="X51" s="935">
        <f t="shared" si="8"/>
        <v>5.1239999999999997</v>
      </c>
      <c r="Y51" s="934">
        <v>1800000</v>
      </c>
      <c r="Z51" s="931">
        <f t="shared" si="9"/>
        <v>9223200</v>
      </c>
      <c r="AA51" s="568">
        <f t="shared" si="7"/>
        <v>31</v>
      </c>
      <c r="AB51" s="493">
        <f>IFERROR(INDEX('[12]CN BC'!$M$10:$M$276,MATCH(B51,'[12]CN BC'!$H$10:$H$276,0)),"")</f>
        <v>0</v>
      </c>
      <c r="AC51" s="947" t="s">
        <v>2223</v>
      </c>
      <c r="AF51" s="155"/>
    </row>
    <row r="52" spans="1:42" s="372" customFormat="1" ht="27" customHeight="1">
      <c r="A52" s="379">
        <f>_xlfn.AGGREGATE(4,7,A$20:A51)+1</f>
        <v>32</v>
      </c>
      <c r="B52" s="363" t="s">
        <v>1445</v>
      </c>
      <c r="C52" s="375" t="s">
        <v>1443</v>
      </c>
      <c r="D52" s="406" t="s">
        <v>1638</v>
      </c>
      <c r="E52" s="422" t="s">
        <v>1576</v>
      </c>
      <c r="F52" s="373">
        <v>4.9800000000000004</v>
      </c>
      <c r="G52" s="367">
        <v>0.37</v>
      </c>
      <c r="H52" s="368">
        <f t="shared" si="0"/>
        <v>6.8226000000000004</v>
      </c>
      <c r="I52" s="368">
        <v>0.45</v>
      </c>
      <c r="J52" s="368" t="str">
        <f>VLOOKUP(B52,TH.T3!B62:J393,9,FALSE)</f>
        <v>TP. Kế hoạch - Tài chính</v>
      </c>
      <c r="K52" s="369">
        <f t="shared" si="1"/>
        <v>7.2726000000000006</v>
      </c>
      <c r="L52" s="362">
        <f t="shared" si="2"/>
        <v>13090680.000000002</v>
      </c>
      <c r="M52" s="366" t="str">
        <f>VLOOKUP(B52,'[11]Gui chi Quynh'!$B$11:$E$400,4,FALSE)</f>
        <v>A1</v>
      </c>
      <c r="N52" s="494">
        <f t="shared" si="3"/>
        <v>20945088.000000004</v>
      </c>
      <c r="O52" s="366">
        <v>19</v>
      </c>
      <c r="P52" s="440">
        <f>IFERROR(INDEX('[12]CN BC'!$J$10:$J$276,MATCH(B52,'[12]CN BC'!$H$10:$H$276,0)),"")</f>
        <v>25</v>
      </c>
      <c r="Q52" s="494">
        <f t="shared" si="4"/>
        <v>20945088.000000004</v>
      </c>
      <c r="R52" s="392"/>
      <c r="S52" s="362">
        <f>R52*$G$17*1</f>
        <v>0</v>
      </c>
      <c r="T52" s="385"/>
      <c r="U52" s="362">
        <f t="shared" si="5"/>
        <v>0</v>
      </c>
      <c r="V52" s="584">
        <f t="shared" si="6"/>
        <v>130907</v>
      </c>
      <c r="W52" s="371">
        <f t="shared" si="10"/>
        <v>20945088.000000004</v>
      </c>
      <c r="X52" s="935">
        <f t="shared" si="8"/>
        <v>11.636160000000002</v>
      </c>
      <c r="Y52" s="934">
        <v>1800000</v>
      </c>
      <c r="Z52" s="931">
        <f t="shared" si="9"/>
        <v>20945088.000000004</v>
      </c>
      <c r="AA52" s="568">
        <f t="shared" si="7"/>
        <v>32</v>
      </c>
      <c r="AB52" s="493">
        <f>IFERROR(INDEX('[12]CN BC'!$M$10:$M$276,MATCH(B52,'[12]CN BC'!$H$10:$H$276,0)),"")</f>
        <v>0</v>
      </c>
      <c r="AC52" s="948" t="s">
        <v>2224</v>
      </c>
      <c r="AD52" s="108"/>
      <c r="AE52" s="108"/>
      <c r="AF52" s="155"/>
      <c r="AG52" s="108"/>
      <c r="AH52" s="108"/>
      <c r="AI52" s="108"/>
      <c r="AJ52" s="108"/>
      <c r="AK52" s="108"/>
      <c r="AL52" s="108"/>
      <c r="AM52" s="108"/>
      <c r="AN52" s="108"/>
      <c r="AO52" s="108"/>
      <c r="AP52" s="108"/>
    </row>
    <row r="53" spans="1:42" s="108" customFormat="1" ht="26.25" customHeight="1">
      <c r="A53" s="379">
        <f>_xlfn.AGGREGATE(4,7,A$20:A52)+1</f>
        <v>33</v>
      </c>
      <c r="B53" s="33" t="s">
        <v>1455</v>
      </c>
      <c r="C53" s="149" t="s">
        <v>912</v>
      </c>
      <c r="D53" s="406" t="s">
        <v>1640</v>
      </c>
      <c r="E53" s="424" t="s">
        <v>368</v>
      </c>
      <c r="F53" s="10">
        <v>3.99</v>
      </c>
      <c r="G53" s="157"/>
      <c r="H53" s="368">
        <f t="shared" si="0"/>
        <v>3.99</v>
      </c>
      <c r="I53" s="81"/>
      <c r="J53" s="368" t="str">
        <f>VLOOKUP(B53,TH.T3!B63:J394,9,FALSE)</f>
        <v>NV phòng KH-TC</v>
      </c>
      <c r="K53" s="369">
        <f t="shared" si="1"/>
        <v>3.99</v>
      </c>
      <c r="L53" s="362">
        <f t="shared" si="2"/>
        <v>7182000</v>
      </c>
      <c r="M53" s="366" t="str">
        <f>VLOOKUP(B53,'[11]Gui chi Quynh'!$B$11:$E$400,4,FALSE)</f>
        <v>A1</v>
      </c>
      <c r="N53" s="494">
        <f t="shared" si="3"/>
        <v>11491200</v>
      </c>
      <c r="O53" s="366">
        <v>19</v>
      </c>
      <c r="P53" s="440">
        <f>IFERROR(INDEX('[12]CN BC'!$J$10:$J$276,MATCH(B53,'[12]CN BC'!$H$10:$H$276,0)),"")</f>
        <v>22</v>
      </c>
      <c r="Q53" s="494">
        <f t="shared" si="4"/>
        <v>11491200</v>
      </c>
      <c r="R53" s="392"/>
      <c r="S53" s="362">
        <f>R53*$G$17*1</f>
        <v>0</v>
      </c>
      <c r="T53" s="385"/>
      <c r="U53" s="362">
        <f t="shared" si="5"/>
        <v>0</v>
      </c>
      <c r="V53" s="584">
        <f t="shared" si="6"/>
        <v>71820</v>
      </c>
      <c r="W53" s="371">
        <f t="shared" si="10"/>
        <v>11491200</v>
      </c>
      <c r="X53" s="935">
        <f t="shared" si="8"/>
        <v>6.3840000000000003</v>
      </c>
      <c r="Y53" s="934">
        <v>1800000</v>
      </c>
      <c r="Z53" s="931">
        <f t="shared" si="9"/>
        <v>11491200</v>
      </c>
      <c r="AA53" s="568">
        <f t="shared" si="7"/>
        <v>33</v>
      </c>
      <c r="AB53" s="493">
        <f>IFERROR(INDEX('[12]CN BC'!$M$10:$M$276,MATCH(B53,'[12]CN BC'!$H$10:$H$276,0)),"")</f>
        <v>0</v>
      </c>
      <c r="AC53" s="948" t="s">
        <v>2224</v>
      </c>
      <c r="AF53" s="155"/>
    </row>
    <row r="54" spans="1:42" s="372" customFormat="1" ht="27" customHeight="1">
      <c r="A54" s="379">
        <f>_xlfn.AGGREGATE(4,7,A$20:A53)+1</f>
        <v>34</v>
      </c>
      <c r="B54" s="363" t="s">
        <v>1456</v>
      </c>
      <c r="C54" s="375" t="s">
        <v>494</v>
      </c>
      <c r="D54" s="434" t="s">
        <v>1641</v>
      </c>
      <c r="E54" s="428">
        <v>1603205178873</v>
      </c>
      <c r="F54" s="366">
        <v>3.66</v>
      </c>
      <c r="G54" s="367"/>
      <c r="H54" s="368">
        <f t="shared" si="0"/>
        <v>3.66</v>
      </c>
      <c r="I54" s="368"/>
      <c r="J54" s="368" t="str">
        <f>VLOOKUP(B54,TH.T3!B64:J395,9,FALSE)</f>
        <v>NV phòng KH-TC</v>
      </c>
      <c r="K54" s="369">
        <f t="shared" si="1"/>
        <v>3.66</v>
      </c>
      <c r="L54" s="362">
        <f t="shared" si="2"/>
        <v>6588000</v>
      </c>
      <c r="M54" s="366" t="str">
        <f>VLOOKUP(B54,'[11]Gui chi Quynh'!$B$11:$E$400,4,FALSE)</f>
        <v>A1</v>
      </c>
      <c r="N54" s="494">
        <f t="shared" si="3"/>
        <v>10540800</v>
      </c>
      <c r="O54" s="366">
        <v>19</v>
      </c>
      <c r="P54" s="440">
        <f>IFERROR(INDEX('[12]CN BC'!$J$10:$J$276,MATCH(B54,'[12]CN BC'!$H$10:$H$276,0)),"")</f>
        <v>22</v>
      </c>
      <c r="Q54" s="494">
        <f t="shared" si="4"/>
        <v>10540800</v>
      </c>
      <c r="R54" s="460"/>
      <c r="S54" s="362">
        <f>R54*$G$17*1.6</f>
        <v>0</v>
      </c>
      <c r="T54" s="370"/>
      <c r="U54" s="362">
        <f t="shared" si="5"/>
        <v>0</v>
      </c>
      <c r="V54" s="584">
        <f t="shared" si="6"/>
        <v>65880</v>
      </c>
      <c r="W54" s="371">
        <f t="shared" si="10"/>
        <v>10540800</v>
      </c>
      <c r="X54" s="935">
        <f t="shared" si="8"/>
        <v>5.8559999999999999</v>
      </c>
      <c r="Y54" s="934">
        <v>1800000</v>
      </c>
      <c r="Z54" s="931">
        <f t="shared" si="9"/>
        <v>10540800</v>
      </c>
      <c r="AA54" s="568">
        <f t="shared" si="7"/>
        <v>34</v>
      </c>
      <c r="AB54" s="493">
        <f>IFERROR(INDEX('[12]CN BC'!$M$10:$M$276,MATCH(B54,'[12]CN BC'!$H$10:$H$276,0)),"")</f>
        <v>0</v>
      </c>
      <c r="AC54" s="948" t="s">
        <v>2224</v>
      </c>
      <c r="AD54" s="108"/>
      <c r="AE54" s="108"/>
      <c r="AF54" s="155"/>
      <c r="AG54" s="108"/>
      <c r="AH54" s="108"/>
      <c r="AI54" s="108"/>
      <c r="AJ54" s="108"/>
      <c r="AK54" s="108"/>
      <c r="AL54" s="108"/>
    </row>
    <row r="55" spans="1:42" s="372" customFormat="1" ht="27" customHeight="1">
      <c r="A55" s="379">
        <f>_xlfn.AGGREGATE(4,7,A$20:A54)+1</f>
        <v>35</v>
      </c>
      <c r="B55" s="363" t="s">
        <v>1457</v>
      </c>
      <c r="C55" s="375" t="s">
        <v>1178</v>
      </c>
      <c r="D55" s="434" t="s">
        <v>1642</v>
      </c>
      <c r="E55" s="426">
        <v>1603205372861</v>
      </c>
      <c r="F55" s="366">
        <v>2.67</v>
      </c>
      <c r="G55" s="367"/>
      <c r="H55" s="368">
        <f t="shared" si="0"/>
        <v>2.67</v>
      </c>
      <c r="I55" s="368"/>
      <c r="J55" s="368" t="str">
        <f>VLOOKUP(B55,TH.T3!B65:J396,9,FALSE)</f>
        <v>NV phòng KH-TC</v>
      </c>
      <c r="K55" s="369">
        <f t="shared" si="1"/>
        <v>2.67</v>
      </c>
      <c r="L55" s="362">
        <f t="shared" si="2"/>
        <v>4806000</v>
      </c>
      <c r="M55" s="366" t="str">
        <f>VLOOKUP(B55,'[11]Gui chi Quynh'!$B$11:$E$400,4,FALSE)</f>
        <v>A1</v>
      </c>
      <c r="N55" s="494">
        <f t="shared" si="3"/>
        <v>7689600</v>
      </c>
      <c r="O55" s="366">
        <v>19</v>
      </c>
      <c r="P55" s="440">
        <f>IFERROR(INDEX('[12]CN BC'!$J$10:$J$276,MATCH(B55,'[12]CN BC'!$H$10:$H$276,0)),"")</f>
        <v>22</v>
      </c>
      <c r="Q55" s="494">
        <f t="shared" si="4"/>
        <v>7689600</v>
      </c>
      <c r="R55" s="460"/>
      <c r="S55" s="362">
        <f>R55*$G$17*1</f>
        <v>0</v>
      </c>
      <c r="T55" s="370"/>
      <c r="U55" s="362">
        <f t="shared" si="5"/>
        <v>0</v>
      </c>
      <c r="V55" s="584">
        <f t="shared" si="6"/>
        <v>48060</v>
      </c>
      <c r="W55" s="371">
        <f t="shared" si="10"/>
        <v>7689600</v>
      </c>
      <c r="X55" s="935">
        <f t="shared" si="8"/>
        <v>4.2720000000000002</v>
      </c>
      <c r="Y55" s="934">
        <v>1800000</v>
      </c>
      <c r="Z55" s="931">
        <f t="shared" si="9"/>
        <v>7689600</v>
      </c>
      <c r="AA55" s="568">
        <f t="shared" si="7"/>
        <v>35</v>
      </c>
      <c r="AB55" s="493">
        <f>IFERROR(INDEX('[12]CN BC'!$M$10:$M$276,MATCH(B55,'[12]CN BC'!$H$10:$H$276,0)),"")</f>
        <v>0</v>
      </c>
      <c r="AC55" s="948" t="s">
        <v>2224</v>
      </c>
      <c r="AD55" s="108"/>
      <c r="AE55" s="108"/>
      <c r="AF55" s="155"/>
      <c r="AG55" s="108"/>
      <c r="AH55" s="108"/>
      <c r="AI55" s="108"/>
      <c r="AJ55" s="108"/>
      <c r="AK55" s="108"/>
      <c r="AL55" s="108"/>
    </row>
    <row r="56" spans="1:42" s="372" customFormat="1" ht="27" customHeight="1">
      <c r="A56" s="379">
        <f>_xlfn.AGGREGATE(4,7,A$20:A55)+1</f>
        <v>36</v>
      </c>
      <c r="B56" s="363" t="s">
        <v>1859</v>
      </c>
      <c r="C56" s="375" t="s">
        <v>986</v>
      </c>
      <c r="D56" s="434" t="s">
        <v>1665</v>
      </c>
      <c r="E56" s="430">
        <v>1603205185357</v>
      </c>
      <c r="F56" s="373">
        <v>3.66</v>
      </c>
      <c r="G56" s="367"/>
      <c r="H56" s="368">
        <f t="shared" si="0"/>
        <v>3.66</v>
      </c>
      <c r="I56" s="368"/>
      <c r="J56" s="368" t="str">
        <f>VLOOKUP(B56,TH.T3!B66:J397,9,FALSE)</f>
        <v>NV Phòng KH-TC</v>
      </c>
      <c r="K56" s="369">
        <f t="shared" si="1"/>
        <v>3.66</v>
      </c>
      <c r="L56" s="362">
        <f t="shared" si="2"/>
        <v>6588000</v>
      </c>
      <c r="M56" s="366" t="str">
        <f>VLOOKUP(B56,'[11]Gui chi Quynh'!$B$11:$E$400,4,FALSE)</f>
        <v>A2</v>
      </c>
      <c r="N56" s="494">
        <f t="shared" si="3"/>
        <v>9223200</v>
      </c>
      <c r="O56" s="366">
        <v>19</v>
      </c>
      <c r="P56" s="440">
        <f>IFERROR(INDEX('[12]CN BC'!$J$10:$J$276,MATCH(B56,'[12]CN BC'!$H$10:$H$276,0)),"")</f>
        <v>21</v>
      </c>
      <c r="Q56" s="494">
        <f t="shared" si="4"/>
        <v>9223200</v>
      </c>
      <c r="R56" s="460"/>
      <c r="S56" s="362">
        <f>R56*$G$17*1</f>
        <v>0</v>
      </c>
      <c r="T56" s="537"/>
      <c r="U56" s="362">
        <f t="shared" si="5"/>
        <v>0</v>
      </c>
      <c r="V56" s="584">
        <f t="shared" si="6"/>
        <v>65880</v>
      </c>
      <c r="W56" s="371">
        <f t="shared" si="10"/>
        <v>9223200</v>
      </c>
      <c r="X56" s="935">
        <f t="shared" si="8"/>
        <v>5.1239999999999997</v>
      </c>
      <c r="Y56" s="934">
        <v>1800000</v>
      </c>
      <c r="Z56" s="931">
        <f t="shared" si="9"/>
        <v>9223200</v>
      </c>
      <c r="AA56" s="568">
        <f t="shared" si="7"/>
        <v>36</v>
      </c>
      <c r="AB56" s="493" t="str">
        <f>IFERROR(INDEX('[12]CN BC'!$M$10:$M$276,MATCH(B56,'[12]CN BC'!$H$10:$H$276,0)),"")</f>
        <v>Trừ 1 ngày nghỉ phép 26/4</v>
      </c>
      <c r="AC56" s="948" t="s">
        <v>2224</v>
      </c>
      <c r="AF56" s="487"/>
    </row>
    <row r="57" spans="1:42" s="372" customFormat="1" ht="33.75" customHeight="1">
      <c r="A57" s="379">
        <f>_xlfn.AGGREGATE(4,7,A$20:A56)+1</f>
        <v>37</v>
      </c>
      <c r="B57" s="363" t="s">
        <v>1459</v>
      </c>
      <c r="C57" s="375" t="s">
        <v>1437</v>
      </c>
      <c r="D57" s="434" t="s">
        <v>1645</v>
      </c>
      <c r="E57" s="426" t="s">
        <v>1578</v>
      </c>
      <c r="F57" s="366">
        <v>4.32</v>
      </c>
      <c r="G57" s="367"/>
      <c r="H57" s="368">
        <f t="shared" si="0"/>
        <v>4.32</v>
      </c>
      <c r="I57" s="368">
        <v>0.45</v>
      </c>
      <c r="J57" s="368" t="str">
        <f>VLOOKUP(B57,TH.T3!B67:J398,9,FALSE)</f>
        <v>Trưởng phòng Thanh tra GD - Quan hệ DN</v>
      </c>
      <c r="K57" s="369">
        <f t="shared" si="1"/>
        <v>4.7700000000000005</v>
      </c>
      <c r="L57" s="362">
        <f t="shared" si="2"/>
        <v>8586000</v>
      </c>
      <c r="M57" s="366" t="str">
        <f>VLOOKUP(B57,'[11]Gui chi Quynh'!$B$11:$E$400,4,FALSE)</f>
        <v>A1</v>
      </c>
      <c r="N57" s="494">
        <f t="shared" si="3"/>
        <v>13737600</v>
      </c>
      <c r="O57" s="366">
        <v>19</v>
      </c>
      <c r="P57" s="440">
        <f>IFERROR(INDEX('[12]CN BC'!$J$10:$J$276,MATCH(B57,'[12]CN BC'!$H$10:$H$276,0)),"")</f>
        <v>24</v>
      </c>
      <c r="Q57" s="494">
        <f t="shared" si="4"/>
        <v>13737600</v>
      </c>
      <c r="R57" s="460"/>
      <c r="S57" s="362">
        <v>0</v>
      </c>
      <c r="T57" s="370"/>
      <c r="U57" s="362">
        <f t="shared" si="5"/>
        <v>0</v>
      </c>
      <c r="V57" s="584">
        <f t="shared" si="6"/>
        <v>85860</v>
      </c>
      <c r="W57" s="371">
        <f t="shared" si="10"/>
        <v>13737600</v>
      </c>
      <c r="X57" s="935">
        <f t="shared" si="8"/>
        <v>7.6319999999999997</v>
      </c>
      <c r="Y57" s="934">
        <v>1800000</v>
      </c>
      <c r="Z57" s="931">
        <f t="shared" si="9"/>
        <v>13737600</v>
      </c>
      <c r="AA57" s="568">
        <f t="shared" si="7"/>
        <v>37</v>
      </c>
      <c r="AB57" s="493">
        <f>IFERROR(INDEX('[12]CN BC'!$M$10:$M$276,MATCH(B57,'[12]CN BC'!$H$10:$H$276,0)),"")</f>
        <v>0</v>
      </c>
      <c r="AC57" s="948" t="s">
        <v>2225</v>
      </c>
      <c r="AD57" s="108"/>
      <c r="AE57" s="108"/>
      <c r="AF57" s="155"/>
    </row>
    <row r="58" spans="1:42" s="372" customFormat="1" ht="33.75" customHeight="1">
      <c r="A58" s="379">
        <f>_xlfn.AGGREGATE(4,7,A$20:A57)+1</f>
        <v>38</v>
      </c>
      <c r="B58" s="363" t="s">
        <v>1541</v>
      </c>
      <c r="C58" s="364" t="s">
        <v>962</v>
      </c>
      <c r="D58" s="434" t="s">
        <v>1802</v>
      </c>
      <c r="E58" s="426">
        <v>1603205356140</v>
      </c>
      <c r="F58" s="366">
        <v>3.99</v>
      </c>
      <c r="G58" s="367"/>
      <c r="H58" s="368">
        <f t="shared" si="0"/>
        <v>3.99</v>
      </c>
      <c r="I58" s="368"/>
      <c r="J58" s="368" t="str">
        <f>VLOOKUP(B58,TH.T3!B68:J399,9,FALSE)</f>
        <v>Nhân viên phòng Thanh tra GD - Quan hệ DN</v>
      </c>
      <c r="K58" s="369">
        <f t="shared" si="1"/>
        <v>3.99</v>
      </c>
      <c r="L58" s="362">
        <f t="shared" si="2"/>
        <v>7182000</v>
      </c>
      <c r="M58" s="366" t="str">
        <f>VLOOKUP(B58,'[11]Gui chi Quynh'!$B$11:$E$400,4,FALSE)</f>
        <v>A3</v>
      </c>
      <c r="N58" s="494">
        <f t="shared" si="3"/>
        <v>8618400</v>
      </c>
      <c r="O58" s="366">
        <v>19</v>
      </c>
      <c r="P58" s="440">
        <f>IFERROR(INDEX('[12]CN BC'!$J$10:$J$276,MATCH(B58,'[12]CN BC'!$H$10:$H$276,0)),"")</f>
        <v>19</v>
      </c>
      <c r="Q58" s="494">
        <f t="shared" si="4"/>
        <v>8618400</v>
      </c>
      <c r="R58" s="460"/>
      <c r="S58" s="362">
        <f t="shared" ref="S58:S72" si="13">R58*$G$17*1</f>
        <v>0</v>
      </c>
      <c r="T58" s="370"/>
      <c r="U58" s="362">
        <f t="shared" si="5"/>
        <v>0</v>
      </c>
      <c r="V58" s="584">
        <f t="shared" si="6"/>
        <v>71820</v>
      </c>
      <c r="W58" s="371">
        <f t="shared" si="10"/>
        <v>8618400</v>
      </c>
      <c r="X58" s="935">
        <f t="shared" si="8"/>
        <v>4.7880000000000003</v>
      </c>
      <c r="Y58" s="934">
        <v>1800000</v>
      </c>
      <c r="Z58" s="931">
        <f t="shared" si="9"/>
        <v>8618400</v>
      </c>
      <c r="AA58" s="568">
        <f t="shared" si="7"/>
        <v>38</v>
      </c>
      <c r="AB58" s="493" t="str">
        <f>IFERROR(INDEX('[12]CN BC'!$M$10:$M$276,MATCH(B58,'[12]CN BC'!$H$10:$H$276,0)),"")</f>
        <v>Trừ 1 ngày nghỉ phép 15/4</v>
      </c>
      <c r="AC58" s="948" t="s">
        <v>2225</v>
      </c>
      <c r="AF58" s="487"/>
    </row>
    <row r="59" spans="1:42" s="372" customFormat="1" ht="33.75" customHeight="1">
      <c r="A59" s="379">
        <f>_xlfn.AGGREGATE(4,7,A$20:A58)+1</f>
        <v>39</v>
      </c>
      <c r="B59" s="377" t="s">
        <v>1556</v>
      </c>
      <c r="C59" s="364" t="s">
        <v>885</v>
      </c>
      <c r="D59" s="434" t="s">
        <v>1648</v>
      </c>
      <c r="E59" s="430">
        <v>1603205182727</v>
      </c>
      <c r="F59" s="373">
        <v>4.6500000000000004</v>
      </c>
      <c r="G59" s="374"/>
      <c r="H59" s="368">
        <f t="shared" si="0"/>
        <v>4.6500000000000004</v>
      </c>
      <c r="I59" s="366"/>
      <c r="J59" s="368" t="str">
        <f>VLOOKUP(B59,TH.T3!B69:J400,9,FALSE)</f>
        <v>Nhân viên phòng Thanh tra GD - Quan hệ DN</v>
      </c>
      <c r="K59" s="369">
        <f t="shared" si="1"/>
        <v>4.6500000000000004</v>
      </c>
      <c r="L59" s="362">
        <f t="shared" si="2"/>
        <v>8370000.0000000009</v>
      </c>
      <c r="M59" s="366" t="str">
        <f>VLOOKUP(B59,'[11]Gui chi Quynh'!$B$11:$E$400,4,FALSE)</f>
        <v>A2</v>
      </c>
      <c r="N59" s="494">
        <f t="shared" si="3"/>
        <v>11718000</v>
      </c>
      <c r="O59" s="366">
        <v>19</v>
      </c>
      <c r="P59" s="440">
        <f>IFERROR(INDEX('[12]CN BC'!$J$10:$J$276,MATCH(B59,'[12]CN BC'!$H$10:$H$276,0)),"")</f>
        <v>20</v>
      </c>
      <c r="Q59" s="494">
        <f t="shared" si="4"/>
        <v>11718000</v>
      </c>
      <c r="R59" s="476">
        <v>0</v>
      </c>
      <c r="S59" s="362">
        <f t="shared" si="13"/>
        <v>0</v>
      </c>
      <c r="T59" s="370"/>
      <c r="U59" s="362">
        <f t="shared" si="5"/>
        <v>0</v>
      </c>
      <c r="V59" s="584">
        <f t="shared" si="6"/>
        <v>83700</v>
      </c>
      <c r="W59" s="371">
        <f t="shared" si="10"/>
        <v>11718000</v>
      </c>
      <c r="X59" s="935">
        <f t="shared" si="8"/>
        <v>6.51</v>
      </c>
      <c r="Y59" s="934">
        <v>1800000</v>
      </c>
      <c r="Z59" s="931">
        <f t="shared" si="9"/>
        <v>11718000</v>
      </c>
      <c r="AA59" s="568">
        <f t="shared" si="7"/>
        <v>39</v>
      </c>
      <c r="AB59" s="493">
        <f>IFERROR(INDEX('[12]CN BC'!$M$10:$M$276,MATCH(B59,'[12]CN BC'!$H$10:$H$276,0)),"")</f>
        <v>0</v>
      </c>
      <c r="AC59" s="948" t="s">
        <v>2225</v>
      </c>
      <c r="AD59" s="108"/>
      <c r="AE59" s="108"/>
      <c r="AF59" s="155"/>
      <c r="AG59" s="108"/>
      <c r="AH59" s="108"/>
      <c r="AI59" s="108"/>
      <c r="AJ59" s="108"/>
      <c r="AK59" s="108"/>
      <c r="AL59" s="108"/>
    </row>
    <row r="60" spans="1:42" s="372" customFormat="1" ht="33.75" customHeight="1">
      <c r="A60" s="379">
        <f>_xlfn.AGGREGATE(4,7,A$20:A59)+1</f>
        <v>40</v>
      </c>
      <c r="B60" s="363" t="s">
        <v>1854</v>
      </c>
      <c r="C60" s="375" t="s">
        <v>903</v>
      </c>
      <c r="D60" s="406" t="s">
        <v>1616</v>
      </c>
      <c r="E60" s="423" t="s">
        <v>1260</v>
      </c>
      <c r="F60" s="366">
        <v>4.9800000000000004</v>
      </c>
      <c r="G60" s="367">
        <v>7.0000000000000007E-2</v>
      </c>
      <c r="H60" s="368">
        <f t="shared" si="0"/>
        <v>5.3286000000000007</v>
      </c>
      <c r="I60" s="368">
        <v>0.45</v>
      </c>
      <c r="J60" s="368" t="str">
        <f>VLOOKUP(B60,TH.T3!B70:J401,9,FALSE)</f>
        <v>Nhân viên phòng Thanh tra GD - Quan hệ DN</v>
      </c>
      <c r="K60" s="369">
        <f t="shared" si="1"/>
        <v>5.7786000000000008</v>
      </c>
      <c r="L60" s="362">
        <f t="shared" si="2"/>
        <v>10401480.000000002</v>
      </c>
      <c r="M60" s="366" t="str">
        <f>VLOOKUP(B60,'[11]Gui chi Quynh'!$B$11:$E$400,4,FALSE)</f>
        <v>A2</v>
      </c>
      <c r="N60" s="494">
        <f t="shared" si="3"/>
        <v>14562072.000000002</v>
      </c>
      <c r="O60" s="366">
        <v>19</v>
      </c>
      <c r="P60" s="440">
        <f>IFERROR(INDEX('[12]CN BC'!$J$10:$J$276,MATCH(B60,'[12]CN BC'!$H$10:$H$276,0)),"")</f>
        <v>20</v>
      </c>
      <c r="Q60" s="494">
        <f t="shared" si="4"/>
        <v>14562072.000000002</v>
      </c>
      <c r="R60" s="392"/>
      <c r="S60" s="362">
        <f t="shared" si="13"/>
        <v>0</v>
      </c>
      <c r="T60" s="385"/>
      <c r="U60" s="362">
        <f t="shared" si="5"/>
        <v>0</v>
      </c>
      <c r="V60" s="584">
        <f t="shared" si="6"/>
        <v>104015</v>
      </c>
      <c r="W60" s="371">
        <f t="shared" si="10"/>
        <v>14562072.000000002</v>
      </c>
      <c r="X60" s="935">
        <f t="shared" si="8"/>
        <v>8.0900400000000019</v>
      </c>
      <c r="Y60" s="934">
        <v>1800000</v>
      </c>
      <c r="Z60" s="931">
        <f t="shared" si="9"/>
        <v>14562072.000000004</v>
      </c>
      <c r="AA60" s="568">
        <f t="shared" si="7"/>
        <v>40</v>
      </c>
      <c r="AB60" s="493">
        <f>IFERROR(INDEX('[12]CN BC'!$M$10:$M$276,MATCH(B60,'[12]CN BC'!$H$10:$H$276,0)),"")</f>
        <v>0</v>
      </c>
      <c r="AC60" s="948" t="s">
        <v>2225</v>
      </c>
      <c r="AD60" s="154"/>
      <c r="AE60" s="155"/>
      <c r="AF60" s="155">
        <v>5000000</v>
      </c>
      <c r="AG60" s="108"/>
      <c r="AH60" s="108"/>
      <c r="AI60" s="108"/>
      <c r="AJ60" s="108"/>
      <c r="AK60" s="108"/>
      <c r="AL60" s="108"/>
      <c r="AM60" s="108"/>
      <c r="AN60" s="108"/>
      <c r="AO60" s="108"/>
      <c r="AP60" s="108"/>
    </row>
    <row r="61" spans="1:42" s="372" customFormat="1" ht="33.75" customHeight="1">
      <c r="A61" s="379">
        <f>_xlfn.AGGREGATE(4,7,A$20:A60)+1</f>
        <v>41</v>
      </c>
      <c r="B61" s="363" t="s">
        <v>1460</v>
      </c>
      <c r="C61" s="375" t="s">
        <v>885</v>
      </c>
      <c r="D61" s="434" t="s">
        <v>1650</v>
      </c>
      <c r="E61" s="428">
        <v>1603205189653</v>
      </c>
      <c r="F61" s="366">
        <v>3.99</v>
      </c>
      <c r="G61" s="367"/>
      <c r="H61" s="368">
        <f t="shared" si="0"/>
        <v>3.99</v>
      </c>
      <c r="I61" s="368"/>
      <c r="J61" s="368" t="str">
        <f>VLOOKUP(B61,TH.T3!B71:J402,9,FALSE)</f>
        <v>Nhân viên phòng Thanh tra GD - Quan hệ DN</v>
      </c>
      <c r="K61" s="369">
        <f t="shared" si="1"/>
        <v>3.99</v>
      </c>
      <c r="L61" s="362">
        <f t="shared" si="2"/>
        <v>7182000</v>
      </c>
      <c r="M61" s="366" t="str">
        <f>VLOOKUP(B61,'[11]Gui chi Quynh'!$B$11:$E$400,4,FALSE)</f>
        <v>A1</v>
      </c>
      <c r="N61" s="494">
        <f t="shared" si="3"/>
        <v>11491200</v>
      </c>
      <c r="O61" s="366">
        <v>19</v>
      </c>
      <c r="P61" s="440">
        <f>IFERROR(INDEX('[12]CN BC'!$J$10:$J$276,MATCH(B61,'[12]CN BC'!$H$10:$H$276,0)),"")</f>
        <v>22</v>
      </c>
      <c r="Q61" s="494">
        <f t="shared" si="4"/>
        <v>11491200</v>
      </c>
      <c r="R61" s="460"/>
      <c r="S61" s="362">
        <f t="shared" si="13"/>
        <v>0</v>
      </c>
      <c r="T61" s="370"/>
      <c r="U61" s="362">
        <f t="shared" si="5"/>
        <v>0</v>
      </c>
      <c r="V61" s="584">
        <f t="shared" si="6"/>
        <v>71820</v>
      </c>
      <c r="W61" s="371">
        <f t="shared" si="10"/>
        <v>11491200</v>
      </c>
      <c r="X61" s="935">
        <f t="shared" si="8"/>
        <v>6.3840000000000003</v>
      </c>
      <c r="Y61" s="934">
        <v>1800000</v>
      </c>
      <c r="Z61" s="931">
        <f t="shared" si="9"/>
        <v>11491200</v>
      </c>
      <c r="AA61" s="568">
        <f t="shared" si="7"/>
        <v>41</v>
      </c>
      <c r="AB61" s="493">
        <f>IFERROR(INDEX('[12]CN BC'!$M$10:$M$276,MATCH(B61,'[12]CN BC'!$H$10:$H$276,0)),"")</f>
        <v>0</v>
      </c>
      <c r="AC61" s="948" t="s">
        <v>2225</v>
      </c>
      <c r="AF61" s="487"/>
    </row>
    <row r="62" spans="1:42" s="372" customFormat="1" ht="33.75" customHeight="1">
      <c r="A62" s="379">
        <f>_xlfn.AGGREGATE(4,7,A$20:A61)+1</f>
        <v>42</v>
      </c>
      <c r="B62" s="363" t="s">
        <v>1461</v>
      </c>
      <c r="C62" s="375" t="s">
        <v>270</v>
      </c>
      <c r="D62" s="434" t="s">
        <v>1653</v>
      </c>
      <c r="E62" s="423" t="s">
        <v>370</v>
      </c>
      <c r="F62" s="373">
        <v>3.66</v>
      </c>
      <c r="G62" s="367"/>
      <c r="H62" s="368">
        <f t="shared" si="0"/>
        <v>3.66</v>
      </c>
      <c r="I62" s="368"/>
      <c r="J62" s="368" t="str">
        <f>VLOOKUP(B62,TH.T3!B72:J403,9,FALSE)</f>
        <v>Nhân viên phòng Thanh tra GD - Quan hệ DN</v>
      </c>
      <c r="K62" s="369">
        <f t="shared" si="1"/>
        <v>3.66</v>
      </c>
      <c r="L62" s="362">
        <f t="shared" si="2"/>
        <v>6588000</v>
      </c>
      <c r="M62" s="366" t="str">
        <f>VLOOKUP(B62,'[11]Gui chi Quynh'!$B$11:$E$400,4,FALSE)</f>
        <v>A3</v>
      </c>
      <c r="N62" s="494">
        <f t="shared" si="3"/>
        <v>7905600</v>
      </c>
      <c r="O62" s="366">
        <v>19</v>
      </c>
      <c r="P62" s="440">
        <f>IFERROR(INDEX('[12]CN BC'!$J$10:$J$276,MATCH(B62,'[12]CN BC'!$H$10:$H$276,0)),"")</f>
        <v>21</v>
      </c>
      <c r="Q62" s="494">
        <f t="shared" si="4"/>
        <v>7905600</v>
      </c>
      <c r="R62" s="460"/>
      <c r="S62" s="362">
        <f t="shared" si="13"/>
        <v>0</v>
      </c>
      <c r="T62" s="370"/>
      <c r="U62" s="362">
        <f t="shared" si="5"/>
        <v>0</v>
      </c>
      <c r="V62" s="584">
        <f t="shared" si="6"/>
        <v>65880</v>
      </c>
      <c r="W62" s="371">
        <f t="shared" si="10"/>
        <v>7905600</v>
      </c>
      <c r="X62" s="935">
        <f t="shared" si="8"/>
        <v>4.3920000000000003</v>
      </c>
      <c r="Y62" s="934">
        <v>1800000</v>
      </c>
      <c r="Z62" s="931">
        <f t="shared" si="9"/>
        <v>7905600.0000000009</v>
      </c>
      <c r="AA62" s="568">
        <f t="shared" si="7"/>
        <v>42</v>
      </c>
      <c r="AB62" s="493">
        <f>IFERROR(INDEX('[12]CN BC'!$M$10:$M$276,MATCH(B62,'[12]CN BC'!$H$10:$H$276,0)),"")</f>
        <v>0</v>
      </c>
      <c r="AC62" s="948" t="s">
        <v>2225</v>
      </c>
      <c r="AD62" s="108"/>
      <c r="AE62" s="108"/>
      <c r="AF62" s="155"/>
      <c r="AG62" s="108"/>
      <c r="AH62" s="108"/>
      <c r="AI62" s="108"/>
      <c r="AJ62" s="108"/>
      <c r="AK62" s="108"/>
      <c r="AL62" s="108"/>
    </row>
    <row r="63" spans="1:42" s="372" customFormat="1" ht="33.75" customHeight="1">
      <c r="A63" s="379">
        <f>_xlfn.AGGREGATE(4,7,A$20:A62)+1</f>
        <v>43</v>
      </c>
      <c r="B63" s="363" t="s">
        <v>848</v>
      </c>
      <c r="C63" s="375" t="s">
        <v>883</v>
      </c>
      <c r="D63" s="434" t="s">
        <v>1655</v>
      </c>
      <c r="E63" s="423" t="s">
        <v>1263</v>
      </c>
      <c r="F63" s="366">
        <v>4.32</v>
      </c>
      <c r="G63" s="367"/>
      <c r="H63" s="368">
        <f t="shared" si="0"/>
        <v>4.32</v>
      </c>
      <c r="I63" s="368"/>
      <c r="J63" s="368" t="str">
        <f>VLOOKUP(B63,TH.T3!B73:J404,9,FALSE)</f>
        <v>Nhân viên phòng Thanh tra GD - Quan hệ DN</v>
      </c>
      <c r="K63" s="369">
        <f t="shared" si="1"/>
        <v>4.32</v>
      </c>
      <c r="L63" s="362">
        <f t="shared" si="2"/>
        <v>7776000.0000000009</v>
      </c>
      <c r="M63" s="366" t="str">
        <f>VLOOKUP(B63,'[11]Gui chi Quynh'!$B$11:$E$400,4,FALSE)</f>
        <v>A2</v>
      </c>
      <c r="N63" s="494">
        <f t="shared" si="3"/>
        <v>10886400</v>
      </c>
      <c r="O63" s="366">
        <v>19</v>
      </c>
      <c r="P63" s="440">
        <f>IFERROR(INDEX('[12]CN BC'!$J$10:$J$276,MATCH(B63,'[12]CN BC'!$H$10:$H$276,0)),"")</f>
        <v>20</v>
      </c>
      <c r="Q63" s="494">
        <f t="shared" si="4"/>
        <v>10886400</v>
      </c>
      <c r="R63" s="460"/>
      <c r="S63" s="362">
        <f t="shared" si="13"/>
        <v>0</v>
      </c>
      <c r="T63" s="370"/>
      <c r="U63" s="362">
        <f t="shared" si="5"/>
        <v>0</v>
      </c>
      <c r="V63" s="584">
        <f t="shared" si="6"/>
        <v>77760</v>
      </c>
      <c r="W63" s="371">
        <f t="shared" si="10"/>
        <v>10886400</v>
      </c>
      <c r="X63" s="935">
        <f t="shared" si="8"/>
        <v>6.048</v>
      </c>
      <c r="Y63" s="934">
        <v>1800000</v>
      </c>
      <c r="Z63" s="931">
        <f t="shared" si="9"/>
        <v>10886400</v>
      </c>
      <c r="AA63" s="568">
        <f t="shared" si="7"/>
        <v>43</v>
      </c>
      <c r="AB63" s="493">
        <f>IFERROR(INDEX('[12]CN BC'!$M$10:$M$276,MATCH(B63,'[12]CN BC'!$H$10:$H$276,0)),"")</f>
        <v>0</v>
      </c>
      <c r="AC63" s="948" t="s">
        <v>2225</v>
      </c>
      <c r="AD63" s="108"/>
      <c r="AE63" s="108"/>
      <c r="AF63" s="155"/>
      <c r="AG63" s="108"/>
      <c r="AH63" s="108"/>
      <c r="AI63" s="108"/>
      <c r="AJ63" s="108"/>
      <c r="AK63" s="108"/>
      <c r="AL63" s="108"/>
    </row>
    <row r="64" spans="1:42" s="372" customFormat="1" ht="33.75" customHeight="1">
      <c r="A64" s="379">
        <f>_xlfn.AGGREGATE(4,7,A$20:A63)+1</f>
        <v>44</v>
      </c>
      <c r="B64" s="363" t="s">
        <v>1857</v>
      </c>
      <c r="C64" s="375" t="s">
        <v>942</v>
      </c>
      <c r="D64" s="434" t="s">
        <v>1656</v>
      </c>
      <c r="E64" s="428" t="s">
        <v>1358</v>
      </c>
      <c r="F64" s="366">
        <v>4.32</v>
      </c>
      <c r="G64" s="367"/>
      <c r="H64" s="368">
        <f t="shared" si="0"/>
        <v>4.32</v>
      </c>
      <c r="I64" s="368"/>
      <c r="J64" s="368" t="str">
        <f>VLOOKUP(B64,TH.T3!B74:J405,9,FALSE)</f>
        <v>Nhân viên phòng Thanh tra GD - Quan hệ DN</v>
      </c>
      <c r="K64" s="369">
        <f t="shared" si="1"/>
        <v>4.32</v>
      </c>
      <c r="L64" s="362">
        <f t="shared" si="2"/>
        <v>7776000.0000000009</v>
      </c>
      <c r="M64" s="366" t="str">
        <f>VLOOKUP(B64,'[11]Gui chi Quynh'!$B$11:$E$400,4,FALSE)</f>
        <v>A2</v>
      </c>
      <c r="N64" s="494">
        <f t="shared" si="3"/>
        <v>10886400</v>
      </c>
      <c r="O64" s="366">
        <v>19</v>
      </c>
      <c r="P64" s="440">
        <f>IFERROR(INDEX('[12]CN BC'!$J$10:$J$276,MATCH(B64,'[12]CN BC'!$H$10:$H$276,0)),"")</f>
        <v>20</v>
      </c>
      <c r="Q64" s="494">
        <f t="shared" si="4"/>
        <v>10886400</v>
      </c>
      <c r="R64" s="460"/>
      <c r="S64" s="362">
        <f t="shared" si="13"/>
        <v>0</v>
      </c>
      <c r="T64" s="370"/>
      <c r="U64" s="362">
        <f t="shared" si="5"/>
        <v>0</v>
      </c>
      <c r="V64" s="584">
        <f t="shared" si="6"/>
        <v>77760</v>
      </c>
      <c r="W64" s="371">
        <f t="shared" si="10"/>
        <v>10886400</v>
      </c>
      <c r="X64" s="935">
        <f t="shared" si="8"/>
        <v>6.048</v>
      </c>
      <c r="Y64" s="934">
        <v>1800000</v>
      </c>
      <c r="Z64" s="931">
        <f t="shared" si="9"/>
        <v>10886400</v>
      </c>
      <c r="AA64" s="568">
        <f t="shared" si="7"/>
        <v>44</v>
      </c>
      <c r="AB64" s="493">
        <f>IFERROR(INDEX('[12]CN BC'!$M$10:$M$276,MATCH(B64,'[12]CN BC'!$H$10:$H$276,0)),"")</f>
        <v>0</v>
      </c>
      <c r="AC64" s="948" t="s">
        <v>2225</v>
      </c>
      <c r="AD64" s="108"/>
      <c r="AE64" s="108"/>
      <c r="AF64" s="155"/>
      <c r="AG64" s="108"/>
      <c r="AH64" s="108"/>
      <c r="AI64" s="108"/>
      <c r="AJ64" s="108"/>
      <c r="AK64" s="108"/>
      <c r="AL64" s="108"/>
    </row>
    <row r="65" spans="1:42" s="372" customFormat="1" ht="33.75" customHeight="1">
      <c r="A65" s="379">
        <f>_xlfn.AGGREGATE(4,7,A$20:A64)+1</f>
        <v>45</v>
      </c>
      <c r="B65" s="363" t="s">
        <v>1851</v>
      </c>
      <c r="C65" s="375" t="s">
        <v>886</v>
      </c>
      <c r="D65" s="406" t="s">
        <v>1632</v>
      </c>
      <c r="E65" s="429" t="s">
        <v>1575</v>
      </c>
      <c r="F65" s="373">
        <v>3.66</v>
      </c>
      <c r="G65" s="367"/>
      <c r="H65" s="445">
        <f t="shared" si="0"/>
        <v>3.66</v>
      </c>
      <c r="I65" s="368"/>
      <c r="J65" s="368" t="str">
        <f>VLOOKUP(B65,TH.T3!B75:J406,9,FALSE)</f>
        <v>Nhân viên phòng Thanh tra GD - Quan hệ DN</v>
      </c>
      <c r="K65" s="369">
        <f t="shared" si="1"/>
        <v>3.66</v>
      </c>
      <c r="L65" s="362">
        <f t="shared" si="2"/>
        <v>6588000</v>
      </c>
      <c r="M65" s="366" t="str">
        <f>VLOOKUP(B65,'[11]Gui chi Quynh'!$B$11:$E$400,4,FALSE)</f>
        <v>A3</v>
      </c>
      <c r="N65" s="494">
        <f t="shared" si="3"/>
        <v>7905600</v>
      </c>
      <c r="O65" s="366">
        <v>19</v>
      </c>
      <c r="P65" s="440">
        <f>IFERROR(INDEX('[12]CN BC'!$J$10:$J$276,MATCH(B65,'[12]CN BC'!$H$10:$H$276,0)),"")</f>
        <v>20</v>
      </c>
      <c r="Q65" s="494">
        <f t="shared" si="4"/>
        <v>7905600</v>
      </c>
      <c r="R65" s="392"/>
      <c r="S65" s="362">
        <f t="shared" si="13"/>
        <v>0</v>
      </c>
      <c r="T65" s="370"/>
      <c r="U65" s="362">
        <f t="shared" si="5"/>
        <v>0</v>
      </c>
      <c r="V65" s="584">
        <f t="shared" si="6"/>
        <v>65880</v>
      </c>
      <c r="W65" s="371">
        <f t="shared" si="10"/>
        <v>7905600</v>
      </c>
      <c r="X65" s="935">
        <f t="shared" si="8"/>
        <v>4.3920000000000003</v>
      </c>
      <c r="Y65" s="934">
        <v>1800000</v>
      </c>
      <c r="Z65" s="931">
        <f t="shared" si="9"/>
        <v>7905600.0000000009</v>
      </c>
      <c r="AA65" s="568">
        <f t="shared" si="7"/>
        <v>45</v>
      </c>
      <c r="AB65" s="493">
        <f>IFERROR(INDEX('[12]CN BC'!$M$10:$M$276,MATCH(B65,'[12]CN BC'!$H$10:$H$276,0)),"")</f>
        <v>0</v>
      </c>
      <c r="AC65" s="948" t="s">
        <v>2225</v>
      </c>
      <c r="AD65" s="108"/>
      <c r="AE65" s="108"/>
      <c r="AF65" s="155"/>
      <c r="AG65" s="108"/>
      <c r="AH65" s="108"/>
      <c r="AI65" s="108"/>
      <c r="AJ65" s="108"/>
      <c r="AK65" s="108"/>
      <c r="AL65" s="108"/>
      <c r="AM65" s="108"/>
      <c r="AN65" s="108"/>
      <c r="AO65" s="108"/>
      <c r="AP65" s="108"/>
    </row>
    <row r="66" spans="1:42" s="372" customFormat="1" ht="33.75" customHeight="1">
      <c r="A66" s="379">
        <f>_xlfn.AGGREGATE(4,7,A$20:A65)+1</f>
        <v>46</v>
      </c>
      <c r="B66" s="363" t="s">
        <v>1561</v>
      </c>
      <c r="C66" s="375" t="s">
        <v>915</v>
      </c>
      <c r="D66" s="434" t="s">
        <v>1657</v>
      </c>
      <c r="E66" s="422" t="s">
        <v>1562</v>
      </c>
      <c r="F66" s="373">
        <v>3.66</v>
      </c>
      <c r="G66" s="367"/>
      <c r="H66" s="368">
        <f t="shared" si="0"/>
        <v>3.66</v>
      </c>
      <c r="I66" s="368"/>
      <c r="J66" s="368" t="str">
        <f>VLOOKUP(B66,TH.T3!B76:J407,9,FALSE)</f>
        <v>Nhân viên phòng Tuyển sinh - Đào tạo</v>
      </c>
      <c r="K66" s="369">
        <f t="shared" si="1"/>
        <v>3.66</v>
      </c>
      <c r="L66" s="362">
        <f t="shared" si="2"/>
        <v>6588000</v>
      </c>
      <c r="M66" s="366" t="str">
        <f>VLOOKUP(B66,'[11]Gui chi Quynh'!$B$11:$E$400,4,FALSE)</f>
        <v>A3</v>
      </c>
      <c r="N66" s="494">
        <f t="shared" si="3"/>
        <v>7905600</v>
      </c>
      <c r="O66" s="366">
        <v>19</v>
      </c>
      <c r="P66" s="440">
        <f>IFERROR(INDEX('[12]CN BC'!$J$10:$J$276,MATCH(B66,'[12]CN BC'!$H$10:$H$276,0)),"")</f>
        <v>21.5</v>
      </c>
      <c r="Q66" s="494">
        <f t="shared" si="4"/>
        <v>7905600</v>
      </c>
      <c r="R66" s="460"/>
      <c r="S66" s="362">
        <f t="shared" si="13"/>
        <v>0</v>
      </c>
      <c r="T66" s="370"/>
      <c r="U66" s="362">
        <f t="shared" si="5"/>
        <v>0</v>
      </c>
      <c r="V66" s="584">
        <f t="shared" si="6"/>
        <v>65880</v>
      </c>
      <c r="W66" s="371">
        <f t="shared" si="10"/>
        <v>7905600</v>
      </c>
      <c r="X66" s="935">
        <f t="shared" si="8"/>
        <v>4.3920000000000003</v>
      </c>
      <c r="Y66" s="934">
        <v>1800000</v>
      </c>
      <c r="Z66" s="931">
        <f t="shared" si="9"/>
        <v>7905600.0000000009</v>
      </c>
      <c r="AA66" s="568">
        <f t="shared" si="7"/>
        <v>46</v>
      </c>
      <c r="AB66" s="493">
        <f>IFERROR(INDEX('[12]CN BC'!$M$10:$M$276,MATCH(B66,'[12]CN BC'!$H$10:$H$276,0)),"")</f>
        <v>0</v>
      </c>
      <c r="AC66" s="945" t="s">
        <v>2226</v>
      </c>
      <c r="AD66" s="108"/>
      <c r="AE66" s="108"/>
      <c r="AF66" s="487"/>
    </row>
    <row r="67" spans="1:42" s="372" customFormat="1" ht="33.75" customHeight="1">
      <c r="A67" s="379">
        <f>_xlfn.AGGREGATE(4,7,A$20:A66)+1</f>
        <v>47</v>
      </c>
      <c r="B67" s="363" t="s">
        <v>1463</v>
      </c>
      <c r="C67" s="375" t="s">
        <v>1030</v>
      </c>
      <c r="D67" s="434" t="s">
        <v>1617</v>
      </c>
      <c r="E67" s="423" t="s">
        <v>1573</v>
      </c>
      <c r="F67" s="373">
        <v>4.74</v>
      </c>
      <c r="G67" s="367"/>
      <c r="H67" s="368">
        <f t="shared" si="0"/>
        <v>4.74</v>
      </c>
      <c r="I67" s="368">
        <v>0.45</v>
      </c>
      <c r="J67" s="368" t="str">
        <f>VLOOKUP(B67,TH.T3!B77:J408,9,FALSE)</f>
        <v>Trưởng phòng Tuyển sinh - Đào tạo</v>
      </c>
      <c r="K67" s="369">
        <f t="shared" si="1"/>
        <v>5.19</v>
      </c>
      <c r="L67" s="362">
        <f t="shared" si="2"/>
        <v>9342000</v>
      </c>
      <c r="M67" s="366" t="str">
        <f>VLOOKUP(B67,'[11]Gui chi Quynh'!$B$11:$E$400,4,FALSE)</f>
        <v>A1</v>
      </c>
      <c r="N67" s="494">
        <f t="shared" si="3"/>
        <v>14947200</v>
      </c>
      <c r="O67" s="366">
        <v>19</v>
      </c>
      <c r="P67" s="440">
        <f>IFERROR(INDEX('[12]CN BC'!$J$10:$J$276,MATCH(B67,'[12]CN BC'!$H$10:$H$276,0)),"")</f>
        <v>22</v>
      </c>
      <c r="Q67" s="494">
        <f t="shared" si="4"/>
        <v>14947200</v>
      </c>
      <c r="R67" s="460"/>
      <c r="S67" s="362">
        <f>R67*$G$17*1.6</f>
        <v>0</v>
      </c>
      <c r="T67" s="370"/>
      <c r="U67" s="362">
        <f t="shared" si="5"/>
        <v>0</v>
      </c>
      <c r="V67" s="584">
        <f t="shared" si="6"/>
        <v>93420</v>
      </c>
      <c r="W67" s="371">
        <f t="shared" si="10"/>
        <v>14947200</v>
      </c>
      <c r="X67" s="935">
        <f t="shared" si="8"/>
        <v>8.3040000000000003</v>
      </c>
      <c r="Y67" s="934">
        <v>1800000</v>
      </c>
      <c r="Z67" s="931">
        <f t="shared" si="9"/>
        <v>14947200</v>
      </c>
      <c r="AA67" s="568">
        <f t="shared" si="7"/>
        <v>47</v>
      </c>
      <c r="AB67" s="493">
        <f>IFERROR(INDEX('[12]CN BC'!$M$10:$M$276,MATCH(B67,'[12]CN BC'!$H$10:$H$276,0)),"")</f>
        <v>0</v>
      </c>
      <c r="AC67" s="945" t="s">
        <v>2226</v>
      </c>
      <c r="AD67" s="154"/>
      <c r="AE67" s="108"/>
      <c r="AF67" s="155"/>
      <c r="AG67" s="108"/>
      <c r="AH67" s="108"/>
      <c r="AI67" s="108"/>
      <c r="AJ67" s="108"/>
      <c r="AK67" s="108"/>
      <c r="AL67" s="108"/>
    </row>
    <row r="68" spans="1:42" s="108" customFormat="1" ht="33.75" customHeight="1">
      <c r="A68" s="379">
        <f>_xlfn.AGGREGATE(4,7,A$20:A67)+1</f>
        <v>48</v>
      </c>
      <c r="B68" s="33" t="s">
        <v>1902</v>
      </c>
      <c r="C68" s="34" t="s">
        <v>1056</v>
      </c>
      <c r="D68" s="406" t="s">
        <v>1785</v>
      </c>
      <c r="E68" s="424" t="s">
        <v>1391</v>
      </c>
      <c r="F68" s="10">
        <v>4.32</v>
      </c>
      <c r="G68" s="157"/>
      <c r="H68" s="368">
        <f>F68+(F68*G68)</f>
        <v>4.32</v>
      </c>
      <c r="I68" s="81">
        <v>0.35</v>
      </c>
      <c r="J68" s="368" t="str">
        <f>VLOOKUP(B68,TH.T3!B78:J409,9,FALSE)</f>
        <v>Phó TP. Tuyể sinh - Đào tạo</v>
      </c>
      <c r="K68" s="369">
        <f>H68+I68</f>
        <v>4.67</v>
      </c>
      <c r="L68" s="362">
        <f>K68*$G$17</f>
        <v>8406000</v>
      </c>
      <c r="M68" s="366" t="str">
        <f>VLOOKUP(B68,'[11]Gui chi Quynh'!$B$11:$E$400,4,FALSE)</f>
        <v>A1</v>
      </c>
      <c r="N68" s="494">
        <f>IF(M68="A1",L68*1.6,IF(M68="A2",L68*1.4,IF(M68="A3",L68*1.2,IF(M68="A4",L68*1,IF(M68="B1",L68*0.7,IF(M68="B2",L68*0.5,IF(M68="C1",L68*0.3,IF(M68="C2",L68*0.2,0))))))))</f>
        <v>13449600</v>
      </c>
      <c r="O68" s="366">
        <v>19</v>
      </c>
      <c r="P68" s="440">
        <f>IFERROR(INDEX('[12]CN BC'!$J$10:$J$276,MATCH(B68,'[12]CN BC'!$H$10:$H$276,0)),"")</f>
        <v>21.5</v>
      </c>
      <c r="Q68" s="494">
        <f>IF(P68&gt;=O68,N68,N68/O68*P68)</f>
        <v>13449600</v>
      </c>
      <c r="R68" s="392"/>
      <c r="S68" s="362">
        <f>R68*$G$17*1</f>
        <v>0</v>
      </c>
      <c r="T68" s="385"/>
      <c r="U68" s="362">
        <f>T68*$G$17*1</f>
        <v>0</v>
      </c>
      <c r="V68" s="584">
        <f>IF(OR(M68="A DN",M68="KXL", M68=""),"0",ROUND(K68*0.01*$G$17+R68*1%*$G$17+T68*1%*$G$17,))</f>
        <v>84060</v>
      </c>
      <c r="W68" s="371">
        <f t="shared" si="10"/>
        <v>13449600</v>
      </c>
      <c r="X68" s="935">
        <f t="shared" si="8"/>
        <v>7.4720000000000004</v>
      </c>
      <c r="Y68" s="934">
        <v>1800000</v>
      </c>
      <c r="Z68" s="931">
        <f t="shared" si="9"/>
        <v>13449600</v>
      </c>
      <c r="AA68" s="568">
        <f>A68</f>
        <v>48</v>
      </c>
      <c r="AB68" s="493">
        <f>IFERROR(INDEX('[12]CN BC'!$M$10:$M$276,MATCH(B68,'[12]CN BC'!$H$10:$H$276,0)),"")</f>
        <v>0</v>
      </c>
      <c r="AC68" s="945" t="s">
        <v>2226</v>
      </c>
      <c r="AF68" s="155"/>
    </row>
    <row r="69" spans="1:42" s="372" customFormat="1" ht="33.75" customHeight="1">
      <c r="A69" s="379">
        <f>_xlfn.AGGREGATE(4,7,A$20:A68)+1</f>
        <v>49</v>
      </c>
      <c r="B69" s="363" t="s">
        <v>1858</v>
      </c>
      <c r="C69" s="375" t="s">
        <v>929</v>
      </c>
      <c r="D69" s="434" t="s">
        <v>1659</v>
      </c>
      <c r="E69" s="423" t="s">
        <v>1285</v>
      </c>
      <c r="F69" s="366">
        <v>4.6500000000000004</v>
      </c>
      <c r="G69" s="367"/>
      <c r="H69" s="368">
        <f t="shared" si="0"/>
        <v>4.6500000000000004</v>
      </c>
      <c r="I69" s="368"/>
      <c r="J69" s="368" t="str">
        <f>VLOOKUP(B69,TH.T3!B79:J410,9,FALSE)</f>
        <v>Nhân viên phòng TS - Đào tạo</v>
      </c>
      <c r="K69" s="369">
        <f t="shared" si="1"/>
        <v>4.6500000000000004</v>
      </c>
      <c r="L69" s="362">
        <f t="shared" si="2"/>
        <v>8370000.0000000009</v>
      </c>
      <c r="M69" s="366" t="str">
        <f>VLOOKUP(B69,'[11]Gui chi Quynh'!$B$11:$E$400,4,FALSE)</f>
        <v>A1</v>
      </c>
      <c r="N69" s="494">
        <f t="shared" si="3"/>
        <v>13392000.000000002</v>
      </c>
      <c r="O69" s="366">
        <v>19</v>
      </c>
      <c r="P69" s="440">
        <f>IFERROR(INDEX('[12]CN BC'!$J$10:$J$276,MATCH(B69,'[12]CN BC'!$H$10:$H$276,0)),"")</f>
        <v>21</v>
      </c>
      <c r="Q69" s="494">
        <f t="shared" si="4"/>
        <v>13392000.000000002</v>
      </c>
      <c r="R69" s="460"/>
      <c r="S69" s="362">
        <f t="shared" si="13"/>
        <v>0</v>
      </c>
      <c r="T69" s="370"/>
      <c r="U69" s="362">
        <f t="shared" si="5"/>
        <v>0</v>
      </c>
      <c r="V69" s="584">
        <f t="shared" si="6"/>
        <v>83700</v>
      </c>
      <c r="W69" s="371">
        <f t="shared" si="10"/>
        <v>13392000.000000002</v>
      </c>
      <c r="X69" s="935">
        <f t="shared" si="8"/>
        <v>7.4400000000000013</v>
      </c>
      <c r="Y69" s="934">
        <v>1800000</v>
      </c>
      <c r="Z69" s="931">
        <f t="shared" si="9"/>
        <v>13392000.000000002</v>
      </c>
      <c r="AA69" s="568">
        <f t="shared" si="7"/>
        <v>49</v>
      </c>
      <c r="AB69" s="493">
        <f>IFERROR(INDEX('[12]CN BC'!$M$10:$M$276,MATCH(B69,'[12]CN BC'!$H$10:$H$276,0)),"")</f>
        <v>0</v>
      </c>
      <c r="AC69" s="945" t="s">
        <v>2226</v>
      </c>
      <c r="AD69" s="108"/>
      <c r="AE69" s="108"/>
      <c r="AF69" s="155"/>
      <c r="AG69" s="108"/>
      <c r="AH69" s="108"/>
      <c r="AI69" s="108"/>
      <c r="AJ69" s="108"/>
      <c r="AK69" s="108"/>
      <c r="AL69" s="108"/>
    </row>
    <row r="70" spans="1:42" s="372" customFormat="1" ht="33.75" customHeight="1">
      <c r="A70" s="379">
        <f>_xlfn.AGGREGATE(4,7,A$20:A69)+1</f>
        <v>50</v>
      </c>
      <c r="B70" s="363" t="s">
        <v>1465</v>
      </c>
      <c r="C70" s="375" t="s">
        <v>1103</v>
      </c>
      <c r="D70" s="434" t="s">
        <v>1661</v>
      </c>
      <c r="E70" s="428">
        <v>1603205182394</v>
      </c>
      <c r="F70" s="366">
        <v>3.99</v>
      </c>
      <c r="G70" s="367"/>
      <c r="H70" s="368">
        <f t="shared" si="0"/>
        <v>3.99</v>
      </c>
      <c r="I70" s="368"/>
      <c r="J70" s="368" t="str">
        <f>VLOOKUP(B70,TH.T3!B80:J411,9,FALSE)</f>
        <v>Nhân viên phòng TS - Đào tạo</v>
      </c>
      <c r="K70" s="369">
        <f t="shared" si="1"/>
        <v>3.99</v>
      </c>
      <c r="L70" s="362">
        <f t="shared" si="2"/>
        <v>7182000</v>
      </c>
      <c r="M70" s="366" t="str">
        <f>VLOOKUP(B70,'[11]Gui chi Quynh'!$B$11:$E$400,4,FALSE)</f>
        <v>A3</v>
      </c>
      <c r="N70" s="494">
        <f t="shared" si="3"/>
        <v>8618400</v>
      </c>
      <c r="O70" s="366">
        <v>19</v>
      </c>
      <c r="P70" s="440">
        <f>IFERROR(INDEX('[12]CN BC'!$J$10:$J$276,MATCH(B70,'[12]CN BC'!$H$10:$H$276,0)),"")</f>
        <v>21</v>
      </c>
      <c r="Q70" s="494">
        <f t="shared" si="4"/>
        <v>8618400</v>
      </c>
      <c r="R70" s="460"/>
      <c r="S70" s="362">
        <f t="shared" si="13"/>
        <v>0</v>
      </c>
      <c r="T70" s="370"/>
      <c r="U70" s="362">
        <f t="shared" si="5"/>
        <v>0</v>
      </c>
      <c r="V70" s="584">
        <f t="shared" si="6"/>
        <v>71820</v>
      </c>
      <c r="W70" s="371">
        <f t="shared" si="10"/>
        <v>8618400</v>
      </c>
      <c r="X70" s="935">
        <f t="shared" si="8"/>
        <v>4.7880000000000003</v>
      </c>
      <c r="Y70" s="934">
        <v>1800000</v>
      </c>
      <c r="Z70" s="931">
        <f t="shared" si="9"/>
        <v>8618400</v>
      </c>
      <c r="AA70" s="568">
        <f t="shared" si="7"/>
        <v>50</v>
      </c>
      <c r="AB70" s="493">
        <f>IFERROR(INDEX('[12]CN BC'!$M$10:$M$276,MATCH(B70,'[12]CN BC'!$H$10:$H$276,0)),"")</f>
        <v>0</v>
      </c>
      <c r="AC70" s="945" t="s">
        <v>2226</v>
      </c>
      <c r="AD70" s="108"/>
      <c r="AE70" s="108"/>
      <c r="AF70" s="155"/>
      <c r="AG70" s="108"/>
      <c r="AH70" s="108"/>
      <c r="AI70" s="108"/>
      <c r="AJ70" s="108"/>
      <c r="AK70" s="108"/>
      <c r="AL70" s="108"/>
    </row>
    <row r="71" spans="1:42" s="372" customFormat="1" ht="33.75" customHeight="1">
      <c r="A71" s="379">
        <f>_xlfn.AGGREGATE(4,7,A$20:A70)+1</f>
        <v>51</v>
      </c>
      <c r="B71" s="363" t="s">
        <v>844</v>
      </c>
      <c r="C71" s="375" t="s">
        <v>267</v>
      </c>
      <c r="D71" s="434" t="s">
        <v>1662</v>
      </c>
      <c r="E71" s="428" t="s">
        <v>369</v>
      </c>
      <c r="F71" s="366">
        <v>3.33</v>
      </c>
      <c r="G71" s="367"/>
      <c r="H71" s="368">
        <f t="shared" si="0"/>
        <v>3.33</v>
      </c>
      <c r="I71" s="368"/>
      <c r="J71" s="368" t="str">
        <f>VLOOKUP(B71,TH.T3!B81:J412,9,FALSE)</f>
        <v>Nhân viên phòng TS - Đào tạo</v>
      </c>
      <c r="K71" s="369">
        <f t="shared" si="1"/>
        <v>3.33</v>
      </c>
      <c r="L71" s="362">
        <f t="shared" si="2"/>
        <v>5994000</v>
      </c>
      <c r="M71" s="366" t="str">
        <f>VLOOKUP(B71,'[11]Gui chi Quynh'!$B$11:$E$400,4,FALSE)</f>
        <v>A2</v>
      </c>
      <c r="N71" s="494">
        <f t="shared" si="3"/>
        <v>8391600</v>
      </c>
      <c r="O71" s="366">
        <v>19</v>
      </c>
      <c r="P71" s="440">
        <f>IFERROR(INDEX('[12]CN BC'!$J$10:$J$276,MATCH(B71,'[12]CN BC'!$H$10:$H$276,0)),"")</f>
        <v>21.5</v>
      </c>
      <c r="Q71" s="494">
        <f t="shared" si="4"/>
        <v>8391600</v>
      </c>
      <c r="R71" s="460">
        <v>0</v>
      </c>
      <c r="S71" s="362">
        <f t="shared" si="13"/>
        <v>0</v>
      </c>
      <c r="T71" s="370"/>
      <c r="U71" s="362">
        <f t="shared" si="5"/>
        <v>0</v>
      </c>
      <c r="V71" s="584">
        <f t="shared" si="6"/>
        <v>59940</v>
      </c>
      <c r="W71" s="371">
        <f t="shared" si="10"/>
        <v>8391600</v>
      </c>
      <c r="X71" s="935">
        <f t="shared" si="8"/>
        <v>4.6619999999999999</v>
      </c>
      <c r="Y71" s="934">
        <v>1800000</v>
      </c>
      <c r="Z71" s="931">
        <f t="shared" si="9"/>
        <v>8391600</v>
      </c>
      <c r="AA71" s="568">
        <f t="shared" si="7"/>
        <v>51</v>
      </c>
      <c r="AB71" s="493">
        <f>IFERROR(INDEX('[12]CN BC'!$M$10:$M$276,MATCH(B71,'[12]CN BC'!$H$10:$H$276,0)),"")</f>
        <v>0</v>
      </c>
      <c r="AC71" s="945" t="s">
        <v>2226</v>
      </c>
      <c r="AD71" s="108"/>
      <c r="AE71" s="108"/>
      <c r="AF71" s="155"/>
      <c r="AG71" s="108"/>
      <c r="AH71" s="108"/>
      <c r="AI71" s="108"/>
      <c r="AJ71" s="108"/>
      <c r="AK71" s="108"/>
      <c r="AL71" s="108"/>
    </row>
    <row r="72" spans="1:42" s="372" customFormat="1" ht="33.75" customHeight="1">
      <c r="A72" s="379">
        <f>_xlfn.AGGREGATE(4,7,A$20:A71)+1</f>
        <v>52</v>
      </c>
      <c r="B72" s="377" t="s">
        <v>1557</v>
      </c>
      <c r="C72" s="364" t="s">
        <v>272</v>
      </c>
      <c r="D72" s="434" t="s">
        <v>1664</v>
      </c>
      <c r="E72" s="430">
        <v>1603205182762</v>
      </c>
      <c r="F72" s="373">
        <v>3.96</v>
      </c>
      <c r="G72" s="374"/>
      <c r="H72" s="368">
        <f t="shared" si="0"/>
        <v>3.96</v>
      </c>
      <c r="I72" s="366"/>
      <c r="J72" s="368" t="str">
        <f>VLOOKUP(B72,TH.T3!B82:J413,9,FALSE)</f>
        <v>Nhân viên phòng TS - Đào tạo</v>
      </c>
      <c r="K72" s="369">
        <f t="shared" si="1"/>
        <v>3.96</v>
      </c>
      <c r="L72" s="362">
        <f t="shared" si="2"/>
        <v>7128000</v>
      </c>
      <c r="M72" s="366" t="str">
        <f>VLOOKUP(B72,'[11]Gui chi Quynh'!$B$11:$E$400,4,FALSE)</f>
        <v>A1</v>
      </c>
      <c r="N72" s="494">
        <f t="shared" si="3"/>
        <v>11404800</v>
      </c>
      <c r="O72" s="366">
        <v>19</v>
      </c>
      <c r="P72" s="440">
        <f>IFERROR(INDEX('[12]CN BC'!$J$10:$J$276,MATCH(B72,'[12]CN BC'!$H$10:$H$276,0)),"")</f>
        <v>21</v>
      </c>
      <c r="Q72" s="494">
        <f t="shared" si="4"/>
        <v>11404800</v>
      </c>
      <c r="R72" s="476"/>
      <c r="S72" s="362">
        <f t="shared" si="13"/>
        <v>0</v>
      </c>
      <c r="T72" s="370"/>
      <c r="U72" s="362">
        <f t="shared" si="5"/>
        <v>0</v>
      </c>
      <c r="V72" s="584">
        <f t="shared" si="6"/>
        <v>71280</v>
      </c>
      <c r="W72" s="371">
        <f t="shared" si="10"/>
        <v>11404800</v>
      </c>
      <c r="X72" s="935">
        <f t="shared" si="8"/>
        <v>6.3360000000000003</v>
      </c>
      <c r="Y72" s="934">
        <v>1800000</v>
      </c>
      <c r="Z72" s="931">
        <f t="shared" si="9"/>
        <v>11404800</v>
      </c>
      <c r="AA72" s="568">
        <f t="shared" si="7"/>
        <v>52</v>
      </c>
      <c r="AB72" s="493">
        <f>IFERROR(INDEX('[12]CN BC'!$M$10:$M$276,MATCH(B72,'[12]CN BC'!$H$10:$H$276,0)),"")</f>
        <v>0</v>
      </c>
      <c r="AC72" s="945" t="s">
        <v>2226</v>
      </c>
      <c r="AD72" s="108"/>
      <c r="AE72" s="108"/>
      <c r="AF72" s="155"/>
      <c r="AG72" s="108"/>
      <c r="AH72" s="108"/>
      <c r="AI72" s="108"/>
      <c r="AJ72" s="108"/>
      <c r="AK72" s="108"/>
      <c r="AL72" s="108"/>
    </row>
    <row r="73" spans="1:42" s="372" customFormat="1" ht="33.75" customHeight="1">
      <c r="A73" s="379">
        <f>_xlfn.AGGREGATE(4,7,A$20:A72)+1</f>
        <v>53</v>
      </c>
      <c r="B73" s="363" t="s">
        <v>1524</v>
      </c>
      <c r="C73" s="375" t="s">
        <v>883</v>
      </c>
      <c r="D73" s="434" t="s">
        <v>1666</v>
      </c>
      <c r="E73" s="428">
        <v>1603205182178</v>
      </c>
      <c r="F73" s="366">
        <v>3.66</v>
      </c>
      <c r="G73" s="367"/>
      <c r="H73" s="368">
        <f t="shared" si="0"/>
        <v>3.66</v>
      </c>
      <c r="I73" s="368"/>
      <c r="J73" s="368" t="str">
        <f>VLOOKUP(B73,TH.T3!B83:J414,9,FALSE)</f>
        <v>Nhân viên phòng TS - Đào tạo</v>
      </c>
      <c r="K73" s="369">
        <f t="shared" si="1"/>
        <v>3.66</v>
      </c>
      <c r="L73" s="362">
        <f t="shared" si="2"/>
        <v>6588000</v>
      </c>
      <c r="M73" s="366" t="str">
        <f>VLOOKUP(B73,'[11]Gui chi Quynh'!$B$11:$E$400,4,FALSE)</f>
        <v>A3</v>
      </c>
      <c r="N73" s="494">
        <f t="shared" si="3"/>
        <v>7905600</v>
      </c>
      <c r="O73" s="366">
        <v>19</v>
      </c>
      <c r="P73" s="440">
        <f>IFERROR(INDEX('[12]CN BC'!$J$10:$J$276,MATCH(B73,'[12]CN BC'!$H$10:$H$276,0)),"")</f>
        <v>20</v>
      </c>
      <c r="Q73" s="494">
        <f t="shared" si="4"/>
        <v>7905600</v>
      </c>
      <c r="R73" s="460"/>
      <c r="S73" s="362">
        <f>R73*$G$17*1.6</f>
        <v>0</v>
      </c>
      <c r="T73" s="370"/>
      <c r="U73" s="362">
        <f t="shared" si="5"/>
        <v>0</v>
      </c>
      <c r="V73" s="584">
        <f t="shared" si="6"/>
        <v>65880</v>
      </c>
      <c r="W73" s="371">
        <f t="shared" si="10"/>
        <v>7905600</v>
      </c>
      <c r="X73" s="935">
        <f t="shared" si="8"/>
        <v>4.3920000000000003</v>
      </c>
      <c r="Y73" s="934">
        <v>1800000</v>
      </c>
      <c r="Z73" s="931">
        <f t="shared" si="9"/>
        <v>7905600.0000000009</v>
      </c>
      <c r="AA73" s="568">
        <f t="shared" si="7"/>
        <v>53</v>
      </c>
      <c r="AB73" s="493">
        <f>IFERROR(INDEX('[12]CN BC'!$M$10:$M$276,MATCH(B73,'[12]CN BC'!$H$10:$H$276,0)),"")</f>
        <v>0</v>
      </c>
      <c r="AC73" s="945" t="s">
        <v>2226</v>
      </c>
      <c r="AD73" s="108"/>
      <c r="AE73" s="108"/>
      <c r="AF73" s="155"/>
    </row>
    <row r="74" spans="1:42" s="372" customFormat="1" ht="33.75" customHeight="1">
      <c r="A74" s="379">
        <f>_xlfn.AGGREGATE(4,7,A$20:A73)+1</f>
        <v>54</v>
      </c>
      <c r="B74" s="444" t="s">
        <v>1860</v>
      </c>
      <c r="C74" s="419" t="s">
        <v>1601</v>
      </c>
      <c r="D74" s="418" t="s">
        <v>1667</v>
      </c>
      <c r="E74" s="426">
        <v>1603205351697</v>
      </c>
      <c r="F74" s="373">
        <v>3.33</v>
      </c>
      <c r="G74" s="367"/>
      <c r="H74" s="445">
        <f t="shared" si="0"/>
        <v>3.33</v>
      </c>
      <c r="I74" s="368"/>
      <c r="J74" s="368" t="str">
        <f>VLOOKUP(B74,TH.T3!B84:J415,9,FALSE)</f>
        <v>Nhân viên phòng TS - Đào tạo</v>
      </c>
      <c r="K74" s="369">
        <f t="shared" si="1"/>
        <v>3.33</v>
      </c>
      <c r="L74" s="362">
        <f t="shared" si="2"/>
        <v>5994000</v>
      </c>
      <c r="M74" s="366" t="str">
        <f>VLOOKUP(B74,'[11]Gui chi Quynh'!$B$11:$E$400,4,FALSE)</f>
        <v>A1</v>
      </c>
      <c r="N74" s="494">
        <f t="shared" si="3"/>
        <v>9590400</v>
      </c>
      <c r="O74" s="366">
        <v>19</v>
      </c>
      <c r="P74" s="440">
        <f>IFERROR(INDEX('[12]CN BC'!$J$10:$J$276,MATCH(B74,'[12]CN BC'!$H$10:$H$276,0)),"")</f>
        <v>21</v>
      </c>
      <c r="Q74" s="494">
        <f t="shared" si="4"/>
        <v>9590400</v>
      </c>
      <c r="R74" s="460"/>
      <c r="S74" s="362">
        <f>R74*$G$17*1</f>
        <v>0</v>
      </c>
      <c r="T74" s="370"/>
      <c r="U74" s="362">
        <f t="shared" si="5"/>
        <v>0</v>
      </c>
      <c r="V74" s="584">
        <f t="shared" si="6"/>
        <v>59940</v>
      </c>
      <c r="W74" s="371">
        <f t="shared" si="10"/>
        <v>9590400</v>
      </c>
      <c r="X74" s="935">
        <f t="shared" si="8"/>
        <v>5.3280000000000003</v>
      </c>
      <c r="Y74" s="934">
        <v>1800000</v>
      </c>
      <c r="Z74" s="931">
        <f t="shared" si="9"/>
        <v>9590400</v>
      </c>
      <c r="AA74" s="568">
        <f t="shared" si="7"/>
        <v>54</v>
      </c>
      <c r="AB74" s="493">
        <f>IFERROR(INDEX('[12]CN BC'!$M$10:$M$276,MATCH(B74,'[12]CN BC'!$H$10:$H$276,0)),"")</f>
        <v>0</v>
      </c>
      <c r="AC74" s="945" t="s">
        <v>2226</v>
      </c>
      <c r="AD74" s="471"/>
      <c r="AE74" s="108"/>
      <c r="AF74" s="155"/>
      <c r="AG74" s="108"/>
      <c r="AH74" s="108"/>
      <c r="AI74" s="108"/>
      <c r="AJ74" s="108"/>
      <c r="AK74" s="108"/>
      <c r="AL74" s="108"/>
    </row>
    <row r="75" spans="1:42" s="372" customFormat="1" ht="33.75" customHeight="1">
      <c r="A75" s="379">
        <f>_xlfn.AGGREGATE(4,7,A$20:A74)+1</f>
        <v>55</v>
      </c>
      <c r="B75" s="363" t="s">
        <v>1484</v>
      </c>
      <c r="C75" s="380" t="s">
        <v>979</v>
      </c>
      <c r="D75" s="434" t="s">
        <v>1649</v>
      </c>
      <c r="E75" s="426">
        <v>1603205357194</v>
      </c>
      <c r="F75" s="489">
        <v>3.33</v>
      </c>
      <c r="G75" s="367"/>
      <c r="H75" s="445">
        <f t="shared" si="0"/>
        <v>3.33</v>
      </c>
      <c r="I75" s="368"/>
      <c r="J75" s="368" t="str">
        <f>VLOOKUP(B75,TH.T3!B85:J416,9,FALSE)</f>
        <v>Nhân viên phòng Tuyển sinh - Đào tạo</v>
      </c>
      <c r="K75" s="369">
        <f t="shared" si="1"/>
        <v>3.33</v>
      </c>
      <c r="L75" s="362">
        <f t="shared" si="2"/>
        <v>5994000</v>
      </c>
      <c r="M75" s="366" t="str">
        <f>VLOOKUP(B75,'[11]Gui chi Quynh'!$B$11:$E$400,4,FALSE)</f>
        <v>A2</v>
      </c>
      <c r="N75" s="494">
        <f t="shared" si="3"/>
        <v>8391600</v>
      </c>
      <c r="O75" s="366">
        <v>19</v>
      </c>
      <c r="P75" s="440">
        <f>IFERROR(INDEX('[12]CN BC'!$J$10:$J$276,MATCH(B75,'[12]CN BC'!$H$10:$H$276,0)),"")</f>
        <v>21.5</v>
      </c>
      <c r="Q75" s="494">
        <f t="shared" si="4"/>
        <v>8391600</v>
      </c>
      <c r="R75" s="460"/>
      <c r="S75" s="362">
        <f>R75*$G$17*1</f>
        <v>0</v>
      </c>
      <c r="T75" s="370"/>
      <c r="U75" s="362">
        <f t="shared" si="5"/>
        <v>0</v>
      </c>
      <c r="V75" s="584">
        <f t="shared" si="6"/>
        <v>59940</v>
      </c>
      <c r="W75" s="371">
        <f t="shared" si="10"/>
        <v>8391600</v>
      </c>
      <c r="X75" s="935">
        <f t="shared" si="8"/>
        <v>4.6619999999999999</v>
      </c>
      <c r="Y75" s="934">
        <v>1800000</v>
      </c>
      <c r="Z75" s="931">
        <f t="shared" si="9"/>
        <v>8391600</v>
      </c>
      <c r="AA75" s="568">
        <f t="shared" si="7"/>
        <v>55</v>
      </c>
      <c r="AB75" s="493">
        <f>IFERROR(INDEX('[12]CN BC'!$M$10:$M$276,MATCH(B75,'[12]CN BC'!$H$10:$H$276,0)),"")</f>
        <v>0</v>
      </c>
      <c r="AC75" s="949" t="s">
        <v>2227</v>
      </c>
      <c r="AD75" s="108"/>
      <c r="AE75" s="108"/>
      <c r="AF75" s="155"/>
    </row>
    <row r="76" spans="1:42" s="108" customFormat="1" ht="33.75" customHeight="1">
      <c r="A76" s="379">
        <f>_xlfn.AGGREGATE(4,7,A$20:A75)+1</f>
        <v>56</v>
      </c>
      <c r="B76" s="33" t="s">
        <v>1861</v>
      </c>
      <c r="C76" s="149" t="s">
        <v>1026</v>
      </c>
      <c r="D76" s="406" t="s">
        <v>1668</v>
      </c>
      <c r="E76" s="424" t="s">
        <v>1361</v>
      </c>
      <c r="F76" s="10">
        <v>4.6500000000000004</v>
      </c>
      <c r="G76" s="157"/>
      <c r="H76" s="368">
        <f t="shared" si="0"/>
        <v>4.6500000000000004</v>
      </c>
      <c r="I76" s="368">
        <v>0.45</v>
      </c>
      <c r="J76" s="368" t="str">
        <f>VLOOKUP(B76,TH.T3!B86:J417,9,FALSE)</f>
        <v>Trưởng phòng Khảo thí và ĐBCL</v>
      </c>
      <c r="K76" s="369">
        <f t="shared" si="1"/>
        <v>5.1000000000000005</v>
      </c>
      <c r="L76" s="362">
        <f t="shared" si="2"/>
        <v>9180000.0000000019</v>
      </c>
      <c r="M76" s="366" t="str">
        <f>VLOOKUP(B76,'[11]Gui chi Quynh'!$B$11:$E$400,4,FALSE)</f>
        <v>A2</v>
      </c>
      <c r="N76" s="494">
        <f t="shared" si="3"/>
        <v>12852000.000000002</v>
      </c>
      <c r="O76" s="366">
        <v>19</v>
      </c>
      <c r="P76" s="440">
        <f>IFERROR(INDEX('[12]CN BC'!$J$10:$J$276,MATCH(B76,'[12]CN BC'!$H$10:$H$276,0)),"")</f>
        <v>21</v>
      </c>
      <c r="Q76" s="494">
        <f t="shared" si="4"/>
        <v>12852000.000000002</v>
      </c>
      <c r="R76" s="392"/>
      <c r="S76" s="362">
        <f>R76*$G$17*1</f>
        <v>0</v>
      </c>
      <c r="T76" s="385"/>
      <c r="U76" s="362">
        <f t="shared" si="5"/>
        <v>0</v>
      </c>
      <c r="V76" s="584">
        <f t="shared" si="6"/>
        <v>91800</v>
      </c>
      <c r="W76" s="371">
        <f t="shared" si="10"/>
        <v>12852000.000000002</v>
      </c>
      <c r="X76" s="935">
        <f t="shared" si="8"/>
        <v>7.1400000000000015</v>
      </c>
      <c r="Y76" s="934">
        <v>1800000</v>
      </c>
      <c r="Z76" s="931">
        <f t="shared" si="9"/>
        <v>12852000.000000002</v>
      </c>
      <c r="AA76" s="568">
        <f t="shared" si="7"/>
        <v>56</v>
      </c>
      <c r="AB76" s="493">
        <f>IFERROR(INDEX('[12]CN BC'!$M$10:$M$276,MATCH(B76,'[12]CN BC'!$H$10:$H$276,0)),"")</f>
        <v>0</v>
      </c>
      <c r="AC76" s="948" t="s">
        <v>2227</v>
      </c>
      <c r="AF76" s="155"/>
    </row>
    <row r="77" spans="1:42" s="108" customFormat="1" ht="33.75" customHeight="1">
      <c r="A77" s="379">
        <f>_xlfn.AGGREGATE(4,7,A$20:A76)+1</f>
        <v>57</v>
      </c>
      <c r="B77" s="33" t="s">
        <v>1853</v>
      </c>
      <c r="C77" s="149" t="s">
        <v>912</v>
      </c>
      <c r="D77" s="406" t="s">
        <v>1639</v>
      </c>
      <c r="E77" s="424" t="s">
        <v>1271</v>
      </c>
      <c r="F77" s="366">
        <v>4.32</v>
      </c>
      <c r="G77" s="157"/>
      <c r="H77" s="368">
        <f>F77+(F77*G77)</f>
        <v>4.32</v>
      </c>
      <c r="I77" s="81">
        <v>0.35</v>
      </c>
      <c r="J77" s="368" t="str">
        <f>VLOOKUP(B77,TH.T3!B87:J418,9,FALSE)</f>
        <v>Phó TP. Kế hoạch - Tài chính</v>
      </c>
      <c r="K77" s="369">
        <f>H77+I77</f>
        <v>4.67</v>
      </c>
      <c r="L77" s="362">
        <f>K77*$G$17</f>
        <v>8406000</v>
      </c>
      <c r="M77" s="366" t="str">
        <f>VLOOKUP(B77,'[11]Gui chi Quynh'!$B$11:$E$400,4,FALSE)</f>
        <v>A3</v>
      </c>
      <c r="N77" s="494">
        <f>IF(M77="A1",L77*1.6,IF(M77="A2",L77*1.4,IF(M77="A3",L77*1.2,IF(M77="A4",L77*1,IF(M77="B1",L77*0.7,IF(M77="B2",L77*0.5,IF(M77="C1",L77*0.3,IF(M77="C2",L77*0.2,0))))))))</f>
        <v>10087200</v>
      </c>
      <c r="O77" s="366">
        <v>19</v>
      </c>
      <c r="P77" s="440">
        <f>IFERROR(INDEX('[12]CN BC'!$J$10:$J$276,MATCH(B77,'[12]CN BC'!$H$10:$H$276,0)),"")</f>
        <v>19</v>
      </c>
      <c r="Q77" s="494">
        <f>IF(P77&gt;=O77,N77,N77/O77*P77)</f>
        <v>10087200</v>
      </c>
      <c r="R77" s="392"/>
      <c r="S77" s="362">
        <f>R77*$G$17*1</f>
        <v>0</v>
      </c>
      <c r="T77" s="385"/>
      <c r="U77" s="362">
        <f>T77*$G$17*1</f>
        <v>0</v>
      </c>
      <c r="V77" s="584">
        <f>IF(OR(M77="A DN",M77="KXL", M77=""),"0",ROUND(K77*0.01*$G$17+R77*1%*$G$17+T77*1%*$G$17,))</f>
        <v>84060</v>
      </c>
      <c r="W77" s="371">
        <f t="shared" si="10"/>
        <v>10087200</v>
      </c>
      <c r="X77" s="935">
        <f t="shared" si="8"/>
        <v>5.6040000000000001</v>
      </c>
      <c r="Y77" s="934">
        <v>1800000</v>
      </c>
      <c r="Z77" s="931">
        <f t="shared" si="9"/>
        <v>10087200</v>
      </c>
      <c r="AA77" s="568">
        <f>A77</f>
        <v>57</v>
      </c>
      <c r="AB77" s="493">
        <f>IFERROR(INDEX('[12]CN BC'!$M$10:$M$276,MATCH(B77,'[12]CN BC'!$H$10:$H$276,0)),"")</f>
        <v>0</v>
      </c>
      <c r="AC77" s="948" t="s">
        <v>2227</v>
      </c>
      <c r="AD77" s="141"/>
      <c r="AF77" s="155"/>
    </row>
    <row r="78" spans="1:42" s="372" customFormat="1" ht="33.75" customHeight="1">
      <c r="A78" s="379">
        <f>_xlfn.AGGREGATE(4,7,A$20:A77)+1</f>
        <v>58</v>
      </c>
      <c r="B78" s="363" t="s">
        <v>1862</v>
      </c>
      <c r="C78" s="375" t="s">
        <v>499</v>
      </c>
      <c r="D78" s="434" t="s">
        <v>1669</v>
      </c>
      <c r="E78" s="423" t="s">
        <v>497</v>
      </c>
      <c r="F78" s="366">
        <v>4.9800000000000004</v>
      </c>
      <c r="G78" s="378">
        <v>0.2</v>
      </c>
      <c r="H78" s="368">
        <f t="shared" si="0"/>
        <v>5.9760000000000009</v>
      </c>
      <c r="I78" s="368"/>
      <c r="J78" s="368" t="str">
        <f>VLOOKUP(B78,TH.T3!B88:J419,9,FALSE)</f>
        <v>Nhân viên phòng Khảo thí và ĐBCL</v>
      </c>
      <c r="K78" s="369">
        <f t="shared" si="1"/>
        <v>5.9760000000000009</v>
      </c>
      <c r="L78" s="362">
        <f t="shared" si="2"/>
        <v>10756800.000000002</v>
      </c>
      <c r="M78" s="366" t="str">
        <f>VLOOKUP(B78,'[11]Gui chi Quynh'!$B$11:$E$400,4,FALSE)</f>
        <v>A3</v>
      </c>
      <c r="N78" s="494">
        <f t="shared" si="3"/>
        <v>12908160.000000002</v>
      </c>
      <c r="O78" s="366">
        <v>19</v>
      </c>
      <c r="P78" s="440">
        <f>IFERROR(INDEX('[12]CN BC'!$J$10:$J$276,MATCH(B78,'[12]CN BC'!$H$10:$H$276,0)),"")</f>
        <v>19</v>
      </c>
      <c r="Q78" s="494">
        <f t="shared" si="4"/>
        <v>12908160.000000002</v>
      </c>
      <c r="R78" s="460"/>
      <c r="S78" s="362">
        <f>R78*$G$17*1</f>
        <v>0</v>
      </c>
      <c r="T78" s="370"/>
      <c r="U78" s="362">
        <f t="shared" si="5"/>
        <v>0</v>
      </c>
      <c r="V78" s="584">
        <f t="shared" si="6"/>
        <v>107568</v>
      </c>
      <c r="W78" s="371">
        <f t="shared" si="10"/>
        <v>12908160.000000002</v>
      </c>
      <c r="X78" s="935">
        <f t="shared" si="8"/>
        <v>7.1712000000000007</v>
      </c>
      <c r="Y78" s="934">
        <v>1800000</v>
      </c>
      <c r="Z78" s="931">
        <f t="shared" si="9"/>
        <v>12908160.000000002</v>
      </c>
      <c r="AA78" s="568">
        <f t="shared" si="7"/>
        <v>58</v>
      </c>
      <c r="AB78" s="493">
        <f>IFERROR(INDEX('[12]CN BC'!$M$10:$M$276,MATCH(B78,'[12]CN BC'!$H$10:$H$276,0)),"")</f>
        <v>0</v>
      </c>
      <c r="AC78" s="948" t="s">
        <v>2227</v>
      </c>
      <c r="AF78" s="487"/>
    </row>
    <row r="79" spans="1:42" s="372" customFormat="1" ht="33.75" customHeight="1">
      <c r="A79" s="379">
        <f>_xlfn.AGGREGATE(4,7,A$20:A78)+1</f>
        <v>59</v>
      </c>
      <c r="B79" s="363" t="s">
        <v>842</v>
      </c>
      <c r="C79" s="375" t="s">
        <v>874</v>
      </c>
      <c r="D79" s="434" t="s">
        <v>1671</v>
      </c>
      <c r="E79" s="423" t="s">
        <v>396</v>
      </c>
      <c r="F79" s="366">
        <v>3.66</v>
      </c>
      <c r="G79" s="367"/>
      <c r="H79" s="368">
        <f t="shared" si="0"/>
        <v>3.66</v>
      </c>
      <c r="I79" s="368"/>
      <c r="J79" s="368" t="str">
        <f>VLOOKUP(B79,TH.T3!B89:J420,9,FALSE)</f>
        <v>Nhân viên phòng Khảo thí và ĐBCL</v>
      </c>
      <c r="K79" s="369">
        <f t="shared" si="1"/>
        <v>3.66</v>
      </c>
      <c r="L79" s="362">
        <f t="shared" si="2"/>
        <v>6588000</v>
      </c>
      <c r="M79" s="366" t="str">
        <f>VLOOKUP(B79,'[11]Gui chi Quynh'!$B$11:$E$400,4,FALSE)</f>
        <v>A3</v>
      </c>
      <c r="N79" s="494">
        <f t="shared" si="3"/>
        <v>7905600</v>
      </c>
      <c r="O79" s="366">
        <v>19</v>
      </c>
      <c r="P79" s="440">
        <f>IFERROR(INDEX('[12]CN BC'!$J$10:$J$276,MATCH(B79,'[12]CN BC'!$H$10:$H$276,0)),"")</f>
        <v>19</v>
      </c>
      <c r="Q79" s="494">
        <f t="shared" si="4"/>
        <v>7905600</v>
      </c>
      <c r="R79" s="460"/>
      <c r="S79" s="362">
        <f>R79*$G$17*0.8</f>
        <v>0</v>
      </c>
      <c r="T79" s="370"/>
      <c r="U79" s="362">
        <f t="shared" si="5"/>
        <v>0</v>
      </c>
      <c r="V79" s="584">
        <f t="shared" si="6"/>
        <v>65880</v>
      </c>
      <c r="W79" s="371">
        <f t="shared" si="10"/>
        <v>7905600</v>
      </c>
      <c r="X79" s="935">
        <f t="shared" si="8"/>
        <v>4.3920000000000003</v>
      </c>
      <c r="Y79" s="934">
        <v>1800000</v>
      </c>
      <c r="Z79" s="931">
        <f t="shared" si="9"/>
        <v>7905600.0000000009</v>
      </c>
      <c r="AA79" s="568">
        <f t="shared" si="7"/>
        <v>59</v>
      </c>
      <c r="AB79" s="493">
        <f>IFERROR(INDEX('[12]CN BC'!$M$10:$M$276,MATCH(B79,'[12]CN BC'!$H$10:$H$276,0)),"")</f>
        <v>0</v>
      </c>
      <c r="AC79" s="948" t="s">
        <v>2227</v>
      </c>
      <c r="AD79" s="108"/>
      <c r="AE79" s="108"/>
      <c r="AF79" s="155"/>
      <c r="AG79" s="108"/>
      <c r="AH79" s="108"/>
      <c r="AI79" s="108"/>
      <c r="AJ79" s="108"/>
      <c r="AK79" s="108"/>
      <c r="AL79" s="108"/>
    </row>
    <row r="80" spans="1:42" s="372" customFormat="1" ht="33.75" customHeight="1">
      <c r="A80" s="379">
        <f>_xlfn.AGGREGATE(4,7,A$20:A79)+1</f>
        <v>60</v>
      </c>
      <c r="B80" s="363" t="s">
        <v>1551</v>
      </c>
      <c r="C80" s="375" t="s">
        <v>896</v>
      </c>
      <c r="D80" s="406" t="s">
        <v>1672</v>
      </c>
      <c r="E80" s="430">
        <v>1603205182756</v>
      </c>
      <c r="F80" s="366">
        <v>3.66</v>
      </c>
      <c r="G80" s="367"/>
      <c r="H80" s="368">
        <f t="shared" si="0"/>
        <v>3.66</v>
      </c>
      <c r="I80" s="368"/>
      <c r="J80" s="368" t="str">
        <f>VLOOKUP(B80,TH.T3!B90:J421,9,FALSE)</f>
        <v>Nhân viên phòng Khảo thí và ĐBCL</v>
      </c>
      <c r="K80" s="369">
        <f t="shared" si="1"/>
        <v>3.66</v>
      </c>
      <c r="L80" s="362">
        <f t="shared" si="2"/>
        <v>6588000</v>
      </c>
      <c r="M80" s="366" t="str">
        <f>VLOOKUP(B80,'[11]Gui chi Quynh'!$B$11:$E$400,4,FALSE)</f>
        <v>A3</v>
      </c>
      <c r="N80" s="494">
        <f t="shared" si="3"/>
        <v>7905600</v>
      </c>
      <c r="O80" s="366">
        <v>19</v>
      </c>
      <c r="P80" s="440">
        <f>IFERROR(INDEX('[12]CN BC'!$J$10:$J$276,MATCH(B80,'[12]CN BC'!$H$10:$H$276,0)),"")</f>
        <v>19</v>
      </c>
      <c r="Q80" s="494">
        <f t="shared" si="4"/>
        <v>7905600</v>
      </c>
      <c r="R80" s="460"/>
      <c r="S80" s="362">
        <f>R80*$G$17*0.8</f>
        <v>0</v>
      </c>
      <c r="T80" s="370"/>
      <c r="U80" s="362">
        <f t="shared" si="5"/>
        <v>0</v>
      </c>
      <c r="V80" s="584">
        <f t="shared" si="6"/>
        <v>65880</v>
      </c>
      <c r="W80" s="371">
        <f t="shared" si="10"/>
        <v>7905600</v>
      </c>
      <c r="X80" s="935">
        <f t="shared" si="8"/>
        <v>4.3920000000000003</v>
      </c>
      <c r="Y80" s="934">
        <v>1800000</v>
      </c>
      <c r="Z80" s="931">
        <f t="shared" si="9"/>
        <v>7905600.0000000009</v>
      </c>
      <c r="AA80" s="568">
        <f t="shared" si="7"/>
        <v>60</v>
      </c>
      <c r="AB80" s="493">
        <f>IFERROR(INDEX('[12]CN BC'!$M$10:$M$276,MATCH(B80,'[12]CN BC'!$H$10:$H$276,0)),"")</f>
        <v>0</v>
      </c>
      <c r="AC80" s="948" t="s">
        <v>2227</v>
      </c>
      <c r="AD80" s="108"/>
      <c r="AE80" s="659"/>
      <c r="AF80" s="155"/>
      <c r="AG80" s="108"/>
      <c r="AH80" s="108"/>
      <c r="AI80" s="108"/>
      <c r="AJ80" s="108"/>
      <c r="AK80" s="108"/>
      <c r="AL80" s="108"/>
      <c r="AM80" s="108"/>
      <c r="AN80" s="108"/>
      <c r="AO80" s="108"/>
      <c r="AP80" s="108"/>
    </row>
    <row r="81" spans="1:42" s="372" customFormat="1" ht="33.75" customHeight="1">
      <c r="A81" s="379">
        <f>_xlfn.AGGREGATE(4,7,A$20:A80)+1</f>
        <v>61</v>
      </c>
      <c r="B81" s="363" t="s">
        <v>1521</v>
      </c>
      <c r="C81" s="380" t="s">
        <v>891</v>
      </c>
      <c r="D81" s="406" t="s">
        <v>1673</v>
      </c>
      <c r="E81" s="429">
        <v>1603205286752</v>
      </c>
      <c r="F81" s="373">
        <v>3.66</v>
      </c>
      <c r="G81" s="367"/>
      <c r="H81" s="445">
        <f t="shared" si="0"/>
        <v>3.66</v>
      </c>
      <c r="I81" s="368"/>
      <c r="J81" s="368" t="str">
        <f>VLOOKUP(B81,TH.T3!B91:J422,9,FALSE)</f>
        <v>Nhân viên phòng Khảo thí và ĐBCL</v>
      </c>
      <c r="K81" s="369">
        <f t="shared" si="1"/>
        <v>3.66</v>
      </c>
      <c r="L81" s="362">
        <f t="shared" si="2"/>
        <v>6588000</v>
      </c>
      <c r="M81" s="366" t="str">
        <f>VLOOKUP(B81,'[11]Gui chi Quynh'!$B$11:$E$400,4,FALSE)</f>
        <v>A2</v>
      </c>
      <c r="N81" s="494">
        <f t="shared" si="3"/>
        <v>9223200</v>
      </c>
      <c r="O81" s="366">
        <v>19</v>
      </c>
      <c r="P81" s="440">
        <f>IFERROR(INDEX('[12]CN BC'!$J$10:$J$276,MATCH(B81,'[12]CN BC'!$H$10:$H$276,0)),"")</f>
        <v>19</v>
      </c>
      <c r="Q81" s="494">
        <f t="shared" si="4"/>
        <v>9223200</v>
      </c>
      <c r="R81" s="392"/>
      <c r="S81" s="362">
        <f>R81*$G$17*0.8</f>
        <v>0</v>
      </c>
      <c r="T81" s="385"/>
      <c r="U81" s="362">
        <f t="shared" si="5"/>
        <v>0</v>
      </c>
      <c r="V81" s="584">
        <f t="shared" si="6"/>
        <v>65880</v>
      </c>
      <c r="W81" s="371">
        <f t="shared" si="10"/>
        <v>9223200</v>
      </c>
      <c r="X81" s="935">
        <f t="shared" si="8"/>
        <v>5.1239999999999997</v>
      </c>
      <c r="Y81" s="934">
        <v>1800000</v>
      </c>
      <c r="Z81" s="931">
        <f t="shared" si="9"/>
        <v>9223200</v>
      </c>
      <c r="AA81" s="568">
        <f t="shared" si="7"/>
        <v>61</v>
      </c>
      <c r="AB81" s="493">
        <f>IFERROR(INDEX('[12]CN BC'!$M$10:$M$276,MATCH(B81,'[12]CN BC'!$H$10:$H$276,0)),"")</f>
        <v>0</v>
      </c>
      <c r="AC81" s="948" t="s">
        <v>2227</v>
      </c>
      <c r="AD81" s="108"/>
      <c r="AE81" s="108"/>
      <c r="AF81" s="461"/>
      <c r="AG81" s="108"/>
      <c r="AH81" s="108"/>
      <c r="AI81" s="108"/>
      <c r="AJ81" s="108"/>
      <c r="AK81" s="108"/>
      <c r="AL81" s="108"/>
      <c r="AM81" s="108"/>
      <c r="AN81" s="108"/>
      <c r="AO81" s="108"/>
      <c r="AP81" s="108"/>
    </row>
    <row r="82" spans="1:42" s="372" customFormat="1" ht="33.75" customHeight="1">
      <c r="A82" s="379">
        <f>_xlfn.AGGREGATE(4,7,A$20:A81)+1</f>
        <v>62</v>
      </c>
      <c r="B82" s="363" t="s">
        <v>1841</v>
      </c>
      <c r="C82" s="364"/>
      <c r="D82" s="434" t="s">
        <v>1956</v>
      </c>
      <c r="E82" s="480" t="s">
        <v>1931</v>
      </c>
      <c r="F82" s="373">
        <v>3</v>
      </c>
      <c r="G82" s="367"/>
      <c r="H82" s="445">
        <f t="shared" si="0"/>
        <v>3</v>
      </c>
      <c r="I82" s="368">
        <v>0.35</v>
      </c>
      <c r="J82" s="368" t="str">
        <f>VLOOKUP(B82,TH.T3!B92:J423,9,FALSE)</f>
        <v>Nhân viên phòng Khảo thí và ĐBCL</v>
      </c>
      <c r="K82" s="369">
        <f t="shared" si="1"/>
        <v>3.35</v>
      </c>
      <c r="L82" s="362">
        <f t="shared" si="2"/>
        <v>6030000</v>
      </c>
      <c r="M82" s="366" t="str">
        <f>VLOOKUP(B82,'[11]Gui chi Quynh'!$B$11:$E$400,4,FALSE)</f>
        <v>A1</v>
      </c>
      <c r="N82" s="494">
        <f t="shared" si="3"/>
        <v>9648000</v>
      </c>
      <c r="O82" s="366">
        <v>19</v>
      </c>
      <c r="P82" s="440">
        <f>IFERROR(INDEX('[12]CN BC'!$J$10:$J$276,MATCH(B82,'[12]CN BC'!$H$10:$H$276,0)),"")</f>
        <v>22</v>
      </c>
      <c r="Q82" s="494">
        <f t="shared" si="4"/>
        <v>9648000</v>
      </c>
      <c r="R82" s="460"/>
      <c r="S82" s="362">
        <f>R82*$G$17*1</f>
        <v>0</v>
      </c>
      <c r="T82" s="370"/>
      <c r="U82" s="362">
        <f t="shared" si="5"/>
        <v>0</v>
      </c>
      <c r="V82" s="584">
        <f t="shared" si="6"/>
        <v>60300</v>
      </c>
      <c r="W82" s="371">
        <f t="shared" si="10"/>
        <v>9648000</v>
      </c>
      <c r="X82" s="935">
        <f t="shared" si="8"/>
        <v>5.36</v>
      </c>
      <c r="Y82" s="934">
        <v>1800000</v>
      </c>
      <c r="Z82" s="931">
        <f t="shared" si="9"/>
        <v>9648000</v>
      </c>
      <c r="AA82" s="568">
        <f t="shared" si="7"/>
        <v>62</v>
      </c>
      <c r="AB82" s="493">
        <f>IFERROR(INDEX('[12]CN BC'!$M$10:$M$276,MATCH(B82,'[12]CN BC'!$H$10:$H$276,0)),"")</f>
        <v>0</v>
      </c>
      <c r="AC82" s="947" t="s">
        <v>2228</v>
      </c>
      <c r="AD82" s="108"/>
      <c r="AE82" s="108"/>
      <c r="AF82" s="155"/>
      <c r="AG82" s="108"/>
      <c r="AH82" s="108"/>
      <c r="AI82" s="108"/>
      <c r="AJ82" s="108"/>
      <c r="AK82" s="108"/>
      <c r="AL82" s="108"/>
    </row>
    <row r="83" spans="1:42" s="108" customFormat="1" ht="33.75" customHeight="1">
      <c r="A83" s="379">
        <f>_xlfn.AGGREGATE(4,7,A$20:A82)+1</f>
        <v>63</v>
      </c>
      <c r="B83" s="33" t="s">
        <v>1863</v>
      </c>
      <c r="C83" s="149" t="s">
        <v>903</v>
      </c>
      <c r="D83" s="406" t="s">
        <v>1675</v>
      </c>
      <c r="E83" s="424" t="s">
        <v>1357</v>
      </c>
      <c r="F83" s="83">
        <v>3.66</v>
      </c>
      <c r="G83" s="157"/>
      <c r="H83" s="368">
        <f t="shared" si="0"/>
        <v>3.66</v>
      </c>
      <c r="I83" s="81">
        <v>0.45</v>
      </c>
      <c r="J83" s="368" t="str">
        <f>VLOOKUP(B83,TH.T3!B93:J424,9,FALSE)</f>
        <v>Trưởng TT Điều hành và QLDL</v>
      </c>
      <c r="K83" s="369">
        <f t="shared" si="1"/>
        <v>4.1100000000000003</v>
      </c>
      <c r="L83" s="362">
        <f t="shared" si="2"/>
        <v>7398000.0000000009</v>
      </c>
      <c r="M83" s="366" t="str">
        <f>VLOOKUP(B83,'[11]Gui chi Quynh'!$B$11:$E$400,4,FALSE)</f>
        <v>A1</v>
      </c>
      <c r="N83" s="494">
        <f t="shared" si="3"/>
        <v>11836800.000000002</v>
      </c>
      <c r="O83" s="366">
        <v>19</v>
      </c>
      <c r="P83" s="440">
        <f>IFERROR(INDEX('[12]CN BC'!$J$10:$J$276,MATCH(B83,'[12]CN BC'!$H$10:$H$276,0)),"")</f>
        <v>23</v>
      </c>
      <c r="Q83" s="494">
        <f t="shared" si="4"/>
        <v>11836800.000000002</v>
      </c>
      <c r="R83" s="392"/>
      <c r="S83" s="362">
        <f>R83*$G$17*1</f>
        <v>0</v>
      </c>
      <c r="T83" s="385"/>
      <c r="U83" s="362">
        <f t="shared" si="5"/>
        <v>0</v>
      </c>
      <c r="V83" s="584">
        <f t="shared" si="6"/>
        <v>73980</v>
      </c>
      <c r="W83" s="371">
        <f t="shared" si="10"/>
        <v>11836800.000000002</v>
      </c>
      <c r="X83" s="935">
        <f t="shared" si="8"/>
        <v>6.5760000000000014</v>
      </c>
      <c r="Y83" s="934">
        <v>1800000</v>
      </c>
      <c r="Z83" s="931">
        <f t="shared" si="9"/>
        <v>11836800.000000002</v>
      </c>
      <c r="AA83" s="568">
        <f t="shared" si="7"/>
        <v>63</v>
      </c>
      <c r="AB83" s="493">
        <f>IFERROR(INDEX('[12]CN BC'!$M$10:$M$276,MATCH(B83,'[12]CN BC'!$H$10:$H$276,0)),"")</f>
        <v>0</v>
      </c>
      <c r="AC83" s="947" t="s">
        <v>2228</v>
      </c>
      <c r="AF83" s="155"/>
    </row>
    <row r="84" spans="1:42" s="372" customFormat="1" ht="33.75" customHeight="1">
      <c r="A84" s="379">
        <f>_xlfn.AGGREGATE(4,7,A$20:A83)+1</f>
        <v>64</v>
      </c>
      <c r="B84" s="363" t="s">
        <v>1470</v>
      </c>
      <c r="C84" s="380" t="s">
        <v>1434</v>
      </c>
      <c r="D84" s="406" t="s">
        <v>1679</v>
      </c>
      <c r="E84" s="426" t="s">
        <v>1438</v>
      </c>
      <c r="F84" s="366">
        <v>3.66</v>
      </c>
      <c r="G84" s="367"/>
      <c r="H84" s="368">
        <f t="shared" ref="H84:H117" si="14">F84+(F84*G84)</f>
        <v>3.66</v>
      </c>
      <c r="I84" s="368"/>
      <c r="J84" s="368" t="str">
        <f>VLOOKUP(B84,TH.T3!B94:J425,9,FALSE)</f>
        <v>NV Trung tâm ĐH và QLDL</v>
      </c>
      <c r="K84" s="369">
        <f t="shared" ref="K84:K117" si="15">H84+I84</f>
        <v>3.66</v>
      </c>
      <c r="L84" s="362">
        <f t="shared" ref="L84:L114" si="16">K84*$G$17</f>
        <v>6588000</v>
      </c>
      <c r="M84" s="366" t="str">
        <f>VLOOKUP(B84,'[11]Gui chi Quynh'!$B$11:$E$400,4,FALSE)</f>
        <v>A1</v>
      </c>
      <c r="N84" s="494">
        <f t="shared" ref="N84:N148" si="17">IF(M84="A1",L84*1.6,IF(M84="A2",L84*1.4,IF(M84="A3",L84*1.2,IF(M84="A4",L84*1,IF(M84="B1",L84*0.7,IF(M84="B2",L84*0.5,IF(M84="C1",L84*0.3,IF(M84="C2",L84*0.2,0))))))))</f>
        <v>10540800</v>
      </c>
      <c r="O84" s="366">
        <v>19</v>
      </c>
      <c r="P84" s="440">
        <f>IFERROR(INDEX('[12]CN BC'!$J$10:$J$276,MATCH(B84,'[12]CN BC'!$H$10:$H$276,0)),"")</f>
        <v>22</v>
      </c>
      <c r="Q84" s="494">
        <f t="shared" ref="Q84:Q148" si="18">IF(P84&gt;=O84,N84,N84/O84*P84)</f>
        <v>10540800</v>
      </c>
      <c r="R84" s="392"/>
      <c r="S84" s="362">
        <f>R84*$G$17*1</f>
        <v>0</v>
      </c>
      <c r="T84" s="385"/>
      <c r="U84" s="362">
        <f t="shared" ref="U84:U148" si="19">T84*$G$17*1</f>
        <v>0</v>
      </c>
      <c r="V84" s="584">
        <f t="shared" ref="V84:V148" si="20">IF(OR(M84="A DN",M84="KXL", M84=""),"0",ROUND(K84*0.01*$G$17+R84*1%*$G$17+T84*1%*$G$17,))</f>
        <v>65880</v>
      </c>
      <c r="W84" s="371">
        <f t="shared" si="10"/>
        <v>10540800</v>
      </c>
      <c r="X84" s="935">
        <f t="shared" si="8"/>
        <v>5.8559999999999999</v>
      </c>
      <c r="Y84" s="934">
        <v>1800000</v>
      </c>
      <c r="Z84" s="931">
        <f t="shared" si="9"/>
        <v>10540800</v>
      </c>
      <c r="AA84" s="568">
        <f t="shared" ref="AA84:AA148" si="21">A84</f>
        <v>64</v>
      </c>
      <c r="AB84" s="493">
        <f>IFERROR(INDEX('[12]CN BC'!$M$10:$M$276,MATCH(B84,'[12]CN BC'!$H$10:$H$276,0)),"")</f>
        <v>0</v>
      </c>
      <c r="AC84" s="947" t="s">
        <v>2228</v>
      </c>
      <c r="AD84" s="141"/>
      <c r="AE84" s="108"/>
      <c r="AF84" s="461"/>
      <c r="AG84" s="108"/>
      <c r="AH84" s="108"/>
      <c r="AI84" s="108"/>
      <c r="AJ84" s="108"/>
      <c r="AK84" s="108"/>
      <c r="AL84" s="108"/>
      <c r="AM84" s="108"/>
      <c r="AN84" s="108"/>
      <c r="AO84" s="108"/>
      <c r="AP84" s="108"/>
    </row>
    <row r="85" spans="1:42" s="372" customFormat="1" ht="33.75" customHeight="1">
      <c r="A85" s="379">
        <f>_xlfn.AGGREGATE(4,7,A$20:A84)+1</f>
        <v>65</v>
      </c>
      <c r="B85" s="363" t="s">
        <v>1466</v>
      </c>
      <c r="C85" s="375" t="s">
        <v>1211</v>
      </c>
      <c r="D85" s="434" t="s">
        <v>1663</v>
      </c>
      <c r="E85" s="426" t="s">
        <v>1579</v>
      </c>
      <c r="F85" s="366">
        <v>3.26</v>
      </c>
      <c r="G85" s="367"/>
      <c r="H85" s="368">
        <f t="shared" si="14"/>
        <v>3.26</v>
      </c>
      <c r="I85" s="368"/>
      <c r="J85" s="368" t="str">
        <f>VLOOKUP(B85,TH.T3!B95:J426,9,FALSE)</f>
        <v>Nhân viên TT Điều hành và QLDL</v>
      </c>
      <c r="K85" s="369">
        <f t="shared" si="15"/>
        <v>3.26</v>
      </c>
      <c r="L85" s="362">
        <f t="shared" si="16"/>
        <v>5868000</v>
      </c>
      <c r="M85" s="366" t="str">
        <f>VLOOKUP(B85,'[11]Gui chi Quynh'!$B$11:$E$400,4,FALSE)</f>
        <v>A1</v>
      </c>
      <c r="N85" s="494">
        <f t="shared" si="17"/>
        <v>9388800</v>
      </c>
      <c r="O85" s="366">
        <v>19</v>
      </c>
      <c r="P85" s="440">
        <f>IFERROR(INDEX('[12]CN BC'!$J$10:$J$276,MATCH(B85,'[12]CN BC'!$H$10:$H$276,0)),"")</f>
        <v>22</v>
      </c>
      <c r="Q85" s="494">
        <f t="shared" si="18"/>
        <v>9388800</v>
      </c>
      <c r="R85" s="460"/>
      <c r="S85" s="362">
        <f>R85*$G$17*1.2</f>
        <v>0</v>
      </c>
      <c r="T85" s="370"/>
      <c r="U85" s="362">
        <f t="shared" si="19"/>
        <v>0</v>
      </c>
      <c r="V85" s="584">
        <f t="shared" si="20"/>
        <v>58680</v>
      </c>
      <c r="W85" s="371">
        <f t="shared" si="10"/>
        <v>9388800</v>
      </c>
      <c r="X85" s="935">
        <f t="shared" ref="X85:X149" si="22">W85/Y85</f>
        <v>5.2160000000000002</v>
      </c>
      <c r="Y85" s="934">
        <v>1800000</v>
      </c>
      <c r="Z85" s="931">
        <f t="shared" ref="Z85:Z149" si="23">X85*Y85</f>
        <v>9388800</v>
      </c>
      <c r="AA85" s="568">
        <f t="shared" si="21"/>
        <v>65</v>
      </c>
      <c r="AB85" s="493">
        <f>IFERROR(INDEX('[12]CN BC'!$M$10:$M$276,MATCH(B85,'[12]CN BC'!$H$10:$H$276,0)),"")</f>
        <v>0</v>
      </c>
      <c r="AC85" s="947" t="s">
        <v>2228</v>
      </c>
      <c r="AD85" s="108"/>
      <c r="AE85" s="108"/>
      <c r="AF85" s="155"/>
      <c r="AG85" s="108"/>
      <c r="AH85" s="108"/>
      <c r="AI85" s="108"/>
      <c r="AJ85" s="108"/>
      <c r="AK85" s="108"/>
      <c r="AL85" s="108"/>
    </row>
    <row r="86" spans="1:42" s="372" customFormat="1" ht="23.25" customHeight="1">
      <c r="A86" s="379">
        <f>_xlfn.AGGREGATE(4,7,A$20:A85)+1</f>
        <v>66</v>
      </c>
      <c r="B86" s="363" t="s">
        <v>1834</v>
      </c>
      <c r="C86" s="364"/>
      <c r="D86" s="434" t="s">
        <v>1967</v>
      </c>
      <c r="E86" s="480">
        <v>1603215005599</v>
      </c>
      <c r="F86" s="373">
        <v>3.66</v>
      </c>
      <c r="G86" s="367"/>
      <c r="H86" s="368">
        <f t="shared" si="14"/>
        <v>3.66</v>
      </c>
      <c r="I86" s="368">
        <v>0.45</v>
      </c>
      <c r="J86" s="368" t="str">
        <f>VLOOKUP(B86,TH.T3!B96:J427,9,FALSE)</f>
        <v>Phụ trách TT Thư viện</v>
      </c>
      <c r="K86" s="369">
        <f t="shared" si="15"/>
        <v>4.1100000000000003</v>
      </c>
      <c r="L86" s="362">
        <f t="shared" si="16"/>
        <v>7398000.0000000009</v>
      </c>
      <c r="M86" s="366" t="str">
        <f>VLOOKUP(B86,'[11]Gui chi Quynh'!$B$11:$E$400,4,FALSE)</f>
        <v>A1</v>
      </c>
      <c r="N86" s="494">
        <f t="shared" si="17"/>
        <v>11836800.000000002</v>
      </c>
      <c r="O86" s="366">
        <v>19</v>
      </c>
      <c r="P86" s="440">
        <f>IFERROR(INDEX('[12]CN BC'!$J$10:$J$276,MATCH(B86,'[12]CN BC'!$H$10:$H$276,0)),"")</f>
        <v>20</v>
      </c>
      <c r="Q86" s="494">
        <f t="shared" si="18"/>
        <v>11836800.000000002</v>
      </c>
      <c r="R86" s="460"/>
      <c r="S86" s="362">
        <f t="shared" ref="S86:S140" si="24">R86*$G$17*1</f>
        <v>0</v>
      </c>
      <c r="T86" s="370"/>
      <c r="U86" s="362">
        <f t="shared" si="19"/>
        <v>0</v>
      </c>
      <c r="V86" s="584">
        <f t="shared" si="20"/>
        <v>73980</v>
      </c>
      <c r="W86" s="371">
        <f t="shared" ref="W86:W150" si="25">(Q86+S86+U86)</f>
        <v>11836800.000000002</v>
      </c>
      <c r="X86" s="935">
        <f t="shared" si="22"/>
        <v>6.5760000000000014</v>
      </c>
      <c r="Y86" s="934">
        <v>1800000</v>
      </c>
      <c r="Z86" s="931">
        <f t="shared" si="23"/>
        <v>11836800.000000002</v>
      </c>
      <c r="AA86" s="568">
        <f t="shared" si="21"/>
        <v>66</v>
      </c>
      <c r="AB86" s="493">
        <f>IFERROR(INDEX('[12]CN BC'!$M$10:$M$276,MATCH(B86,'[12]CN BC'!$H$10:$H$276,0)),"")</f>
        <v>0</v>
      </c>
      <c r="AC86" s="947" t="s">
        <v>2229</v>
      </c>
      <c r="AD86" s="108"/>
      <c r="AE86" s="108"/>
      <c r="AF86" s="155"/>
      <c r="AG86" s="108"/>
      <c r="AH86" s="108"/>
      <c r="AI86" s="108"/>
      <c r="AJ86" s="108"/>
      <c r="AK86" s="108"/>
      <c r="AL86" s="108"/>
    </row>
    <row r="87" spans="1:42" s="372" customFormat="1" ht="27" customHeight="1">
      <c r="A87" s="379">
        <f>_xlfn.AGGREGATE(4,7,A$20:A86)+1</f>
        <v>67</v>
      </c>
      <c r="B87" s="363" t="s">
        <v>1468</v>
      </c>
      <c r="C87" s="375" t="s">
        <v>883</v>
      </c>
      <c r="D87" s="434" t="s">
        <v>1676</v>
      </c>
      <c r="E87" s="426" t="s">
        <v>1580</v>
      </c>
      <c r="F87" s="373">
        <v>3.33</v>
      </c>
      <c r="G87" s="367"/>
      <c r="H87" s="445">
        <f t="shared" si="14"/>
        <v>3.33</v>
      </c>
      <c r="I87" s="368"/>
      <c r="J87" s="368" t="str">
        <f>VLOOKUP(B87,TH.T3!B97:J428,9,FALSE)</f>
        <v>Nhân viên TT Thư viện</v>
      </c>
      <c r="K87" s="369">
        <f t="shared" si="15"/>
        <v>3.33</v>
      </c>
      <c r="L87" s="362">
        <f t="shared" si="16"/>
        <v>5994000</v>
      </c>
      <c r="M87" s="366" t="str">
        <f>VLOOKUP(B87,'[11]Gui chi Quynh'!$B$11:$E$400,4,FALSE)</f>
        <v>A2</v>
      </c>
      <c r="N87" s="494">
        <f t="shared" si="17"/>
        <v>8391600</v>
      </c>
      <c r="O87" s="366">
        <v>19</v>
      </c>
      <c r="P87" s="440">
        <f>IFERROR(INDEX('[12]CN BC'!$J$10:$J$276,MATCH(B87,'[12]CN BC'!$H$10:$H$276,0)),"")</f>
        <v>21.5</v>
      </c>
      <c r="Q87" s="494">
        <f t="shared" si="18"/>
        <v>8391600</v>
      </c>
      <c r="R87" s="392"/>
      <c r="S87" s="362">
        <f t="shared" si="24"/>
        <v>0</v>
      </c>
      <c r="T87" s="370"/>
      <c r="U87" s="362">
        <f t="shared" si="19"/>
        <v>0</v>
      </c>
      <c r="V87" s="584">
        <f t="shared" si="20"/>
        <v>59940</v>
      </c>
      <c r="W87" s="371">
        <f t="shared" si="25"/>
        <v>8391600</v>
      </c>
      <c r="X87" s="935">
        <f t="shared" si="22"/>
        <v>4.6619999999999999</v>
      </c>
      <c r="Y87" s="934">
        <v>1800000</v>
      </c>
      <c r="Z87" s="931">
        <f t="shared" si="23"/>
        <v>8391600</v>
      </c>
      <c r="AA87" s="568">
        <f t="shared" si="21"/>
        <v>67</v>
      </c>
      <c r="AB87" s="493">
        <f>IFERROR(INDEX('[12]CN BC'!$M$10:$M$276,MATCH(B87,'[12]CN BC'!$H$10:$H$276,0)),"")</f>
        <v>0</v>
      </c>
      <c r="AC87" s="947" t="s">
        <v>2229</v>
      </c>
      <c r="AD87" s="108"/>
      <c r="AE87" s="108"/>
      <c r="AF87" s="155"/>
      <c r="AG87" s="108"/>
      <c r="AH87" s="108"/>
      <c r="AI87" s="108"/>
      <c r="AJ87" s="108"/>
      <c r="AK87" s="108"/>
      <c r="AL87" s="108"/>
    </row>
    <row r="88" spans="1:42" s="372" customFormat="1" ht="27" customHeight="1">
      <c r="A88" s="379">
        <f>_xlfn.AGGREGATE(4,7,A$20:A87)+1</f>
        <v>68</v>
      </c>
      <c r="B88" s="363" t="s">
        <v>1469</v>
      </c>
      <c r="C88" s="375" t="s">
        <v>49</v>
      </c>
      <c r="D88" s="434" t="s">
        <v>1677</v>
      </c>
      <c r="E88" s="430">
        <v>1603205185623</v>
      </c>
      <c r="F88" s="373">
        <v>3.33</v>
      </c>
      <c r="G88" s="367"/>
      <c r="H88" s="445">
        <f t="shared" si="14"/>
        <v>3.33</v>
      </c>
      <c r="I88" s="368"/>
      <c r="J88" s="368" t="str">
        <f>VLOOKUP(B88,TH.T3!B98:J429,9,FALSE)</f>
        <v>Nhân viên TT Thư viện</v>
      </c>
      <c r="K88" s="369">
        <f t="shared" si="15"/>
        <v>3.33</v>
      </c>
      <c r="L88" s="362">
        <f t="shared" si="16"/>
        <v>5994000</v>
      </c>
      <c r="M88" s="366" t="str">
        <f>VLOOKUP(B88,'[11]Gui chi Quynh'!$B$11:$E$400,4,FALSE)</f>
        <v>A3</v>
      </c>
      <c r="N88" s="494">
        <f t="shared" si="17"/>
        <v>7192800</v>
      </c>
      <c r="O88" s="366">
        <v>19</v>
      </c>
      <c r="P88" s="440">
        <f>IFERROR(INDEX('[12]CN BC'!$J$10:$J$276,MATCH(B88,'[12]CN BC'!$H$10:$H$276,0)),"")</f>
        <v>19</v>
      </c>
      <c r="Q88" s="494">
        <f t="shared" si="18"/>
        <v>7192800</v>
      </c>
      <c r="R88" s="460"/>
      <c r="S88" s="362">
        <f t="shared" si="24"/>
        <v>0</v>
      </c>
      <c r="T88" s="370"/>
      <c r="U88" s="362">
        <f t="shared" si="19"/>
        <v>0</v>
      </c>
      <c r="V88" s="584">
        <f t="shared" si="20"/>
        <v>59940</v>
      </c>
      <c r="W88" s="371">
        <f t="shared" si="25"/>
        <v>7192800</v>
      </c>
      <c r="X88" s="935">
        <f t="shared" si="22"/>
        <v>3.996</v>
      </c>
      <c r="Y88" s="934">
        <v>1800000</v>
      </c>
      <c r="Z88" s="931">
        <f t="shared" si="23"/>
        <v>7192800</v>
      </c>
      <c r="AA88" s="568">
        <f t="shared" si="21"/>
        <v>68</v>
      </c>
      <c r="AB88" s="493">
        <f>IFERROR(INDEX('[12]CN BC'!$M$10:$M$276,MATCH(B88,'[12]CN BC'!$H$10:$H$276,0)),"")</f>
        <v>0</v>
      </c>
      <c r="AC88" s="947" t="s">
        <v>2229</v>
      </c>
      <c r="AD88" s="108"/>
      <c r="AE88" s="108"/>
      <c r="AF88" s="155"/>
      <c r="AG88" s="108"/>
      <c r="AH88" s="108"/>
      <c r="AI88" s="108"/>
      <c r="AJ88" s="108"/>
      <c r="AK88" s="108"/>
      <c r="AL88" s="108"/>
    </row>
    <row r="89" spans="1:42" s="372" customFormat="1" ht="36">
      <c r="A89" s="660">
        <f>_xlfn.AGGREGATE(4,7,A$20:A88)+1</f>
        <v>69</v>
      </c>
      <c r="B89" s="563" t="s">
        <v>1864</v>
      </c>
      <c r="C89" s="929" t="s">
        <v>1066</v>
      </c>
      <c r="D89" s="564" t="s">
        <v>1678</v>
      </c>
      <c r="E89" s="567" t="s">
        <v>1402</v>
      </c>
      <c r="F89" s="557">
        <v>4.9800000000000004</v>
      </c>
      <c r="G89" s="553">
        <v>0.05</v>
      </c>
      <c r="H89" s="554">
        <f t="shared" si="14"/>
        <v>5.2290000000000001</v>
      </c>
      <c r="I89" s="554"/>
      <c r="J89" s="554" t="str">
        <f>VLOOKUP(B89,TH.T3!B99:J430,9,FALSE)</f>
        <v>Nhân viên TT Thư viện</v>
      </c>
      <c r="K89" s="555">
        <f t="shared" si="15"/>
        <v>5.2290000000000001</v>
      </c>
      <c r="L89" s="556">
        <f t="shared" si="16"/>
        <v>9412200</v>
      </c>
      <c r="M89" s="557" t="str">
        <f>VLOOKUP(B89,'[11]Gui chi Quynh'!$B$11:$E$400,4,FALSE)</f>
        <v>B1</v>
      </c>
      <c r="N89" s="558">
        <f t="shared" si="17"/>
        <v>6588540</v>
      </c>
      <c r="O89" s="557">
        <v>19</v>
      </c>
      <c r="P89" s="559">
        <f>IFERROR(INDEX('[12]CN BC'!$J$10:$J$276,MATCH(B89,'[12]CN BC'!$H$10:$H$276,0)),"")</f>
        <v>19</v>
      </c>
      <c r="Q89" s="558">
        <f t="shared" si="18"/>
        <v>6588540</v>
      </c>
      <c r="R89" s="560"/>
      <c r="S89" s="556">
        <f t="shared" si="24"/>
        <v>0</v>
      </c>
      <c r="T89" s="561"/>
      <c r="U89" s="556">
        <f t="shared" si="19"/>
        <v>0</v>
      </c>
      <c r="V89" s="556">
        <f t="shared" si="20"/>
        <v>94122</v>
      </c>
      <c r="W89" s="656">
        <f t="shared" si="25"/>
        <v>6588540</v>
      </c>
      <c r="X89" s="936">
        <f t="shared" si="22"/>
        <v>3.6602999999999999</v>
      </c>
      <c r="Y89" s="937">
        <v>1800000</v>
      </c>
      <c r="Z89" s="932">
        <f t="shared" si="23"/>
        <v>6588540</v>
      </c>
      <c r="AA89" s="573">
        <f t="shared" si="21"/>
        <v>69</v>
      </c>
      <c r="AB89" s="562" t="s">
        <v>2212</v>
      </c>
      <c r="AC89" s="947" t="s">
        <v>2229</v>
      </c>
      <c r="AD89" s="108"/>
      <c r="AE89" s="108"/>
      <c r="AF89" s="487"/>
    </row>
    <row r="90" spans="1:42" s="372" customFormat="1" ht="31.5" customHeight="1">
      <c r="A90" s="379">
        <f>_xlfn.AGGREGATE(4,7,A$20:A89)+1</f>
        <v>70</v>
      </c>
      <c r="B90" s="363" t="s">
        <v>1471</v>
      </c>
      <c r="C90" s="364" t="s">
        <v>1060</v>
      </c>
      <c r="D90" s="434" t="s">
        <v>1680</v>
      </c>
      <c r="E90" s="426" t="s">
        <v>1581</v>
      </c>
      <c r="F90" s="366">
        <v>4.9800000000000004</v>
      </c>
      <c r="G90" s="367"/>
      <c r="H90" s="368">
        <f t="shared" si="14"/>
        <v>4.9800000000000004</v>
      </c>
      <c r="I90" s="368">
        <v>0.45</v>
      </c>
      <c r="J90" s="368" t="str">
        <f>VLOOKUP(B90,TH.T3!B100:J431,9,FALSE)</f>
        <v>Trưởng phòng KHCN &amp; HTQT</v>
      </c>
      <c r="K90" s="369">
        <f t="shared" si="15"/>
        <v>5.4300000000000006</v>
      </c>
      <c r="L90" s="362">
        <f t="shared" si="16"/>
        <v>9774000.0000000019</v>
      </c>
      <c r="M90" s="366" t="str">
        <f>VLOOKUP(B90,'[11]Gui chi Quynh'!$B$11:$E$400,4,FALSE)</f>
        <v>A2</v>
      </c>
      <c r="N90" s="494">
        <f t="shared" si="17"/>
        <v>13683600.000000002</v>
      </c>
      <c r="O90" s="366">
        <v>19</v>
      </c>
      <c r="P90" s="440">
        <f>IFERROR(INDEX('[12]CN BC'!$J$10:$J$276,MATCH(B90,'[12]CN BC'!$H$10:$H$276,0)),"")</f>
        <v>19</v>
      </c>
      <c r="Q90" s="494">
        <f t="shared" si="18"/>
        <v>13683600.000000002</v>
      </c>
      <c r="R90" s="460"/>
      <c r="S90" s="362">
        <f t="shared" si="24"/>
        <v>0</v>
      </c>
      <c r="T90" s="370"/>
      <c r="U90" s="362">
        <f t="shared" si="19"/>
        <v>0</v>
      </c>
      <c r="V90" s="584">
        <f t="shared" si="20"/>
        <v>97740</v>
      </c>
      <c r="W90" s="371">
        <f t="shared" si="25"/>
        <v>13683600.000000002</v>
      </c>
      <c r="X90" s="935">
        <f t="shared" si="22"/>
        <v>7.6020000000000012</v>
      </c>
      <c r="Y90" s="934">
        <v>1800000</v>
      </c>
      <c r="Z90" s="931">
        <f t="shared" si="23"/>
        <v>13683600.000000002</v>
      </c>
      <c r="AA90" s="568">
        <f t="shared" si="21"/>
        <v>70</v>
      </c>
      <c r="AB90" s="493">
        <f>IFERROR(INDEX('[12]CN BC'!$M$10:$M$276,MATCH(B90,'[12]CN BC'!$H$10:$H$276,0)),"")</f>
        <v>0</v>
      </c>
      <c r="AC90" s="947" t="s">
        <v>2230</v>
      </c>
      <c r="AF90" s="487"/>
    </row>
    <row r="91" spans="1:42" s="372" customFormat="1" ht="33" customHeight="1">
      <c r="A91" s="379">
        <f>_xlfn.AGGREGATE(4,7,A$20:A90)+1</f>
        <v>71</v>
      </c>
      <c r="B91" s="444" t="s">
        <v>2009</v>
      </c>
      <c r="C91" s="419"/>
      <c r="D91" s="418"/>
      <c r="E91" s="426"/>
      <c r="F91" s="373">
        <v>3.66</v>
      </c>
      <c r="G91" s="367"/>
      <c r="H91" s="368">
        <f>F91+(F91*G91)</f>
        <v>3.66</v>
      </c>
      <c r="I91" s="368"/>
      <c r="J91" s="368" t="s">
        <v>2218</v>
      </c>
      <c r="K91" s="369">
        <f>H91+I91</f>
        <v>3.66</v>
      </c>
      <c r="L91" s="362">
        <f>K91*$G$17</f>
        <v>6588000</v>
      </c>
      <c r="M91" s="366" t="str">
        <f>VLOOKUP(B91,'[11]Gui chi Quynh'!$B$11:$E$400,4,FALSE)</f>
        <v>A2</v>
      </c>
      <c r="N91" s="494">
        <f>IF(M91="A1",L91*1.6,IF(M91="A2",L91*1.4,IF(M91="A3",L91*1.2,IF(M91="A4",L91*1,IF(M91="B1",L91*0.7,IF(M91="B2",L91*0.5,IF(M91="C1",L91*0.3,IF(M91="C2",L91*0.2,0))))))))</f>
        <v>9223200</v>
      </c>
      <c r="O91" s="366">
        <v>19</v>
      </c>
      <c r="P91" s="440">
        <f>IFERROR(INDEX('[12]CN BC'!$J$10:$J$276,MATCH(B91,'[12]CN BC'!$H$10:$H$276,0)),"")</f>
        <v>19</v>
      </c>
      <c r="Q91" s="494">
        <f>IF(P91&gt;=O91,N91,N91/O91*P91)</f>
        <v>9223200</v>
      </c>
      <c r="R91" s="460"/>
      <c r="S91" s="362">
        <f>R91*$G$17*1</f>
        <v>0</v>
      </c>
      <c r="T91" s="370"/>
      <c r="U91" s="362">
        <f>T91*$G$17*1</f>
        <v>0</v>
      </c>
      <c r="V91" s="584">
        <f>IF(OR(M91="A DN",M91="KXL", M91=""),"0",ROUND(K91*0.01*$G$17+R91*1%*$G$17+T91*1%*$G$17,))</f>
        <v>65880</v>
      </c>
      <c r="W91" s="371">
        <f>(Q91+S91+U91)</f>
        <v>9223200</v>
      </c>
      <c r="X91" s="935">
        <f>W91/Y91</f>
        <v>5.1239999999999997</v>
      </c>
      <c r="Y91" s="934">
        <v>1800000</v>
      </c>
      <c r="Z91" s="931">
        <f>X91*Y91</f>
        <v>9223200</v>
      </c>
      <c r="AA91" s="568">
        <f>A91</f>
        <v>71</v>
      </c>
      <c r="AB91" s="493">
        <f>IFERROR(INDEX('[12]CN BC'!$M$10:$M$276,MATCH(B91,'[12]CN BC'!$H$10:$H$276,0)),"")</f>
        <v>0</v>
      </c>
      <c r="AC91" s="947" t="s">
        <v>2230</v>
      </c>
      <c r="AF91" s="487"/>
    </row>
    <row r="92" spans="1:42" s="372" customFormat="1" ht="28.5" customHeight="1">
      <c r="A92" s="379">
        <f>_xlfn.AGGREGATE(4,7,A$20:A91)+1</f>
        <v>72</v>
      </c>
      <c r="B92" s="444" t="s">
        <v>1830</v>
      </c>
      <c r="C92" s="419" t="s">
        <v>1087</v>
      </c>
      <c r="D92" s="418" t="s">
        <v>1829</v>
      </c>
      <c r="E92" s="446">
        <v>1603205354978</v>
      </c>
      <c r="F92" s="366">
        <v>2.67</v>
      </c>
      <c r="G92" s="367"/>
      <c r="H92" s="368">
        <f>F92+(F92*G92)</f>
        <v>2.67</v>
      </c>
      <c r="I92" s="368">
        <v>0.45</v>
      </c>
      <c r="J92" s="368" t="s">
        <v>2231</v>
      </c>
      <c r="K92" s="369">
        <f>H92+I92</f>
        <v>3.12</v>
      </c>
      <c r="L92" s="362">
        <f>K92*TH.T4!$G$17</f>
        <v>5616000</v>
      </c>
      <c r="M92" s="366" t="str">
        <f>VLOOKUP(B92,'[11]Gui chi Quynh'!$B$11:$E$400,4,FALSE)</f>
        <v>A1</v>
      </c>
      <c r="N92" s="494">
        <f t="shared" si="17"/>
        <v>8985600</v>
      </c>
      <c r="O92" s="366">
        <v>19</v>
      </c>
      <c r="P92" s="440">
        <f>IFERROR(INDEX('[12]CN BC'!$J$10:$J$276,MATCH(B92,'[12]CN BC'!$H$10:$H$276,0)),"")</f>
        <v>25</v>
      </c>
      <c r="Q92" s="362">
        <f>IF(P92&gt;=O92,N92,N92/O92*P92)</f>
        <v>8985600</v>
      </c>
      <c r="R92" s="392"/>
      <c r="S92" s="362">
        <f>R92*TH.T4!$G$17*1</f>
        <v>0</v>
      </c>
      <c r="T92" s="370"/>
      <c r="U92" s="362">
        <f>T92*[3]CN!$G$8*0.65</f>
        <v>0</v>
      </c>
      <c r="V92" s="584">
        <f>IF(OR(M92="A DN",M92="KXL", M92=""),"0",ROUND(K92*0.01*TH.T4!$G$17+R92*1%*TH.T4!$G$17+T92*1%*TH.T4!$G$17,))</f>
        <v>56160</v>
      </c>
      <c r="W92" s="371">
        <f t="shared" si="25"/>
        <v>8985600</v>
      </c>
      <c r="X92" s="935">
        <f t="shared" si="22"/>
        <v>4.992</v>
      </c>
      <c r="Y92" s="934">
        <v>1800000</v>
      </c>
      <c r="Z92" s="931">
        <f t="shared" si="23"/>
        <v>8985600</v>
      </c>
      <c r="AA92" s="569">
        <f>A92</f>
        <v>72</v>
      </c>
      <c r="AB92" s="493">
        <f>IFERROR(INDEX('[12]CN BC'!$M$10:$M$276,MATCH(B92,'[12]CN BC'!$H$10:$H$276,0)),"")</f>
        <v>0</v>
      </c>
      <c r="AC92" s="947" t="s">
        <v>2222</v>
      </c>
      <c r="AD92" s="155"/>
      <c r="AE92" s="108"/>
      <c r="AF92" s="108"/>
      <c r="AG92" s="108"/>
      <c r="AH92" s="108"/>
      <c r="AI92" s="108"/>
      <c r="AJ92" s="108"/>
      <c r="AK92" s="108"/>
      <c r="AL92" s="108"/>
    </row>
    <row r="93" spans="1:42" s="108" customFormat="1" ht="28.5" customHeight="1">
      <c r="A93" s="379">
        <f>_xlfn.AGGREGATE(4,7,A$20:A92)+1</f>
        <v>73</v>
      </c>
      <c r="B93" s="33" t="s">
        <v>2005</v>
      </c>
      <c r="C93" s="149" t="s">
        <v>987</v>
      </c>
      <c r="D93" s="62" t="s">
        <v>1826</v>
      </c>
      <c r="E93" s="75" t="s">
        <v>12</v>
      </c>
      <c r="F93" s="81">
        <v>3.34</v>
      </c>
      <c r="G93" s="172"/>
      <c r="H93" s="81">
        <f>F93+(F93*G93)</f>
        <v>3.34</v>
      </c>
      <c r="I93" s="172">
        <v>0</v>
      </c>
      <c r="J93" s="368" t="s">
        <v>2231</v>
      </c>
      <c r="K93" s="10">
        <f>I93+H93</f>
        <v>3.34</v>
      </c>
      <c r="L93" s="362">
        <f>K93*TH.T4!$G$17</f>
        <v>6012000</v>
      </c>
      <c r="M93" s="366" t="str">
        <f>VLOOKUP(B93,'[11]Gui chi Quynh'!$B$11:$E$400,4,FALSE)</f>
        <v>A4</v>
      </c>
      <c r="N93" s="494">
        <f t="shared" si="17"/>
        <v>6012000</v>
      </c>
      <c r="O93" s="366">
        <v>19</v>
      </c>
      <c r="P93" s="440">
        <f>IFERROR(INDEX('[12]CN BC'!$J$10:$J$276,MATCH(B93,'[12]CN BC'!$H$10:$H$276,0)),"")</f>
        <v>22</v>
      </c>
      <c r="Q93" s="31">
        <f>IF(P93&gt;=O93,N93,N93/O93*P93)</f>
        <v>6012000</v>
      </c>
      <c r="R93" s="517"/>
      <c r="S93" s="31">
        <f>R93*$H$18*0.65</f>
        <v>0</v>
      </c>
      <c r="T93" s="74"/>
      <c r="U93" s="31">
        <f>T93*$H$18*0.65</f>
        <v>0</v>
      </c>
      <c r="V93" s="585">
        <f>L93*1%</f>
        <v>60120</v>
      </c>
      <c r="W93" s="371">
        <f t="shared" si="25"/>
        <v>6012000</v>
      </c>
      <c r="X93" s="935">
        <f t="shared" si="22"/>
        <v>3.34</v>
      </c>
      <c r="Y93" s="934">
        <v>1800000</v>
      </c>
      <c r="Z93" s="931">
        <f t="shared" si="23"/>
        <v>6012000</v>
      </c>
      <c r="AA93" s="570">
        <f>A93</f>
        <v>73</v>
      </c>
      <c r="AB93" s="493">
        <f>IFERROR(INDEX('[12]CN BC'!$M$10:$M$276,MATCH(B93,'[12]CN BC'!$H$10:$H$276,0)),"")</f>
        <v>0</v>
      </c>
      <c r="AC93" s="947" t="s">
        <v>2222</v>
      </c>
    </row>
    <row r="94" spans="1:42" s="372" customFormat="1" ht="30" customHeight="1">
      <c r="A94" s="379">
        <f>_xlfn.AGGREGATE(4,7,A$20:A93)+1</f>
        <v>74</v>
      </c>
      <c r="B94" s="444" t="s">
        <v>1607</v>
      </c>
      <c r="C94" s="419" t="s">
        <v>1009</v>
      </c>
      <c r="D94" s="418" t="s">
        <v>1957</v>
      </c>
      <c r="E94" s="479">
        <v>1603215003961</v>
      </c>
      <c r="F94" s="373">
        <v>3.66</v>
      </c>
      <c r="G94" s="367"/>
      <c r="H94" s="445">
        <f t="shared" si="14"/>
        <v>3.66</v>
      </c>
      <c r="I94" s="368">
        <v>0.45</v>
      </c>
      <c r="J94" s="368" t="str">
        <f>VLOOKUP(B94,TH.T3!B103:J434,9,FALSE)</f>
        <v>Trưởng khoa Xây dựng - Nhiệt lạnh</v>
      </c>
      <c r="K94" s="369">
        <f t="shared" si="15"/>
        <v>4.1100000000000003</v>
      </c>
      <c r="L94" s="362">
        <f>K94*TH.T4!$G$17</f>
        <v>7398000.0000000009</v>
      </c>
      <c r="M94" s="366" t="str">
        <f>VLOOKUP(B94,'[11]Gui chi Quynh'!$B$11:$E$400,4,FALSE)</f>
        <v>A3</v>
      </c>
      <c r="N94" s="494">
        <f t="shared" si="17"/>
        <v>8877600</v>
      </c>
      <c r="O94" s="376">
        <v>19</v>
      </c>
      <c r="P94" s="440">
        <f>IFERROR(INDEX('[12]CN BC'!$J$10:$J$276,MATCH(B94,'[12]CN BC'!$H$10:$H$276,0)),"")</f>
        <v>19</v>
      </c>
      <c r="Q94" s="494">
        <f t="shared" si="18"/>
        <v>8877600</v>
      </c>
      <c r="R94" s="460"/>
      <c r="S94" s="362">
        <f t="shared" si="24"/>
        <v>0</v>
      </c>
      <c r="T94" s="370"/>
      <c r="U94" s="362">
        <f t="shared" si="19"/>
        <v>0</v>
      </c>
      <c r="V94" s="362">
        <f t="shared" si="20"/>
        <v>73980</v>
      </c>
      <c r="W94" s="371">
        <f t="shared" si="25"/>
        <v>8877600</v>
      </c>
      <c r="X94" s="935">
        <f t="shared" si="22"/>
        <v>4.9320000000000004</v>
      </c>
      <c r="Y94" s="934">
        <v>1800000</v>
      </c>
      <c r="Z94" s="931">
        <f t="shared" si="23"/>
        <v>8877600</v>
      </c>
      <c r="AA94" s="568">
        <f t="shared" si="21"/>
        <v>74</v>
      </c>
      <c r="AB94" s="493">
        <f>IFERROR(INDEX('[12]CN BC'!$M$10:$M$276,MATCH(B94,'[12]CN BC'!$H$10:$H$276,0)),"")</f>
        <v>0</v>
      </c>
      <c r="AC94" s="946" t="s">
        <v>2232</v>
      </c>
      <c r="AF94" s="487"/>
    </row>
    <row r="95" spans="1:42" s="372" customFormat="1" ht="30" customHeight="1">
      <c r="A95" s="379">
        <f>_xlfn.AGGREGATE(4,7,A$20:A94)+1</f>
        <v>75</v>
      </c>
      <c r="B95" s="363" t="s">
        <v>1924</v>
      </c>
      <c r="C95" s="364"/>
      <c r="D95" s="434" t="s">
        <v>1958</v>
      </c>
      <c r="E95" s="480" t="s">
        <v>1935</v>
      </c>
      <c r="F95" s="366">
        <v>2.67</v>
      </c>
      <c r="G95" s="367"/>
      <c r="H95" s="445">
        <f t="shared" si="14"/>
        <v>2.67</v>
      </c>
      <c r="I95" s="368"/>
      <c r="J95" s="368" t="str">
        <f>VLOOKUP(B95,TH.T3!B104:J435,9,FALSE)</f>
        <v>Giảng viên khoa Xây dựng - Nhiệt lạnh</v>
      </c>
      <c r="K95" s="369">
        <f t="shared" si="15"/>
        <v>2.67</v>
      </c>
      <c r="L95" s="362">
        <f t="shared" si="16"/>
        <v>4806000</v>
      </c>
      <c r="M95" s="366" t="str">
        <f>VLOOKUP(B95,'[11]Gui chi Quynh'!$B$11:$E$400,4,FALSE)</f>
        <v>A4</v>
      </c>
      <c r="N95" s="494">
        <f t="shared" si="17"/>
        <v>4806000</v>
      </c>
      <c r="O95" s="376">
        <v>19</v>
      </c>
      <c r="P95" s="440">
        <f>IFERROR(INDEX('[12]CN BC'!$J$10:$J$276,MATCH(B95,'[12]CN BC'!$H$10:$H$276,0)),"")</f>
        <v>20</v>
      </c>
      <c r="Q95" s="494">
        <f t="shared" si="18"/>
        <v>4806000</v>
      </c>
      <c r="R95" s="460"/>
      <c r="S95" s="362">
        <f t="shared" si="24"/>
        <v>0</v>
      </c>
      <c r="T95" s="370"/>
      <c r="U95" s="362">
        <f t="shared" si="19"/>
        <v>0</v>
      </c>
      <c r="V95" s="362">
        <f t="shared" si="20"/>
        <v>48060</v>
      </c>
      <c r="W95" s="371">
        <f t="shared" si="25"/>
        <v>4806000</v>
      </c>
      <c r="X95" s="935">
        <f t="shared" si="22"/>
        <v>2.67</v>
      </c>
      <c r="Y95" s="934">
        <v>1800000</v>
      </c>
      <c r="Z95" s="931">
        <f t="shared" si="23"/>
        <v>4806000</v>
      </c>
      <c r="AA95" s="568">
        <f t="shared" si="21"/>
        <v>75</v>
      </c>
      <c r="AB95" s="493">
        <f>IFERROR(INDEX('[12]CN BC'!$M$10:$M$276,MATCH(B95,'[12]CN BC'!$H$10:$H$276,0)),"")</f>
        <v>0</v>
      </c>
      <c r="AC95" s="946" t="s">
        <v>2232</v>
      </c>
      <c r="AF95" s="487"/>
    </row>
    <row r="96" spans="1:42" s="372" customFormat="1" ht="30" customHeight="1">
      <c r="A96" s="379">
        <f>_xlfn.AGGREGATE(4,7,A$20:A95)+1</f>
        <v>76</v>
      </c>
      <c r="B96" s="363" t="s">
        <v>1944</v>
      </c>
      <c r="C96" s="364"/>
      <c r="D96" s="434" t="s">
        <v>1959</v>
      </c>
      <c r="E96" s="479"/>
      <c r="F96" s="366">
        <v>2.34</v>
      </c>
      <c r="G96" s="367"/>
      <c r="H96" s="445">
        <f t="shared" si="14"/>
        <v>2.34</v>
      </c>
      <c r="I96" s="368"/>
      <c r="J96" s="368" t="str">
        <f>VLOOKUP(B96,TH.T3!B105:J436,9,FALSE)</f>
        <v>Giảng viên khoa Xây dựng - Nhiệt lạnh</v>
      </c>
      <c r="K96" s="369">
        <f t="shared" si="15"/>
        <v>2.34</v>
      </c>
      <c r="L96" s="362">
        <f t="shared" si="16"/>
        <v>4212000</v>
      </c>
      <c r="M96" s="366" t="str">
        <f>VLOOKUP(B96,'[11]Gui chi Quynh'!$B$11:$E$400,4,FALSE)</f>
        <v>A3</v>
      </c>
      <c r="N96" s="494">
        <f t="shared" si="17"/>
        <v>5054400</v>
      </c>
      <c r="O96" s="376">
        <v>19</v>
      </c>
      <c r="P96" s="440">
        <f>IFERROR(INDEX('[12]CN BC'!$J$10:$J$276,MATCH(B96,'[12]CN BC'!$H$10:$H$276,0)),"")</f>
        <v>20</v>
      </c>
      <c r="Q96" s="494">
        <f t="shared" si="18"/>
        <v>5054400</v>
      </c>
      <c r="R96" s="460"/>
      <c r="S96" s="362">
        <f t="shared" si="24"/>
        <v>0</v>
      </c>
      <c r="T96" s="370"/>
      <c r="U96" s="362">
        <f t="shared" si="19"/>
        <v>0</v>
      </c>
      <c r="V96" s="362">
        <f t="shared" si="20"/>
        <v>42120</v>
      </c>
      <c r="W96" s="371">
        <f t="shared" si="25"/>
        <v>5054400</v>
      </c>
      <c r="X96" s="935">
        <f t="shared" si="22"/>
        <v>2.8079999999999998</v>
      </c>
      <c r="Y96" s="934">
        <v>1800000</v>
      </c>
      <c r="Z96" s="931">
        <f t="shared" si="23"/>
        <v>5054400</v>
      </c>
      <c r="AA96" s="568">
        <f t="shared" si="21"/>
        <v>76</v>
      </c>
      <c r="AB96" s="493">
        <f>IFERROR(INDEX('[12]CN BC'!$M$10:$M$276,MATCH(B96,'[12]CN BC'!$H$10:$H$276,0)),"")</f>
        <v>0</v>
      </c>
      <c r="AC96" s="946" t="s">
        <v>2232</v>
      </c>
      <c r="AF96" s="487"/>
    </row>
    <row r="97" spans="1:42" s="372" customFormat="1" ht="25.5" customHeight="1">
      <c r="A97" s="379">
        <f>_xlfn.AGGREGATE(4,7,A$20:A96)+1</f>
        <v>77</v>
      </c>
      <c r="B97" s="363" t="s">
        <v>1472</v>
      </c>
      <c r="C97" s="364" t="s">
        <v>939</v>
      </c>
      <c r="D97" s="406" t="s">
        <v>1682</v>
      </c>
      <c r="E97" s="426" t="s">
        <v>1582</v>
      </c>
      <c r="F97" s="373">
        <v>3.99</v>
      </c>
      <c r="G97" s="367"/>
      <c r="H97" s="368">
        <f t="shared" si="14"/>
        <v>3.99</v>
      </c>
      <c r="I97" s="368">
        <v>0.45</v>
      </c>
      <c r="J97" s="368" t="str">
        <f>VLOOKUP(B97,TH.T3!B103:J361,9,FALSE)</f>
        <v>Trưởng khoa Kinh tế</v>
      </c>
      <c r="K97" s="369">
        <f t="shared" si="15"/>
        <v>4.4400000000000004</v>
      </c>
      <c r="L97" s="362">
        <f t="shared" si="16"/>
        <v>7992000.0000000009</v>
      </c>
      <c r="M97" s="366" t="str">
        <f>VLOOKUP(B97,'[11]Gui chi Quynh'!$B$11:$E$400,4,FALSE)</f>
        <v>A1</v>
      </c>
      <c r="N97" s="494">
        <f t="shared" si="17"/>
        <v>12787200.000000002</v>
      </c>
      <c r="O97" s="376">
        <v>19</v>
      </c>
      <c r="P97" s="440">
        <f>IFERROR(INDEX('[12]CN BC'!$J$10:$J$276,MATCH(B97,'[12]CN BC'!$H$10:$H$276,0)),"")</f>
        <v>19</v>
      </c>
      <c r="Q97" s="494">
        <f t="shared" si="18"/>
        <v>12787200.000000002</v>
      </c>
      <c r="R97" s="392"/>
      <c r="S97" s="362">
        <f t="shared" si="24"/>
        <v>0</v>
      </c>
      <c r="T97" s="370"/>
      <c r="U97" s="362">
        <f t="shared" si="19"/>
        <v>0</v>
      </c>
      <c r="V97" s="584">
        <f t="shared" si="20"/>
        <v>79920</v>
      </c>
      <c r="W97" s="371">
        <f t="shared" si="25"/>
        <v>12787200.000000002</v>
      </c>
      <c r="X97" s="935">
        <f t="shared" si="22"/>
        <v>7.104000000000001</v>
      </c>
      <c r="Y97" s="934">
        <v>1800000</v>
      </c>
      <c r="Z97" s="931">
        <f t="shared" si="23"/>
        <v>12787200.000000002</v>
      </c>
      <c r="AA97" s="568">
        <f t="shared" si="21"/>
        <v>77</v>
      </c>
      <c r="AB97" s="493">
        <f>IFERROR(INDEX('[12]CN BC'!$M$10:$M$276,MATCH(B97,'[12]CN BC'!$H$10:$H$276,0)),"")</f>
        <v>0</v>
      </c>
      <c r="AC97" s="523" t="s">
        <v>2233</v>
      </c>
      <c r="AD97" s="108"/>
      <c r="AE97" s="108"/>
      <c r="AF97" s="155"/>
      <c r="AG97" s="108"/>
      <c r="AH97" s="108"/>
      <c r="AI97" s="108"/>
      <c r="AJ97" s="108"/>
      <c r="AK97" s="108"/>
      <c r="AL97" s="108"/>
      <c r="AM97" s="108"/>
      <c r="AN97" s="108"/>
      <c r="AO97" s="108"/>
      <c r="AP97" s="108"/>
    </row>
    <row r="98" spans="1:42" s="372" customFormat="1" ht="25.15" customHeight="1">
      <c r="A98" s="379">
        <f>_xlfn.AGGREGATE(4,7,A$20:A97)+1</f>
        <v>78</v>
      </c>
      <c r="B98" s="363" t="s">
        <v>1566</v>
      </c>
      <c r="C98" s="364"/>
      <c r="D98" s="434" t="s">
        <v>1681</v>
      </c>
      <c r="E98" s="435" t="s">
        <v>1567</v>
      </c>
      <c r="F98" s="369">
        <v>3</v>
      </c>
      <c r="G98" s="367"/>
      <c r="H98" s="445">
        <f t="shared" si="14"/>
        <v>3</v>
      </c>
      <c r="I98" s="368"/>
      <c r="J98" s="368" t="str">
        <f>VLOOKUP(B98,TH.T3!B104:J362,9,FALSE)</f>
        <v>Giảng viên khoa Kinh tế</v>
      </c>
      <c r="K98" s="369">
        <f t="shared" si="15"/>
        <v>3</v>
      </c>
      <c r="L98" s="362">
        <f t="shared" si="16"/>
        <v>5400000</v>
      </c>
      <c r="M98" s="366" t="str">
        <f>VLOOKUP(B98,'[11]Gui chi Quynh'!$B$11:$E$400,4,FALSE)</f>
        <v>A3</v>
      </c>
      <c r="N98" s="494">
        <f t="shared" si="17"/>
        <v>6480000</v>
      </c>
      <c r="O98" s="376">
        <v>19</v>
      </c>
      <c r="P98" s="440">
        <f>IFERROR(INDEX('[12]CN BC'!$J$10:$J$276,MATCH(B98,'[12]CN BC'!$H$10:$H$276,0)),"")</f>
        <v>19</v>
      </c>
      <c r="Q98" s="494">
        <f t="shared" si="18"/>
        <v>6480000</v>
      </c>
      <c r="R98" s="460"/>
      <c r="S98" s="362">
        <f t="shared" si="24"/>
        <v>0</v>
      </c>
      <c r="T98" s="370"/>
      <c r="U98" s="362">
        <f t="shared" si="19"/>
        <v>0</v>
      </c>
      <c r="V98" s="584">
        <f t="shared" si="20"/>
        <v>54000</v>
      </c>
      <c r="W98" s="371">
        <f t="shared" si="25"/>
        <v>6480000</v>
      </c>
      <c r="X98" s="935">
        <f t="shared" si="22"/>
        <v>3.6</v>
      </c>
      <c r="Y98" s="934">
        <v>1800000</v>
      </c>
      <c r="Z98" s="931">
        <f t="shared" si="23"/>
        <v>6480000</v>
      </c>
      <c r="AA98" s="568">
        <f t="shared" si="21"/>
        <v>78</v>
      </c>
      <c r="AB98" s="493">
        <f>IFERROR(INDEX('[12]CN BC'!$M$10:$M$276,MATCH(B98,'[12]CN BC'!$H$10:$H$276,0)),"")</f>
        <v>0</v>
      </c>
      <c r="AC98" s="523" t="s">
        <v>2233</v>
      </c>
      <c r="AD98" s="108"/>
      <c r="AE98" s="108"/>
      <c r="AF98" s="155"/>
    </row>
    <row r="99" spans="1:42" s="372" customFormat="1" ht="29.25" customHeight="1">
      <c r="A99" s="379">
        <f>_xlfn.AGGREGATE(4,7,A$20:A98)+1</f>
        <v>79</v>
      </c>
      <c r="B99" s="363" t="s">
        <v>1831</v>
      </c>
      <c r="C99" s="364"/>
      <c r="D99" s="434" t="s">
        <v>1960</v>
      </c>
      <c r="E99" s="481">
        <v>1603215005603</v>
      </c>
      <c r="F99" s="369">
        <v>3</v>
      </c>
      <c r="G99" s="367"/>
      <c r="H99" s="445">
        <f t="shared" si="14"/>
        <v>3</v>
      </c>
      <c r="I99" s="368"/>
      <c r="J99" s="368" t="str">
        <f>VLOOKUP(B99,TH.T3!B105:J363,9,FALSE)</f>
        <v>Giảng viên khoa 
Kinh tế</v>
      </c>
      <c r="K99" s="369">
        <f t="shared" si="15"/>
        <v>3</v>
      </c>
      <c r="L99" s="362">
        <f t="shared" si="16"/>
        <v>5400000</v>
      </c>
      <c r="M99" s="366" t="str">
        <f>VLOOKUP(B99,'[11]Gui chi Quynh'!$B$11:$E$400,4,FALSE)</f>
        <v>A3</v>
      </c>
      <c r="N99" s="494">
        <f t="shared" si="17"/>
        <v>6480000</v>
      </c>
      <c r="O99" s="376">
        <v>19</v>
      </c>
      <c r="P99" s="440">
        <f>IFERROR(INDEX('[12]CN BC'!$J$10:$J$276,MATCH(B99,'[12]CN BC'!$H$10:$H$276,0)),"")</f>
        <v>19</v>
      </c>
      <c r="Q99" s="494">
        <f t="shared" si="18"/>
        <v>6480000</v>
      </c>
      <c r="R99" s="460"/>
      <c r="S99" s="362">
        <f t="shared" si="24"/>
        <v>0</v>
      </c>
      <c r="T99" s="370"/>
      <c r="U99" s="362">
        <f t="shared" si="19"/>
        <v>0</v>
      </c>
      <c r="V99" s="584">
        <f t="shared" si="20"/>
        <v>54000</v>
      </c>
      <c r="W99" s="371">
        <f t="shared" si="25"/>
        <v>6480000</v>
      </c>
      <c r="X99" s="935">
        <f t="shared" si="22"/>
        <v>3.6</v>
      </c>
      <c r="Y99" s="934">
        <v>1800000</v>
      </c>
      <c r="Z99" s="931">
        <f t="shared" si="23"/>
        <v>6480000</v>
      </c>
      <c r="AA99" s="568">
        <f t="shared" si="21"/>
        <v>79</v>
      </c>
      <c r="AB99" s="493">
        <f>IFERROR(INDEX('[12]CN BC'!$M$10:$M$276,MATCH(B99,'[12]CN BC'!$H$10:$H$276,0)),"")</f>
        <v>0</v>
      </c>
      <c r="AC99" s="523" t="s">
        <v>2233</v>
      </c>
      <c r="AD99" s="108"/>
      <c r="AE99" s="108"/>
      <c r="AF99" s="155"/>
      <c r="AG99" s="108"/>
      <c r="AH99" s="108"/>
      <c r="AI99" s="108"/>
      <c r="AJ99" s="108"/>
      <c r="AK99" s="108"/>
      <c r="AL99" s="108"/>
    </row>
    <row r="100" spans="1:42" s="372" customFormat="1" ht="26.25" customHeight="1">
      <c r="A100" s="379">
        <f>_xlfn.AGGREGATE(4,7,A$20:A99)+1</f>
        <v>80</v>
      </c>
      <c r="B100" s="363" t="s">
        <v>1473</v>
      </c>
      <c r="C100" s="364" t="s">
        <v>1444</v>
      </c>
      <c r="D100" s="434" t="s">
        <v>1683</v>
      </c>
      <c r="E100" s="426" t="s">
        <v>1583</v>
      </c>
      <c r="F100" s="373">
        <v>3.66</v>
      </c>
      <c r="G100" s="367"/>
      <c r="H100" s="368">
        <f t="shared" si="14"/>
        <v>3.66</v>
      </c>
      <c r="I100" s="368">
        <v>0.35</v>
      </c>
      <c r="J100" s="368" t="str">
        <f>VLOOKUP(B100,TH.T3!B106:J364,9,FALSE)</f>
        <v>Phó Trưởng khoa Kinh tế</v>
      </c>
      <c r="K100" s="369">
        <f t="shared" si="15"/>
        <v>4.01</v>
      </c>
      <c r="L100" s="362">
        <f t="shared" si="16"/>
        <v>7218000</v>
      </c>
      <c r="M100" s="366" t="str">
        <f>VLOOKUP(B100,'[11]Gui chi Quynh'!$B$11:$E$400,4,FALSE)</f>
        <v>A1</v>
      </c>
      <c r="N100" s="494">
        <f t="shared" si="17"/>
        <v>11548800</v>
      </c>
      <c r="O100" s="376">
        <v>19</v>
      </c>
      <c r="P100" s="440">
        <f>IFERROR(INDEX('[12]CN BC'!$J$10:$J$276,MATCH(B100,'[12]CN BC'!$H$10:$H$276,0)),"")</f>
        <v>19</v>
      </c>
      <c r="Q100" s="494">
        <f t="shared" si="18"/>
        <v>11548800</v>
      </c>
      <c r="R100" s="460"/>
      <c r="S100" s="362">
        <f t="shared" si="24"/>
        <v>0</v>
      </c>
      <c r="T100" s="370"/>
      <c r="U100" s="362">
        <f t="shared" si="19"/>
        <v>0</v>
      </c>
      <c r="V100" s="584">
        <f t="shared" si="20"/>
        <v>72180</v>
      </c>
      <c r="W100" s="371">
        <f t="shared" si="25"/>
        <v>11548800</v>
      </c>
      <c r="X100" s="935">
        <f t="shared" si="22"/>
        <v>6.4160000000000004</v>
      </c>
      <c r="Y100" s="934">
        <v>1800000</v>
      </c>
      <c r="Z100" s="931">
        <f t="shared" si="23"/>
        <v>11548800</v>
      </c>
      <c r="AA100" s="568">
        <f t="shared" si="21"/>
        <v>80</v>
      </c>
      <c r="AB100" s="493">
        <f>IFERROR(INDEX('[12]CN BC'!$M$10:$M$276,MATCH(B100,'[12]CN BC'!$H$10:$H$276,0)),"")</f>
        <v>0</v>
      </c>
      <c r="AC100" s="523" t="s">
        <v>2233</v>
      </c>
      <c r="AF100" s="487"/>
    </row>
    <row r="101" spans="1:42" s="372" customFormat="1" ht="26.25" customHeight="1">
      <c r="A101" s="379">
        <f>_xlfn.AGGREGATE(4,7,A$20:A100)+1</f>
        <v>81</v>
      </c>
      <c r="B101" s="462" t="s">
        <v>1928</v>
      </c>
      <c r="C101" s="364"/>
      <c r="D101" s="434" t="s">
        <v>1961</v>
      </c>
      <c r="E101" s="479" t="s">
        <v>1934</v>
      </c>
      <c r="F101" s="369">
        <v>2.34</v>
      </c>
      <c r="G101" s="367"/>
      <c r="H101" s="368">
        <f t="shared" si="14"/>
        <v>2.34</v>
      </c>
      <c r="I101" s="368"/>
      <c r="J101" s="368" t="str">
        <f>VLOOKUP(B101,TH.T3!B107:J365,9,FALSE)</f>
        <v>Giảng viên khoa Kinh tế</v>
      </c>
      <c r="K101" s="369">
        <f t="shared" si="15"/>
        <v>2.34</v>
      </c>
      <c r="L101" s="362">
        <f t="shared" si="16"/>
        <v>4212000</v>
      </c>
      <c r="M101" s="366" t="str">
        <f>VLOOKUP(B101,'[11]Gui chi Quynh'!$B$11:$E$400,4,FALSE)</f>
        <v>A3</v>
      </c>
      <c r="N101" s="494">
        <f t="shared" si="17"/>
        <v>5054400</v>
      </c>
      <c r="O101" s="376">
        <v>19</v>
      </c>
      <c r="P101" s="440">
        <f>IFERROR(INDEX('[12]CN BC'!$J$10:$J$276,MATCH(B101,'[12]CN BC'!$H$10:$H$276,0)),"")</f>
        <v>19</v>
      </c>
      <c r="Q101" s="494">
        <f t="shared" si="18"/>
        <v>5054400</v>
      </c>
      <c r="R101" s="460"/>
      <c r="S101" s="362">
        <f t="shared" si="24"/>
        <v>0</v>
      </c>
      <c r="T101" s="370"/>
      <c r="U101" s="362">
        <f t="shared" si="19"/>
        <v>0</v>
      </c>
      <c r="V101" s="584">
        <f t="shared" si="20"/>
        <v>42120</v>
      </c>
      <c r="W101" s="371">
        <f t="shared" si="25"/>
        <v>5054400</v>
      </c>
      <c r="X101" s="935">
        <f t="shared" si="22"/>
        <v>2.8079999999999998</v>
      </c>
      <c r="Y101" s="934">
        <v>1800000</v>
      </c>
      <c r="Z101" s="931">
        <f t="shared" si="23"/>
        <v>5054400</v>
      </c>
      <c r="AA101" s="568">
        <f t="shared" si="21"/>
        <v>81</v>
      </c>
      <c r="AB101" s="493">
        <f>IFERROR(INDEX('[12]CN BC'!$M$10:$M$276,MATCH(B101,'[12]CN BC'!$H$10:$H$276,0)),"")</f>
        <v>0</v>
      </c>
      <c r="AC101" s="523" t="s">
        <v>2233</v>
      </c>
      <c r="AF101" s="487"/>
    </row>
    <row r="102" spans="1:42" s="372" customFormat="1" ht="32.25" customHeight="1">
      <c r="A102" s="379">
        <f>_xlfn.AGGREGATE(4,7,A$20:A101)+1</f>
        <v>82</v>
      </c>
      <c r="B102" s="363" t="s">
        <v>1474</v>
      </c>
      <c r="C102" s="364" t="s">
        <v>1103</v>
      </c>
      <c r="D102" s="434" t="s">
        <v>1684</v>
      </c>
      <c r="E102" s="426" t="s">
        <v>1584</v>
      </c>
      <c r="F102" s="373">
        <v>3.33</v>
      </c>
      <c r="G102" s="367"/>
      <c r="H102" s="445">
        <f t="shared" si="14"/>
        <v>3.33</v>
      </c>
      <c r="I102" s="368"/>
      <c r="J102" s="368" t="str">
        <f>VLOOKUP(B102,TH.T3!B108:J366,9,FALSE)</f>
        <v>Giảng viên khoa Kinh tế</v>
      </c>
      <c r="K102" s="369">
        <f t="shared" si="15"/>
        <v>3.33</v>
      </c>
      <c r="L102" s="362">
        <f t="shared" si="16"/>
        <v>5994000</v>
      </c>
      <c r="M102" s="366" t="str">
        <f>VLOOKUP(B102,'[11]Gui chi Quynh'!$B$11:$E$400,4,FALSE)</f>
        <v>A3</v>
      </c>
      <c r="N102" s="494">
        <f t="shared" si="17"/>
        <v>7192800</v>
      </c>
      <c r="O102" s="376">
        <v>19</v>
      </c>
      <c r="P102" s="440">
        <f>IFERROR(INDEX('[12]CN BC'!$J$10:$J$276,MATCH(B102,'[12]CN BC'!$H$10:$H$276,0)),"")</f>
        <v>19</v>
      </c>
      <c r="Q102" s="494">
        <f t="shared" si="18"/>
        <v>7192800</v>
      </c>
      <c r="R102" s="460"/>
      <c r="S102" s="362">
        <f t="shared" si="24"/>
        <v>0</v>
      </c>
      <c r="T102" s="370"/>
      <c r="U102" s="362">
        <f t="shared" si="19"/>
        <v>0</v>
      </c>
      <c r="V102" s="584">
        <f t="shared" si="20"/>
        <v>59940</v>
      </c>
      <c r="W102" s="371">
        <f t="shared" si="25"/>
        <v>7192800</v>
      </c>
      <c r="X102" s="935">
        <f t="shared" si="22"/>
        <v>3.996</v>
      </c>
      <c r="Y102" s="934">
        <v>1800000</v>
      </c>
      <c r="Z102" s="931">
        <f t="shared" si="23"/>
        <v>7192800</v>
      </c>
      <c r="AA102" s="568">
        <f t="shared" si="21"/>
        <v>82</v>
      </c>
      <c r="AB102" s="493">
        <f>IFERROR(INDEX('[12]CN BC'!$M$10:$M$276,MATCH(B102,'[12]CN BC'!$H$10:$H$276,0)),"")</f>
        <v>0</v>
      </c>
      <c r="AC102" s="523" t="s">
        <v>2233</v>
      </c>
      <c r="AF102" s="487"/>
    </row>
    <row r="103" spans="1:42" s="372" customFormat="1" ht="28.5" customHeight="1">
      <c r="A103" s="379">
        <f>_xlfn.AGGREGATE(4,7,A$20:A102)+1</f>
        <v>83</v>
      </c>
      <c r="B103" s="363" t="s">
        <v>1571</v>
      </c>
      <c r="C103" s="364"/>
      <c r="D103" s="434" t="s">
        <v>1685</v>
      </c>
      <c r="E103" s="435" t="s">
        <v>1572</v>
      </c>
      <c r="F103" s="369">
        <v>3</v>
      </c>
      <c r="G103" s="367"/>
      <c r="H103" s="445">
        <f t="shared" si="14"/>
        <v>3</v>
      </c>
      <c r="I103" s="368"/>
      <c r="J103" s="368" t="str">
        <f>VLOOKUP(B103,TH.T3!B109:J367,9,FALSE)</f>
        <v>Giảng viên khoa Kinh tế</v>
      </c>
      <c r="K103" s="369">
        <f t="shared" si="15"/>
        <v>3</v>
      </c>
      <c r="L103" s="362">
        <f t="shared" si="16"/>
        <v>5400000</v>
      </c>
      <c r="M103" s="366" t="str">
        <f>VLOOKUP(B103,'[11]Gui chi Quynh'!$B$11:$E$400,4,FALSE)</f>
        <v>A3</v>
      </c>
      <c r="N103" s="494">
        <f t="shared" si="17"/>
        <v>6480000</v>
      </c>
      <c r="O103" s="376">
        <v>19</v>
      </c>
      <c r="P103" s="440">
        <f>IFERROR(INDEX('[12]CN BC'!$J$10:$J$276,MATCH(B103,'[12]CN BC'!$H$10:$H$276,0)),"")</f>
        <v>19</v>
      </c>
      <c r="Q103" s="494">
        <f t="shared" si="18"/>
        <v>6480000</v>
      </c>
      <c r="R103" s="392"/>
      <c r="S103" s="362">
        <f t="shared" si="24"/>
        <v>0</v>
      </c>
      <c r="T103" s="370"/>
      <c r="U103" s="362">
        <f t="shared" si="19"/>
        <v>0</v>
      </c>
      <c r="V103" s="584">
        <f t="shared" si="20"/>
        <v>54000</v>
      </c>
      <c r="W103" s="371">
        <f t="shared" si="25"/>
        <v>6480000</v>
      </c>
      <c r="X103" s="935">
        <f t="shared" si="22"/>
        <v>3.6</v>
      </c>
      <c r="Y103" s="934">
        <v>1800000</v>
      </c>
      <c r="Z103" s="931">
        <f t="shared" si="23"/>
        <v>6480000</v>
      </c>
      <c r="AA103" s="568">
        <f t="shared" si="21"/>
        <v>83</v>
      </c>
      <c r="AB103" s="493">
        <f>IFERROR(INDEX('[12]CN BC'!$M$10:$M$276,MATCH(B103,'[12]CN BC'!$H$10:$H$276,0)),"")</f>
        <v>0</v>
      </c>
      <c r="AC103" s="523" t="s">
        <v>2233</v>
      </c>
      <c r="AD103" s="108"/>
      <c r="AE103" s="108"/>
      <c r="AF103" s="155"/>
      <c r="AG103" s="108"/>
      <c r="AH103" s="108"/>
      <c r="AI103" s="108"/>
      <c r="AJ103" s="108"/>
      <c r="AK103" s="108"/>
      <c r="AL103" s="108"/>
    </row>
    <row r="104" spans="1:42" s="372" customFormat="1" ht="28.5" customHeight="1">
      <c r="A104" s="379">
        <f>_xlfn.AGGREGATE(4,7,A$20:A103)+1</f>
        <v>84</v>
      </c>
      <c r="B104" s="363" t="s">
        <v>1475</v>
      </c>
      <c r="C104" s="364" t="s">
        <v>49</v>
      </c>
      <c r="D104" s="434" t="s">
        <v>1686</v>
      </c>
      <c r="E104" s="426" t="s">
        <v>1585</v>
      </c>
      <c r="F104" s="373">
        <v>3.66</v>
      </c>
      <c r="G104" s="367"/>
      <c r="H104" s="445">
        <f t="shared" si="14"/>
        <v>3.66</v>
      </c>
      <c r="I104" s="368"/>
      <c r="J104" s="368" t="str">
        <f>VLOOKUP(B104,TH.T3!B110:J368,9,FALSE)</f>
        <v>Giảng viên khoa Kinh tế</v>
      </c>
      <c r="K104" s="369">
        <f t="shared" si="15"/>
        <v>3.66</v>
      </c>
      <c r="L104" s="362">
        <f t="shared" si="16"/>
        <v>6588000</v>
      </c>
      <c r="M104" s="366" t="str">
        <f>VLOOKUP(B104,'[11]Gui chi Quynh'!$B$11:$E$400,4,FALSE)</f>
        <v>A1</v>
      </c>
      <c r="N104" s="494">
        <f t="shared" si="17"/>
        <v>10540800</v>
      </c>
      <c r="O104" s="376">
        <v>19</v>
      </c>
      <c r="P104" s="440">
        <f>IFERROR(INDEX('[12]CN BC'!$J$10:$J$276,MATCH(B104,'[12]CN BC'!$H$10:$H$276,0)),"")</f>
        <v>19</v>
      </c>
      <c r="Q104" s="494">
        <f t="shared" si="18"/>
        <v>10540800</v>
      </c>
      <c r="R104" s="460"/>
      <c r="S104" s="362">
        <f t="shared" si="24"/>
        <v>0</v>
      </c>
      <c r="T104" s="370"/>
      <c r="U104" s="362">
        <f t="shared" si="19"/>
        <v>0</v>
      </c>
      <c r="V104" s="584">
        <f t="shared" si="20"/>
        <v>65880</v>
      </c>
      <c r="W104" s="371">
        <f t="shared" si="25"/>
        <v>10540800</v>
      </c>
      <c r="X104" s="935">
        <f t="shared" si="22"/>
        <v>5.8559999999999999</v>
      </c>
      <c r="Y104" s="934">
        <v>1800000</v>
      </c>
      <c r="Z104" s="931">
        <f t="shared" si="23"/>
        <v>10540800</v>
      </c>
      <c r="AA104" s="568">
        <f t="shared" si="21"/>
        <v>84</v>
      </c>
      <c r="AB104" s="493">
        <f>IFERROR(INDEX('[12]CN BC'!$M$10:$M$276,MATCH(B104,'[12]CN BC'!$H$10:$H$276,0)),"")</f>
        <v>0</v>
      </c>
      <c r="AC104" s="523" t="s">
        <v>2233</v>
      </c>
      <c r="AD104" s="471"/>
      <c r="AE104" s="108"/>
      <c r="AF104" s="155"/>
    </row>
    <row r="105" spans="1:42" s="372" customFormat="1" ht="28.5" customHeight="1">
      <c r="A105" s="379">
        <f>_xlfn.AGGREGATE(4,7,A$20:A104)+1</f>
        <v>85</v>
      </c>
      <c r="B105" s="363" t="s">
        <v>1476</v>
      </c>
      <c r="C105" s="364" t="s">
        <v>1209</v>
      </c>
      <c r="D105" s="434" t="s">
        <v>1687</v>
      </c>
      <c r="E105" s="426" t="s">
        <v>1586</v>
      </c>
      <c r="F105" s="373">
        <v>3</v>
      </c>
      <c r="G105" s="367"/>
      <c r="H105" s="445">
        <f t="shared" si="14"/>
        <v>3</v>
      </c>
      <c r="I105" s="368"/>
      <c r="J105" s="368" t="str">
        <f>VLOOKUP(B105,TH.T3!B111:J369,9,FALSE)</f>
        <v>Giảng viên khoa Du lịch - Khách sạn</v>
      </c>
      <c r="K105" s="369">
        <f t="shared" si="15"/>
        <v>3</v>
      </c>
      <c r="L105" s="362">
        <f t="shared" si="16"/>
        <v>5400000</v>
      </c>
      <c r="M105" s="366" t="str">
        <f>VLOOKUP(B105,'[11]Gui chi Quynh'!$B$11:$E$400,4,FALSE)</f>
        <v>A3</v>
      </c>
      <c r="N105" s="494">
        <f t="shared" si="17"/>
        <v>6480000</v>
      </c>
      <c r="O105" s="376">
        <v>19</v>
      </c>
      <c r="P105" s="440">
        <f>IFERROR(INDEX('[12]CN BC'!$J$10:$J$276,MATCH(B105,'[12]CN BC'!$H$10:$H$276,0)),"")</f>
        <v>19</v>
      </c>
      <c r="Q105" s="494">
        <f t="shared" si="18"/>
        <v>6480000</v>
      </c>
      <c r="R105" s="392"/>
      <c r="S105" s="362">
        <f t="shared" si="24"/>
        <v>0</v>
      </c>
      <c r="T105" s="370"/>
      <c r="U105" s="362">
        <f t="shared" si="19"/>
        <v>0</v>
      </c>
      <c r="V105" s="584">
        <f t="shared" si="20"/>
        <v>54000</v>
      </c>
      <c r="W105" s="371">
        <f t="shared" si="25"/>
        <v>6480000</v>
      </c>
      <c r="X105" s="935">
        <f t="shared" si="22"/>
        <v>3.6</v>
      </c>
      <c r="Y105" s="934">
        <v>1800000</v>
      </c>
      <c r="Z105" s="931">
        <f t="shared" si="23"/>
        <v>6480000</v>
      </c>
      <c r="AA105" s="568">
        <f t="shared" si="21"/>
        <v>85</v>
      </c>
      <c r="AB105" s="493">
        <f>IFERROR(INDEX('[12]CN BC'!$M$10:$M$276,MATCH(B105,'[12]CN BC'!$H$10:$H$276,0)),"")</f>
        <v>0</v>
      </c>
      <c r="AC105" s="523" t="s">
        <v>2234</v>
      </c>
      <c r="AD105" s="108"/>
      <c r="AE105" s="108"/>
      <c r="AF105" s="155"/>
      <c r="AG105" s="108"/>
      <c r="AH105" s="108"/>
      <c r="AI105" s="108"/>
      <c r="AJ105" s="108"/>
      <c r="AK105" s="108"/>
      <c r="AL105" s="108"/>
    </row>
    <row r="106" spans="1:42" s="372" customFormat="1" ht="28.5" customHeight="1">
      <c r="A106" s="379">
        <f>_xlfn.AGGREGATE(4,7,A$20:A105)+1</f>
        <v>86</v>
      </c>
      <c r="B106" s="363" t="s">
        <v>1477</v>
      </c>
      <c r="C106" s="364" t="s">
        <v>920</v>
      </c>
      <c r="D106" s="434" t="s">
        <v>1688</v>
      </c>
      <c r="E106" s="426" t="s">
        <v>1587</v>
      </c>
      <c r="F106" s="373">
        <v>3.66</v>
      </c>
      <c r="G106" s="367"/>
      <c r="H106" s="445">
        <f t="shared" si="14"/>
        <v>3.66</v>
      </c>
      <c r="I106" s="368">
        <v>0.25</v>
      </c>
      <c r="J106" s="368" t="str">
        <f>VLOOKUP(B106,TH.T3!B112:J370,9,FALSE)</f>
        <v>Giảng viên khoa Du lịch - Khách sạn</v>
      </c>
      <c r="K106" s="369">
        <f t="shared" si="15"/>
        <v>3.91</v>
      </c>
      <c r="L106" s="362">
        <f t="shared" si="16"/>
        <v>7038000</v>
      </c>
      <c r="M106" s="366" t="str">
        <f>VLOOKUP(B106,'[11]Gui chi Quynh'!$B$11:$E$400,4,FALSE)</f>
        <v>A2</v>
      </c>
      <c r="N106" s="494">
        <f t="shared" si="17"/>
        <v>9853200</v>
      </c>
      <c r="O106" s="376">
        <v>19</v>
      </c>
      <c r="P106" s="440">
        <f>IFERROR(INDEX('[12]CN BC'!$J$10:$J$276,MATCH(B106,'[12]CN BC'!$H$10:$H$276,0)),"")</f>
        <v>19</v>
      </c>
      <c r="Q106" s="494">
        <f t="shared" si="18"/>
        <v>9853200</v>
      </c>
      <c r="R106" s="460"/>
      <c r="S106" s="362">
        <f t="shared" si="24"/>
        <v>0</v>
      </c>
      <c r="T106" s="370"/>
      <c r="U106" s="362">
        <f t="shared" si="19"/>
        <v>0</v>
      </c>
      <c r="V106" s="584">
        <f t="shared" si="20"/>
        <v>70380</v>
      </c>
      <c r="W106" s="371">
        <f t="shared" si="25"/>
        <v>9853200</v>
      </c>
      <c r="X106" s="935">
        <f t="shared" si="22"/>
        <v>5.4740000000000002</v>
      </c>
      <c r="Y106" s="934">
        <v>1800000</v>
      </c>
      <c r="Z106" s="931">
        <f t="shared" si="23"/>
        <v>9853200</v>
      </c>
      <c r="AA106" s="568">
        <f t="shared" si="21"/>
        <v>86</v>
      </c>
      <c r="AB106" s="493">
        <f>IFERROR(INDEX('[12]CN BC'!$M$10:$M$276,MATCH(B106,'[12]CN BC'!$H$10:$H$276,0)),"")</f>
        <v>0</v>
      </c>
      <c r="AC106" s="523" t="s">
        <v>2236</v>
      </c>
      <c r="AD106" s="108"/>
      <c r="AE106" s="108"/>
      <c r="AF106" s="155"/>
      <c r="AG106" s="108"/>
      <c r="AH106" s="108"/>
      <c r="AI106" s="108"/>
      <c r="AJ106" s="108"/>
      <c r="AK106" s="108"/>
      <c r="AL106" s="108"/>
    </row>
    <row r="107" spans="1:42" s="372" customFormat="1" ht="28.5" customHeight="1">
      <c r="A107" s="379">
        <f>_xlfn.AGGREGATE(4,7,A$20:A106)+1</f>
        <v>87</v>
      </c>
      <c r="B107" s="462" t="s">
        <v>1842</v>
      </c>
      <c r="C107" s="364"/>
      <c r="D107" s="434" t="s">
        <v>1962</v>
      </c>
      <c r="E107" s="479" t="s">
        <v>1933</v>
      </c>
      <c r="F107" s="373">
        <v>3</v>
      </c>
      <c r="G107" s="367"/>
      <c r="H107" s="445">
        <f t="shared" si="14"/>
        <v>3</v>
      </c>
      <c r="I107" s="368"/>
      <c r="J107" s="368" t="str">
        <f>VLOOKUP(B107,TH.T3!B113:J371,9,FALSE)</f>
        <v>Giảng viên khoa Kinh tế</v>
      </c>
      <c r="K107" s="369">
        <f t="shared" si="15"/>
        <v>3</v>
      </c>
      <c r="L107" s="362">
        <f t="shared" si="16"/>
        <v>5400000</v>
      </c>
      <c r="M107" s="366" t="str">
        <f>VLOOKUP(B107,'[11]Gui chi Quynh'!$B$11:$E$400,4,FALSE)</f>
        <v>A2</v>
      </c>
      <c r="N107" s="494">
        <f t="shared" si="17"/>
        <v>7559999.9999999991</v>
      </c>
      <c r="O107" s="376">
        <v>19</v>
      </c>
      <c r="P107" s="440">
        <f>IFERROR(INDEX('[12]CN BC'!$J$10:$J$276,MATCH(B107,'[12]CN BC'!$H$10:$H$276,0)),"")</f>
        <v>21</v>
      </c>
      <c r="Q107" s="494">
        <f t="shared" si="18"/>
        <v>7559999.9999999991</v>
      </c>
      <c r="R107" s="460"/>
      <c r="S107" s="362">
        <f t="shared" si="24"/>
        <v>0</v>
      </c>
      <c r="T107" s="370"/>
      <c r="U107" s="362">
        <f t="shared" si="19"/>
        <v>0</v>
      </c>
      <c r="V107" s="584">
        <f t="shared" si="20"/>
        <v>54000</v>
      </c>
      <c r="W107" s="371">
        <f t="shared" si="25"/>
        <v>7559999.9999999991</v>
      </c>
      <c r="X107" s="935">
        <f t="shared" si="22"/>
        <v>4.1999999999999993</v>
      </c>
      <c r="Y107" s="934">
        <v>1800000</v>
      </c>
      <c r="Z107" s="931">
        <f t="shared" si="23"/>
        <v>7559999.9999999991</v>
      </c>
      <c r="AA107" s="568">
        <f t="shared" si="21"/>
        <v>87</v>
      </c>
      <c r="AB107" s="493" t="str">
        <f>IFERROR(INDEX('[12]CN BC'!$M$10:$M$276,MATCH(B107,'[12]CN BC'!$H$10:$H$276,0)),"")</f>
        <v>Hỗ trợ công việc phòng KHTC</v>
      </c>
      <c r="AC107" s="523" t="s">
        <v>2233</v>
      </c>
      <c r="AD107" s="108"/>
      <c r="AE107" s="108"/>
      <c r="AF107" s="155"/>
      <c r="AG107" s="108"/>
      <c r="AH107" s="108"/>
      <c r="AI107" s="108"/>
      <c r="AJ107" s="108"/>
      <c r="AK107" s="108"/>
      <c r="AL107" s="108"/>
    </row>
    <row r="108" spans="1:42" s="372" customFormat="1" ht="28.5" customHeight="1">
      <c r="A108" s="379">
        <f>_xlfn.AGGREGATE(4,7,A$20:A107)+1</f>
        <v>88</v>
      </c>
      <c r="B108" s="462" t="s">
        <v>1946</v>
      </c>
      <c r="C108" s="364"/>
      <c r="D108" s="379" t="s">
        <v>1950</v>
      </c>
      <c r="E108" s="479" t="s">
        <v>1951</v>
      </c>
      <c r="F108" s="369">
        <v>2.67</v>
      </c>
      <c r="G108" s="367"/>
      <c r="H108" s="445">
        <f t="shared" si="14"/>
        <v>2.67</v>
      </c>
      <c r="I108" s="368">
        <v>0.45</v>
      </c>
      <c r="J108" s="368" t="str">
        <f>VLOOKUP(B108,TH.T3!B114:J372,9,FALSE)</f>
        <v>Trưởng khoa Du lịch - Khách sạn</v>
      </c>
      <c r="K108" s="369">
        <f t="shared" si="15"/>
        <v>3.12</v>
      </c>
      <c r="L108" s="362">
        <f t="shared" si="16"/>
        <v>5616000</v>
      </c>
      <c r="M108" s="366" t="str">
        <f>VLOOKUP(B108,'[11]Gui chi Quynh'!$B$11:$E$400,4,FALSE)</f>
        <v>A1</v>
      </c>
      <c r="N108" s="494">
        <f t="shared" si="17"/>
        <v>8985600</v>
      </c>
      <c r="O108" s="376">
        <v>19</v>
      </c>
      <c r="P108" s="440">
        <f>IFERROR(INDEX('[12]CN BC'!$J$10:$J$276,MATCH(B108,'[12]CN BC'!$H$10:$H$276,0)),"")</f>
        <v>19</v>
      </c>
      <c r="Q108" s="494">
        <f t="shared" si="18"/>
        <v>8985600</v>
      </c>
      <c r="R108" s="460"/>
      <c r="S108" s="362">
        <f t="shared" si="24"/>
        <v>0</v>
      </c>
      <c r="T108" s="370"/>
      <c r="U108" s="362">
        <f t="shared" si="19"/>
        <v>0</v>
      </c>
      <c r="V108" s="584">
        <f t="shared" si="20"/>
        <v>56160</v>
      </c>
      <c r="W108" s="371">
        <f t="shared" si="25"/>
        <v>8985600</v>
      </c>
      <c r="X108" s="935">
        <f t="shared" si="22"/>
        <v>4.992</v>
      </c>
      <c r="Y108" s="934">
        <v>1800000</v>
      </c>
      <c r="Z108" s="931">
        <f t="shared" si="23"/>
        <v>8985600</v>
      </c>
      <c r="AA108" s="568">
        <f t="shared" si="21"/>
        <v>88</v>
      </c>
      <c r="AB108" s="493">
        <f>IFERROR(INDEX('[12]CN BC'!$M$10:$M$276,MATCH(B108,'[12]CN BC'!$H$10:$H$276,0)),"")</f>
        <v>0</v>
      </c>
      <c r="AC108" s="523" t="s">
        <v>2236</v>
      </c>
      <c r="AD108" s="108"/>
      <c r="AE108" s="108"/>
      <c r="AF108" s="155"/>
      <c r="AG108" s="108"/>
      <c r="AH108" s="108"/>
      <c r="AI108" s="108"/>
      <c r="AJ108" s="108"/>
      <c r="AK108" s="108"/>
      <c r="AL108" s="108"/>
    </row>
    <row r="109" spans="1:42" s="372" customFormat="1" ht="36.75" customHeight="1">
      <c r="A109" s="543">
        <f>_xlfn.AGGREGATE(4,7,A$20:A108)+1</f>
        <v>89</v>
      </c>
      <c r="B109" s="544" t="s">
        <v>1947</v>
      </c>
      <c r="C109" s="527"/>
      <c r="D109" s="543" t="s">
        <v>1952</v>
      </c>
      <c r="E109" s="545" t="s">
        <v>1953</v>
      </c>
      <c r="F109" s="529">
        <v>2.34</v>
      </c>
      <c r="G109" s="528"/>
      <c r="H109" s="546">
        <f t="shared" si="14"/>
        <v>2.34</v>
      </c>
      <c r="I109" s="472"/>
      <c r="J109" s="472" t="str">
        <f>VLOOKUP(B109,TH.T3!B115:J373,9,FALSE)</f>
        <v>Giảng viên khoa Du lịch - Khách sạn</v>
      </c>
      <c r="K109" s="529">
        <f t="shared" si="15"/>
        <v>2.34</v>
      </c>
      <c r="L109" s="530">
        <f t="shared" si="16"/>
        <v>4212000</v>
      </c>
      <c r="M109" s="548" t="str">
        <f>VLOOKUP(B109,'[11]Gui chi Quynh'!$B$11:$E$400,4,FALSE)</f>
        <v>A DN</v>
      </c>
      <c r="N109" s="531">
        <f t="shared" si="17"/>
        <v>0</v>
      </c>
      <c r="O109" s="549">
        <v>19</v>
      </c>
      <c r="P109" s="532">
        <f>IFERROR(INDEX('[12]CN BC'!$J$10:$J$276,MATCH(B109,'[12]CN BC'!$H$10:$H$276,0)),"")</f>
        <v>0</v>
      </c>
      <c r="Q109" s="531">
        <f t="shared" si="18"/>
        <v>0</v>
      </c>
      <c r="R109" s="533"/>
      <c r="S109" s="530">
        <f t="shared" si="24"/>
        <v>0</v>
      </c>
      <c r="T109" s="534"/>
      <c r="U109" s="530">
        <f t="shared" si="19"/>
        <v>0</v>
      </c>
      <c r="V109" s="530" t="str">
        <f t="shared" si="20"/>
        <v>0</v>
      </c>
      <c r="W109" s="547">
        <f t="shared" si="25"/>
        <v>0</v>
      </c>
      <c r="X109" s="938">
        <f t="shared" si="22"/>
        <v>0</v>
      </c>
      <c r="Y109" s="939">
        <v>1800000</v>
      </c>
      <c r="Z109" s="933">
        <f t="shared" si="23"/>
        <v>0</v>
      </c>
      <c r="AA109" s="571">
        <f t="shared" si="21"/>
        <v>89</v>
      </c>
      <c r="AB109" s="550" t="str">
        <f>IFERROR(INDEX('[12]CN BC'!$M$10:$M$276,MATCH(B109,'[12]CN BC'!$H$10:$H$276,0)),"")</f>
        <v>Đi du học nước ngoài từ 28/2/2023</v>
      </c>
      <c r="AC109" s="523" t="s">
        <v>2236</v>
      </c>
      <c r="AD109" s="108"/>
      <c r="AE109" s="108"/>
      <c r="AF109" s="155"/>
      <c r="AG109" s="108"/>
      <c r="AH109" s="108"/>
      <c r="AI109" s="108"/>
      <c r="AJ109" s="108"/>
      <c r="AK109" s="108"/>
      <c r="AL109" s="108"/>
    </row>
    <row r="110" spans="1:42" s="372" customFormat="1" ht="28.5" customHeight="1">
      <c r="A110" s="379">
        <f>_xlfn.AGGREGATE(4,7,A$20:A109)+1</f>
        <v>90</v>
      </c>
      <c r="B110" s="462" t="s">
        <v>1997</v>
      </c>
      <c r="C110" s="364"/>
      <c r="D110" s="379"/>
      <c r="E110" s="479"/>
      <c r="F110" s="369">
        <v>2.34</v>
      </c>
      <c r="G110" s="367"/>
      <c r="H110" s="445">
        <f t="shared" si="14"/>
        <v>2.34</v>
      </c>
      <c r="I110" s="368"/>
      <c r="J110" s="368" t="str">
        <f>VLOOKUP(B110,TH.T3!B116:J374,9,FALSE)</f>
        <v>Giảng viên khoa Kinh tế</v>
      </c>
      <c r="K110" s="369">
        <f t="shared" si="15"/>
        <v>2.34</v>
      </c>
      <c r="L110" s="362">
        <f t="shared" si="16"/>
        <v>4212000</v>
      </c>
      <c r="M110" s="366" t="str">
        <f>VLOOKUP(B110,'[11]Gui chi Quynh'!$B$11:$E$400,4,FALSE)</f>
        <v>A2</v>
      </c>
      <c r="N110" s="494">
        <f t="shared" si="17"/>
        <v>5896800</v>
      </c>
      <c r="O110" s="376">
        <v>19</v>
      </c>
      <c r="P110" s="440">
        <f>IFERROR(INDEX('[12]CN BC'!$J$10:$J$276,MATCH(B110,'[12]CN BC'!$H$10:$H$276,0)),"")</f>
        <v>19</v>
      </c>
      <c r="Q110" s="494">
        <f t="shared" si="18"/>
        <v>5896800</v>
      </c>
      <c r="R110" s="460"/>
      <c r="S110" s="362">
        <f>R110*$G$17*1.4</f>
        <v>0</v>
      </c>
      <c r="T110" s="370"/>
      <c r="U110" s="362">
        <f t="shared" si="19"/>
        <v>0</v>
      </c>
      <c r="V110" s="584">
        <f t="shared" si="20"/>
        <v>42120</v>
      </c>
      <c r="W110" s="371">
        <f t="shared" si="25"/>
        <v>5896800</v>
      </c>
      <c r="X110" s="935">
        <f t="shared" si="22"/>
        <v>3.2759999999999998</v>
      </c>
      <c r="Y110" s="934">
        <v>1800000</v>
      </c>
      <c r="Z110" s="931">
        <f t="shared" si="23"/>
        <v>5896800</v>
      </c>
      <c r="AA110" s="568">
        <f t="shared" si="21"/>
        <v>90</v>
      </c>
      <c r="AB110" s="493">
        <f>IFERROR(INDEX('[12]CN BC'!$M$10:$M$276,MATCH(B110,'[12]CN BC'!$H$10:$H$276,0)),"")</f>
        <v>0</v>
      </c>
      <c r="AC110" s="523" t="s">
        <v>2233</v>
      </c>
      <c r="AD110" s="108"/>
      <c r="AE110" s="108"/>
      <c r="AF110" s="487"/>
    </row>
    <row r="111" spans="1:42" s="372" customFormat="1" ht="28.5" customHeight="1">
      <c r="A111" s="379">
        <f>_xlfn.AGGREGATE(4,7,A$20:A110)+1</f>
        <v>91</v>
      </c>
      <c r="B111" s="462" t="s">
        <v>1998</v>
      </c>
      <c r="C111" s="364"/>
      <c r="D111" s="379"/>
      <c r="E111" s="479"/>
      <c r="F111" s="373">
        <v>3.33</v>
      </c>
      <c r="G111" s="367"/>
      <c r="H111" s="445">
        <f t="shared" si="14"/>
        <v>3.33</v>
      </c>
      <c r="I111" s="368"/>
      <c r="J111" s="368" t="str">
        <f>VLOOKUP(B111,TH.T3!B117:J375,9,FALSE)</f>
        <v>Giảng viên khoa Du lịch - Khách sạn</v>
      </c>
      <c r="K111" s="369">
        <f t="shared" si="15"/>
        <v>3.33</v>
      </c>
      <c r="L111" s="362">
        <f t="shared" si="16"/>
        <v>5994000</v>
      </c>
      <c r="M111" s="366" t="str">
        <f>VLOOKUP(B111,'[11]Gui chi Quynh'!$B$11:$E$400,4,FALSE)</f>
        <v>A2</v>
      </c>
      <c r="N111" s="494">
        <f t="shared" si="17"/>
        <v>8391600</v>
      </c>
      <c r="O111" s="376">
        <v>19</v>
      </c>
      <c r="P111" s="440">
        <f>IFERROR(INDEX('[12]CN BC'!$J$10:$J$276,MATCH(B111,'[12]CN BC'!$H$10:$H$276,0)),"")</f>
        <v>19</v>
      </c>
      <c r="Q111" s="494">
        <f t="shared" si="18"/>
        <v>8391600</v>
      </c>
      <c r="R111" s="460"/>
      <c r="S111" s="362">
        <f t="shared" si="24"/>
        <v>0</v>
      </c>
      <c r="T111" s="370"/>
      <c r="U111" s="362">
        <f t="shared" si="19"/>
        <v>0</v>
      </c>
      <c r="V111" s="584">
        <f t="shared" si="20"/>
        <v>59940</v>
      </c>
      <c r="W111" s="371">
        <f t="shared" si="25"/>
        <v>8391600</v>
      </c>
      <c r="X111" s="935">
        <f t="shared" si="22"/>
        <v>4.6619999999999999</v>
      </c>
      <c r="Y111" s="934">
        <v>1800000</v>
      </c>
      <c r="Z111" s="931">
        <f t="shared" si="23"/>
        <v>8391600</v>
      </c>
      <c r="AA111" s="568">
        <f t="shared" si="21"/>
        <v>91</v>
      </c>
      <c r="AB111" s="493">
        <f>IFERROR(INDEX('[12]CN BC'!$M$10:$M$276,MATCH(B111,'[12]CN BC'!$H$10:$H$276,0)),"")</f>
        <v>0</v>
      </c>
      <c r="AC111" s="523" t="s">
        <v>2236</v>
      </c>
      <c r="AD111" s="108"/>
      <c r="AE111" s="108"/>
      <c r="AF111" s="487"/>
    </row>
    <row r="112" spans="1:42" s="372" customFormat="1" ht="28.5" customHeight="1">
      <c r="A112" s="379">
        <f>_xlfn.AGGREGATE(4,7,A$20:A111)+1</f>
        <v>92</v>
      </c>
      <c r="B112" s="462" t="s">
        <v>1999</v>
      </c>
      <c r="C112" s="364"/>
      <c r="D112" s="379"/>
      <c r="E112" s="479"/>
      <c r="F112" s="373">
        <v>3.66</v>
      </c>
      <c r="G112" s="367"/>
      <c r="H112" s="445">
        <f t="shared" si="14"/>
        <v>3.66</v>
      </c>
      <c r="I112" s="368"/>
      <c r="J112" s="368" t="str">
        <f>VLOOKUP(B112,TH.T3!B118:J376,9,FALSE)</f>
        <v>Giảng viên khoa Kinh tế</v>
      </c>
      <c r="K112" s="369">
        <f t="shared" si="15"/>
        <v>3.66</v>
      </c>
      <c r="L112" s="362">
        <f t="shared" si="16"/>
        <v>6588000</v>
      </c>
      <c r="M112" s="366" t="str">
        <f>VLOOKUP(B112,'[11]Gui chi Quynh'!$B$11:$E$400,4,FALSE)</f>
        <v>A1</v>
      </c>
      <c r="N112" s="494">
        <f t="shared" si="17"/>
        <v>10540800</v>
      </c>
      <c r="O112" s="376">
        <v>19</v>
      </c>
      <c r="P112" s="440">
        <f>IFERROR(INDEX('[12]CN BC'!$J$10:$J$276,MATCH(B112,'[12]CN BC'!$H$10:$H$276,0)),"")</f>
        <v>19</v>
      </c>
      <c r="Q112" s="494">
        <f t="shared" si="18"/>
        <v>10540800</v>
      </c>
      <c r="R112" s="460"/>
      <c r="S112" s="362">
        <f t="shared" si="24"/>
        <v>0</v>
      </c>
      <c r="T112" s="370"/>
      <c r="U112" s="362">
        <f t="shared" si="19"/>
        <v>0</v>
      </c>
      <c r="V112" s="584">
        <f t="shared" si="20"/>
        <v>65880</v>
      </c>
      <c r="W112" s="371">
        <f t="shared" si="25"/>
        <v>10540800</v>
      </c>
      <c r="X112" s="935">
        <f t="shared" si="22"/>
        <v>5.8559999999999999</v>
      </c>
      <c r="Y112" s="934">
        <v>1800000</v>
      </c>
      <c r="Z112" s="931">
        <f t="shared" si="23"/>
        <v>10540800</v>
      </c>
      <c r="AA112" s="568">
        <f t="shared" si="21"/>
        <v>92</v>
      </c>
      <c r="AB112" s="493">
        <f>IFERROR(INDEX('[12]CN BC'!$M$10:$M$276,MATCH(B112,'[12]CN BC'!$H$10:$H$276,0)),"")</f>
        <v>0</v>
      </c>
      <c r="AC112" s="523" t="s">
        <v>2233</v>
      </c>
      <c r="AD112" s="108"/>
      <c r="AE112" s="108"/>
      <c r="AF112" s="487"/>
    </row>
    <row r="113" spans="1:42" s="372" customFormat="1" ht="28.5" customHeight="1">
      <c r="A113" s="379">
        <f>_xlfn.AGGREGATE(4,7,A$20:A112)+1</f>
        <v>93</v>
      </c>
      <c r="B113" s="462" t="s">
        <v>2001</v>
      </c>
      <c r="C113" s="364"/>
      <c r="D113" s="379"/>
      <c r="E113" s="479"/>
      <c r="F113" s="373">
        <v>3</v>
      </c>
      <c r="G113" s="367"/>
      <c r="H113" s="445">
        <f t="shared" si="14"/>
        <v>3</v>
      </c>
      <c r="I113" s="368"/>
      <c r="J113" s="368" t="str">
        <f>VLOOKUP(B113,TH.T3!B119:J377,9,FALSE)</f>
        <v>Giảng viên khoa Du lịch - Khách sạn</v>
      </c>
      <c r="K113" s="369">
        <f t="shared" si="15"/>
        <v>3</v>
      </c>
      <c r="L113" s="362">
        <f t="shared" si="16"/>
        <v>5400000</v>
      </c>
      <c r="M113" s="366" t="str">
        <f>VLOOKUP(B113,'[11]Gui chi Quynh'!$B$11:$E$400,4,FALSE)</f>
        <v>A2</v>
      </c>
      <c r="N113" s="494">
        <f t="shared" si="17"/>
        <v>7559999.9999999991</v>
      </c>
      <c r="O113" s="376">
        <v>19</v>
      </c>
      <c r="P113" s="440">
        <f>IFERROR(INDEX('[12]CN BC'!$J$10:$J$276,MATCH(B113,'[12]CN BC'!$H$10:$H$276,0)),"")</f>
        <v>19</v>
      </c>
      <c r="Q113" s="494">
        <f t="shared" si="18"/>
        <v>7559999.9999999991</v>
      </c>
      <c r="R113" s="460"/>
      <c r="S113" s="362">
        <f t="shared" si="24"/>
        <v>0</v>
      </c>
      <c r="T113" s="370"/>
      <c r="U113" s="362">
        <f t="shared" si="19"/>
        <v>0</v>
      </c>
      <c r="V113" s="584">
        <f t="shared" si="20"/>
        <v>54000</v>
      </c>
      <c r="W113" s="371">
        <f t="shared" si="25"/>
        <v>7559999.9999999991</v>
      </c>
      <c r="X113" s="935">
        <f t="shared" si="22"/>
        <v>4.1999999999999993</v>
      </c>
      <c r="Y113" s="934">
        <v>1800000</v>
      </c>
      <c r="Z113" s="931">
        <f t="shared" si="23"/>
        <v>7559999.9999999991</v>
      </c>
      <c r="AA113" s="568">
        <f t="shared" si="21"/>
        <v>93</v>
      </c>
      <c r="AB113" s="493">
        <f>IFERROR(INDEX('[12]CN BC'!$M$10:$M$276,MATCH(B113,'[12]CN BC'!$H$10:$H$276,0)),"")</f>
        <v>0</v>
      </c>
      <c r="AC113" s="523" t="s">
        <v>2236</v>
      </c>
      <c r="AD113" s="108"/>
      <c r="AE113" s="108"/>
      <c r="AF113" s="487"/>
    </row>
    <row r="114" spans="1:42" s="372" customFormat="1" ht="37.5" customHeight="1">
      <c r="A114" s="379">
        <f>_xlfn.AGGREGATE(4,7,A$20:A113)+1</f>
        <v>94</v>
      </c>
      <c r="B114" s="462" t="s">
        <v>2021</v>
      </c>
      <c r="C114" s="364"/>
      <c r="D114" s="379"/>
      <c r="E114" s="479"/>
      <c r="F114" s="373">
        <v>3.66</v>
      </c>
      <c r="G114" s="367"/>
      <c r="H114" s="445">
        <f t="shared" si="14"/>
        <v>3.66</v>
      </c>
      <c r="I114" s="368"/>
      <c r="J114" s="368" t="str">
        <f>VLOOKUP(B114,TH.T3!B120:J378,9,FALSE)</f>
        <v>Giảng viên khoa Kinh tế</v>
      </c>
      <c r="K114" s="369">
        <f t="shared" si="15"/>
        <v>3.66</v>
      </c>
      <c r="L114" s="362">
        <f t="shared" si="16"/>
        <v>6588000</v>
      </c>
      <c r="M114" s="366" t="str">
        <f>VLOOKUP(B114,'[11]Gui chi Quynh'!$B$11:$E$400,4,FALSE)</f>
        <v>A3</v>
      </c>
      <c r="N114" s="494">
        <f t="shared" si="17"/>
        <v>7905600</v>
      </c>
      <c r="O114" s="376">
        <v>19</v>
      </c>
      <c r="P114" s="440">
        <f>IFERROR(INDEX('[12]CN BC'!$J$10:$J$276,MATCH(B114,'[12]CN BC'!$H$10:$H$276,0)),"")</f>
        <v>19</v>
      </c>
      <c r="Q114" s="494">
        <f t="shared" si="18"/>
        <v>7905600</v>
      </c>
      <c r="R114" s="460"/>
      <c r="S114" s="362">
        <f t="shared" si="24"/>
        <v>0</v>
      </c>
      <c r="T114" s="370"/>
      <c r="U114" s="362">
        <f t="shared" si="19"/>
        <v>0</v>
      </c>
      <c r="V114" s="584">
        <f t="shared" si="20"/>
        <v>65880</v>
      </c>
      <c r="W114" s="371">
        <f t="shared" si="25"/>
        <v>7905600</v>
      </c>
      <c r="X114" s="935">
        <f t="shared" si="22"/>
        <v>4.3920000000000003</v>
      </c>
      <c r="Y114" s="934">
        <v>1800000</v>
      </c>
      <c r="Z114" s="931">
        <f t="shared" si="23"/>
        <v>7905600.0000000009</v>
      </c>
      <c r="AA114" s="568">
        <f t="shared" si="21"/>
        <v>94</v>
      </c>
      <c r="AB114" s="493">
        <f>IFERROR(INDEX('[12]CN BC'!$M$10:$M$276,MATCH(B114,'[12]CN BC'!$H$10:$H$276,0)),"")</f>
        <v>0</v>
      </c>
      <c r="AC114" s="539" t="s">
        <v>2233</v>
      </c>
      <c r="AF114" s="487"/>
    </row>
    <row r="115" spans="1:42" s="372" customFormat="1" ht="32.25" customHeight="1">
      <c r="A115" s="379">
        <f>_xlfn.AGGREGATE(4,7,A$20:A114)+1</f>
        <v>95</v>
      </c>
      <c r="B115" s="363" t="s">
        <v>1478</v>
      </c>
      <c r="C115" s="364" t="s">
        <v>272</v>
      </c>
      <c r="D115" s="434" t="s">
        <v>1689</v>
      </c>
      <c r="E115" s="423" t="s">
        <v>371</v>
      </c>
      <c r="F115" s="373">
        <v>3.66</v>
      </c>
      <c r="G115" s="367"/>
      <c r="H115" s="368">
        <f t="shared" si="14"/>
        <v>3.66</v>
      </c>
      <c r="I115" s="368"/>
      <c r="J115" s="368" t="str">
        <f>VLOOKUP(B115,TH.T3!B121:J379,9,FALSE)</f>
        <v>Giảng viên khoa May - Thời trang</v>
      </c>
      <c r="K115" s="369">
        <f t="shared" si="15"/>
        <v>3.66</v>
      </c>
      <c r="L115" s="362">
        <f>K115*$G$17</f>
        <v>6588000</v>
      </c>
      <c r="M115" s="366" t="str">
        <f>VLOOKUP(B115,'[11]Gui chi Quynh'!$B$11:$E$400,4,FALSE)</f>
        <v>A4</v>
      </c>
      <c r="N115" s="494">
        <f t="shared" si="17"/>
        <v>6588000</v>
      </c>
      <c r="O115" s="376">
        <v>19</v>
      </c>
      <c r="P115" s="440">
        <f>IFERROR(INDEX('[12]CN BC'!$J$10:$J$276,MATCH(B115,'[12]CN BC'!$H$10:$H$276,0)),"")</f>
        <v>19</v>
      </c>
      <c r="Q115" s="494">
        <f t="shared" si="18"/>
        <v>6588000</v>
      </c>
      <c r="R115" s="460"/>
      <c r="S115" s="362">
        <f t="shared" si="24"/>
        <v>0</v>
      </c>
      <c r="T115" s="370"/>
      <c r="U115" s="362">
        <f t="shared" si="19"/>
        <v>0</v>
      </c>
      <c r="V115" s="584">
        <f t="shared" si="20"/>
        <v>65880</v>
      </c>
      <c r="W115" s="371">
        <f t="shared" si="25"/>
        <v>6588000</v>
      </c>
      <c r="X115" s="935">
        <f t="shared" si="22"/>
        <v>3.66</v>
      </c>
      <c r="Y115" s="934">
        <v>1800000</v>
      </c>
      <c r="Z115" s="931">
        <f t="shared" si="23"/>
        <v>6588000</v>
      </c>
      <c r="AA115" s="568">
        <f t="shared" si="21"/>
        <v>95</v>
      </c>
      <c r="AB115" s="493">
        <f>IFERROR(INDEX('[12]CN BC'!$M$10:$M$276,MATCH(B115,'[12]CN BC'!$H$10:$H$276,0)),"")</f>
        <v>0</v>
      </c>
      <c r="AC115" s="945" t="s">
        <v>2235</v>
      </c>
      <c r="AD115" s="108"/>
      <c r="AE115" s="108"/>
      <c r="AF115" s="155"/>
      <c r="AG115" s="108"/>
      <c r="AH115" s="108"/>
      <c r="AI115" s="108"/>
      <c r="AJ115" s="108"/>
      <c r="AK115" s="108"/>
      <c r="AL115" s="108"/>
    </row>
    <row r="116" spans="1:42" s="372" customFormat="1" ht="32.25" customHeight="1">
      <c r="A116" s="379">
        <f>_xlfn.AGGREGATE(4,7,A$20:A115)+1</f>
        <v>96</v>
      </c>
      <c r="B116" s="33" t="s">
        <v>1479</v>
      </c>
      <c r="C116" s="34" t="s">
        <v>912</v>
      </c>
      <c r="D116" s="406" t="s">
        <v>1690</v>
      </c>
      <c r="E116" s="424" t="s">
        <v>372</v>
      </c>
      <c r="F116" s="83">
        <v>3.66</v>
      </c>
      <c r="G116" s="157"/>
      <c r="H116" s="368">
        <f t="shared" si="14"/>
        <v>3.66</v>
      </c>
      <c r="I116" s="81"/>
      <c r="J116" s="368" t="str">
        <f>VLOOKUP(B116,TH.T3!B122:J380,9,FALSE)</f>
        <v>Giảng viên khoa May - Thời trang</v>
      </c>
      <c r="K116" s="369">
        <f t="shared" si="15"/>
        <v>3.66</v>
      </c>
      <c r="L116" s="362">
        <f>K116*$G$17</f>
        <v>6588000</v>
      </c>
      <c r="M116" s="366" t="str">
        <f>VLOOKUP(B116,'[11]Gui chi Quynh'!$B$11:$E$400,4,FALSE)</f>
        <v>A3</v>
      </c>
      <c r="N116" s="494">
        <f t="shared" si="17"/>
        <v>7905600</v>
      </c>
      <c r="O116" s="376">
        <v>19</v>
      </c>
      <c r="P116" s="440">
        <f>IFERROR(INDEX('[12]CN BC'!$J$10:$J$276,MATCH(B116,'[12]CN BC'!$H$10:$H$276,0)),"")</f>
        <v>19</v>
      </c>
      <c r="Q116" s="494">
        <f t="shared" si="18"/>
        <v>7905600</v>
      </c>
      <c r="R116" s="392"/>
      <c r="S116" s="362">
        <f t="shared" si="24"/>
        <v>0</v>
      </c>
      <c r="T116" s="74"/>
      <c r="U116" s="362">
        <f t="shared" si="19"/>
        <v>0</v>
      </c>
      <c r="V116" s="584">
        <f t="shared" si="20"/>
        <v>65880</v>
      </c>
      <c r="W116" s="371">
        <f t="shared" si="25"/>
        <v>7905600</v>
      </c>
      <c r="X116" s="935">
        <f t="shared" si="22"/>
        <v>4.3920000000000003</v>
      </c>
      <c r="Y116" s="934">
        <v>1800000</v>
      </c>
      <c r="Z116" s="931">
        <f t="shared" si="23"/>
        <v>7905600.0000000009</v>
      </c>
      <c r="AA116" s="568">
        <f t="shared" si="21"/>
        <v>96</v>
      </c>
      <c r="AB116" s="493">
        <f>IFERROR(INDEX('[12]CN BC'!$M$10:$M$276,MATCH(B116,'[12]CN BC'!$H$10:$H$276,0)),"")</f>
        <v>0</v>
      </c>
      <c r="AC116" s="945" t="s">
        <v>2235</v>
      </c>
      <c r="AD116" s="108"/>
      <c r="AE116" s="108"/>
      <c r="AF116" s="155"/>
      <c r="AG116" s="108"/>
      <c r="AH116" s="108"/>
      <c r="AI116" s="108"/>
      <c r="AJ116" s="108"/>
      <c r="AK116" s="108"/>
      <c r="AL116" s="108"/>
      <c r="AM116" s="108"/>
      <c r="AN116" s="108"/>
      <c r="AO116" s="108"/>
      <c r="AP116" s="108"/>
    </row>
    <row r="117" spans="1:42" s="372" customFormat="1" ht="32.25" customHeight="1">
      <c r="A117" s="379">
        <f>_xlfn.AGGREGATE(4,7,A$20:A116)+1</f>
        <v>97</v>
      </c>
      <c r="B117" s="363" t="s">
        <v>1480</v>
      </c>
      <c r="C117" s="364" t="s">
        <v>733</v>
      </c>
      <c r="D117" s="406" t="s">
        <v>1691</v>
      </c>
      <c r="E117" s="426" t="s">
        <v>735</v>
      </c>
      <c r="F117" s="373">
        <v>3.33</v>
      </c>
      <c r="G117" s="367"/>
      <c r="H117" s="445">
        <f t="shared" si="14"/>
        <v>3.33</v>
      </c>
      <c r="I117" s="368">
        <v>0.45</v>
      </c>
      <c r="J117" s="368" t="str">
        <f>VLOOKUP(B117,TH.T3!B123:J381,9,FALSE)</f>
        <v>Phó Trưởng khoa May - Thời trang</v>
      </c>
      <c r="K117" s="369">
        <f t="shared" si="15"/>
        <v>3.7800000000000002</v>
      </c>
      <c r="L117" s="362">
        <f>K117*$G$17</f>
        <v>6804000</v>
      </c>
      <c r="M117" s="366" t="str">
        <f>VLOOKUP(B117,'[11]Gui chi Quynh'!$B$11:$E$400,4,FALSE)</f>
        <v>A2</v>
      </c>
      <c r="N117" s="494">
        <f t="shared" si="17"/>
        <v>9525600</v>
      </c>
      <c r="O117" s="376">
        <v>19</v>
      </c>
      <c r="P117" s="440">
        <f>IFERROR(INDEX('[12]CN BC'!$J$10:$J$276,MATCH(B117,'[12]CN BC'!$H$10:$H$276,0)),"")</f>
        <v>19</v>
      </c>
      <c r="Q117" s="494">
        <f t="shared" si="18"/>
        <v>9525600</v>
      </c>
      <c r="R117" s="392"/>
      <c r="S117" s="362">
        <f t="shared" si="24"/>
        <v>0</v>
      </c>
      <c r="T117" s="370"/>
      <c r="U117" s="362">
        <f t="shared" si="19"/>
        <v>0</v>
      </c>
      <c r="V117" s="584">
        <f t="shared" si="20"/>
        <v>68040</v>
      </c>
      <c r="W117" s="371">
        <f t="shared" si="25"/>
        <v>9525600</v>
      </c>
      <c r="X117" s="935">
        <f t="shared" si="22"/>
        <v>5.2919999999999998</v>
      </c>
      <c r="Y117" s="934">
        <v>1800000</v>
      </c>
      <c r="Z117" s="931">
        <f t="shared" si="23"/>
        <v>9525600</v>
      </c>
      <c r="AA117" s="568">
        <f t="shared" si="21"/>
        <v>97</v>
      </c>
      <c r="AB117" s="493">
        <f>IFERROR(INDEX('[12]CN BC'!$M$10:$M$276,MATCH(B117,'[12]CN BC'!$H$10:$H$276,0)),"")</f>
        <v>0</v>
      </c>
      <c r="AC117" s="945" t="s">
        <v>2235</v>
      </c>
      <c r="AD117" s="108"/>
      <c r="AE117" s="108"/>
      <c r="AF117" s="155"/>
      <c r="AG117" s="108"/>
      <c r="AH117" s="108"/>
      <c r="AI117" s="108"/>
      <c r="AJ117" s="108"/>
      <c r="AK117" s="108"/>
      <c r="AL117" s="108"/>
      <c r="AM117" s="108"/>
      <c r="AN117" s="108"/>
      <c r="AO117" s="108"/>
      <c r="AP117" s="108"/>
    </row>
    <row r="118" spans="1:42" s="372" customFormat="1" ht="32.25" customHeight="1">
      <c r="A118" s="379">
        <f>_xlfn.AGGREGATE(4,7,A$20:A117)+1</f>
        <v>98</v>
      </c>
      <c r="B118" s="363" t="s">
        <v>1481</v>
      </c>
      <c r="C118" s="364" t="s">
        <v>736</v>
      </c>
      <c r="D118" s="434" t="s">
        <v>1692</v>
      </c>
      <c r="E118" s="426">
        <v>1603205353742</v>
      </c>
      <c r="F118" s="373">
        <v>3.33</v>
      </c>
      <c r="G118" s="367"/>
      <c r="H118" s="445">
        <f>F118+(F118*G118)</f>
        <v>3.33</v>
      </c>
      <c r="I118" s="368"/>
      <c r="J118" s="368" t="str">
        <f>VLOOKUP(B118,TH.T3!B124:J382,9,FALSE)</f>
        <v>Giảng viên khoa May - Thời trang</v>
      </c>
      <c r="K118" s="369">
        <f>H118+I118</f>
        <v>3.33</v>
      </c>
      <c r="L118" s="362">
        <f>K118*$G$17</f>
        <v>5994000</v>
      </c>
      <c r="M118" s="366" t="str">
        <f>VLOOKUP(B118,'[11]Gui chi Quynh'!$B$11:$E$400,4,FALSE)</f>
        <v>A3</v>
      </c>
      <c r="N118" s="494">
        <f t="shared" si="17"/>
        <v>7192800</v>
      </c>
      <c r="O118" s="376">
        <v>19</v>
      </c>
      <c r="P118" s="440">
        <f>IFERROR(INDEX('[12]CN BC'!$J$10:$J$276,MATCH(B118,'[12]CN BC'!$H$10:$H$276,0)),"")</f>
        <v>19</v>
      </c>
      <c r="Q118" s="494">
        <f t="shared" si="18"/>
        <v>7192800</v>
      </c>
      <c r="R118" s="460"/>
      <c r="S118" s="362">
        <f t="shared" si="24"/>
        <v>0</v>
      </c>
      <c r="T118" s="370"/>
      <c r="U118" s="362">
        <f t="shared" si="19"/>
        <v>0</v>
      </c>
      <c r="V118" s="584">
        <f t="shared" si="20"/>
        <v>59940</v>
      </c>
      <c r="W118" s="371">
        <f t="shared" si="25"/>
        <v>7192800</v>
      </c>
      <c r="X118" s="935">
        <f t="shared" si="22"/>
        <v>3.996</v>
      </c>
      <c r="Y118" s="934">
        <v>1800000</v>
      </c>
      <c r="Z118" s="931">
        <f t="shared" si="23"/>
        <v>7192800</v>
      </c>
      <c r="AA118" s="568">
        <f t="shared" si="21"/>
        <v>98</v>
      </c>
      <c r="AB118" s="493">
        <f>IFERROR(INDEX('[12]CN BC'!$M$10:$M$276,MATCH(B118,'[12]CN BC'!$H$10:$H$276,0)),"")</f>
        <v>0</v>
      </c>
      <c r="AC118" s="945" t="s">
        <v>2235</v>
      </c>
      <c r="AD118" s="108"/>
      <c r="AE118" s="108"/>
      <c r="AF118" s="155"/>
      <c r="AG118" s="108"/>
      <c r="AH118" s="108"/>
      <c r="AI118" s="108"/>
      <c r="AJ118" s="108"/>
      <c r="AK118" s="108"/>
      <c r="AL118" s="108"/>
    </row>
    <row r="119" spans="1:42" s="372" customFormat="1" ht="32.25" customHeight="1">
      <c r="A119" s="379">
        <f>_xlfn.AGGREGATE(4,7,A$20:A118)+1</f>
        <v>99</v>
      </c>
      <c r="B119" s="363" t="s">
        <v>1865</v>
      </c>
      <c r="C119" s="364" t="s">
        <v>737</v>
      </c>
      <c r="D119" s="406" t="s">
        <v>1693</v>
      </c>
      <c r="E119" s="426">
        <v>1603205357136</v>
      </c>
      <c r="F119" s="373">
        <v>3.33</v>
      </c>
      <c r="G119" s="367"/>
      <c r="H119" s="445">
        <f t="shared" ref="H119:H182" si="26">F119+(F119*G119)</f>
        <v>3.33</v>
      </c>
      <c r="I119" s="368"/>
      <c r="J119" s="368" t="str">
        <f>VLOOKUP(B119,TH.T3!B125:J383,9,FALSE)</f>
        <v>Giảng viên khoa May - Thời trang</v>
      </c>
      <c r="K119" s="369">
        <f t="shared" ref="K119:K182" si="27">H119+I119</f>
        <v>3.33</v>
      </c>
      <c r="L119" s="362">
        <f t="shared" ref="L119:L182" si="28">K119*$G$17</f>
        <v>5994000</v>
      </c>
      <c r="M119" s="366" t="str">
        <f>VLOOKUP(B119,'[11]Gui chi Quynh'!$B$11:$E$400,4,FALSE)</f>
        <v>A3</v>
      </c>
      <c r="N119" s="494">
        <f t="shared" si="17"/>
        <v>7192800</v>
      </c>
      <c r="O119" s="376">
        <v>19</v>
      </c>
      <c r="P119" s="440">
        <f>IFERROR(INDEX('[12]CN BC'!$J$10:$J$276,MATCH(B119,'[12]CN BC'!$H$10:$H$276,0)),"")</f>
        <v>19</v>
      </c>
      <c r="Q119" s="494">
        <f t="shared" si="18"/>
        <v>7192800</v>
      </c>
      <c r="R119" s="392"/>
      <c r="S119" s="362">
        <f t="shared" si="24"/>
        <v>0</v>
      </c>
      <c r="T119" s="370"/>
      <c r="U119" s="362">
        <f t="shared" si="19"/>
        <v>0</v>
      </c>
      <c r="V119" s="584">
        <f t="shared" si="20"/>
        <v>59940</v>
      </c>
      <c r="W119" s="371">
        <f t="shared" si="25"/>
        <v>7192800</v>
      </c>
      <c r="X119" s="935">
        <f t="shared" si="22"/>
        <v>3.996</v>
      </c>
      <c r="Y119" s="934">
        <v>1800000</v>
      </c>
      <c r="Z119" s="931">
        <f t="shared" si="23"/>
        <v>7192800</v>
      </c>
      <c r="AA119" s="568">
        <f t="shared" si="21"/>
        <v>99</v>
      </c>
      <c r="AB119" s="493">
        <f>IFERROR(INDEX('[12]CN BC'!$M$10:$M$276,MATCH(B119,'[12]CN BC'!$H$10:$H$276,0)),"")</f>
        <v>0</v>
      </c>
      <c r="AC119" s="945" t="s">
        <v>2235</v>
      </c>
      <c r="AD119" s="108"/>
      <c r="AE119" s="108"/>
      <c r="AF119" s="155"/>
      <c r="AG119" s="108"/>
      <c r="AH119" s="108"/>
      <c r="AI119" s="108"/>
      <c r="AJ119" s="108"/>
      <c r="AK119" s="108"/>
      <c r="AL119" s="108"/>
      <c r="AM119" s="108"/>
      <c r="AN119" s="108"/>
      <c r="AO119" s="108"/>
      <c r="AP119" s="108"/>
    </row>
    <row r="120" spans="1:42" s="372" customFormat="1" ht="32.25" customHeight="1">
      <c r="A120" s="379">
        <f>_xlfn.AGGREGATE(4,7,A$20:A119)+1</f>
        <v>100</v>
      </c>
      <c r="B120" s="363" t="s">
        <v>1482</v>
      </c>
      <c r="C120" s="364" t="s">
        <v>1421</v>
      </c>
      <c r="D120" s="406" t="s">
        <v>1694</v>
      </c>
      <c r="E120" s="422" t="s">
        <v>1422</v>
      </c>
      <c r="F120" s="373">
        <v>3.33</v>
      </c>
      <c r="G120" s="367"/>
      <c r="H120" s="445">
        <f t="shared" si="26"/>
        <v>3.33</v>
      </c>
      <c r="I120" s="368"/>
      <c r="J120" s="368" t="str">
        <f>VLOOKUP(B120,TH.T3!B126:J384,9,FALSE)</f>
        <v>Giảng viên khoa May - Thời trang</v>
      </c>
      <c r="K120" s="369">
        <f t="shared" si="27"/>
        <v>3.33</v>
      </c>
      <c r="L120" s="362">
        <f t="shared" si="28"/>
        <v>5994000</v>
      </c>
      <c r="M120" s="366" t="str">
        <f>VLOOKUP(B120,'[11]Gui chi Quynh'!$B$11:$E$400,4,FALSE)</f>
        <v>A4</v>
      </c>
      <c r="N120" s="494">
        <f t="shared" si="17"/>
        <v>5994000</v>
      </c>
      <c r="O120" s="376">
        <v>19</v>
      </c>
      <c r="P120" s="440">
        <f>IFERROR(INDEX('[12]CN BC'!$J$10:$J$276,MATCH(B120,'[12]CN BC'!$H$10:$H$276,0)),"")</f>
        <v>19</v>
      </c>
      <c r="Q120" s="494">
        <f t="shared" si="18"/>
        <v>5994000</v>
      </c>
      <c r="R120" s="392"/>
      <c r="S120" s="362">
        <f t="shared" si="24"/>
        <v>0</v>
      </c>
      <c r="T120" s="385"/>
      <c r="U120" s="362">
        <f t="shared" si="19"/>
        <v>0</v>
      </c>
      <c r="V120" s="584">
        <f t="shared" si="20"/>
        <v>59940</v>
      </c>
      <c r="W120" s="371">
        <f t="shared" si="25"/>
        <v>5994000</v>
      </c>
      <c r="X120" s="935">
        <f t="shared" si="22"/>
        <v>3.33</v>
      </c>
      <c r="Y120" s="934">
        <v>1800000</v>
      </c>
      <c r="Z120" s="931">
        <f t="shared" si="23"/>
        <v>5994000</v>
      </c>
      <c r="AA120" s="568">
        <f t="shared" si="21"/>
        <v>100</v>
      </c>
      <c r="AB120" s="493">
        <f>IFERROR(INDEX('[12]CN BC'!$M$10:$M$276,MATCH(B120,'[12]CN BC'!$H$10:$H$276,0)),"")</f>
        <v>0</v>
      </c>
      <c r="AC120" s="945" t="s">
        <v>2235</v>
      </c>
      <c r="AD120" s="108"/>
      <c r="AE120" s="108"/>
      <c r="AF120" s="155"/>
      <c r="AG120" s="108"/>
      <c r="AH120" s="108"/>
      <c r="AI120" s="108"/>
      <c r="AJ120" s="108"/>
      <c r="AK120" s="108"/>
      <c r="AL120" s="108"/>
      <c r="AM120" s="108"/>
      <c r="AN120" s="108"/>
      <c r="AO120" s="108"/>
      <c r="AP120" s="108"/>
    </row>
    <row r="121" spans="1:42" s="372" customFormat="1" ht="32.25" customHeight="1">
      <c r="A121" s="379">
        <f>_xlfn.AGGREGATE(4,7,A$20:A120)+1</f>
        <v>101</v>
      </c>
      <c r="B121" s="363" t="s">
        <v>1483</v>
      </c>
      <c r="C121" s="364" t="s">
        <v>49</v>
      </c>
      <c r="D121" s="406" t="s">
        <v>1695</v>
      </c>
      <c r="E121" s="422" t="s">
        <v>1432</v>
      </c>
      <c r="F121" s="366">
        <v>4.9800000000000004</v>
      </c>
      <c r="G121" s="367">
        <v>0.05</v>
      </c>
      <c r="H121" s="368">
        <f t="shared" si="26"/>
        <v>5.2290000000000001</v>
      </c>
      <c r="I121" s="395">
        <v>0.25</v>
      </c>
      <c r="J121" s="368" t="str">
        <f>VLOOKUP(B121,TH.T3!B127:J385,9,FALSE)</f>
        <v>Giảng viên khoa Du lịch - Khách sạn</v>
      </c>
      <c r="K121" s="369">
        <f t="shared" si="27"/>
        <v>5.4790000000000001</v>
      </c>
      <c r="L121" s="362">
        <f t="shared" si="28"/>
        <v>9862200</v>
      </c>
      <c r="M121" s="366" t="str">
        <f>VLOOKUP(B121,'[11]Gui chi Quynh'!$B$11:$E$400,4,FALSE)</f>
        <v>A3</v>
      </c>
      <c r="N121" s="494">
        <f t="shared" si="17"/>
        <v>11834640</v>
      </c>
      <c r="O121" s="376">
        <v>19</v>
      </c>
      <c r="P121" s="440">
        <f>IFERROR(INDEX('[12]CN BC'!$J$10:$J$276,MATCH(B121,'[12]CN BC'!$H$10:$H$276,0)),"")</f>
        <v>19</v>
      </c>
      <c r="Q121" s="494">
        <f t="shared" si="18"/>
        <v>11834640</v>
      </c>
      <c r="R121" s="392"/>
      <c r="S121" s="362">
        <f t="shared" si="24"/>
        <v>0</v>
      </c>
      <c r="T121" s="385"/>
      <c r="U121" s="362">
        <f t="shared" si="19"/>
        <v>0</v>
      </c>
      <c r="V121" s="584">
        <f t="shared" si="20"/>
        <v>98622</v>
      </c>
      <c r="W121" s="371">
        <f t="shared" si="25"/>
        <v>11834640</v>
      </c>
      <c r="X121" s="935">
        <f t="shared" si="22"/>
        <v>6.5747999999999998</v>
      </c>
      <c r="Y121" s="934">
        <v>1800000</v>
      </c>
      <c r="Z121" s="931">
        <f t="shared" si="23"/>
        <v>11834640</v>
      </c>
      <c r="AA121" s="568">
        <f t="shared" si="21"/>
        <v>101</v>
      </c>
      <c r="AB121" s="493">
        <f>IFERROR(INDEX('[12]CN BC'!$M$10:$M$276,MATCH(B121,'[12]CN BC'!$H$10:$H$276,0)),"")</f>
        <v>0</v>
      </c>
      <c r="AC121" s="945" t="s">
        <v>2236</v>
      </c>
      <c r="AD121" s="108"/>
      <c r="AE121" s="108"/>
      <c r="AF121" s="155"/>
      <c r="AG121" s="108"/>
      <c r="AH121" s="108"/>
      <c r="AI121" s="108"/>
      <c r="AJ121" s="108"/>
      <c r="AK121" s="108"/>
      <c r="AL121" s="108"/>
      <c r="AM121" s="108"/>
      <c r="AN121" s="108"/>
      <c r="AO121" s="108"/>
      <c r="AP121" s="108"/>
    </row>
    <row r="122" spans="1:42" s="372" customFormat="1" ht="32.25" customHeight="1">
      <c r="A122" s="379">
        <f>_xlfn.AGGREGATE(4,7,A$20:A121)+1</f>
        <v>102</v>
      </c>
      <c r="B122" s="33" t="s">
        <v>1568</v>
      </c>
      <c r="C122" s="34"/>
      <c r="D122" s="406" t="s">
        <v>1696</v>
      </c>
      <c r="E122" s="432" t="s">
        <v>1569</v>
      </c>
      <c r="F122" s="83">
        <v>3.33</v>
      </c>
      <c r="G122" s="157"/>
      <c r="H122" s="445">
        <f t="shared" si="26"/>
        <v>3.33</v>
      </c>
      <c r="I122" s="81"/>
      <c r="J122" s="368" t="str">
        <f>VLOOKUP(B122,TH.T3!B128:J386,9,FALSE)</f>
        <v>Giảng viên khoa May - Thời trang</v>
      </c>
      <c r="K122" s="369">
        <f t="shared" si="27"/>
        <v>3.33</v>
      </c>
      <c r="L122" s="362">
        <f t="shared" si="28"/>
        <v>5994000</v>
      </c>
      <c r="M122" s="366" t="str">
        <f>VLOOKUP(B122,'[11]Gui chi Quynh'!$B$11:$E$400,4,FALSE)</f>
        <v>A4</v>
      </c>
      <c r="N122" s="494">
        <f t="shared" si="17"/>
        <v>5994000</v>
      </c>
      <c r="O122" s="376">
        <v>19</v>
      </c>
      <c r="P122" s="440">
        <f>IFERROR(INDEX('[12]CN BC'!$J$10:$J$276,MATCH(B122,'[12]CN BC'!$H$10:$H$276,0)),"")</f>
        <v>19</v>
      </c>
      <c r="Q122" s="494">
        <f t="shared" si="18"/>
        <v>5994000</v>
      </c>
      <c r="R122" s="392"/>
      <c r="S122" s="362">
        <f t="shared" si="24"/>
        <v>0</v>
      </c>
      <c r="T122" s="74"/>
      <c r="U122" s="362">
        <f t="shared" si="19"/>
        <v>0</v>
      </c>
      <c r="V122" s="584">
        <f t="shared" si="20"/>
        <v>59940</v>
      </c>
      <c r="W122" s="371">
        <f t="shared" si="25"/>
        <v>5994000</v>
      </c>
      <c r="X122" s="935">
        <f t="shared" si="22"/>
        <v>3.33</v>
      </c>
      <c r="Y122" s="934">
        <v>1800000</v>
      </c>
      <c r="Z122" s="931">
        <f t="shared" si="23"/>
        <v>5994000</v>
      </c>
      <c r="AA122" s="568">
        <f t="shared" si="21"/>
        <v>102</v>
      </c>
      <c r="AB122" s="493">
        <f>IFERROR(INDEX('[12]CN BC'!$M$10:$M$276,MATCH(B122,'[12]CN BC'!$H$10:$H$276,0)),"")</f>
        <v>0</v>
      </c>
      <c r="AC122" s="945" t="s">
        <v>2235</v>
      </c>
      <c r="AD122" s="108"/>
      <c r="AE122" s="108"/>
      <c r="AF122" s="155"/>
      <c r="AG122" s="108"/>
      <c r="AH122" s="108"/>
      <c r="AI122" s="108"/>
      <c r="AJ122" s="108"/>
      <c r="AK122" s="108"/>
      <c r="AL122" s="108"/>
      <c r="AM122" s="108"/>
      <c r="AN122" s="108"/>
      <c r="AO122" s="108"/>
      <c r="AP122" s="108"/>
    </row>
    <row r="123" spans="1:42" s="372" customFormat="1" ht="32.25" customHeight="1">
      <c r="A123" s="379">
        <f>_xlfn.AGGREGATE(4,7,A$20:A122)+1</f>
        <v>103</v>
      </c>
      <c r="B123" s="363" t="s">
        <v>1832</v>
      </c>
      <c r="C123" s="364"/>
      <c r="D123" s="434" t="s">
        <v>1963</v>
      </c>
      <c r="E123" s="195">
        <v>1603215005610</v>
      </c>
      <c r="F123" s="373">
        <v>3</v>
      </c>
      <c r="G123" s="367"/>
      <c r="H123" s="368">
        <f t="shared" si="26"/>
        <v>3</v>
      </c>
      <c r="I123" s="368"/>
      <c r="J123" s="368" t="str">
        <f>VLOOKUP(B123,TH.T3!B129:J387,9,FALSE)</f>
        <v>Giảng viên khoa May - Thời trang</v>
      </c>
      <c r="K123" s="369">
        <f t="shared" si="27"/>
        <v>3</v>
      </c>
      <c r="L123" s="362">
        <f t="shared" si="28"/>
        <v>5400000</v>
      </c>
      <c r="M123" s="366" t="str">
        <f>VLOOKUP(B123,'[11]Gui chi Quynh'!$B$11:$E$400,4,FALSE)</f>
        <v>A4</v>
      </c>
      <c r="N123" s="494">
        <f t="shared" si="17"/>
        <v>5400000</v>
      </c>
      <c r="O123" s="376">
        <v>19</v>
      </c>
      <c r="P123" s="440">
        <f>IFERROR(INDEX('[12]CN BC'!$J$10:$J$276,MATCH(B123,'[12]CN BC'!$H$10:$H$276,0)),"")</f>
        <v>19</v>
      </c>
      <c r="Q123" s="494">
        <f t="shared" si="18"/>
        <v>5400000</v>
      </c>
      <c r="R123" s="392"/>
      <c r="S123" s="362">
        <f t="shared" si="24"/>
        <v>0</v>
      </c>
      <c r="T123" s="370"/>
      <c r="U123" s="362">
        <f t="shared" si="19"/>
        <v>0</v>
      </c>
      <c r="V123" s="584">
        <f t="shared" si="20"/>
        <v>54000</v>
      </c>
      <c r="W123" s="371">
        <f t="shared" si="25"/>
        <v>5400000</v>
      </c>
      <c r="X123" s="935">
        <f t="shared" si="22"/>
        <v>3</v>
      </c>
      <c r="Y123" s="934">
        <v>1800000</v>
      </c>
      <c r="Z123" s="931">
        <f t="shared" si="23"/>
        <v>5400000</v>
      </c>
      <c r="AA123" s="568">
        <f t="shared" si="21"/>
        <v>103</v>
      </c>
      <c r="AB123" s="493">
        <f>IFERROR(INDEX('[12]CN BC'!$M$10:$M$276,MATCH(B123,'[12]CN BC'!$H$10:$H$276,0)),"")</f>
        <v>0</v>
      </c>
      <c r="AC123" s="945" t="s">
        <v>2235</v>
      </c>
      <c r="AD123" s="108"/>
      <c r="AE123" s="108"/>
      <c r="AF123" s="155"/>
      <c r="AG123" s="108"/>
      <c r="AH123" s="108"/>
      <c r="AI123" s="108"/>
      <c r="AJ123" s="108"/>
      <c r="AK123" s="108"/>
      <c r="AL123" s="108"/>
    </row>
    <row r="124" spans="1:42" s="108" customFormat="1" ht="27" customHeight="1">
      <c r="A124" s="379">
        <f>_xlfn.AGGREGATE(4,7,A$20:A123)+1</f>
        <v>104</v>
      </c>
      <c r="B124" s="33" t="s">
        <v>1555</v>
      </c>
      <c r="C124" s="149" t="s">
        <v>1105</v>
      </c>
      <c r="D124" s="406" t="s">
        <v>1658</v>
      </c>
      <c r="E124" s="424" t="s">
        <v>1278</v>
      </c>
      <c r="F124" s="10">
        <v>4.9800000000000004</v>
      </c>
      <c r="G124" s="45"/>
      <c r="H124" s="368">
        <f t="shared" si="26"/>
        <v>4.9800000000000004</v>
      </c>
      <c r="I124" s="464">
        <v>0.45</v>
      </c>
      <c r="J124" s="368" t="str">
        <f>VLOOKUP(B124,TH.T3!B130:J388,9,FALSE)</f>
        <v>Trưởng khoa KHCB</v>
      </c>
      <c r="K124" s="369">
        <f t="shared" si="27"/>
        <v>5.4300000000000006</v>
      </c>
      <c r="L124" s="362">
        <f t="shared" si="28"/>
        <v>9774000.0000000019</v>
      </c>
      <c r="M124" s="366" t="str">
        <f>VLOOKUP(B124,'[11]Gui chi Quynh'!$B$11:$E$400,4,FALSE)</f>
        <v>A3</v>
      </c>
      <c r="N124" s="494">
        <f t="shared" si="17"/>
        <v>11728800.000000002</v>
      </c>
      <c r="O124" s="376">
        <v>19</v>
      </c>
      <c r="P124" s="440">
        <f>IFERROR(INDEX('[12]CN BC'!$J$10:$J$276,MATCH(B124,'[12]CN BC'!$H$10:$H$276,0)),"")</f>
        <v>20</v>
      </c>
      <c r="Q124" s="494">
        <f t="shared" si="18"/>
        <v>11728800.000000002</v>
      </c>
      <c r="R124" s="454"/>
      <c r="S124" s="362">
        <f t="shared" si="24"/>
        <v>0</v>
      </c>
      <c r="T124" s="74"/>
      <c r="U124" s="362">
        <f t="shared" si="19"/>
        <v>0</v>
      </c>
      <c r="V124" s="584">
        <f t="shared" si="20"/>
        <v>97740</v>
      </c>
      <c r="W124" s="371">
        <f t="shared" si="25"/>
        <v>11728800.000000002</v>
      </c>
      <c r="X124" s="935">
        <f t="shared" si="22"/>
        <v>6.5160000000000009</v>
      </c>
      <c r="Y124" s="934">
        <v>1800000</v>
      </c>
      <c r="Z124" s="931">
        <f t="shared" si="23"/>
        <v>11728800.000000002</v>
      </c>
      <c r="AA124" s="568">
        <f t="shared" si="21"/>
        <v>104</v>
      </c>
      <c r="AB124" s="493">
        <f>IFERROR(INDEX('[12]CN BC'!$M$10:$M$276,MATCH(B124,'[12]CN BC'!$H$10:$H$276,0)),"")</f>
        <v>0</v>
      </c>
      <c r="AC124" s="523" t="s">
        <v>539</v>
      </c>
      <c r="AF124" s="155"/>
    </row>
    <row r="125" spans="1:42" s="372" customFormat="1" ht="28.5" customHeight="1">
      <c r="A125" s="379">
        <f>_xlfn.AGGREGATE(4,7,A$20:A124)+1</f>
        <v>105</v>
      </c>
      <c r="B125" s="363" t="s">
        <v>1866</v>
      </c>
      <c r="C125" s="364" t="s">
        <v>873</v>
      </c>
      <c r="D125" s="434" t="s">
        <v>1697</v>
      </c>
      <c r="E125" s="423" t="s">
        <v>1300</v>
      </c>
      <c r="F125" s="366">
        <v>4.9800000000000004</v>
      </c>
      <c r="G125" s="367">
        <v>0.06</v>
      </c>
      <c r="H125" s="368">
        <f t="shared" si="26"/>
        <v>5.2788000000000004</v>
      </c>
      <c r="I125" s="368">
        <v>0.25</v>
      </c>
      <c r="J125" s="368" t="str">
        <f>VLOOKUP(B125,TH.T3!B131:J389,9,FALSE)</f>
        <v>Giảng viên Khoa KHCB</v>
      </c>
      <c r="K125" s="369">
        <f t="shared" si="27"/>
        <v>5.5288000000000004</v>
      </c>
      <c r="L125" s="362">
        <f t="shared" si="28"/>
        <v>9951840</v>
      </c>
      <c r="M125" s="366" t="str">
        <f>VLOOKUP(B125,'[11]Gui chi Quynh'!$B$11:$E$400,4,FALSE)</f>
        <v>A4</v>
      </c>
      <c r="N125" s="494">
        <f t="shared" si="17"/>
        <v>9951840</v>
      </c>
      <c r="O125" s="376">
        <v>19</v>
      </c>
      <c r="P125" s="440">
        <f>IFERROR(INDEX('[12]CN BC'!$J$10:$J$276,MATCH(B125,'[12]CN BC'!$H$10:$H$276,0)),"")</f>
        <v>20</v>
      </c>
      <c r="Q125" s="494">
        <f t="shared" si="18"/>
        <v>9951840</v>
      </c>
      <c r="R125" s="460"/>
      <c r="S125" s="362">
        <f t="shared" si="24"/>
        <v>0</v>
      </c>
      <c r="T125" s="370"/>
      <c r="U125" s="362">
        <f t="shared" si="19"/>
        <v>0</v>
      </c>
      <c r="V125" s="584">
        <f t="shared" si="20"/>
        <v>99518</v>
      </c>
      <c r="W125" s="371">
        <f t="shared" si="25"/>
        <v>9951840</v>
      </c>
      <c r="X125" s="935">
        <f t="shared" si="22"/>
        <v>5.5288000000000004</v>
      </c>
      <c r="Y125" s="934">
        <v>1800000</v>
      </c>
      <c r="Z125" s="931">
        <f t="shared" si="23"/>
        <v>9951840</v>
      </c>
      <c r="AA125" s="568">
        <f t="shared" si="21"/>
        <v>105</v>
      </c>
      <c r="AB125" s="493">
        <f>IFERROR(INDEX('[12]CN BC'!$M$10:$M$276,MATCH(B125,'[12]CN BC'!$H$10:$H$276,0)),"")</f>
        <v>0</v>
      </c>
      <c r="AC125" s="523" t="s">
        <v>539</v>
      </c>
      <c r="AD125" s="108"/>
      <c r="AE125" s="108"/>
      <c r="AF125" s="487"/>
    </row>
    <row r="126" spans="1:42" s="108" customFormat="1" ht="30" customHeight="1">
      <c r="A126" s="379">
        <f>_xlfn.AGGREGATE(4,7,A$20:A125)+1</f>
        <v>106</v>
      </c>
      <c r="B126" s="33" t="s">
        <v>1867</v>
      </c>
      <c r="C126" s="34" t="s">
        <v>883</v>
      </c>
      <c r="D126" s="406" t="s">
        <v>1698</v>
      </c>
      <c r="E126" s="424" t="s">
        <v>1299</v>
      </c>
      <c r="F126" s="10">
        <v>4.32</v>
      </c>
      <c r="G126" s="157"/>
      <c r="H126" s="368">
        <f t="shared" si="26"/>
        <v>4.32</v>
      </c>
      <c r="I126" s="81"/>
      <c r="J126" s="368" t="str">
        <f>VLOOKUP(B126,TH.T3!B132:J390,9,FALSE)</f>
        <v>Giảng viên Khoa KHCB</v>
      </c>
      <c r="K126" s="369">
        <f t="shared" si="27"/>
        <v>4.32</v>
      </c>
      <c r="L126" s="362">
        <f t="shared" si="28"/>
        <v>7776000.0000000009</v>
      </c>
      <c r="M126" s="366" t="str">
        <f>VLOOKUP(B126,'[11]Gui chi Quynh'!$B$11:$E$400,4,FALSE)</f>
        <v>A4</v>
      </c>
      <c r="N126" s="494">
        <f t="shared" si="17"/>
        <v>7776000.0000000009</v>
      </c>
      <c r="O126" s="376">
        <v>19</v>
      </c>
      <c r="P126" s="440">
        <f>IFERROR(INDEX('[12]CN BC'!$J$10:$J$276,MATCH(B126,'[12]CN BC'!$H$10:$H$276,0)),"")</f>
        <v>20</v>
      </c>
      <c r="Q126" s="494">
        <f t="shared" si="18"/>
        <v>7776000.0000000009</v>
      </c>
      <c r="R126" s="392"/>
      <c r="S126" s="362">
        <f t="shared" si="24"/>
        <v>0</v>
      </c>
      <c r="T126" s="385"/>
      <c r="U126" s="362">
        <f t="shared" si="19"/>
        <v>0</v>
      </c>
      <c r="V126" s="584">
        <f t="shared" si="20"/>
        <v>77760</v>
      </c>
      <c r="W126" s="371">
        <f t="shared" si="25"/>
        <v>7776000.0000000009</v>
      </c>
      <c r="X126" s="935">
        <f t="shared" si="22"/>
        <v>4.32</v>
      </c>
      <c r="Y126" s="934">
        <v>1800000</v>
      </c>
      <c r="Z126" s="931">
        <f t="shared" si="23"/>
        <v>7776000.0000000009</v>
      </c>
      <c r="AA126" s="568">
        <f t="shared" si="21"/>
        <v>106</v>
      </c>
      <c r="AB126" s="493">
        <f>IFERROR(INDEX('[12]CN BC'!$M$10:$M$276,MATCH(B126,'[12]CN BC'!$H$10:$H$276,0)),"")</f>
        <v>0</v>
      </c>
      <c r="AC126" s="523" t="s">
        <v>539</v>
      </c>
      <c r="AF126" s="155"/>
    </row>
    <row r="127" spans="1:42" s="372" customFormat="1" ht="30" customHeight="1">
      <c r="A127" s="379">
        <f>_xlfn.AGGREGATE(4,7,A$20:A126)+1</f>
        <v>107</v>
      </c>
      <c r="B127" s="363" t="s">
        <v>1485</v>
      </c>
      <c r="C127" s="364" t="s">
        <v>1009</v>
      </c>
      <c r="D127" s="406" t="s">
        <v>1699</v>
      </c>
      <c r="E127" s="423" t="s">
        <v>373</v>
      </c>
      <c r="F127" s="366">
        <v>3.99</v>
      </c>
      <c r="G127" s="367"/>
      <c r="H127" s="368">
        <f t="shared" si="26"/>
        <v>3.99</v>
      </c>
      <c r="I127" s="368"/>
      <c r="J127" s="368" t="str">
        <f>VLOOKUP(B127,TH.T3!B133:J391,9,FALSE)</f>
        <v>Giảng viên khoa KHCB</v>
      </c>
      <c r="K127" s="369">
        <f t="shared" si="27"/>
        <v>3.99</v>
      </c>
      <c r="L127" s="362">
        <f t="shared" si="28"/>
        <v>7182000</v>
      </c>
      <c r="M127" s="366" t="str">
        <f>VLOOKUP(B127,'[11]Gui chi Quynh'!$B$11:$E$400,4,FALSE)</f>
        <v>A4</v>
      </c>
      <c r="N127" s="494">
        <f t="shared" si="17"/>
        <v>7182000</v>
      </c>
      <c r="O127" s="376">
        <v>19</v>
      </c>
      <c r="P127" s="440">
        <f>IFERROR(INDEX('[12]CN BC'!$J$10:$J$276,MATCH(B127,'[12]CN BC'!$H$10:$H$276,0)),"")</f>
        <v>20</v>
      </c>
      <c r="Q127" s="494">
        <f t="shared" si="18"/>
        <v>7182000</v>
      </c>
      <c r="R127" s="392"/>
      <c r="S127" s="362">
        <f t="shared" si="24"/>
        <v>0</v>
      </c>
      <c r="T127" s="385"/>
      <c r="U127" s="362">
        <f t="shared" si="19"/>
        <v>0</v>
      </c>
      <c r="V127" s="584">
        <f t="shared" si="20"/>
        <v>71820</v>
      </c>
      <c r="W127" s="371">
        <f t="shared" si="25"/>
        <v>7182000</v>
      </c>
      <c r="X127" s="935">
        <f t="shared" si="22"/>
        <v>3.99</v>
      </c>
      <c r="Y127" s="934">
        <v>1800000</v>
      </c>
      <c r="Z127" s="931">
        <f t="shared" si="23"/>
        <v>7182000</v>
      </c>
      <c r="AA127" s="568">
        <f t="shared" si="21"/>
        <v>107</v>
      </c>
      <c r="AB127" s="493">
        <f>IFERROR(INDEX('[12]CN BC'!$M$10:$M$276,MATCH(B127,'[12]CN BC'!$H$10:$H$276,0)),"")</f>
        <v>0</v>
      </c>
      <c r="AC127" s="523" t="s">
        <v>539</v>
      </c>
      <c r="AD127" s="108"/>
      <c r="AE127" s="108"/>
      <c r="AF127" s="155"/>
      <c r="AG127" s="108"/>
      <c r="AH127" s="108"/>
      <c r="AI127" s="108"/>
      <c r="AJ127" s="108"/>
      <c r="AK127" s="108"/>
      <c r="AL127" s="108"/>
      <c r="AM127" s="108"/>
      <c r="AN127" s="108"/>
      <c r="AO127" s="108"/>
      <c r="AP127" s="108"/>
    </row>
    <row r="128" spans="1:42" s="372" customFormat="1" ht="30" customHeight="1">
      <c r="A128" s="379">
        <f>_xlfn.AGGREGATE(4,7,A$20:A127)+1</f>
        <v>108</v>
      </c>
      <c r="B128" s="363" t="s">
        <v>1559</v>
      </c>
      <c r="C128" s="375"/>
      <c r="D128" s="406" t="s">
        <v>1647</v>
      </c>
      <c r="E128" s="423" t="s">
        <v>406</v>
      </c>
      <c r="F128" s="373">
        <v>3.66</v>
      </c>
      <c r="G128" s="378"/>
      <c r="H128" s="368">
        <f t="shared" si="26"/>
        <v>3.66</v>
      </c>
      <c r="I128" s="368"/>
      <c r="J128" s="368" t="str">
        <f>VLOOKUP(B128,TH.T3!B134:J392,9,FALSE)</f>
        <v>Giảng viên khoa KHCB</v>
      </c>
      <c r="K128" s="369">
        <f t="shared" si="27"/>
        <v>3.66</v>
      </c>
      <c r="L128" s="362">
        <f t="shared" si="28"/>
        <v>6588000</v>
      </c>
      <c r="M128" s="366" t="str">
        <f>VLOOKUP(B128,'[11]Gui chi Quynh'!$B$11:$E$400,4,FALSE)</f>
        <v>A4</v>
      </c>
      <c r="N128" s="494">
        <f t="shared" si="17"/>
        <v>6588000</v>
      </c>
      <c r="O128" s="376">
        <v>19</v>
      </c>
      <c r="P128" s="440">
        <f>IFERROR(INDEX('[12]CN BC'!$J$10:$J$276,MATCH(B128,'[12]CN BC'!$H$10:$H$276,0)),"")</f>
        <v>20</v>
      </c>
      <c r="Q128" s="494">
        <f t="shared" si="18"/>
        <v>6588000</v>
      </c>
      <c r="R128" s="392"/>
      <c r="S128" s="362">
        <f t="shared" si="24"/>
        <v>0</v>
      </c>
      <c r="T128" s="370"/>
      <c r="U128" s="362">
        <f t="shared" si="19"/>
        <v>0</v>
      </c>
      <c r="V128" s="584">
        <f t="shared" si="20"/>
        <v>65880</v>
      </c>
      <c r="W128" s="371">
        <f t="shared" si="25"/>
        <v>6588000</v>
      </c>
      <c r="X128" s="935">
        <f t="shared" si="22"/>
        <v>3.66</v>
      </c>
      <c r="Y128" s="934">
        <v>1800000</v>
      </c>
      <c r="Z128" s="931">
        <f t="shared" si="23"/>
        <v>6588000</v>
      </c>
      <c r="AA128" s="568">
        <f t="shared" si="21"/>
        <v>108</v>
      </c>
      <c r="AB128" s="493">
        <f>IFERROR(INDEX('[12]CN BC'!$M$10:$M$276,MATCH(B128,'[12]CN BC'!$H$10:$H$276,0)),"")</f>
        <v>0</v>
      </c>
      <c r="AC128" s="523" t="s">
        <v>539</v>
      </c>
      <c r="AD128" s="108"/>
      <c r="AE128" s="108"/>
      <c r="AF128" s="155"/>
      <c r="AG128" s="108"/>
      <c r="AH128" s="108"/>
      <c r="AI128" s="108"/>
      <c r="AJ128" s="108"/>
      <c r="AK128" s="108"/>
      <c r="AL128" s="108"/>
      <c r="AM128" s="108"/>
      <c r="AN128" s="108"/>
      <c r="AO128" s="108"/>
      <c r="AP128" s="108"/>
    </row>
    <row r="129" spans="1:42" s="372" customFormat="1" ht="30" customHeight="1">
      <c r="A129" s="379">
        <f>_xlfn.AGGREGATE(4,7,A$20:A128)+1</f>
        <v>109</v>
      </c>
      <c r="B129" s="363" t="s">
        <v>1868</v>
      </c>
      <c r="C129" s="364" t="s">
        <v>956</v>
      </c>
      <c r="D129" s="434" t="s">
        <v>1700</v>
      </c>
      <c r="E129" s="423" t="s">
        <v>1303</v>
      </c>
      <c r="F129" s="366">
        <v>4.6500000000000004</v>
      </c>
      <c r="G129" s="367"/>
      <c r="H129" s="368">
        <f t="shared" si="26"/>
        <v>4.6500000000000004</v>
      </c>
      <c r="I129" s="368"/>
      <c r="J129" s="368" t="str">
        <f>VLOOKUP(B129,TH.T3!B135:J393,9,FALSE)</f>
        <v>Giảng viên Khoa KHCB</v>
      </c>
      <c r="K129" s="369">
        <f t="shared" si="27"/>
        <v>4.6500000000000004</v>
      </c>
      <c r="L129" s="362">
        <f t="shared" si="28"/>
        <v>8370000.0000000009</v>
      </c>
      <c r="M129" s="366" t="str">
        <f>VLOOKUP(B129,'[11]Gui chi Quynh'!$B$11:$E$400,4,FALSE)</f>
        <v>A4</v>
      </c>
      <c r="N129" s="494">
        <f t="shared" si="17"/>
        <v>8370000.0000000009</v>
      </c>
      <c r="O129" s="376">
        <v>19</v>
      </c>
      <c r="P129" s="440">
        <f>IFERROR(INDEX('[12]CN BC'!$J$10:$J$276,MATCH(B129,'[12]CN BC'!$H$10:$H$276,0)),"")</f>
        <v>20</v>
      </c>
      <c r="Q129" s="494">
        <f t="shared" si="18"/>
        <v>8370000.0000000009</v>
      </c>
      <c r="R129" s="392"/>
      <c r="S129" s="362">
        <f t="shared" si="24"/>
        <v>0</v>
      </c>
      <c r="T129" s="370"/>
      <c r="U129" s="362">
        <f t="shared" si="19"/>
        <v>0</v>
      </c>
      <c r="V129" s="584">
        <f t="shared" si="20"/>
        <v>83700</v>
      </c>
      <c r="W129" s="371">
        <f t="shared" si="25"/>
        <v>8370000.0000000009</v>
      </c>
      <c r="X129" s="935">
        <f t="shared" si="22"/>
        <v>4.6500000000000004</v>
      </c>
      <c r="Y129" s="934">
        <v>1800000</v>
      </c>
      <c r="Z129" s="931">
        <f t="shared" si="23"/>
        <v>8370000.0000000009</v>
      </c>
      <c r="AA129" s="568">
        <f t="shared" si="21"/>
        <v>109</v>
      </c>
      <c r="AB129" s="493">
        <f>IFERROR(INDEX('[12]CN BC'!$M$10:$M$276,MATCH(B129,'[12]CN BC'!$H$10:$H$276,0)),"")</f>
        <v>0</v>
      </c>
      <c r="AC129" s="523" t="s">
        <v>539</v>
      </c>
      <c r="AD129" s="108"/>
      <c r="AE129" s="108"/>
      <c r="AF129" s="155"/>
      <c r="AG129" s="108"/>
      <c r="AH129" s="108"/>
      <c r="AI129" s="108"/>
      <c r="AJ129" s="108"/>
      <c r="AK129" s="108"/>
      <c r="AL129" s="108"/>
    </row>
    <row r="130" spans="1:42" s="372" customFormat="1" ht="30" customHeight="1">
      <c r="A130" s="379">
        <f>_xlfn.AGGREGATE(4,7,A$20:A129)+1</f>
        <v>110</v>
      </c>
      <c r="B130" s="363" t="s">
        <v>1869</v>
      </c>
      <c r="C130" s="364" t="s">
        <v>958</v>
      </c>
      <c r="D130" s="406" t="s">
        <v>1701</v>
      </c>
      <c r="E130" s="423" t="s">
        <v>1304</v>
      </c>
      <c r="F130" s="373">
        <v>4.32</v>
      </c>
      <c r="G130" s="367"/>
      <c r="H130" s="368">
        <f t="shared" si="26"/>
        <v>4.32</v>
      </c>
      <c r="I130" s="368"/>
      <c r="J130" s="368" t="str">
        <f>VLOOKUP(B130,TH.T3!B136:J394,9,FALSE)</f>
        <v>Giảng viên Khoa KHCB</v>
      </c>
      <c r="K130" s="369">
        <f t="shared" si="27"/>
        <v>4.32</v>
      </c>
      <c r="L130" s="362">
        <f t="shared" si="28"/>
        <v>7776000.0000000009</v>
      </c>
      <c r="M130" s="366" t="str">
        <f>VLOOKUP(B130,'[11]Gui chi Quynh'!$B$11:$E$400,4,FALSE)</f>
        <v>A4</v>
      </c>
      <c r="N130" s="494">
        <f t="shared" si="17"/>
        <v>7776000.0000000009</v>
      </c>
      <c r="O130" s="376">
        <v>19</v>
      </c>
      <c r="P130" s="440">
        <f>IFERROR(INDEX('[12]CN BC'!$J$10:$J$276,MATCH(B130,'[12]CN BC'!$H$10:$H$276,0)),"")</f>
        <v>20</v>
      </c>
      <c r="Q130" s="494">
        <f t="shared" si="18"/>
        <v>7776000.0000000009</v>
      </c>
      <c r="R130" s="392"/>
      <c r="S130" s="362">
        <f t="shared" si="24"/>
        <v>0</v>
      </c>
      <c r="T130" s="385"/>
      <c r="U130" s="362">
        <f t="shared" si="19"/>
        <v>0</v>
      </c>
      <c r="V130" s="584">
        <f t="shared" si="20"/>
        <v>77760</v>
      </c>
      <c r="W130" s="371">
        <f t="shared" si="25"/>
        <v>7776000.0000000009</v>
      </c>
      <c r="X130" s="935">
        <f t="shared" si="22"/>
        <v>4.32</v>
      </c>
      <c r="Y130" s="934">
        <v>1800000</v>
      </c>
      <c r="Z130" s="931">
        <f t="shared" si="23"/>
        <v>7776000.0000000009</v>
      </c>
      <c r="AA130" s="568">
        <f t="shared" si="21"/>
        <v>110</v>
      </c>
      <c r="AB130" s="493">
        <f>IFERROR(INDEX('[12]CN BC'!$M$10:$M$276,MATCH(B130,'[12]CN BC'!$H$10:$H$276,0)),"")</f>
        <v>0</v>
      </c>
      <c r="AC130" s="523" t="s">
        <v>539</v>
      </c>
      <c r="AD130" s="108"/>
      <c r="AE130" s="108"/>
      <c r="AF130" s="155"/>
      <c r="AG130" s="108"/>
      <c r="AH130" s="108"/>
      <c r="AI130" s="108"/>
      <c r="AJ130" s="108"/>
      <c r="AK130" s="108"/>
      <c r="AL130" s="108"/>
      <c r="AM130" s="108"/>
      <c r="AN130" s="108"/>
      <c r="AO130" s="108"/>
      <c r="AP130" s="108"/>
    </row>
    <row r="131" spans="1:42" s="372" customFormat="1" ht="30" customHeight="1">
      <c r="A131" s="379">
        <f>_xlfn.AGGREGATE(4,7,A$20:A130)+1</f>
        <v>111</v>
      </c>
      <c r="B131" s="363" t="s">
        <v>1870</v>
      </c>
      <c r="C131" s="364" t="s">
        <v>967</v>
      </c>
      <c r="D131" s="434" t="s">
        <v>1702</v>
      </c>
      <c r="E131" s="423" t="s">
        <v>1306</v>
      </c>
      <c r="F131" s="366">
        <v>4.9800000000000004</v>
      </c>
      <c r="G131" s="367">
        <v>0.08</v>
      </c>
      <c r="H131" s="368">
        <f t="shared" si="26"/>
        <v>5.3784000000000001</v>
      </c>
      <c r="I131" s="368"/>
      <c r="J131" s="368" t="str">
        <f>VLOOKUP(B131,TH.T3!B137:J395,9,FALSE)</f>
        <v>Giảng viên Khoa KHCB</v>
      </c>
      <c r="K131" s="369">
        <f t="shared" si="27"/>
        <v>5.3784000000000001</v>
      </c>
      <c r="L131" s="362">
        <f t="shared" si="28"/>
        <v>9681120</v>
      </c>
      <c r="M131" s="366" t="str">
        <f>VLOOKUP(B131,'[11]Gui chi Quynh'!$B$11:$E$400,4,FALSE)</f>
        <v>A3</v>
      </c>
      <c r="N131" s="494">
        <f t="shared" si="17"/>
        <v>11617344</v>
      </c>
      <c r="O131" s="376">
        <v>19</v>
      </c>
      <c r="P131" s="440">
        <f>IFERROR(INDEX('[12]CN BC'!$J$10:$J$276,MATCH(B131,'[12]CN BC'!$H$10:$H$276,0)),"")</f>
        <v>20</v>
      </c>
      <c r="Q131" s="494">
        <f t="shared" si="18"/>
        <v>11617344</v>
      </c>
      <c r="R131" s="460"/>
      <c r="S131" s="362">
        <f t="shared" si="24"/>
        <v>0</v>
      </c>
      <c r="T131" s="370"/>
      <c r="U131" s="362">
        <f t="shared" si="19"/>
        <v>0</v>
      </c>
      <c r="V131" s="584">
        <f t="shared" si="20"/>
        <v>96811</v>
      </c>
      <c r="W131" s="371">
        <f t="shared" si="25"/>
        <v>11617344</v>
      </c>
      <c r="X131" s="935">
        <f t="shared" si="22"/>
        <v>6.4540800000000003</v>
      </c>
      <c r="Y131" s="934">
        <v>1800000</v>
      </c>
      <c r="Z131" s="931">
        <f t="shared" si="23"/>
        <v>11617344</v>
      </c>
      <c r="AA131" s="568">
        <f t="shared" si="21"/>
        <v>111</v>
      </c>
      <c r="AB131" s="493">
        <f>IFERROR(INDEX('[12]CN BC'!$M$10:$M$276,MATCH(B131,'[12]CN BC'!$H$10:$H$276,0)),"")</f>
        <v>0</v>
      </c>
      <c r="AC131" s="523" t="s">
        <v>539</v>
      </c>
      <c r="AD131" s="108"/>
      <c r="AE131" s="108"/>
      <c r="AF131" s="487"/>
    </row>
    <row r="132" spans="1:42" s="372" customFormat="1" ht="26.25" customHeight="1">
      <c r="A132" s="379">
        <f>_xlfn.AGGREGATE(4,7,A$20:A131)+1</f>
        <v>112</v>
      </c>
      <c r="B132" s="363" t="s">
        <v>847</v>
      </c>
      <c r="C132" s="364" t="s">
        <v>896</v>
      </c>
      <c r="D132" s="434" t="s">
        <v>1703</v>
      </c>
      <c r="E132" s="423" t="s">
        <v>1307</v>
      </c>
      <c r="F132" s="373">
        <v>3.99</v>
      </c>
      <c r="G132" s="367"/>
      <c r="H132" s="368">
        <f t="shared" si="26"/>
        <v>3.99</v>
      </c>
      <c r="I132" s="368"/>
      <c r="J132" s="368" t="str">
        <f>VLOOKUP(B132,TH.T3!B138:J396,9,FALSE)</f>
        <v>Giảng viên khoa KHCB</v>
      </c>
      <c r="K132" s="369">
        <f t="shared" si="27"/>
        <v>3.99</v>
      </c>
      <c r="L132" s="362">
        <f t="shared" si="28"/>
        <v>7182000</v>
      </c>
      <c r="M132" s="366" t="str">
        <f>VLOOKUP(B132,'[11]Gui chi Quynh'!$B$11:$E$400,4,FALSE)</f>
        <v>A2</v>
      </c>
      <c r="N132" s="494">
        <f t="shared" si="17"/>
        <v>10054800</v>
      </c>
      <c r="O132" s="376">
        <v>19</v>
      </c>
      <c r="P132" s="440">
        <f>IFERROR(INDEX('[12]CN BC'!$J$10:$J$276,MATCH(B132,'[12]CN BC'!$H$10:$H$276,0)),"")</f>
        <v>19</v>
      </c>
      <c r="Q132" s="494">
        <f t="shared" si="18"/>
        <v>10054800</v>
      </c>
      <c r="R132" s="460"/>
      <c r="S132" s="362">
        <f t="shared" si="24"/>
        <v>0</v>
      </c>
      <c r="T132" s="370"/>
      <c r="U132" s="362">
        <f t="shared" si="19"/>
        <v>0</v>
      </c>
      <c r="V132" s="362">
        <f t="shared" si="20"/>
        <v>71820</v>
      </c>
      <c r="W132" s="371">
        <f t="shared" si="25"/>
        <v>10054800</v>
      </c>
      <c r="X132" s="935">
        <f t="shared" si="22"/>
        <v>5.5860000000000003</v>
      </c>
      <c r="Y132" s="934">
        <v>1800000</v>
      </c>
      <c r="Z132" s="931">
        <f t="shared" si="23"/>
        <v>10054800</v>
      </c>
      <c r="AA132" s="572">
        <f t="shared" si="21"/>
        <v>112</v>
      </c>
      <c r="AB132" s="493">
        <f>IFERROR(INDEX('[12]CN BC'!$M$10:$M$276,MATCH(B132,'[12]CN BC'!$H$10:$H$276,0)),"")</f>
        <v>0</v>
      </c>
      <c r="AC132" s="523" t="s">
        <v>539</v>
      </c>
      <c r="AF132" s="487"/>
    </row>
    <row r="133" spans="1:42" s="372" customFormat="1" ht="30" customHeight="1">
      <c r="A133" s="379">
        <f>_xlfn.AGGREGATE(4,7,A$20:A132)+1</f>
        <v>113</v>
      </c>
      <c r="B133" s="363" t="s">
        <v>1486</v>
      </c>
      <c r="C133" s="364" t="s">
        <v>1218</v>
      </c>
      <c r="D133" s="406" t="s">
        <v>1704</v>
      </c>
      <c r="E133" s="426" t="s">
        <v>1588</v>
      </c>
      <c r="F133" s="373">
        <v>3.66</v>
      </c>
      <c r="G133" s="367"/>
      <c r="H133" s="368">
        <f t="shared" si="26"/>
        <v>3.66</v>
      </c>
      <c r="I133" s="368"/>
      <c r="J133" s="368" t="str">
        <f>VLOOKUP(B133,TH.T3!B139:J397,9,FALSE)</f>
        <v>Giảng viên khoa KHCB</v>
      </c>
      <c r="K133" s="369">
        <f t="shared" si="27"/>
        <v>3.66</v>
      </c>
      <c r="L133" s="362">
        <f t="shared" si="28"/>
        <v>6588000</v>
      </c>
      <c r="M133" s="366" t="str">
        <f>VLOOKUP(B133,'[11]Gui chi Quynh'!$B$11:$E$400,4,FALSE)</f>
        <v>A4</v>
      </c>
      <c r="N133" s="494">
        <f t="shared" si="17"/>
        <v>6588000</v>
      </c>
      <c r="O133" s="376">
        <v>19</v>
      </c>
      <c r="P133" s="440">
        <f>IFERROR(INDEX('[12]CN BC'!$J$10:$J$276,MATCH(B133,'[12]CN BC'!$H$10:$H$276,0)),"")</f>
        <v>20</v>
      </c>
      <c r="Q133" s="494">
        <f t="shared" si="18"/>
        <v>6588000</v>
      </c>
      <c r="R133" s="392"/>
      <c r="S133" s="362">
        <f t="shared" si="24"/>
        <v>0</v>
      </c>
      <c r="T133" s="370"/>
      <c r="U133" s="362">
        <f t="shared" si="19"/>
        <v>0</v>
      </c>
      <c r="V133" s="584">
        <f t="shared" si="20"/>
        <v>65880</v>
      </c>
      <c r="W133" s="371">
        <f t="shared" si="25"/>
        <v>6588000</v>
      </c>
      <c r="X133" s="935">
        <f t="shared" si="22"/>
        <v>3.66</v>
      </c>
      <c r="Y133" s="934">
        <v>1800000</v>
      </c>
      <c r="Z133" s="931">
        <f t="shared" si="23"/>
        <v>6588000</v>
      </c>
      <c r="AA133" s="572">
        <f t="shared" si="21"/>
        <v>113</v>
      </c>
      <c r="AB133" s="493">
        <f>IFERROR(INDEX('[12]CN BC'!$M$10:$M$276,MATCH(B133,'[12]CN BC'!$H$10:$H$276,0)),"")</f>
        <v>0</v>
      </c>
      <c r="AC133" s="523" t="s">
        <v>539</v>
      </c>
      <c r="AD133" s="108"/>
      <c r="AE133" s="108"/>
      <c r="AF133" s="155"/>
      <c r="AG133" s="108"/>
      <c r="AH133" s="108"/>
      <c r="AI133" s="108"/>
      <c r="AJ133" s="108"/>
      <c r="AK133" s="108"/>
      <c r="AL133" s="108"/>
      <c r="AM133" s="108"/>
      <c r="AN133" s="108"/>
      <c r="AO133" s="108"/>
      <c r="AP133" s="108"/>
    </row>
    <row r="134" spans="1:42" s="108" customFormat="1" ht="30" customHeight="1">
      <c r="A134" s="379">
        <f>_xlfn.AGGREGATE(4,7,A$20:A133)+1</f>
        <v>114</v>
      </c>
      <c r="B134" s="363" t="s">
        <v>1871</v>
      </c>
      <c r="C134" s="364" t="s">
        <v>873</v>
      </c>
      <c r="D134" s="434" t="s">
        <v>1705</v>
      </c>
      <c r="E134" s="423" t="s">
        <v>1309</v>
      </c>
      <c r="F134" s="366">
        <v>4.9800000000000004</v>
      </c>
      <c r="G134" s="367"/>
      <c r="H134" s="368">
        <f t="shared" si="26"/>
        <v>4.9800000000000004</v>
      </c>
      <c r="I134" s="368">
        <v>0.35</v>
      </c>
      <c r="J134" s="368" t="str">
        <f>VLOOKUP(B134,TH.T3!B140:J398,9,FALSE)</f>
        <v>Phó TK Khoa KHCB</v>
      </c>
      <c r="K134" s="369">
        <f t="shared" si="27"/>
        <v>5.33</v>
      </c>
      <c r="L134" s="362">
        <f t="shared" si="28"/>
        <v>9594000</v>
      </c>
      <c r="M134" s="366" t="str">
        <f>VLOOKUP(B134,'[11]Gui chi Quynh'!$B$11:$E$400,4,FALSE)</f>
        <v>A3</v>
      </c>
      <c r="N134" s="494">
        <f t="shared" si="17"/>
        <v>11512800</v>
      </c>
      <c r="O134" s="376">
        <v>19</v>
      </c>
      <c r="P134" s="440">
        <f>IFERROR(INDEX('[12]CN BC'!$J$10:$J$276,MATCH(B134,'[12]CN BC'!$H$10:$H$276,0)),"")</f>
        <v>20</v>
      </c>
      <c r="Q134" s="494">
        <f t="shared" si="18"/>
        <v>11512800</v>
      </c>
      <c r="R134" s="460"/>
      <c r="S134" s="362">
        <f t="shared" si="24"/>
        <v>0</v>
      </c>
      <c r="T134" s="370"/>
      <c r="U134" s="362">
        <f t="shared" si="19"/>
        <v>0</v>
      </c>
      <c r="V134" s="584">
        <f t="shared" si="20"/>
        <v>95940</v>
      </c>
      <c r="W134" s="371">
        <f t="shared" si="25"/>
        <v>11512800</v>
      </c>
      <c r="X134" s="935">
        <f t="shared" si="22"/>
        <v>6.3959999999999999</v>
      </c>
      <c r="Y134" s="934">
        <v>1800000</v>
      </c>
      <c r="Z134" s="931">
        <f t="shared" si="23"/>
        <v>11512800</v>
      </c>
      <c r="AA134" s="572">
        <f t="shared" si="21"/>
        <v>114</v>
      </c>
      <c r="AB134" s="493">
        <f>IFERROR(INDEX('[12]CN BC'!$M$10:$M$276,MATCH(B134,'[12]CN BC'!$H$10:$H$276,0)),"")</f>
        <v>0</v>
      </c>
      <c r="AC134" s="523" t="s">
        <v>539</v>
      </c>
      <c r="AF134" s="155"/>
    </row>
    <row r="135" spans="1:42" s="372" customFormat="1" ht="30" customHeight="1">
      <c r="A135" s="379">
        <f>_xlfn.AGGREGATE(4,7,A$20:A134)+1</f>
        <v>115</v>
      </c>
      <c r="B135" s="363" t="s">
        <v>1872</v>
      </c>
      <c r="C135" s="364" t="s">
        <v>966</v>
      </c>
      <c r="D135" s="434" t="s">
        <v>1706</v>
      </c>
      <c r="E135" s="423" t="s">
        <v>1311</v>
      </c>
      <c r="F135" s="366">
        <v>4.9800000000000004</v>
      </c>
      <c r="G135" s="367">
        <v>0.05</v>
      </c>
      <c r="H135" s="368">
        <f t="shared" si="26"/>
        <v>5.2290000000000001</v>
      </c>
      <c r="I135" s="368"/>
      <c r="J135" s="368" t="str">
        <f>VLOOKUP(B135,TH.T3!B141:J399,9,FALSE)</f>
        <v>Giảng viên Khoa KHCB</v>
      </c>
      <c r="K135" s="369">
        <f t="shared" si="27"/>
        <v>5.2290000000000001</v>
      </c>
      <c r="L135" s="362">
        <f t="shared" si="28"/>
        <v>9412200</v>
      </c>
      <c r="M135" s="366" t="str">
        <f>VLOOKUP(B135,'[11]Gui chi Quynh'!$B$11:$E$400,4,FALSE)</f>
        <v>A3</v>
      </c>
      <c r="N135" s="494">
        <f t="shared" si="17"/>
        <v>11294640</v>
      </c>
      <c r="O135" s="376">
        <v>19</v>
      </c>
      <c r="P135" s="440">
        <f>IFERROR(INDEX('[12]CN BC'!$J$10:$J$276,MATCH(B135,'[12]CN BC'!$H$10:$H$276,0)),"")</f>
        <v>20</v>
      </c>
      <c r="Q135" s="494">
        <f t="shared" si="18"/>
        <v>11294640</v>
      </c>
      <c r="R135" s="460"/>
      <c r="S135" s="362">
        <f t="shared" si="24"/>
        <v>0</v>
      </c>
      <c r="T135" s="370"/>
      <c r="U135" s="362">
        <f t="shared" si="19"/>
        <v>0</v>
      </c>
      <c r="V135" s="584">
        <f t="shared" si="20"/>
        <v>94122</v>
      </c>
      <c r="W135" s="371">
        <f t="shared" si="25"/>
        <v>11294640</v>
      </c>
      <c r="X135" s="935">
        <f t="shared" si="22"/>
        <v>6.2747999999999999</v>
      </c>
      <c r="Y135" s="934">
        <v>1800000</v>
      </c>
      <c r="Z135" s="931">
        <f t="shared" si="23"/>
        <v>11294640</v>
      </c>
      <c r="AA135" s="572">
        <f t="shared" si="21"/>
        <v>115</v>
      </c>
      <c r="AB135" s="493">
        <f>IFERROR(INDEX('[12]CN BC'!$M$10:$M$276,MATCH(B135,'[12]CN BC'!$H$10:$H$276,0)),"")</f>
        <v>0</v>
      </c>
      <c r="AC135" s="523" t="s">
        <v>539</v>
      </c>
      <c r="AD135" s="108"/>
      <c r="AE135" s="108"/>
      <c r="AF135" s="487"/>
    </row>
    <row r="136" spans="1:42" s="372" customFormat="1" ht="32.25" customHeight="1">
      <c r="A136" s="379">
        <f>_xlfn.AGGREGATE(4,7,A$20:A135)+1</f>
        <v>116</v>
      </c>
      <c r="B136" s="363" t="s">
        <v>1487</v>
      </c>
      <c r="C136" s="364" t="s">
        <v>917</v>
      </c>
      <c r="D136" s="434" t="s">
        <v>1707</v>
      </c>
      <c r="E136" s="423" t="s">
        <v>1312</v>
      </c>
      <c r="F136" s="373">
        <v>3.99</v>
      </c>
      <c r="G136" s="367"/>
      <c r="H136" s="368">
        <f t="shared" si="26"/>
        <v>3.99</v>
      </c>
      <c r="I136" s="368"/>
      <c r="J136" s="368" t="str">
        <f>VLOOKUP(B136,TH.T3!B142:J400,9,FALSE)</f>
        <v>Giảng viên khoa KHCB</v>
      </c>
      <c r="K136" s="369">
        <f t="shared" si="27"/>
        <v>3.99</v>
      </c>
      <c r="L136" s="362">
        <f t="shared" si="28"/>
        <v>7182000</v>
      </c>
      <c r="M136" s="366" t="str">
        <f>VLOOKUP(B136,'[11]Gui chi Quynh'!$B$11:$E$400,4,FALSE)</f>
        <v>A4</v>
      </c>
      <c r="N136" s="494">
        <f t="shared" si="17"/>
        <v>7182000</v>
      </c>
      <c r="O136" s="376">
        <v>19</v>
      </c>
      <c r="P136" s="440">
        <f>IFERROR(INDEX('[12]CN BC'!$J$10:$J$276,MATCH(B136,'[12]CN BC'!$H$10:$H$276,0)),"")</f>
        <v>20</v>
      </c>
      <c r="Q136" s="494">
        <f t="shared" si="18"/>
        <v>7182000</v>
      </c>
      <c r="R136" s="460"/>
      <c r="S136" s="362">
        <f t="shared" si="24"/>
        <v>0</v>
      </c>
      <c r="T136" s="370"/>
      <c r="U136" s="362">
        <f t="shared" si="19"/>
        <v>0</v>
      </c>
      <c r="V136" s="584">
        <f t="shared" si="20"/>
        <v>71820</v>
      </c>
      <c r="W136" s="371">
        <f t="shared" si="25"/>
        <v>7182000</v>
      </c>
      <c r="X136" s="935">
        <f t="shared" si="22"/>
        <v>3.99</v>
      </c>
      <c r="Y136" s="934">
        <v>1800000</v>
      </c>
      <c r="Z136" s="931">
        <f t="shared" si="23"/>
        <v>7182000</v>
      </c>
      <c r="AA136" s="568">
        <f t="shared" si="21"/>
        <v>116</v>
      </c>
      <c r="AB136" s="493">
        <f>IFERROR(INDEX('[12]CN BC'!$M$10:$M$276,MATCH(B136,'[12]CN BC'!$H$10:$H$276,0)),"")</f>
        <v>0</v>
      </c>
      <c r="AC136" s="523" t="s">
        <v>539</v>
      </c>
      <c r="AD136" s="108"/>
      <c r="AE136" s="108"/>
      <c r="AF136" s="487"/>
    </row>
    <row r="137" spans="1:42" s="372" customFormat="1" ht="30" customHeight="1">
      <c r="A137" s="379">
        <f>_xlfn.AGGREGATE(4,7,A$20:A136)+1</f>
        <v>117</v>
      </c>
      <c r="B137" s="363" t="s">
        <v>1488</v>
      </c>
      <c r="C137" s="364" t="s">
        <v>874</v>
      </c>
      <c r="D137" s="434" t="s">
        <v>1708</v>
      </c>
      <c r="E137" s="423" t="s">
        <v>374</v>
      </c>
      <c r="F137" s="373">
        <v>3.66</v>
      </c>
      <c r="G137" s="367"/>
      <c r="H137" s="368">
        <f t="shared" si="26"/>
        <v>3.66</v>
      </c>
      <c r="I137" s="368"/>
      <c r="J137" s="368" t="str">
        <f>VLOOKUP(B137,TH.T3!B143:J401,9,FALSE)</f>
        <v>Giảng viên khoa KHCB</v>
      </c>
      <c r="K137" s="369">
        <f t="shared" si="27"/>
        <v>3.66</v>
      </c>
      <c r="L137" s="362">
        <f t="shared" si="28"/>
        <v>6588000</v>
      </c>
      <c r="M137" s="366" t="str">
        <f>VLOOKUP(B137,'[11]Gui chi Quynh'!$B$11:$E$400,4,FALSE)</f>
        <v>A4</v>
      </c>
      <c r="N137" s="494">
        <f t="shared" si="17"/>
        <v>6588000</v>
      </c>
      <c r="O137" s="376">
        <v>19</v>
      </c>
      <c r="P137" s="440">
        <f>IFERROR(INDEX('[12]CN BC'!$J$10:$J$276,MATCH(B137,'[12]CN BC'!$H$10:$H$276,0)),"")</f>
        <v>20</v>
      </c>
      <c r="Q137" s="494">
        <f t="shared" si="18"/>
        <v>6588000</v>
      </c>
      <c r="R137" s="460"/>
      <c r="S137" s="362">
        <f t="shared" si="24"/>
        <v>0</v>
      </c>
      <c r="T137" s="370"/>
      <c r="U137" s="362">
        <f t="shared" si="19"/>
        <v>0</v>
      </c>
      <c r="V137" s="584">
        <f t="shared" si="20"/>
        <v>65880</v>
      </c>
      <c r="W137" s="371">
        <f t="shared" si="25"/>
        <v>6588000</v>
      </c>
      <c r="X137" s="935">
        <f t="shared" si="22"/>
        <v>3.66</v>
      </c>
      <c r="Y137" s="934">
        <v>1800000</v>
      </c>
      <c r="Z137" s="931">
        <f t="shared" si="23"/>
        <v>6588000</v>
      </c>
      <c r="AA137" s="568">
        <f t="shared" si="21"/>
        <v>117</v>
      </c>
      <c r="AB137" s="493">
        <f>IFERROR(INDEX('[12]CN BC'!$M$10:$M$276,MATCH(B137,'[12]CN BC'!$H$10:$H$276,0)),"")</f>
        <v>0</v>
      </c>
      <c r="AC137" s="523" t="s">
        <v>539</v>
      </c>
      <c r="AD137" s="108"/>
      <c r="AE137" s="108"/>
      <c r="AF137" s="155"/>
      <c r="AG137" s="108"/>
      <c r="AH137" s="108"/>
      <c r="AI137" s="108"/>
      <c r="AJ137" s="108"/>
      <c r="AK137" s="108"/>
      <c r="AL137" s="108"/>
    </row>
    <row r="138" spans="1:42" s="372" customFormat="1" ht="30" customHeight="1">
      <c r="A138" s="379">
        <f>_xlfn.AGGREGATE(4,7,A$20:A137)+1</f>
        <v>118</v>
      </c>
      <c r="B138" s="363" t="s">
        <v>1489</v>
      </c>
      <c r="C138" s="364" t="s">
        <v>1423</v>
      </c>
      <c r="D138" s="434" t="s">
        <v>1709</v>
      </c>
      <c r="E138" s="422" t="s">
        <v>1424</v>
      </c>
      <c r="F138" s="373">
        <v>3.33</v>
      </c>
      <c r="G138" s="367"/>
      <c r="H138" s="445">
        <f t="shared" si="26"/>
        <v>3.33</v>
      </c>
      <c r="I138" s="368"/>
      <c r="J138" s="368" t="str">
        <f>VLOOKUP(B138,TH.T3!B144:J402,9,FALSE)</f>
        <v>Giảng viên khoa KHCB</v>
      </c>
      <c r="K138" s="369">
        <f t="shared" si="27"/>
        <v>3.33</v>
      </c>
      <c r="L138" s="362">
        <f t="shared" si="28"/>
        <v>5994000</v>
      </c>
      <c r="M138" s="366" t="str">
        <f>VLOOKUP(B138,'[11]Gui chi Quynh'!$B$11:$E$400,4,FALSE)</f>
        <v>A3</v>
      </c>
      <c r="N138" s="494">
        <f t="shared" si="17"/>
        <v>7192800</v>
      </c>
      <c r="O138" s="376">
        <v>19</v>
      </c>
      <c r="P138" s="440">
        <f>IFERROR(INDEX('[12]CN BC'!$J$10:$J$276,MATCH(B138,'[12]CN BC'!$H$10:$H$276,0)),"")</f>
        <v>20</v>
      </c>
      <c r="Q138" s="494">
        <f t="shared" si="18"/>
        <v>7192800</v>
      </c>
      <c r="R138" s="460"/>
      <c r="S138" s="362">
        <f t="shared" si="24"/>
        <v>0</v>
      </c>
      <c r="T138" s="370"/>
      <c r="U138" s="362">
        <f t="shared" si="19"/>
        <v>0</v>
      </c>
      <c r="V138" s="584">
        <f t="shared" si="20"/>
        <v>59940</v>
      </c>
      <c r="W138" s="371">
        <f t="shared" si="25"/>
        <v>7192800</v>
      </c>
      <c r="X138" s="935">
        <f t="shared" si="22"/>
        <v>3.996</v>
      </c>
      <c r="Y138" s="934">
        <v>1800000</v>
      </c>
      <c r="Z138" s="931">
        <f t="shared" si="23"/>
        <v>7192800</v>
      </c>
      <c r="AA138" s="568">
        <f t="shared" si="21"/>
        <v>118</v>
      </c>
      <c r="AB138" s="493">
        <f>IFERROR(INDEX('[12]CN BC'!$M$10:$M$276,MATCH(B138,'[12]CN BC'!$H$10:$H$276,0)),"")</f>
        <v>0</v>
      </c>
      <c r="AC138" s="523" t="s">
        <v>539</v>
      </c>
      <c r="AD138" s="108"/>
      <c r="AE138" s="108"/>
      <c r="AF138" s="155"/>
      <c r="AG138" s="108"/>
      <c r="AH138" s="108"/>
      <c r="AI138" s="108"/>
      <c r="AJ138" s="108"/>
      <c r="AK138" s="108"/>
      <c r="AL138" s="108"/>
    </row>
    <row r="139" spans="1:42" s="372" customFormat="1" ht="60" customHeight="1">
      <c r="A139" s="660">
        <f>_xlfn.AGGREGATE(4,7,A$20:A138)+1</f>
        <v>119</v>
      </c>
      <c r="B139" s="563" t="s">
        <v>1490</v>
      </c>
      <c r="C139" s="552" t="s">
        <v>960</v>
      </c>
      <c r="D139" s="564" t="s">
        <v>1710</v>
      </c>
      <c r="E139" s="837" t="s">
        <v>1425</v>
      </c>
      <c r="F139" s="566">
        <v>3.33</v>
      </c>
      <c r="G139" s="553"/>
      <c r="H139" s="930">
        <f t="shared" si="26"/>
        <v>3.33</v>
      </c>
      <c r="I139" s="554"/>
      <c r="J139" s="554" t="str">
        <f>VLOOKUP(B139,TH.T3!B145:J403,9,FALSE)</f>
        <v>Giảng viên khoa KHCB</v>
      </c>
      <c r="K139" s="555">
        <f t="shared" si="27"/>
        <v>3.33</v>
      </c>
      <c r="L139" s="556">
        <f t="shared" si="28"/>
        <v>5994000</v>
      </c>
      <c r="M139" s="557" t="str">
        <f>VLOOKUP(B139,'[11]Gui chi Quynh'!$B$11:$E$400,4,FALSE)</f>
        <v>B1</v>
      </c>
      <c r="N139" s="558">
        <f t="shared" si="17"/>
        <v>4195800</v>
      </c>
      <c r="O139" s="655">
        <v>19</v>
      </c>
      <c r="P139" s="559">
        <f>IFERROR(INDEX('[12]CN BC'!$J$10:$J$276,MATCH(B139,'[12]CN BC'!$H$10:$H$276,0)),"")</f>
        <v>20</v>
      </c>
      <c r="Q139" s="558">
        <f t="shared" si="18"/>
        <v>4195800</v>
      </c>
      <c r="R139" s="560"/>
      <c r="S139" s="556">
        <f t="shared" si="24"/>
        <v>0</v>
      </c>
      <c r="T139" s="561"/>
      <c r="U139" s="556">
        <f t="shared" si="19"/>
        <v>0</v>
      </c>
      <c r="V139" s="556">
        <f t="shared" si="20"/>
        <v>59940</v>
      </c>
      <c r="W139" s="656">
        <f t="shared" si="25"/>
        <v>4195800</v>
      </c>
      <c r="X139" s="936">
        <f t="shared" si="22"/>
        <v>2.331</v>
      </c>
      <c r="Y139" s="937">
        <v>1800000</v>
      </c>
      <c r="Z139" s="932">
        <f t="shared" si="23"/>
        <v>4195800</v>
      </c>
      <c r="AA139" s="573">
        <f t="shared" si="21"/>
        <v>119</v>
      </c>
      <c r="AB139" s="562" t="s">
        <v>2213</v>
      </c>
      <c r="AC139" s="523" t="s">
        <v>539</v>
      </c>
      <c r="AD139" s="108"/>
      <c r="AE139" s="108"/>
      <c r="AF139" s="155"/>
      <c r="AG139" s="108"/>
      <c r="AH139" s="108"/>
      <c r="AI139" s="108"/>
      <c r="AJ139" s="108"/>
      <c r="AK139" s="108"/>
      <c r="AL139" s="108"/>
    </row>
    <row r="140" spans="1:42" s="372" customFormat="1" ht="30" customHeight="1">
      <c r="A140" s="379">
        <f>_xlfn.AGGREGATE(4,7,A$20:A139)+1</f>
        <v>120</v>
      </c>
      <c r="B140" s="363" t="s">
        <v>1873</v>
      </c>
      <c r="C140" s="364" t="s">
        <v>889</v>
      </c>
      <c r="D140" s="406" t="s">
        <v>1711</v>
      </c>
      <c r="E140" s="423" t="s">
        <v>1322</v>
      </c>
      <c r="F140" s="373">
        <v>3.99</v>
      </c>
      <c r="G140" s="367"/>
      <c r="H140" s="368">
        <f t="shared" si="26"/>
        <v>3.99</v>
      </c>
      <c r="I140" s="368">
        <f>0.25</f>
        <v>0.25</v>
      </c>
      <c r="J140" s="368" t="str">
        <f>VLOOKUP(B140,TH.T3!B146:J404,9,FALSE)</f>
        <v>Giảng viên Khoa KHCB</v>
      </c>
      <c r="K140" s="369">
        <f t="shared" si="27"/>
        <v>4.24</v>
      </c>
      <c r="L140" s="362">
        <f t="shared" si="28"/>
        <v>7632000</v>
      </c>
      <c r="M140" s="366" t="str">
        <f>VLOOKUP(B140,'[11]Gui chi Quynh'!$B$11:$E$400,4,FALSE)</f>
        <v>A3</v>
      </c>
      <c r="N140" s="494">
        <f t="shared" si="17"/>
        <v>9158400</v>
      </c>
      <c r="O140" s="376">
        <v>19</v>
      </c>
      <c r="P140" s="440">
        <f>IFERROR(INDEX('[12]CN BC'!$J$10:$J$276,MATCH(B140,'[12]CN BC'!$H$10:$H$276,0)),"")</f>
        <v>20</v>
      </c>
      <c r="Q140" s="494">
        <f t="shared" si="18"/>
        <v>9158400</v>
      </c>
      <c r="R140" s="392"/>
      <c r="S140" s="362">
        <f t="shared" si="24"/>
        <v>0</v>
      </c>
      <c r="T140" s="370"/>
      <c r="U140" s="362">
        <f t="shared" si="19"/>
        <v>0</v>
      </c>
      <c r="V140" s="584">
        <f t="shared" si="20"/>
        <v>76320</v>
      </c>
      <c r="W140" s="371">
        <f t="shared" si="25"/>
        <v>9158400</v>
      </c>
      <c r="X140" s="935">
        <f t="shared" si="22"/>
        <v>5.0880000000000001</v>
      </c>
      <c r="Y140" s="934">
        <v>1800000</v>
      </c>
      <c r="Z140" s="931">
        <f t="shared" si="23"/>
        <v>9158400</v>
      </c>
      <c r="AA140" s="568">
        <f t="shared" si="21"/>
        <v>120</v>
      </c>
      <c r="AB140" s="493">
        <f>IFERROR(INDEX('[12]CN BC'!$M$10:$M$276,MATCH(B140,'[12]CN BC'!$H$10:$H$276,0)),"")</f>
        <v>0</v>
      </c>
      <c r="AC140" s="523" t="s">
        <v>539</v>
      </c>
      <c r="AD140" s="108"/>
      <c r="AE140" s="108"/>
      <c r="AF140" s="155"/>
      <c r="AG140" s="108"/>
      <c r="AH140" s="108"/>
      <c r="AI140" s="108"/>
      <c r="AJ140" s="108"/>
      <c r="AK140" s="108"/>
      <c r="AL140" s="108"/>
      <c r="AM140" s="108"/>
      <c r="AN140" s="108"/>
      <c r="AO140" s="108"/>
      <c r="AP140" s="108"/>
    </row>
    <row r="141" spans="1:42" s="372" customFormat="1" ht="30" customHeight="1">
      <c r="A141" s="379">
        <f>_xlfn.AGGREGATE(4,7,A$20:A140)+1</f>
        <v>121</v>
      </c>
      <c r="B141" s="363" t="s">
        <v>1491</v>
      </c>
      <c r="C141" s="364" t="s">
        <v>1206</v>
      </c>
      <c r="D141" s="434" t="s">
        <v>1712</v>
      </c>
      <c r="E141" s="423" t="s">
        <v>1323</v>
      </c>
      <c r="F141" s="373">
        <v>4.32</v>
      </c>
      <c r="G141" s="367"/>
      <c r="H141" s="368">
        <f t="shared" si="26"/>
        <v>4.32</v>
      </c>
      <c r="I141" s="368"/>
      <c r="J141" s="368" t="str">
        <f>VLOOKUP(B141,TH.T3!B147:J405,9,FALSE)</f>
        <v>Giảng viên khoa KHCB</v>
      </c>
      <c r="K141" s="369">
        <f t="shared" si="27"/>
        <v>4.32</v>
      </c>
      <c r="L141" s="362">
        <f t="shared" si="28"/>
        <v>7776000.0000000009</v>
      </c>
      <c r="M141" s="366" t="str">
        <f>VLOOKUP(B141,'[11]Gui chi Quynh'!$B$11:$E$400,4,FALSE)</f>
        <v>A3</v>
      </c>
      <c r="N141" s="494">
        <f t="shared" si="17"/>
        <v>9331200</v>
      </c>
      <c r="O141" s="376">
        <v>19</v>
      </c>
      <c r="P141" s="440">
        <f>IFERROR(INDEX('[12]CN BC'!$J$10:$J$276,MATCH(B141,'[12]CN BC'!$H$10:$H$276,0)),"")</f>
        <v>21</v>
      </c>
      <c r="Q141" s="494">
        <f t="shared" si="18"/>
        <v>9331200</v>
      </c>
      <c r="R141" s="460">
        <v>0</v>
      </c>
      <c r="S141" s="362">
        <f>R141*$G$17*0.8</f>
        <v>0</v>
      </c>
      <c r="T141" s="370"/>
      <c r="U141" s="362">
        <f t="shared" si="19"/>
        <v>0</v>
      </c>
      <c r="V141" s="584">
        <f t="shared" si="20"/>
        <v>77760</v>
      </c>
      <c r="W141" s="371">
        <f t="shared" si="25"/>
        <v>9331200</v>
      </c>
      <c r="X141" s="935">
        <f t="shared" si="22"/>
        <v>5.1840000000000002</v>
      </c>
      <c r="Y141" s="934">
        <v>1800000</v>
      </c>
      <c r="Z141" s="931">
        <f t="shared" si="23"/>
        <v>9331200</v>
      </c>
      <c r="AA141" s="568">
        <f t="shared" si="21"/>
        <v>121</v>
      </c>
      <c r="AB141" s="493">
        <f>IFERROR(INDEX('[12]CN BC'!$M$10:$M$276,MATCH(B141,'[12]CN BC'!$H$10:$H$276,0)),"")</f>
        <v>0</v>
      </c>
      <c r="AC141" s="523" t="s">
        <v>539</v>
      </c>
      <c r="AD141" s="108"/>
      <c r="AE141" s="108"/>
      <c r="AF141" s="155"/>
      <c r="AG141" s="108"/>
      <c r="AH141" s="108"/>
      <c r="AI141" s="108"/>
      <c r="AJ141" s="108"/>
      <c r="AK141" s="108"/>
      <c r="AL141" s="108"/>
    </row>
    <row r="142" spans="1:42" s="372" customFormat="1" ht="30" customHeight="1">
      <c r="A142" s="379">
        <f>_xlfn.AGGREGATE(4,7,A$20:A141)+1</f>
        <v>122</v>
      </c>
      <c r="B142" s="363" t="s">
        <v>845</v>
      </c>
      <c r="C142" s="364" t="s">
        <v>992</v>
      </c>
      <c r="D142" s="434" t="s">
        <v>1713</v>
      </c>
      <c r="E142" s="423" t="s">
        <v>1324</v>
      </c>
      <c r="F142" s="373">
        <v>3.99</v>
      </c>
      <c r="G142" s="367"/>
      <c r="H142" s="368">
        <f t="shared" si="26"/>
        <v>3.99</v>
      </c>
      <c r="I142" s="368"/>
      <c r="J142" s="368" t="str">
        <f>VLOOKUP(B142,TH.T3!B148:J406,9,FALSE)</f>
        <v>Giảng viên khoa KHCB</v>
      </c>
      <c r="K142" s="369">
        <f t="shared" si="27"/>
        <v>3.99</v>
      </c>
      <c r="L142" s="362">
        <f t="shared" si="28"/>
        <v>7182000</v>
      </c>
      <c r="M142" s="366" t="str">
        <f>VLOOKUP(B142,'[11]Gui chi Quynh'!$B$11:$E$400,4,FALSE)</f>
        <v>A2</v>
      </c>
      <c r="N142" s="494">
        <f t="shared" si="17"/>
        <v>10054800</v>
      </c>
      <c r="O142" s="376">
        <v>19</v>
      </c>
      <c r="P142" s="440">
        <f>IFERROR(INDEX('[12]CN BC'!$J$10:$J$276,MATCH(B142,'[12]CN BC'!$H$10:$H$276,0)),"")</f>
        <v>22</v>
      </c>
      <c r="Q142" s="494">
        <f t="shared" si="18"/>
        <v>10054800</v>
      </c>
      <c r="R142" s="392"/>
      <c r="S142" s="362">
        <f t="shared" ref="S142:S205" si="29">R142*$G$17*1</f>
        <v>0</v>
      </c>
      <c r="T142" s="370"/>
      <c r="U142" s="362">
        <f t="shared" si="19"/>
        <v>0</v>
      </c>
      <c r="V142" s="584">
        <f t="shared" si="20"/>
        <v>71820</v>
      </c>
      <c r="W142" s="371">
        <f t="shared" si="25"/>
        <v>10054800</v>
      </c>
      <c r="X142" s="935">
        <f t="shared" si="22"/>
        <v>5.5860000000000003</v>
      </c>
      <c r="Y142" s="934">
        <v>1800000</v>
      </c>
      <c r="Z142" s="931">
        <f t="shared" si="23"/>
        <v>10054800</v>
      </c>
      <c r="AA142" s="568">
        <f t="shared" si="21"/>
        <v>122</v>
      </c>
      <c r="AB142" s="493">
        <f>IFERROR(INDEX('[12]CN BC'!$M$10:$M$276,MATCH(B142,'[12]CN BC'!$H$10:$H$276,0)),"")</f>
        <v>0</v>
      </c>
      <c r="AC142" s="523" t="s">
        <v>539</v>
      </c>
      <c r="AD142" s="108"/>
      <c r="AE142" s="108"/>
      <c r="AF142" s="155"/>
      <c r="AG142" s="108"/>
      <c r="AH142" s="108"/>
      <c r="AI142" s="108"/>
      <c r="AJ142" s="108"/>
      <c r="AK142" s="108"/>
      <c r="AL142" s="108"/>
    </row>
    <row r="143" spans="1:42" s="372" customFormat="1" ht="31.5" customHeight="1">
      <c r="A143" s="379">
        <f>_xlfn.AGGREGATE(4,7,A$20:A142)+1</f>
        <v>123</v>
      </c>
      <c r="B143" s="363" t="s">
        <v>1492</v>
      </c>
      <c r="C143" s="364" t="s">
        <v>889</v>
      </c>
      <c r="D143" s="406" t="s">
        <v>1714</v>
      </c>
      <c r="E143" s="194" t="s">
        <v>1938</v>
      </c>
      <c r="F143" s="373">
        <v>3.99</v>
      </c>
      <c r="G143" s="367"/>
      <c r="H143" s="368">
        <f t="shared" si="26"/>
        <v>3.99</v>
      </c>
      <c r="I143" s="368"/>
      <c r="J143" s="368" t="str">
        <f>VLOOKUP(B143,TH.T3!B149:J407,9,FALSE)</f>
        <v>Giảng viên khoa KHCB</v>
      </c>
      <c r="K143" s="369">
        <f t="shared" si="27"/>
        <v>3.99</v>
      </c>
      <c r="L143" s="362">
        <f t="shared" si="28"/>
        <v>7182000</v>
      </c>
      <c r="M143" s="366" t="str">
        <f>VLOOKUP(B143,'[11]Gui chi Quynh'!$B$11:$E$400,4,FALSE)</f>
        <v>A2</v>
      </c>
      <c r="N143" s="494">
        <f t="shared" si="17"/>
        <v>10054800</v>
      </c>
      <c r="O143" s="376">
        <v>19</v>
      </c>
      <c r="P143" s="440">
        <f>IFERROR(INDEX('[12]CN BC'!$J$10:$J$276,MATCH(B143,'[12]CN BC'!$H$10:$H$276,0)),"")</f>
        <v>21</v>
      </c>
      <c r="Q143" s="494">
        <f t="shared" si="18"/>
        <v>10054800</v>
      </c>
      <c r="R143" s="392"/>
      <c r="S143" s="362">
        <f t="shared" si="29"/>
        <v>0</v>
      </c>
      <c r="T143" s="385"/>
      <c r="U143" s="362">
        <f t="shared" si="19"/>
        <v>0</v>
      </c>
      <c r="V143" s="584">
        <f t="shared" si="20"/>
        <v>71820</v>
      </c>
      <c r="W143" s="371">
        <f t="shared" si="25"/>
        <v>10054800</v>
      </c>
      <c r="X143" s="935">
        <f t="shared" si="22"/>
        <v>5.5860000000000003</v>
      </c>
      <c r="Y143" s="934">
        <v>1800000</v>
      </c>
      <c r="Z143" s="931">
        <f t="shared" si="23"/>
        <v>10054800</v>
      </c>
      <c r="AA143" s="568">
        <f t="shared" si="21"/>
        <v>123</v>
      </c>
      <c r="AB143" s="493">
        <f>IFERROR(INDEX('[12]CN BC'!$M$10:$M$276,MATCH(B143,'[12]CN BC'!$H$10:$H$276,0)),"")</f>
        <v>0</v>
      </c>
      <c r="AC143" s="523" t="s">
        <v>539</v>
      </c>
      <c r="AD143" s="108"/>
      <c r="AE143" s="108"/>
      <c r="AF143" s="155"/>
      <c r="AG143" s="108"/>
      <c r="AH143" s="108"/>
      <c r="AI143" s="108"/>
      <c r="AJ143" s="108"/>
      <c r="AK143" s="108"/>
      <c r="AL143" s="108"/>
      <c r="AM143" s="108"/>
      <c r="AN143" s="108"/>
      <c r="AO143" s="108"/>
      <c r="AP143" s="108"/>
    </row>
    <row r="144" spans="1:42" s="372" customFormat="1" ht="31.5" customHeight="1">
      <c r="A144" s="379">
        <f>_xlfn.AGGREGATE(4,7,A$20:A143)+1</f>
        <v>124</v>
      </c>
      <c r="B144" s="363" t="s">
        <v>1558</v>
      </c>
      <c r="C144" s="364"/>
      <c r="D144" s="434" t="s">
        <v>1715</v>
      </c>
      <c r="E144" s="423" t="s">
        <v>21</v>
      </c>
      <c r="F144" s="373">
        <v>4.32</v>
      </c>
      <c r="G144" s="367"/>
      <c r="H144" s="368">
        <f t="shared" si="26"/>
        <v>4.32</v>
      </c>
      <c r="I144" s="368"/>
      <c r="J144" s="368" t="str">
        <f>VLOOKUP(B144,TH.T3!B150:J408,9,FALSE)</f>
        <v>Giảng viên khoa KHCB</v>
      </c>
      <c r="K144" s="369">
        <f t="shared" si="27"/>
        <v>4.32</v>
      </c>
      <c r="L144" s="362">
        <f t="shared" si="28"/>
        <v>7776000.0000000009</v>
      </c>
      <c r="M144" s="366" t="str">
        <f>VLOOKUP(B144,'[11]Gui chi Quynh'!$B$11:$E$400,4,FALSE)</f>
        <v>A3</v>
      </c>
      <c r="N144" s="494">
        <f t="shared" si="17"/>
        <v>9331200</v>
      </c>
      <c r="O144" s="376">
        <v>19</v>
      </c>
      <c r="P144" s="440">
        <f>IFERROR(INDEX('[12]CN BC'!$J$10:$J$276,MATCH(B144,'[12]CN BC'!$H$10:$H$276,0)),"")</f>
        <v>21</v>
      </c>
      <c r="Q144" s="494">
        <f t="shared" si="18"/>
        <v>9331200</v>
      </c>
      <c r="R144" s="392"/>
      <c r="S144" s="362">
        <f t="shared" si="29"/>
        <v>0</v>
      </c>
      <c r="T144" s="370"/>
      <c r="U144" s="362">
        <f t="shared" si="19"/>
        <v>0</v>
      </c>
      <c r="V144" s="584">
        <f t="shared" si="20"/>
        <v>77760</v>
      </c>
      <c r="W144" s="371">
        <f t="shared" si="25"/>
        <v>9331200</v>
      </c>
      <c r="X144" s="935">
        <f t="shared" si="22"/>
        <v>5.1840000000000002</v>
      </c>
      <c r="Y144" s="934">
        <v>1800000</v>
      </c>
      <c r="Z144" s="931">
        <f t="shared" si="23"/>
        <v>9331200</v>
      </c>
      <c r="AA144" s="568">
        <f t="shared" si="21"/>
        <v>124</v>
      </c>
      <c r="AB144" s="493">
        <f>IFERROR(INDEX('[12]CN BC'!$M$10:$M$276,MATCH(B144,'[12]CN BC'!$H$10:$H$276,0)),"")</f>
        <v>0</v>
      </c>
      <c r="AC144" s="523" t="s">
        <v>539</v>
      </c>
      <c r="AD144" s="108"/>
      <c r="AE144" s="108"/>
      <c r="AF144" s="155"/>
      <c r="AG144" s="108"/>
      <c r="AH144" s="108"/>
      <c r="AI144" s="108"/>
      <c r="AJ144" s="108"/>
      <c r="AK144" s="108"/>
      <c r="AL144" s="108"/>
    </row>
    <row r="145" spans="1:38" s="372" customFormat="1" ht="31.5" customHeight="1">
      <c r="A145" s="379">
        <f>_xlfn.AGGREGATE(4,7,A$20:A144)+1</f>
        <v>125</v>
      </c>
      <c r="B145" s="363" t="s">
        <v>1493</v>
      </c>
      <c r="C145" s="364" t="s">
        <v>874</v>
      </c>
      <c r="D145" s="434" t="s">
        <v>1716</v>
      </c>
      <c r="E145" s="423" t="s">
        <v>1330</v>
      </c>
      <c r="F145" s="366">
        <v>4.6500000000000004</v>
      </c>
      <c r="G145" s="367"/>
      <c r="H145" s="368">
        <f t="shared" si="26"/>
        <v>4.6500000000000004</v>
      </c>
      <c r="I145" s="368"/>
      <c r="J145" s="368" t="str">
        <f>VLOOKUP(B145,TH.T3!B151:J409,9,FALSE)</f>
        <v>Giảng viên khoa Ngoại ngữ</v>
      </c>
      <c r="K145" s="369">
        <f t="shared" si="27"/>
        <v>4.6500000000000004</v>
      </c>
      <c r="L145" s="362">
        <f t="shared" si="28"/>
        <v>8370000.0000000009</v>
      </c>
      <c r="M145" s="366" t="str">
        <f>VLOOKUP(B145,'[11]Gui chi Quynh'!$B$11:$E$400,4,FALSE)</f>
        <v>A3</v>
      </c>
      <c r="N145" s="494">
        <f t="shared" si="17"/>
        <v>10044000</v>
      </c>
      <c r="O145" s="376">
        <v>19</v>
      </c>
      <c r="P145" s="440">
        <f>IFERROR(INDEX('[12]CN BC'!$J$10:$J$276,MATCH(B145,'[12]CN BC'!$H$10:$H$276,0)),"")</f>
        <v>19</v>
      </c>
      <c r="Q145" s="494">
        <f t="shared" si="18"/>
        <v>10044000</v>
      </c>
      <c r="R145" s="460"/>
      <c r="S145" s="362">
        <f t="shared" si="29"/>
        <v>0</v>
      </c>
      <c r="T145" s="370"/>
      <c r="U145" s="362">
        <f t="shared" si="19"/>
        <v>0</v>
      </c>
      <c r="V145" s="584">
        <f t="shared" si="20"/>
        <v>83700</v>
      </c>
      <c r="W145" s="371">
        <f t="shared" si="25"/>
        <v>10044000</v>
      </c>
      <c r="X145" s="935">
        <f t="shared" si="22"/>
        <v>5.58</v>
      </c>
      <c r="Y145" s="934">
        <v>1800000</v>
      </c>
      <c r="Z145" s="931">
        <f t="shared" si="23"/>
        <v>10044000</v>
      </c>
      <c r="AA145" s="568">
        <f t="shared" si="21"/>
        <v>125</v>
      </c>
      <c r="AB145" s="493">
        <f>IFERROR(INDEX('[12]CN BC'!$M$10:$M$276,MATCH(B145,'[12]CN BC'!$H$10:$H$276,0)),"")</f>
        <v>0</v>
      </c>
      <c r="AC145" s="523" t="s">
        <v>2237</v>
      </c>
      <c r="AD145" s="108"/>
      <c r="AE145" s="108"/>
      <c r="AF145" s="155"/>
    </row>
    <row r="146" spans="1:38" s="372" customFormat="1" ht="31.5" customHeight="1">
      <c r="A146" s="379">
        <f>_xlfn.AGGREGATE(4,7,A$20:A145)+1</f>
        <v>126</v>
      </c>
      <c r="B146" s="363" t="s">
        <v>1874</v>
      </c>
      <c r="C146" s="364" t="s">
        <v>986</v>
      </c>
      <c r="D146" s="434" t="s">
        <v>1717</v>
      </c>
      <c r="E146" s="423" t="s">
        <v>1331</v>
      </c>
      <c r="F146" s="366">
        <v>4.6500000000000004</v>
      </c>
      <c r="G146" s="367"/>
      <c r="H146" s="368">
        <f t="shared" si="26"/>
        <v>4.6500000000000004</v>
      </c>
      <c r="I146" s="368"/>
      <c r="J146" s="368" t="str">
        <f>VLOOKUP(B146,TH.T3!B152:J410,9,FALSE)</f>
        <v>Giảng viên khoa Ngoại ngữ</v>
      </c>
      <c r="K146" s="369">
        <f t="shared" si="27"/>
        <v>4.6500000000000004</v>
      </c>
      <c r="L146" s="362">
        <f t="shared" si="28"/>
        <v>8370000.0000000009</v>
      </c>
      <c r="M146" s="366" t="str">
        <f>VLOOKUP(B146,'[11]Gui chi Quynh'!$B$11:$E$400,4,FALSE)</f>
        <v>A4</v>
      </c>
      <c r="N146" s="494">
        <f t="shared" si="17"/>
        <v>8370000.0000000009</v>
      </c>
      <c r="O146" s="376">
        <v>19</v>
      </c>
      <c r="P146" s="440">
        <f>IFERROR(INDEX('[12]CN BC'!$J$10:$J$276,MATCH(B146,'[12]CN BC'!$H$10:$H$276,0)),"")</f>
        <v>19</v>
      </c>
      <c r="Q146" s="494">
        <f t="shared" si="18"/>
        <v>8370000.0000000009</v>
      </c>
      <c r="R146" s="460"/>
      <c r="S146" s="362">
        <f t="shared" si="29"/>
        <v>0</v>
      </c>
      <c r="T146" s="370"/>
      <c r="U146" s="362">
        <f t="shared" si="19"/>
        <v>0</v>
      </c>
      <c r="V146" s="584">
        <f t="shared" si="20"/>
        <v>83700</v>
      </c>
      <c r="W146" s="371">
        <f t="shared" si="25"/>
        <v>8370000.0000000009</v>
      </c>
      <c r="X146" s="935">
        <f t="shared" si="22"/>
        <v>4.6500000000000004</v>
      </c>
      <c r="Y146" s="934">
        <v>1800000</v>
      </c>
      <c r="Z146" s="931">
        <f t="shared" si="23"/>
        <v>8370000.0000000009</v>
      </c>
      <c r="AA146" s="568">
        <f t="shared" si="21"/>
        <v>126</v>
      </c>
      <c r="AB146" s="493">
        <f>IFERROR(INDEX('[12]CN BC'!$M$10:$M$276,MATCH(B146,'[12]CN BC'!$H$10:$H$276,0)),"")</f>
        <v>0</v>
      </c>
      <c r="AC146" s="523" t="s">
        <v>2237</v>
      </c>
      <c r="AD146" s="108"/>
      <c r="AE146" s="108"/>
      <c r="AF146" s="155"/>
      <c r="AG146" s="108"/>
      <c r="AH146" s="108"/>
      <c r="AI146" s="108"/>
      <c r="AJ146" s="108"/>
      <c r="AK146" s="108"/>
      <c r="AL146" s="108"/>
    </row>
    <row r="147" spans="1:38" s="372" customFormat="1" ht="31.5" customHeight="1">
      <c r="A147" s="379">
        <f>_xlfn.AGGREGATE(4,7,A$20:A146)+1</f>
        <v>127</v>
      </c>
      <c r="B147" s="363" t="s">
        <v>1875</v>
      </c>
      <c r="C147" s="364" t="s">
        <v>987</v>
      </c>
      <c r="D147" s="434" t="s">
        <v>1718</v>
      </c>
      <c r="E147" s="423" t="s">
        <v>1332</v>
      </c>
      <c r="F147" s="366">
        <v>4.6500000000000004</v>
      </c>
      <c r="G147" s="367"/>
      <c r="H147" s="368">
        <f t="shared" si="26"/>
        <v>4.6500000000000004</v>
      </c>
      <c r="I147" s="368"/>
      <c r="J147" s="368" t="str">
        <f>VLOOKUP(B147,TH.T3!B153:J411,9,FALSE)</f>
        <v>Giảng viên khoa Ngoại ngữ</v>
      </c>
      <c r="K147" s="369">
        <f t="shared" si="27"/>
        <v>4.6500000000000004</v>
      </c>
      <c r="L147" s="362">
        <f t="shared" si="28"/>
        <v>8370000.0000000009</v>
      </c>
      <c r="M147" s="366" t="str">
        <f>VLOOKUP(B147,'[11]Gui chi Quynh'!$B$11:$E$400,4,FALSE)</f>
        <v>A4</v>
      </c>
      <c r="N147" s="494">
        <f t="shared" si="17"/>
        <v>8370000.0000000009</v>
      </c>
      <c r="O147" s="376">
        <v>19</v>
      </c>
      <c r="P147" s="440">
        <f>IFERROR(INDEX('[12]CN BC'!$J$10:$J$276,MATCH(B147,'[12]CN BC'!$H$10:$H$276,0)),"")</f>
        <v>19</v>
      </c>
      <c r="Q147" s="494">
        <f t="shared" si="18"/>
        <v>8370000.0000000009</v>
      </c>
      <c r="R147" s="460"/>
      <c r="S147" s="362">
        <f t="shared" si="29"/>
        <v>0</v>
      </c>
      <c r="T147" s="370"/>
      <c r="U147" s="362">
        <f t="shared" si="19"/>
        <v>0</v>
      </c>
      <c r="V147" s="584">
        <f t="shared" si="20"/>
        <v>83700</v>
      </c>
      <c r="W147" s="371">
        <f t="shared" si="25"/>
        <v>8370000.0000000009</v>
      </c>
      <c r="X147" s="935">
        <f t="shared" si="22"/>
        <v>4.6500000000000004</v>
      </c>
      <c r="Y147" s="934">
        <v>1800000</v>
      </c>
      <c r="Z147" s="931">
        <f t="shared" si="23"/>
        <v>8370000.0000000009</v>
      </c>
      <c r="AA147" s="568">
        <f t="shared" si="21"/>
        <v>127</v>
      </c>
      <c r="AB147" s="493">
        <f>IFERROR(INDEX('[12]CN BC'!$M$10:$M$276,MATCH(B147,'[12]CN BC'!$H$10:$H$276,0)),"")</f>
        <v>0</v>
      </c>
      <c r="AC147" s="523" t="s">
        <v>2237</v>
      </c>
      <c r="AD147" s="108"/>
      <c r="AE147" s="108"/>
      <c r="AF147" s="155"/>
    </row>
    <row r="148" spans="1:38" s="372" customFormat="1" ht="31.5" customHeight="1">
      <c r="A148" s="379">
        <f>_xlfn.AGGREGATE(4,7,A$20:A147)+1</f>
        <v>128</v>
      </c>
      <c r="B148" s="363" t="s">
        <v>1494</v>
      </c>
      <c r="C148" s="364" t="s">
        <v>967</v>
      </c>
      <c r="D148" s="434" t="s">
        <v>1719</v>
      </c>
      <c r="E148" s="423" t="s">
        <v>1333</v>
      </c>
      <c r="F148" s="373">
        <v>3.99</v>
      </c>
      <c r="G148" s="367"/>
      <c r="H148" s="368">
        <f t="shared" si="26"/>
        <v>3.99</v>
      </c>
      <c r="I148" s="368"/>
      <c r="J148" s="368" t="str">
        <f>VLOOKUP(B148,TH.T3!B154:J412,9,FALSE)</f>
        <v>Giảng viên khoa Ngoại ngữ</v>
      </c>
      <c r="K148" s="369">
        <f t="shared" si="27"/>
        <v>3.99</v>
      </c>
      <c r="L148" s="362">
        <f t="shared" si="28"/>
        <v>7182000</v>
      </c>
      <c r="M148" s="366" t="str">
        <f>VLOOKUP(B148,'[11]Gui chi Quynh'!$B$11:$E$400,4,FALSE)</f>
        <v>A3</v>
      </c>
      <c r="N148" s="494">
        <f t="shared" si="17"/>
        <v>8618400</v>
      </c>
      <c r="O148" s="376">
        <v>19</v>
      </c>
      <c r="P148" s="440">
        <f>IFERROR(INDEX('[12]CN BC'!$J$10:$J$276,MATCH(B148,'[12]CN BC'!$H$10:$H$276,0)),"")</f>
        <v>19</v>
      </c>
      <c r="Q148" s="494">
        <f t="shared" si="18"/>
        <v>8618400</v>
      </c>
      <c r="R148" s="460"/>
      <c r="S148" s="362">
        <f t="shared" si="29"/>
        <v>0</v>
      </c>
      <c r="T148" s="370"/>
      <c r="U148" s="362">
        <f t="shared" si="19"/>
        <v>0</v>
      </c>
      <c r="V148" s="584">
        <f t="shared" si="20"/>
        <v>71820</v>
      </c>
      <c r="W148" s="371">
        <f t="shared" si="25"/>
        <v>8618400</v>
      </c>
      <c r="X148" s="935">
        <f t="shared" si="22"/>
        <v>4.7880000000000003</v>
      </c>
      <c r="Y148" s="934">
        <v>1800000</v>
      </c>
      <c r="Z148" s="931">
        <f t="shared" si="23"/>
        <v>8618400</v>
      </c>
      <c r="AA148" s="568">
        <f t="shared" si="21"/>
        <v>128</v>
      </c>
      <c r="AB148" s="493">
        <f>IFERROR(INDEX('[12]CN BC'!$M$10:$M$276,MATCH(B148,'[12]CN BC'!$H$10:$H$276,0)),"")</f>
        <v>0</v>
      </c>
      <c r="AC148" s="523" t="s">
        <v>2237</v>
      </c>
      <c r="AD148" s="108"/>
      <c r="AE148" s="108"/>
      <c r="AF148" s="155"/>
      <c r="AG148" s="108"/>
      <c r="AH148" s="108"/>
      <c r="AI148" s="108"/>
      <c r="AJ148" s="108"/>
      <c r="AK148" s="108"/>
      <c r="AL148" s="108"/>
    </row>
    <row r="149" spans="1:38" s="372" customFormat="1" ht="31.5" customHeight="1">
      <c r="A149" s="379">
        <f>_xlfn.AGGREGATE(4,7,A$20:A148)+1</f>
        <v>129</v>
      </c>
      <c r="B149" s="363" t="s">
        <v>1495</v>
      </c>
      <c r="C149" s="364" t="s">
        <v>1200</v>
      </c>
      <c r="D149" s="434" t="s">
        <v>1720</v>
      </c>
      <c r="E149" s="423" t="s">
        <v>1335</v>
      </c>
      <c r="F149" s="366">
        <v>4.9800000000000004</v>
      </c>
      <c r="G149" s="367"/>
      <c r="H149" s="368">
        <f t="shared" si="26"/>
        <v>4.9800000000000004</v>
      </c>
      <c r="I149" s="368"/>
      <c r="J149" s="368" t="str">
        <f>VLOOKUP(B149,TH.T3!B155:J413,9,FALSE)</f>
        <v>Giảng viên khoa Ngoại ngữ</v>
      </c>
      <c r="K149" s="369">
        <f t="shared" si="27"/>
        <v>4.9800000000000004</v>
      </c>
      <c r="L149" s="362">
        <f t="shared" si="28"/>
        <v>8964000</v>
      </c>
      <c r="M149" s="366" t="str">
        <f>VLOOKUP(B149,'[11]Gui chi Quynh'!$B$11:$E$400,4,FALSE)</f>
        <v>A3</v>
      </c>
      <c r="N149" s="494">
        <f t="shared" ref="N149:N212" si="30">IF(M149="A1",L149*1.6,IF(M149="A2",L149*1.4,IF(M149="A3",L149*1.2,IF(M149="A4",L149*1,IF(M149="B1",L149*0.7,IF(M149="B2",L149*0.5,IF(M149="C1",L149*0.3,IF(M149="C2",L149*0.2,0))))))))</f>
        <v>10756800</v>
      </c>
      <c r="O149" s="376">
        <v>19</v>
      </c>
      <c r="P149" s="440">
        <f>IFERROR(INDEX('[12]CN BC'!$J$10:$J$276,MATCH(B149,'[12]CN BC'!$H$10:$H$276,0)),"")</f>
        <v>19</v>
      </c>
      <c r="Q149" s="494">
        <f t="shared" ref="Q149" si="31">IF(P149&gt;=O149,N149,N149/O149*P149)</f>
        <v>10756800</v>
      </c>
      <c r="R149" s="460"/>
      <c r="S149" s="362">
        <f t="shared" si="29"/>
        <v>0</v>
      </c>
      <c r="T149" s="370"/>
      <c r="U149" s="362">
        <f t="shared" ref="U149" si="32">T149*$G$17*1</f>
        <v>0</v>
      </c>
      <c r="V149" s="584">
        <f t="shared" ref="V149:V212" si="33">IF(OR(M149="A DN",M149="KXL", M149=""),"0",ROUND(K149*0.01*$G$17+R149*1%*$G$17+T149*1%*$G$17,))</f>
        <v>89640</v>
      </c>
      <c r="W149" s="371">
        <f t="shared" si="25"/>
        <v>10756800</v>
      </c>
      <c r="X149" s="935">
        <f t="shared" si="22"/>
        <v>5.976</v>
      </c>
      <c r="Y149" s="934">
        <v>1800000</v>
      </c>
      <c r="Z149" s="931">
        <f t="shared" si="23"/>
        <v>10756800</v>
      </c>
      <c r="AA149" s="568">
        <f t="shared" ref="AA149:AA212" si="34">A149</f>
        <v>129</v>
      </c>
      <c r="AB149" s="493">
        <f>IFERROR(INDEX('[12]CN BC'!$M$10:$M$276,MATCH(B149,'[12]CN BC'!$H$10:$H$276,0)),"")</f>
        <v>0</v>
      </c>
      <c r="AC149" s="523" t="s">
        <v>2237</v>
      </c>
      <c r="AD149" s="108"/>
      <c r="AE149" s="108"/>
      <c r="AF149" s="155"/>
      <c r="AG149" s="108"/>
      <c r="AH149" s="108"/>
      <c r="AI149" s="108"/>
      <c r="AJ149" s="108"/>
      <c r="AK149" s="108"/>
      <c r="AL149" s="108"/>
    </row>
    <row r="150" spans="1:38" s="372" customFormat="1" ht="31.5" customHeight="1">
      <c r="A150" s="379">
        <f>_xlfn.AGGREGATE(4,7,A$20:A149)+1</f>
        <v>130</v>
      </c>
      <c r="B150" s="363" t="s">
        <v>1876</v>
      </c>
      <c r="C150" s="364" t="s">
        <v>448</v>
      </c>
      <c r="D150" s="434" t="s">
        <v>1721</v>
      </c>
      <c r="E150" s="423" t="s">
        <v>504</v>
      </c>
      <c r="F150" s="373">
        <v>3.99</v>
      </c>
      <c r="G150" s="367"/>
      <c r="H150" s="368">
        <f t="shared" si="26"/>
        <v>3.99</v>
      </c>
      <c r="I150" s="368"/>
      <c r="J150" s="368" t="str">
        <f>VLOOKUP(B150,TH.T3!B156:J414,9,FALSE)</f>
        <v>Giảng viên khoa Ngoại ngữ</v>
      </c>
      <c r="K150" s="369">
        <f t="shared" si="27"/>
        <v>3.99</v>
      </c>
      <c r="L150" s="362">
        <f t="shared" si="28"/>
        <v>7182000</v>
      </c>
      <c r="M150" s="366" t="str">
        <f>VLOOKUP(B150,'[11]Gui chi Quynh'!$B$11:$E$400,4,FALSE)</f>
        <v>A3</v>
      </c>
      <c r="N150" s="494">
        <f t="shared" si="30"/>
        <v>8618400</v>
      </c>
      <c r="O150" s="376">
        <v>19</v>
      </c>
      <c r="P150" s="440">
        <f>IFERROR(INDEX('[12]CN BC'!$J$10:$J$276,MATCH(B150,'[12]CN BC'!$H$10:$H$276,0)),"")</f>
        <v>19</v>
      </c>
      <c r="Q150" s="494">
        <f>IF(P150&gt;=O150,N150,N150/O150*P150)</f>
        <v>8618400</v>
      </c>
      <c r="R150" s="460"/>
      <c r="S150" s="362">
        <f t="shared" si="29"/>
        <v>0</v>
      </c>
      <c r="T150" s="370"/>
      <c r="U150" s="362">
        <f>T150*$G$17*1</f>
        <v>0</v>
      </c>
      <c r="V150" s="584">
        <f t="shared" si="33"/>
        <v>71820</v>
      </c>
      <c r="W150" s="371">
        <f t="shared" si="25"/>
        <v>8618400</v>
      </c>
      <c r="X150" s="935">
        <f t="shared" ref="X150:X213" si="35">W150/Y150</f>
        <v>4.7880000000000003</v>
      </c>
      <c r="Y150" s="934">
        <v>1800000</v>
      </c>
      <c r="Z150" s="931">
        <f t="shared" ref="Z150:Z213" si="36">X150*Y150</f>
        <v>8618400</v>
      </c>
      <c r="AA150" s="568">
        <f t="shared" si="34"/>
        <v>130</v>
      </c>
      <c r="AB150" s="493">
        <f>IFERROR(INDEX('[12]CN BC'!$M$10:$M$276,MATCH(B150,'[12]CN BC'!$H$10:$H$276,0)),"")</f>
        <v>0</v>
      </c>
      <c r="AC150" s="523" t="s">
        <v>2237</v>
      </c>
      <c r="AD150" s="108"/>
      <c r="AE150" s="108"/>
      <c r="AF150" s="155"/>
      <c r="AG150" s="108"/>
      <c r="AH150" s="108"/>
      <c r="AI150" s="108"/>
      <c r="AJ150" s="108"/>
      <c r="AK150" s="108"/>
      <c r="AL150" s="108"/>
    </row>
    <row r="151" spans="1:38" s="372" customFormat="1" ht="31.5" customHeight="1">
      <c r="A151" s="379">
        <f>_xlfn.AGGREGATE(4,7,A$20:A150)+1</f>
        <v>131</v>
      </c>
      <c r="B151" s="363" t="s">
        <v>1496</v>
      </c>
      <c r="C151" s="364" t="s">
        <v>883</v>
      </c>
      <c r="D151" s="434" t="s">
        <v>1722</v>
      </c>
      <c r="E151" s="422" t="s">
        <v>1589</v>
      </c>
      <c r="F151" s="373">
        <v>3.33</v>
      </c>
      <c r="G151" s="367"/>
      <c r="H151" s="445">
        <f t="shared" si="26"/>
        <v>3.33</v>
      </c>
      <c r="I151" s="368">
        <v>0.45</v>
      </c>
      <c r="J151" s="368" t="str">
        <f>VLOOKUP(B151,TH.T3!B157:J415,9,FALSE)</f>
        <v>Giảng viên khoa Ngoại ngữ</v>
      </c>
      <c r="K151" s="369">
        <f t="shared" si="27"/>
        <v>3.7800000000000002</v>
      </c>
      <c r="L151" s="362">
        <f t="shared" si="28"/>
        <v>6804000</v>
      </c>
      <c r="M151" s="366" t="str">
        <f>VLOOKUP(B151,'[11]Gui chi Quynh'!$B$11:$E$400,4,FALSE)</f>
        <v>A2</v>
      </c>
      <c r="N151" s="494">
        <f t="shared" si="30"/>
        <v>9525600</v>
      </c>
      <c r="O151" s="376">
        <v>19</v>
      </c>
      <c r="P151" s="440">
        <f>IFERROR(INDEX('[12]CN BC'!$J$10:$J$276,MATCH(B151,'[12]CN BC'!$H$10:$H$276,0)),"")</f>
        <v>19</v>
      </c>
      <c r="Q151" s="494">
        <f>IF(P151&gt;=O151,N151,N151/O151*P151)</f>
        <v>9525600</v>
      </c>
      <c r="R151" s="392"/>
      <c r="S151" s="362">
        <f t="shared" si="29"/>
        <v>0</v>
      </c>
      <c r="T151" s="370"/>
      <c r="U151" s="362">
        <f>T151*$G$17*1</f>
        <v>0</v>
      </c>
      <c r="V151" s="584">
        <f t="shared" si="33"/>
        <v>68040</v>
      </c>
      <c r="W151" s="371">
        <f t="shared" ref="W151:W214" si="37">(Q151+S151+U151)</f>
        <v>9525600</v>
      </c>
      <c r="X151" s="935">
        <f t="shared" si="35"/>
        <v>5.2919999999999998</v>
      </c>
      <c r="Y151" s="934">
        <v>1800000</v>
      </c>
      <c r="Z151" s="931">
        <f t="shared" si="36"/>
        <v>9525600</v>
      </c>
      <c r="AA151" s="568">
        <f t="shared" si="34"/>
        <v>131</v>
      </c>
      <c r="AB151" s="493">
        <f>IFERROR(INDEX('[12]CN BC'!$M$10:$M$276,MATCH(B151,'[12]CN BC'!$H$10:$H$276,0)),"")</f>
        <v>0</v>
      </c>
      <c r="AC151" s="523" t="s">
        <v>2237</v>
      </c>
      <c r="AD151" s="108"/>
      <c r="AE151" s="108"/>
      <c r="AF151" s="155"/>
      <c r="AG151" s="108"/>
      <c r="AH151" s="108"/>
      <c r="AI151" s="108"/>
      <c r="AJ151" s="108"/>
      <c r="AK151" s="108"/>
      <c r="AL151" s="108"/>
    </row>
    <row r="152" spans="1:38" s="372" customFormat="1" ht="31.5" customHeight="1">
      <c r="A152" s="379">
        <f>_xlfn.AGGREGATE(4,7,A$20:A151)+1</f>
        <v>132</v>
      </c>
      <c r="B152" s="363" t="s">
        <v>1497</v>
      </c>
      <c r="C152" s="364" t="s">
        <v>1078</v>
      </c>
      <c r="D152" s="434" t="s">
        <v>1723</v>
      </c>
      <c r="E152" s="422" t="s">
        <v>1590</v>
      </c>
      <c r="F152" s="373">
        <v>3</v>
      </c>
      <c r="G152" s="367"/>
      <c r="H152" s="445">
        <f t="shared" si="26"/>
        <v>3</v>
      </c>
      <c r="I152" s="368"/>
      <c r="J152" s="368" t="str">
        <f>VLOOKUP(B152,TH.T3!B158:J416,9,FALSE)</f>
        <v>Giảng viên khoa Ngoại ngữ</v>
      </c>
      <c r="K152" s="369">
        <f t="shared" si="27"/>
        <v>3</v>
      </c>
      <c r="L152" s="362">
        <f t="shared" si="28"/>
        <v>5400000</v>
      </c>
      <c r="M152" s="366" t="str">
        <f>VLOOKUP(B152,'[11]Gui chi Quynh'!$B$11:$E$400,4,FALSE)</f>
        <v>A2</v>
      </c>
      <c r="N152" s="494">
        <f t="shared" si="30"/>
        <v>7559999.9999999991</v>
      </c>
      <c r="O152" s="376">
        <v>19</v>
      </c>
      <c r="P152" s="440">
        <f>IFERROR(INDEX('[12]CN BC'!$J$10:$J$276,MATCH(B152,'[12]CN BC'!$H$10:$H$276,0)),"")</f>
        <v>19</v>
      </c>
      <c r="Q152" s="494">
        <f t="shared" ref="Q152:Q215" si="38">IF(P152&gt;=O152,N152,N152/O152*P152)</f>
        <v>7559999.9999999991</v>
      </c>
      <c r="R152" s="460"/>
      <c r="S152" s="362">
        <f t="shared" si="29"/>
        <v>0</v>
      </c>
      <c r="T152" s="370"/>
      <c r="U152" s="362">
        <f>T152*$G$17*1</f>
        <v>0</v>
      </c>
      <c r="V152" s="584">
        <f t="shared" si="33"/>
        <v>54000</v>
      </c>
      <c r="W152" s="371">
        <f t="shared" si="37"/>
        <v>7559999.9999999991</v>
      </c>
      <c r="X152" s="935">
        <f t="shared" si="35"/>
        <v>4.1999999999999993</v>
      </c>
      <c r="Y152" s="934">
        <v>1800000</v>
      </c>
      <c r="Z152" s="931">
        <f t="shared" si="36"/>
        <v>7559999.9999999991</v>
      </c>
      <c r="AA152" s="568">
        <f t="shared" si="34"/>
        <v>132</v>
      </c>
      <c r="AB152" s="493">
        <f>IFERROR(INDEX('[12]CN BC'!$M$10:$M$276,MATCH(B152,'[12]CN BC'!$H$10:$H$276,0)),"")</f>
        <v>0</v>
      </c>
      <c r="AC152" s="523" t="s">
        <v>2237</v>
      </c>
      <c r="AD152" s="108"/>
      <c r="AE152" s="108"/>
      <c r="AF152" s="155"/>
      <c r="AG152" s="108"/>
      <c r="AH152" s="108"/>
      <c r="AI152" s="108"/>
      <c r="AJ152" s="108"/>
      <c r="AK152" s="108"/>
      <c r="AL152" s="108"/>
    </row>
    <row r="153" spans="1:38" s="372" customFormat="1" ht="31.5" customHeight="1">
      <c r="A153" s="379">
        <f>_xlfn.AGGREGATE(4,7,A$20:A152)+1</f>
        <v>133</v>
      </c>
      <c r="B153" s="363" t="s">
        <v>1929</v>
      </c>
      <c r="C153" s="364"/>
      <c r="D153" s="434" t="s">
        <v>1964</v>
      </c>
      <c r="E153" s="480" t="s">
        <v>1932</v>
      </c>
      <c r="F153" s="366">
        <v>2.34</v>
      </c>
      <c r="G153" s="367"/>
      <c r="H153" s="368">
        <f t="shared" si="26"/>
        <v>2.34</v>
      </c>
      <c r="I153" s="368"/>
      <c r="J153" s="368" t="str">
        <f>VLOOKUP(B153,TH.T3!B159:J417,9,FALSE)</f>
        <v>Giảng viên khoa Ngoại ngữ</v>
      </c>
      <c r="K153" s="369">
        <f t="shared" si="27"/>
        <v>2.34</v>
      </c>
      <c r="L153" s="362">
        <f t="shared" si="28"/>
        <v>4212000</v>
      </c>
      <c r="M153" s="366" t="str">
        <f>VLOOKUP(B153,'[11]Gui chi Quynh'!$B$11:$E$400,4,FALSE)</f>
        <v>A3</v>
      </c>
      <c r="N153" s="494">
        <f t="shared" si="30"/>
        <v>5054400</v>
      </c>
      <c r="O153" s="376">
        <v>19</v>
      </c>
      <c r="P153" s="440">
        <f>IFERROR(INDEX('[12]CN BC'!$J$10:$J$276,MATCH(B153,'[12]CN BC'!$H$10:$H$276,0)),"")</f>
        <v>19</v>
      </c>
      <c r="Q153" s="494">
        <f t="shared" si="38"/>
        <v>5054400</v>
      </c>
      <c r="R153" s="460"/>
      <c r="S153" s="362">
        <f t="shared" si="29"/>
        <v>0</v>
      </c>
      <c r="T153" s="370"/>
      <c r="U153" s="362">
        <f>T153*$G$17*1</f>
        <v>0</v>
      </c>
      <c r="V153" s="584">
        <f t="shared" si="33"/>
        <v>42120</v>
      </c>
      <c r="W153" s="371">
        <f t="shared" si="37"/>
        <v>5054400</v>
      </c>
      <c r="X153" s="935">
        <f t="shared" si="35"/>
        <v>2.8079999999999998</v>
      </c>
      <c r="Y153" s="934">
        <v>1800000</v>
      </c>
      <c r="Z153" s="931">
        <f t="shared" si="36"/>
        <v>5054400</v>
      </c>
      <c r="AA153" s="568">
        <f t="shared" si="34"/>
        <v>133</v>
      </c>
      <c r="AB153" s="493">
        <f>IFERROR(INDEX('[12]CN BC'!$M$10:$M$276,MATCH(B153,'[12]CN BC'!$H$10:$H$276,0)),"")</f>
        <v>0</v>
      </c>
      <c r="AC153" s="523" t="s">
        <v>2237</v>
      </c>
      <c r="AD153" s="108"/>
      <c r="AE153" s="108"/>
      <c r="AF153" s="155"/>
      <c r="AG153" s="108"/>
      <c r="AH153" s="108"/>
      <c r="AI153" s="108"/>
      <c r="AJ153" s="108"/>
      <c r="AK153" s="108"/>
      <c r="AL153" s="108"/>
    </row>
    <row r="154" spans="1:38" s="372" customFormat="1" ht="31.5" customHeight="1">
      <c r="A154" s="379">
        <f>_xlfn.AGGREGATE(4,7,A$20:A153)+1</f>
        <v>134</v>
      </c>
      <c r="B154" s="363" t="s">
        <v>1498</v>
      </c>
      <c r="C154" s="364" t="s">
        <v>958</v>
      </c>
      <c r="D154" s="434" t="s">
        <v>1724</v>
      </c>
      <c r="E154" s="422" t="s">
        <v>1591</v>
      </c>
      <c r="F154" s="373">
        <v>3</v>
      </c>
      <c r="G154" s="367"/>
      <c r="H154" s="445">
        <f t="shared" si="26"/>
        <v>3</v>
      </c>
      <c r="I154" s="368"/>
      <c r="J154" s="368" t="str">
        <f>VLOOKUP(B154,TH.T3!B160:J418,9,FALSE)</f>
        <v>Giảng viên khoa Ngoại ngữ</v>
      </c>
      <c r="K154" s="369">
        <f t="shared" si="27"/>
        <v>3</v>
      </c>
      <c r="L154" s="362">
        <f t="shared" si="28"/>
        <v>5400000</v>
      </c>
      <c r="M154" s="366" t="str">
        <f>VLOOKUP(B154,'[11]Gui chi Quynh'!$B$11:$E$400,4,FALSE)</f>
        <v>A3</v>
      </c>
      <c r="N154" s="494">
        <f t="shared" si="30"/>
        <v>6480000</v>
      </c>
      <c r="O154" s="376">
        <v>19</v>
      </c>
      <c r="P154" s="440">
        <f>IFERROR(INDEX('[12]CN BC'!$J$10:$J$276,MATCH(B154,'[12]CN BC'!$H$10:$H$276,0)),"")</f>
        <v>19</v>
      </c>
      <c r="Q154" s="494">
        <f t="shared" si="38"/>
        <v>6480000</v>
      </c>
      <c r="R154" s="460"/>
      <c r="S154" s="362">
        <f t="shared" si="29"/>
        <v>0</v>
      </c>
      <c r="T154" s="370"/>
      <c r="U154" s="362">
        <f t="shared" ref="U154:U217" si="39">T154*$G$17*1</f>
        <v>0</v>
      </c>
      <c r="V154" s="584">
        <f t="shared" si="33"/>
        <v>54000</v>
      </c>
      <c r="W154" s="371">
        <f t="shared" si="37"/>
        <v>6480000</v>
      </c>
      <c r="X154" s="935">
        <f t="shared" si="35"/>
        <v>3.6</v>
      </c>
      <c r="Y154" s="934">
        <v>1800000</v>
      </c>
      <c r="Z154" s="931">
        <f t="shared" si="36"/>
        <v>6480000</v>
      </c>
      <c r="AA154" s="568">
        <f t="shared" si="34"/>
        <v>134</v>
      </c>
      <c r="AB154" s="493">
        <f>IFERROR(INDEX('[12]CN BC'!$M$10:$M$276,MATCH(B154,'[12]CN BC'!$H$10:$H$276,0)),"")</f>
        <v>0</v>
      </c>
      <c r="AC154" s="523" t="s">
        <v>2237</v>
      </c>
      <c r="AD154" s="108"/>
      <c r="AE154" s="108"/>
      <c r="AF154" s="487"/>
    </row>
    <row r="155" spans="1:38" s="372" customFormat="1" ht="30.75" customHeight="1">
      <c r="A155" s="379">
        <f>_xlfn.AGGREGATE(4,7,A$20:A154)+1</f>
        <v>135</v>
      </c>
      <c r="B155" s="363" t="s">
        <v>1925</v>
      </c>
      <c r="C155" s="364"/>
      <c r="D155" s="434" t="s">
        <v>1965</v>
      </c>
      <c r="E155" s="515" t="s">
        <v>1930</v>
      </c>
      <c r="F155" s="366">
        <v>2.34</v>
      </c>
      <c r="G155" s="367"/>
      <c r="H155" s="368">
        <f t="shared" si="26"/>
        <v>2.34</v>
      </c>
      <c r="I155" s="368"/>
      <c r="J155" s="368" t="str">
        <f>VLOOKUP(B155,TH.T3!B161:J419,9,FALSE)</f>
        <v>Giảng viên khoa Ngoại ngữ</v>
      </c>
      <c r="K155" s="369">
        <f t="shared" si="27"/>
        <v>2.34</v>
      </c>
      <c r="L155" s="362">
        <f t="shared" si="28"/>
        <v>4212000</v>
      </c>
      <c r="M155" s="366" t="str">
        <f>VLOOKUP(B155,'[11]Gui chi Quynh'!$B$11:$E$400,4,FALSE)</f>
        <v>A3</v>
      </c>
      <c r="N155" s="494">
        <f t="shared" si="30"/>
        <v>5054400</v>
      </c>
      <c r="O155" s="376">
        <v>19</v>
      </c>
      <c r="P155" s="440">
        <f>IFERROR(INDEX('[12]CN BC'!$J$10:$J$276,MATCH(B155,'[12]CN BC'!$H$10:$H$276,0)),"")</f>
        <v>19</v>
      </c>
      <c r="Q155" s="494">
        <f t="shared" si="38"/>
        <v>5054400</v>
      </c>
      <c r="R155" s="460"/>
      <c r="S155" s="362">
        <f t="shared" si="29"/>
        <v>0</v>
      </c>
      <c r="T155" s="370"/>
      <c r="U155" s="362">
        <f t="shared" si="39"/>
        <v>0</v>
      </c>
      <c r="V155" s="584">
        <f t="shared" si="33"/>
        <v>42120</v>
      </c>
      <c r="W155" s="371">
        <f t="shared" si="37"/>
        <v>5054400</v>
      </c>
      <c r="X155" s="935">
        <f t="shared" si="35"/>
        <v>2.8079999999999998</v>
      </c>
      <c r="Y155" s="934">
        <v>1800000</v>
      </c>
      <c r="Z155" s="931">
        <f t="shared" si="36"/>
        <v>5054400</v>
      </c>
      <c r="AA155" s="568">
        <f t="shared" si="34"/>
        <v>135</v>
      </c>
      <c r="AB155" s="493">
        <f>IFERROR(INDEX('[12]CN BC'!$M$10:$M$276,MATCH(B155,'[12]CN BC'!$H$10:$H$276,0)),"")</f>
        <v>0</v>
      </c>
      <c r="AC155" s="523" t="s">
        <v>2237</v>
      </c>
      <c r="AD155" s="108"/>
      <c r="AE155" s="108"/>
      <c r="AF155" s="487"/>
    </row>
    <row r="156" spans="1:38" s="372" customFormat="1" ht="35.25" customHeight="1">
      <c r="A156" s="660">
        <f>_xlfn.AGGREGATE(4,7,A$20:A155)+1</f>
        <v>136</v>
      </c>
      <c r="B156" s="563" t="s">
        <v>2018</v>
      </c>
      <c r="C156" s="552"/>
      <c r="D156" s="564"/>
      <c r="E156" s="565"/>
      <c r="F156" s="557">
        <v>1.9890000000000001</v>
      </c>
      <c r="G156" s="553"/>
      <c r="H156" s="554">
        <f t="shared" si="26"/>
        <v>1.9890000000000001</v>
      </c>
      <c r="I156" s="554"/>
      <c r="J156" s="554" t="str">
        <f>VLOOKUP(B156,TH.T3!B162:J420,9,FALSE)</f>
        <v>Giảng viên khoa Ngoại ngữ</v>
      </c>
      <c r="K156" s="555">
        <f t="shared" si="27"/>
        <v>1.9890000000000001</v>
      </c>
      <c r="L156" s="556">
        <f t="shared" si="28"/>
        <v>3580200</v>
      </c>
      <c r="M156" s="557" t="str">
        <f>VLOOKUP(B156,'[11]Gui chi Quynh'!$B$11:$E$400,4,FALSE)</f>
        <v>A DN</v>
      </c>
      <c r="N156" s="558">
        <f t="shared" si="30"/>
        <v>0</v>
      </c>
      <c r="O156" s="655">
        <v>19</v>
      </c>
      <c r="P156" s="559">
        <f>IFERROR(INDEX('[12]CN BC'!$J$10:$J$276,MATCH(B156,'[12]CN BC'!$H$10:$H$276,0)),"")</f>
        <v>0</v>
      </c>
      <c r="Q156" s="558">
        <f t="shared" si="38"/>
        <v>0</v>
      </c>
      <c r="R156" s="560"/>
      <c r="S156" s="556">
        <f t="shared" si="29"/>
        <v>0</v>
      </c>
      <c r="T156" s="561"/>
      <c r="U156" s="556">
        <f t="shared" si="39"/>
        <v>0</v>
      </c>
      <c r="V156" s="556" t="str">
        <f t="shared" si="33"/>
        <v>0</v>
      </c>
      <c r="W156" s="656">
        <f t="shared" si="37"/>
        <v>0</v>
      </c>
      <c r="X156" s="936">
        <f t="shared" si="35"/>
        <v>0</v>
      </c>
      <c r="Y156" s="937">
        <v>1800000</v>
      </c>
      <c r="Z156" s="932">
        <f t="shared" si="36"/>
        <v>0</v>
      </c>
      <c r="AA156" s="573">
        <f t="shared" si="34"/>
        <v>136</v>
      </c>
      <c r="AB156" s="562" t="str">
        <f>IFERROR(INDEX('[12]CN BC'!$M$10:$M$276,MATCH(B156,'[12]CN BC'!$H$10:$H$276,0)),"")</f>
        <v>Nghỉ hộ sản hưởng chế độ BHXH từ 9/3/2024</v>
      </c>
      <c r="AC156" s="523" t="s">
        <v>2237</v>
      </c>
      <c r="AF156" s="487"/>
    </row>
    <row r="157" spans="1:38" s="372" customFormat="1" ht="30.75" customHeight="1">
      <c r="A157" s="379">
        <f>_xlfn.AGGREGATE(4,7,A$20:A156)+1</f>
        <v>137</v>
      </c>
      <c r="B157" s="363" t="s">
        <v>2024</v>
      </c>
      <c r="C157" s="364"/>
      <c r="D157" s="434"/>
      <c r="E157" s="515"/>
      <c r="F157" s="366">
        <v>1.9890000000000001</v>
      </c>
      <c r="G157" s="367"/>
      <c r="H157" s="368">
        <f t="shared" si="26"/>
        <v>1.9890000000000001</v>
      </c>
      <c r="I157" s="368"/>
      <c r="J157" s="368" t="str">
        <f>VLOOKUP(B157,TH.T3!B163:J421,9,FALSE)</f>
        <v>Giảng viên khoa Ngoại ngữ</v>
      </c>
      <c r="K157" s="369">
        <f t="shared" si="27"/>
        <v>1.9890000000000001</v>
      </c>
      <c r="L157" s="362">
        <f t="shared" si="28"/>
        <v>3580200</v>
      </c>
      <c r="M157" s="366" t="str">
        <f>VLOOKUP(B157,'[11]Gui chi Quynh'!$B$11:$E$400,4,FALSE)</f>
        <v>A4</v>
      </c>
      <c r="N157" s="494">
        <f t="shared" si="30"/>
        <v>3580200</v>
      </c>
      <c r="O157" s="376">
        <v>19</v>
      </c>
      <c r="P157" s="440">
        <f>IFERROR(INDEX('[12]CN BC'!$J$10:$J$276,MATCH(B157,'[12]CN BC'!$H$10:$H$276,0)),"")</f>
        <v>19</v>
      </c>
      <c r="Q157" s="494">
        <f t="shared" si="38"/>
        <v>3580200</v>
      </c>
      <c r="R157" s="460"/>
      <c r="S157" s="362">
        <f t="shared" si="29"/>
        <v>0</v>
      </c>
      <c r="T157" s="370"/>
      <c r="U157" s="362">
        <f t="shared" si="39"/>
        <v>0</v>
      </c>
      <c r="V157" s="362"/>
      <c r="W157" s="371">
        <f t="shared" si="37"/>
        <v>3580200</v>
      </c>
      <c r="X157" s="935">
        <f t="shared" si="35"/>
        <v>1.9890000000000001</v>
      </c>
      <c r="Y157" s="934">
        <v>1800000</v>
      </c>
      <c r="Z157" s="931">
        <f t="shared" si="36"/>
        <v>3580200</v>
      </c>
      <c r="AA157" s="568">
        <f t="shared" si="34"/>
        <v>137</v>
      </c>
      <c r="AB157" s="493">
        <f>IFERROR(INDEX('[12]CN BC'!$M$10:$M$276,MATCH(B157,'[12]CN BC'!$H$10:$H$276,0)),"")</f>
        <v>0</v>
      </c>
      <c r="AC157" s="523" t="s">
        <v>2237</v>
      </c>
      <c r="AF157" s="487"/>
    </row>
    <row r="158" spans="1:38" s="372" customFormat="1" ht="30.75" customHeight="1">
      <c r="A158" s="379">
        <f>_xlfn.AGGREGATE(4,7,A$20:A157)+1</f>
        <v>138</v>
      </c>
      <c r="B158" s="363" t="s">
        <v>2006</v>
      </c>
      <c r="C158" s="364"/>
      <c r="D158" s="434"/>
      <c r="E158" s="515"/>
      <c r="F158" s="366">
        <v>1.9890000000000001</v>
      </c>
      <c r="G158" s="367"/>
      <c r="H158" s="368">
        <f t="shared" si="26"/>
        <v>1.9890000000000001</v>
      </c>
      <c r="I158" s="368"/>
      <c r="J158" s="368" t="str">
        <f>VLOOKUP(B158,TH.T3!B164:J422,9,FALSE)</f>
        <v>Giảng viên khoa Ngoại ngữ</v>
      </c>
      <c r="K158" s="369">
        <f t="shared" si="27"/>
        <v>1.9890000000000001</v>
      </c>
      <c r="L158" s="362">
        <f t="shared" si="28"/>
        <v>3580200</v>
      </c>
      <c r="M158" s="366" t="str">
        <f>VLOOKUP(B158,'[11]Gui chi Quynh'!$B$11:$E$400,4,FALSE)</f>
        <v>A3</v>
      </c>
      <c r="N158" s="494">
        <f t="shared" si="30"/>
        <v>4296240</v>
      </c>
      <c r="O158" s="376">
        <v>19</v>
      </c>
      <c r="P158" s="440">
        <f>IFERROR(INDEX('[12]CN BC'!$J$10:$J$276,MATCH(B158,'[12]CN BC'!$H$10:$H$276,0)),"")</f>
        <v>19</v>
      </c>
      <c r="Q158" s="494">
        <f t="shared" si="38"/>
        <v>4296240</v>
      </c>
      <c r="R158" s="460"/>
      <c r="S158" s="362">
        <f t="shared" si="29"/>
        <v>0</v>
      </c>
      <c r="T158" s="370"/>
      <c r="U158" s="362">
        <f t="shared" si="39"/>
        <v>0</v>
      </c>
      <c r="V158" s="362">
        <f t="shared" si="33"/>
        <v>35802</v>
      </c>
      <c r="W158" s="371">
        <f t="shared" si="37"/>
        <v>4296240</v>
      </c>
      <c r="X158" s="935">
        <f t="shared" si="35"/>
        <v>2.3868</v>
      </c>
      <c r="Y158" s="934">
        <v>1800000</v>
      </c>
      <c r="Z158" s="931">
        <f t="shared" si="36"/>
        <v>4296240</v>
      </c>
      <c r="AA158" s="568">
        <f t="shared" si="34"/>
        <v>138</v>
      </c>
      <c r="AB158" s="493">
        <f>IFERROR(INDEX('[12]CN BC'!$M$10:$M$276,MATCH(B158,'[12]CN BC'!$H$10:$H$276,0)),"")</f>
        <v>0</v>
      </c>
      <c r="AC158" s="523" t="s">
        <v>2237</v>
      </c>
      <c r="AF158" s="487"/>
    </row>
    <row r="159" spans="1:38" s="372" customFormat="1" ht="30" customHeight="1">
      <c r="A159" s="379">
        <f>_xlfn.AGGREGATE(4,7,A$20:A158)+1</f>
        <v>139</v>
      </c>
      <c r="B159" s="363" t="s">
        <v>1499</v>
      </c>
      <c r="C159" s="525" t="s">
        <v>365</v>
      </c>
      <c r="D159" s="434" t="s">
        <v>1725</v>
      </c>
      <c r="E159" s="423" t="s">
        <v>378</v>
      </c>
      <c r="F159" s="373">
        <v>3.99</v>
      </c>
      <c r="G159" s="526"/>
      <c r="H159" s="368">
        <f t="shared" si="26"/>
        <v>3.99</v>
      </c>
      <c r="I159" s="368">
        <v>0.35</v>
      </c>
      <c r="J159" s="368" t="str">
        <f>VLOOKUP(B159,TH.T3!B165:J423,9,FALSE)</f>
        <v>Phó Trưởng khoa LLCT</v>
      </c>
      <c r="K159" s="369">
        <f t="shared" si="27"/>
        <v>4.34</v>
      </c>
      <c r="L159" s="362">
        <f t="shared" si="28"/>
        <v>7812000</v>
      </c>
      <c r="M159" s="366" t="str">
        <f>VLOOKUP(B159,'[11]Gui chi Quynh'!$B$11:$E$400,4,FALSE)</f>
        <v>A4</v>
      </c>
      <c r="N159" s="494">
        <f t="shared" si="30"/>
        <v>7812000</v>
      </c>
      <c r="O159" s="376">
        <v>19</v>
      </c>
      <c r="P159" s="440">
        <f>IFERROR(INDEX('[12]CN BC'!$J$10:$J$276,MATCH(B159,'[12]CN BC'!$H$10:$H$276,0)),"")</f>
        <v>20</v>
      </c>
      <c r="Q159" s="494">
        <f t="shared" si="38"/>
        <v>7812000</v>
      </c>
      <c r="R159" s="460"/>
      <c r="S159" s="362">
        <f t="shared" si="29"/>
        <v>0</v>
      </c>
      <c r="T159" s="370"/>
      <c r="U159" s="362">
        <f t="shared" si="39"/>
        <v>0</v>
      </c>
      <c r="V159" s="584">
        <f t="shared" si="33"/>
        <v>78120</v>
      </c>
      <c r="W159" s="371">
        <f t="shared" si="37"/>
        <v>7812000</v>
      </c>
      <c r="X159" s="935">
        <f t="shared" si="35"/>
        <v>4.34</v>
      </c>
      <c r="Y159" s="934">
        <v>1800000</v>
      </c>
      <c r="Z159" s="931">
        <f t="shared" si="36"/>
        <v>7812000</v>
      </c>
      <c r="AA159" s="568">
        <f t="shared" si="34"/>
        <v>139</v>
      </c>
      <c r="AB159" s="493">
        <f>IFERROR(INDEX('[12]CN BC'!$M$10:$M$276,MATCH(B159,'[12]CN BC'!$H$10:$H$276,0)),"")</f>
        <v>0</v>
      </c>
      <c r="AC159" s="523" t="s">
        <v>2238</v>
      </c>
      <c r="AD159" s="108"/>
      <c r="AE159" s="108"/>
      <c r="AF159" s="487"/>
    </row>
    <row r="160" spans="1:38" s="108" customFormat="1" ht="28.5" customHeight="1">
      <c r="A160" s="379">
        <f>_xlfn.AGGREGATE(4,7,A$20:A159)+1</f>
        <v>140</v>
      </c>
      <c r="B160" s="33" t="s">
        <v>843</v>
      </c>
      <c r="C160" s="34" t="s">
        <v>865</v>
      </c>
      <c r="D160" s="406" t="s">
        <v>1726</v>
      </c>
      <c r="E160" s="424" t="s">
        <v>1316</v>
      </c>
      <c r="F160" s="83">
        <v>3.99</v>
      </c>
      <c r="G160" s="157"/>
      <c r="H160" s="368">
        <f t="shared" si="26"/>
        <v>3.99</v>
      </c>
      <c r="I160" s="81">
        <v>0.45</v>
      </c>
      <c r="J160" s="368" t="str">
        <f>VLOOKUP(B160,TH.T3!B166:J424,9,FALSE)</f>
        <v>Phó Trưởng khoa LLCT</v>
      </c>
      <c r="K160" s="369">
        <f t="shared" si="27"/>
        <v>4.4400000000000004</v>
      </c>
      <c r="L160" s="362">
        <f t="shared" si="28"/>
        <v>7992000.0000000009</v>
      </c>
      <c r="M160" s="366" t="str">
        <f>VLOOKUP(B160,'[11]Gui chi Quynh'!$B$11:$E$400,4,FALSE)</f>
        <v>A3</v>
      </c>
      <c r="N160" s="494">
        <f t="shared" si="30"/>
        <v>9590400</v>
      </c>
      <c r="O160" s="376">
        <v>19</v>
      </c>
      <c r="P160" s="440">
        <f>IFERROR(INDEX('[12]CN BC'!$J$10:$J$276,MATCH(B160,'[12]CN BC'!$H$10:$H$276,0)),"")</f>
        <v>20</v>
      </c>
      <c r="Q160" s="494">
        <f t="shared" si="38"/>
        <v>9590400</v>
      </c>
      <c r="R160" s="392"/>
      <c r="S160" s="362">
        <f t="shared" si="29"/>
        <v>0</v>
      </c>
      <c r="T160" s="385"/>
      <c r="U160" s="362">
        <f t="shared" si="39"/>
        <v>0</v>
      </c>
      <c r="V160" s="584">
        <f t="shared" si="33"/>
        <v>79920</v>
      </c>
      <c r="W160" s="371">
        <f t="shared" si="37"/>
        <v>9590400</v>
      </c>
      <c r="X160" s="935">
        <f t="shared" si="35"/>
        <v>5.3280000000000003</v>
      </c>
      <c r="Y160" s="934">
        <v>1800000</v>
      </c>
      <c r="Z160" s="931">
        <f t="shared" si="36"/>
        <v>9590400</v>
      </c>
      <c r="AA160" s="568">
        <f t="shared" si="34"/>
        <v>140</v>
      </c>
      <c r="AB160" s="493">
        <f>IFERROR(INDEX('[12]CN BC'!$M$10:$M$276,MATCH(B160,'[12]CN BC'!$H$10:$H$276,0)),"")</f>
        <v>0</v>
      </c>
      <c r="AC160" s="523" t="s">
        <v>2238</v>
      </c>
      <c r="AF160" s="155"/>
    </row>
    <row r="161" spans="1:42" s="372" customFormat="1" ht="28.5" customHeight="1">
      <c r="A161" s="379">
        <f>_xlfn.AGGREGATE(4,7,A$20:A160)+1</f>
        <v>141</v>
      </c>
      <c r="B161" s="363" t="s">
        <v>846</v>
      </c>
      <c r="C161" s="364" t="s">
        <v>920</v>
      </c>
      <c r="D161" s="406" t="s">
        <v>1727</v>
      </c>
      <c r="E161" s="423" t="s">
        <v>1317</v>
      </c>
      <c r="F161" s="373">
        <v>3.99</v>
      </c>
      <c r="G161" s="367"/>
      <c r="H161" s="368">
        <f t="shared" si="26"/>
        <v>3.99</v>
      </c>
      <c r="I161" s="368">
        <v>0.25</v>
      </c>
      <c r="J161" s="368" t="str">
        <f>VLOOKUP(B161,TH.T3!B167:J425,9,FALSE)</f>
        <v>Trưởng BM khoa LLCT</v>
      </c>
      <c r="K161" s="369">
        <f t="shared" si="27"/>
        <v>4.24</v>
      </c>
      <c r="L161" s="362">
        <f t="shared" si="28"/>
        <v>7632000</v>
      </c>
      <c r="M161" s="366" t="str">
        <f>VLOOKUP(B161,'[11]Gui chi Quynh'!$B$11:$E$400,4,FALSE)</f>
        <v>A4</v>
      </c>
      <c r="N161" s="494">
        <f t="shared" si="30"/>
        <v>7632000</v>
      </c>
      <c r="O161" s="376">
        <v>19</v>
      </c>
      <c r="P161" s="440">
        <f>IFERROR(INDEX('[12]CN BC'!$J$10:$J$276,MATCH(B161,'[12]CN BC'!$H$10:$H$276,0)),"")</f>
        <v>20</v>
      </c>
      <c r="Q161" s="494">
        <f t="shared" si="38"/>
        <v>7632000</v>
      </c>
      <c r="R161" s="392"/>
      <c r="S161" s="362">
        <f t="shared" si="29"/>
        <v>0</v>
      </c>
      <c r="T161" s="370"/>
      <c r="U161" s="362">
        <f t="shared" si="39"/>
        <v>0</v>
      </c>
      <c r="V161" s="584">
        <f t="shared" si="33"/>
        <v>76320</v>
      </c>
      <c r="W161" s="371">
        <f t="shared" si="37"/>
        <v>7632000</v>
      </c>
      <c r="X161" s="935">
        <f t="shared" si="35"/>
        <v>4.24</v>
      </c>
      <c r="Y161" s="934">
        <v>1800000</v>
      </c>
      <c r="Z161" s="931">
        <f t="shared" si="36"/>
        <v>7632000</v>
      </c>
      <c r="AA161" s="568">
        <f t="shared" si="34"/>
        <v>141</v>
      </c>
      <c r="AB161" s="493">
        <f>IFERROR(INDEX('[12]CN BC'!$M$10:$M$276,MATCH(B161,'[12]CN BC'!$H$10:$H$276,0)),"")</f>
        <v>0</v>
      </c>
      <c r="AC161" s="523" t="s">
        <v>2238</v>
      </c>
      <c r="AD161" s="108"/>
      <c r="AE161" s="108"/>
      <c r="AF161" s="155"/>
      <c r="AG161" s="108"/>
      <c r="AH161" s="108"/>
      <c r="AI161" s="108"/>
      <c r="AJ161" s="108"/>
      <c r="AK161" s="108"/>
      <c r="AL161" s="108"/>
      <c r="AM161" s="108"/>
      <c r="AN161" s="108"/>
      <c r="AO161" s="108"/>
      <c r="AP161" s="108"/>
    </row>
    <row r="162" spans="1:42" s="372" customFormat="1" ht="33" customHeight="1">
      <c r="A162" s="379">
        <f>_xlfn.AGGREGATE(4,7,A$20:A161)+1</f>
        <v>142</v>
      </c>
      <c r="B162" s="363" t="s">
        <v>1500</v>
      </c>
      <c r="C162" s="364" t="s">
        <v>277</v>
      </c>
      <c r="D162" s="434" t="s">
        <v>1728</v>
      </c>
      <c r="E162" s="423" t="s">
        <v>377</v>
      </c>
      <c r="F162" s="373">
        <v>3.99</v>
      </c>
      <c r="G162" s="367"/>
      <c r="H162" s="368">
        <f t="shared" si="26"/>
        <v>3.99</v>
      </c>
      <c r="I162" s="368"/>
      <c r="J162" s="368" t="str">
        <f>VLOOKUP(B162,TH.T3!B168:J426,9,FALSE)</f>
        <v>Giảng viên khoa LLCT</v>
      </c>
      <c r="K162" s="369">
        <f t="shared" si="27"/>
        <v>3.99</v>
      </c>
      <c r="L162" s="362">
        <f t="shared" si="28"/>
        <v>7182000</v>
      </c>
      <c r="M162" s="366" t="str">
        <f>VLOOKUP(B162,'[11]Gui chi Quynh'!$B$11:$E$400,4,FALSE)</f>
        <v>A3</v>
      </c>
      <c r="N162" s="494">
        <f t="shared" si="30"/>
        <v>8618400</v>
      </c>
      <c r="O162" s="376">
        <v>19</v>
      </c>
      <c r="P162" s="440">
        <f>IFERROR(INDEX('[12]CN BC'!$J$10:$J$276,MATCH(B162,'[12]CN BC'!$H$10:$H$276,0)),"")</f>
        <v>20</v>
      </c>
      <c r="Q162" s="494">
        <f t="shared" si="38"/>
        <v>8618400</v>
      </c>
      <c r="R162" s="460"/>
      <c r="S162" s="362">
        <f t="shared" si="29"/>
        <v>0</v>
      </c>
      <c r="T162" s="370"/>
      <c r="U162" s="362">
        <f t="shared" si="39"/>
        <v>0</v>
      </c>
      <c r="V162" s="584">
        <f t="shared" si="33"/>
        <v>71820</v>
      </c>
      <c r="W162" s="371">
        <f t="shared" si="37"/>
        <v>8618400</v>
      </c>
      <c r="X162" s="935">
        <f t="shared" si="35"/>
        <v>4.7880000000000003</v>
      </c>
      <c r="Y162" s="934">
        <v>1800000</v>
      </c>
      <c r="Z162" s="931">
        <f t="shared" si="36"/>
        <v>8618400</v>
      </c>
      <c r="AA162" s="568">
        <f t="shared" si="34"/>
        <v>142</v>
      </c>
      <c r="AB162" s="493">
        <f>IFERROR(INDEX('[12]CN BC'!$M$10:$M$276,MATCH(B162,'[12]CN BC'!$H$10:$H$276,0)),"")</f>
        <v>0</v>
      </c>
      <c r="AC162" s="523" t="s">
        <v>2238</v>
      </c>
      <c r="AF162" s="487"/>
    </row>
    <row r="163" spans="1:42" s="372" customFormat="1" ht="30.75" customHeight="1">
      <c r="A163" s="379">
        <f>_xlfn.AGGREGATE(4,7,A$20:A162)+1</f>
        <v>143</v>
      </c>
      <c r="B163" s="363" t="s">
        <v>1877</v>
      </c>
      <c r="C163" s="364" t="s">
        <v>973</v>
      </c>
      <c r="D163" s="434" t="s">
        <v>1729</v>
      </c>
      <c r="E163" s="423" t="s">
        <v>1320</v>
      </c>
      <c r="F163" s="366">
        <v>4.6500000000000004</v>
      </c>
      <c r="G163" s="367"/>
      <c r="H163" s="368">
        <f t="shared" si="26"/>
        <v>4.6500000000000004</v>
      </c>
      <c r="I163" s="368"/>
      <c r="J163" s="368" t="str">
        <f>VLOOKUP(B163,TH.T3!B169:J427,9,FALSE)</f>
        <v>Giảng viên khoa LLCT</v>
      </c>
      <c r="K163" s="369">
        <f t="shared" si="27"/>
        <v>4.6500000000000004</v>
      </c>
      <c r="L163" s="362">
        <f t="shared" si="28"/>
        <v>8370000.0000000009</v>
      </c>
      <c r="M163" s="366" t="str">
        <f>VLOOKUP(B163,'[11]Gui chi Quynh'!$B$11:$E$400,4,FALSE)</f>
        <v>A4</v>
      </c>
      <c r="N163" s="494">
        <f t="shared" si="30"/>
        <v>8370000.0000000009</v>
      </c>
      <c r="O163" s="376">
        <v>19</v>
      </c>
      <c r="P163" s="440">
        <f>IFERROR(INDEX('[12]CN BC'!$J$10:$J$276,MATCH(B163,'[12]CN BC'!$H$10:$H$276,0)),"")</f>
        <v>20</v>
      </c>
      <c r="Q163" s="494">
        <f t="shared" si="38"/>
        <v>8370000.0000000009</v>
      </c>
      <c r="R163" s="460"/>
      <c r="S163" s="362">
        <f t="shared" si="29"/>
        <v>0</v>
      </c>
      <c r="T163" s="370"/>
      <c r="U163" s="362">
        <f t="shared" si="39"/>
        <v>0</v>
      </c>
      <c r="V163" s="584">
        <f t="shared" si="33"/>
        <v>83700</v>
      </c>
      <c r="W163" s="371">
        <f t="shared" si="37"/>
        <v>8370000.0000000009</v>
      </c>
      <c r="X163" s="935">
        <f t="shared" si="35"/>
        <v>4.6500000000000004</v>
      </c>
      <c r="Y163" s="934">
        <v>1800000</v>
      </c>
      <c r="Z163" s="931">
        <f t="shared" si="36"/>
        <v>8370000.0000000009</v>
      </c>
      <c r="AA163" s="568">
        <f t="shared" si="34"/>
        <v>143</v>
      </c>
      <c r="AB163" s="493">
        <f>IFERROR(INDEX('[12]CN BC'!$M$10:$M$276,MATCH(B163,'[12]CN BC'!$H$10:$H$276,0)),"")</f>
        <v>0</v>
      </c>
      <c r="AC163" s="523" t="s">
        <v>2238</v>
      </c>
      <c r="AF163" s="487"/>
    </row>
    <row r="164" spans="1:42" s="372" customFormat="1" ht="28.5" customHeight="1">
      <c r="A164" s="379">
        <f>_xlfn.AGGREGATE(4,7,A$20:A163)+1</f>
        <v>144</v>
      </c>
      <c r="B164" s="363" t="s">
        <v>1501</v>
      </c>
      <c r="C164" s="364" t="s">
        <v>313</v>
      </c>
      <c r="D164" s="434" t="s">
        <v>1730</v>
      </c>
      <c r="E164" s="422" t="s">
        <v>314</v>
      </c>
      <c r="F164" s="373">
        <v>3.66</v>
      </c>
      <c r="G164" s="367"/>
      <c r="H164" s="368">
        <f t="shared" si="26"/>
        <v>3.66</v>
      </c>
      <c r="I164" s="368"/>
      <c r="J164" s="368" t="str">
        <f>VLOOKUP(B164,TH.T3!B170:J428,9,FALSE)</f>
        <v>Giảng viên khoa LLCT</v>
      </c>
      <c r="K164" s="369">
        <f t="shared" si="27"/>
        <v>3.66</v>
      </c>
      <c r="L164" s="362">
        <f t="shared" si="28"/>
        <v>6588000</v>
      </c>
      <c r="M164" s="366" t="str">
        <f>VLOOKUP(B164,'[11]Gui chi Quynh'!$B$11:$E$400,4,FALSE)</f>
        <v>A4</v>
      </c>
      <c r="N164" s="494">
        <f t="shared" si="30"/>
        <v>6588000</v>
      </c>
      <c r="O164" s="376">
        <v>19</v>
      </c>
      <c r="P164" s="440">
        <f>IFERROR(INDEX('[12]CN BC'!$J$10:$J$276,MATCH(B164,'[12]CN BC'!$H$10:$H$276,0)),"")</f>
        <v>19</v>
      </c>
      <c r="Q164" s="494">
        <f t="shared" si="38"/>
        <v>6588000</v>
      </c>
      <c r="R164" s="460"/>
      <c r="S164" s="362">
        <f t="shared" si="29"/>
        <v>0</v>
      </c>
      <c r="T164" s="370"/>
      <c r="U164" s="362">
        <f t="shared" si="39"/>
        <v>0</v>
      </c>
      <c r="V164" s="584">
        <f t="shared" si="33"/>
        <v>65880</v>
      </c>
      <c r="W164" s="371">
        <f t="shared" si="37"/>
        <v>6588000</v>
      </c>
      <c r="X164" s="935">
        <f t="shared" si="35"/>
        <v>3.66</v>
      </c>
      <c r="Y164" s="934">
        <v>1800000</v>
      </c>
      <c r="Z164" s="931">
        <f t="shared" si="36"/>
        <v>6588000</v>
      </c>
      <c r="AA164" s="568">
        <f t="shared" si="34"/>
        <v>144</v>
      </c>
      <c r="AB164" s="493">
        <f>IFERROR(INDEX('[12]CN BC'!$M$10:$M$276,MATCH(B164,'[12]CN BC'!$H$10:$H$276,0)),"")</f>
        <v>0</v>
      </c>
      <c r="AC164" s="523" t="s">
        <v>2238</v>
      </c>
      <c r="AD164" s="108"/>
      <c r="AE164" s="108"/>
      <c r="AF164" s="155"/>
      <c r="AG164" s="108"/>
      <c r="AH164" s="108"/>
      <c r="AI164" s="108"/>
      <c r="AJ164" s="108"/>
      <c r="AK164" s="108"/>
      <c r="AL164" s="108"/>
    </row>
    <row r="165" spans="1:42" s="372" customFormat="1" ht="28.5" customHeight="1">
      <c r="A165" s="379">
        <f>_xlfn.AGGREGATE(4,7,A$20:A164)+1</f>
        <v>145</v>
      </c>
      <c r="B165" s="363" t="s">
        <v>1878</v>
      </c>
      <c r="C165" s="364" t="s">
        <v>970</v>
      </c>
      <c r="D165" s="434" t="s">
        <v>1731</v>
      </c>
      <c r="E165" s="423" t="s">
        <v>1314</v>
      </c>
      <c r="F165" s="366">
        <v>4.32</v>
      </c>
      <c r="G165" s="367"/>
      <c r="H165" s="368">
        <f t="shared" si="26"/>
        <v>4.32</v>
      </c>
      <c r="I165" s="368"/>
      <c r="J165" s="368" t="str">
        <f>VLOOKUP(B165,TH.T3!B171:J429,9,FALSE)</f>
        <v>Giảng viên khoa LLCT</v>
      </c>
      <c r="K165" s="369">
        <f t="shared" si="27"/>
        <v>4.32</v>
      </c>
      <c r="L165" s="362">
        <f t="shared" si="28"/>
        <v>7776000.0000000009</v>
      </c>
      <c r="M165" s="366" t="str">
        <f>VLOOKUP(B165,'[11]Gui chi Quynh'!$B$11:$E$400,4,FALSE)</f>
        <v>A4</v>
      </c>
      <c r="N165" s="494">
        <f t="shared" si="30"/>
        <v>7776000.0000000009</v>
      </c>
      <c r="O165" s="376">
        <v>19</v>
      </c>
      <c r="P165" s="440">
        <f>IFERROR(INDEX('[12]CN BC'!$J$10:$J$276,MATCH(B165,'[12]CN BC'!$H$10:$H$276,0)),"")</f>
        <v>19</v>
      </c>
      <c r="Q165" s="494">
        <f t="shared" si="38"/>
        <v>7776000.0000000009</v>
      </c>
      <c r="R165" s="460"/>
      <c r="S165" s="362">
        <f t="shared" si="29"/>
        <v>0</v>
      </c>
      <c r="T165" s="370"/>
      <c r="U165" s="362">
        <f t="shared" si="39"/>
        <v>0</v>
      </c>
      <c r="V165" s="584">
        <f t="shared" si="33"/>
        <v>77760</v>
      </c>
      <c r="W165" s="371">
        <f t="shared" si="37"/>
        <v>7776000.0000000009</v>
      </c>
      <c r="X165" s="935">
        <f t="shared" si="35"/>
        <v>4.32</v>
      </c>
      <c r="Y165" s="934">
        <v>1800000</v>
      </c>
      <c r="Z165" s="931">
        <f t="shared" si="36"/>
        <v>7776000.0000000009</v>
      </c>
      <c r="AA165" s="568">
        <f t="shared" si="34"/>
        <v>145</v>
      </c>
      <c r="AB165" s="493">
        <f>IFERROR(INDEX('[12]CN BC'!$M$10:$M$276,MATCH(B165,'[12]CN BC'!$H$10:$H$276,0)),"")</f>
        <v>0</v>
      </c>
      <c r="AC165" s="523" t="s">
        <v>2238</v>
      </c>
      <c r="AD165" s="108"/>
      <c r="AE165" s="108"/>
      <c r="AF165" s="155"/>
      <c r="AG165" s="108"/>
      <c r="AH165" s="108"/>
      <c r="AI165" s="108"/>
      <c r="AJ165" s="108"/>
      <c r="AK165" s="108"/>
      <c r="AL165" s="108"/>
    </row>
    <row r="166" spans="1:42" s="372" customFormat="1" ht="28.5" customHeight="1">
      <c r="A166" s="379">
        <f>_xlfn.AGGREGATE(4,7,A$20:A165)+1</f>
        <v>146</v>
      </c>
      <c r="B166" s="363" t="s">
        <v>1879</v>
      </c>
      <c r="C166" s="364" t="s">
        <v>927</v>
      </c>
      <c r="D166" s="434" t="s">
        <v>1732</v>
      </c>
      <c r="E166" s="423" t="s">
        <v>1315</v>
      </c>
      <c r="F166" s="373">
        <v>4.32</v>
      </c>
      <c r="G166" s="367"/>
      <c r="H166" s="368">
        <f t="shared" si="26"/>
        <v>4.32</v>
      </c>
      <c r="I166" s="368"/>
      <c r="J166" s="368" t="str">
        <f>VLOOKUP(B166,TH.T3!B172:J430,9,FALSE)</f>
        <v>Giảng viên khoa LLCT</v>
      </c>
      <c r="K166" s="369">
        <f t="shared" si="27"/>
        <v>4.32</v>
      </c>
      <c r="L166" s="362">
        <f t="shared" si="28"/>
        <v>7776000.0000000009</v>
      </c>
      <c r="M166" s="366" t="str">
        <f>VLOOKUP(B166,'[11]Gui chi Quynh'!$B$11:$E$400,4,FALSE)</f>
        <v>A3</v>
      </c>
      <c r="N166" s="494">
        <f t="shared" si="30"/>
        <v>9331200</v>
      </c>
      <c r="O166" s="376">
        <v>19</v>
      </c>
      <c r="P166" s="440">
        <f>IFERROR(INDEX('[12]CN BC'!$J$10:$J$276,MATCH(B166,'[12]CN BC'!$H$10:$H$276,0)),"")</f>
        <v>20</v>
      </c>
      <c r="Q166" s="494">
        <f t="shared" si="38"/>
        <v>9331200</v>
      </c>
      <c r="R166" s="460"/>
      <c r="S166" s="362">
        <f t="shared" si="29"/>
        <v>0</v>
      </c>
      <c r="T166" s="370"/>
      <c r="U166" s="362">
        <f t="shared" si="39"/>
        <v>0</v>
      </c>
      <c r="V166" s="584">
        <f t="shared" si="33"/>
        <v>77760</v>
      </c>
      <c r="W166" s="371">
        <f t="shared" si="37"/>
        <v>9331200</v>
      </c>
      <c r="X166" s="935">
        <f t="shared" si="35"/>
        <v>5.1840000000000002</v>
      </c>
      <c r="Y166" s="934">
        <v>1800000</v>
      </c>
      <c r="Z166" s="931">
        <f t="shared" si="36"/>
        <v>9331200</v>
      </c>
      <c r="AA166" s="568">
        <f t="shared" si="34"/>
        <v>146</v>
      </c>
      <c r="AB166" s="493">
        <f>IFERROR(INDEX('[12]CN BC'!$M$10:$M$276,MATCH(B166,'[12]CN BC'!$H$10:$H$276,0)),"")</f>
        <v>0</v>
      </c>
      <c r="AC166" s="523" t="s">
        <v>2238</v>
      </c>
      <c r="AD166" s="108"/>
      <c r="AE166" s="108"/>
      <c r="AF166" s="155"/>
      <c r="AG166" s="108"/>
      <c r="AH166" s="108"/>
      <c r="AI166" s="108"/>
      <c r="AJ166" s="108"/>
      <c r="AK166" s="108"/>
      <c r="AL166" s="108"/>
    </row>
    <row r="167" spans="1:42" s="372" customFormat="1" ht="28.5" customHeight="1">
      <c r="A167" s="379">
        <f>_xlfn.AGGREGATE(4,7,A$20:A166)+1</f>
        <v>147</v>
      </c>
      <c r="B167" s="363" t="s">
        <v>1502</v>
      </c>
      <c r="C167" s="364" t="s">
        <v>1205</v>
      </c>
      <c r="D167" s="434" t="s">
        <v>1733</v>
      </c>
      <c r="E167" s="423" t="s">
        <v>1318</v>
      </c>
      <c r="F167" s="373">
        <v>3.66</v>
      </c>
      <c r="G167" s="367"/>
      <c r="H167" s="368">
        <f t="shared" si="26"/>
        <v>3.66</v>
      </c>
      <c r="I167" s="368"/>
      <c r="J167" s="368" t="str">
        <f>VLOOKUP(B167,TH.T3!B173:J431,9,FALSE)</f>
        <v>Trưởng BM khoa LLCT</v>
      </c>
      <c r="K167" s="369">
        <f t="shared" si="27"/>
        <v>3.66</v>
      </c>
      <c r="L167" s="362">
        <f t="shared" si="28"/>
        <v>6588000</v>
      </c>
      <c r="M167" s="366" t="str">
        <f>VLOOKUP(B167,'[11]Gui chi Quynh'!$B$11:$E$400,4,FALSE)</f>
        <v>A4</v>
      </c>
      <c r="N167" s="494">
        <f t="shared" si="30"/>
        <v>6588000</v>
      </c>
      <c r="O167" s="376">
        <v>19</v>
      </c>
      <c r="P167" s="440">
        <f>IFERROR(INDEX('[12]CN BC'!$J$10:$J$276,MATCH(B167,'[12]CN BC'!$H$10:$H$276,0)),"")</f>
        <v>20</v>
      </c>
      <c r="Q167" s="494">
        <f t="shared" si="38"/>
        <v>6588000</v>
      </c>
      <c r="R167" s="460"/>
      <c r="S167" s="362">
        <f t="shared" si="29"/>
        <v>0</v>
      </c>
      <c r="T167" s="370"/>
      <c r="U167" s="362">
        <f t="shared" si="39"/>
        <v>0</v>
      </c>
      <c r="V167" s="584">
        <f t="shared" si="33"/>
        <v>65880</v>
      </c>
      <c r="W167" s="371">
        <f t="shared" si="37"/>
        <v>6588000</v>
      </c>
      <c r="X167" s="935">
        <f t="shared" si="35"/>
        <v>3.66</v>
      </c>
      <c r="Y167" s="934">
        <v>1800000</v>
      </c>
      <c r="Z167" s="931">
        <f t="shared" si="36"/>
        <v>6588000</v>
      </c>
      <c r="AA167" s="568">
        <f t="shared" si="34"/>
        <v>147</v>
      </c>
      <c r="AB167" s="493">
        <f>IFERROR(INDEX('[12]CN BC'!$M$10:$M$276,MATCH(B167,'[12]CN BC'!$H$10:$H$276,0)),"")</f>
        <v>0</v>
      </c>
      <c r="AC167" s="523" t="s">
        <v>2238</v>
      </c>
      <c r="AD167" s="108"/>
      <c r="AE167" s="108"/>
      <c r="AF167" s="155"/>
      <c r="AG167" s="108"/>
      <c r="AH167" s="108"/>
      <c r="AI167" s="108"/>
      <c r="AJ167" s="108"/>
      <c r="AK167" s="108"/>
      <c r="AL167" s="108"/>
    </row>
    <row r="168" spans="1:42" s="372" customFormat="1" ht="28.5" customHeight="1">
      <c r="A168" s="660">
        <f>_xlfn.AGGREGATE(4,7,A$20:A167)+1</f>
        <v>148</v>
      </c>
      <c r="B168" s="563" t="s">
        <v>1880</v>
      </c>
      <c r="C168" s="552" t="s">
        <v>1178</v>
      </c>
      <c r="D168" s="564" t="s">
        <v>1734</v>
      </c>
      <c r="E168" s="567" t="s">
        <v>375</v>
      </c>
      <c r="F168" s="566">
        <v>3.66</v>
      </c>
      <c r="G168" s="553"/>
      <c r="H168" s="554">
        <f t="shared" si="26"/>
        <v>3.66</v>
      </c>
      <c r="I168" s="554"/>
      <c r="J168" s="554" t="str">
        <f>VLOOKUP(B168,TH.T3!B174:J432,9,FALSE)</f>
        <v>Giảng viên khoa LLCT</v>
      </c>
      <c r="K168" s="555">
        <f t="shared" si="27"/>
        <v>3.66</v>
      </c>
      <c r="L168" s="556">
        <f t="shared" si="28"/>
        <v>6588000</v>
      </c>
      <c r="M168" s="557" t="str">
        <f>VLOOKUP(B168,'[11]Gui chi Quynh'!$B$11:$E$400,4,FALSE)</f>
        <v>A DN</v>
      </c>
      <c r="N168" s="558">
        <f t="shared" si="30"/>
        <v>0</v>
      </c>
      <c r="O168" s="655">
        <v>19</v>
      </c>
      <c r="P168" s="559">
        <f>IFERROR(INDEX('[12]CN BC'!$J$10:$J$276,MATCH(B168,'[12]CN BC'!$H$10:$H$276,0)),"")</f>
        <v>0</v>
      </c>
      <c r="Q168" s="558">
        <f t="shared" si="38"/>
        <v>0</v>
      </c>
      <c r="R168" s="560"/>
      <c r="S168" s="556">
        <f t="shared" si="29"/>
        <v>0</v>
      </c>
      <c r="T168" s="561"/>
      <c r="U168" s="556">
        <f t="shared" si="39"/>
        <v>0</v>
      </c>
      <c r="V168" s="556">
        <v>0</v>
      </c>
      <c r="W168" s="656">
        <f t="shared" si="37"/>
        <v>0</v>
      </c>
      <c r="X168" s="936">
        <f t="shared" si="35"/>
        <v>0</v>
      </c>
      <c r="Y168" s="937">
        <v>1800000</v>
      </c>
      <c r="Z168" s="932">
        <f t="shared" si="36"/>
        <v>0</v>
      </c>
      <c r="AA168" s="573">
        <f t="shared" si="34"/>
        <v>148</v>
      </c>
      <c r="AB168" s="562" t="str">
        <f>IFERROR(INDEX('[12]CN BC'!$M$10:$M$276,MATCH(B168,'[12]CN BC'!$H$10:$H$276,0)),"")</f>
        <v>Nghỉ hộ sản hưởng chế độ BHXH từ 12/12/2023</v>
      </c>
      <c r="AC168" s="523" t="s">
        <v>2238</v>
      </c>
      <c r="AD168" s="108"/>
      <c r="AE168" s="108"/>
      <c r="AF168" s="155"/>
      <c r="AG168" s="108"/>
      <c r="AH168" s="108"/>
      <c r="AI168" s="108"/>
      <c r="AJ168" s="108"/>
      <c r="AK168" s="108"/>
      <c r="AL168" s="108"/>
    </row>
    <row r="169" spans="1:42" s="372" customFormat="1" ht="28.5" customHeight="1">
      <c r="A169" s="379">
        <f>_xlfn.AGGREGATE(4,7,A$20:A168)+1</f>
        <v>149</v>
      </c>
      <c r="B169" s="363" t="s">
        <v>1503</v>
      </c>
      <c r="C169" s="364" t="s">
        <v>276</v>
      </c>
      <c r="D169" s="434" t="s">
        <v>1735</v>
      </c>
      <c r="E169" s="423" t="s">
        <v>376</v>
      </c>
      <c r="F169" s="373">
        <v>3.66</v>
      </c>
      <c r="G169" s="367"/>
      <c r="H169" s="368">
        <f t="shared" si="26"/>
        <v>3.66</v>
      </c>
      <c r="I169" s="368"/>
      <c r="J169" s="368" t="str">
        <f>VLOOKUP(B169,TH.T3!B175:J433,9,FALSE)</f>
        <v>Giảng viên khoa LLCT</v>
      </c>
      <c r="K169" s="369">
        <f t="shared" si="27"/>
        <v>3.66</v>
      </c>
      <c r="L169" s="362">
        <f t="shared" si="28"/>
        <v>6588000</v>
      </c>
      <c r="M169" s="366" t="str">
        <f>VLOOKUP(B169,'[11]Gui chi Quynh'!$B$11:$E$400,4,FALSE)</f>
        <v>A3</v>
      </c>
      <c r="N169" s="494">
        <f t="shared" si="30"/>
        <v>7905600</v>
      </c>
      <c r="O169" s="376">
        <v>19</v>
      </c>
      <c r="P169" s="440">
        <f>IFERROR(INDEX('[12]CN BC'!$J$10:$J$276,MATCH(B169,'[12]CN BC'!$H$10:$H$276,0)),"")</f>
        <v>20</v>
      </c>
      <c r="Q169" s="494">
        <f t="shared" si="38"/>
        <v>7905600</v>
      </c>
      <c r="R169" s="460"/>
      <c r="S169" s="362">
        <f t="shared" si="29"/>
        <v>0</v>
      </c>
      <c r="T169" s="370"/>
      <c r="U169" s="362">
        <f t="shared" si="39"/>
        <v>0</v>
      </c>
      <c r="V169" s="584">
        <f t="shared" si="33"/>
        <v>65880</v>
      </c>
      <c r="W169" s="371">
        <f t="shared" si="37"/>
        <v>7905600</v>
      </c>
      <c r="X169" s="935">
        <f t="shared" si="35"/>
        <v>4.3920000000000003</v>
      </c>
      <c r="Y169" s="934">
        <v>1800000</v>
      </c>
      <c r="Z169" s="931">
        <f t="shared" si="36"/>
        <v>7905600.0000000009</v>
      </c>
      <c r="AA169" s="568">
        <f t="shared" si="34"/>
        <v>149</v>
      </c>
      <c r="AB169" s="493">
        <f>IFERROR(INDEX('[12]CN BC'!$M$10:$M$276,MATCH(B169,'[12]CN BC'!$H$10:$H$276,0)),"")</f>
        <v>0</v>
      </c>
      <c r="AC169" s="523" t="s">
        <v>2238</v>
      </c>
      <c r="AD169" s="108"/>
      <c r="AE169" s="108"/>
      <c r="AF169" s="155"/>
      <c r="AG169" s="108"/>
      <c r="AH169" s="108"/>
      <c r="AI169" s="108"/>
      <c r="AJ169" s="108"/>
      <c r="AK169" s="108"/>
      <c r="AL169" s="108"/>
    </row>
    <row r="170" spans="1:42" s="372" customFormat="1" ht="26.25" customHeight="1">
      <c r="A170" s="379">
        <f>_xlfn.AGGREGATE(4,7,A$20:A169)+1</f>
        <v>150</v>
      </c>
      <c r="B170" s="363" t="s">
        <v>1504</v>
      </c>
      <c r="C170" s="364" t="s">
        <v>1041</v>
      </c>
      <c r="D170" s="434" t="s">
        <v>1736</v>
      </c>
      <c r="E170" s="434" t="s">
        <v>503</v>
      </c>
      <c r="F170" s="373">
        <v>4.32</v>
      </c>
      <c r="G170" s="367"/>
      <c r="H170" s="368">
        <f t="shared" si="26"/>
        <v>4.32</v>
      </c>
      <c r="I170" s="368"/>
      <c r="J170" s="368" t="str">
        <f>VLOOKUP(B170,TH.T3!B176:J434,9,FALSE)</f>
        <v>Giảng viên khoa LLCT</v>
      </c>
      <c r="K170" s="369">
        <f t="shared" si="27"/>
        <v>4.32</v>
      </c>
      <c r="L170" s="362">
        <f t="shared" si="28"/>
        <v>7776000.0000000009</v>
      </c>
      <c r="M170" s="366" t="str">
        <f>VLOOKUP(B170,'[11]Gui chi Quynh'!$B$11:$E$400,4,FALSE)</f>
        <v>A3</v>
      </c>
      <c r="N170" s="494">
        <f t="shared" si="30"/>
        <v>9331200</v>
      </c>
      <c r="O170" s="376">
        <v>19</v>
      </c>
      <c r="P170" s="440">
        <f>IFERROR(INDEX('[12]CN BC'!$J$10:$J$276,MATCH(B170,'[12]CN BC'!$H$10:$H$276,0)),"")</f>
        <v>20</v>
      </c>
      <c r="Q170" s="494">
        <f t="shared" si="38"/>
        <v>9331200</v>
      </c>
      <c r="R170" s="460"/>
      <c r="S170" s="362">
        <f t="shared" si="29"/>
        <v>0</v>
      </c>
      <c r="T170" s="370"/>
      <c r="U170" s="362">
        <f t="shared" si="39"/>
        <v>0</v>
      </c>
      <c r="V170" s="584">
        <f t="shared" si="33"/>
        <v>77760</v>
      </c>
      <c r="W170" s="371">
        <f t="shared" si="37"/>
        <v>9331200</v>
      </c>
      <c r="X170" s="935">
        <f t="shared" si="35"/>
        <v>5.1840000000000002</v>
      </c>
      <c r="Y170" s="934">
        <v>1800000</v>
      </c>
      <c r="Z170" s="931">
        <f t="shared" si="36"/>
        <v>9331200</v>
      </c>
      <c r="AA170" s="568">
        <f t="shared" si="34"/>
        <v>150</v>
      </c>
      <c r="AB170" s="493">
        <f>IFERROR(INDEX('[12]CN BC'!$M$10:$M$276,MATCH(B170,'[12]CN BC'!$H$10:$H$276,0)),"")</f>
        <v>0</v>
      </c>
      <c r="AC170" s="523" t="s">
        <v>2238</v>
      </c>
      <c r="AD170" s="108"/>
      <c r="AE170" s="108"/>
      <c r="AF170" s="155"/>
      <c r="AG170" s="108"/>
      <c r="AH170" s="108"/>
      <c r="AI170" s="108"/>
      <c r="AJ170" s="108"/>
      <c r="AK170" s="108"/>
      <c r="AL170" s="108"/>
    </row>
    <row r="171" spans="1:42" s="372" customFormat="1" ht="27" customHeight="1">
      <c r="A171" s="379">
        <f>_xlfn.AGGREGATE(4,7,A$20:A170)+1</f>
        <v>151</v>
      </c>
      <c r="B171" s="363" t="s">
        <v>1505</v>
      </c>
      <c r="C171" s="364" t="s">
        <v>920</v>
      </c>
      <c r="D171" s="434" t="s">
        <v>1737</v>
      </c>
      <c r="E171" s="422" t="s">
        <v>1592</v>
      </c>
      <c r="F171" s="373">
        <v>3.33</v>
      </c>
      <c r="G171" s="367"/>
      <c r="H171" s="445">
        <f t="shared" si="26"/>
        <v>3.33</v>
      </c>
      <c r="I171" s="368"/>
      <c r="J171" s="368" t="str">
        <f>VLOOKUP(B171,TH.T3!B177:J435,9,FALSE)</f>
        <v>Giảng viên khoa LLCT</v>
      </c>
      <c r="K171" s="369">
        <f t="shared" si="27"/>
        <v>3.33</v>
      </c>
      <c r="L171" s="362">
        <f t="shared" si="28"/>
        <v>5994000</v>
      </c>
      <c r="M171" s="366" t="str">
        <f>VLOOKUP(B171,'[11]Gui chi Quynh'!$B$11:$E$400,4,FALSE)</f>
        <v>A3</v>
      </c>
      <c r="N171" s="494">
        <f t="shared" si="30"/>
        <v>7192800</v>
      </c>
      <c r="O171" s="376">
        <v>19</v>
      </c>
      <c r="P171" s="440">
        <f>IFERROR(INDEX('[12]CN BC'!$J$10:$J$276,MATCH(B171,'[12]CN BC'!$H$10:$H$276,0)),"")</f>
        <v>20</v>
      </c>
      <c r="Q171" s="494">
        <f t="shared" si="38"/>
        <v>7192800</v>
      </c>
      <c r="R171" s="460"/>
      <c r="S171" s="362">
        <f t="shared" si="29"/>
        <v>0</v>
      </c>
      <c r="T171" s="370"/>
      <c r="U171" s="362">
        <f t="shared" si="39"/>
        <v>0</v>
      </c>
      <c r="V171" s="584">
        <f t="shared" si="33"/>
        <v>59940</v>
      </c>
      <c r="W171" s="371">
        <f t="shared" si="37"/>
        <v>7192800</v>
      </c>
      <c r="X171" s="935">
        <f t="shared" si="35"/>
        <v>3.996</v>
      </c>
      <c r="Y171" s="934">
        <v>1800000</v>
      </c>
      <c r="Z171" s="931">
        <f t="shared" si="36"/>
        <v>7192800</v>
      </c>
      <c r="AA171" s="568">
        <f t="shared" si="34"/>
        <v>151</v>
      </c>
      <c r="AB171" s="493">
        <f>IFERROR(INDEX('[12]CN BC'!$M$10:$M$276,MATCH(B171,'[12]CN BC'!$H$10:$H$276,0)),"")</f>
        <v>0</v>
      </c>
      <c r="AC171" s="523" t="s">
        <v>2238</v>
      </c>
      <c r="AD171" s="108"/>
      <c r="AE171" s="108"/>
      <c r="AF171" s="155"/>
      <c r="AG171" s="108"/>
      <c r="AH171" s="108"/>
      <c r="AI171" s="108"/>
      <c r="AJ171" s="108"/>
      <c r="AK171" s="108"/>
      <c r="AL171" s="108"/>
    </row>
    <row r="172" spans="1:42" s="372" customFormat="1" ht="28.15" customHeight="1">
      <c r="A172" s="379">
        <f>_xlfn.AGGREGATE(4,7,A$20:A171)+1</f>
        <v>152</v>
      </c>
      <c r="B172" s="363" t="s">
        <v>1881</v>
      </c>
      <c r="C172" s="364" t="s">
        <v>891</v>
      </c>
      <c r="D172" s="434" t="s">
        <v>1738</v>
      </c>
      <c r="E172" s="423" t="s">
        <v>379</v>
      </c>
      <c r="F172" s="373">
        <v>3.66</v>
      </c>
      <c r="G172" s="367"/>
      <c r="H172" s="368">
        <f t="shared" si="26"/>
        <v>3.66</v>
      </c>
      <c r="I172" s="368"/>
      <c r="J172" s="368" t="str">
        <f>VLOOKUP(B172,TH.T3!B178:J436,9,FALSE)</f>
        <v>Giảng viên khoa LLCT</v>
      </c>
      <c r="K172" s="369">
        <f t="shared" si="27"/>
        <v>3.66</v>
      </c>
      <c r="L172" s="362">
        <f t="shared" si="28"/>
        <v>6588000</v>
      </c>
      <c r="M172" s="366" t="str">
        <f>VLOOKUP(B172,'[11]Gui chi Quynh'!$B$11:$E$400,4,FALSE)</f>
        <v>A2</v>
      </c>
      <c r="N172" s="494">
        <f t="shared" si="30"/>
        <v>9223200</v>
      </c>
      <c r="O172" s="376">
        <v>19</v>
      </c>
      <c r="P172" s="440">
        <f>IFERROR(INDEX('[12]CN BC'!$J$10:$J$276,MATCH(B172,'[12]CN BC'!$H$10:$H$276,0)),"")</f>
        <v>19</v>
      </c>
      <c r="Q172" s="494">
        <f t="shared" si="38"/>
        <v>9223200</v>
      </c>
      <c r="R172" s="460">
        <v>0</v>
      </c>
      <c r="S172" s="362">
        <f t="shared" si="29"/>
        <v>0</v>
      </c>
      <c r="T172" s="370"/>
      <c r="U172" s="362">
        <f t="shared" si="39"/>
        <v>0</v>
      </c>
      <c r="V172" s="584">
        <f t="shared" si="33"/>
        <v>65880</v>
      </c>
      <c r="W172" s="371">
        <f t="shared" si="37"/>
        <v>9223200</v>
      </c>
      <c r="X172" s="935">
        <f t="shared" si="35"/>
        <v>5.1239999999999997</v>
      </c>
      <c r="Y172" s="934">
        <v>1800000</v>
      </c>
      <c r="Z172" s="931">
        <f t="shared" si="36"/>
        <v>9223200</v>
      </c>
      <c r="AA172" s="568">
        <f t="shared" si="34"/>
        <v>152</v>
      </c>
      <c r="AB172" s="493">
        <f>IFERROR(INDEX('[12]CN BC'!$M$10:$M$276,MATCH(B172,'[12]CN BC'!$H$10:$H$276,0)),"")</f>
        <v>0</v>
      </c>
      <c r="AC172" s="523" t="s">
        <v>2238</v>
      </c>
      <c r="AD172" s="108"/>
      <c r="AE172" s="108"/>
      <c r="AF172" s="155"/>
      <c r="AG172" s="108"/>
      <c r="AH172" s="108"/>
      <c r="AI172" s="108"/>
      <c r="AJ172" s="108"/>
      <c r="AK172" s="108"/>
      <c r="AL172" s="108"/>
    </row>
    <row r="173" spans="1:42" s="372" customFormat="1" ht="27.75" customHeight="1">
      <c r="A173" s="379">
        <f>_xlfn.AGGREGATE(4,7,A$20:A172)+1</f>
        <v>153</v>
      </c>
      <c r="B173" s="390" t="s">
        <v>1506</v>
      </c>
      <c r="C173" s="490" t="s">
        <v>1426</v>
      </c>
      <c r="D173" s="434" t="s">
        <v>1739</v>
      </c>
      <c r="E173" s="422" t="s">
        <v>1427</v>
      </c>
      <c r="F173" s="373">
        <v>3.33</v>
      </c>
      <c r="G173" s="367"/>
      <c r="H173" s="445">
        <f t="shared" si="26"/>
        <v>3.33</v>
      </c>
      <c r="I173" s="368"/>
      <c r="J173" s="368" t="str">
        <f>VLOOKUP(B173,TH.T3!B179:J437,9,FALSE)</f>
        <v>Giảng viên khoa LLCT</v>
      </c>
      <c r="K173" s="369">
        <f t="shared" si="27"/>
        <v>3.33</v>
      </c>
      <c r="L173" s="362">
        <f t="shared" si="28"/>
        <v>5994000</v>
      </c>
      <c r="M173" s="366" t="str">
        <f>VLOOKUP(B173,'[11]Gui chi Quynh'!$B$11:$E$400,4,FALSE)</f>
        <v>A4</v>
      </c>
      <c r="N173" s="494">
        <f t="shared" si="30"/>
        <v>5994000</v>
      </c>
      <c r="O173" s="376">
        <v>19</v>
      </c>
      <c r="P173" s="440">
        <f>IFERROR(INDEX('[12]CN BC'!$J$10:$J$276,MATCH(B173,'[12]CN BC'!$H$10:$H$276,0)),"")</f>
        <v>19</v>
      </c>
      <c r="Q173" s="494">
        <f t="shared" si="38"/>
        <v>5994000</v>
      </c>
      <c r="R173" s="460"/>
      <c r="S173" s="362">
        <f t="shared" si="29"/>
        <v>0</v>
      </c>
      <c r="T173" s="370"/>
      <c r="U173" s="362">
        <f t="shared" si="39"/>
        <v>0</v>
      </c>
      <c r="V173" s="584">
        <f t="shared" si="33"/>
        <v>59940</v>
      </c>
      <c r="W173" s="371">
        <f t="shared" si="37"/>
        <v>5994000</v>
      </c>
      <c r="X173" s="935">
        <f t="shared" si="35"/>
        <v>3.33</v>
      </c>
      <c r="Y173" s="934">
        <v>1800000</v>
      </c>
      <c r="Z173" s="931">
        <f t="shared" si="36"/>
        <v>5994000</v>
      </c>
      <c r="AA173" s="568">
        <f t="shared" si="34"/>
        <v>153</v>
      </c>
      <c r="AB173" s="493">
        <f>IFERROR(INDEX('[12]CN BC'!$M$10:$M$276,MATCH(B173,'[12]CN BC'!$H$10:$H$276,0)),"")</f>
        <v>0</v>
      </c>
      <c r="AC173" s="523" t="s">
        <v>2238</v>
      </c>
      <c r="AD173" s="108"/>
      <c r="AE173" s="108"/>
      <c r="AF173" s="155"/>
    </row>
    <row r="174" spans="1:42" s="372" customFormat="1" ht="27" customHeight="1">
      <c r="A174" s="379">
        <f>_xlfn.AGGREGATE(4,7,A$20:A173)+1</f>
        <v>154</v>
      </c>
      <c r="B174" s="363" t="s">
        <v>1882</v>
      </c>
      <c r="C174" s="364" t="s">
        <v>947</v>
      </c>
      <c r="D174" s="434" t="s">
        <v>1741</v>
      </c>
      <c r="E174" s="423" t="s">
        <v>1341</v>
      </c>
      <c r="F174" s="373">
        <v>4.32</v>
      </c>
      <c r="G174" s="367"/>
      <c r="H174" s="368">
        <f t="shared" si="26"/>
        <v>4.32</v>
      </c>
      <c r="I174" s="368"/>
      <c r="J174" s="368" t="str">
        <f>VLOOKUP(B174,TH.T3!B180:J438,9,FALSE)</f>
        <v>Giảng viên khoa CNTT</v>
      </c>
      <c r="K174" s="369">
        <f t="shared" si="27"/>
        <v>4.32</v>
      </c>
      <c r="L174" s="362">
        <f t="shared" si="28"/>
        <v>7776000.0000000009</v>
      </c>
      <c r="M174" s="366" t="str">
        <f>VLOOKUP(B174,'[11]Gui chi Quynh'!$B$11:$E$400,4,FALSE)</f>
        <v>A3</v>
      </c>
      <c r="N174" s="494">
        <f t="shared" si="30"/>
        <v>9331200</v>
      </c>
      <c r="O174" s="376">
        <v>19</v>
      </c>
      <c r="P174" s="440">
        <f>IFERROR(INDEX('[12]CN BC'!$J$10:$J$276,MATCH(B174,'[12]CN BC'!$H$10:$H$276,0)),"")</f>
        <v>19</v>
      </c>
      <c r="Q174" s="494">
        <f t="shared" si="38"/>
        <v>9331200</v>
      </c>
      <c r="R174" s="460"/>
      <c r="S174" s="362">
        <f t="shared" si="29"/>
        <v>0</v>
      </c>
      <c r="T174" s="370"/>
      <c r="U174" s="362">
        <f t="shared" si="39"/>
        <v>0</v>
      </c>
      <c r="V174" s="584">
        <f t="shared" si="33"/>
        <v>77760</v>
      </c>
      <c r="W174" s="371">
        <f t="shared" si="37"/>
        <v>9331200</v>
      </c>
      <c r="X174" s="935">
        <f t="shared" si="35"/>
        <v>5.1840000000000002</v>
      </c>
      <c r="Y174" s="934">
        <v>1800000</v>
      </c>
      <c r="Z174" s="931">
        <f t="shared" si="36"/>
        <v>9331200</v>
      </c>
      <c r="AA174" s="568">
        <f t="shared" si="34"/>
        <v>154</v>
      </c>
      <c r="AB174" s="493">
        <f>IFERROR(INDEX('[12]CN BC'!$M$10:$M$276,MATCH(B174,'[12]CN BC'!$H$10:$H$276,0)),"")</f>
        <v>0</v>
      </c>
      <c r="AC174" s="523" t="s">
        <v>548</v>
      </c>
      <c r="AD174" s="108"/>
      <c r="AE174" s="108"/>
      <c r="AF174" s="155"/>
    </row>
    <row r="175" spans="1:42" s="108" customFormat="1" ht="28.5" customHeight="1">
      <c r="A175" s="379">
        <f>_xlfn.AGGREGATE(4,7,A$20:A174)+1</f>
        <v>155</v>
      </c>
      <c r="B175" s="33" t="s">
        <v>1508</v>
      </c>
      <c r="C175" s="34" t="s">
        <v>1019</v>
      </c>
      <c r="D175" s="406" t="s">
        <v>1742</v>
      </c>
      <c r="E175" s="424" t="s">
        <v>1342</v>
      </c>
      <c r="F175" s="83">
        <v>3.99</v>
      </c>
      <c r="G175" s="157"/>
      <c r="H175" s="368">
        <f t="shared" si="26"/>
        <v>3.99</v>
      </c>
      <c r="I175" s="81"/>
      <c r="J175" s="368" t="str">
        <f>VLOOKUP(B175,TH.T3!B181:J439,9,FALSE)</f>
        <v>Giảng viên khoa CNTT</v>
      </c>
      <c r="K175" s="369">
        <f t="shared" si="27"/>
        <v>3.99</v>
      </c>
      <c r="L175" s="362">
        <f t="shared" si="28"/>
        <v>7182000</v>
      </c>
      <c r="M175" s="366" t="str">
        <f>VLOOKUP(B175,'[11]Gui chi Quynh'!$B$11:$E$400,4,FALSE)</f>
        <v>A3</v>
      </c>
      <c r="N175" s="494">
        <f t="shared" si="30"/>
        <v>8618400</v>
      </c>
      <c r="O175" s="376">
        <v>19</v>
      </c>
      <c r="P175" s="440">
        <f>IFERROR(INDEX('[12]CN BC'!$J$10:$J$276,MATCH(B175,'[12]CN BC'!$H$10:$H$276,0)),"")</f>
        <v>19</v>
      </c>
      <c r="Q175" s="494">
        <f t="shared" si="38"/>
        <v>8618400</v>
      </c>
      <c r="R175" s="392"/>
      <c r="S175" s="362">
        <f t="shared" si="29"/>
        <v>0</v>
      </c>
      <c r="T175" s="385"/>
      <c r="U175" s="362">
        <f t="shared" si="39"/>
        <v>0</v>
      </c>
      <c r="V175" s="584">
        <f t="shared" si="33"/>
        <v>71820</v>
      </c>
      <c r="W175" s="371">
        <f t="shared" si="37"/>
        <v>8618400</v>
      </c>
      <c r="X175" s="935">
        <f t="shared" si="35"/>
        <v>4.7880000000000003</v>
      </c>
      <c r="Y175" s="934">
        <v>1800000</v>
      </c>
      <c r="Z175" s="931">
        <f t="shared" si="36"/>
        <v>8618400</v>
      </c>
      <c r="AA175" s="568">
        <f t="shared" si="34"/>
        <v>155</v>
      </c>
      <c r="AB175" s="493">
        <f>IFERROR(INDEX('[12]CN BC'!$M$10:$M$276,MATCH(B175,'[12]CN BC'!$H$10:$H$276,0)),"")</f>
        <v>0</v>
      </c>
      <c r="AC175" s="523" t="s">
        <v>548</v>
      </c>
      <c r="AF175" s="155"/>
    </row>
    <row r="176" spans="1:42" s="108" customFormat="1" ht="26.25" customHeight="1">
      <c r="A176" s="379">
        <f>_xlfn.AGGREGATE(4,7,A$20:A175)+1</f>
        <v>156</v>
      </c>
      <c r="B176" s="33" t="s">
        <v>1509</v>
      </c>
      <c r="C176" s="34" t="s">
        <v>1023</v>
      </c>
      <c r="D176" s="406" t="s">
        <v>1743</v>
      </c>
      <c r="E176" s="424" t="s">
        <v>1344</v>
      </c>
      <c r="F176" s="10">
        <v>3.99</v>
      </c>
      <c r="G176" s="157"/>
      <c r="H176" s="368">
        <f t="shared" si="26"/>
        <v>3.99</v>
      </c>
      <c r="I176" s="81"/>
      <c r="J176" s="368" t="str">
        <f>VLOOKUP(B176,TH.T3!B182:J440,9,FALSE)</f>
        <v>Giảng viên khoa CNTT</v>
      </c>
      <c r="K176" s="369">
        <f t="shared" si="27"/>
        <v>3.99</v>
      </c>
      <c r="L176" s="362">
        <f t="shared" si="28"/>
        <v>7182000</v>
      </c>
      <c r="M176" s="366" t="str">
        <f>VLOOKUP(B176,'[11]Gui chi Quynh'!$B$11:$E$400,4,FALSE)</f>
        <v>A3</v>
      </c>
      <c r="N176" s="494">
        <f t="shared" si="30"/>
        <v>8618400</v>
      </c>
      <c r="O176" s="376">
        <v>19</v>
      </c>
      <c r="P176" s="440">
        <f>IFERROR(INDEX('[12]CN BC'!$J$10:$J$276,MATCH(B176,'[12]CN BC'!$H$10:$H$276,0)),"")</f>
        <v>19</v>
      </c>
      <c r="Q176" s="494">
        <f t="shared" si="38"/>
        <v>8618400</v>
      </c>
      <c r="R176" s="392"/>
      <c r="S176" s="362">
        <f t="shared" si="29"/>
        <v>0</v>
      </c>
      <c r="T176" s="385"/>
      <c r="U176" s="362">
        <f t="shared" si="39"/>
        <v>0</v>
      </c>
      <c r="V176" s="584">
        <f t="shared" si="33"/>
        <v>71820</v>
      </c>
      <c r="W176" s="371">
        <f t="shared" si="37"/>
        <v>8618400</v>
      </c>
      <c r="X176" s="935">
        <f t="shared" si="35"/>
        <v>4.7880000000000003</v>
      </c>
      <c r="Y176" s="934">
        <v>1800000</v>
      </c>
      <c r="Z176" s="931">
        <f t="shared" si="36"/>
        <v>8618400</v>
      </c>
      <c r="AA176" s="568">
        <f t="shared" si="34"/>
        <v>156</v>
      </c>
      <c r="AB176" s="493">
        <f>IFERROR(INDEX('[12]CN BC'!$M$10:$M$276,MATCH(B176,'[12]CN BC'!$H$10:$H$276,0)),"")</f>
        <v>0</v>
      </c>
      <c r="AC176" s="523" t="s">
        <v>548</v>
      </c>
      <c r="AF176" s="155"/>
    </row>
    <row r="177" spans="1:42" s="372" customFormat="1" ht="44.25" customHeight="1">
      <c r="A177" s="543">
        <f>_xlfn.AGGREGATE(4,7,A$20:A176)+1</f>
        <v>157</v>
      </c>
      <c r="B177" s="575" t="s">
        <v>1510</v>
      </c>
      <c r="C177" s="527" t="s">
        <v>891</v>
      </c>
      <c r="D177" s="576" t="s">
        <v>1744</v>
      </c>
      <c r="E177" s="577" t="s">
        <v>1347</v>
      </c>
      <c r="F177" s="578">
        <v>3.66</v>
      </c>
      <c r="G177" s="528"/>
      <c r="H177" s="472">
        <f t="shared" si="26"/>
        <v>3.66</v>
      </c>
      <c r="I177" s="472"/>
      <c r="J177" s="472" t="str">
        <f>VLOOKUP(B177,TH.T3!B183:J441,9,FALSE)</f>
        <v>Giảng viên khoa CNTT</v>
      </c>
      <c r="K177" s="529">
        <f t="shared" si="27"/>
        <v>3.66</v>
      </c>
      <c r="L177" s="530">
        <f t="shared" si="28"/>
        <v>6588000</v>
      </c>
      <c r="M177" s="548" t="str">
        <f>VLOOKUP(B177,'[11]Gui chi Quynh'!$B$11:$E$400,4,FALSE)</f>
        <v>B2</v>
      </c>
      <c r="N177" s="531">
        <f t="shared" si="30"/>
        <v>3294000</v>
      </c>
      <c r="O177" s="549">
        <v>19</v>
      </c>
      <c r="P177" s="532">
        <f>IFERROR(INDEX('[12]CN BC'!$J$10:$J$276,MATCH(B177,'[12]CN BC'!$H$10:$H$276,0)),"")</f>
        <v>19</v>
      </c>
      <c r="Q177" s="531">
        <f t="shared" si="38"/>
        <v>3294000</v>
      </c>
      <c r="R177" s="533"/>
      <c r="S177" s="530">
        <f t="shared" si="29"/>
        <v>0</v>
      </c>
      <c r="T177" s="534"/>
      <c r="U177" s="530">
        <f t="shared" si="39"/>
        <v>0</v>
      </c>
      <c r="V177" s="530">
        <f t="shared" si="33"/>
        <v>65880</v>
      </c>
      <c r="W177" s="547">
        <f t="shared" si="37"/>
        <v>3294000</v>
      </c>
      <c r="X177" s="938">
        <f t="shared" si="35"/>
        <v>1.83</v>
      </c>
      <c r="Y177" s="939">
        <v>1800000</v>
      </c>
      <c r="Z177" s="933">
        <f t="shared" si="36"/>
        <v>3294000</v>
      </c>
      <c r="AA177" s="571">
        <f t="shared" si="34"/>
        <v>157</v>
      </c>
      <c r="AB177" s="550" t="s">
        <v>2214</v>
      </c>
      <c r="AC177" s="523" t="s">
        <v>548</v>
      </c>
      <c r="AF177" s="487"/>
    </row>
    <row r="178" spans="1:42" s="372" customFormat="1" ht="27" customHeight="1">
      <c r="A178" s="379">
        <f>_xlfn.AGGREGATE(4,7,A$20:A177)+1</f>
        <v>158</v>
      </c>
      <c r="B178" s="390" t="s">
        <v>1511</v>
      </c>
      <c r="C178" s="364" t="s">
        <v>867</v>
      </c>
      <c r="D178" s="434" t="s">
        <v>1745</v>
      </c>
      <c r="E178" s="423" t="s">
        <v>1349</v>
      </c>
      <c r="F178" s="373">
        <v>3.99</v>
      </c>
      <c r="G178" s="367"/>
      <c r="H178" s="368">
        <f t="shared" si="26"/>
        <v>3.99</v>
      </c>
      <c r="I178" s="368"/>
      <c r="J178" s="368" t="str">
        <f>VLOOKUP(B178,TH.T3!B184:J442,9,FALSE)</f>
        <v>Giảng viên khoa CNTT</v>
      </c>
      <c r="K178" s="369">
        <f t="shared" si="27"/>
        <v>3.99</v>
      </c>
      <c r="L178" s="362">
        <f t="shared" si="28"/>
        <v>7182000</v>
      </c>
      <c r="M178" s="366" t="str">
        <f>VLOOKUP(B178,'[11]Gui chi Quynh'!$B$11:$E$400,4,FALSE)</f>
        <v>A3</v>
      </c>
      <c r="N178" s="494">
        <f t="shared" si="30"/>
        <v>8618400</v>
      </c>
      <c r="O178" s="376">
        <v>19</v>
      </c>
      <c r="P178" s="440">
        <f>IFERROR(INDEX('[12]CN BC'!$J$10:$J$276,MATCH(B178,'[12]CN BC'!$H$10:$H$276,0)),"")</f>
        <v>19</v>
      </c>
      <c r="Q178" s="494">
        <f t="shared" si="38"/>
        <v>8618400</v>
      </c>
      <c r="R178" s="392"/>
      <c r="S178" s="362">
        <f t="shared" si="29"/>
        <v>0</v>
      </c>
      <c r="T178" s="370"/>
      <c r="U178" s="362">
        <f t="shared" si="39"/>
        <v>0</v>
      </c>
      <c r="V178" s="584">
        <f t="shared" si="33"/>
        <v>71820</v>
      </c>
      <c r="W178" s="371">
        <f t="shared" si="37"/>
        <v>8618400</v>
      </c>
      <c r="X178" s="935">
        <f t="shared" si="35"/>
        <v>4.7880000000000003</v>
      </c>
      <c r="Y178" s="934">
        <v>1800000</v>
      </c>
      <c r="Z178" s="931">
        <f t="shared" si="36"/>
        <v>8618400</v>
      </c>
      <c r="AA178" s="568">
        <f t="shared" si="34"/>
        <v>158</v>
      </c>
      <c r="AB178" s="493">
        <f>IFERROR(INDEX('[12]CN BC'!$M$10:$M$276,MATCH(B178,'[12]CN BC'!$H$10:$H$276,0)),"")</f>
        <v>0</v>
      </c>
      <c r="AC178" s="523" t="s">
        <v>548</v>
      </c>
      <c r="AD178" s="108"/>
      <c r="AE178" s="108"/>
      <c r="AF178" s="155"/>
      <c r="AG178" s="108"/>
      <c r="AH178" s="108"/>
      <c r="AI178" s="108"/>
      <c r="AJ178" s="108"/>
      <c r="AK178" s="108"/>
      <c r="AL178" s="108"/>
    </row>
    <row r="179" spans="1:42" s="372" customFormat="1" ht="27" customHeight="1">
      <c r="A179" s="379">
        <f>_xlfn.AGGREGATE(4,7,A$20:A178)+1</f>
        <v>159</v>
      </c>
      <c r="B179" s="363" t="s">
        <v>1512</v>
      </c>
      <c r="C179" s="364" t="s">
        <v>1209</v>
      </c>
      <c r="D179" s="434" t="s">
        <v>1746</v>
      </c>
      <c r="E179" s="423" t="s">
        <v>1350</v>
      </c>
      <c r="F179" s="373">
        <v>3.99</v>
      </c>
      <c r="G179" s="367"/>
      <c r="H179" s="368">
        <f t="shared" si="26"/>
        <v>3.99</v>
      </c>
      <c r="I179" s="368"/>
      <c r="J179" s="368" t="str">
        <f>VLOOKUP(B179,TH.T3!B185:J443,9,FALSE)</f>
        <v>Giảng viên khoa CNTT</v>
      </c>
      <c r="K179" s="369">
        <f t="shared" si="27"/>
        <v>3.99</v>
      </c>
      <c r="L179" s="362">
        <f t="shared" si="28"/>
        <v>7182000</v>
      </c>
      <c r="M179" s="366" t="str">
        <f>VLOOKUP(B179,'[11]Gui chi Quynh'!$B$11:$E$400,4,FALSE)</f>
        <v>A3</v>
      </c>
      <c r="N179" s="494">
        <f t="shared" si="30"/>
        <v>8618400</v>
      </c>
      <c r="O179" s="376">
        <v>19</v>
      </c>
      <c r="P179" s="440">
        <f>IFERROR(INDEX('[12]CN BC'!$J$10:$J$276,MATCH(B179,'[12]CN BC'!$H$10:$H$276,0)),"")</f>
        <v>19</v>
      </c>
      <c r="Q179" s="494">
        <f t="shared" si="38"/>
        <v>8618400</v>
      </c>
      <c r="R179" s="460"/>
      <c r="S179" s="362">
        <f t="shared" si="29"/>
        <v>0</v>
      </c>
      <c r="T179" s="370"/>
      <c r="U179" s="362">
        <f t="shared" si="39"/>
        <v>0</v>
      </c>
      <c r="V179" s="584">
        <f t="shared" si="33"/>
        <v>71820</v>
      </c>
      <c r="W179" s="371">
        <f t="shared" si="37"/>
        <v>8618400</v>
      </c>
      <c r="X179" s="935">
        <f t="shared" si="35"/>
        <v>4.7880000000000003</v>
      </c>
      <c r="Y179" s="934">
        <v>1800000</v>
      </c>
      <c r="Z179" s="931">
        <f t="shared" si="36"/>
        <v>8618400</v>
      </c>
      <c r="AA179" s="568">
        <f t="shared" si="34"/>
        <v>159</v>
      </c>
      <c r="AB179" s="493">
        <f>IFERROR(INDEX('[12]CN BC'!$M$10:$M$276,MATCH(B179,'[12]CN BC'!$H$10:$H$276,0)),"")</f>
        <v>0</v>
      </c>
      <c r="AC179" s="523" t="s">
        <v>548</v>
      </c>
      <c r="AD179" s="108"/>
      <c r="AE179" s="108"/>
      <c r="AF179" s="155"/>
      <c r="AG179" s="108"/>
      <c r="AH179" s="108"/>
      <c r="AI179" s="108"/>
      <c r="AJ179" s="108"/>
      <c r="AK179" s="108"/>
      <c r="AL179" s="108"/>
    </row>
    <row r="180" spans="1:42" s="108" customFormat="1" ht="27" customHeight="1">
      <c r="A180" s="379">
        <f>_xlfn.AGGREGATE(4,7,A$20:A179)+1</f>
        <v>160</v>
      </c>
      <c r="B180" s="33" t="s">
        <v>1513</v>
      </c>
      <c r="C180" s="34" t="s">
        <v>1211</v>
      </c>
      <c r="D180" s="406" t="s">
        <v>1747</v>
      </c>
      <c r="E180" s="424" t="s">
        <v>1353</v>
      </c>
      <c r="F180" s="83">
        <v>3.99</v>
      </c>
      <c r="G180" s="157"/>
      <c r="H180" s="368">
        <f t="shared" si="26"/>
        <v>3.99</v>
      </c>
      <c r="I180" s="514">
        <v>0.45</v>
      </c>
      <c r="J180" s="368" t="str">
        <f>VLOOKUP(B180,TH.T3!B186:J444,9,FALSE)</f>
        <v>Trưởng BM khoa CNTT</v>
      </c>
      <c r="K180" s="369">
        <f t="shared" si="27"/>
        <v>4.4400000000000004</v>
      </c>
      <c r="L180" s="362">
        <f t="shared" si="28"/>
        <v>7992000.0000000009</v>
      </c>
      <c r="M180" s="366" t="str">
        <f>VLOOKUP(B180,'[11]Gui chi Quynh'!$B$11:$E$400,4,FALSE)</f>
        <v>A3</v>
      </c>
      <c r="N180" s="494">
        <f t="shared" si="30"/>
        <v>9590400</v>
      </c>
      <c r="O180" s="376">
        <v>19</v>
      </c>
      <c r="P180" s="440">
        <f>IFERROR(INDEX('[12]CN BC'!$J$10:$J$276,MATCH(B180,'[12]CN BC'!$H$10:$H$276,0)),"")</f>
        <v>19</v>
      </c>
      <c r="Q180" s="494">
        <f t="shared" si="38"/>
        <v>9590400</v>
      </c>
      <c r="R180" s="392"/>
      <c r="S180" s="362">
        <f t="shared" si="29"/>
        <v>0</v>
      </c>
      <c r="T180" s="385"/>
      <c r="U180" s="362">
        <f t="shared" si="39"/>
        <v>0</v>
      </c>
      <c r="V180" s="584">
        <f t="shared" si="33"/>
        <v>79920</v>
      </c>
      <c r="W180" s="371">
        <f t="shared" si="37"/>
        <v>9590400</v>
      </c>
      <c r="X180" s="935">
        <f t="shared" si="35"/>
        <v>5.3280000000000003</v>
      </c>
      <c r="Y180" s="934">
        <v>1800000</v>
      </c>
      <c r="Z180" s="931">
        <f t="shared" si="36"/>
        <v>9590400</v>
      </c>
      <c r="AA180" s="568">
        <f t="shared" si="34"/>
        <v>160</v>
      </c>
      <c r="AB180" s="493">
        <f>IFERROR(INDEX('[12]CN BC'!$M$10:$M$276,MATCH(B180,'[12]CN BC'!$H$10:$H$276,0)),"")</f>
        <v>0</v>
      </c>
      <c r="AC180" s="523" t="s">
        <v>548</v>
      </c>
      <c r="AF180" s="155"/>
    </row>
    <row r="181" spans="1:42" s="372" customFormat="1" ht="30" customHeight="1">
      <c r="A181" s="379">
        <f>_xlfn.AGGREGATE(4,7,A$20:A180)+1</f>
        <v>161</v>
      </c>
      <c r="B181" s="363" t="s">
        <v>1514</v>
      </c>
      <c r="C181" s="364" t="s">
        <v>979</v>
      </c>
      <c r="D181" s="434" t="s">
        <v>1748</v>
      </c>
      <c r="E181" s="423" t="s">
        <v>1354</v>
      </c>
      <c r="F181" s="373">
        <v>3.66</v>
      </c>
      <c r="G181" s="367"/>
      <c r="H181" s="368">
        <f t="shared" si="26"/>
        <v>3.66</v>
      </c>
      <c r="I181" s="368"/>
      <c r="J181" s="368" t="str">
        <f>VLOOKUP(B181,TH.T3!B187:J445,9,FALSE)</f>
        <v>Giảng viên khoa CNTT</v>
      </c>
      <c r="K181" s="369">
        <f t="shared" si="27"/>
        <v>3.66</v>
      </c>
      <c r="L181" s="362">
        <f t="shared" si="28"/>
        <v>6588000</v>
      </c>
      <c r="M181" s="366" t="str">
        <f>VLOOKUP(B181,'[11]Gui chi Quynh'!$B$11:$E$400,4,FALSE)</f>
        <v>A4</v>
      </c>
      <c r="N181" s="494">
        <f t="shared" si="30"/>
        <v>6588000</v>
      </c>
      <c r="O181" s="376">
        <v>19</v>
      </c>
      <c r="P181" s="440">
        <f>IFERROR(INDEX('[12]CN BC'!$J$10:$J$276,MATCH(B181,'[12]CN BC'!$H$10:$H$276,0)),"")</f>
        <v>19</v>
      </c>
      <c r="Q181" s="494">
        <f t="shared" si="38"/>
        <v>6588000</v>
      </c>
      <c r="R181" s="460"/>
      <c r="S181" s="362">
        <f t="shared" si="29"/>
        <v>0</v>
      </c>
      <c r="T181" s="370"/>
      <c r="U181" s="362">
        <f t="shared" si="39"/>
        <v>0</v>
      </c>
      <c r="V181" s="584">
        <f t="shared" si="33"/>
        <v>65880</v>
      </c>
      <c r="W181" s="371">
        <f t="shared" si="37"/>
        <v>6588000</v>
      </c>
      <c r="X181" s="935">
        <f t="shared" si="35"/>
        <v>3.66</v>
      </c>
      <c r="Y181" s="934">
        <v>1800000</v>
      </c>
      <c r="Z181" s="931">
        <f t="shared" si="36"/>
        <v>6588000</v>
      </c>
      <c r="AA181" s="568">
        <f t="shared" si="34"/>
        <v>161</v>
      </c>
      <c r="AB181" s="493">
        <f>IFERROR(INDEX('[12]CN BC'!$M$10:$M$276,MATCH(B181,'[12]CN BC'!$H$10:$H$276,0)),"")</f>
        <v>0</v>
      </c>
      <c r="AC181" s="523" t="s">
        <v>548</v>
      </c>
      <c r="AD181" s="108"/>
      <c r="AE181" s="108"/>
      <c r="AF181" s="487"/>
    </row>
    <row r="182" spans="1:42" s="372" customFormat="1" ht="24.75" customHeight="1">
      <c r="A182" s="379">
        <f>_xlfn.AGGREGATE(4,7,A$20:A181)+1</f>
        <v>162</v>
      </c>
      <c r="B182" s="363" t="s">
        <v>1515</v>
      </c>
      <c r="C182" s="364" t="s">
        <v>1212</v>
      </c>
      <c r="D182" s="434" t="s">
        <v>1749</v>
      </c>
      <c r="E182" s="423" t="s">
        <v>1355</v>
      </c>
      <c r="F182" s="373">
        <v>3.66</v>
      </c>
      <c r="G182" s="367"/>
      <c r="H182" s="368">
        <f t="shared" si="26"/>
        <v>3.66</v>
      </c>
      <c r="I182" s="368"/>
      <c r="J182" s="368" t="str">
        <f>VLOOKUP(B182,TH.T3!B188:J446,9,FALSE)</f>
        <v>Giảng viên khoa CNTT</v>
      </c>
      <c r="K182" s="369">
        <f t="shared" si="27"/>
        <v>3.66</v>
      </c>
      <c r="L182" s="362">
        <f t="shared" si="28"/>
        <v>6588000</v>
      </c>
      <c r="M182" s="366" t="str">
        <f>VLOOKUP(B182,'[11]Gui chi Quynh'!$B$11:$E$400,4,FALSE)</f>
        <v>A3</v>
      </c>
      <c r="N182" s="494">
        <f t="shared" si="30"/>
        <v>7905600</v>
      </c>
      <c r="O182" s="376">
        <v>19</v>
      </c>
      <c r="P182" s="440">
        <f>IFERROR(INDEX('[12]CN BC'!$J$10:$J$276,MATCH(B182,'[12]CN BC'!$H$10:$H$276,0)),"")</f>
        <v>19</v>
      </c>
      <c r="Q182" s="494">
        <f t="shared" si="38"/>
        <v>7905600</v>
      </c>
      <c r="R182" s="392"/>
      <c r="S182" s="362">
        <f t="shared" si="29"/>
        <v>0</v>
      </c>
      <c r="T182" s="370"/>
      <c r="U182" s="362">
        <f t="shared" si="39"/>
        <v>0</v>
      </c>
      <c r="V182" s="584">
        <f t="shared" si="33"/>
        <v>65880</v>
      </c>
      <c r="W182" s="371">
        <f t="shared" si="37"/>
        <v>7905600</v>
      </c>
      <c r="X182" s="935">
        <f t="shared" si="35"/>
        <v>4.3920000000000003</v>
      </c>
      <c r="Y182" s="934">
        <v>1800000</v>
      </c>
      <c r="Z182" s="931">
        <f t="shared" si="36"/>
        <v>7905600.0000000009</v>
      </c>
      <c r="AA182" s="568">
        <f t="shared" si="34"/>
        <v>162</v>
      </c>
      <c r="AB182" s="493">
        <f>IFERROR(INDEX('[12]CN BC'!$M$10:$M$276,MATCH(B182,'[12]CN BC'!$H$10:$H$276,0)),"")</f>
        <v>0</v>
      </c>
      <c r="AC182" s="523" t="s">
        <v>548</v>
      </c>
      <c r="AD182" s="108"/>
      <c r="AE182" s="108"/>
      <c r="AF182" s="155"/>
      <c r="AG182" s="108"/>
      <c r="AH182" s="108"/>
      <c r="AI182" s="108"/>
      <c r="AJ182" s="108"/>
      <c r="AK182" s="108"/>
      <c r="AL182" s="108"/>
    </row>
    <row r="183" spans="1:42" s="108" customFormat="1" ht="24.75" customHeight="1">
      <c r="A183" s="379">
        <f>_xlfn.AGGREGATE(4,7,A$20:A182)+1</f>
        <v>163</v>
      </c>
      <c r="B183" s="33" t="s">
        <v>1516</v>
      </c>
      <c r="C183" s="34" t="s">
        <v>1213</v>
      </c>
      <c r="D183" s="406" t="s">
        <v>1750</v>
      </c>
      <c r="E183" s="424" t="s">
        <v>1356</v>
      </c>
      <c r="F183" s="373">
        <v>3.66</v>
      </c>
      <c r="G183" s="157"/>
      <c r="H183" s="368">
        <f t="shared" ref="H183:H246" si="40">F183+(F183*G183)</f>
        <v>3.66</v>
      </c>
      <c r="I183" s="81"/>
      <c r="J183" s="368" t="str">
        <f>VLOOKUP(B183,TH.T3!B189:J447,9,FALSE)</f>
        <v>Giảng viên khoa CNTT</v>
      </c>
      <c r="K183" s="369">
        <f t="shared" ref="K183:K246" si="41">H183+I183</f>
        <v>3.66</v>
      </c>
      <c r="L183" s="362">
        <f t="shared" ref="L183:L246" si="42">K183*$G$17</f>
        <v>6588000</v>
      </c>
      <c r="M183" s="366" t="str">
        <f>VLOOKUP(B183,'[11]Gui chi Quynh'!$B$11:$E$400,4,FALSE)</f>
        <v>A4</v>
      </c>
      <c r="N183" s="494">
        <f t="shared" si="30"/>
        <v>6588000</v>
      </c>
      <c r="O183" s="376">
        <v>19</v>
      </c>
      <c r="P183" s="440">
        <f>IFERROR(INDEX('[12]CN BC'!$J$10:$J$276,MATCH(B183,'[12]CN BC'!$H$10:$H$276,0)),"")</f>
        <v>19</v>
      </c>
      <c r="Q183" s="494">
        <f t="shared" si="38"/>
        <v>6588000</v>
      </c>
      <c r="R183" s="392"/>
      <c r="S183" s="362">
        <f t="shared" si="29"/>
        <v>0</v>
      </c>
      <c r="T183" s="385"/>
      <c r="U183" s="362">
        <f t="shared" si="39"/>
        <v>0</v>
      </c>
      <c r="V183" s="584">
        <f t="shared" si="33"/>
        <v>65880</v>
      </c>
      <c r="W183" s="371">
        <f t="shared" si="37"/>
        <v>6588000</v>
      </c>
      <c r="X183" s="935">
        <f t="shared" si="35"/>
        <v>3.66</v>
      </c>
      <c r="Y183" s="934">
        <v>1800000</v>
      </c>
      <c r="Z183" s="931">
        <f t="shared" si="36"/>
        <v>6588000</v>
      </c>
      <c r="AA183" s="568">
        <f t="shared" si="34"/>
        <v>163</v>
      </c>
      <c r="AB183" s="493">
        <f>IFERROR(INDEX('[12]CN BC'!$M$10:$M$276,MATCH(B183,'[12]CN BC'!$H$10:$H$276,0)),"")</f>
        <v>0</v>
      </c>
      <c r="AC183" s="523" t="s">
        <v>548</v>
      </c>
      <c r="AF183" s="155"/>
    </row>
    <row r="184" spans="1:42" s="108" customFormat="1" ht="26.25" customHeight="1">
      <c r="A184" s="379">
        <f>_xlfn.AGGREGATE(4,7,A$20:A183)+1</f>
        <v>164</v>
      </c>
      <c r="B184" s="33" t="s">
        <v>1883</v>
      </c>
      <c r="C184" s="34" t="s">
        <v>282</v>
      </c>
      <c r="D184" s="406" t="s">
        <v>1751</v>
      </c>
      <c r="E184" s="424" t="s">
        <v>381</v>
      </c>
      <c r="F184" s="83">
        <v>3.99</v>
      </c>
      <c r="G184" s="157"/>
      <c r="H184" s="368">
        <f t="shared" si="40"/>
        <v>3.99</v>
      </c>
      <c r="I184" s="81">
        <v>0.35</v>
      </c>
      <c r="J184" s="368" t="str">
        <f>VLOOKUP(B184,TH.T3!B190:J448,9,FALSE)</f>
        <v>Phó Trưởng khoa CNTT</v>
      </c>
      <c r="K184" s="369">
        <f t="shared" si="41"/>
        <v>4.34</v>
      </c>
      <c r="L184" s="362">
        <f t="shared" si="42"/>
        <v>7812000</v>
      </c>
      <c r="M184" s="366" t="str">
        <f>VLOOKUP(B184,'[11]Gui chi Quynh'!$B$11:$E$400,4,FALSE)</f>
        <v>A3</v>
      </c>
      <c r="N184" s="494">
        <f t="shared" si="30"/>
        <v>9374400</v>
      </c>
      <c r="O184" s="376">
        <v>19</v>
      </c>
      <c r="P184" s="440">
        <f>IFERROR(INDEX('[12]CN BC'!$J$10:$J$276,MATCH(B184,'[12]CN BC'!$H$10:$H$276,0)),"")</f>
        <v>19</v>
      </c>
      <c r="Q184" s="494">
        <f t="shared" si="38"/>
        <v>9374400</v>
      </c>
      <c r="R184" s="392"/>
      <c r="S184" s="362">
        <f t="shared" si="29"/>
        <v>0</v>
      </c>
      <c r="T184" s="385"/>
      <c r="U184" s="362">
        <f t="shared" si="39"/>
        <v>0</v>
      </c>
      <c r="V184" s="584">
        <f t="shared" si="33"/>
        <v>78120</v>
      </c>
      <c r="W184" s="371">
        <f t="shared" si="37"/>
        <v>9374400</v>
      </c>
      <c r="X184" s="935">
        <f t="shared" si="35"/>
        <v>5.2080000000000002</v>
      </c>
      <c r="Y184" s="934">
        <v>1800000</v>
      </c>
      <c r="Z184" s="931">
        <f t="shared" si="36"/>
        <v>9374400</v>
      </c>
      <c r="AA184" s="568">
        <f t="shared" si="34"/>
        <v>164</v>
      </c>
      <c r="AB184" s="493">
        <f>IFERROR(INDEX('[12]CN BC'!$M$10:$M$276,MATCH(B184,'[12]CN BC'!$H$10:$H$276,0)),"")</f>
        <v>0</v>
      </c>
      <c r="AC184" s="523" t="s">
        <v>548</v>
      </c>
      <c r="AF184" s="155"/>
    </row>
    <row r="185" spans="1:42" s="372" customFormat="1" ht="23.25" customHeight="1">
      <c r="A185" s="379">
        <f>_xlfn.AGGREGATE(4,7,A$20:A184)+1</f>
        <v>165</v>
      </c>
      <c r="B185" s="363" t="s">
        <v>1833</v>
      </c>
      <c r="C185" s="364"/>
      <c r="D185" s="434" t="s">
        <v>1966</v>
      </c>
      <c r="E185" s="486">
        <v>1603215005649</v>
      </c>
      <c r="F185" s="373">
        <v>3.33</v>
      </c>
      <c r="G185" s="367"/>
      <c r="H185" s="445">
        <f t="shared" si="40"/>
        <v>3.33</v>
      </c>
      <c r="I185" s="368"/>
      <c r="J185" s="368" t="str">
        <f>VLOOKUP(B185,TH.T3!B191:J449,9,FALSE)</f>
        <v>Giảng viên khoa CNTT</v>
      </c>
      <c r="K185" s="369">
        <f t="shared" si="41"/>
        <v>3.33</v>
      </c>
      <c r="L185" s="362">
        <f t="shared" si="42"/>
        <v>5994000</v>
      </c>
      <c r="M185" s="366" t="str">
        <f>VLOOKUP(B185,'[11]Gui chi Quynh'!$B$11:$E$400,4,FALSE)</f>
        <v>A3</v>
      </c>
      <c r="N185" s="494">
        <f t="shared" si="30"/>
        <v>7192800</v>
      </c>
      <c r="O185" s="376">
        <v>19</v>
      </c>
      <c r="P185" s="440">
        <f>IFERROR(INDEX('[12]CN BC'!$J$10:$J$276,MATCH(B185,'[12]CN BC'!$H$10:$H$276,0)),"")</f>
        <v>19</v>
      </c>
      <c r="Q185" s="494">
        <f t="shared" si="38"/>
        <v>7192800</v>
      </c>
      <c r="R185" s="460"/>
      <c r="S185" s="362">
        <f t="shared" si="29"/>
        <v>0</v>
      </c>
      <c r="T185" s="370"/>
      <c r="U185" s="362">
        <f t="shared" si="39"/>
        <v>0</v>
      </c>
      <c r="V185" s="584">
        <f t="shared" si="33"/>
        <v>59940</v>
      </c>
      <c r="W185" s="371">
        <f t="shared" si="37"/>
        <v>7192800</v>
      </c>
      <c r="X185" s="935">
        <f t="shared" si="35"/>
        <v>3.996</v>
      </c>
      <c r="Y185" s="934">
        <v>1800000</v>
      </c>
      <c r="Z185" s="931">
        <f t="shared" si="36"/>
        <v>7192800</v>
      </c>
      <c r="AA185" s="568">
        <f t="shared" si="34"/>
        <v>165</v>
      </c>
      <c r="AB185" s="493">
        <f>IFERROR(INDEX('[12]CN BC'!$M$10:$M$276,MATCH(B185,'[12]CN BC'!$H$10:$H$276,0)),"")</f>
        <v>0</v>
      </c>
      <c r="AC185" s="523" t="s">
        <v>548</v>
      </c>
      <c r="AD185" s="108"/>
      <c r="AE185" s="108"/>
      <c r="AF185" s="155"/>
    </row>
    <row r="186" spans="1:42" s="372" customFormat="1" ht="29.25" customHeight="1">
      <c r="A186" s="379">
        <f>_xlfn.AGGREGATE(4,7,A$20:A185)+1</f>
        <v>166</v>
      </c>
      <c r="B186" s="363" t="s">
        <v>1884</v>
      </c>
      <c r="C186" s="364" t="s">
        <v>1175</v>
      </c>
      <c r="D186" s="406" t="s">
        <v>1752</v>
      </c>
      <c r="E186" s="423" t="s">
        <v>1345</v>
      </c>
      <c r="F186" s="373">
        <v>3.99</v>
      </c>
      <c r="G186" s="367"/>
      <c r="H186" s="368">
        <f t="shared" si="40"/>
        <v>3.99</v>
      </c>
      <c r="I186" s="368">
        <v>0.25</v>
      </c>
      <c r="J186" s="368" t="str">
        <f>VLOOKUP(B186,TH.T3!B192:J450,9,FALSE)</f>
        <v>Giảng viên khoa CNTT</v>
      </c>
      <c r="K186" s="369">
        <f t="shared" si="41"/>
        <v>4.24</v>
      </c>
      <c r="L186" s="362">
        <f t="shared" si="42"/>
        <v>7632000</v>
      </c>
      <c r="M186" s="366" t="str">
        <f>VLOOKUP(B186,'[11]Gui chi Quynh'!$B$11:$E$400,4,FALSE)</f>
        <v>A3</v>
      </c>
      <c r="N186" s="494">
        <f t="shared" si="30"/>
        <v>9158400</v>
      </c>
      <c r="O186" s="376">
        <v>19</v>
      </c>
      <c r="P186" s="440">
        <f>IFERROR(INDEX('[12]CN BC'!$J$10:$J$276,MATCH(B186,'[12]CN BC'!$H$10:$H$276,0)),"")</f>
        <v>19</v>
      </c>
      <c r="Q186" s="494">
        <f t="shared" si="38"/>
        <v>9158400</v>
      </c>
      <c r="R186" s="392"/>
      <c r="S186" s="362">
        <f t="shared" si="29"/>
        <v>0</v>
      </c>
      <c r="T186" s="370"/>
      <c r="U186" s="362">
        <f t="shared" si="39"/>
        <v>0</v>
      </c>
      <c r="V186" s="584">
        <f t="shared" si="33"/>
        <v>76320</v>
      </c>
      <c r="W186" s="371">
        <f t="shared" si="37"/>
        <v>9158400</v>
      </c>
      <c r="X186" s="935">
        <f t="shared" si="35"/>
        <v>5.0880000000000001</v>
      </c>
      <c r="Y186" s="934">
        <v>1800000</v>
      </c>
      <c r="Z186" s="931">
        <f t="shared" si="36"/>
        <v>9158400</v>
      </c>
      <c r="AA186" s="568">
        <f t="shared" si="34"/>
        <v>166</v>
      </c>
      <c r="AB186" s="493">
        <f>IFERROR(INDEX('[12]CN BC'!$M$10:$M$276,MATCH(B186,'[12]CN BC'!$H$10:$H$276,0)),"")</f>
        <v>0</v>
      </c>
      <c r="AC186" s="523" t="s">
        <v>548</v>
      </c>
      <c r="AD186" s="108"/>
      <c r="AE186" s="108"/>
      <c r="AF186" s="155"/>
      <c r="AG186" s="108"/>
      <c r="AH186" s="108"/>
      <c r="AI186" s="108"/>
      <c r="AJ186" s="108"/>
      <c r="AK186" s="108"/>
      <c r="AL186" s="108"/>
      <c r="AM186" s="108"/>
      <c r="AN186" s="108"/>
      <c r="AO186" s="108"/>
      <c r="AP186" s="108"/>
    </row>
    <row r="187" spans="1:42" s="372" customFormat="1" ht="29.25" customHeight="1">
      <c r="A187" s="379">
        <f>_xlfn.AGGREGATE(4,7,A$20:A186)+1</f>
        <v>167</v>
      </c>
      <c r="B187" s="363" t="s">
        <v>1517</v>
      </c>
      <c r="C187" s="364" t="s">
        <v>731</v>
      </c>
      <c r="D187" s="434" t="s">
        <v>1753</v>
      </c>
      <c r="E187" s="426">
        <v>1603205286594</v>
      </c>
      <c r="F187" s="373">
        <v>3.33</v>
      </c>
      <c r="G187" s="367"/>
      <c r="H187" s="445">
        <f t="shared" si="40"/>
        <v>3.33</v>
      </c>
      <c r="I187" s="368"/>
      <c r="J187" s="368" t="str">
        <f>VLOOKUP(B187,TH.T3!B193:J451,9,FALSE)</f>
        <v>Giảng viên khoa CNTT</v>
      </c>
      <c r="K187" s="369">
        <f t="shared" si="41"/>
        <v>3.33</v>
      </c>
      <c r="L187" s="362">
        <f t="shared" si="42"/>
        <v>5994000</v>
      </c>
      <c r="M187" s="366" t="str">
        <f>VLOOKUP(B187,'[11]Gui chi Quynh'!$B$11:$E$400,4,FALSE)</f>
        <v>A4</v>
      </c>
      <c r="N187" s="494">
        <f t="shared" si="30"/>
        <v>5994000</v>
      </c>
      <c r="O187" s="376">
        <v>19</v>
      </c>
      <c r="P187" s="440">
        <f>IFERROR(INDEX('[12]CN BC'!$J$10:$J$276,MATCH(B187,'[12]CN BC'!$H$10:$H$276,0)),"")</f>
        <v>19</v>
      </c>
      <c r="Q187" s="494">
        <f t="shared" si="38"/>
        <v>5994000</v>
      </c>
      <c r="R187" s="460"/>
      <c r="S187" s="362">
        <f t="shared" si="29"/>
        <v>0</v>
      </c>
      <c r="T187" s="370"/>
      <c r="U187" s="362">
        <f t="shared" si="39"/>
        <v>0</v>
      </c>
      <c r="V187" s="584">
        <f t="shared" si="33"/>
        <v>59940</v>
      </c>
      <c r="W187" s="371">
        <f t="shared" si="37"/>
        <v>5994000</v>
      </c>
      <c r="X187" s="935">
        <f t="shared" si="35"/>
        <v>3.33</v>
      </c>
      <c r="Y187" s="934">
        <v>1800000</v>
      </c>
      <c r="Z187" s="931">
        <f t="shared" si="36"/>
        <v>5994000</v>
      </c>
      <c r="AA187" s="568">
        <f t="shared" si="34"/>
        <v>167</v>
      </c>
      <c r="AB187" s="493">
        <f>IFERROR(INDEX('[12]CN BC'!$M$10:$M$276,MATCH(B187,'[12]CN BC'!$H$10:$H$276,0)),"")</f>
        <v>0</v>
      </c>
      <c r="AC187" s="523" t="s">
        <v>548</v>
      </c>
      <c r="AD187" s="108"/>
      <c r="AE187" s="108"/>
      <c r="AF187" s="487"/>
    </row>
    <row r="188" spans="1:42" s="372" customFormat="1" ht="28.5" customHeight="1">
      <c r="A188" s="379">
        <f>_xlfn.AGGREGATE(4,7,A$20:A187)+1</f>
        <v>168</v>
      </c>
      <c r="B188" s="363" t="s">
        <v>1518</v>
      </c>
      <c r="C188" s="364" t="s">
        <v>1207</v>
      </c>
      <c r="D188" s="406" t="s">
        <v>1754</v>
      </c>
      <c r="E188" s="423" t="s">
        <v>1346</v>
      </c>
      <c r="F188" s="366">
        <v>3.99</v>
      </c>
      <c r="G188" s="367"/>
      <c r="H188" s="368">
        <f t="shared" si="40"/>
        <v>3.99</v>
      </c>
      <c r="I188" s="368"/>
      <c r="J188" s="368" t="str">
        <f>VLOOKUP(B188,TH.T3!B194:J452,9,FALSE)</f>
        <v>Giảng viên khoa CNTT</v>
      </c>
      <c r="K188" s="369">
        <f t="shared" si="41"/>
        <v>3.99</v>
      </c>
      <c r="L188" s="362">
        <f t="shared" si="42"/>
        <v>7182000</v>
      </c>
      <c r="M188" s="366" t="str">
        <f>VLOOKUP(B188,'[11]Gui chi Quynh'!$B$11:$E$400,4,FALSE)</f>
        <v>A3</v>
      </c>
      <c r="N188" s="494">
        <f t="shared" si="30"/>
        <v>8618400</v>
      </c>
      <c r="O188" s="376">
        <v>19</v>
      </c>
      <c r="P188" s="440">
        <f>IFERROR(INDEX('[12]CN BC'!$J$10:$J$276,MATCH(B188,'[12]CN BC'!$H$10:$H$276,0)),"")</f>
        <v>19</v>
      </c>
      <c r="Q188" s="494">
        <f t="shared" si="38"/>
        <v>8618400</v>
      </c>
      <c r="R188" s="392"/>
      <c r="S188" s="362">
        <f t="shared" si="29"/>
        <v>0</v>
      </c>
      <c r="T188" s="385"/>
      <c r="U188" s="362">
        <f t="shared" si="39"/>
        <v>0</v>
      </c>
      <c r="V188" s="584">
        <f t="shared" si="33"/>
        <v>71820</v>
      </c>
      <c r="W188" s="371">
        <f t="shared" si="37"/>
        <v>8618400</v>
      </c>
      <c r="X188" s="935">
        <f t="shared" si="35"/>
        <v>4.7880000000000003</v>
      </c>
      <c r="Y188" s="934">
        <v>1800000</v>
      </c>
      <c r="Z188" s="931">
        <f t="shared" si="36"/>
        <v>8618400</v>
      </c>
      <c r="AA188" s="568">
        <f t="shared" si="34"/>
        <v>168</v>
      </c>
      <c r="AB188" s="493">
        <f>IFERROR(INDEX('[12]CN BC'!$M$10:$M$276,MATCH(B188,'[12]CN BC'!$H$10:$H$276,0)),"")</f>
        <v>0</v>
      </c>
      <c r="AC188" s="523" t="s">
        <v>548</v>
      </c>
      <c r="AD188" s="108"/>
      <c r="AE188" s="108"/>
      <c r="AF188" s="155"/>
      <c r="AG188" s="108"/>
      <c r="AH188" s="108"/>
      <c r="AI188" s="108"/>
      <c r="AJ188" s="108"/>
      <c r="AK188" s="108"/>
      <c r="AL188" s="108"/>
      <c r="AM188" s="108"/>
      <c r="AN188" s="108"/>
      <c r="AO188" s="108"/>
      <c r="AP188" s="108"/>
    </row>
    <row r="189" spans="1:42" s="372" customFormat="1" ht="28.5" customHeight="1">
      <c r="A189" s="379">
        <f>_xlfn.AGGREGATE(4,7,A$20:A188)+1</f>
        <v>169</v>
      </c>
      <c r="B189" s="363" t="s">
        <v>1519</v>
      </c>
      <c r="C189" s="364" t="s">
        <v>728</v>
      </c>
      <c r="D189" s="406" t="s">
        <v>1755</v>
      </c>
      <c r="E189" s="423" t="s">
        <v>771</v>
      </c>
      <c r="F189" s="373">
        <v>3.66</v>
      </c>
      <c r="G189" s="367"/>
      <c r="H189" s="368">
        <f t="shared" si="40"/>
        <v>3.66</v>
      </c>
      <c r="I189" s="368"/>
      <c r="J189" s="368" t="str">
        <f>VLOOKUP(B189,TH.T3!B195:J453,9,FALSE)</f>
        <v>Giảng viên khoa CNTT</v>
      </c>
      <c r="K189" s="369">
        <f t="shared" si="41"/>
        <v>3.66</v>
      </c>
      <c r="L189" s="362">
        <f t="shared" si="42"/>
        <v>6588000</v>
      </c>
      <c r="M189" s="366" t="str">
        <f>VLOOKUP(B189,'[11]Gui chi Quynh'!$B$11:$E$400,4,FALSE)</f>
        <v>A3</v>
      </c>
      <c r="N189" s="494">
        <f t="shared" si="30"/>
        <v>7905600</v>
      </c>
      <c r="O189" s="376">
        <v>19</v>
      </c>
      <c r="P189" s="440">
        <f>IFERROR(INDEX('[12]CN BC'!$J$10:$J$276,MATCH(B189,'[12]CN BC'!$H$10:$H$276,0)),"")</f>
        <v>19</v>
      </c>
      <c r="Q189" s="494">
        <f t="shared" si="38"/>
        <v>7905600</v>
      </c>
      <c r="R189" s="392"/>
      <c r="S189" s="362">
        <f t="shared" si="29"/>
        <v>0</v>
      </c>
      <c r="T189" s="385"/>
      <c r="U189" s="362">
        <f t="shared" si="39"/>
        <v>0</v>
      </c>
      <c r="V189" s="584">
        <f t="shared" si="33"/>
        <v>65880</v>
      </c>
      <c r="W189" s="371">
        <f t="shared" si="37"/>
        <v>7905600</v>
      </c>
      <c r="X189" s="935">
        <f t="shared" si="35"/>
        <v>4.3920000000000003</v>
      </c>
      <c r="Y189" s="934">
        <v>1800000</v>
      </c>
      <c r="Z189" s="931">
        <f t="shared" si="36"/>
        <v>7905600.0000000009</v>
      </c>
      <c r="AA189" s="568">
        <f t="shared" si="34"/>
        <v>169</v>
      </c>
      <c r="AB189" s="493">
        <f>IFERROR(INDEX('[12]CN BC'!$M$10:$M$276,MATCH(B189,'[12]CN BC'!$H$10:$H$276,0)),"")</f>
        <v>0</v>
      </c>
      <c r="AC189" s="523" t="s">
        <v>548</v>
      </c>
      <c r="AD189" s="108"/>
      <c r="AE189" s="108"/>
      <c r="AF189" s="155"/>
      <c r="AG189" s="108"/>
      <c r="AH189" s="108"/>
      <c r="AI189" s="108"/>
      <c r="AJ189" s="108"/>
      <c r="AK189" s="108"/>
      <c r="AL189" s="108"/>
      <c r="AM189" s="108"/>
      <c r="AN189" s="108"/>
      <c r="AO189" s="108"/>
      <c r="AP189" s="108"/>
    </row>
    <row r="190" spans="1:42" s="372" customFormat="1" ht="25.5" customHeight="1">
      <c r="A190" s="379">
        <f>_xlfn.AGGREGATE(4,7,A$20:A189)+1</f>
        <v>170</v>
      </c>
      <c r="B190" s="363" t="s">
        <v>1520</v>
      </c>
      <c r="C190" s="364" t="s">
        <v>876</v>
      </c>
      <c r="D190" s="434" t="s">
        <v>1756</v>
      </c>
      <c r="E190" s="365" t="s">
        <v>1593</v>
      </c>
      <c r="F190" s="373">
        <v>3.99</v>
      </c>
      <c r="G190" s="367"/>
      <c r="H190" s="368">
        <f t="shared" si="40"/>
        <v>3.99</v>
      </c>
      <c r="I190" s="368">
        <v>0.25</v>
      </c>
      <c r="J190" s="368" t="str">
        <f>VLOOKUP(B190,TH.T3!B196:J454,9,FALSE)</f>
        <v>Giảng viên khoa CNTT</v>
      </c>
      <c r="K190" s="369">
        <f t="shared" si="41"/>
        <v>4.24</v>
      </c>
      <c r="L190" s="362">
        <f t="shared" si="42"/>
        <v>7632000</v>
      </c>
      <c r="M190" s="366" t="str">
        <f>VLOOKUP(B190,'[11]Gui chi Quynh'!$B$11:$E$400,4,FALSE)</f>
        <v>A3</v>
      </c>
      <c r="N190" s="494">
        <f t="shared" si="30"/>
        <v>9158400</v>
      </c>
      <c r="O190" s="376">
        <v>19</v>
      </c>
      <c r="P190" s="440">
        <f>IFERROR(INDEX('[12]CN BC'!$J$10:$J$276,MATCH(B190,'[12]CN BC'!$H$10:$H$276,0)),"")</f>
        <v>19</v>
      </c>
      <c r="Q190" s="494">
        <f t="shared" si="38"/>
        <v>9158400</v>
      </c>
      <c r="R190" s="460"/>
      <c r="S190" s="362">
        <f t="shared" si="29"/>
        <v>0</v>
      </c>
      <c r="T190" s="370"/>
      <c r="U190" s="362">
        <f t="shared" si="39"/>
        <v>0</v>
      </c>
      <c r="V190" s="362">
        <f t="shared" si="33"/>
        <v>76320</v>
      </c>
      <c r="W190" s="371">
        <f t="shared" si="37"/>
        <v>9158400</v>
      </c>
      <c r="X190" s="935">
        <f t="shared" si="35"/>
        <v>5.0880000000000001</v>
      </c>
      <c r="Y190" s="934">
        <v>1800000</v>
      </c>
      <c r="Z190" s="931">
        <f t="shared" si="36"/>
        <v>9158400</v>
      </c>
      <c r="AA190" s="568">
        <f t="shared" si="34"/>
        <v>170</v>
      </c>
      <c r="AB190" s="493">
        <f>IFERROR(INDEX('[12]CN BC'!$M$10:$M$276,MATCH(B190,'[12]CN BC'!$H$10:$H$276,0)),"")</f>
        <v>0</v>
      </c>
      <c r="AC190" s="523" t="s">
        <v>548</v>
      </c>
      <c r="AF190" s="487"/>
    </row>
    <row r="191" spans="1:42" s="372" customFormat="1" ht="28.5" customHeight="1">
      <c r="A191" s="379">
        <f>_xlfn.AGGREGATE(4,7,A$20:A190)+1</f>
        <v>171</v>
      </c>
      <c r="B191" s="363" t="s">
        <v>1467</v>
      </c>
      <c r="C191" s="375" t="s">
        <v>1021</v>
      </c>
      <c r="D191" s="434" t="s">
        <v>1674</v>
      </c>
      <c r="E191" s="423" t="s">
        <v>1343</v>
      </c>
      <c r="F191" s="366">
        <v>4.32</v>
      </c>
      <c r="G191" s="367"/>
      <c r="H191" s="368">
        <f>F191+(F191*G191)</f>
        <v>4.32</v>
      </c>
      <c r="I191" s="368"/>
      <c r="J191" s="368" t="str">
        <f>VLOOKUP(B191,TH.T3!B197:J455,9,FALSE)</f>
        <v>Giảng viên khoa CNTT</v>
      </c>
      <c r="K191" s="369">
        <f>H191+I191</f>
        <v>4.32</v>
      </c>
      <c r="L191" s="362">
        <f>K191*$G$17</f>
        <v>7776000.0000000009</v>
      </c>
      <c r="M191" s="366" t="str">
        <f>VLOOKUP(B191,'[11]Gui chi Quynh'!$B$11:$E$400,4,FALSE)</f>
        <v>A3</v>
      </c>
      <c r="N191" s="494">
        <f t="shared" si="30"/>
        <v>9331200</v>
      </c>
      <c r="O191" s="376">
        <v>19</v>
      </c>
      <c r="P191" s="440">
        <f>IFERROR(INDEX('[12]CN BC'!$J$10:$J$276,MATCH(B191,'[12]CN BC'!$H$10:$H$276,0)),"")</f>
        <v>19</v>
      </c>
      <c r="Q191" s="494">
        <f t="shared" si="38"/>
        <v>9331200</v>
      </c>
      <c r="R191" s="460"/>
      <c r="S191" s="362">
        <f t="shared" si="29"/>
        <v>0</v>
      </c>
      <c r="T191" s="370"/>
      <c r="U191" s="362">
        <f t="shared" si="39"/>
        <v>0</v>
      </c>
      <c r="V191" s="584">
        <f>IF(OR(M191="A DN",M191="KXL", M191=""),"0",ROUND(K191*0.01*$G$17+R191*1%*$G$17+T191*1%*$G$17,))</f>
        <v>77760</v>
      </c>
      <c r="W191" s="371">
        <f t="shared" si="37"/>
        <v>9331200</v>
      </c>
      <c r="X191" s="935">
        <f t="shared" si="35"/>
        <v>5.1840000000000002</v>
      </c>
      <c r="Y191" s="934">
        <v>1800000</v>
      </c>
      <c r="Z191" s="931">
        <f t="shared" si="36"/>
        <v>9331200</v>
      </c>
      <c r="AA191" s="568">
        <f t="shared" si="34"/>
        <v>171</v>
      </c>
      <c r="AB191" s="493">
        <f>IFERROR(INDEX('[12]CN BC'!$M$10:$M$276,MATCH(B191,'[12]CN BC'!$H$10:$H$276,0)),"")</f>
        <v>0</v>
      </c>
      <c r="AC191" s="523" t="s">
        <v>548</v>
      </c>
      <c r="AD191" s="108"/>
      <c r="AE191" s="108"/>
      <c r="AF191" s="155">
        <f>3.68*1490000*1.4</f>
        <v>7676479.9999999991</v>
      </c>
      <c r="AG191" s="108"/>
      <c r="AH191" s="108"/>
      <c r="AI191" s="108"/>
      <c r="AJ191" s="108"/>
      <c r="AK191" s="108"/>
      <c r="AL191" s="108"/>
    </row>
    <row r="192" spans="1:42" s="372" customFormat="1" ht="28.5" customHeight="1">
      <c r="A192" s="379">
        <f>_xlfn.AGGREGATE(4,7,A$20:A191)+1</f>
        <v>172</v>
      </c>
      <c r="B192" s="363" t="s">
        <v>2011</v>
      </c>
      <c r="C192" s="375"/>
      <c r="D192" s="434"/>
      <c r="E192" s="423"/>
      <c r="F192" s="366">
        <v>2.2690000000000001</v>
      </c>
      <c r="G192" s="367"/>
      <c r="H192" s="368">
        <f>F192+(F192*G192)</f>
        <v>2.2690000000000001</v>
      </c>
      <c r="I192" s="368"/>
      <c r="J192" s="368" t="str">
        <f>VLOOKUP(B192,TH.T3!B198:J456,9,FALSE)</f>
        <v>Giảng viên khoa CNTT</v>
      </c>
      <c r="K192" s="369">
        <f>H192+I192</f>
        <v>2.2690000000000001</v>
      </c>
      <c r="L192" s="362">
        <f>K192*$G$17</f>
        <v>4084200</v>
      </c>
      <c r="M192" s="366" t="str">
        <f>VLOOKUP(B192,'[11]Gui chi Quynh'!$B$11:$E$400,4,FALSE)</f>
        <v>A3</v>
      </c>
      <c r="N192" s="494">
        <f t="shared" si="30"/>
        <v>4901040</v>
      </c>
      <c r="O192" s="376">
        <v>19</v>
      </c>
      <c r="P192" s="440">
        <f>IFERROR(INDEX('[12]CN BC'!$J$10:$J$276,MATCH(B192,'[12]CN BC'!$H$10:$H$276,0)),"")</f>
        <v>19</v>
      </c>
      <c r="Q192" s="494">
        <f t="shared" si="38"/>
        <v>4901040</v>
      </c>
      <c r="R192" s="460"/>
      <c r="S192" s="362">
        <f t="shared" si="29"/>
        <v>0</v>
      </c>
      <c r="T192" s="370"/>
      <c r="U192" s="362">
        <f t="shared" si="39"/>
        <v>0</v>
      </c>
      <c r="V192" s="584">
        <f>IF(OR(M192="A DN",M192="KXL", M192=""),"0",ROUND(K192*0.01*$G$17+R192*1%*$G$17+T192*1%*$G$17,))</f>
        <v>40842</v>
      </c>
      <c r="W192" s="371">
        <f t="shared" si="37"/>
        <v>4901040</v>
      </c>
      <c r="X192" s="935">
        <f t="shared" si="35"/>
        <v>2.7227999999999999</v>
      </c>
      <c r="Y192" s="934">
        <v>1800000</v>
      </c>
      <c r="Z192" s="931">
        <f t="shared" si="36"/>
        <v>4901040</v>
      </c>
      <c r="AA192" s="568">
        <f t="shared" si="34"/>
        <v>172</v>
      </c>
      <c r="AB192" s="493">
        <f>IFERROR(INDEX('[12]CN BC'!$M$10:$M$276,MATCH(B192,'[12]CN BC'!$H$10:$H$276,0)),"")</f>
        <v>0</v>
      </c>
      <c r="AC192" s="523" t="s">
        <v>548</v>
      </c>
      <c r="AF192" s="487"/>
    </row>
    <row r="193" spans="1:42" s="372" customFormat="1" ht="28.5" customHeight="1">
      <c r="A193" s="379">
        <f>_xlfn.AGGREGATE(4,7,A$20:A192)+1</f>
        <v>173</v>
      </c>
      <c r="B193" s="363" t="s">
        <v>2017</v>
      </c>
      <c r="C193" s="375"/>
      <c r="D193" s="434"/>
      <c r="E193" s="423"/>
      <c r="F193" s="366">
        <v>1.9890000000000001</v>
      </c>
      <c r="G193" s="367"/>
      <c r="H193" s="368">
        <f>F193+(F193*G193)</f>
        <v>1.9890000000000001</v>
      </c>
      <c r="I193" s="368"/>
      <c r="J193" s="368" t="str">
        <f>VLOOKUP(B193,TH.T3!B199:J457,9,FALSE)</f>
        <v>Giảng viên khoa CNTT</v>
      </c>
      <c r="K193" s="369">
        <f>H193+I193</f>
        <v>1.9890000000000001</v>
      </c>
      <c r="L193" s="362">
        <f>K193*$G$17</f>
        <v>3580200</v>
      </c>
      <c r="M193" s="366" t="str">
        <f>VLOOKUP(B193,'[11]Gui chi Quynh'!$B$11:$E$400,4,FALSE)</f>
        <v>A1</v>
      </c>
      <c r="N193" s="494">
        <f t="shared" si="30"/>
        <v>5728320</v>
      </c>
      <c r="O193" s="376">
        <v>19</v>
      </c>
      <c r="P193" s="440">
        <f>IFERROR(INDEX('[12]CN BC'!$J$10:$J$276,MATCH(B193,'[12]CN BC'!$H$10:$H$276,0)),"")</f>
        <v>19</v>
      </c>
      <c r="Q193" s="494">
        <f t="shared" si="38"/>
        <v>5728320</v>
      </c>
      <c r="R193" s="460"/>
      <c r="S193" s="362">
        <f t="shared" si="29"/>
        <v>0</v>
      </c>
      <c r="T193" s="370"/>
      <c r="U193" s="362">
        <f t="shared" si="39"/>
        <v>0</v>
      </c>
      <c r="V193" s="584">
        <f>IF(OR(M193="A DN",M193="KXL", M193=""),"0",ROUND(K193*0.01*$G$17+R193*1%*$G$17+T193*1%*$G$17,))</f>
        <v>35802</v>
      </c>
      <c r="W193" s="371">
        <f t="shared" si="37"/>
        <v>5728320</v>
      </c>
      <c r="X193" s="935">
        <f t="shared" si="35"/>
        <v>3.1823999999999999</v>
      </c>
      <c r="Y193" s="934">
        <v>1800000</v>
      </c>
      <c r="Z193" s="931">
        <f t="shared" si="36"/>
        <v>5728320</v>
      </c>
      <c r="AA193" s="568">
        <f t="shared" si="34"/>
        <v>173</v>
      </c>
      <c r="AB193" s="493">
        <f>IFERROR(INDEX('[12]CN BC'!$M$10:$M$276,MATCH(B193,'[12]CN BC'!$H$10:$H$276,0)),"")</f>
        <v>0</v>
      </c>
      <c r="AC193" s="523" t="s">
        <v>548</v>
      </c>
      <c r="AF193" s="487"/>
    </row>
    <row r="194" spans="1:42" s="372" customFormat="1" ht="28.5" customHeight="1">
      <c r="A194" s="379">
        <f>_xlfn.AGGREGATE(4,7,A$20:A193)+1</f>
        <v>174</v>
      </c>
      <c r="B194" s="363" t="s">
        <v>1885</v>
      </c>
      <c r="C194" s="364" t="s">
        <v>1041</v>
      </c>
      <c r="D194" s="434" t="s">
        <v>1757</v>
      </c>
      <c r="E194" s="423" t="s">
        <v>1368</v>
      </c>
      <c r="F194" s="366">
        <v>4.6500000000000004</v>
      </c>
      <c r="G194" s="367"/>
      <c r="H194" s="368">
        <f t="shared" si="40"/>
        <v>4.6500000000000004</v>
      </c>
      <c r="I194" s="368">
        <v>0.45</v>
      </c>
      <c r="J194" s="368" t="str">
        <f>VLOOKUP(B194,TH.T3!B200:J458,9,FALSE)</f>
        <v>Trưởng khoa Cơ khí</v>
      </c>
      <c r="K194" s="369">
        <f t="shared" si="41"/>
        <v>5.1000000000000005</v>
      </c>
      <c r="L194" s="362">
        <f t="shared" si="42"/>
        <v>9180000.0000000019</v>
      </c>
      <c r="M194" s="366" t="str">
        <f>VLOOKUP(B194,'[11]Gui chi Quynh'!$B$11:$E$400,4,FALSE)</f>
        <v>A1</v>
      </c>
      <c r="N194" s="494">
        <f t="shared" si="30"/>
        <v>14688000.000000004</v>
      </c>
      <c r="O194" s="376">
        <v>19</v>
      </c>
      <c r="P194" s="440">
        <f>IFERROR(INDEX('[12]CN BC'!$J$10:$J$276,MATCH(B194,'[12]CN BC'!$H$10:$H$276,0)),"")</f>
        <v>22</v>
      </c>
      <c r="Q194" s="494">
        <f t="shared" si="38"/>
        <v>14688000.000000004</v>
      </c>
      <c r="R194" s="392"/>
      <c r="S194" s="362">
        <f t="shared" si="29"/>
        <v>0</v>
      </c>
      <c r="T194" s="370"/>
      <c r="U194" s="362">
        <f t="shared" si="39"/>
        <v>0</v>
      </c>
      <c r="V194" s="584">
        <f>IF(OR(M194="A DN",M194="KXL", M194=""),"0",ROUND(K194*0.01*$G$17+R194*1%*$G$17+T194*1%*$G$17,))</f>
        <v>91800</v>
      </c>
      <c r="W194" s="371">
        <f t="shared" si="37"/>
        <v>14688000.000000004</v>
      </c>
      <c r="X194" s="935">
        <f t="shared" si="35"/>
        <v>8.1600000000000019</v>
      </c>
      <c r="Y194" s="934">
        <v>1800000</v>
      </c>
      <c r="Z194" s="931">
        <f t="shared" si="36"/>
        <v>14688000.000000004</v>
      </c>
      <c r="AA194" s="568">
        <f t="shared" si="34"/>
        <v>174</v>
      </c>
      <c r="AB194" s="493">
        <f>IFERROR(INDEX('[12]CN BC'!$M$10:$M$276,MATCH(B194,'[12]CN BC'!$H$10:$H$276,0)),"")</f>
        <v>0</v>
      </c>
      <c r="AC194" s="523" t="s">
        <v>2239</v>
      </c>
      <c r="AD194" s="108"/>
      <c r="AE194" s="108"/>
      <c r="AF194" s="155"/>
      <c r="AG194" s="108"/>
      <c r="AH194" s="108"/>
      <c r="AI194" s="108"/>
      <c r="AJ194" s="108"/>
      <c r="AK194" s="108"/>
      <c r="AL194" s="108"/>
    </row>
    <row r="195" spans="1:42" s="108" customFormat="1" ht="26.25" customHeight="1">
      <c r="A195" s="379">
        <f>_xlfn.AGGREGATE(4,7,A$20:A194)+1</f>
        <v>175</v>
      </c>
      <c r="B195" s="33" t="s">
        <v>1886</v>
      </c>
      <c r="C195" s="34" t="s">
        <v>1032</v>
      </c>
      <c r="D195" s="406" t="s">
        <v>1758</v>
      </c>
      <c r="E195" s="424" t="s">
        <v>1363</v>
      </c>
      <c r="F195" s="10">
        <v>4.9800000000000004</v>
      </c>
      <c r="G195" s="157">
        <v>7.0000000000000007E-2</v>
      </c>
      <c r="H195" s="368">
        <f t="shared" si="40"/>
        <v>5.3286000000000007</v>
      </c>
      <c r="I195" s="81"/>
      <c r="J195" s="368" t="str">
        <f>VLOOKUP(B195,TH.T3!B201:J459,9,FALSE)</f>
        <v>Giảng viên khoa Cơ khí</v>
      </c>
      <c r="K195" s="369">
        <f t="shared" si="41"/>
        <v>5.3286000000000007</v>
      </c>
      <c r="L195" s="362">
        <f t="shared" si="42"/>
        <v>9591480.0000000019</v>
      </c>
      <c r="M195" s="366" t="str">
        <f>VLOOKUP(B195,'[11]Gui chi Quynh'!$B$11:$E$400,4,FALSE)</f>
        <v>A3</v>
      </c>
      <c r="N195" s="494">
        <f t="shared" si="30"/>
        <v>11509776.000000002</v>
      </c>
      <c r="O195" s="376">
        <v>19</v>
      </c>
      <c r="P195" s="440">
        <f>IFERROR(INDEX('[12]CN BC'!$J$10:$J$276,MATCH(B195,'[12]CN BC'!$H$10:$H$276,0)),"")</f>
        <v>20</v>
      </c>
      <c r="Q195" s="494">
        <f t="shared" si="38"/>
        <v>11509776.000000002</v>
      </c>
      <c r="R195" s="392"/>
      <c r="S195" s="362">
        <f t="shared" si="29"/>
        <v>0</v>
      </c>
      <c r="T195" s="385"/>
      <c r="U195" s="362">
        <f t="shared" si="39"/>
        <v>0</v>
      </c>
      <c r="V195" s="584">
        <f t="shared" si="33"/>
        <v>95915</v>
      </c>
      <c r="W195" s="371">
        <f t="shared" si="37"/>
        <v>11509776.000000002</v>
      </c>
      <c r="X195" s="935">
        <f t="shared" si="35"/>
        <v>6.3943200000000013</v>
      </c>
      <c r="Y195" s="934">
        <v>1800000</v>
      </c>
      <c r="Z195" s="931">
        <f t="shared" si="36"/>
        <v>11509776.000000002</v>
      </c>
      <c r="AA195" s="568">
        <f t="shared" si="34"/>
        <v>175</v>
      </c>
      <c r="AB195" s="493">
        <f>IFERROR(INDEX('[12]CN BC'!$M$10:$M$276,MATCH(B195,'[12]CN BC'!$H$10:$H$276,0)),"")</f>
        <v>0</v>
      </c>
      <c r="AC195" s="523" t="s">
        <v>2239</v>
      </c>
      <c r="AF195" s="155"/>
    </row>
    <row r="196" spans="1:42" s="372" customFormat="1" ht="31.5" customHeight="1">
      <c r="A196" s="379">
        <f>_xlfn.AGGREGATE(4,7,A$20:A195)+1</f>
        <v>176</v>
      </c>
      <c r="B196" s="363" t="s">
        <v>1887</v>
      </c>
      <c r="C196" s="364" t="s">
        <v>884</v>
      </c>
      <c r="D196" s="434" t="s">
        <v>1759</v>
      </c>
      <c r="E196" s="423" t="s">
        <v>1364</v>
      </c>
      <c r="F196" s="366">
        <v>4.9800000000000004</v>
      </c>
      <c r="G196" s="367">
        <v>7.0000000000000007E-2</v>
      </c>
      <c r="H196" s="368">
        <f t="shared" si="40"/>
        <v>5.3286000000000007</v>
      </c>
      <c r="I196" s="368"/>
      <c r="J196" s="368" t="str">
        <f>VLOOKUP(B196,TH.T3!B202:J460,9,FALSE)</f>
        <v>Giảng viên khoa Cơ khí</v>
      </c>
      <c r="K196" s="369">
        <f t="shared" si="41"/>
        <v>5.3286000000000007</v>
      </c>
      <c r="L196" s="362">
        <f t="shared" si="42"/>
        <v>9591480.0000000019</v>
      </c>
      <c r="M196" s="366" t="str">
        <f>VLOOKUP(B196,'[11]Gui chi Quynh'!$B$11:$E$400,4,FALSE)</f>
        <v>A1</v>
      </c>
      <c r="N196" s="494">
        <f t="shared" si="30"/>
        <v>15346368.000000004</v>
      </c>
      <c r="O196" s="376">
        <v>19</v>
      </c>
      <c r="P196" s="440">
        <f>IFERROR(INDEX('[12]CN BC'!$J$10:$J$276,MATCH(B196,'[12]CN BC'!$H$10:$H$276,0)),"")</f>
        <v>19</v>
      </c>
      <c r="Q196" s="494">
        <f t="shared" si="38"/>
        <v>15346368.000000004</v>
      </c>
      <c r="R196" s="392"/>
      <c r="S196" s="362">
        <f t="shared" si="29"/>
        <v>0</v>
      </c>
      <c r="T196" s="370"/>
      <c r="U196" s="362">
        <f t="shared" si="39"/>
        <v>0</v>
      </c>
      <c r="V196" s="584">
        <f t="shared" si="33"/>
        <v>95915</v>
      </c>
      <c r="W196" s="371">
        <f t="shared" si="37"/>
        <v>15346368.000000004</v>
      </c>
      <c r="X196" s="935">
        <f t="shared" si="35"/>
        <v>8.5257600000000018</v>
      </c>
      <c r="Y196" s="934">
        <v>1800000</v>
      </c>
      <c r="Z196" s="931">
        <f t="shared" si="36"/>
        <v>15346368.000000004</v>
      </c>
      <c r="AA196" s="568">
        <f t="shared" si="34"/>
        <v>176</v>
      </c>
      <c r="AB196" s="493">
        <f>IFERROR(INDEX('[12]CN BC'!$M$10:$M$276,MATCH(B196,'[12]CN BC'!$H$10:$H$276,0)),"")</f>
        <v>0</v>
      </c>
      <c r="AC196" s="523" t="s">
        <v>2239</v>
      </c>
      <c r="AD196" s="108"/>
      <c r="AE196" s="108"/>
      <c r="AF196" s="155"/>
      <c r="AG196" s="108"/>
      <c r="AH196" s="108"/>
      <c r="AI196" s="108"/>
      <c r="AJ196" s="108"/>
      <c r="AK196" s="108"/>
      <c r="AL196" s="108"/>
    </row>
    <row r="197" spans="1:42" s="372" customFormat="1" ht="25.5" customHeight="1">
      <c r="A197" s="379">
        <f>_xlfn.AGGREGATE(4,7,A$20:A196)+1</f>
        <v>177</v>
      </c>
      <c r="B197" s="363" t="s">
        <v>1888</v>
      </c>
      <c r="C197" s="364" t="s">
        <v>1043</v>
      </c>
      <c r="D197" s="434" t="s">
        <v>1760</v>
      </c>
      <c r="E197" s="423" t="s">
        <v>1369</v>
      </c>
      <c r="F197" s="366">
        <v>4.32</v>
      </c>
      <c r="G197" s="367"/>
      <c r="H197" s="368">
        <f t="shared" si="40"/>
        <v>4.32</v>
      </c>
      <c r="I197" s="368"/>
      <c r="J197" s="368" t="str">
        <f>VLOOKUP(B197,TH.T3!B203:J461,9,FALSE)</f>
        <v>Giảng viên khoa Cơ khí</v>
      </c>
      <c r="K197" s="369">
        <f t="shared" si="41"/>
        <v>4.32</v>
      </c>
      <c r="L197" s="362">
        <f t="shared" si="42"/>
        <v>7776000.0000000009</v>
      </c>
      <c r="M197" s="366" t="str">
        <f>VLOOKUP(B197,'[11]Gui chi Quynh'!$B$11:$E$400,4,FALSE)</f>
        <v>A2</v>
      </c>
      <c r="N197" s="494">
        <f t="shared" si="30"/>
        <v>10886400</v>
      </c>
      <c r="O197" s="376">
        <v>19</v>
      </c>
      <c r="P197" s="440">
        <f>IFERROR(INDEX('[12]CN BC'!$J$10:$J$276,MATCH(B197,'[12]CN BC'!$H$10:$H$276,0)),"")</f>
        <v>19</v>
      </c>
      <c r="Q197" s="494">
        <f t="shared" si="38"/>
        <v>10886400</v>
      </c>
      <c r="R197" s="460"/>
      <c r="S197" s="362">
        <f t="shared" si="29"/>
        <v>0</v>
      </c>
      <c r="T197" s="370"/>
      <c r="U197" s="362">
        <f t="shared" si="39"/>
        <v>0</v>
      </c>
      <c r="V197" s="584">
        <f t="shared" si="33"/>
        <v>77760</v>
      </c>
      <c r="W197" s="371">
        <f t="shared" si="37"/>
        <v>10886400</v>
      </c>
      <c r="X197" s="935">
        <f t="shared" si="35"/>
        <v>6.048</v>
      </c>
      <c r="Y197" s="934">
        <v>1800000</v>
      </c>
      <c r="Z197" s="931">
        <f t="shared" si="36"/>
        <v>10886400</v>
      </c>
      <c r="AA197" s="568">
        <f t="shared" si="34"/>
        <v>177</v>
      </c>
      <c r="AB197" s="493">
        <f>IFERROR(INDEX('[12]CN BC'!$M$10:$M$276,MATCH(B197,'[12]CN BC'!$H$10:$H$276,0)),"")</f>
        <v>0</v>
      </c>
      <c r="AC197" s="523" t="s">
        <v>2239</v>
      </c>
      <c r="AD197" s="108"/>
      <c r="AE197" s="108"/>
      <c r="AF197" s="155"/>
      <c r="AG197" s="108"/>
      <c r="AH197" s="108"/>
      <c r="AI197" s="108"/>
      <c r="AJ197" s="108"/>
      <c r="AK197" s="108"/>
      <c r="AL197" s="108"/>
    </row>
    <row r="198" spans="1:42" s="372" customFormat="1" ht="25.5" customHeight="1">
      <c r="A198" s="379">
        <f>_xlfn.AGGREGATE(4,7,A$20:A197)+1</f>
        <v>178</v>
      </c>
      <c r="B198" s="363" t="s">
        <v>1889</v>
      </c>
      <c r="C198" s="364" t="s">
        <v>1028</v>
      </c>
      <c r="D198" s="434" t="s">
        <v>1761</v>
      </c>
      <c r="E198" s="423" t="s">
        <v>42</v>
      </c>
      <c r="F198" s="366">
        <v>4.9800000000000004</v>
      </c>
      <c r="G198" s="367">
        <v>0.15</v>
      </c>
      <c r="H198" s="368">
        <f t="shared" si="40"/>
        <v>5.7270000000000003</v>
      </c>
      <c r="I198" s="368"/>
      <c r="J198" s="368" t="str">
        <f>VLOOKUP(B198,TH.T3!B204:J462,9,FALSE)</f>
        <v>Giảng viên khoa Cơ khí</v>
      </c>
      <c r="K198" s="369">
        <f t="shared" si="41"/>
        <v>5.7270000000000003</v>
      </c>
      <c r="L198" s="362">
        <f t="shared" si="42"/>
        <v>10308600</v>
      </c>
      <c r="M198" s="366" t="str">
        <f>VLOOKUP(B198,'[11]Gui chi Quynh'!$B$11:$E$400,4,FALSE)</f>
        <v>A4</v>
      </c>
      <c r="N198" s="494">
        <f t="shared" si="30"/>
        <v>10308600</v>
      </c>
      <c r="O198" s="376">
        <v>19</v>
      </c>
      <c r="P198" s="440">
        <f>IFERROR(INDEX('[12]CN BC'!$J$10:$J$276,MATCH(B198,'[12]CN BC'!$H$10:$H$276,0)),"")</f>
        <v>19</v>
      </c>
      <c r="Q198" s="494">
        <f t="shared" si="38"/>
        <v>10308600</v>
      </c>
      <c r="R198" s="460"/>
      <c r="S198" s="362">
        <f t="shared" si="29"/>
        <v>0</v>
      </c>
      <c r="T198" s="370"/>
      <c r="U198" s="362">
        <f t="shared" si="39"/>
        <v>0</v>
      </c>
      <c r="V198" s="584">
        <f t="shared" si="33"/>
        <v>103086</v>
      </c>
      <c r="W198" s="371">
        <f t="shared" si="37"/>
        <v>10308600</v>
      </c>
      <c r="X198" s="935">
        <f t="shared" si="35"/>
        <v>5.7270000000000003</v>
      </c>
      <c r="Y198" s="934">
        <v>1800000</v>
      </c>
      <c r="Z198" s="931">
        <f t="shared" si="36"/>
        <v>10308600</v>
      </c>
      <c r="AA198" s="568">
        <f t="shared" si="34"/>
        <v>178</v>
      </c>
      <c r="AB198" s="493">
        <f>IFERROR(INDEX('[12]CN BC'!$M$10:$M$276,MATCH(B198,'[12]CN BC'!$H$10:$H$276,0)),"")</f>
        <v>0</v>
      </c>
      <c r="AC198" s="523" t="s">
        <v>2239</v>
      </c>
      <c r="AD198" s="108"/>
      <c r="AE198" s="108"/>
      <c r="AF198" s="155"/>
      <c r="AG198" s="108"/>
      <c r="AH198" s="108"/>
      <c r="AI198" s="108"/>
      <c r="AJ198" s="108"/>
      <c r="AK198" s="108"/>
      <c r="AL198" s="108"/>
    </row>
    <row r="199" spans="1:42" s="372" customFormat="1" ht="25.5" customHeight="1">
      <c r="A199" s="379">
        <f>_xlfn.AGGREGATE(4,7,A$20:A198)+1</f>
        <v>179</v>
      </c>
      <c r="B199" s="363" t="s">
        <v>1890</v>
      </c>
      <c r="C199" s="364" t="s">
        <v>1039</v>
      </c>
      <c r="D199" s="434" t="s">
        <v>1762</v>
      </c>
      <c r="E199" s="423" t="s">
        <v>1367</v>
      </c>
      <c r="F199" s="366">
        <v>4.6500000000000004</v>
      </c>
      <c r="G199" s="367"/>
      <c r="H199" s="368">
        <f t="shared" si="40"/>
        <v>4.6500000000000004</v>
      </c>
      <c r="I199" s="368">
        <f>0.25</f>
        <v>0.25</v>
      </c>
      <c r="J199" s="368" t="str">
        <f>VLOOKUP(B199,TH.T3!B205:J463,9,FALSE)</f>
        <v>Giảng viên khoa Cơ khí</v>
      </c>
      <c r="K199" s="369">
        <f t="shared" si="41"/>
        <v>4.9000000000000004</v>
      </c>
      <c r="L199" s="362">
        <f t="shared" si="42"/>
        <v>8820000</v>
      </c>
      <c r="M199" s="366" t="str">
        <f>VLOOKUP(B199,'[11]Gui chi Quynh'!$B$11:$E$400,4,FALSE)</f>
        <v>A1</v>
      </c>
      <c r="N199" s="494">
        <f t="shared" si="30"/>
        <v>14112000</v>
      </c>
      <c r="O199" s="376">
        <v>19</v>
      </c>
      <c r="P199" s="440">
        <f>IFERROR(INDEX('[12]CN BC'!$J$10:$J$276,MATCH(B199,'[12]CN BC'!$H$10:$H$276,0)),"")</f>
        <v>19</v>
      </c>
      <c r="Q199" s="494">
        <f t="shared" si="38"/>
        <v>14112000</v>
      </c>
      <c r="R199" s="460"/>
      <c r="S199" s="362">
        <f t="shared" si="29"/>
        <v>0</v>
      </c>
      <c r="T199" s="370"/>
      <c r="U199" s="362">
        <f t="shared" si="39"/>
        <v>0</v>
      </c>
      <c r="V199" s="584">
        <f t="shared" si="33"/>
        <v>88200</v>
      </c>
      <c r="W199" s="371">
        <f t="shared" si="37"/>
        <v>14112000</v>
      </c>
      <c r="X199" s="935">
        <f t="shared" si="35"/>
        <v>7.84</v>
      </c>
      <c r="Y199" s="934">
        <v>1800000</v>
      </c>
      <c r="Z199" s="931">
        <f t="shared" si="36"/>
        <v>14112000</v>
      </c>
      <c r="AA199" s="568">
        <f t="shared" si="34"/>
        <v>179</v>
      </c>
      <c r="AB199" s="493">
        <f>IFERROR(INDEX('[12]CN BC'!$M$10:$M$276,MATCH(B199,'[12]CN BC'!$H$10:$H$276,0)),"")</f>
        <v>0</v>
      </c>
      <c r="AC199" s="523" t="s">
        <v>2239</v>
      </c>
      <c r="AD199" s="108"/>
      <c r="AE199" s="108"/>
      <c r="AF199" s="155"/>
      <c r="AG199" s="108"/>
      <c r="AH199" s="108"/>
      <c r="AI199" s="108"/>
      <c r="AJ199" s="108"/>
      <c r="AK199" s="108"/>
      <c r="AL199" s="108"/>
    </row>
    <row r="200" spans="1:42" s="372" customFormat="1" ht="25.5" customHeight="1">
      <c r="A200" s="379">
        <f>_xlfn.AGGREGATE(4,7,A$20:A199)+1</f>
        <v>180</v>
      </c>
      <c r="B200" s="363" t="s">
        <v>1891</v>
      </c>
      <c r="C200" s="364" t="s">
        <v>1000</v>
      </c>
      <c r="D200" s="434" t="s">
        <v>1763</v>
      </c>
      <c r="E200" s="423" t="s">
        <v>1377</v>
      </c>
      <c r="F200" s="366">
        <v>4.9800000000000004</v>
      </c>
      <c r="G200" s="367">
        <v>0.06</v>
      </c>
      <c r="H200" s="368">
        <f t="shared" si="40"/>
        <v>5.2788000000000004</v>
      </c>
      <c r="I200" s="368">
        <v>0.25</v>
      </c>
      <c r="J200" s="368" t="str">
        <f>VLOOKUP(B200,TH.T3!B206:J464,9,FALSE)</f>
        <v>Giảng viên khoa Cơ khí</v>
      </c>
      <c r="K200" s="369">
        <f t="shared" si="41"/>
        <v>5.5288000000000004</v>
      </c>
      <c r="L200" s="362">
        <f t="shared" si="42"/>
        <v>9951840</v>
      </c>
      <c r="M200" s="366" t="str">
        <f>VLOOKUP(B200,'[11]Gui chi Quynh'!$B$11:$E$400,4,FALSE)</f>
        <v>A1</v>
      </c>
      <c r="N200" s="494">
        <f t="shared" si="30"/>
        <v>15922944</v>
      </c>
      <c r="O200" s="376">
        <v>19</v>
      </c>
      <c r="P200" s="440">
        <f>IFERROR(INDEX('[12]CN BC'!$J$10:$J$276,MATCH(B200,'[12]CN BC'!$H$10:$H$276,0)),"")</f>
        <v>19</v>
      </c>
      <c r="Q200" s="494">
        <f t="shared" si="38"/>
        <v>15922944</v>
      </c>
      <c r="R200" s="392"/>
      <c r="S200" s="362">
        <f t="shared" si="29"/>
        <v>0</v>
      </c>
      <c r="T200" s="370"/>
      <c r="U200" s="362">
        <f t="shared" si="39"/>
        <v>0</v>
      </c>
      <c r="V200" s="584">
        <f t="shared" si="33"/>
        <v>99518</v>
      </c>
      <c r="W200" s="371">
        <f t="shared" si="37"/>
        <v>15922944</v>
      </c>
      <c r="X200" s="935">
        <f t="shared" si="35"/>
        <v>8.8460800000000006</v>
      </c>
      <c r="Y200" s="934">
        <v>1800000</v>
      </c>
      <c r="Z200" s="931">
        <f t="shared" si="36"/>
        <v>15922944.000000002</v>
      </c>
      <c r="AA200" s="568">
        <f t="shared" si="34"/>
        <v>180</v>
      </c>
      <c r="AB200" s="493">
        <f>IFERROR(INDEX('[12]CN BC'!$M$10:$M$276,MATCH(B200,'[12]CN BC'!$H$10:$H$276,0)),"")</f>
        <v>0</v>
      </c>
      <c r="AC200" s="523" t="s">
        <v>2239</v>
      </c>
      <c r="AD200" s="108"/>
      <c r="AE200" s="108"/>
      <c r="AF200" s="155"/>
      <c r="AG200" s="108"/>
      <c r="AH200" s="108"/>
      <c r="AI200" s="108"/>
      <c r="AJ200" s="108"/>
      <c r="AK200" s="108"/>
      <c r="AL200" s="108"/>
    </row>
    <row r="201" spans="1:42" s="372" customFormat="1" ht="25.5" customHeight="1">
      <c r="A201" s="379">
        <f>_xlfn.AGGREGATE(4,7,A$20:A200)+1</f>
        <v>181</v>
      </c>
      <c r="B201" s="363" t="s">
        <v>1525</v>
      </c>
      <c r="C201" s="364" t="s">
        <v>1009</v>
      </c>
      <c r="D201" s="434" t="s">
        <v>1764</v>
      </c>
      <c r="E201" s="423" t="s">
        <v>1372</v>
      </c>
      <c r="F201" s="373">
        <v>3.99</v>
      </c>
      <c r="G201" s="367"/>
      <c r="H201" s="368">
        <f t="shared" si="40"/>
        <v>3.99</v>
      </c>
      <c r="I201" s="368"/>
      <c r="J201" s="368" t="str">
        <f>VLOOKUP(B201,TH.T3!B207:J465,9,FALSE)</f>
        <v>Giảng viên khoa Cơ khí</v>
      </c>
      <c r="K201" s="369">
        <f t="shared" si="41"/>
        <v>3.99</v>
      </c>
      <c r="L201" s="362">
        <f t="shared" si="42"/>
        <v>7182000</v>
      </c>
      <c r="M201" s="366" t="str">
        <f>VLOOKUP(B201,'[11]Gui chi Quynh'!$B$11:$E$400,4,FALSE)</f>
        <v>A4</v>
      </c>
      <c r="N201" s="494">
        <f t="shared" si="30"/>
        <v>7182000</v>
      </c>
      <c r="O201" s="376">
        <v>19</v>
      </c>
      <c r="P201" s="440">
        <f>IFERROR(INDEX('[12]CN BC'!$J$10:$J$276,MATCH(B201,'[12]CN BC'!$H$10:$H$276,0)),"")</f>
        <v>19</v>
      </c>
      <c r="Q201" s="494">
        <f t="shared" si="38"/>
        <v>7182000</v>
      </c>
      <c r="R201" s="460"/>
      <c r="S201" s="362">
        <f t="shared" si="29"/>
        <v>0</v>
      </c>
      <c r="T201" s="370"/>
      <c r="U201" s="362">
        <f t="shared" si="39"/>
        <v>0</v>
      </c>
      <c r="V201" s="584">
        <f t="shared" si="33"/>
        <v>71820</v>
      </c>
      <c r="W201" s="371">
        <f t="shared" si="37"/>
        <v>7182000</v>
      </c>
      <c r="X201" s="935">
        <f t="shared" si="35"/>
        <v>3.99</v>
      </c>
      <c r="Y201" s="934">
        <v>1800000</v>
      </c>
      <c r="Z201" s="931">
        <f t="shared" si="36"/>
        <v>7182000</v>
      </c>
      <c r="AA201" s="568">
        <f t="shared" si="34"/>
        <v>181</v>
      </c>
      <c r="AB201" s="493">
        <f>IFERROR(INDEX('[12]CN BC'!$M$10:$M$276,MATCH(B201,'[12]CN BC'!$H$10:$H$276,0)),"")</f>
        <v>0</v>
      </c>
      <c r="AC201" s="523" t="s">
        <v>2239</v>
      </c>
      <c r="AD201" s="471"/>
      <c r="AE201" s="108"/>
      <c r="AF201" s="155"/>
      <c r="AG201" s="108"/>
      <c r="AH201" s="108"/>
      <c r="AI201" s="108"/>
      <c r="AJ201" s="108"/>
      <c r="AK201" s="108"/>
      <c r="AL201" s="108"/>
    </row>
    <row r="202" spans="1:42" s="372" customFormat="1" ht="25.5" customHeight="1">
      <c r="A202" s="379">
        <f>_xlfn.AGGREGATE(4,7,A$20:A201)+1</f>
        <v>182</v>
      </c>
      <c r="B202" s="363" t="s">
        <v>1892</v>
      </c>
      <c r="C202" s="364" t="s">
        <v>920</v>
      </c>
      <c r="D202" s="406" t="s">
        <v>1765</v>
      </c>
      <c r="E202" s="423" t="s">
        <v>1374</v>
      </c>
      <c r="F202" s="366">
        <v>4.9800000000000004</v>
      </c>
      <c r="G202" s="367">
        <v>0.05</v>
      </c>
      <c r="H202" s="368">
        <f t="shared" si="40"/>
        <v>5.2290000000000001</v>
      </c>
      <c r="I202" s="368"/>
      <c r="J202" s="368" t="str">
        <f>VLOOKUP(B202,TH.T3!B208:J466,9,FALSE)</f>
        <v>Giảng viên khoa Cơ khí</v>
      </c>
      <c r="K202" s="369">
        <f t="shared" si="41"/>
        <v>5.2290000000000001</v>
      </c>
      <c r="L202" s="362">
        <f t="shared" si="42"/>
        <v>9412200</v>
      </c>
      <c r="M202" s="366" t="str">
        <f>VLOOKUP(B202,'[11]Gui chi Quynh'!$B$11:$E$400,4,FALSE)</f>
        <v>A2</v>
      </c>
      <c r="N202" s="494">
        <f t="shared" si="30"/>
        <v>13177080</v>
      </c>
      <c r="O202" s="376">
        <v>19</v>
      </c>
      <c r="P202" s="440">
        <f>IFERROR(INDEX('[12]CN BC'!$J$10:$J$276,MATCH(B202,'[12]CN BC'!$H$10:$H$276,0)),"")</f>
        <v>19</v>
      </c>
      <c r="Q202" s="494">
        <f t="shared" si="38"/>
        <v>13177080</v>
      </c>
      <c r="R202" s="392"/>
      <c r="S202" s="362">
        <f t="shared" si="29"/>
        <v>0</v>
      </c>
      <c r="T202" s="370"/>
      <c r="U202" s="362">
        <f t="shared" si="39"/>
        <v>0</v>
      </c>
      <c r="V202" s="584">
        <f t="shared" si="33"/>
        <v>94122</v>
      </c>
      <c r="W202" s="371">
        <f t="shared" si="37"/>
        <v>13177080</v>
      </c>
      <c r="X202" s="935">
        <f t="shared" si="35"/>
        <v>7.3205999999999998</v>
      </c>
      <c r="Y202" s="934">
        <v>1800000</v>
      </c>
      <c r="Z202" s="931">
        <f t="shared" si="36"/>
        <v>13177080</v>
      </c>
      <c r="AA202" s="568">
        <f t="shared" si="34"/>
        <v>182</v>
      </c>
      <c r="AB202" s="493">
        <f>IFERROR(INDEX('[12]CN BC'!$M$10:$M$276,MATCH(B202,'[12]CN BC'!$H$10:$H$276,0)),"")</f>
        <v>0</v>
      </c>
      <c r="AC202" s="523" t="s">
        <v>2239</v>
      </c>
      <c r="AD202" s="108"/>
      <c r="AE202" s="108"/>
      <c r="AF202" s="155"/>
      <c r="AG202" s="108"/>
      <c r="AH202" s="108"/>
      <c r="AI202" s="108"/>
      <c r="AJ202" s="108"/>
      <c r="AK202" s="108"/>
      <c r="AL202" s="108"/>
      <c r="AM202" s="108"/>
      <c r="AN202" s="108"/>
      <c r="AO202" s="108"/>
      <c r="AP202" s="108"/>
    </row>
    <row r="203" spans="1:42" s="372" customFormat="1" ht="25.5" customHeight="1">
      <c r="A203" s="379">
        <f>_xlfn.AGGREGATE(4,7,A$20:A202)+1</f>
        <v>183</v>
      </c>
      <c r="B203" s="363" t="s">
        <v>1526</v>
      </c>
      <c r="C203" s="364" t="s">
        <v>1214</v>
      </c>
      <c r="D203" s="434" t="s">
        <v>1766</v>
      </c>
      <c r="E203" s="194" t="s">
        <v>1939</v>
      </c>
      <c r="F203" s="373">
        <v>3.66</v>
      </c>
      <c r="G203" s="367"/>
      <c r="H203" s="368">
        <f t="shared" si="40"/>
        <v>3.66</v>
      </c>
      <c r="I203" s="368">
        <v>0.35</v>
      </c>
      <c r="J203" s="368" t="str">
        <f>VLOOKUP(B203,TH.T3!B209:J467,9,FALSE)</f>
        <v>Phó Trưởng khoa Cơ khí</v>
      </c>
      <c r="K203" s="369">
        <f t="shared" si="41"/>
        <v>4.01</v>
      </c>
      <c r="L203" s="362">
        <f t="shared" si="42"/>
        <v>7218000</v>
      </c>
      <c r="M203" s="366" t="str">
        <f>VLOOKUP(B203,'[11]Gui chi Quynh'!$B$11:$E$400,4,FALSE)</f>
        <v>A2</v>
      </c>
      <c r="N203" s="494">
        <f t="shared" si="30"/>
        <v>10105200</v>
      </c>
      <c r="O203" s="376">
        <v>19</v>
      </c>
      <c r="P203" s="440">
        <f>IFERROR(INDEX('[12]CN BC'!$J$10:$J$276,MATCH(B203,'[12]CN BC'!$H$10:$H$276,0)),"")</f>
        <v>19</v>
      </c>
      <c r="Q203" s="494">
        <f t="shared" si="38"/>
        <v>10105200</v>
      </c>
      <c r="R203" s="460"/>
      <c r="S203" s="362">
        <f t="shared" si="29"/>
        <v>0</v>
      </c>
      <c r="T203" s="370"/>
      <c r="U203" s="362">
        <f t="shared" si="39"/>
        <v>0</v>
      </c>
      <c r="V203" s="584">
        <f t="shared" si="33"/>
        <v>72180</v>
      </c>
      <c r="W203" s="371">
        <f t="shared" si="37"/>
        <v>10105200</v>
      </c>
      <c r="X203" s="935">
        <f t="shared" si="35"/>
        <v>5.6139999999999999</v>
      </c>
      <c r="Y203" s="934">
        <v>1800000</v>
      </c>
      <c r="Z203" s="931">
        <f t="shared" si="36"/>
        <v>10105200</v>
      </c>
      <c r="AA203" s="568">
        <f t="shared" si="34"/>
        <v>183</v>
      </c>
      <c r="AB203" s="493">
        <f>IFERROR(INDEX('[12]CN BC'!$M$10:$M$276,MATCH(B203,'[12]CN BC'!$H$10:$H$276,0)),"")</f>
        <v>0</v>
      </c>
      <c r="AC203" s="523" t="s">
        <v>2239</v>
      </c>
      <c r="AD203" s="108"/>
      <c r="AE203" s="108"/>
      <c r="AF203" s="155"/>
      <c r="AG203" s="108"/>
      <c r="AH203" s="108"/>
      <c r="AI203" s="108"/>
      <c r="AJ203" s="108"/>
      <c r="AK203" s="108"/>
      <c r="AL203" s="108"/>
    </row>
    <row r="204" spans="1:42" s="372" customFormat="1" ht="26.25" customHeight="1">
      <c r="A204" s="379">
        <f>_xlfn.AGGREGATE(4,7,A$20:A203)+1</f>
        <v>184</v>
      </c>
      <c r="B204" s="363" t="s">
        <v>1527</v>
      </c>
      <c r="C204" s="364" t="s">
        <v>1009</v>
      </c>
      <c r="D204" s="434" t="s">
        <v>1767</v>
      </c>
      <c r="E204" s="423" t="s">
        <v>1379</v>
      </c>
      <c r="F204" s="373">
        <v>3.66</v>
      </c>
      <c r="G204" s="367"/>
      <c r="H204" s="368">
        <f t="shared" si="40"/>
        <v>3.66</v>
      </c>
      <c r="I204" s="368"/>
      <c r="J204" s="368" t="str">
        <f>VLOOKUP(B204,TH.T3!B210:J468,9,FALSE)</f>
        <v>Giảng viên khoa Cơ khí</v>
      </c>
      <c r="K204" s="369">
        <f t="shared" si="41"/>
        <v>3.66</v>
      </c>
      <c r="L204" s="362">
        <f t="shared" si="42"/>
        <v>6588000</v>
      </c>
      <c r="M204" s="366" t="str">
        <f>VLOOKUP(B204,'[11]Gui chi Quynh'!$B$11:$E$400,4,FALSE)</f>
        <v>A1</v>
      </c>
      <c r="N204" s="494">
        <f t="shared" si="30"/>
        <v>10540800</v>
      </c>
      <c r="O204" s="376">
        <v>19</v>
      </c>
      <c r="P204" s="440">
        <f>IFERROR(INDEX('[12]CN BC'!$J$10:$J$276,MATCH(B204,'[12]CN BC'!$H$10:$H$276,0)),"")</f>
        <v>19</v>
      </c>
      <c r="Q204" s="494">
        <f t="shared" si="38"/>
        <v>10540800</v>
      </c>
      <c r="R204" s="460"/>
      <c r="S204" s="362">
        <f t="shared" si="29"/>
        <v>0</v>
      </c>
      <c r="T204" s="370"/>
      <c r="U204" s="362">
        <f t="shared" si="39"/>
        <v>0</v>
      </c>
      <c r="V204" s="584">
        <f t="shared" si="33"/>
        <v>65880</v>
      </c>
      <c r="W204" s="371">
        <f t="shared" si="37"/>
        <v>10540800</v>
      </c>
      <c r="X204" s="935">
        <f t="shared" si="35"/>
        <v>5.8559999999999999</v>
      </c>
      <c r="Y204" s="934">
        <v>1800000</v>
      </c>
      <c r="Z204" s="931">
        <f t="shared" si="36"/>
        <v>10540800</v>
      </c>
      <c r="AA204" s="568">
        <f t="shared" si="34"/>
        <v>184</v>
      </c>
      <c r="AB204" s="493">
        <f>IFERROR(INDEX('[12]CN BC'!$M$10:$M$276,MATCH(B204,'[12]CN BC'!$H$10:$H$276,0)),"")</f>
        <v>0</v>
      </c>
      <c r="AC204" s="523" t="s">
        <v>2239</v>
      </c>
      <c r="AD204" s="108"/>
      <c r="AE204" s="108"/>
      <c r="AF204" s="487"/>
    </row>
    <row r="205" spans="1:42" s="372" customFormat="1" ht="27.75" customHeight="1">
      <c r="A205" s="379">
        <f>_xlfn.AGGREGATE(4,7,A$20:A204)+1</f>
        <v>185</v>
      </c>
      <c r="B205" s="363" t="s">
        <v>1893</v>
      </c>
      <c r="C205" s="364" t="s">
        <v>891</v>
      </c>
      <c r="D205" s="434" t="s">
        <v>1768</v>
      </c>
      <c r="E205" s="423" t="s">
        <v>387</v>
      </c>
      <c r="F205" s="373">
        <v>3.66</v>
      </c>
      <c r="G205" s="367"/>
      <c r="H205" s="368">
        <f t="shared" si="40"/>
        <v>3.66</v>
      </c>
      <c r="I205" s="368"/>
      <c r="J205" s="368" t="str">
        <f>VLOOKUP(B205,TH.T3!B211:J469,9,FALSE)</f>
        <v>Giảng viên khoa Cơ khí</v>
      </c>
      <c r="K205" s="369">
        <f t="shared" si="41"/>
        <v>3.66</v>
      </c>
      <c r="L205" s="362">
        <f t="shared" si="42"/>
        <v>6588000</v>
      </c>
      <c r="M205" s="366" t="str">
        <f>VLOOKUP(B205,'[11]Gui chi Quynh'!$B$11:$E$400,4,FALSE)</f>
        <v>A2</v>
      </c>
      <c r="N205" s="494">
        <f t="shared" si="30"/>
        <v>9223200</v>
      </c>
      <c r="O205" s="376">
        <v>19</v>
      </c>
      <c r="P205" s="440">
        <f>IFERROR(INDEX('[12]CN BC'!$J$10:$J$276,MATCH(B205,'[12]CN BC'!$H$10:$H$276,0)),"")</f>
        <v>20</v>
      </c>
      <c r="Q205" s="494">
        <f t="shared" si="38"/>
        <v>9223200</v>
      </c>
      <c r="R205" s="392"/>
      <c r="S205" s="362">
        <f t="shared" si="29"/>
        <v>0</v>
      </c>
      <c r="T205" s="370"/>
      <c r="U205" s="362">
        <f t="shared" si="39"/>
        <v>0</v>
      </c>
      <c r="V205" s="584">
        <f t="shared" si="33"/>
        <v>65880</v>
      </c>
      <c r="W205" s="371">
        <f t="shared" si="37"/>
        <v>9223200</v>
      </c>
      <c r="X205" s="935">
        <f t="shared" si="35"/>
        <v>5.1239999999999997</v>
      </c>
      <c r="Y205" s="934">
        <v>1800000</v>
      </c>
      <c r="Z205" s="931">
        <f t="shared" si="36"/>
        <v>9223200</v>
      </c>
      <c r="AA205" s="568">
        <f t="shared" si="34"/>
        <v>185</v>
      </c>
      <c r="AB205" s="493">
        <f>IFERROR(INDEX('[12]CN BC'!$M$10:$M$276,MATCH(B205,'[12]CN BC'!$H$10:$H$276,0)),"")</f>
        <v>0</v>
      </c>
      <c r="AC205" s="523" t="s">
        <v>2239</v>
      </c>
      <c r="AD205" s="108"/>
      <c r="AE205" s="108"/>
      <c r="AF205" s="155"/>
      <c r="AG205" s="108"/>
      <c r="AH205" s="108"/>
      <c r="AI205" s="108"/>
      <c r="AJ205" s="108"/>
      <c r="AK205" s="108"/>
      <c r="AL205" s="108"/>
    </row>
    <row r="206" spans="1:42" s="372" customFormat="1" ht="27.75" customHeight="1">
      <c r="A206" s="379">
        <f>_xlfn.AGGREGATE(4,7,A$20:A205)+1</f>
        <v>186</v>
      </c>
      <c r="B206" s="363" t="s">
        <v>1894</v>
      </c>
      <c r="C206" s="364" t="s">
        <v>880</v>
      </c>
      <c r="D206" s="434" t="s">
        <v>1769</v>
      </c>
      <c r="E206" s="423" t="s">
        <v>388</v>
      </c>
      <c r="F206" s="373">
        <v>3.66</v>
      </c>
      <c r="G206" s="367"/>
      <c r="H206" s="368">
        <f t="shared" si="40"/>
        <v>3.66</v>
      </c>
      <c r="I206" s="368"/>
      <c r="J206" s="368" t="str">
        <f>VLOOKUP(B206,TH.T3!B212:J470,9,FALSE)</f>
        <v>Giảng viên khoa Cơ khí</v>
      </c>
      <c r="K206" s="369">
        <f t="shared" si="41"/>
        <v>3.66</v>
      </c>
      <c r="L206" s="362">
        <f t="shared" si="42"/>
        <v>6588000</v>
      </c>
      <c r="M206" s="366" t="str">
        <f>VLOOKUP(B206,'[11]Gui chi Quynh'!$B$11:$E$400,4,FALSE)</f>
        <v>A4</v>
      </c>
      <c r="N206" s="494">
        <f t="shared" si="30"/>
        <v>6588000</v>
      </c>
      <c r="O206" s="376">
        <v>19</v>
      </c>
      <c r="P206" s="440">
        <f>IFERROR(INDEX('[12]CN BC'!$J$10:$J$276,MATCH(B206,'[12]CN BC'!$H$10:$H$276,0)),"")</f>
        <v>20</v>
      </c>
      <c r="Q206" s="494">
        <f t="shared" si="38"/>
        <v>6588000</v>
      </c>
      <c r="R206" s="460"/>
      <c r="S206" s="362">
        <f t="shared" ref="S206:S270" si="43">R206*$G$17*1</f>
        <v>0</v>
      </c>
      <c r="T206" s="370"/>
      <c r="U206" s="362">
        <f t="shared" si="39"/>
        <v>0</v>
      </c>
      <c r="V206" s="584">
        <f t="shared" si="33"/>
        <v>65880</v>
      </c>
      <c r="W206" s="371">
        <f t="shared" si="37"/>
        <v>6588000</v>
      </c>
      <c r="X206" s="935">
        <f t="shared" si="35"/>
        <v>3.66</v>
      </c>
      <c r="Y206" s="934">
        <v>1800000</v>
      </c>
      <c r="Z206" s="931">
        <f t="shared" si="36"/>
        <v>6588000</v>
      </c>
      <c r="AA206" s="568">
        <f t="shared" si="34"/>
        <v>186</v>
      </c>
      <c r="AB206" s="493">
        <f>IFERROR(INDEX('[12]CN BC'!$M$10:$M$276,MATCH(B206,'[12]CN BC'!$H$10:$H$276,0)),"")</f>
        <v>0</v>
      </c>
      <c r="AC206" s="523" t="s">
        <v>2239</v>
      </c>
      <c r="AD206" s="108"/>
      <c r="AE206" s="108"/>
      <c r="AF206" s="155"/>
      <c r="AG206" s="108"/>
      <c r="AH206" s="108"/>
      <c r="AI206" s="108"/>
      <c r="AJ206" s="108"/>
      <c r="AK206" s="108"/>
      <c r="AL206" s="108"/>
    </row>
    <row r="207" spans="1:42" s="372" customFormat="1" ht="32.25" customHeight="1">
      <c r="A207" s="379">
        <f>_xlfn.AGGREGATE(4,7,A$20:A206)+1</f>
        <v>187</v>
      </c>
      <c r="B207" s="363" t="s">
        <v>2023</v>
      </c>
      <c r="C207" s="592" t="s">
        <v>364</v>
      </c>
      <c r="D207" s="434" t="s">
        <v>1770</v>
      </c>
      <c r="E207" s="423" t="s">
        <v>386</v>
      </c>
      <c r="F207" s="373">
        <v>3.66</v>
      </c>
      <c r="G207" s="367"/>
      <c r="H207" s="368">
        <f t="shared" si="40"/>
        <v>3.66</v>
      </c>
      <c r="I207" s="368"/>
      <c r="J207" s="368" t="str">
        <f>VLOOKUP(B207,TH.T3!B213:J471,9,FALSE)</f>
        <v>Giảng viên khoa Cơ khí</v>
      </c>
      <c r="K207" s="369">
        <f t="shared" si="41"/>
        <v>3.66</v>
      </c>
      <c r="L207" s="362">
        <f t="shared" si="42"/>
        <v>6588000</v>
      </c>
      <c r="M207" s="366" t="str">
        <f>VLOOKUP(B207,'[11]Gui chi Quynh'!$B$11:$E$400,4,FALSE)</f>
        <v>A4</v>
      </c>
      <c r="N207" s="494">
        <f t="shared" si="30"/>
        <v>6588000</v>
      </c>
      <c r="O207" s="376">
        <v>19</v>
      </c>
      <c r="P207" s="440">
        <f>IFERROR(INDEX('[12]CN BC'!$J$10:$J$276,MATCH(B207,'[12]CN BC'!$H$10:$H$276,0)),"")</f>
        <v>20</v>
      </c>
      <c r="Q207" s="494">
        <f t="shared" si="38"/>
        <v>6588000</v>
      </c>
      <c r="R207" s="460"/>
      <c r="S207" s="362">
        <f t="shared" si="43"/>
        <v>0</v>
      </c>
      <c r="T207" s="370"/>
      <c r="U207" s="362">
        <f t="shared" si="39"/>
        <v>0</v>
      </c>
      <c r="V207" s="362">
        <f t="shared" si="33"/>
        <v>65880</v>
      </c>
      <c r="W207" s="371">
        <f t="shared" si="37"/>
        <v>6588000</v>
      </c>
      <c r="X207" s="935">
        <f t="shared" si="35"/>
        <v>3.66</v>
      </c>
      <c r="Y207" s="934">
        <v>1800000</v>
      </c>
      <c r="Z207" s="931">
        <f t="shared" si="36"/>
        <v>6588000</v>
      </c>
      <c r="AA207" s="568">
        <f t="shared" si="34"/>
        <v>187</v>
      </c>
      <c r="AB207" s="493">
        <f>IFERROR(INDEX('[12]CN BC'!$M$10:$M$276,MATCH(B207,'[12]CN BC'!$H$10:$H$276,0)),"")</f>
        <v>0</v>
      </c>
      <c r="AC207" s="523" t="s">
        <v>2239</v>
      </c>
      <c r="AF207" s="487"/>
    </row>
    <row r="208" spans="1:42" s="372" customFormat="1" ht="27.75" customHeight="1">
      <c r="A208" s="379">
        <f>_xlfn.AGGREGATE(4,7,A$20:A207)+1</f>
        <v>188</v>
      </c>
      <c r="B208" s="363" t="s">
        <v>1528</v>
      </c>
      <c r="C208" s="364" t="s">
        <v>455</v>
      </c>
      <c r="D208" s="406" t="s">
        <v>1771</v>
      </c>
      <c r="E208" s="423" t="s">
        <v>456</v>
      </c>
      <c r="F208" s="373">
        <v>3.66</v>
      </c>
      <c r="G208" s="367"/>
      <c r="H208" s="445">
        <f t="shared" si="40"/>
        <v>3.66</v>
      </c>
      <c r="I208" s="368"/>
      <c r="J208" s="368" t="str">
        <f>VLOOKUP(B208,TH.T3!B214:J472,9,FALSE)</f>
        <v>Giảng viên khoa Cơ khí</v>
      </c>
      <c r="K208" s="369">
        <f t="shared" si="41"/>
        <v>3.66</v>
      </c>
      <c r="L208" s="362">
        <f t="shared" si="42"/>
        <v>6588000</v>
      </c>
      <c r="M208" s="366" t="str">
        <f>VLOOKUP(B208,'[11]Gui chi Quynh'!$B$11:$E$400,4,FALSE)</f>
        <v>A4</v>
      </c>
      <c r="N208" s="494">
        <f t="shared" si="30"/>
        <v>6588000</v>
      </c>
      <c r="O208" s="376">
        <v>19</v>
      </c>
      <c r="P208" s="440">
        <f>IFERROR(INDEX('[12]CN BC'!$J$10:$J$276,MATCH(B208,'[12]CN BC'!$H$10:$H$276,0)),"")</f>
        <v>20</v>
      </c>
      <c r="Q208" s="494">
        <f t="shared" si="38"/>
        <v>6588000</v>
      </c>
      <c r="R208" s="392"/>
      <c r="S208" s="362">
        <f t="shared" si="43"/>
        <v>0</v>
      </c>
      <c r="T208" s="370"/>
      <c r="U208" s="362">
        <f t="shared" si="39"/>
        <v>0</v>
      </c>
      <c r="V208" s="584">
        <f t="shared" si="33"/>
        <v>65880</v>
      </c>
      <c r="W208" s="371">
        <f t="shared" si="37"/>
        <v>6588000</v>
      </c>
      <c r="X208" s="935">
        <f t="shared" si="35"/>
        <v>3.66</v>
      </c>
      <c r="Y208" s="934">
        <v>1800000</v>
      </c>
      <c r="Z208" s="931">
        <f t="shared" si="36"/>
        <v>6588000</v>
      </c>
      <c r="AA208" s="568">
        <f t="shared" si="34"/>
        <v>188</v>
      </c>
      <c r="AB208" s="493">
        <f>IFERROR(INDEX('[12]CN BC'!$M$10:$M$276,MATCH(B208,'[12]CN BC'!$H$10:$H$276,0)),"")</f>
        <v>0</v>
      </c>
      <c r="AC208" s="523" t="s">
        <v>2239</v>
      </c>
      <c r="AD208" s="108"/>
      <c r="AE208" s="108"/>
      <c r="AF208" s="155"/>
      <c r="AG208" s="108"/>
      <c r="AH208" s="108"/>
      <c r="AI208" s="108"/>
      <c r="AJ208" s="108"/>
      <c r="AK208" s="108"/>
      <c r="AL208" s="108"/>
      <c r="AM208" s="108"/>
      <c r="AN208" s="108"/>
      <c r="AO208" s="108"/>
      <c r="AP208" s="108"/>
    </row>
    <row r="209" spans="1:42" s="372" customFormat="1" ht="32.25" customHeight="1">
      <c r="A209" s="379">
        <f>_xlfn.AGGREGATE(4,7,A$20:A208)+1</f>
        <v>189</v>
      </c>
      <c r="B209" s="363" t="s">
        <v>1529</v>
      </c>
      <c r="C209" s="364" t="s">
        <v>876</v>
      </c>
      <c r="D209" s="406" t="s">
        <v>1772</v>
      </c>
      <c r="E209" s="423" t="s">
        <v>743</v>
      </c>
      <c r="F209" s="373">
        <v>3.33</v>
      </c>
      <c r="G209" s="367"/>
      <c r="H209" s="445">
        <f t="shared" si="40"/>
        <v>3.33</v>
      </c>
      <c r="I209" s="368">
        <v>0.25</v>
      </c>
      <c r="J209" s="368" t="str">
        <f>VLOOKUP(B209,TH.T3!B215:J473,9,FALSE)</f>
        <v>Giảng viên - Trưởng BM khoa Cơ khí</v>
      </c>
      <c r="K209" s="369">
        <f t="shared" si="41"/>
        <v>3.58</v>
      </c>
      <c r="L209" s="362">
        <f t="shared" si="42"/>
        <v>6444000</v>
      </c>
      <c r="M209" s="366" t="str">
        <f>VLOOKUP(B209,'[11]Gui chi Quynh'!$B$11:$E$400,4,FALSE)</f>
        <v>A2</v>
      </c>
      <c r="N209" s="494">
        <f t="shared" si="30"/>
        <v>9021600</v>
      </c>
      <c r="O209" s="376">
        <v>19</v>
      </c>
      <c r="P209" s="440">
        <f>IFERROR(INDEX('[12]CN BC'!$J$10:$J$276,MATCH(B209,'[12]CN BC'!$H$10:$H$276,0)),"")</f>
        <v>19</v>
      </c>
      <c r="Q209" s="494">
        <f t="shared" si="38"/>
        <v>9021600</v>
      </c>
      <c r="R209" s="392"/>
      <c r="S209" s="362">
        <f t="shared" si="43"/>
        <v>0</v>
      </c>
      <c r="T209" s="385"/>
      <c r="U209" s="362">
        <f t="shared" si="39"/>
        <v>0</v>
      </c>
      <c r="V209" s="584">
        <f t="shared" si="33"/>
        <v>64440</v>
      </c>
      <c r="W209" s="371">
        <f t="shared" si="37"/>
        <v>9021600</v>
      </c>
      <c r="X209" s="935">
        <f t="shared" si="35"/>
        <v>5.0119999999999996</v>
      </c>
      <c r="Y209" s="934">
        <v>1800000</v>
      </c>
      <c r="Z209" s="931">
        <f t="shared" si="36"/>
        <v>9021600</v>
      </c>
      <c r="AA209" s="568">
        <f t="shared" si="34"/>
        <v>189</v>
      </c>
      <c r="AB209" s="493">
        <f>IFERROR(INDEX('[12]CN BC'!$M$10:$M$276,MATCH(B209,'[12]CN BC'!$H$10:$H$276,0)),"")</f>
        <v>0</v>
      </c>
      <c r="AC209" s="523" t="s">
        <v>2239</v>
      </c>
      <c r="AD209" s="108"/>
      <c r="AE209" s="108"/>
      <c r="AF209" s="155"/>
      <c r="AG209" s="108"/>
      <c r="AH209" s="108"/>
      <c r="AI209" s="108"/>
      <c r="AJ209" s="108"/>
      <c r="AK209" s="108"/>
      <c r="AL209" s="108"/>
      <c r="AM209" s="108"/>
      <c r="AN209" s="108"/>
      <c r="AO209" s="108"/>
      <c r="AP209" s="108"/>
    </row>
    <row r="210" spans="1:42" s="372" customFormat="1" ht="30" customHeight="1">
      <c r="A210" s="379">
        <f>_xlfn.AGGREGATE(4,7,A$20:A209)+1</f>
        <v>190</v>
      </c>
      <c r="B210" s="363" t="s">
        <v>1530</v>
      </c>
      <c r="C210" s="364" t="s">
        <v>886</v>
      </c>
      <c r="D210" s="434" t="s">
        <v>1773</v>
      </c>
      <c r="E210" s="430">
        <v>1603205357641</v>
      </c>
      <c r="F210" s="373">
        <v>3.66</v>
      </c>
      <c r="G210" s="367"/>
      <c r="H210" s="368">
        <f t="shared" si="40"/>
        <v>3.66</v>
      </c>
      <c r="I210" s="368"/>
      <c r="J210" s="368" t="str">
        <f>VLOOKUP(B210,TH.T3!B216:J474,9,FALSE)</f>
        <v>Giảng viên khoa Cơ khí</v>
      </c>
      <c r="K210" s="369">
        <f t="shared" si="41"/>
        <v>3.66</v>
      </c>
      <c r="L210" s="362">
        <f t="shared" si="42"/>
        <v>6588000</v>
      </c>
      <c r="M210" s="366" t="str">
        <f>VLOOKUP(B210,'[11]Gui chi Quynh'!$B$11:$E$400,4,FALSE)</f>
        <v>A3</v>
      </c>
      <c r="N210" s="494">
        <f t="shared" si="30"/>
        <v>7905600</v>
      </c>
      <c r="O210" s="376">
        <v>19</v>
      </c>
      <c r="P210" s="440">
        <f>IFERROR(INDEX('[12]CN BC'!$J$10:$J$276,MATCH(B210,'[12]CN BC'!$H$10:$H$276,0)),"")</f>
        <v>20</v>
      </c>
      <c r="Q210" s="494">
        <f t="shared" si="38"/>
        <v>7905600</v>
      </c>
      <c r="R210" s="460"/>
      <c r="S210" s="362">
        <f t="shared" si="43"/>
        <v>0</v>
      </c>
      <c r="T210" s="370"/>
      <c r="U210" s="362">
        <f t="shared" si="39"/>
        <v>0</v>
      </c>
      <c r="V210" s="584">
        <f t="shared" si="33"/>
        <v>65880</v>
      </c>
      <c r="W210" s="371">
        <f t="shared" si="37"/>
        <v>7905600</v>
      </c>
      <c r="X210" s="935">
        <f t="shared" si="35"/>
        <v>4.3920000000000003</v>
      </c>
      <c r="Y210" s="934">
        <v>1800000</v>
      </c>
      <c r="Z210" s="931">
        <f t="shared" si="36"/>
        <v>7905600.0000000009</v>
      </c>
      <c r="AA210" s="568">
        <f t="shared" si="34"/>
        <v>190</v>
      </c>
      <c r="AB210" s="493">
        <f>IFERROR(INDEX('[12]CN BC'!$M$10:$M$276,MATCH(B210,'[12]CN BC'!$H$10:$H$276,0)),"")</f>
        <v>0</v>
      </c>
      <c r="AC210" s="523" t="s">
        <v>2239</v>
      </c>
      <c r="AD210" s="541"/>
      <c r="AF210" s="487"/>
    </row>
    <row r="211" spans="1:42" s="372" customFormat="1" ht="25.9" customHeight="1">
      <c r="A211" s="379">
        <f>_xlfn.AGGREGATE(4,7,A$20:A210)+1</f>
        <v>191</v>
      </c>
      <c r="B211" s="363" t="s">
        <v>1531</v>
      </c>
      <c r="C211" s="364" t="s">
        <v>746</v>
      </c>
      <c r="D211" s="406" t="s">
        <v>1774</v>
      </c>
      <c r="E211" s="430">
        <v>1603205357120</v>
      </c>
      <c r="F211" s="373">
        <v>3.33</v>
      </c>
      <c r="G211" s="367"/>
      <c r="H211" s="445">
        <f t="shared" si="40"/>
        <v>3.33</v>
      </c>
      <c r="I211" s="368"/>
      <c r="J211" s="368" t="str">
        <f>VLOOKUP(B211,TH.T3!B217:J475,9,FALSE)</f>
        <v>Giảng viên khoa Cơ khí</v>
      </c>
      <c r="K211" s="369">
        <f t="shared" si="41"/>
        <v>3.33</v>
      </c>
      <c r="L211" s="362">
        <f t="shared" si="42"/>
        <v>5994000</v>
      </c>
      <c r="M211" s="366" t="str">
        <f>VLOOKUP(B211,'[11]Gui chi Quynh'!$B$11:$E$400,4,FALSE)</f>
        <v>A2</v>
      </c>
      <c r="N211" s="494">
        <f t="shared" si="30"/>
        <v>8391600</v>
      </c>
      <c r="O211" s="376">
        <v>19</v>
      </c>
      <c r="P211" s="440">
        <f>IFERROR(INDEX('[12]CN BC'!$J$10:$J$276,MATCH(B211,'[12]CN BC'!$H$10:$H$276,0)),"")</f>
        <v>19</v>
      </c>
      <c r="Q211" s="494">
        <f t="shared" si="38"/>
        <v>8391600</v>
      </c>
      <c r="R211" s="392"/>
      <c r="S211" s="362">
        <f t="shared" si="43"/>
        <v>0</v>
      </c>
      <c r="T211" s="370"/>
      <c r="U211" s="362">
        <f t="shared" si="39"/>
        <v>0</v>
      </c>
      <c r="V211" s="584">
        <f t="shared" si="33"/>
        <v>59940</v>
      </c>
      <c r="W211" s="371">
        <f t="shared" si="37"/>
        <v>8391600</v>
      </c>
      <c r="X211" s="935">
        <f t="shared" si="35"/>
        <v>4.6619999999999999</v>
      </c>
      <c r="Y211" s="934">
        <v>1800000</v>
      </c>
      <c r="Z211" s="931">
        <f t="shared" si="36"/>
        <v>8391600</v>
      </c>
      <c r="AA211" s="568">
        <f t="shared" si="34"/>
        <v>191</v>
      </c>
      <c r="AB211" s="493">
        <f>IFERROR(INDEX('[12]CN BC'!$M$10:$M$276,MATCH(B211,'[12]CN BC'!$H$10:$H$276,0)),"")</f>
        <v>0</v>
      </c>
      <c r="AC211" s="523" t="s">
        <v>2239</v>
      </c>
      <c r="AD211" s="108"/>
      <c r="AE211" s="108"/>
      <c r="AF211" s="155"/>
      <c r="AG211" s="108"/>
      <c r="AH211" s="108"/>
      <c r="AI211" s="108"/>
      <c r="AJ211" s="108"/>
      <c r="AK211" s="108"/>
      <c r="AL211" s="108"/>
      <c r="AM211" s="108"/>
      <c r="AN211" s="108"/>
      <c r="AO211" s="108"/>
      <c r="AP211" s="108"/>
    </row>
    <row r="212" spans="1:42" s="372" customFormat="1" ht="37.5" customHeight="1">
      <c r="A212" s="379">
        <f>_xlfn.AGGREGATE(4,7,A$20:A211)+1</f>
        <v>192</v>
      </c>
      <c r="B212" s="363" t="s">
        <v>1895</v>
      </c>
      <c r="C212" s="364" t="s">
        <v>905</v>
      </c>
      <c r="D212" s="434" t="s">
        <v>1775</v>
      </c>
      <c r="E212" s="423" t="s">
        <v>1261</v>
      </c>
      <c r="F212" s="366">
        <v>4.9800000000000004</v>
      </c>
      <c r="G212" s="367">
        <v>7.0000000000000007E-2</v>
      </c>
      <c r="H212" s="368">
        <f t="shared" si="40"/>
        <v>5.3286000000000007</v>
      </c>
      <c r="I212" s="368"/>
      <c r="J212" s="368" t="str">
        <f>VLOOKUP(B212,TH.T3!B218:J476,9,FALSE)</f>
        <v>Giảng viên khoa Cơ khí</v>
      </c>
      <c r="K212" s="369">
        <f t="shared" si="41"/>
        <v>5.3286000000000007</v>
      </c>
      <c r="L212" s="362">
        <f t="shared" si="42"/>
        <v>9591480.0000000019</v>
      </c>
      <c r="M212" s="366" t="str">
        <f>VLOOKUP(B212,'[11]Gui chi Quynh'!$B$11:$E$400,4,FALSE)</f>
        <v>A4</v>
      </c>
      <c r="N212" s="494">
        <f t="shared" si="30"/>
        <v>9591480.0000000019</v>
      </c>
      <c r="O212" s="376">
        <v>19</v>
      </c>
      <c r="P212" s="440">
        <f>IFERROR(INDEX('[12]CN BC'!$J$10:$J$276,MATCH(B212,'[12]CN BC'!$H$10:$H$276,0)),"")</f>
        <v>20</v>
      </c>
      <c r="Q212" s="494">
        <f t="shared" si="38"/>
        <v>9591480.0000000019</v>
      </c>
      <c r="R212" s="392"/>
      <c r="S212" s="362">
        <f t="shared" si="43"/>
        <v>0</v>
      </c>
      <c r="T212" s="370"/>
      <c r="U212" s="362">
        <f t="shared" si="39"/>
        <v>0</v>
      </c>
      <c r="V212" s="584">
        <f t="shared" si="33"/>
        <v>95915</v>
      </c>
      <c r="W212" s="371">
        <f t="shared" si="37"/>
        <v>9591480.0000000019</v>
      </c>
      <c r="X212" s="935">
        <f t="shared" si="35"/>
        <v>5.3286000000000007</v>
      </c>
      <c r="Y212" s="934">
        <v>1800000</v>
      </c>
      <c r="Z212" s="931">
        <f t="shared" si="36"/>
        <v>9591480.0000000019</v>
      </c>
      <c r="AA212" s="568">
        <f t="shared" si="34"/>
        <v>192</v>
      </c>
      <c r="AB212" s="493">
        <f>IFERROR(INDEX('[12]CN BC'!$M$10:$M$276,MATCH(B212,'[12]CN BC'!$H$10:$H$276,0)),"")</f>
        <v>0</v>
      </c>
      <c r="AC212" s="523" t="s">
        <v>2239</v>
      </c>
      <c r="AD212" s="524"/>
      <c r="AE212" s="108"/>
      <c r="AF212" s="155"/>
      <c r="AG212" s="108"/>
      <c r="AH212" s="108"/>
      <c r="AI212" s="108"/>
      <c r="AJ212" s="108"/>
      <c r="AK212" s="108"/>
      <c r="AL212" s="108"/>
    </row>
    <row r="213" spans="1:42" s="372" customFormat="1" ht="25.5" customHeight="1">
      <c r="A213" s="379">
        <f>_xlfn.AGGREGATE(4,7,A$20:A212)+1</f>
        <v>193</v>
      </c>
      <c r="B213" s="363" t="s">
        <v>1896</v>
      </c>
      <c r="C213" s="364" t="s">
        <v>1035</v>
      </c>
      <c r="D213" s="434" t="s">
        <v>1776</v>
      </c>
      <c r="E213" s="423" t="s">
        <v>1365</v>
      </c>
      <c r="F213" s="366">
        <v>4.9800000000000004</v>
      </c>
      <c r="G213" s="367">
        <v>0.1</v>
      </c>
      <c r="H213" s="368">
        <f t="shared" si="40"/>
        <v>5.4780000000000006</v>
      </c>
      <c r="I213" s="368"/>
      <c r="J213" s="368" t="str">
        <f>VLOOKUP(B213,TH.T3!B219:J477,9,FALSE)</f>
        <v>Giảng viên khoa Cơ khí</v>
      </c>
      <c r="K213" s="369">
        <f t="shared" si="41"/>
        <v>5.4780000000000006</v>
      </c>
      <c r="L213" s="362">
        <f t="shared" si="42"/>
        <v>9860400.0000000019</v>
      </c>
      <c r="M213" s="366" t="str">
        <f>VLOOKUP(B213,'[11]Gui chi Quynh'!$B$11:$E$400,4,FALSE)</f>
        <v>A4</v>
      </c>
      <c r="N213" s="494">
        <f t="shared" ref="N213:N276" si="44">IF(M213="A1",L213*1.6,IF(M213="A2",L213*1.4,IF(M213="A3",L213*1.2,IF(M213="A4",L213*1,IF(M213="B1",L213*0.7,IF(M213="B2",L213*0.5,IF(M213="C1",L213*0.3,IF(M213="C2",L213*0.2,0))))))))</f>
        <v>9860400.0000000019</v>
      </c>
      <c r="O213" s="376">
        <v>19</v>
      </c>
      <c r="P213" s="440">
        <f>IFERROR(INDEX('[12]CN BC'!$J$10:$J$276,MATCH(B213,'[12]CN BC'!$H$10:$H$276,0)),"")</f>
        <v>19</v>
      </c>
      <c r="Q213" s="494">
        <f t="shared" si="38"/>
        <v>9860400.0000000019</v>
      </c>
      <c r="R213" s="485"/>
      <c r="S213" s="362">
        <f>R213*$G$17*0.8</f>
        <v>0</v>
      </c>
      <c r="T213" s="370"/>
      <c r="U213" s="362">
        <f t="shared" si="39"/>
        <v>0</v>
      </c>
      <c r="V213" s="584">
        <f t="shared" ref="V213:V286" si="45">IF(OR(M213="A DN",M213="KXL", M213=""),"0",ROUND(K213*0.01*$G$17+R213*1%*$G$17+T213*1%*$G$17,))</f>
        <v>98604</v>
      </c>
      <c r="W213" s="371">
        <f t="shared" si="37"/>
        <v>9860400.0000000019</v>
      </c>
      <c r="X213" s="935">
        <f t="shared" si="35"/>
        <v>5.4780000000000006</v>
      </c>
      <c r="Y213" s="934">
        <v>1800000</v>
      </c>
      <c r="Z213" s="931">
        <f t="shared" si="36"/>
        <v>9860400.0000000019</v>
      </c>
      <c r="AA213" s="568">
        <f t="shared" ref="AA213:AA284" si="46">A213</f>
        <v>193</v>
      </c>
      <c r="AB213" s="493">
        <f>IFERROR(INDEX('[12]CN BC'!$M$10:$M$276,MATCH(B213,'[12]CN BC'!$H$10:$H$276,0)),"")</f>
        <v>0</v>
      </c>
      <c r="AC213" s="523" t="s">
        <v>2239</v>
      </c>
      <c r="AD213" s="108"/>
      <c r="AE213" s="108"/>
      <c r="AF213" s="155"/>
      <c r="AG213" s="108"/>
      <c r="AH213" s="108"/>
      <c r="AI213" s="108"/>
      <c r="AJ213" s="108"/>
      <c r="AK213" s="108"/>
      <c r="AL213" s="108"/>
    </row>
    <row r="214" spans="1:42" s="372" customFormat="1" ht="29.25" customHeight="1">
      <c r="A214" s="379">
        <f>_xlfn.AGGREGATE(4,7,A$20:A213)+1</f>
        <v>194</v>
      </c>
      <c r="B214" s="363" t="s">
        <v>1532</v>
      </c>
      <c r="C214" s="364" t="s">
        <v>884</v>
      </c>
      <c r="D214" s="406" t="s">
        <v>1777</v>
      </c>
      <c r="E214" s="422" t="s">
        <v>1594</v>
      </c>
      <c r="F214" s="373">
        <v>3.33</v>
      </c>
      <c r="G214" s="367"/>
      <c r="H214" s="445">
        <f t="shared" si="40"/>
        <v>3.33</v>
      </c>
      <c r="I214" s="368"/>
      <c r="J214" s="368" t="str">
        <f>VLOOKUP(B214,TH.T3!B220:J478,9,FALSE)</f>
        <v>Giảng viên khoa Cơ khí</v>
      </c>
      <c r="K214" s="369">
        <f t="shared" si="41"/>
        <v>3.33</v>
      </c>
      <c r="L214" s="362">
        <f t="shared" si="42"/>
        <v>5994000</v>
      </c>
      <c r="M214" s="366" t="str">
        <f>VLOOKUP(B214,'[11]Gui chi Quynh'!$B$11:$E$400,4,FALSE)</f>
        <v>A2</v>
      </c>
      <c r="N214" s="494">
        <f t="shared" si="44"/>
        <v>8391600</v>
      </c>
      <c r="O214" s="376">
        <v>19</v>
      </c>
      <c r="P214" s="440">
        <f>IFERROR(INDEX('[12]CN BC'!$J$10:$J$276,MATCH(B214,'[12]CN BC'!$H$10:$H$276,0)),"")</f>
        <v>20</v>
      </c>
      <c r="Q214" s="494">
        <f t="shared" si="38"/>
        <v>8391600</v>
      </c>
      <c r="R214" s="455"/>
      <c r="S214" s="362">
        <f t="shared" si="43"/>
        <v>0</v>
      </c>
      <c r="T214" s="370"/>
      <c r="U214" s="362">
        <f t="shared" si="39"/>
        <v>0</v>
      </c>
      <c r="V214" s="584">
        <f t="shared" si="45"/>
        <v>59940</v>
      </c>
      <c r="W214" s="371">
        <f t="shared" si="37"/>
        <v>8391600</v>
      </c>
      <c r="X214" s="935">
        <f t="shared" ref="X214:X277" si="47">W214/Y214</f>
        <v>4.6619999999999999</v>
      </c>
      <c r="Y214" s="934">
        <v>1800000</v>
      </c>
      <c r="Z214" s="931">
        <f t="shared" ref="Z214:Z277" si="48">X214*Y214</f>
        <v>8391600</v>
      </c>
      <c r="AA214" s="568">
        <f t="shared" si="46"/>
        <v>194</v>
      </c>
      <c r="AB214" s="493">
        <f>IFERROR(INDEX('[12]CN BC'!$M$10:$M$276,MATCH(B214,'[12]CN BC'!$H$10:$H$276,0)),"")</f>
        <v>0</v>
      </c>
      <c r="AC214" s="523" t="s">
        <v>2239</v>
      </c>
      <c r="AD214" s="108"/>
      <c r="AE214" s="108"/>
      <c r="AF214" s="155"/>
      <c r="AG214" s="108"/>
      <c r="AH214" s="108"/>
      <c r="AI214" s="108"/>
      <c r="AJ214" s="108"/>
      <c r="AK214" s="108"/>
      <c r="AL214" s="108"/>
      <c r="AM214" s="108"/>
      <c r="AN214" s="108"/>
      <c r="AO214" s="108"/>
      <c r="AP214" s="108"/>
    </row>
    <row r="215" spans="1:42" s="372" customFormat="1" ht="25.5" customHeight="1">
      <c r="A215" s="379">
        <f>_xlfn.AGGREGATE(4,7,A$20:A214)+1</f>
        <v>195</v>
      </c>
      <c r="B215" s="363" t="s">
        <v>1608</v>
      </c>
      <c r="C215" s="375" t="s">
        <v>1011</v>
      </c>
      <c r="D215" s="482" t="s">
        <v>1968</v>
      </c>
      <c r="E215" s="102">
        <v>1603215003955</v>
      </c>
      <c r="F215" s="373">
        <v>3</v>
      </c>
      <c r="G215" s="378"/>
      <c r="H215" s="445">
        <f t="shared" si="40"/>
        <v>3</v>
      </c>
      <c r="I215" s="368"/>
      <c r="J215" s="368" t="str">
        <f>VLOOKUP(B215,TH.T3!B221:J479,9,FALSE)</f>
        <v>Giảng viên khoa Cơ khí</v>
      </c>
      <c r="K215" s="369">
        <f t="shared" si="41"/>
        <v>3</v>
      </c>
      <c r="L215" s="362">
        <f t="shared" si="42"/>
        <v>5400000</v>
      </c>
      <c r="M215" s="366" t="str">
        <f>VLOOKUP(B215,'[11]Gui chi Quynh'!$B$11:$E$400,4,FALSE)</f>
        <v>A3</v>
      </c>
      <c r="N215" s="494">
        <f t="shared" si="44"/>
        <v>6480000</v>
      </c>
      <c r="O215" s="376">
        <v>19</v>
      </c>
      <c r="P215" s="440">
        <f>IFERROR(INDEX('[12]CN BC'!$J$10:$J$276,MATCH(B215,'[12]CN BC'!$H$10:$H$276,0)),"")</f>
        <v>20</v>
      </c>
      <c r="Q215" s="494">
        <f t="shared" si="38"/>
        <v>6480000</v>
      </c>
      <c r="R215" s="460"/>
      <c r="S215" s="362">
        <f t="shared" si="43"/>
        <v>0</v>
      </c>
      <c r="T215" s="370"/>
      <c r="U215" s="362">
        <f t="shared" si="39"/>
        <v>0</v>
      </c>
      <c r="V215" s="584">
        <f t="shared" si="45"/>
        <v>54000</v>
      </c>
      <c r="W215" s="371">
        <f t="shared" ref="W215:W279" si="49">(Q215+S215+U215)</f>
        <v>6480000</v>
      </c>
      <c r="X215" s="935">
        <f t="shared" si="47"/>
        <v>3.6</v>
      </c>
      <c r="Y215" s="934">
        <v>1800000</v>
      </c>
      <c r="Z215" s="931">
        <f t="shared" si="48"/>
        <v>6480000</v>
      </c>
      <c r="AA215" s="568">
        <f t="shared" si="46"/>
        <v>195</v>
      </c>
      <c r="AB215" s="493">
        <f>IFERROR(INDEX('[12]CN BC'!$M$10:$M$276,MATCH(B215,'[12]CN BC'!$H$10:$H$276,0)),"")</f>
        <v>0</v>
      </c>
      <c r="AC215" s="523" t="s">
        <v>2239</v>
      </c>
      <c r="AD215" s="108"/>
      <c r="AE215" s="108"/>
      <c r="AF215" s="155"/>
      <c r="AG215" s="108"/>
      <c r="AH215" s="108"/>
      <c r="AI215" s="108"/>
      <c r="AJ215" s="108"/>
      <c r="AK215" s="108"/>
      <c r="AL215" s="108"/>
    </row>
    <row r="216" spans="1:42" s="372" customFormat="1" ht="24.75" customHeight="1">
      <c r="A216" s="379">
        <f>_xlfn.AGGREGATE(4,7,A$20:A215)+1</f>
        <v>196</v>
      </c>
      <c r="B216" s="363" t="s">
        <v>1835</v>
      </c>
      <c r="C216" s="375"/>
      <c r="D216" s="434" t="s">
        <v>1970</v>
      </c>
      <c r="E216" s="477" t="s">
        <v>1969</v>
      </c>
      <c r="F216" s="373">
        <v>3</v>
      </c>
      <c r="G216" s="378"/>
      <c r="H216" s="368">
        <f t="shared" si="40"/>
        <v>3</v>
      </c>
      <c r="I216" s="368"/>
      <c r="J216" s="368" t="str">
        <f>VLOOKUP(B216,TH.T3!B222:J480,9,FALSE)</f>
        <v>Giảng viên khoa Cơ khí</v>
      </c>
      <c r="K216" s="369">
        <f t="shared" si="41"/>
        <v>3</v>
      </c>
      <c r="L216" s="362">
        <f t="shared" si="42"/>
        <v>5400000</v>
      </c>
      <c r="M216" s="366" t="str">
        <f>VLOOKUP(B216,'[11]Gui chi Quynh'!$B$11:$E$400,4,FALSE)</f>
        <v>A2</v>
      </c>
      <c r="N216" s="494">
        <f t="shared" si="44"/>
        <v>7559999.9999999991</v>
      </c>
      <c r="O216" s="376">
        <v>19</v>
      </c>
      <c r="P216" s="440">
        <f>IFERROR(INDEX('[12]CN BC'!$J$10:$J$276,MATCH(B216,'[12]CN BC'!$H$10:$H$276,0)),"")</f>
        <v>19</v>
      </c>
      <c r="Q216" s="494">
        <f t="shared" ref="Q216:Q282" si="50">IF(P216&gt;=O216,N216,N216/O216*P216)</f>
        <v>7559999.9999999991</v>
      </c>
      <c r="R216" s="392"/>
      <c r="S216" s="362">
        <f t="shared" si="43"/>
        <v>0</v>
      </c>
      <c r="T216" s="370"/>
      <c r="U216" s="362">
        <f t="shared" si="39"/>
        <v>0</v>
      </c>
      <c r="V216" s="584">
        <f t="shared" si="45"/>
        <v>54000</v>
      </c>
      <c r="W216" s="371">
        <f t="shared" si="49"/>
        <v>7559999.9999999991</v>
      </c>
      <c r="X216" s="935">
        <f t="shared" si="47"/>
        <v>4.1999999999999993</v>
      </c>
      <c r="Y216" s="934">
        <v>1800000</v>
      </c>
      <c r="Z216" s="931">
        <f t="shared" si="48"/>
        <v>7559999.9999999991</v>
      </c>
      <c r="AA216" s="568">
        <f t="shared" si="46"/>
        <v>196</v>
      </c>
      <c r="AB216" s="493">
        <f>IFERROR(INDEX('[12]CN BC'!$M$10:$M$276,MATCH(B216,'[12]CN BC'!$H$10:$H$276,0)),"")</f>
        <v>0</v>
      </c>
      <c r="AC216" s="523" t="s">
        <v>2239</v>
      </c>
      <c r="AD216" s="108"/>
      <c r="AE216" s="108"/>
      <c r="AF216" s="155"/>
      <c r="AG216" s="108"/>
      <c r="AH216" s="108"/>
      <c r="AI216" s="108"/>
      <c r="AJ216" s="108"/>
      <c r="AK216" s="108"/>
      <c r="AL216" s="108"/>
    </row>
    <row r="217" spans="1:42" s="372" customFormat="1" ht="29.25" customHeight="1">
      <c r="A217" s="379">
        <f>_xlfn.AGGREGATE(4,7,A$20:A216)+1</f>
        <v>197</v>
      </c>
      <c r="B217" s="363" t="s">
        <v>1897</v>
      </c>
      <c r="C217" s="375" t="s">
        <v>868</v>
      </c>
      <c r="D217" s="434" t="s">
        <v>1670</v>
      </c>
      <c r="E217" s="423" t="s">
        <v>1286</v>
      </c>
      <c r="F217" s="366">
        <v>4.9800000000000004</v>
      </c>
      <c r="G217" s="367">
        <v>0.11</v>
      </c>
      <c r="H217" s="368">
        <f t="shared" si="40"/>
        <v>5.5278000000000009</v>
      </c>
      <c r="I217" s="368"/>
      <c r="J217" s="368" t="str">
        <f>VLOOKUP(B217,TH.T3!B223:J481,9,FALSE)</f>
        <v>Giảng viên khoa Cơ khí</v>
      </c>
      <c r="K217" s="369">
        <f t="shared" si="41"/>
        <v>5.5278000000000009</v>
      </c>
      <c r="L217" s="362">
        <f t="shared" si="42"/>
        <v>9950040.0000000019</v>
      </c>
      <c r="M217" s="366" t="str">
        <f>VLOOKUP(B217,'[11]Gui chi Quynh'!$B$11:$E$400,4,FALSE)</f>
        <v>A4</v>
      </c>
      <c r="N217" s="494">
        <f t="shared" si="44"/>
        <v>9950040.0000000019</v>
      </c>
      <c r="O217" s="376">
        <v>19</v>
      </c>
      <c r="P217" s="440">
        <f>IFERROR(INDEX('[12]CN BC'!$J$10:$J$276,MATCH(B217,'[12]CN BC'!$H$10:$H$276,0)),"")</f>
        <v>19</v>
      </c>
      <c r="Q217" s="494">
        <f t="shared" si="50"/>
        <v>9950040.0000000019</v>
      </c>
      <c r="R217" s="460"/>
      <c r="S217" s="362">
        <f>R217*$G$17*0.8</f>
        <v>0</v>
      </c>
      <c r="T217" s="370"/>
      <c r="U217" s="362">
        <f t="shared" si="39"/>
        <v>0</v>
      </c>
      <c r="V217" s="584">
        <f t="shared" si="45"/>
        <v>99500</v>
      </c>
      <c r="W217" s="371">
        <f t="shared" si="49"/>
        <v>9950040.0000000019</v>
      </c>
      <c r="X217" s="935">
        <f t="shared" si="47"/>
        <v>5.5278000000000009</v>
      </c>
      <c r="Y217" s="934">
        <v>1800000</v>
      </c>
      <c r="Z217" s="931">
        <f t="shared" si="48"/>
        <v>9950040.0000000019</v>
      </c>
      <c r="AA217" s="568">
        <f t="shared" si="46"/>
        <v>197</v>
      </c>
      <c r="AB217" s="493">
        <f>IFERROR(INDEX('[12]CN BC'!$M$10:$M$276,MATCH(B217,'[12]CN BC'!$H$10:$H$276,0)),"")</f>
        <v>0</v>
      </c>
      <c r="AC217" s="523" t="s">
        <v>2239</v>
      </c>
      <c r="AF217" s="487"/>
    </row>
    <row r="218" spans="1:42" s="372" customFormat="1" ht="25.5" customHeight="1">
      <c r="A218" s="379">
        <f>_xlfn.AGGREGATE(4,7,A$20:A217)+1</f>
        <v>198</v>
      </c>
      <c r="B218" s="363" t="s">
        <v>1840</v>
      </c>
      <c r="C218" s="375"/>
      <c r="D218" s="434" t="s">
        <v>1971</v>
      </c>
      <c r="E218" s="102">
        <v>1603205596180</v>
      </c>
      <c r="F218" s="366">
        <v>2.67</v>
      </c>
      <c r="G218" s="367"/>
      <c r="H218" s="368">
        <f t="shared" si="40"/>
        <v>2.67</v>
      </c>
      <c r="I218" s="368"/>
      <c r="J218" s="368" t="str">
        <f>VLOOKUP(B218,TH.T3!B224:J482,9,FALSE)</f>
        <v>Giảng viên khoa Cơ khí</v>
      </c>
      <c r="K218" s="369">
        <f t="shared" si="41"/>
        <v>2.67</v>
      </c>
      <c r="L218" s="362">
        <f t="shared" si="42"/>
        <v>4806000</v>
      </c>
      <c r="M218" s="366" t="str">
        <f>VLOOKUP(B218,'[11]Gui chi Quynh'!$B$11:$E$400,4,FALSE)</f>
        <v>A3</v>
      </c>
      <c r="N218" s="494">
        <f t="shared" si="44"/>
        <v>5767200</v>
      </c>
      <c r="O218" s="376">
        <v>19</v>
      </c>
      <c r="P218" s="440">
        <f>IFERROR(INDEX('[12]CN BC'!$J$10:$J$276,MATCH(B218,'[12]CN BC'!$H$10:$H$276,0)),"")</f>
        <v>19</v>
      </c>
      <c r="Q218" s="494">
        <f t="shared" si="50"/>
        <v>5767200</v>
      </c>
      <c r="R218" s="392"/>
      <c r="S218" s="362">
        <f t="shared" si="43"/>
        <v>0</v>
      </c>
      <c r="T218" s="370"/>
      <c r="U218" s="362">
        <f t="shared" ref="U218:U284" si="51">T218*$G$17*1</f>
        <v>0</v>
      </c>
      <c r="V218" s="584">
        <f t="shared" si="45"/>
        <v>48060</v>
      </c>
      <c r="W218" s="371">
        <f t="shared" si="49"/>
        <v>5767200</v>
      </c>
      <c r="X218" s="935">
        <f t="shared" si="47"/>
        <v>3.2040000000000002</v>
      </c>
      <c r="Y218" s="934">
        <v>1800000</v>
      </c>
      <c r="Z218" s="931">
        <f t="shared" si="48"/>
        <v>5767200</v>
      </c>
      <c r="AA218" s="568">
        <f t="shared" si="46"/>
        <v>198</v>
      </c>
      <c r="AB218" s="493">
        <f>IFERROR(INDEX('[12]CN BC'!$M$10:$M$276,MATCH(B218,'[12]CN BC'!$H$10:$H$276,0)),"")</f>
        <v>0</v>
      </c>
      <c r="AC218" s="523" t="s">
        <v>2239</v>
      </c>
      <c r="AD218" s="108"/>
      <c r="AE218" s="108"/>
      <c r="AF218" s="155"/>
      <c r="AG218" s="108"/>
      <c r="AH218" s="108"/>
      <c r="AI218" s="108"/>
      <c r="AJ218" s="108"/>
      <c r="AK218" s="108"/>
      <c r="AL218" s="108"/>
    </row>
    <row r="219" spans="1:42" s="372" customFormat="1" ht="24.75" customHeight="1">
      <c r="A219" s="379">
        <f>_xlfn.AGGREGATE(4,7,A$20:A218)+1</f>
        <v>199</v>
      </c>
      <c r="B219" s="363" t="s">
        <v>1943</v>
      </c>
      <c r="C219" s="375"/>
      <c r="D219" s="434" t="s">
        <v>1972</v>
      </c>
      <c r="E219" s="423"/>
      <c r="F219" s="373">
        <v>3</v>
      </c>
      <c r="G219" s="367"/>
      <c r="H219" s="368">
        <f t="shared" si="40"/>
        <v>3</v>
      </c>
      <c r="I219" s="368"/>
      <c r="J219" s="368" t="str">
        <f>VLOOKUP(B219,TH.T3!B225:J483,9,FALSE)</f>
        <v>Giảng viên khoa Cơ khí</v>
      </c>
      <c r="K219" s="369">
        <f t="shared" si="41"/>
        <v>3</v>
      </c>
      <c r="L219" s="362">
        <f t="shared" si="42"/>
        <v>5400000</v>
      </c>
      <c r="M219" s="366" t="str">
        <f>VLOOKUP(B219,'[11]Gui chi Quynh'!$B$11:$E$400,4,FALSE)</f>
        <v>A1</v>
      </c>
      <c r="N219" s="494">
        <f t="shared" si="44"/>
        <v>8640000</v>
      </c>
      <c r="O219" s="376">
        <v>19</v>
      </c>
      <c r="P219" s="440">
        <f>IFERROR(INDEX('[12]CN BC'!$J$10:$J$276,MATCH(B219,'[12]CN BC'!$H$10:$H$276,0)),"")</f>
        <v>20</v>
      </c>
      <c r="Q219" s="494">
        <f t="shared" si="50"/>
        <v>8640000</v>
      </c>
      <c r="R219" s="460"/>
      <c r="S219" s="362">
        <f t="shared" si="43"/>
        <v>0</v>
      </c>
      <c r="T219" s="370"/>
      <c r="U219" s="362">
        <f t="shared" si="51"/>
        <v>0</v>
      </c>
      <c r="V219" s="584">
        <f t="shared" si="45"/>
        <v>54000</v>
      </c>
      <c r="W219" s="371">
        <f t="shared" si="49"/>
        <v>8640000</v>
      </c>
      <c r="X219" s="935">
        <f t="shared" si="47"/>
        <v>4.8</v>
      </c>
      <c r="Y219" s="934">
        <v>1800000</v>
      </c>
      <c r="Z219" s="931">
        <f t="shared" si="48"/>
        <v>8640000</v>
      </c>
      <c r="AA219" s="568">
        <f t="shared" si="46"/>
        <v>199</v>
      </c>
      <c r="AB219" s="493">
        <f>IFERROR(INDEX('[12]CN BC'!$M$10:$M$276,MATCH(B219,'[12]CN BC'!$H$10:$H$276,0)),"")</f>
        <v>0</v>
      </c>
      <c r="AC219" s="523" t="s">
        <v>2239</v>
      </c>
      <c r="AD219" s="108"/>
      <c r="AE219" s="108"/>
      <c r="AF219" s="487"/>
    </row>
    <row r="220" spans="1:42" s="372" customFormat="1" ht="26.25" customHeight="1">
      <c r="A220" s="379">
        <f>_xlfn.AGGREGATE(4,7,A$20:A219)+1</f>
        <v>200</v>
      </c>
      <c r="B220" s="363" t="s">
        <v>1994</v>
      </c>
      <c r="C220" s="375"/>
      <c r="D220" s="434"/>
      <c r="E220" s="423"/>
      <c r="F220" s="366">
        <v>4.32</v>
      </c>
      <c r="G220" s="367"/>
      <c r="H220" s="368">
        <f t="shared" si="40"/>
        <v>4.32</v>
      </c>
      <c r="I220" s="368"/>
      <c r="J220" s="368" t="str">
        <f>VLOOKUP(B220,TH.T3!B226:J484,9,FALSE)</f>
        <v>Giảng viên khoa Cơ khí</v>
      </c>
      <c r="K220" s="369">
        <f t="shared" si="41"/>
        <v>4.32</v>
      </c>
      <c r="L220" s="362">
        <f t="shared" si="42"/>
        <v>7776000.0000000009</v>
      </c>
      <c r="M220" s="366" t="str">
        <f>VLOOKUP(B220,'[11]Gui chi Quynh'!$B$11:$E$400,4,FALSE)</f>
        <v>A3</v>
      </c>
      <c r="N220" s="494">
        <f t="shared" si="44"/>
        <v>9331200</v>
      </c>
      <c r="O220" s="376">
        <v>19</v>
      </c>
      <c r="P220" s="440">
        <f>IFERROR(INDEX('[12]CN BC'!$J$10:$J$276,MATCH(B220,'[12]CN BC'!$H$10:$H$276,0)),"")</f>
        <v>19</v>
      </c>
      <c r="Q220" s="494">
        <f t="shared" si="50"/>
        <v>9331200</v>
      </c>
      <c r="R220" s="460"/>
      <c r="S220" s="362">
        <f t="shared" si="43"/>
        <v>0</v>
      </c>
      <c r="T220" s="370"/>
      <c r="U220" s="362">
        <f t="shared" si="51"/>
        <v>0</v>
      </c>
      <c r="V220" s="584">
        <f t="shared" si="45"/>
        <v>77760</v>
      </c>
      <c r="W220" s="371">
        <f t="shared" si="49"/>
        <v>9331200</v>
      </c>
      <c r="X220" s="935">
        <f t="shared" si="47"/>
        <v>5.1840000000000002</v>
      </c>
      <c r="Y220" s="934">
        <v>1800000</v>
      </c>
      <c r="Z220" s="931">
        <f t="shared" si="48"/>
        <v>9331200</v>
      </c>
      <c r="AA220" s="568">
        <f t="shared" si="46"/>
        <v>200</v>
      </c>
      <c r="AB220" s="493">
        <f>IFERROR(INDEX('[12]CN BC'!$M$10:$M$276,MATCH(B220,'[12]CN BC'!$H$10:$H$276,0)),"")</f>
        <v>0</v>
      </c>
      <c r="AC220" s="523" t="s">
        <v>2239</v>
      </c>
      <c r="AD220" s="108"/>
      <c r="AE220" s="108"/>
      <c r="AF220" s="155"/>
      <c r="AG220" s="108"/>
      <c r="AH220" s="108"/>
      <c r="AI220" s="108"/>
      <c r="AJ220" s="108"/>
      <c r="AK220" s="108"/>
      <c r="AL220" s="108"/>
    </row>
    <row r="221" spans="1:42" s="372" customFormat="1" ht="25.5" customHeight="1">
      <c r="A221" s="379">
        <f>_xlfn.AGGREGATE(4,7,A$20:A220)+1</f>
        <v>201</v>
      </c>
      <c r="B221" s="363" t="s">
        <v>2000</v>
      </c>
      <c r="C221" s="375"/>
      <c r="D221" s="434"/>
      <c r="E221" s="423"/>
      <c r="F221" s="366">
        <v>2.67</v>
      </c>
      <c r="G221" s="367"/>
      <c r="H221" s="368">
        <f t="shared" si="40"/>
        <v>2.67</v>
      </c>
      <c r="I221" s="368"/>
      <c r="J221" s="368" t="str">
        <f>VLOOKUP(B221,TH.T3!B227:J485,9,FALSE)</f>
        <v>Giảng viên khoa Cơ khí</v>
      </c>
      <c r="K221" s="369">
        <f t="shared" si="41"/>
        <v>2.67</v>
      </c>
      <c r="L221" s="362">
        <f t="shared" si="42"/>
        <v>4806000</v>
      </c>
      <c r="M221" s="366" t="str">
        <f>VLOOKUP(B221,'[11]Gui chi Quynh'!$B$11:$E$400,4,FALSE)</f>
        <v>A3</v>
      </c>
      <c r="N221" s="494">
        <f t="shared" si="44"/>
        <v>5767200</v>
      </c>
      <c r="O221" s="376">
        <v>19</v>
      </c>
      <c r="P221" s="440">
        <f>IFERROR(INDEX('[12]CN BC'!$J$10:$J$276,MATCH(B221,'[12]CN BC'!$H$10:$H$276,0)),"")</f>
        <v>20</v>
      </c>
      <c r="Q221" s="494">
        <f t="shared" si="50"/>
        <v>5767200</v>
      </c>
      <c r="R221" s="460"/>
      <c r="S221" s="362">
        <f>R221*$G$17*1.2</f>
        <v>0</v>
      </c>
      <c r="T221" s="370"/>
      <c r="U221" s="362">
        <f t="shared" si="51"/>
        <v>0</v>
      </c>
      <c r="V221" s="584">
        <f t="shared" si="45"/>
        <v>48060</v>
      </c>
      <c r="W221" s="371">
        <f t="shared" si="49"/>
        <v>5767200</v>
      </c>
      <c r="X221" s="935">
        <f t="shared" si="47"/>
        <v>3.2040000000000002</v>
      </c>
      <c r="Y221" s="934">
        <v>1800000</v>
      </c>
      <c r="Z221" s="931">
        <f t="shared" si="48"/>
        <v>5767200</v>
      </c>
      <c r="AA221" s="568">
        <f>A221</f>
        <v>201</v>
      </c>
      <c r="AB221" s="493">
        <f>IFERROR(INDEX('[12]CN BC'!$M$10:$M$276,MATCH(B221,'[12]CN BC'!$H$10:$H$276,0)),"")</f>
        <v>0</v>
      </c>
      <c r="AC221" s="523" t="s">
        <v>2239</v>
      </c>
      <c r="AD221" s="108"/>
      <c r="AE221" s="108"/>
      <c r="AF221" s="487"/>
    </row>
    <row r="222" spans="1:42" s="372" customFormat="1" ht="27" customHeight="1">
      <c r="A222" s="379">
        <f>_xlfn.AGGREGATE(4,7,A$20:A221)+1</f>
        <v>202</v>
      </c>
      <c r="B222" s="363" t="s">
        <v>1855</v>
      </c>
      <c r="C222" s="375" t="s">
        <v>939</v>
      </c>
      <c r="D222" s="434" t="s">
        <v>1651</v>
      </c>
      <c r="E222" s="423" t="s">
        <v>1292</v>
      </c>
      <c r="F222" s="366">
        <v>4.9800000000000004</v>
      </c>
      <c r="G222" s="367">
        <v>7.0000000000000007E-2</v>
      </c>
      <c r="H222" s="368">
        <f>F222+(F222*G222)</f>
        <v>5.3286000000000007</v>
      </c>
      <c r="I222" s="368">
        <v>0.35</v>
      </c>
      <c r="J222" s="368" t="str">
        <f>VLOOKUP(B222,TH.T3!B228:J486,9,FALSE)</f>
        <v>Giảng viên khoa Cơ khí</v>
      </c>
      <c r="K222" s="369">
        <f>H222+I222</f>
        <v>5.6786000000000003</v>
      </c>
      <c r="L222" s="362">
        <f>K222*$G$17</f>
        <v>10221480</v>
      </c>
      <c r="M222" s="366" t="str">
        <f>VLOOKUP(B222,'[11]Gui chi Quynh'!$B$11:$E$400,4,FALSE)</f>
        <v>A2</v>
      </c>
      <c r="N222" s="494">
        <f>IF(M222="A1",L222*1.6,IF(M222="A2",L222*1.4,IF(M222="A3",L222*1.2,IF(M222="A4",L222*1,IF(M222="B1",L222*0.7,IF(M222="B2",L222*0.5,IF(M222="C1",L222*0.3,IF(M222="C2",L222*0.2,0))))))))</f>
        <v>14310072</v>
      </c>
      <c r="O222" s="376">
        <v>19</v>
      </c>
      <c r="P222" s="440">
        <f>IFERROR(INDEX('[12]CN BC'!$J$10:$J$276,MATCH(B222,'[12]CN BC'!$H$10:$H$276,0)),"")</f>
        <v>19</v>
      </c>
      <c r="Q222" s="494">
        <f>IF(P222&gt;=O222,N222,N222/O222*P222)</f>
        <v>14310072</v>
      </c>
      <c r="R222" s="460"/>
      <c r="S222" s="362">
        <f>R222*$G$17*1</f>
        <v>0</v>
      </c>
      <c r="T222" s="370"/>
      <c r="U222" s="362">
        <f>T222*$G$17*1</f>
        <v>0</v>
      </c>
      <c r="V222" s="584">
        <f>IF(OR(M222="A DN",M222="KXL", M222=""),"0",ROUND(K222*0.01*$G$17+R222*1%*$G$17+T222*1%*$G$17,))</f>
        <v>102215</v>
      </c>
      <c r="W222" s="371">
        <f>(Q222+S222+U222)</f>
        <v>14310072</v>
      </c>
      <c r="X222" s="935">
        <f t="shared" si="47"/>
        <v>7.9500400000000004</v>
      </c>
      <c r="Y222" s="934">
        <v>1800000</v>
      </c>
      <c r="Z222" s="931">
        <f t="shared" si="48"/>
        <v>14310072</v>
      </c>
      <c r="AA222" s="568">
        <f>A222</f>
        <v>202</v>
      </c>
      <c r="AB222" s="493">
        <f>IFERROR(INDEX('[12]CN BC'!$M$10:$M$276,MATCH(B222,'[12]CN BC'!$H$10:$H$276,0)),"")</f>
        <v>0</v>
      </c>
      <c r="AC222" s="523" t="s">
        <v>2239</v>
      </c>
      <c r="AD222" s="108"/>
      <c r="AE222" s="108"/>
      <c r="AF222" s="155"/>
    </row>
    <row r="223" spans="1:42" s="108" customFormat="1" ht="31.5" customHeight="1">
      <c r="A223" s="379">
        <f>_xlfn.AGGREGATE(4,7,A$20:A222)+1</f>
        <v>203</v>
      </c>
      <c r="B223" s="33" t="s">
        <v>1898</v>
      </c>
      <c r="C223" s="34" t="s">
        <v>1019</v>
      </c>
      <c r="D223" s="406" t="s">
        <v>1781</v>
      </c>
      <c r="E223" s="424" t="s">
        <v>1386</v>
      </c>
      <c r="F223" s="10">
        <v>4.6500000000000004</v>
      </c>
      <c r="G223" s="157"/>
      <c r="H223" s="368">
        <f t="shared" si="40"/>
        <v>4.6500000000000004</v>
      </c>
      <c r="I223" s="368">
        <v>0.45</v>
      </c>
      <c r="J223" s="368" t="str">
        <f>VLOOKUP(B223,TH.T3!B229:J487,9,FALSE)</f>
        <v>Trưởng khoa Điện - Điện tử</v>
      </c>
      <c r="K223" s="369">
        <f t="shared" si="41"/>
        <v>5.1000000000000005</v>
      </c>
      <c r="L223" s="362">
        <f t="shared" si="42"/>
        <v>9180000.0000000019</v>
      </c>
      <c r="M223" s="366" t="str">
        <f>VLOOKUP(B223,'[11]Gui chi Quynh'!$B$11:$E$400,4,FALSE)</f>
        <v>A1</v>
      </c>
      <c r="N223" s="494">
        <f t="shared" si="44"/>
        <v>14688000.000000004</v>
      </c>
      <c r="O223" s="376">
        <v>19</v>
      </c>
      <c r="P223" s="440">
        <f>IFERROR(INDEX('[12]CN BC'!$J$10:$J$276,MATCH(B223,'[12]CN BC'!$H$10:$H$276,0)),"")</f>
        <v>19</v>
      </c>
      <c r="Q223" s="494">
        <f t="shared" si="50"/>
        <v>14688000.000000004</v>
      </c>
      <c r="R223" s="392"/>
      <c r="S223" s="362">
        <f>R223*$G$17*1</f>
        <v>0</v>
      </c>
      <c r="T223" s="385"/>
      <c r="U223" s="362">
        <f t="shared" si="51"/>
        <v>0</v>
      </c>
      <c r="V223" s="584">
        <f t="shared" si="45"/>
        <v>91800</v>
      </c>
      <c r="W223" s="371">
        <f t="shared" si="49"/>
        <v>14688000.000000004</v>
      </c>
      <c r="X223" s="935">
        <f t="shared" si="47"/>
        <v>8.1600000000000019</v>
      </c>
      <c r="Y223" s="934">
        <v>1800000</v>
      </c>
      <c r="Z223" s="931">
        <f t="shared" si="48"/>
        <v>14688000.000000004</v>
      </c>
      <c r="AA223" s="568">
        <f t="shared" si="46"/>
        <v>203</v>
      </c>
      <c r="AB223" s="493">
        <f>IFERROR(INDEX('[12]CN BC'!$M$10:$M$276,MATCH(B223,'[12]CN BC'!$H$10:$H$276,0)),"")</f>
        <v>0</v>
      </c>
      <c r="AC223" s="523" t="s">
        <v>2240</v>
      </c>
      <c r="AF223" s="155"/>
    </row>
    <row r="224" spans="1:42" s="372" customFormat="1" ht="33.75" customHeight="1">
      <c r="A224" s="379">
        <f>_xlfn.AGGREGATE(4,7,A$20:A223)+1</f>
        <v>204</v>
      </c>
      <c r="B224" s="363" t="s">
        <v>526</v>
      </c>
      <c r="C224" s="375" t="s">
        <v>1060</v>
      </c>
      <c r="D224" s="406" t="s">
        <v>1646</v>
      </c>
      <c r="E224" s="423" t="s">
        <v>1398</v>
      </c>
      <c r="F224" s="366">
        <v>4.9800000000000004</v>
      </c>
      <c r="G224" s="367">
        <v>0.16</v>
      </c>
      <c r="H224" s="368">
        <f t="shared" si="40"/>
        <v>5.7768000000000006</v>
      </c>
      <c r="I224" s="368">
        <f>0.35</f>
        <v>0.35</v>
      </c>
      <c r="J224" s="368" t="str">
        <f>VLOOKUP(B224,TH.T3!B230:J488,9,FALSE)</f>
        <v>Phó Trưởng khoa Điện - Điện tử</v>
      </c>
      <c r="K224" s="369">
        <f t="shared" si="41"/>
        <v>6.1268000000000002</v>
      </c>
      <c r="L224" s="362">
        <f t="shared" si="42"/>
        <v>11028240</v>
      </c>
      <c r="M224" s="366" t="str">
        <f>VLOOKUP(B224,'[11]Gui chi Quynh'!$B$11:$E$400,4,FALSE)</f>
        <v>A2</v>
      </c>
      <c r="N224" s="494">
        <f t="shared" si="44"/>
        <v>15439535.999999998</v>
      </c>
      <c r="O224" s="376">
        <v>19</v>
      </c>
      <c r="P224" s="440">
        <f>IFERROR(INDEX('[12]CN BC'!$J$10:$J$276,MATCH(B224,'[12]CN BC'!$H$10:$H$276,0)),"")</f>
        <v>19</v>
      </c>
      <c r="Q224" s="494">
        <f t="shared" si="50"/>
        <v>15439535.999999998</v>
      </c>
      <c r="R224" s="392"/>
      <c r="S224" s="362">
        <f>R224*$G$17*1</f>
        <v>0</v>
      </c>
      <c r="T224" s="385"/>
      <c r="U224" s="362">
        <f t="shared" si="51"/>
        <v>0</v>
      </c>
      <c r="V224" s="584">
        <f>IF(OR(M224="A DN",M224="KXL", M224=""),"0",ROUND(K224*0.01*$G$17+R224*1%*$G$17+T224*1%*$G$17,))</f>
        <v>110282</v>
      </c>
      <c r="W224" s="371">
        <f t="shared" si="49"/>
        <v>15439535.999999998</v>
      </c>
      <c r="X224" s="935">
        <f t="shared" si="47"/>
        <v>8.5775199999999998</v>
      </c>
      <c r="Y224" s="934">
        <v>1800000</v>
      </c>
      <c r="Z224" s="931">
        <f t="shared" si="48"/>
        <v>15439536</v>
      </c>
      <c r="AA224" s="568">
        <f t="shared" si="46"/>
        <v>204</v>
      </c>
      <c r="AB224" s="493">
        <f>IFERROR(INDEX('[12]CN BC'!$M$10:$M$276,MATCH(B224,'[12]CN BC'!$H$10:$H$276,0)),"")</f>
        <v>0</v>
      </c>
      <c r="AC224" s="523" t="s">
        <v>2240</v>
      </c>
      <c r="AD224" s="108"/>
      <c r="AE224" s="108"/>
      <c r="AF224" s="155"/>
      <c r="AG224" s="108"/>
      <c r="AH224" s="108"/>
      <c r="AI224" s="108"/>
      <c r="AJ224" s="108"/>
      <c r="AK224" s="108"/>
      <c r="AL224" s="108"/>
      <c r="AM224" s="108"/>
      <c r="AN224" s="108"/>
      <c r="AO224" s="108"/>
      <c r="AP224" s="108"/>
    </row>
    <row r="225" spans="1:42" s="108" customFormat="1" ht="33.75" customHeight="1">
      <c r="A225" s="379">
        <f>_xlfn.AGGREGATE(4,7,A$20:A224)+1</f>
        <v>205</v>
      </c>
      <c r="B225" s="33" t="s">
        <v>1899</v>
      </c>
      <c r="C225" s="403" t="s">
        <v>1046</v>
      </c>
      <c r="D225" s="406" t="s">
        <v>1778</v>
      </c>
      <c r="E225" s="433" t="s">
        <v>1381</v>
      </c>
      <c r="F225" s="366">
        <v>4.9800000000000004</v>
      </c>
      <c r="G225" s="367">
        <v>0.06</v>
      </c>
      <c r="H225" s="368">
        <f t="shared" si="40"/>
        <v>5.2788000000000004</v>
      </c>
      <c r="I225" s="368"/>
      <c r="J225" s="368" t="str">
        <f>VLOOKUP(B225,TH.T3!B231:J489,9,FALSE)</f>
        <v>Giảng viên khoa Điện - Điện tử</v>
      </c>
      <c r="K225" s="369">
        <f t="shared" si="41"/>
        <v>5.2788000000000004</v>
      </c>
      <c r="L225" s="362">
        <f t="shared" si="42"/>
        <v>9501840</v>
      </c>
      <c r="M225" s="366" t="str">
        <f>VLOOKUP(B225,'[11]Gui chi Quynh'!$B$11:$E$400,4,FALSE)</f>
        <v>A3</v>
      </c>
      <c r="N225" s="494">
        <f t="shared" si="44"/>
        <v>11402208</v>
      </c>
      <c r="O225" s="376">
        <v>19</v>
      </c>
      <c r="P225" s="440">
        <f>IFERROR(INDEX('[12]CN BC'!$J$10:$J$276,MATCH(B225,'[12]CN BC'!$H$10:$H$276,0)),"")</f>
        <v>20</v>
      </c>
      <c r="Q225" s="494">
        <f t="shared" si="50"/>
        <v>11402208</v>
      </c>
      <c r="R225" s="392"/>
      <c r="S225" s="362">
        <f t="shared" si="43"/>
        <v>0</v>
      </c>
      <c r="T225" s="404"/>
      <c r="U225" s="362">
        <f t="shared" si="51"/>
        <v>0</v>
      </c>
      <c r="V225" s="584">
        <f t="shared" si="45"/>
        <v>95018</v>
      </c>
      <c r="W225" s="371">
        <f t="shared" si="49"/>
        <v>11402208</v>
      </c>
      <c r="X225" s="935">
        <f t="shared" si="47"/>
        <v>6.3345599999999997</v>
      </c>
      <c r="Y225" s="934">
        <v>1800000</v>
      </c>
      <c r="Z225" s="931">
        <f t="shared" si="48"/>
        <v>11402208</v>
      </c>
      <c r="AA225" s="568">
        <f t="shared" si="46"/>
        <v>205</v>
      </c>
      <c r="AB225" s="493">
        <f>IFERROR(INDEX('[12]CN BC'!$M$10:$M$276,MATCH(B225,'[12]CN BC'!$H$10:$H$276,0)),"")</f>
        <v>0</v>
      </c>
      <c r="AC225" s="523" t="s">
        <v>2240</v>
      </c>
      <c r="AF225" s="155"/>
    </row>
    <row r="226" spans="1:42" s="372" customFormat="1" ht="33.75" customHeight="1">
      <c r="A226" s="379">
        <f>_xlfn.AGGREGATE(4,7,A$20:A225)+1</f>
        <v>206</v>
      </c>
      <c r="B226" s="363" t="s">
        <v>461</v>
      </c>
      <c r="C226" s="364" t="s">
        <v>1185</v>
      </c>
      <c r="D226" s="434" t="s">
        <v>1779</v>
      </c>
      <c r="E226" s="423" t="s">
        <v>1384</v>
      </c>
      <c r="F226" s="366">
        <v>4.9800000000000004</v>
      </c>
      <c r="G226" s="367">
        <v>0.06</v>
      </c>
      <c r="H226" s="368">
        <f t="shared" si="40"/>
        <v>5.2788000000000004</v>
      </c>
      <c r="I226" s="368"/>
      <c r="J226" s="368" t="str">
        <f>VLOOKUP(B226,TH.T3!B232:J490,9,FALSE)</f>
        <v>Giảng viên khoa Điện - Điện tử</v>
      </c>
      <c r="K226" s="369">
        <f t="shared" si="41"/>
        <v>5.2788000000000004</v>
      </c>
      <c r="L226" s="362">
        <f t="shared" si="42"/>
        <v>9501840</v>
      </c>
      <c r="M226" s="366" t="str">
        <f>VLOOKUP(B226,'[11]Gui chi Quynh'!$B$11:$E$400,4,FALSE)</f>
        <v>A3</v>
      </c>
      <c r="N226" s="494">
        <f t="shared" si="44"/>
        <v>11402208</v>
      </c>
      <c r="O226" s="376">
        <v>19</v>
      </c>
      <c r="P226" s="440">
        <f>IFERROR(INDEX('[12]CN BC'!$J$10:$J$276,MATCH(B226,'[12]CN BC'!$H$10:$H$276,0)),"")</f>
        <v>20</v>
      </c>
      <c r="Q226" s="494">
        <f t="shared" si="50"/>
        <v>11402208</v>
      </c>
      <c r="R226" s="460"/>
      <c r="S226" s="362">
        <f t="shared" si="43"/>
        <v>0</v>
      </c>
      <c r="T226" s="370"/>
      <c r="U226" s="362">
        <f t="shared" si="51"/>
        <v>0</v>
      </c>
      <c r="V226" s="584">
        <f t="shared" si="45"/>
        <v>95018</v>
      </c>
      <c r="W226" s="371">
        <f t="shared" si="49"/>
        <v>11402208</v>
      </c>
      <c r="X226" s="935">
        <f t="shared" si="47"/>
        <v>6.3345599999999997</v>
      </c>
      <c r="Y226" s="934">
        <v>1800000</v>
      </c>
      <c r="Z226" s="931">
        <f t="shared" si="48"/>
        <v>11402208</v>
      </c>
      <c r="AA226" s="568">
        <f t="shared" si="46"/>
        <v>206</v>
      </c>
      <c r="AB226" s="493">
        <f>IFERROR(INDEX('[12]CN BC'!$M$10:$M$276,MATCH(B226,'[12]CN BC'!$H$10:$H$276,0)),"")</f>
        <v>0</v>
      </c>
      <c r="AC226" s="523" t="s">
        <v>2240</v>
      </c>
      <c r="AF226" s="487"/>
    </row>
    <row r="227" spans="1:42" s="108" customFormat="1" ht="33.75" customHeight="1">
      <c r="A227" s="379">
        <f>_xlfn.AGGREGATE(4,7,A$20:A226)+1</f>
        <v>207</v>
      </c>
      <c r="B227" s="33" t="s">
        <v>1900</v>
      </c>
      <c r="C227" s="34" t="s">
        <v>1049</v>
      </c>
      <c r="D227" s="406" t="s">
        <v>1780</v>
      </c>
      <c r="E227" s="424" t="s">
        <v>1385</v>
      </c>
      <c r="F227" s="10">
        <v>4.6500000000000004</v>
      </c>
      <c r="G227" s="157"/>
      <c r="H227" s="368">
        <f t="shared" si="40"/>
        <v>4.6500000000000004</v>
      </c>
      <c r="I227" s="368"/>
      <c r="J227" s="368" t="str">
        <f>VLOOKUP(B227,TH.T3!B233:J491,9,FALSE)</f>
        <v>Giảng viên khoa Điện - Điện tử</v>
      </c>
      <c r="K227" s="369">
        <f t="shared" si="41"/>
        <v>4.6500000000000004</v>
      </c>
      <c r="L227" s="362">
        <f t="shared" si="42"/>
        <v>8370000.0000000009</v>
      </c>
      <c r="M227" s="366" t="str">
        <f>VLOOKUP(B227,'[11]Gui chi Quynh'!$B$11:$E$400,4,FALSE)</f>
        <v>A3</v>
      </c>
      <c r="N227" s="494">
        <f t="shared" si="44"/>
        <v>10044000</v>
      </c>
      <c r="O227" s="376">
        <v>19</v>
      </c>
      <c r="P227" s="440">
        <f>IFERROR(INDEX('[12]CN BC'!$J$10:$J$276,MATCH(B227,'[12]CN BC'!$H$10:$H$276,0)),"")</f>
        <v>19</v>
      </c>
      <c r="Q227" s="494">
        <f t="shared" si="50"/>
        <v>10044000</v>
      </c>
      <c r="R227" s="392"/>
      <c r="S227" s="362">
        <f t="shared" si="43"/>
        <v>0</v>
      </c>
      <c r="T227" s="385"/>
      <c r="U227" s="362">
        <f t="shared" si="51"/>
        <v>0</v>
      </c>
      <c r="V227" s="584">
        <f t="shared" si="45"/>
        <v>83700</v>
      </c>
      <c r="W227" s="371">
        <f t="shared" si="49"/>
        <v>10044000</v>
      </c>
      <c r="X227" s="935">
        <f t="shared" si="47"/>
        <v>5.58</v>
      </c>
      <c r="Y227" s="934">
        <v>1800000</v>
      </c>
      <c r="Z227" s="931">
        <f t="shared" si="48"/>
        <v>10044000</v>
      </c>
      <c r="AA227" s="568">
        <f t="shared" si="46"/>
        <v>207</v>
      </c>
      <c r="AB227" s="493">
        <f>IFERROR(INDEX('[12]CN BC'!$M$10:$M$276,MATCH(B227,'[12]CN BC'!$H$10:$H$276,0)),"")</f>
        <v>0</v>
      </c>
      <c r="AC227" s="523" t="s">
        <v>2240</v>
      </c>
      <c r="AF227" s="155"/>
    </row>
    <row r="228" spans="1:42" s="108" customFormat="1" ht="33.75" customHeight="1">
      <c r="A228" s="379">
        <f>_xlfn.AGGREGATE(4,7,A$20:A227)+1</f>
        <v>208</v>
      </c>
      <c r="B228" s="33" t="s">
        <v>1901</v>
      </c>
      <c r="C228" s="34" t="s">
        <v>1051</v>
      </c>
      <c r="D228" s="406" t="s">
        <v>1782</v>
      </c>
      <c r="E228" s="424" t="s">
        <v>1387</v>
      </c>
      <c r="F228" s="10">
        <v>4.32</v>
      </c>
      <c r="G228" s="157"/>
      <c r="H228" s="368">
        <f t="shared" si="40"/>
        <v>4.32</v>
      </c>
      <c r="I228" s="81"/>
      <c r="J228" s="368" t="str">
        <f>VLOOKUP(B228,TH.T3!B234:J492,9,FALSE)</f>
        <v>Giảng viên khoa Điện - Điện tử</v>
      </c>
      <c r="K228" s="369">
        <f t="shared" si="41"/>
        <v>4.32</v>
      </c>
      <c r="L228" s="362">
        <f t="shared" si="42"/>
        <v>7776000.0000000009</v>
      </c>
      <c r="M228" s="366" t="str">
        <f>VLOOKUP(B228,'[11]Gui chi Quynh'!$B$11:$E$400,4,FALSE)</f>
        <v>A3</v>
      </c>
      <c r="N228" s="494">
        <f t="shared" si="44"/>
        <v>9331200</v>
      </c>
      <c r="O228" s="376">
        <v>19</v>
      </c>
      <c r="P228" s="440">
        <f>IFERROR(INDEX('[12]CN BC'!$J$10:$J$276,MATCH(B228,'[12]CN BC'!$H$10:$H$276,0)),"")</f>
        <v>19</v>
      </c>
      <c r="Q228" s="494">
        <f t="shared" si="50"/>
        <v>9331200</v>
      </c>
      <c r="R228" s="392"/>
      <c r="S228" s="362">
        <f t="shared" si="43"/>
        <v>0</v>
      </c>
      <c r="T228" s="385"/>
      <c r="U228" s="362">
        <f t="shared" si="51"/>
        <v>0</v>
      </c>
      <c r="V228" s="584">
        <f t="shared" si="45"/>
        <v>77760</v>
      </c>
      <c r="W228" s="371">
        <f t="shared" si="49"/>
        <v>9331200</v>
      </c>
      <c r="X228" s="935">
        <f t="shared" si="47"/>
        <v>5.1840000000000002</v>
      </c>
      <c r="Y228" s="934">
        <v>1800000</v>
      </c>
      <c r="Z228" s="931">
        <f t="shared" si="48"/>
        <v>9331200</v>
      </c>
      <c r="AA228" s="568">
        <f t="shared" si="46"/>
        <v>208</v>
      </c>
      <c r="AB228" s="493">
        <f>IFERROR(INDEX('[12]CN BC'!$M$10:$M$276,MATCH(B228,'[12]CN BC'!$H$10:$H$276,0)),"")</f>
        <v>0</v>
      </c>
      <c r="AC228" s="523" t="s">
        <v>2240</v>
      </c>
      <c r="AF228" s="155"/>
    </row>
    <row r="229" spans="1:42" s="108" customFormat="1" ht="33.75" customHeight="1">
      <c r="A229" s="379">
        <f>_xlfn.AGGREGATE(4,7,A$20:A228)+1</f>
        <v>209</v>
      </c>
      <c r="B229" s="33" t="s">
        <v>1534</v>
      </c>
      <c r="C229" s="34" t="s">
        <v>1053</v>
      </c>
      <c r="D229" s="406" t="s">
        <v>1783</v>
      </c>
      <c r="E229" s="424" t="s">
        <v>1388</v>
      </c>
      <c r="F229" s="10">
        <v>4.32</v>
      </c>
      <c r="G229" s="157"/>
      <c r="H229" s="368">
        <f t="shared" si="40"/>
        <v>4.32</v>
      </c>
      <c r="I229" s="81"/>
      <c r="J229" s="368" t="str">
        <f>VLOOKUP(B229,TH.T3!B235:J493,9,FALSE)</f>
        <v>Giảng viên khoa
Điện - Điện tử</v>
      </c>
      <c r="K229" s="369">
        <f t="shared" si="41"/>
        <v>4.32</v>
      </c>
      <c r="L229" s="362">
        <f t="shared" si="42"/>
        <v>7776000.0000000009</v>
      </c>
      <c r="M229" s="366" t="str">
        <f>VLOOKUP(B229,'[11]Gui chi Quynh'!$B$11:$E$400,4,FALSE)</f>
        <v>A3</v>
      </c>
      <c r="N229" s="494">
        <f t="shared" si="44"/>
        <v>9331200</v>
      </c>
      <c r="O229" s="376">
        <v>19</v>
      </c>
      <c r="P229" s="440">
        <f>IFERROR(INDEX('[12]CN BC'!$J$10:$J$276,MATCH(B229,'[12]CN BC'!$H$10:$H$276,0)),"")</f>
        <v>19</v>
      </c>
      <c r="Q229" s="494">
        <f t="shared" si="50"/>
        <v>9331200</v>
      </c>
      <c r="R229" s="392"/>
      <c r="S229" s="362">
        <f t="shared" si="43"/>
        <v>0</v>
      </c>
      <c r="T229" s="385"/>
      <c r="U229" s="362">
        <f t="shared" si="51"/>
        <v>0</v>
      </c>
      <c r="V229" s="584">
        <f t="shared" si="45"/>
        <v>77760</v>
      </c>
      <c r="W229" s="371">
        <f t="shared" si="49"/>
        <v>9331200</v>
      </c>
      <c r="X229" s="935">
        <f t="shared" si="47"/>
        <v>5.1840000000000002</v>
      </c>
      <c r="Y229" s="934">
        <v>1800000</v>
      </c>
      <c r="Z229" s="931">
        <f t="shared" si="48"/>
        <v>9331200</v>
      </c>
      <c r="AA229" s="568">
        <f t="shared" si="46"/>
        <v>209</v>
      </c>
      <c r="AB229" s="493">
        <f>IFERROR(INDEX('[12]CN BC'!$M$10:$M$276,MATCH(B229,'[12]CN BC'!$H$10:$H$276,0)),"")</f>
        <v>0</v>
      </c>
      <c r="AC229" s="523" t="s">
        <v>2240</v>
      </c>
      <c r="AF229" s="155"/>
    </row>
    <row r="230" spans="1:42" s="372" customFormat="1" ht="33.75" customHeight="1">
      <c r="A230" s="379">
        <f>_xlfn.AGGREGATE(4,7,A$20:A229)+1</f>
        <v>210</v>
      </c>
      <c r="B230" s="363" t="s">
        <v>1535</v>
      </c>
      <c r="C230" s="364" t="s">
        <v>986</v>
      </c>
      <c r="D230" s="434" t="s">
        <v>1784</v>
      </c>
      <c r="E230" s="422" t="s">
        <v>1595</v>
      </c>
      <c r="F230" s="373">
        <v>3.33</v>
      </c>
      <c r="G230" s="367"/>
      <c r="H230" s="445">
        <f t="shared" si="40"/>
        <v>3.33</v>
      </c>
      <c r="I230" s="368">
        <v>0.25</v>
      </c>
      <c r="J230" s="368" t="str">
        <f>VLOOKUP(B230,TH.T3!B236:J494,9,FALSE)</f>
        <v>Trưởng BM Cơ điện tử và Tự động hóa</v>
      </c>
      <c r="K230" s="369">
        <f t="shared" si="41"/>
        <v>3.58</v>
      </c>
      <c r="L230" s="362">
        <f t="shared" si="42"/>
        <v>6444000</v>
      </c>
      <c r="M230" s="366" t="str">
        <f>VLOOKUP(B230,'[11]Gui chi Quynh'!$B$11:$E$400,4,FALSE)</f>
        <v>A2</v>
      </c>
      <c r="N230" s="494">
        <f t="shared" si="44"/>
        <v>9021600</v>
      </c>
      <c r="O230" s="376">
        <v>19</v>
      </c>
      <c r="P230" s="440">
        <f>IFERROR(INDEX('[12]CN BC'!$J$10:$J$276,MATCH(B230,'[12]CN BC'!$H$10:$H$276,0)),"")</f>
        <v>19</v>
      </c>
      <c r="Q230" s="494">
        <f t="shared" si="50"/>
        <v>9021600</v>
      </c>
      <c r="R230" s="460"/>
      <c r="S230" s="362">
        <f t="shared" si="43"/>
        <v>0</v>
      </c>
      <c r="T230" s="370"/>
      <c r="U230" s="362">
        <f t="shared" si="51"/>
        <v>0</v>
      </c>
      <c r="V230" s="584">
        <f t="shared" si="45"/>
        <v>64440</v>
      </c>
      <c r="W230" s="371">
        <f t="shared" si="49"/>
        <v>9021600</v>
      </c>
      <c r="X230" s="935">
        <f t="shared" si="47"/>
        <v>5.0119999999999996</v>
      </c>
      <c r="Y230" s="934">
        <v>1800000</v>
      </c>
      <c r="Z230" s="931">
        <f t="shared" si="48"/>
        <v>9021600</v>
      </c>
      <c r="AA230" s="568">
        <f t="shared" si="46"/>
        <v>210</v>
      </c>
      <c r="AB230" s="493">
        <f>IFERROR(INDEX('[12]CN BC'!$M$10:$M$276,MATCH(B230,'[12]CN BC'!$H$10:$H$276,0)),"")</f>
        <v>0</v>
      </c>
      <c r="AC230" s="523" t="s">
        <v>2240</v>
      </c>
      <c r="AD230" s="108"/>
      <c r="AE230" s="108"/>
      <c r="AF230" s="155"/>
      <c r="AG230" s="108"/>
      <c r="AH230" s="108"/>
      <c r="AI230" s="108"/>
      <c r="AJ230" s="108"/>
      <c r="AK230" s="108"/>
      <c r="AL230" s="108"/>
    </row>
    <row r="231" spans="1:42" s="372" customFormat="1" ht="33.75" customHeight="1">
      <c r="A231" s="379">
        <f>_xlfn.AGGREGATE(4,7,A$20:A230)+1</f>
        <v>211</v>
      </c>
      <c r="B231" s="390" t="s">
        <v>1903</v>
      </c>
      <c r="C231" s="364" t="s">
        <v>1058</v>
      </c>
      <c r="D231" s="434" t="s">
        <v>1786</v>
      </c>
      <c r="E231" s="423" t="s">
        <v>1392</v>
      </c>
      <c r="F231" s="373">
        <v>4.32</v>
      </c>
      <c r="G231" s="367"/>
      <c r="H231" s="368">
        <f t="shared" si="40"/>
        <v>4.32</v>
      </c>
      <c r="I231" s="368"/>
      <c r="J231" s="368" t="str">
        <f>VLOOKUP(B231,TH.T3!B237:J495,9,FALSE)</f>
        <v>Giảng viên khoa Điện - Điện tử</v>
      </c>
      <c r="K231" s="369">
        <f t="shared" si="41"/>
        <v>4.32</v>
      </c>
      <c r="L231" s="362">
        <f t="shared" si="42"/>
        <v>7776000.0000000009</v>
      </c>
      <c r="M231" s="366" t="str">
        <f>VLOOKUP(B231,'[11]Gui chi Quynh'!$B$11:$E$400,4,FALSE)</f>
        <v>A3</v>
      </c>
      <c r="N231" s="494">
        <f t="shared" si="44"/>
        <v>9331200</v>
      </c>
      <c r="O231" s="376">
        <v>19</v>
      </c>
      <c r="P231" s="440">
        <f>IFERROR(INDEX('[12]CN BC'!$J$10:$J$276,MATCH(B231,'[12]CN BC'!$H$10:$H$276,0)),"")</f>
        <v>19</v>
      </c>
      <c r="Q231" s="494">
        <f t="shared" si="50"/>
        <v>9331200</v>
      </c>
      <c r="R231" s="460"/>
      <c r="S231" s="362">
        <f t="shared" si="43"/>
        <v>0</v>
      </c>
      <c r="T231" s="370"/>
      <c r="U231" s="362">
        <f t="shared" si="51"/>
        <v>0</v>
      </c>
      <c r="V231" s="584">
        <f t="shared" si="45"/>
        <v>77760</v>
      </c>
      <c r="W231" s="371">
        <f t="shared" si="49"/>
        <v>9331200</v>
      </c>
      <c r="X231" s="935">
        <f t="shared" si="47"/>
        <v>5.1840000000000002</v>
      </c>
      <c r="Y231" s="934">
        <v>1800000</v>
      </c>
      <c r="Z231" s="931">
        <f t="shared" si="48"/>
        <v>9331200</v>
      </c>
      <c r="AA231" s="568">
        <f t="shared" si="46"/>
        <v>211</v>
      </c>
      <c r="AB231" s="493">
        <f>IFERROR(INDEX('[12]CN BC'!$M$10:$M$276,MATCH(B231,'[12]CN BC'!$H$10:$H$276,0)),"")</f>
        <v>0</v>
      </c>
      <c r="AC231" s="523" t="s">
        <v>2240</v>
      </c>
      <c r="AD231" s="471"/>
      <c r="AE231" s="108"/>
      <c r="AF231" s="155"/>
      <c r="AG231" s="108"/>
      <c r="AH231" s="108"/>
      <c r="AI231" s="108"/>
      <c r="AJ231" s="108"/>
      <c r="AK231" s="108"/>
      <c r="AL231" s="108"/>
    </row>
    <row r="232" spans="1:42" s="372" customFormat="1" ht="33.75" customHeight="1">
      <c r="A232" s="379">
        <f>_xlfn.AGGREGATE(4,7,A$20:A231)+1</f>
        <v>212</v>
      </c>
      <c r="B232" s="363" t="s">
        <v>1904</v>
      </c>
      <c r="C232" s="364" t="s">
        <v>885</v>
      </c>
      <c r="D232" s="406" t="s">
        <v>1787</v>
      </c>
      <c r="E232" s="423" t="s">
        <v>1396</v>
      </c>
      <c r="F232" s="366">
        <v>4.6500000000000004</v>
      </c>
      <c r="G232" s="367"/>
      <c r="H232" s="368">
        <f t="shared" si="40"/>
        <v>4.6500000000000004</v>
      </c>
      <c r="I232" s="368"/>
      <c r="J232" s="368" t="str">
        <f>VLOOKUP(B232,TH.T3!B238:J496,9,FALSE)</f>
        <v>Giảng viên khoa Điện - Điện tử</v>
      </c>
      <c r="K232" s="369">
        <f t="shared" si="41"/>
        <v>4.6500000000000004</v>
      </c>
      <c r="L232" s="362">
        <f t="shared" si="42"/>
        <v>8370000.0000000009</v>
      </c>
      <c r="M232" s="366" t="str">
        <f>VLOOKUP(B232,'[11]Gui chi Quynh'!$B$11:$E$400,4,FALSE)</f>
        <v>A3</v>
      </c>
      <c r="N232" s="494">
        <f t="shared" si="44"/>
        <v>10044000</v>
      </c>
      <c r="O232" s="376">
        <v>19</v>
      </c>
      <c r="P232" s="440">
        <f>IFERROR(INDEX('[12]CN BC'!$J$10:$J$276,MATCH(B232,'[12]CN BC'!$H$10:$H$276,0)),"")</f>
        <v>19</v>
      </c>
      <c r="Q232" s="494">
        <f t="shared" si="50"/>
        <v>10044000</v>
      </c>
      <c r="R232" s="392"/>
      <c r="S232" s="362">
        <f t="shared" si="43"/>
        <v>0</v>
      </c>
      <c r="T232" s="385"/>
      <c r="U232" s="362">
        <f t="shared" si="51"/>
        <v>0</v>
      </c>
      <c r="V232" s="584">
        <f t="shared" si="45"/>
        <v>83700</v>
      </c>
      <c r="W232" s="371">
        <f t="shared" si="49"/>
        <v>10044000</v>
      </c>
      <c r="X232" s="935">
        <f t="shared" si="47"/>
        <v>5.58</v>
      </c>
      <c r="Y232" s="934">
        <v>1800000</v>
      </c>
      <c r="Z232" s="931">
        <f t="shared" si="48"/>
        <v>10044000</v>
      </c>
      <c r="AA232" s="568">
        <f t="shared" si="46"/>
        <v>212</v>
      </c>
      <c r="AB232" s="493">
        <f>IFERROR(INDEX('[12]CN BC'!$M$10:$M$276,MATCH(B232,'[12]CN BC'!$H$10:$H$276,0)),"")</f>
        <v>0</v>
      </c>
      <c r="AC232" s="523" t="s">
        <v>2240</v>
      </c>
      <c r="AD232" s="108"/>
      <c r="AE232" s="108"/>
      <c r="AF232" s="155"/>
      <c r="AG232" s="108"/>
      <c r="AH232" s="108"/>
      <c r="AI232" s="108"/>
      <c r="AJ232" s="108"/>
      <c r="AK232" s="108"/>
      <c r="AL232" s="108"/>
      <c r="AM232" s="108"/>
      <c r="AN232" s="108"/>
      <c r="AO232" s="108"/>
      <c r="AP232" s="108"/>
    </row>
    <row r="233" spans="1:42" s="372" customFormat="1" ht="33.75" customHeight="1">
      <c r="A233" s="379">
        <f>_xlfn.AGGREGATE(4,7,A$20:A232)+1</f>
        <v>213</v>
      </c>
      <c r="B233" s="363" t="s">
        <v>1536</v>
      </c>
      <c r="C233" s="364" t="s">
        <v>947</v>
      </c>
      <c r="D233" s="434" t="s">
        <v>1788</v>
      </c>
      <c r="E233" s="423" t="s">
        <v>389</v>
      </c>
      <c r="F233" s="373">
        <v>3.66</v>
      </c>
      <c r="G233" s="367"/>
      <c r="H233" s="368">
        <f t="shared" si="40"/>
        <v>3.66</v>
      </c>
      <c r="I233" s="368"/>
      <c r="J233" s="368" t="str">
        <f>VLOOKUP(B233,TH.T3!B239:J497,9,FALSE)</f>
        <v>Giảng viên khoa
Điện - Điện tử</v>
      </c>
      <c r="K233" s="369">
        <f t="shared" si="41"/>
        <v>3.66</v>
      </c>
      <c r="L233" s="362">
        <f t="shared" si="42"/>
        <v>6588000</v>
      </c>
      <c r="M233" s="366" t="str">
        <f>VLOOKUP(B233,'[11]Gui chi Quynh'!$B$11:$E$400,4,FALSE)</f>
        <v>A3</v>
      </c>
      <c r="N233" s="494">
        <f t="shared" si="44"/>
        <v>7905600</v>
      </c>
      <c r="O233" s="376">
        <v>19</v>
      </c>
      <c r="P233" s="440">
        <f>IFERROR(INDEX('[12]CN BC'!$J$10:$J$276,MATCH(B233,'[12]CN BC'!$H$10:$H$276,0)),"")</f>
        <v>20</v>
      </c>
      <c r="Q233" s="494">
        <f t="shared" si="50"/>
        <v>7905600</v>
      </c>
      <c r="R233" s="460"/>
      <c r="S233" s="362">
        <f t="shared" si="43"/>
        <v>0</v>
      </c>
      <c r="T233" s="370"/>
      <c r="U233" s="362">
        <f t="shared" si="51"/>
        <v>0</v>
      </c>
      <c r="V233" s="584">
        <f t="shared" si="45"/>
        <v>65880</v>
      </c>
      <c r="W233" s="371">
        <f t="shared" si="49"/>
        <v>7905600</v>
      </c>
      <c r="X233" s="935">
        <f t="shared" si="47"/>
        <v>4.3920000000000003</v>
      </c>
      <c r="Y233" s="934">
        <v>1800000</v>
      </c>
      <c r="Z233" s="931">
        <f t="shared" si="48"/>
        <v>7905600.0000000009</v>
      </c>
      <c r="AA233" s="568">
        <f t="shared" si="46"/>
        <v>213</v>
      </c>
      <c r="AB233" s="493">
        <f>IFERROR(INDEX('[12]CN BC'!$M$10:$M$276,MATCH(B233,'[12]CN BC'!$H$10:$H$276,0)),"")</f>
        <v>0</v>
      </c>
      <c r="AC233" s="523" t="s">
        <v>2240</v>
      </c>
      <c r="AD233" s="108"/>
      <c r="AE233" s="108"/>
      <c r="AF233" s="155"/>
      <c r="AG233" s="108"/>
      <c r="AH233" s="108"/>
      <c r="AI233" s="108"/>
      <c r="AJ233" s="108"/>
      <c r="AK233" s="108"/>
      <c r="AL233" s="108"/>
    </row>
    <row r="234" spans="1:42" s="372" customFormat="1" ht="33.75" customHeight="1">
      <c r="A234" s="379">
        <f>_xlfn.AGGREGATE(4,7,A$20:A233)+1</f>
        <v>214</v>
      </c>
      <c r="B234" s="363" t="s">
        <v>1537</v>
      </c>
      <c r="C234" s="364" t="s">
        <v>1199</v>
      </c>
      <c r="D234" s="406" t="s">
        <v>1789</v>
      </c>
      <c r="E234" s="423" t="s">
        <v>1334</v>
      </c>
      <c r="F234" s="373">
        <v>3.99</v>
      </c>
      <c r="G234" s="367"/>
      <c r="H234" s="368">
        <f t="shared" si="40"/>
        <v>3.99</v>
      </c>
      <c r="I234" s="368"/>
      <c r="J234" s="368" t="str">
        <f>VLOOKUP(B234,TH.T3!B240:J498,9,FALSE)</f>
        <v>Giảng viên khoa
Điện - Điện tử</v>
      </c>
      <c r="K234" s="369">
        <f t="shared" si="41"/>
        <v>3.99</v>
      </c>
      <c r="L234" s="362">
        <f t="shared" si="42"/>
        <v>7182000</v>
      </c>
      <c r="M234" s="366" t="str">
        <f>VLOOKUP(B234,'[11]Gui chi Quynh'!$B$11:$E$400,4,FALSE)</f>
        <v>A3</v>
      </c>
      <c r="N234" s="494">
        <f t="shared" si="44"/>
        <v>8618400</v>
      </c>
      <c r="O234" s="376">
        <v>19</v>
      </c>
      <c r="P234" s="440">
        <f>IFERROR(INDEX('[12]CN BC'!$J$10:$J$276,MATCH(B234,'[12]CN BC'!$H$10:$H$276,0)),"")</f>
        <v>20</v>
      </c>
      <c r="Q234" s="494">
        <f t="shared" si="50"/>
        <v>8618400</v>
      </c>
      <c r="R234" s="392"/>
      <c r="S234" s="362">
        <f t="shared" si="43"/>
        <v>0</v>
      </c>
      <c r="T234" s="370"/>
      <c r="U234" s="362">
        <f t="shared" si="51"/>
        <v>0</v>
      </c>
      <c r="V234" s="584">
        <f t="shared" si="45"/>
        <v>71820</v>
      </c>
      <c r="W234" s="371">
        <f t="shared" si="49"/>
        <v>8618400</v>
      </c>
      <c r="X234" s="935">
        <f t="shared" si="47"/>
        <v>4.7880000000000003</v>
      </c>
      <c r="Y234" s="934">
        <v>1800000</v>
      </c>
      <c r="Z234" s="931">
        <f t="shared" si="48"/>
        <v>8618400</v>
      </c>
      <c r="AA234" s="568">
        <f t="shared" si="46"/>
        <v>214</v>
      </c>
      <c r="AB234" s="493">
        <f>IFERROR(INDEX('[12]CN BC'!$M$10:$M$276,MATCH(B234,'[12]CN BC'!$H$10:$H$276,0)),"")</f>
        <v>0</v>
      </c>
      <c r="AC234" s="523" t="s">
        <v>2240</v>
      </c>
      <c r="AD234" s="108"/>
      <c r="AE234" s="108"/>
      <c r="AF234" s="155"/>
      <c r="AG234" s="108"/>
      <c r="AH234" s="108"/>
      <c r="AI234" s="108"/>
      <c r="AJ234" s="108"/>
      <c r="AK234" s="108"/>
      <c r="AL234" s="108"/>
      <c r="AM234" s="108"/>
      <c r="AN234" s="108"/>
      <c r="AO234" s="108"/>
      <c r="AP234" s="108"/>
    </row>
    <row r="235" spans="1:42" s="372" customFormat="1" ht="33.75" customHeight="1">
      <c r="A235" s="379">
        <f>_xlfn.AGGREGATE(4,7,A$20:A234)+1</f>
        <v>215</v>
      </c>
      <c r="B235" s="363" t="s">
        <v>1905</v>
      </c>
      <c r="C235" s="364" t="s">
        <v>1207</v>
      </c>
      <c r="D235" s="406" t="s">
        <v>1790</v>
      </c>
      <c r="E235" s="428" t="s">
        <v>463</v>
      </c>
      <c r="F235" s="373">
        <v>3.66</v>
      </c>
      <c r="G235" s="367"/>
      <c r="H235" s="445">
        <f t="shared" si="40"/>
        <v>3.66</v>
      </c>
      <c r="I235" s="368"/>
      <c r="J235" s="368" t="str">
        <f>VLOOKUP(B235,TH.T3!B241:J499,9,FALSE)</f>
        <v>Giảng viên khoa Điện - Điện tử</v>
      </c>
      <c r="K235" s="369">
        <f t="shared" si="41"/>
        <v>3.66</v>
      </c>
      <c r="L235" s="362">
        <f t="shared" si="42"/>
        <v>6588000</v>
      </c>
      <c r="M235" s="366" t="str">
        <f>VLOOKUP(B235,'[11]Gui chi Quynh'!$B$11:$E$400,4,FALSE)</f>
        <v>A3</v>
      </c>
      <c r="N235" s="494">
        <f t="shared" si="44"/>
        <v>7905600</v>
      </c>
      <c r="O235" s="376">
        <v>19</v>
      </c>
      <c r="P235" s="440">
        <f>IFERROR(INDEX('[12]CN BC'!$J$10:$J$276,MATCH(B235,'[12]CN BC'!$H$10:$H$276,0)),"")</f>
        <v>19</v>
      </c>
      <c r="Q235" s="494">
        <f t="shared" si="50"/>
        <v>7905600</v>
      </c>
      <c r="R235" s="392"/>
      <c r="S235" s="362">
        <f t="shared" si="43"/>
        <v>0</v>
      </c>
      <c r="T235" s="385"/>
      <c r="U235" s="362">
        <f t="shared" si="51"/>
        <v>0</v>
      </c>
      <c r="V235" s="584">
        <f t="shared" si="45"/>
        <v>65880</v>
      </c>
      <c r="W235" s="371">
        <f t="shared" si="49"/>
        <v>7905600</v>
      </c>
      <c r="X235" s="935">
        <f t="shared" si="47"/>
        <v>4.3920000000000003</v>
      </c>
      <c r="Y235" s="934">
        <v>1800000</v>
      </c>
      <c r="Z235" s="931">
        <f t="shared" si="48"/>
        <v>7905600.0000000009</v>
      </c>
      <c r="AA235" s="568">
        <f t="shared" si="46"/>
        <v>215</v>
      </c>
      <c r="AB235" s="493">
        <f>IFERROR(INDEX('[12]CN BC'!$M$10:$M$276,MATCH(B235,'[12]CN BC'!$H$10:$H$276,0)),"")</f>
        <v>0</v>
      </c>
      <c r="AC235" s="523" t="s">
        <v>2240</v>
      </c>
      <c r="AD235" s="108"/>
      <c r="AE235" s="108"/>
      <c r="AF235" s="155"/>
      <c r="AG235" s="108"/>
      <c r="AH235" s="108"/>
      <c r="AI235" s="108"/>
      <c r="AJ235" s="108"/>
      <c r="AK235" s="108"/>
      <c r="AL235" s="108"/>
      <c r="AM235" s="108"/>
      <c r="AN235" s="108"/>
      <c r="AO235" s="108"/>
      <c r="AP235" s="108"/>
    </row>
    <row r="236" spans="1:42" s="372" customFormat="1" ht="33.75" customHeight="1">
      <c r="A236" s="379">
        <f>_xlfn.AGGREGATE(4,7,A$20:A235)+1</f>
        <v>216</v>
      </c>
      <c r="B236" s="363" t="s">
        <v>1538</v>
      </c>
      <c r="C236" s="364" t="s">
        <v>1019</v>
      </c>
      <c r="D236" s="406" t="s">
        <v>1791</v>
      </c>
      <c r="E236" s="428" t="s">
        <v>510</v>
      </c>
      <c r="F236" s="373">
        <v>3.66</v>
      </c>
      <c r="G236" s="367"/>
      <c r="H236" s="368">
        <f t="shared" si="40"/>
        <v>3.66</v>
      </c>
      <c r="I236" s="368"/>
      <c r="J236" s="368" t="str">
        <f>VLOOKUP(B236,TH.T3!B242:J500,9,FALSE)</f>
        <v>Giảng viên khoa
Điện - Điện tử</v>
      </c>
      <c r="K236" s="369">
        <f t="shared" si="41"/>
        <v>3.66</v>
      </c>
      <c r="L236" s="362">
        <f t="shared" si="42"/>
        <v>6588000</v>
      </c>
      <c r="M236" s="366" t="str">
        <f>VLOOKUP(B236,'[11]Gui chi Quynh'!$B$11:$E$400,4,FALSE)</f>
        <v>A2</v>
      </c>
      <c r="N236" s="494">
        <f t="shared" si="44"/>
        <v>9223200</v>
      </c>
      <c r="O236" s="376">
        <v>19</v>
      </c>
      <c r="P236" s="440">
        <f>IFERROR(INDEX('[12]CN BC'!$J$10:$J$276,MATCH(B236,'[12]CN BC'!$H$10:$H$276,0)),"")</f>
        <v>19</v>
      </c>
      <c r="Q236" s="494">
        <f t="shared" si="50"/>
        <v>9223200</v>
      </c>
      <c r="R236" s="392"/>
      <c r="S236" s="362">
        <f t="shared" si="43"/>
        <v>0</v>
      </c>
      <c r="T236" s="385"/>
      <c r="U236" s="362">
        <f t="shared" si="51"/>
        <v>0</v>
      </c>
      <c r="V236" s="584">
        <f t="shared" si="45"/>
        <v>65880</v>
      </c>
      <c r="W236" s="371">
        <f t="shared" si="49"/>
        <v>9223200</v>
      </c>
      <c r="X236" s="935">
        <f t="shared" si="47"/>
        <v>5.1239999999999997</v>
      </c>
      <c r="Y236" s="934">
        <v>1800000</v>
      </c>
      <c r="Z236" s="931">
        <f t="shared" si="48"/>
        <v>9223200</v>
      </c>
      <c r="AA236" s="568">
        <f t="shared" si="46"/>
        <v>216</v>
      </c>
      <c r="AB236" s="493">
        <f>IFERROR(INDEX('[12]CN BC'!$M$10:$M$276,MATCH(B236,'[12]CN BC'!$H$10:$H$276,0)),"")</f>
        <v>0</v>
      </c>
      <c r="AC236" s="523" t="s">
        <v>2240</v>
      </c>
      <c r="AD236" s="108"/>
      <c r="AE236" s="108"/>
      <c r="AF236" s="155"/>
      <c r="AG236" s="108"/>
      <c r="AH236" s="108"/>
      <c r="AI236" s="108"/>
      <c r="AJ236" s="108"/>
      <c r="AK236" s="108"/>
      <c r="AL236" s="108"/>
      <c r="AM236" s="108"/>
      <c r="AN236" s="108"/>
      <c r="AO236" s="108"/>
      <c r="AP236" s="108"/>
    </row>
    <row r="237" spans="1:42" s="372" customFormat="1" ht="33.75" customHeight="1">
      <c r="A237" s="379">
        <f>_xlfn.AGGREGATE(4,7,A$20:A236)+1</f>
        <v>217</v>
      </c>
      <c r="B237" s="363" t="s">
        <v>1906</v>
      </c>
      <c r="C237" s="364" t="s">
        <v>917</v>
      </c>
      <c r="D237" s="434" t="s">
        <v>1792</v>
      </c>
      <c r="E237" s="423" t="s">
        <v>1399</v>
      </c>
      <c r="F237" s="366">
        <v>4.9800000000000004</v>
      </c>
      <c r="G237" s="367">
        <v>0.08</v>
      </c>
      <c r="H237" s="368">
        <f t="shared" si="40"/>
        <v>5.3784000000000001</v>
      </c>
      <c r="I237" s="368">
        <v>0.35</v>
      </c>
      <c r="J237" s="368" t="str">
        <f>VLOOKUP(B237,TH.T3!B243:J501,9,FALSE)</f>
        <v>Giảng viên khoa Điện - Điện tử</v>
      </c>
      <c r="K237" s="369">
        <f t="shared" si="41"/>
        <v>5.7283999999999997</v>
      </c>
      <c r="L237" s="362">
        <f t="shared" si="42"/>
        <v>10311120</v>
      </c>
      <c r="M237" s="366" t="str">
        <f>VLOOKUP(B237,'[11]Gui chi Quynh'!$B$11:$E$400,4,FALSE)</f>
        <v>A2</v>
      </c>
      <c r="N237" s="494">
        <f t="shared" si="44"/>
        <v>14435568</v>
      </c>
      <c r="O237" s="376">
        <v>19</v>
      </c>
      <c r="P237" s="440">
        <f>IFERROR(INDEX('[12]CN BC'!$J$10:$J$276,MATCH(B237,'[12]CN BC'!$H$10:$H$276,0)),"")</f>
        <v>19</v>
      </c>
      <c r="Q237" s="494">
        <f t="shared" si="50"/>
        <v>14435568</v>
      </c>
      <c r="R237" s="460"/>
      <c r="S237" s="362">
        <f t="shared" si="43"/>
        <v>0</v>
      </c>
      <c r="T237" s="370"/>
      <c r="U237" s="362">
        <f t="shared" si="51"/>
        <v>0</v>
      </c>
      <c r="V237" s="584">
        <f t="shared" si="45"/>
        <v>103111</v>
      </c>
      <c r="W237" s="371">
        <f t="shared" si="49"/>
        <v>14435568</v>
      </c>
      <c r="X237" s="935">
        <f t="shared" si="47"/>
        <v>8.0197599999999998</v>
      </c>
      <c r="Y237" s="934">
        <v>1800000</v>
      </c>
      <c r="Z237" s="931">
        <f t="shared" si="48"/>
        <v>14435568</v>
      </c>
      <c r="AA237" s="568">
        <f t="shared" si="46"/>
        <v>217</v>
      </c>
      <c r="AB237" s="493">
        <f>IFERROR(INDEX('[12]CN BC'!$M$10:$M$276,MATCH(B237,'[12]CN BC'!$H$10:$H$276,0)),"")</f>
        <v>0</v>
      </c>
      <c r="AC237" s="523" t="s">
        <v>2240</v>
      </c>
      <c r="AD237" s="108"/>
      <c r="AE237" s="108"/>
      <c r="AF237" s="155"/>
      <c r="AG237" s="108"/>
      <c r="AH237" s="108"/>
      <c r="AI237" s="108"/>
      <c r="AJ237" s="108"/>
      <c r="AK237" s="108"/>
      <c r="AL237" s="108"/>
    </row>
    <row r="238" spans="1:42" s="372" customFormat="1" ht="33.75" customHeight="1">
      <c r="A238" s="379">
        <f>_xlfn.AGGREGATE(4,7,A$20:A237)+1</f>
        <v>218</v>
      </c>
      <c r="B238" s="363" t="s">
        <v>1907</v>
      </c>
      <c r="C238" s="364" t="s">
        <v>878</v>
      </c>
      <c r="D238" s="434" t="s">
        <v>1793</v>
      </c>
      <c r="E238" s="423" t="s">
        <v>1400</v>
      </c>
      <c r="F238" s="366">
        <v>4.9800000000000004</v>
      </c>
      <c r="G238" s="367">
        <v>0.12</v>
      </c>
      <c r="H238" s="368">
        <f t="shared" si="40"/>
        <v>5.5776000000000003</v>
      </c>
      <c r="I238" s="368"/>
      <c r="J238" s="368" t="str">
        <f>VLOOKUP(B238,TH.T3!B244:J502,9,FALSE)</f>
        <v>Giảng viên khoa Điện - Điện tử</v>
      </c>
      <c r="K238" s="369">
        <f t="shared" si="41"/>
        <v>5.5776000000000003</v>
      </c>
      <c r="L238" s="362">
        <f t="shared" si="42"/>
        <v>10039680</v>
      </c>
      <c r="M238" s="366" t="str">
        <f>VLOOKUP(B238,'[11]Gui chi Quynh'!$B$11:$E$400,4,FALSE)</f>
        <v>A4</v>
      </c>
      <c r="N238" s="494">
        <f t="shared" si="44"/>
        <v>10039680</v>
      </c>
      <c r="O238" s="376">
        <v>19</v>
      </c>
      <c r="P238" s="440">
        <f>IFERROR(INDEX('[12]CN BC'!$J$10:$J$276,MATCH(B238,'[12]CN BC'!$H$10:$H$276,0)),"")</f>
        <v>19</v>
      </c>
      <c r="Q238" s="494">
        <f t="shared" si="50"/>
        <v>10039680</v>
      </c>
      <c r="R238" s="460"/>
      <c r="S238" s="362">
        <f t="shared" si="43"/>
        <v>0</v>
      </c>
      <c r="T238" s="370"/>
      <c r="U238" s="362">
        <f t="shared" si="51"/>
        <v>0</v>
      </c>
      <c r="V238" s="584">
        <f t="shared" si="45"/>
        <v>100397</v>
      </c>
      <c r="W238" s="371">
        <f t="shared" si="49"/>
        <v>10039680</v>
      </c>
      <c r="X238" s="935">
        <f t="shared" si="47"/>
        <v>5.5776000000000003</v>
      </c>
      <c r="Y238" s="934">
        <v>1800000</v>
      </c>
      <c r="Z238" s="931">
        <f t="shared" si="48"/>
        <v>10039680</v>
      </c>
      <c r="AA238" s="568">
        <f t="shared" si="46"/>
        <v>218</v>
      </c>
      <c r="AB238" s="493">
        <f>IFERROR(INDEX('[12]CN BC'!$M$10:$M$276,MATCH(B238,'[12]CN BC'!$H$10:$H$276,0)),"")</f>
        <v>0</v>
      </c>
      <c r="AC238" s="523" t="s">
        <v>2240</v>
      </c>
      <c r="AD238" s="108"/>
      <c r="AE238" s="108"/>
      <c r="AF238" s="155"/>
    </row>
    <row r="239" spans="1:42" s="372" customFormat="1" ht="33.75" customHeight="1">
      <c r="A239" s="379">
        <f>_xlfn.AGGREGATE(4,7,A$20:A238)+1</f>
        <v>219</v>
      </c>
      <c r="B239" s="363" t="s">
        <v>1908</v>
      </c>
      <c r="C239" s="364" t="s">
        <v>1064</v>
      </c>
      <c r="D239" s="434" t="s">
        <v>1794</v>
      </c>
      <c r="E239" s="423" t="s">
        <v>1401</v>
      </c>
      <c r="F239" s="366">
        <v>4.9800000000000004</v>
      </c>
      <c r="G239" s="367">
        <v>0.08</v>
      </c>
      <c r="H239" s="368">
        <f t="shared" si="40"/>
        <v>5.3784000000000001</v>
      </c>
      <c r="I239" s="368"/>
      <c r="J239" s="368" t="str">
        <f>VLOOKUP(B239,TH.T3!B245:J503,9,FALSE)</f>
        <v>Giảng viên khoa Điện - Điện tử</v>
      </c>
      <c r="K239" s="369">
        <f t="shared" si="41"/>
        <v>5.3784000000000001</v>
      </c>
      <c r="L239" s="362">
        <f t="shared" si="42"/>
        <v>9681120</v>
      </c>
      <c r="M239" s="366" t="str">
        <f>VLOOKUP(B239,'[11]Gui chi Quynh'!$B$11:$E$400,4,FALSE)</f>
        <v>A3</v>
      </c>
      <c r="N239" s="494">
        <f t="shared" si="44"/>
        <v>11617344</v>
      </c>
      <c r="O239" s="376">
        <v>19</v>
      </c>
      <c r="P239" s="440">
        <f>IFERROR(INDEX('[12]CN BC'!$J$10:$J$276,MATCH(B239,'[12]CN BC'!$H$10:$H$276,0)),"")</f>
        <v>20</v>
      </c>
      <c r="Q239" s="494">
        <f t="shared" si="50"/>
        <v>11617344</v>
      </c>
      <c r="R239" s="460"/>
      <c r="S239" s="362">
        <f t="shared" si="43"/>
        <v>0</v>
      </c>
      <c r="T239" s="370"/>
      <c r="U239" s="362">
        <f t="shared" si="51"/>
        <v>0</v>
      </c>
      <c r="V239" s="584">
        <f t="shared" si="45"/>
        <v>96811</v>
      </c>
      <c r="W239" s="371">
        <f t="shared" si="49"/>
        <v>11617344</v>
      </c>
      <c r="X239" s="935">
        <f t="shared" si="47"/>
        <v>6.4540800000000003</v>
      </c>
      <c r="Y239" s="934">
        <v>1800000</v>
      </c>
      <c r="Z239" s="931">
        <f t="shared" si="48"/>
        <v>11617344</v>
      </c>
      <c r="AA239" s="568">
        <f t="shared" si="46"/>
        <v>219</v>
      </c>
      <c r="AB239" s="493">
        <f>IFERROR(INDEX('[12]CN BC'!$M$10:$M$276,MATCH(B239,'[12]CN BC'!$H$10:$H$276,0)),"")</f>
        <v>0</v>
      </c>
      <c r="AC239" s="523" t="s">
        <v>2240</v>
      </c>
      <c r="AD239" s="108"/>
      <c r="AE239" s="108"/>
      <c r="AF239" s="155"/>
      <c r="AG239" s="108"/>
      <c r="AH239" s="108"/>
      <c r="AI239" s="108"/>
      <c r="AJ239" s="108"/>
      <c r="AK239" s="108"/>
      <c r="AL239" s="108"/>
    </row>
    <row r="240" spans="1:42" s="108" customFormat="1" ht="33.75" customHeight="1">
      <c r="A240" s="379">
        <f>_xlfn.AGGREGATE(4,7,A$20:A239)+1</f>
        <v>220</v>
      </c>
      <c r="B240" s="33" t="s">
        <v>1909</v>
      </c>
      <c r="C240" s="409" t="s">
        <v>1069</v>
      </c>
      <c r="D240" s="407" t="s">
        <v>1795</v>
      </c>
      <c r="E240" s="425" t="s">
        <v>1404</v>
      </c>
      <c r="F240" s="366">
        <v>4.32</v>
      </c>
      <c r="G240" s="468"/>
      <c r="H240" s="368">
        <f t="shared" si="40"/>
        <v>4.32</v>
      </c>
      <c r="I240" s="368"/>
      <c r="J240" s="368" t="str">
        <f>VLOOKUP(B240,TH.T3!B246:J504,9,FALSE)</f>
        <v>Giảng viên khoa Điện - Điện tử</v>
      </c>
      <c r="K240" s="369">
        <f t="shared" si="41"/>
        <v>4.32</v>
      </c>
      <c r="L240" s="362">
        <f t="shared" si="42"/>
        <v>7776000.0000000009</v>
      </c>
      <c r="M240" s="366" t="str">
        <f>VLOOKUP(B240,'[11]Gui chi Quynh'!$B$11:$E$400,4,FALSE)</f>
        <v>A4</v>
      </c>
      <c r="N240" s="494">
        <f t="shared" si="44"/>
        <v>7776000.0000000009</v>
      </c>
      <c r="O240" s="376">
        <v>19</v>
      </c>
      <c r="P240" s="440">
        <f>IFERROR(INDEX('[12]CN BC'!$J$10:$J$276,MATCH(B240,'[12]CN BC'!$H$10:$H$276,0)),"")</f>
        <v>19</v>
      </c>
      <c r="Q240" s="494">
        <f t="shared" si="50"/>
        <v>7776000.0000000009</v>
      </c>
      <c r="R240" s="392"/>
      <c r="S240" s="362">
        <f t="shared" si="43"/>
        <v>0</v>
      </c>
      <c r="T240" s="408"/>
      <c r="U240" s="362">
        <f t="shared" si="51"/>
        <v>0</v>
      </c>
      <c r="V240" s="584">
        <f t="shared" si="45"/>
        <v>77760</v>
      </c>
      <c r="W240" s="371">
        <f t="shared" si="49"/>
        <v>7776000.0000000009</v>
      </c>
      <c r="X240" s="935">
        <f t="shared" si="47"/>
        <v>4.32</v>
      </c>
      <c r="Y240" s="934">
        <v>1800000</v>
      </c>
      <c r="Z240" s="931">
        <f t="shared" si="48"/>
        <v>7776000.0000000009</v>
      </c>
      <c r="AA240" s="568">
        <f t="shared" si="46"/>
        <v>220</v>
      </c>
      <c r="AB240" s="493">
        <f>IFERROR(INDEX('[12]CN BC'!$M$10:$M$276,MATCH(B240,'[12]CN BC'!$H$10:$H$276,0)),"")</f>
        <v>0</v>
      </c>
      <c r="AC240" s="523" t="s">
        <v>2240</v>
      </c>
      <c r="AF240" s="155"/>
    </row>
    <row r="241" spans="1:42" s="108" customFormat="1" ht="33.75" customHeight="1">
      <c r="A241" s="379">
        <f>_xlfn.AGGREGATE(4,7,A$20:A240)+1</f>
        <v>221</v>
      </c>
      <c r="B241" s="33" t="s">
        <v>1539</v>
      </c>
      <c r="C241" s="34" t="s">
        <v>910</v>
      </c>
      <c r="D241" s="406" t="s">
        <v>1796</v>
      </c>
      <c r="E241" s="424" t="s">
        <v>1405</v>
      </c>
      <c r="F241" s="10">
        <v>4.32</v>
      </c>
      <c r="G241" s="157"/>
      <c r="H241" s="368">
        <f t="shared" si="40"/>
        <v>4.32</v>
      </c>
      <c r="I241" s="368"/>
      <c r="J241" s="368" t="str">
        <f>VLOOKUP(B241,TH.T3!B247:J505,9,FALSE)</f>
        <v>Giảng viên khoa
Điện - Điện tử</v>
      </c>
      <c r="K241" s="369">
        <f t="shared" si="41"/>
        <v>4.32</v>
      </c>
      <c r="L241" s="362">
        <f t="shared" si="42"/>
        <v>7776000.0000000009</v>
      </c>
      <c r="M241" s="366" t="str">
        <f>VLOOKUP(B241,'[11]Gui chi Quynh'!$B$11:$E$400,4,FALSE)</f>
        <v>A3</v>
      </c>
      <c r="N241" s="494">
        <f t="shared" si="44"/>
        <v>9331200</v>
      </c>
      <c r="O241" s="376">
        <v>19</v>
      </c>
      <c r="P241" s="440">
        <f>IFERROR(INDEX('[12]CN BC'!$J$10:$J$276,MATCH(B241,'[12]CN BC'!$H$10:$H$276,0)),"")</f>
        <v>19</v>
      </c>
      <c r="Q241" s="494">
        <f t="shared" si="50"/>
        <v>9331200</v>
      </c>
      <c r="R241" s="392"/>
      <c r="S241" s="362">
        <f t="shared" si="43"/>
        <v>0</v>
      </c>
      <c r="T241" s="385"/>
      <c r="U241" s="362">
        <f t="shared" si="51"/>
        <v>0</v>
      </c>
      <c r="V241" s="584">
        <f t="shared" si="45"/>
        <v>77760</v>
      </c>
      <c r="W241" s="371">
        <f t="shared" si="49"/>
        <v>9331200</v>
      </c>
      <c r="X241" s="935">
        <f t="shared" si="47"/>
        <v>5.1840000000000002</v>
      </c>
      <c r="Y241" s="934">
        <v>1800000</v>
      </c>
      <c r="Z241" s="931">
        <f t="shared" si="48"/>
        <v>9331200</v>
      </c>
      <c r="AA241" s="568">
        <f t="shared" si="46"/>
        <v>221</v>
      </c>
      <c r="AB241" s="493">
        <f>IFERROR(INDEX('[12]CN BC'!$M$10:$M$276,MATCH(B241,'[12]CN BC'!$H$10:$H$276,0)),"")</f>
        <v>0</v>
      </c>
      <c r="AC241" s="523" t="s">
        <v>2240</v>
      </c>
      <c r="AF241" s="155"/>
    </row>
    <row r="242" spans="1:42" s="372" customFormat="1" ht="33.75" customHeight="1">
      <c r="A242" s="379">
        <f>_xlfn.AGGREGATE(4,7,A$20:A241)+1</f>
        <v>222</v>
      </c>
      <c r="B242" s="363" t="s">
        <v>1910</v>
      </c>
      <c r="C242" s="364" t="s">
        <v>1072</v>
      </c>
      <c r="D242" s="406" t="s">
        <v>1797</v>
      </c>
      <c r="E242" s="423" t="s">
        <v>1406</v>
      </c>
      <c r="F242" s="366">
        <v>4.6500000000000004</v>
      </c>
      <c r="G242" s="367"/>
      <c r="H242" s="368">
        <f t="shared" si="40"/>
        <v>4.6500000000000004</v>
      </c>
      <c r="I242" s="368"/>
      <c r="J242" s="368" t="str">
        <f>VLOOKUP(B242,TH.T3!B248:J506,9,FALSE)</f>
        <v>Giảng viên khoa Điện - Điện tử</v>
      </c>
      <c r="K242" s="369">
        <f t="shared" si="41"/>
        <v>4.6500000000000004</v>
      </c>
      <c r="L242" s="362">
        <f t="shared" si="42"/>
        <v>8370000.0000000009</v>
      </c>
      <c r="M242" s="366" t="str">
        <f>VLOOKUP(B242,'[11]Gui chi Quynh'!$B$11:$E$400,4,FALSE)</f>
        <v>A3</v>
      </c>
      <c r="N242" s="494">
        <f t="shared" si="44"/>
        <v>10044000</v>
      </c>
      <c r="O242" s="376">
        <v>19</v>
      </c>
      <c r="P242" s="440">
        <f>IFERROR(INDEX('[12]CN BC'!$J$10:$J$276,MATCH(B242,'[12]CN BC'!$H$10:$H$276,0)),"")</f>
        <v>20</v>
      </c>
      <c r="Q242" s="494">
        <f t="shared" si="50"/>
        <v>10044000</v>
      </c>
      <c r="R242" s="392"/>
      <c r="S242" s="362">
        <f t="shared" si="43"/>
        <v>0</v>
      </c>
      <c r="T242" s="385"/>
      <c r="U242" s="362">
        <f t="shared" si="51"/>
        <v>0</v>
      </c>
      <c r="V242" s="584">
        <f t="shared" si="45"/>
        <v>83700</v>
      </c>
      <c r="W242" s="371">
        <f t="shared" si="49"/>
        <v>10044000</v>
      </c>
      <c r="X242" s="935">
        <f t="shared" si="47"/>
        <v>5.58</v>
      </c>
      <c r="Y242" s="934">
        <v>1800000</v>
      </c>
      <c r="Z242" s="931">
        <f t="shared" si="48"/>
        <v>10044000</v>
      </c>
      <c r="AA242" s="568">
        <f t="shared" si="46"/>
        <v>222</v>
      </c>
      <c r="AB242" s="493">
        <f>IFERROR(INDEX('[12]CN BC'!$M$10:$M$276,MATCH(B242,'[12]CN BC'!$H$10:$H$276,0)),"")</f>
        <v>0</v>
      </c>
      <c r="AC242" s="523" t="s">
        <v>2240</v>
      </c>
      <c r="AD242" s="108"/>
      <c r="AE242" s="108"/>
      <c r="AF242" s="155"/>
      <c r="AG242" s="108"/>
      <c r="AH242" s="108"/>
      <c r="AI242" s="108"/>
      <c r="AJ242" s="108"/>
      <c r="AK242" s="108"/>
      <c r="AL242" s="108"/>
      <c r="AM242" s="108"/>
      <c r="AN242" s="108"/>
      <c r="AO242" s="108"/>
      <c r="AP242" s="108"/>
    </row>
    <row r="243" spans="1:42" s="372" customFormat="1" ht="33.75" customHeight="1">
      <c r="A243" s="379">
        <f>_xlfn.AGGREGATE(4,7,A$20:A242)+1</f>
        <v>223</v>
      </c>
      <c r="B243" s="363" t="s">
        <v>1911</v>
      </c>
      <c r="C243" s="364" t="s">
        <v>873</v>
      </c>
      <c r="D243" s="434" t="s">
        <v>1798</v>
      </c>
      <c r="E243" s="423" t="s">
        <v>1407</v>
      </c>
      <c r="F243" s="366">
        <v>4.6500000000000004</v>
      </c>
      <c r="G243" s="367"/>
      <c r="H243" s="368">
        <f t="shared" si="40"/>
        <v>4.6500000000000004</v>
      </c>
      <c r="I243" s="368"/>
      <c r="J243" s="368" t="str">
        <f>VLOOKUP(B243,TH.T3!B249:J507,9,FALSE)</f>
        <v>Giảng viên khoa Điện - Điện tử</v>
      </c>
      <c r="K243" s="369">
        <f t="shared" si="41"/>
        <v>4.6500000000000004</v>
      </c>
      <c r="L243" s="362">
        <f t="shared" si="42"/>
        <v>8370000.0000000009</v>
      </c>
      <c r="M243" s="366" t="str">
        <f>VLOOKUP(B243,'[11]Gui chi Quynh'!$B$11:$E$400,4,FALSE)</f>
        <v>A3</v>
      </c>
      <c r="N243" s="494">
        <f t="shared" si="44"/>
        <v>10044000</v>
      </c>
      <c r="O243" s="376">
        <v>19</v>
      </c>
      <c r="P243" s="440">
        <f>IFERROR(INDEX('[12]CN BC'!$J$10:$J$276,MATCH(B243,'[12]CN BC'!$H$10:$H$276,0)),"")</f>
        <v>19</v>
      </c>
      <c r="Q243" s="494">
        <f t="shared" si="50"/>
        <v>10044000</v>
      </c>
      <c r="R243" s="392"/>
      <c r="S243" s="362">
        <f t="shared" si="43"/>
        <v>0</v>
      </c>
      <c r="T243" s="370"/>
      <c r="U243" s="362">
        <f t="shared" si="51"/>
        <v>0</v>
      </c>
      <c r="V243" s="584">
        <f t="shared" si="45"/>
        <v>83700</v>
      </c>
      <c r="W243" s="371">
        <f t="shared" si="49"/>
        <v>10044000</v>
      </c>
      <c r="X243" s="935">
        <f t="shared" si="47"/>
        <v>5.58</v>
      </c>
      <c r="Y243" s="934">
        <v>1800000</v>
      </c>
      <c r="Z243" s="931">
        <f t="shared" si="48"/>
        <v>10044000</v>
      </c>
      <c r="AA243" s="568">
        <f t="shared" si="46"/>
        <v>223</v>
      </c>
      <c r="AB243" s="493">
        <f>IFERROR(INDEX('[12]CN BC'!$M$10:$M$276,MATCH(B243,'[12]CN BC'!$H$10:$H$276,0)),"")</f>
        <v>0</v>
      </c>
      <c r="AC243" s="523" t="s">
        <v>2240</v>
      </c>
      <c r="AD243" s="108"/>
      <c r="AE243" s="108"/>
      <c r="AF243" s="155"/>
      <c r="AG243" s="108"/>
      <c r="AH243" s="108"/>
      <c r="AI243" s="108"/>
      <c r="AJ243" s="108"/>
      <c r="AK243" s="108"/>
      <c r="AL243" s="108"/>
    </row>
    <row r="244" spans="1:42" s="108" customFormat="1" ht="33.75" customHeight="1">
      <c r="A244" s="379">
        <f>_xlfn.AGGREGATE(4,7,A$20:A243)+1</f>
        <v>224</v>
      </c>
      <c r="B244" s="33" t="s">
        <v>1912</v>
      </c>
      <c r="C244" s="34" t="s">
        <v>867</v>
      </c>
      <c r="D244" s="406" t="s">
        <v>1799</v>
      </c>
      <c r="E244" s="424" t="s">
        <v>1409</v>
      </c>
      <c r="F244" s="10">
        <v>4.6500000000000004</v>
      </c>
      <c r="G244" s="157"/>
      <c r="H244" s="368">
        <f t="shared" si="40"/>
        <v>4.6500000000000004</v>
      </c>
      <c r="I244" s="81"/>
      <c r="J244" s="368" t="str">
        <f>VLOOKUP(B244,TH.T3!B250:J508,9,FALSE)</f>
        <v>Giảng viên khoa Điện - Điện tử</v>
      </c>
      <c r="K244" s="369">
        <f t="shared" si="41"/>
        <v>4.6500000000000004</v>
      </c>
      <c r="L244" s="362">
        <f t="shared" si="42"/>
        <v>8370000.0000000009</v>
      </c>
      <c r="M244" s="366" t="str">
        <f>VLOOKUP(B244,'[11]Gui chi Quynh'!$B$11:$E$400,4,FALSE)</f>
        <v>A3</v>
      </c>
      <c r="N244" s="494">
        <f t="shared" si="44"/>
        <v>10044000</v>
      </c>
      <c r="O244" s="376">
        <v>19</v>
      </c>
      <c r="P244" s="440">
        <f>IFERROR(INDEX('[12]CN BC'!$J$10:$J$276,MATCH(B244,'[12]CN BC'!$H$10:$H$276,0)),"")</f>
        <v>19</v>
      </c>
      <c r="Q244" s="494">
        <f t="shared" si="50"/>
        <v>10044000</v>
      </c>
      <c r="R244" s="392"/>
      <c r="S244" s="362">
        <f t="shared" si="43"/>
        <v>0</v>
      </c>
      <c r="T244" s="385"/>
      <c r="U244" s="362">
        <f t="shared" si="51"/>
        <v>0</v>
      </c>
      <c r="V244" s="584">
        <f t="shared" si="45"/>
        <v>83700</v>
      </c>
      <c r="W244" s="371">
        <f t="shared" si="49"/>
        <v>10044000</v>
      </c>
      <c r="X244" s="935">
        <f t="shared" si="47"/>
        <v>5.58</v>
      </c>
      <c r="Y244" s="934">
        <v>1800000</v>
      </c>
      <c r="Z244" s="931">
        <f t="shared" si="48"/>
        <v>10044000</v>
      </c>
      <c r="AA244" s="568">
        <f t="shared" si="46"/>
        <v>224</v>
      </c>
      <c r="AB244" s="493">
        <f>IFERROR(INDEX('[12]CN BC'!$M$10:$M$276,MATCH(B244,'[12]CN BC'!$H$10:$H$276,0)),"")</f>
        <v>0</v>
      </c>
      <c r="AC244" s="523" t="s">
        <v>2240</v>
      </c>
      <c r="AF244" s="155"/>
    </row>
    <row r="245" spans="1:42" s="108" customFormat="1" ht="33.75" customHeight="1">
      <c r="A245" s="379">
        <f>_xlfn.AGGREGATE(4,7,A$20:A244)+1</f>
        <v>225</v>
      </c>
      <c r="B245" s="33" t="s">
        <v>1913</v>
      </c>
      <c r="C245" s="34" t="s">
        <v>1078</v>
      </c>
      <c r="D245" s="406" t="s">
        <v>1800</v>
      </c>
      <c r="E245" s="424" t="s">
        <v>1410</v>
      </c>
      <c r="F245" s="10">
        <v>4.6500000000000004</v>
      </c>
      <c r="G245" s="157"/>
      <c r="H245" s="368">
        <f t="shared" si="40"/>
        <v>4.6500000000000004</v>
      </c>
      <c r="I245" s="81"/>
      <c r="J245" s="368" t="str">
        <f>VLOOKUP(B245,TH.T3!B251:J509,9,FALSE)</f>
        <v>Giảng viên khoa Điện - Điện tử</v>
      </c>
      <c r="K245" s="369">
        <f t="shared" si="41"/>
        <v>4.6500000000000004</v>
      </c>
      <c r="L245" s="362">
        <f t="shared" si="42"/>
        <v>8370000.0000000009</v>
      </c>
      <c r="M245" s="366" t="str">
        <f>VLOOKUP(B245,'[11]Gui chi Quynh'!$B$11:$E$400,4,FALSE)</f>
        <v>A4</v>
      </c>
      <c r="N245" s="494">
        <f t="shared" si="44"/>
        <v>8370000.0000000009</v>
      </c>
      <c r="O245" s="376">
        <v>19</v>
      </c>
      <c r="P245" s="440">
        <f>IFERROR(INDEX('[12]CN BC'!$J$10:$J$276,MATCH(B245,'[12]CN BC'!$H$10:$H$276,0)),"")</f>
        <v>20</v>
      </c>
      <c r="Q245" s="494">
        <f t="shared" si="50"/>
        <v>8370000.0000000009</v>
      </c>
      <c r="R245" s="392"/>
      <c r="S245" s="362">
        <f t="shared" si="43"/>
        <v>0</v>
      </c>
      <c r="T245" s="385"/>
      <c r="U245" s="362">
        <f t="shared" si="51"/>
        <v>0</v>
      </c>
      <c r="V245" s="584">
        <f t="shared" si="45"/>
        <v>83700</v>
      </c>
      <c r="W245" s="371">
        <f t="shared" si="49"/>
        <v>8370000.0000000009</v>
      </c>
      <c r="X245" s="935">
        <f t="shared" si="47"/>
        <v>4.6500000000000004</v>
      </c>
      <c r="Y245" s="934">
        <v>1800000</v>
      </c>
      <c r="Z245" s="931">
        <f t="shared" si="48"/>
        <v>8370000.0000000009</v>
      </c>
      <c r="AA245" s="568">
        <f t="shared" si="46"/>
        <v>225</v>
      </c>
      <c r="AB245" s="493">
        <f>IFERROR(INDEX('[12]CN BC'!$M$10:$M$276,MATCH(B245,'[12]CN BC'!$H$10:$H$276,0)),"")</f>
        <v>0</v>
      </c>
      <c r="AC245" s="523" t="s">
        <v>2240</v>
      </c>
      <c r="AF245" s="155"/>
    </row>
    <row r="246" spans="1:42" s="108" customFormat="1" ht="33.75" customHeight="1">
      <c r="A246" s="379">
        <f>_xlfn.AGGREGATE(4,7,A$20:A245)+1</f>
        <v>226</v>
      </c>
      <c r="B246" s="33" t="s">
        <v>1540</v>
      </c>
      <c r="C246" s="34" t="s">
        <v>1019</v>
      </c>
      <c r="D246" s="406" t="s">
        <v>1801</v>
      </c>
      <c r="E246" s="424" t="s">
        <v>1412</v>
      </c>
      <c r="F246" s="10">
        <v>3.99</v>
      </c>
      <c r="G246" s="157"/>
      <c r="H246" s="368">
        <f t="shared" si="40"/>
        <v>3.99</v>
      </c>
      <c r="I246" s="81"/>
      <c r="J246" s="368" t="str">
        <f>VLOOKUP(B246,TH.T3!B252:J510,9,FALSE)</f>
        <v>Giảng viên khoa
Điện - Điện tử</v>
      </c>
      <c r="K246" s="369">
        <f t="shared" si="41"/>
        <v>3.99</v>
      </c>
      <c r="L246" s="362">
        <f t="shared" si="42"/>
        <v>7182000</v>
      </c>
      <c r="M246" s="366" t="str">
        <f>VLOOKUP(B246,'[11]Gui chi Quynh'!$B$11:$E$400,4,FALSE)</f>
        <v>A3</v>
      </c>
      <c r="N246" s="494">
        <f t="shared" si="44"/>
        <v>8618400</v>
      </c>
      <c r="O246" s="376">
        <v>19</v>
      </c>
      <c r="P246" s="440">
        <f>IFERROR(INDEX('[12]CN BC'!$J$10:$J$276,MATCH(B246,'[12]CN BC'!$H$10:$H$276,0)),"")</f>
        <v>20</v>
      </c>
      <c r="Q246" s="494">
        <f t="shared" si="50"/>
        <v>8618400</v>
      </c>
      <c r="R246" s="392"/>
      <c r="S246" s="362">
        <f t="shared" si="43"/>
        <v>0</v>
      </c>
      <c r="T246" s="385"/>
      <c r="U246" s="362">
        <f t="shared" si="51"/>
        <v>0</v>
      </c>
      <c r="V246" s="584">
        <f t="shared" si="45"/>
        <v>71820</v>
      </c>
      <c r="W246" s="371">
        <f t="shared" si="49"/>
        <v>8618400</v>
      </c>
      <c r="X246" s="935">
        <f t="shared" si="47"/>
        <v>4.7880000000000003</v>
      </c>
      <c r="Y246" s="934">
        <v>1800000</v>
      </c>
      <c r="Z246" s="931">
        <f t="shared" si="48"/>
        <v>8618400</v>
      </c>
      <c r="AA246" s="568">
        <f t="shared" si="46"/>
        <v>226</v>
      </c>
      <c r="AB246" s="493">
        <f>IFERROR(INDEX('[12]CN BC'!$M$10:$M$276,MATCH(B246,'[12]CN BC'!$H$10:$H$276,0)),"")</f>
        <v>0</v>
      </c>
      <c r="AC246" s="523" t="s">
        <v>2240</v>
      </c>
      <c r="AF246" s="155"/>
    </row>
    <row r="247" spans="1:42" s="372" customFormat="1" ht="33.75" customHeight="1">
      <c r="A247" s="379">
        <f>_xlfn.AGGREGATE(4,7,A$20:A246)+1</f>
        <v>227</v>
      </c>
      <c r="B247" s="363" t="s">
        <v>1609</v>
      </c>
      <c r="C247" s="364" t="s">
        <v>876</v>
      </c>
      <c r="D247" s="434" t="s">
        <v>1973</v>
      </c>
      <c r="E247" s="426" t="s">
        <v>1611</v>
      </c>
      <c r="F247" s="373">
        <v>3.33</v>
      </c>
      <c r="G247" s="367"/>
      <c r="H247" s="445">
        <f t="shared" ref="H247:H287" si="52">F247+(F247*G247)</f>
        <v>3.33</v>
      </c>
      <c r="I247" s="368"/>
      <c r="J247" s="368" t="str">
        <f>VLOOKUP(B247,TH.T3!B253:J511,9,FALSE)</f>
        <v>Giảng viên khoa
Điện - Điện tử</v>
      </c>
      <c r="K247" s="369">
        <f t="shared" ref="K247:K287" si="53">H247+I247</f>
        <v>3.33</v>
      </c>
      <c r="L247" s="362">
        <f t="shared" ref="L247:L287" si="54">K247*$G$17</f>
        <v>5994000</v>
      </c>
      <c r="M247" s="366" t="str">
        <f>VLOOKUP(B247,'[11]Gui chi Quynh'!$B$11:$E$400,4,FALSE)</f>
        <v>A3</v>
      </c>
      <c r="N247" s="494">
        <f t="shared" si="44"/>
        <v>7192800</v>
      </c>
      <c r="O247" s="376">
        <v>19</v>
      </c>
      <c r="P247" s="440">
        <f>IFERROR(INDEX('[12]CN BC'!$J$10:$J$276,MATCH(B247,'[12]CN BC'!$H$10:$H$276,0)),"")</f>
        <v>19</v>
      </c>
      <c r="Q247" s="494">
        <f t="shared" si="50"/>
        <v>7192800</v>
      </c>
      <c r="R247" s="460"/>
      <c r="S247" s="362">
        <f t="shared" si="43"/>
        <v>0</v>
      </c>
      <c r="T247" s="370"/>
      <c r="U247" s="362">
        <f t="shared" si="51"/>
        <v>0</v>
      </c>
      <c r="V247" s="584">
        <f t="shared" si="45"/>
        <v>59940</v>
      </c>
      <c r="W247" s="371">
        <f t="shared" si="49"/>
        <v>7192800</v>
      </c>
      <c r="X247" s="935">
        <f t="shared" si="47"/>
        <v>3.996</v>
      </c>
      <c r="Y247" s="934">
        <v>1800000</v>
      </c>
      <c r="Z247" s="931">
        <f t="shared" si="48"/>
        <v>7192800</v>
      </c>
      <c r="AA247" s="568">
        <f t="shared" si="46"/>
        <v>227</v>
      </c>
      <c r="AB247" s="493">
        <f>IFERROR(INDEX('[12]CN BC'!$M$10:$M$276,MATCH(B247,'[12]CN BC'!$H$10:$H$276,0)),"")</f>
        <v>0</v>
      </c>
      <c r="AC247" s="523" t="s">
        <v>2240</v>
      </c>
      <c r="AD247" s="108"/>
      <c r="AE247" s="108"/>
      <c r="AF247" s="155"/>
      <c r="AG247" s="108"/>
      <c r="AH247" s="108"/>
      <c r="AI247" s="108"/>
      <c r="AJ247" s="108"/>
      <c r="AK247" s="108"/>
      <c r="AL247" s="108"/>
    </row>
    <row r="248" spans="1:42" s="372" customFormat="1" ht="33.75" customHeight="1">
      <c r="A248" s="379">
        <f>_xlfn.AGGREGATE(4,7,A$20:A247)+1</f>
        <v>228</v>
      </c>
      <c r="B248" s="363" t="s">
        <v>1610</v>
      </c>
      <c r="C248" s="364" t="s">
        <v>885</v>
      </c>
      <c r="D248" s="434" t="s">
        <v>1974</v>
      </c>
      <c r="E248" s="426" t="s">
        <v>1612</v>
      </c>
      <c r="F248" s="366">
        <v>2.67</v>
      </c>
      <c r="G248" s="367"/>
      <c r="H248" s="368">
        <f t="shared" si="52"/>
        <v>2.67</v>
      </c>
      <c r="I248" s="368">
        <v>0.25</v>
      </c>
      <c r="J248" s="368" t="str">
        <f>VLOOKUP(B248,TH.T3!B254:J512,9,FALSE)</f>
        <v>Giảng viên khoa
Điện - Điện tử</v>
      </c>
      <c r="K248" s="369">
        <f t="shared" si="53"/>
        <v>2.92</v>
      </c>
      <c r="L248" s="362">
        <f t="shared" si="54"/>
        <v>5256000</v>
      </c>
      <c r="M248" s="366" t="str">
        <f>VLOOKUP(B248,'[11]Gui chi Quynh'!$B$11:$E$400,4,FALSE)</f>
        <v>A2</v>
      </c>
      <c r="N248" s="494">
        <f t="shared" si="44"/>
        <v>7358399.9999999991</v>
      </c>
      <c r="O248" s="376">
        <v>19</v>
      </c>
      <c r="P248" s="440">
        <f>IFERROR(INDEX('[12]CN BC'!$J$10:$J$276,MATCH(B248,'[12]CN BC'!$H$10:$H$276,0)),"")</f>
        <v>19</v>
      </c>
      <c r="Q248" s="494">
        <f t="shared" si="50"/>
        <v>7358399.9999999991</v>
      </c>
      <c r="R248" s="460"/>
      <c r="S248" s="362">
        <f t="shared" si="43"/>
        <v>0</v>
      </c>
      <c r="T248" s="370"/>
      <c r="U248" s="362">
        <f t="shared" si="51"/>
        <v>0</v>
      </c>
      <c r="V248" s="584">
        <f t="shared" si="45"/>
        <v>52560</v>
      </c>
      <c r="W248" s="371">
        <f t="shared" si="49"/>
        <v>7358399.9999999991</v>
      </c>
      <c r="X248" s="935">
        <f t="shared" si="47"/>
        <v>4.0879999999999992</v>
      </c>
      <c r="Y248" s="934">
        <v>1800000</v>
      </c>
      <c r="Z248" s="931">
        <f t="shared" si="48"/>
        <v>7358399.9999999981</v>
      </c>
      <c r="AA248" s="568">
        <f t="shared" si="46"/>
        <v>228</v>
      </c>
      <c r="AB248" s="493">
        <f>IFERROR(INDEX('[12]CN BC'!$M$10:$M$276,MATCH(B248,'[12]CN BC'!$H$10:$H$276,0)),"")</f>
        <v>0</v>
      </c>
      <c r="AC248" s="523" t="s">
        <v>2240</v>
      </c>
      <c r="AD248" s="108"/>
      <c r="AE248" s="108"/>
      <c r="AF248" s="155"/>
      <c r="AG248" s="108"/>
      <c r="AH248" s="108"/>
      <c r="AI248" s="108"/>
      <c r="AJ248" s="108"/>
      <c r="AK248" s="108"/>
      <c r="AL248" s="108"/>
    </row>
    <row r="249" spans="1:42" s="372" customFormat="1" ht="33.75" customHeight="1">
      <c r="A249" s="379">
        <f>_xlfn.AGGREGATE(4,7,A$20:A248)+1</f>
        <v>229</v>
      </c>
      <c r="B249" s="390" t="s">
        <v>1838</v>
      </c>
      <c r="C249" s="364"/>
      <c r="D249" s="434" t="s">
        <v>1975</v>
      </c>
      <c r="E249" s="102">
        <v>1603205590132</v>
      </c>
      <c r="F249" s="366">
        <v>2.67</v>
      </c>
      <c r="G249" s="367"/>
      <c r="H249" s="368">
        <f t="shared" si="52"/>
        <v>2.67</v>
      </c>
      <c r="I249" s="368">
        <v>0.25</v>
      </c>
      <c r="J249" s="368" t="str">
        <f>VLOOKUP(B249,TH.T3!B255:J513,9,FALSE)</f>
        <v>Giảng viên khoa
Điện - Điện tử</v>
      </c>
      <c r="K249" s="369">
        <f t="shared" si="53"/>
        <v>2.92</v>
      </c>
      <c r="L249" s="362">
        <f t="shared" si="54"/>
        <v>5256000</v>
      </c>
      <c r="M249" s="366" t="str">
        <f>VLOOKUP(B249,'[11]Gui chi Quynh'!$B$11:$E$400,4,FALSE)</f>
        <v>A3</v>
      </c>
      <c r="N249" s="494">
        <f t="shared" si="44"/>
        <v>6307200</v>
      </c>
      <c r="O249" s="376">
        <v>19</v>
      </c>
      <c r="P249" s="440">
        <f>IFERROR(INDEX('[12]CN BC'!$J$10:$J$276,MATCH(B249,'[12]CN BC'!$H$10:$H$276,0)),"")</f>
        <v>20</v>
      </c>
      <c r="Q249" s="494">
        <f t="shared" si="50"/>
        <v>6307200</v>
      </c>
      <c r="R249" s="392"/>
      <c r="S249" s="362">
        <f t="shared" si="43"/>
        <v>0</v>
      </c>
      <c r="T249" s="370"/>
      <c r="U249" s="362">
        <f t="shared" si="51"/>
        <v>0</v>
      </c>
      <c r="V249" s="584">
        <f t="shared" si="45"/>
        <v>52560</v>
      </c>
      <c r="W249" s="371">
        <f t="shared" si="49"/>
        <v>6307200</v>
      </c>
      <c r="X249" s="935">
        <f t="shared" si="47"/>
        <v>3.504</v>
      </c>
      <c r="Y249" s="934">
        <v>1800000</v>
      </c>
      <c r="Z249" s="931">
        <f t="shared" si="48"/>
        <v>6307200</v>
      </c>
      <c r="AA249" s="568">
        <f t="shared" si="46"/>
        <v>229</v>
      </c>
      <c r="AB249" s="493">
        <f>IFERROR(INDEX('[12]CN BC'!$M$10:$M$276,MATCH(B249,'[12]CN BC'!$H$10:$H$276,0)),"")</f>
        <v>0</v>
      </c>
      <c r="AC249" s="523" t="s">
        <v>2240</v>
      </c>
      <c r="AD249" s="108"/>
      <c r="AE249" s="108"/>
      <c r="AF249" s="155"/>
      <c r="AG249" s="108"/>
      <c r="AH249" s="108"/>
      <c r="AI249" s="108"/>
      <c r="AJ249" s="108"/>
      <c r="AK249" s="108"/>
      <c r="AL249" s="108"/>
    </row>
    <row r="250" spans="1:42" s="372" customFormat="1" ht="33.75" customHeight="1">
      <c r="A250" s="379">
        <f>_xlfn.AGGREGATE(4,7,A$20:A249)+1</f>
        <v>230</v>
      </c>
      <c r="B250" s="390" t="s">
        <v>1993</v>
      </c>
      <c r="C250" s="364"/>
      <c r="D250" s="434"/>
      <c r="E250" s="486"/>
      <c r="F250" s="366">
        <v>3.99</v>
      </c>
      <c r="G250" s="367"/>
      <c r="H250" s="368">
        <f t="shared" si="52"/>
        <v>3.99</v>
      </c>
      <c r="I250" s="368"/>
      <c r="J250" s="368" t="str">
        <f>VLOOKUP(B250,TH.T3!B256:J514,9,FALSE)</f>
        <v>Giảng viên khoa Điện - Điện tử</v>
      </c>
      <c r="K250" s="369">
        <f t="shared" si="53"/>
        <v>3.99</v>
      </c>
      <c r="L250" s="362">
        <f t="shared" si="54"/>
        <v>7182000</v>
      </c>
      <c r="M250" s="366" t="str">
        <f>VLOOKUP(B250,'[11]Gui chi Quynh'!$B$11:$E$400,4,FALSE)</f>
        <v>A3</v>
      </c>
      <c r="N250" s="494">
        <f t="shared" si="44"/>
        <v>8618400</v>
      </c>
      <c r="O250" s="376">
        <v>19</v>
      </c>
      <c r="P250" s="440">
        <f>IFERROR(INDEX('[12]CN BC'!$J$10:$J$276,MATCH(B250,'[12]CN BC'!$H$10:$H$276,0)),"")</f>
        <v>20</v>
      </c>
      <c r="Q250" s="494">
        <f t="shared" si="50"/>
        <v>8618400</v>
      </c>
      <c r="R250" s="460"/>
      <c r="S250" s="362">
        <f t="shared" si="43"/>
        <v>0</v>
      </c>
      <c r="T250" s="370"/>
      <c r="U250" s="362">
        <f t="shared" si="51"/>
        <v>0</v>
      </c>
      <c r="V250" s="584">
        <f t="shared" si="45"/>
        <v>71820</v>
      </c>
      <c r="W250" s="371">
        <f t="shared" si="49"/>
        <v>8618400</v>
      </c>
      <c r="X250" s="935">
        <f t="shared" si="47"/>
        <v>4.7880000000000003</v>
      </c>
      <c r="Y250" s="934">
        <v>1800000</v>
      </c>
      <c r="Z250" s="931">
        <f t="shared" si="48"/>
        <v>8618400</v>
      </c>
      <c r="AA250" s="568">
        <f t="shared" si="46"/>
        <v>230</v>
      </c>
      <c r="AB250" s="493">
        <f>IFERROR(INDEX('[12]CN BC'!$M$10:$M$276,MATCH(B250,'[12]CN BC'!$H$10:$H$276,0)),"")</f>
        <v>0</v>
      </c>
      <c r="AC250" s="523" t="s">
        <v>2240</v>
      </c>
      <c r="AD250" s="108"/>
      <c r="AE250" s="108"/>
      <c r="AF250" s="155"/>
      <c r="AG250" s="108"/>
      <c r="AH250" s="108"/>
      <c r="AI250" s="108"/>
      <c r="AJ250" s="108"/>
      <c r="AK250" s="108"/>
      <c r="AL250" s="108"/>
    </row>
    <row r="251" spans="1:42" s="372" customFormat="1" ht="30.75" customHeight="1">
      <c r="A251" s="379">
        <f>_xlfn.AGGREGATE(4,7,A$20:A250)+1</f>
        <v>231</v>
      </c>
      <c r="B251" s="390" t="s">
        <v>2002</v>
      </c>
      <c r="C251" s="364"/>
      <c r="D251" s="434"/>
      <c r="E251" s="486"/>
      <c r="F251" s="366">
        <v>2.67</v>
      </c>
      <c r="G251" s="367"/>
      <c r="H251" s="368">
        <f t="shared" si="52"/>
        <v>2.67</v>
      </c>
      <c r="I251" s="368"/>
      <c r="J251" s="368" t="str">
        <f>VLOOKUP(B251,TH.T3!B257:J515,9,FALSE)</f>
        <v>Giảng viên khoa Điện - Điện tử</v>
      </c>
      <c r="K251" s="369">
        <f t="shared" si="53"/>
        <v>2.67</v>
      </c>
      <c r="L251" s="362">
        <f t="shared" si="54"/>
        <v>4806000</v>
      </c>
      <c r="M251" s="366" t="str">
        <f>VLOOKUP(B251,'[11]Gui chi Quynh'!$B$11:$E$400,4,FALSE)</f>
        <v>A3</v>
      </c>
      <c r="N251" s="494">
        <f t="shared" si="44"/>
        <v>5767200</v>
      </c>
      <c r="O251" s="376">
        <v>19</v>
      </c>
      <c r="P251" s="440">
        <f>IFERROR(INDEX('[12]CN BC'!$J$10:$J$276,MATCH(B251,'[12]CN BC'!$H$10:$H$276,0)),"")</f>
        <v>19</v>
      </c>
      <c r="Q251" s="494">
        <f t="shared" si="50"/>
        <v>5767200</v>
      </c>
      <c r="R251" s="460"/>
      <c r="S251" s="362">
        <f t="shared" si="43"/>
        <v>0</v>
      </c>
      <c r="T251" s="370"/>
      <c r="U251" s="362">
        <f t="shared" si="51"/>
        <v>0</v>
      </c>
      <c r="V251" s="584">
        <f t="shared" si="45"/>
        <v>48060</v>
      </c>
      <c r="W251" s="371">
        <f t="shared" si="49"/>
        <v>5767200</v>
      </c>
      <c r="X251" s="935">
        <f t="shared" si="47"/>
        <v>3.2040000000000002</v>
      </c>
      <c r="Y251" s="934">
        <v>1800000</v>
      </c>
      <c r="Z251" s="931">
        <f t="shared" si="48"/>
        <v>5767200</v>
      </c>
      <c r="AA251" s="568">
        <f t="shared" si="46"/>
        <v>231</v>
      </c>
      <c r="AB251" s="493">
        <f>IFERROR(INDEX('[12]CN BC'!$M$10:$M$276,MATCH(B251,'[12]CN BC'!$H$10:$H$276,0)),"")</f>
        <v>0</v>
      </c>
      <c r="AC251" s="523" t="s">
        <v>2240</v>
      </c>
      <c r="AF251" s="487"/>
    </row>
    <row r="252" spans="1:42" s="372" customFormat="1" ht="31.5" customHeight="1">
      <c r="A252" s="379">
        <f>_xlfn.AGGREGATE(4,7,A$20:A251)+1</f>
        <v>232</v>
      </c>
      <c r="B252" s="390" t="s">
        <v>2004</v>
      </c>
      <c r="C252" s="364"/>
      <c r="D252" s="434"/>
      <c r="E252" s="486"/>
      <c r="F252" s="366">
        <v>2.34</v>
      </c>
      <c r="G252" s="367"/>
      <c r="H252" s="368">
        <f t="shared" si="52"/>
        <v>2.34</v>
      </c>
      <c r="I252" s="368"/>
      <c r="J252" s="368" t="str">
        <f>VLOOKUP(B252,TH.T3!B258:J516,9,FALSE)</f>
        <v>Giảng viên khoa Điện - Điện tử</v>
      </c>
      <c r="K252" s="369">
        <f t="shared" si="53"/>
        <v>2.34</v>
      </c>
      <c r="L252" s="362">
        <f t="shared" si="54"/>
        <v>4212000</v>
      </c>
      <c r="M252" s="366" t="str">
        <f>VLOOKUP(B252,'[11]Gui chi Quynh'!$B$11:$E$400,4,FALSE)</f>
        <v>A3</v>
      </c>
      <c r="N252" s="494">
        <f t="shared" si="44"/>
        <v>5054400</v>
      </c>
      <c r="O252" s="376">
        <v>19</v>
      </c>
      <c r="P252" s="440">
        <f>IFERROR(INDEX('[12]CN BC'!$J$10:$J$276,MATCH(B252,'[12]CN BC'!$H$10:$H$276,0)),"")</f>
        <v>19</v>
      </c>
      <c r="Q252" s="494">
        <f t="shared" si="50"/>
        <v>5054400</v>
      </c>
      <c r="R252" s="460"/>
      <c r="S252" s="362">
        <f t="shared" si="43"/>
        <v>0</v>
      </c>
      <c r="T252" s="370"/>
      <c r="U252" s="362">
        <f t="shared" si="51"/>
        <v>0</v>
      </c>
      <c r="V252" s="584">
        <f t="shared" si="45"/>
        <v>42120</v>
      </c>
      <c r="W252" s="371">
        <f t="shared" si="49"/>
        <v>5054400</v>
      </c>
      <c r="X252" s="935">
        <f t="shared" si="47"/>
        <v>2.8079999999999998</v>
      </c>
      <c r="Y252" s="934">
        <v>1800000</v>
      </c>
      <c r="Z252" s="931">
        <f t="shared" si="48"/>
        <v>5054400</v>
      </c>
      <c r="AA252" s="568">
        <f t="shared" si="46"/>
        <v>232</v>
      </c>
      <c r="AB252" s="493">
        <f>IFERROR(INDEX('[12]CN BC'!$M$10:$M$276,MATCH(B252,'[12]CN BC'!$H$10:$H$276,0)),"")</f>
        <v>0</v>
      </c>
      <c r="AC252" s="523" t="s">
        <v>2240</v>
      </c>
      <c r="AF252" s="487"/>
    </row>
    <row r="253" spans="1:42" s="372" customFormat="1" ht="29.25" customHeight="1">
      <c r="A253" s="379">
        <f>_xlfn.AGGREGATE(4,7,A$20:A252)+1</f>
        <v>233</v>
      </c>
      <c r="B253" s="363" t="s">
        <v>1914</v>
      </c>
      <c r="C253" s="364" t="s">
        <v>876</v>
      </c>
      <c r="D253" s="434" t="s">
        <v>1803</v>
      </c>
      <c r="E253" s="423" t="s">
        <v>0</v>
      </c>
      <c r="F253" s="366">
        <v>4.6500000000000004</v>
      </c>
      <c r="G253" s="367"/>
      <c r="H253" s="368">
        <f t="shared" si="52"/>
        <v>4.6500000000000004</v>
      </c>
      <c r="I253" s="368">
        <v>0.45</v>
      </c>
      <c r="J253" s="368" t="str">
        <f>VLOOKUP(B253,TH.T3!B259:J517,9,FALSE)</f>
        <v>Trưởng khoa Động lực</v>
      </c>
      <c r="K253" s="369">
        <f t="shared" si="53"/>
        <v>5.1000000000000005</v>
      </c>
      <c r="L253" s="362">
        <f t="shared" si="54"/>
        <v>9180000.0000000019</v>
      </c>
      <c r="M253" s="366" t="str">
        <f>VLOOKUP(B253,'[11]Gui chi Quynh'!$B$11:$E$400,4,FALSE)</f>
        <v>A2</v>
      </c>
      <c r="N253" s="494">
        <f t="shared" si="44"/>
        <v>12852000.000000002</v>
      </c>
      <c r="O253" s="376">
        <v>19</v>
      </c>
      <c r="P253" s="440">
        <f>IFERROR(INDEX('[12]CN BC'!$J$10:$J$276,MATCH(B253,'[12]CN BC'!$H$10:$H$276,0)),"")</f>
        <v>19</v>
      </c>
      <c r="Q253" s="494">
        <f t="shared" si="50"/>
        <v>12852000.000000002</v>
      </c>
      <c r="R253" s="460"/>
      <c r="S253" s="362">
        <f t="shared" si="43"/>
        <v>0</v>
      </c>
      <c r="T253" s="370"/>
      <c r="U253" s="362">
        <f t="shared" si="51"/>
        <v>0</v>
      </c>
      <c r="V253" s="584">
        <f t="shared" si="45"/>
        <v>91800</v>
      </c>
      <c r="W253" s="371">
        <f t="shared" si="49"/>
        <v>12852000.000000002</v>
      </c>
      <c r="X253" s="935">
        <f t="shared" si="47"/>
        <v>7.1400000000000015</v>
      </c>
      <c r="Y253" s="934">
        <v>1800000</v>
      </c>
      <c r="Z253" s="931">
        <f t="shared" si="48"/>
        <v>12852000.000000002</v>
      </c>
      <c r="AA253" s="568">
        <f t="shared" si="46"/>
        <v>233</v>
      </c>
      <c r="AB253" s="493">
        <f>IFERROR(INDEX('[12]CN BC'!$M$10:$M$276,MATCH(B253,'[12]CN BC'!$H$10:$H$276,0)),"")</f>
        <v>0</v>
      </c>
      <c r="AC253" s="945" t="s">
        <v>2241</v>
      </c>
      <c r="AD253" s="471"/>
      <c r="AE253" s="108"/>
      <c r="AF253" s="155"/>
      <c r="AG253" s="108"/>
      <c r="AH253" s="108"/>
      <c r="AI253" s="108"/>
      <c r="AJ253" s="108"/>
      <c r="AK253" s="108"/>
      <c r="AL253" s="108"/>
    </row>
    <row r="254" spans="1:42" s="372" customFormat="1" ht="27.75" customHeight="1">
      <c r="A254" s="379">
        <f>_xlfn.AGGREGATE(4,7,A$20:A253)+1</f>
        <v>234</v>
      </c>
      <c r="B254" s="363" t="s">
        <v>1915</v>
      </c>
      <c r="C254" s="364" t="s">
        <v>1087</v>
      </c>
      <c r="D254" s="434" t="s">
        <v>1804</v>
      </c>
      <c r="E254" s="423" t="s">
        <v>1420</v>
      </c>
      <c r="F254" s="366">
        <v>4.9800000000000004</v>
      </c>
      <c r="G254" s="367"/>
      <c r="H254" s="368">
        <f t="shared" si="52"/>
        <v>4.9800000000000004</v>
      </c>
      <c r="I254" s="368">
        <v>0.35</v>
      </c>
      <c r="J254" s="368" t="str">
        <f>VLOOKUP(B254,TH.T3!B260:J518,9,FALSE)</f>
        <v>Phó Trưởng khoa
 Động lực</v>
      </c>
      <c r="K254" s="369">
        <f t="shared" si="53"/>
        <v>5.33</v>
      </c>
      <c r="L254" s="362">
        <f t="shared" si="54"/>
        <v>9594000</v>
      </c>
      <c r="M254" s="366" t="str">
        <f>VLOOKUP(B254,'[11]Gui chi Quynh'!$B$11:$E$400,4,FALSE)</f>
        <v>A3</v>
      </c>
      <c r="N254" s="494">
        <f t="shared" si="44"/>
        <v>11512800</v>
      </c>
      <c r="O254" s="376">
        <v>19</v>
      </c>
      <c r="P254" s="440">
        <f>IFERROR(INDEX('[12]CN BC'!$J$10:$J$276,MATCH(B254,'[12]CN BC'!$H$10:$H$276,0)),"")</f>
        <v>19</v>
      </c>
      <c r="Q254" s="494">
        <f t="shared" si="50"/>
        <v>11512800</v>
      </c>
      <c r="R254" s="460"/>
      <c r="S254" s="362">
        <f t="shared" si="43"/>
        <v>0</v>
      </c>
      <c r="T254" s="370"/>
      <c r="U254" s="362">
        <f t="shared" si="51"/>
        <v>0</v>
      </c>
      <c r="V254" s="584">
        <f t="shared" si="45"/>
        <v>95940</v>
      </c>
      <c r="W254" s="371">
        <f t="shared" si="49"/>
        <v>11512800</v>
      </c>
      <c r="X254" s="935">
        <f t="shared" si="47"/>
        <v>6.3959999999999999</v>
      </c>
      <c r="Y254" s="934">
        <v>1800000</v>
      </c>
      <c r="Z254" s="931">
        <f t="shared" si="48"/>
        <v>11512800</v>
      </c>
      <c r="AA254" s="568">
        <f t="shared" si="46"/>
        <v>234</v>
      </c>
      <c r="AB254" s="493">
        <f>IFERROR(INDEX('[12]CN BC'!$M$10:$M$276,MATCH(B254,'[12]CN BC'!$H$10:$H$276,0)),"")</f>
        <v>0</v>
      </c>
      <c r="AC254" s="945" t="s">
        <v>2241</v>
      </c>
      <c r="AD254" s="108"/>
      <c r="AE254" s="108"/>
      <c r="AF254" s="155"/>
      <c r="AG254" s="108"/>
      <c r="AH254" s="108"/>
      <c r="AI254" s="108"/>
      <c r="AJ254" s="108"/>
      <c r="AK254" s="108"/>
      <c r="AL254" s="108"/>
    </row>
    <row r="255" spans="1:42" s="372" customFormat="1" ht="30" customHeight="1">
      <c r="A255" s="379">
        <f>_xlfn.AGGREGATE(4,7,A$20:A254)+1</f>
        <v>235</v>
      </c>
      <c r="B255" s="363" t="s">
        <v>1916</v>
      </c>
      <c r="C255" s="364" t="s">
        <v>1090</v>
      </c>
      <c r="D255" s="434" t="s">
        <v>1805</v>
      </c>
      <c r="E255" s="423" t="s">
        <v>1</v>
      </c>
      <c r="F255" s="366">
        <v>4.32</v>
      </c>
      <c r="G255" s="367"/>
      <c r="H255" s="368">
        <f t="shared" si="52"/>
        <v>4.32</v>
      </c>
      <c r="I255" s="368">
        <v>0.25</v>
      </c>
      <c r="J255" s="368" t="str">
        <f>VLOOKUP(B255,TH.T3!B261:J519,9,FALSE)</f>
        <v>Giảng viên khoa Động lực</v>
      </c>
      <c r="K255" s="369">
        <f t="shared" si="53"/>
        <v>4.57</v>
      </c>
      <c r="L255" s="362">
        <f t="shared" si="54"/>
        <v>8226000.0000000009</v>
      </c>
      <c r="M255" s="366" t="str">
        <f>VLOOKUP(B255,'[11]Gui chi Quynh'!$B$11:$E$400,4,FALSE)</f>
        <v>A4</v>
      </c>
      <c r="N255" s="494">
        <f t="shared" si="44"/>
        <v>8226000.0000000009</v>
      </c>
      <c r="O255" s="376">
        <v>19</v>
      </c>
      <c r="P255" s="440">
        <f>IFERROR(INDEX('[12]CN BC'!$J$10:$J$276,MATCH(B255,'[12]CN BC'!$H$10:$H$276,0)),"")</f>
        <v>19</v>
      </c>
      <c r="Q255" s="494">
        <f t="shared" si="50"/>
        <v>8226000.0000000009</v>
      </c>
      <c r="R255" s="460"/>
      <c r="S255" s="362">
        <f t="shared" si="43"/>
        <v>0</v>
      </c>
      <c r="T255" s="370"/>
      <c r="U255" s="362">
        <f t="shared" si="51"/>
        <v>0</v>
      </c>
      <c r="V255" s="584">
        <f t="shared" si="45"/>
        <v>82260</v>
      </c>
      <c r="W255" s="371">
        <f t="shared" si="49"/>
        <v>8226000.0000000009</v>
      </c>
      <c r="X255" s="935">
        <f t="shared" si="47"/>
        <v>4.57</v>
      </c>
      <c r="Y255" s="934">
        <v>1800000</v>
      </c>
      <c r="Z255" s="931">
        <f t="shared" si="48"/>
        <v>8226000.0000000009</v>
      </c>
      <c r="AA255" s="568">
        <f t="shared" si="46"/>
        <v>235</v>
      </c>
      <c r="AB255" s="493">
        <f>IFERROR(INDEX('[12]CN BC'!$M$10:$M$276,MATCH(B255,'[12]CN BC'!$H$10:$H$276,0)),"")</f>
        <v>0</v>
      </c>
      <c r="AC255" s="945" t="s">
        <v>2241</v>
      </c>
      <c r="AD255" s="108"/>
      <c r="AE255" s="108"/>
      <c r="AF255" s="155"/>
      <c r="AG255" s="108"/>
      <c r="AH255" s="108"/>
      <c r="AI255" s="108"/>
      <c r="AJ255" s="108"/>
      <c r="AK255" s="108"/>
      <c r="AL255" s="108"/>
    </row>
    <row r="256" spans="1:42" s="372" customFormat="1" ht="30" customHeight="1">
      <c r="A256" s="379">
        <f>_xlfn.AGGREGATE(4,7,A$20:A255)+1</f>
        <v>236</v>
      </c>
      <c r="B256" s="363" t="s">
        <v>1542</v>
      </c>
      <c r="C256" s="364" t="s">
        <v>970</v>
      </c>
      <c r="D256" s="434" t="s">
        <v>1806</v>
      </c>
      <c r="E256" s="423" t="s">
        <v>3</v>
      </c>
      <c r="F256" s="373">
        <v>3.99</v>
      </c>
      <c r="G256" s="367"/>
      <c r="H256" s="368">
        <f t="shared" si="52"/>
        <v>3.99</v>
      </c>
      <c r="I256" s="368"/>
      <c r="J256" s="368" t="str">
        <f>VLOOKUP(B256,TH.T3!B262:J520,9,FALSE)</f>
        <v>Giảng viên - Trưởng BM khoa Động lực</v>
      </c>
      <c r="K256" s="369">
        <f t="shared" si="53"/>
        <v>3.99</v>
      </c>
      <c r="L256" s="362">
        <f t="shared" si="54"/>
        <v>7182000</v>
      </c>
      <c r="M256" s="366" t="str">
        <f>VLOOKUP(B256,'[11]Gui chi Quynh'!$B$11:$E$400,4,FALSE)</f>
        <v>A3</v>
      </c>
      <c r="N256" s="494">
        <f t="shared" si="44"/>
        <v>8618400</v>
      </c>
      <c r="O256" s="376">
        <v>19</v>
      </c>
      <c r="P256" s="440">
        <f>IFERROR(INDEX('[12]CN BC'!$J$10:$J$276,MATCH(B256,'[12]CN BC'!$H$10:$H$276,0)),"")</f>
        <v>19</v>
      </c>
      <c r="Q256" s="494">
        <f t="shared" si="50"/>
        <v>8618400</v>
      </c>
      <c r="R256" s="460"/>
      <c r="S256" s="362">
        <f t="shared" si="43"/>
        <v>0</v>
      </c>
      <c r="T256" s="370"/>
      <c r="U256" s="362">
        <f t="shared" si="51"/>
        <v>0</v>
      </c>
      <c r="V256" s="584">
        <f t="shared" si="45"/>
        <v>71820</v>
      </c>
      <c r="W256" s="371">
        <f t="shared" si="49"/>
        <v>8618400</v>
      </c>
      <c r="X256" s="935">
        <f t="shared" si="47"/>
        <v>4.7880000000000003</v>
      </c>
      <c r="Y256" s="934">
        <v>1800000</v>
      </c>
      <c r="Z256" s="931">
        <f t="shared" si="48"/>
        <v>8618400</v>
      </c>
      <c r="AA256" s="568">
        <f t="shared" si="46"/>
        <v>236</v>
      </c>
      <c r="AB256" s="493">
        <f>IFERROR(INDEX('[12]CN BC'!$M$10:$M$276,MATCH(B256,'[12]CN BC'!$H$10:$H$276,0)),"")</f>
        <v>0</v>
      </c>
      <c r="AC256" s="945" t="s">
        <v>2241</v>
      </c>
      <c r="AD256" s="108"/>
      <c r="AE256" s="108"/>
      <c r="AF256" s="155"/>
      <c r="AG256" s="108"/>
      <c r="AH256" s="108"/>
      <c r="AI256" s="108"/>
      <c r="AJ256" s="108"/>
      <c r="AK256" s="108"/>
      <c r="AL256" s="108"/>
    </row>
    <row r="257" spans="1:38" s="372" customFormat="1" ht="30" customHeight="1">
      <c r="A257" s="379">
        <f>_xlfn.AGGREGATE(4,7,A$20:A256)+1</f>
        <v>237</v>
      </c>
      <c r="B257" s="363" t="s">
        <v>1543</v>
      </c>
      <c r="C257" s="364" t="s">
        <v>1215</v>
      </c>
      <c r="D257" s="434" t="s">
        <v>1807</v>
      </c>
      <c r="E257" s="423" t="s">
        <v>4</v>
      </c>
      <c r="F257" s="373">
        <v>3.99</v>
      </c>
      <c r="G257" s="367"/>
      <c r="H257" s="368">
        <f t="shared" si="52"/>
        <v>3.99</v>
      </c>
      <c r="I257" s="368">
        <v>0.25</v>
      </c>
      <c r="J257" s="368" t="str">
        <f>VLOOKUP(B257,TH.T3!B263:J521,9,FALSE)</f>
        <v>Giảng viên - Trưởng BM khoa Động lực</v>
      </c>
      <c r="K257" s="369">
        <f t="shared" si="53"/>
        <v>4.24</v>
      </c>
      <c r="L257" s="362">
        <f t="shared" si="54"/>
        <v>7632000</v>
      </c>
      <c r="M257" s="366" t="str">
        <f>VLOOKUP(B257,'[11]Gui chi Quynh'!$B$11:$E$400,4,FALSE)</f>
        <v>A3</v>
      </c>
      <c r="N257" s="494">
        <f t="shared" si="44"/>
        <v>9158400</v>
      </c>
      <c r="O257" s="376">
        <v>19</v>
      </c>
      <c r="P257" s="440">
        <f>IFERROR(INDEX('[12]CN BC'!$J$10:$J$276,MATCH(B257,'[12]CN BC'!$H$10:$H$276,0)),"")</f>
        <v>19</v>
      </c>
      <c r="Q257" s="494">
        <f t="shared" si="50"/>
        <v>9158400</v>
      </c>
      <c r="R257" s="460"/>
      <c r="S257" s="362">
        <f t="shared" si="43"/>
        <v>0</v>
      </c>
      <c r="T257" s="370"/>
      <c r="U257" s="362">
        <f t="shared" si="51"/>
        <v>0</v>
      </c>
      <c r="V257" s="584">
        <f t="shared" si="45"/>
        <v>76320</v>
      </c>
      <c r="W257" s="371">
        <f t="shared" si="49"/>
        <v>9158400</v>
      </c>
      <c r="X257" s="935">
        <f t="shared" si="47"/>
        <v>5.0880000000000001</v>
      </c>
      <c r="Y257" s="934">
        <v>1800000</v>
      </c>
      <c r="Z257" s="931">
        <f t="shared" si="48"/>
        <v>9158400</v>
      </c>
      <c r="AA257" s="568">
        <f t="shared" si="46"/>
        <v>237</v>
      </c>
      <c r="AB257" s="493">
        <f>IFERROR(INDEX('[12]CN BC'!$M$10:$M$276,MATCH(B257,'[12]CN BC'!$H$10:$H$276,0)),"")</f>
        <v>0</v>
      </c>
      <c r="AC257" s="945" t="s">
        <v>2241</v>
      </c>
      <c r="AD257" s="108"/>
      <c r="AE257" s="108"/>
      <c r="AF257" s="155"/>
      <c r="AG257" s="108"/>
      <c r="AH257" s="108"/>
      <c r="AI257" s="108"/>
      <c r="AJ257" s="108"/>
      <c r="AK257" s="108"/>
      <c r="AL257" s="108"/>
    </row>
    <row r="258" spans="1:38" s="372" customFormat="1" ht="30" customHeight="1">
      <c r="A258" s="379">
        <f>_xlfn.AGGREGATE(4,7,A$20:A257)+1</f>
        <v>238</v>
      </c>
      <c r="B258" s="363" t="s">
        <v>1544</v>
      </c>
      <c r="C258" s="364" t="s">
        <v>878</v>
      </c>
      <c r="D258" s="434" t="s">
        <v>1808</v>
      </c>
      <c r="E258" s="423" t="s">
        <v>5</v>
      </c>
      <c r="F258" s="373">
        <v>3.66</v>
      </c>
      <c r="G258" s="367"/>
      <c r="H258" s="368">
        <f t="shared" si="52"/>
        <v>3.66</v>
      </c>
      <c r="I258" s="368"/>
      <c r="J258" s="368" t="str">
        <f>VLOOKUP(B258,TH.T3!B264:J522,9,FALSE)</f>
        <v>Giảng viên khoa Động lực</v>
      </c>
      <c r="K258" s="369">
        <f t="shared" si="53"/>
        <v>3.66</v>
      </c>
      <c r="L258" s="362">
        <f t="shared" si="54"/>
        <v>6588000</v>
      </c>
      <c r="M258" s="366" t="str">
        <f>VLOOKUP(B258,'[11]Gui chi Quynh'!$B$11:$E$400,4,FALSE)</f>
        <v>A4</v>
      </c>
      <c r="N258" s="494">
        <f t="shared" si="44"/>
        <v>6588000</v>
      </c>
      <c r="O258" s="376">
        <v>19</v>
      </c>
      <c r="P258" s="440">
        <f>IFERROR(INDEX('[12]CN BC'!$J$10:$J$276,MATCH(B258,'[12]CN BC'!$H$10:$H$276,0)),"")</f>
        <v>19</v>
      </c>
      <c r="Q258" s="494">
        <f t="shared" si="50"/>
        <v>6588000</v>
      </c>
      <c r="R258" s="460"/>
      <c r="S258" s="362">
        <f t="shared" si="43"/>
        <v>0</v>
      </c>
      <c r="T258" s="370"/>
      <c r="U258" s="362">
        <f t="shared" si="51"/>
        <v>0</v>
      </c>
      <c r="V258" s="584">
        <f t="shared" si="45"/>
        <v>65880</v>
      </c>
      <c r="W258" s="371">
        <f t="shared" si="49"/>
        <v>6588000</v>
      </c>
      <c r="X258" s="935">
        <f t="shared" si="47"/>
        <v>3.66</v>
      </c>
      <c r="Y258" s="934">
        <v>1800000</v>
      </c>
      <c r="Z258" s="931">
        <f t="shared" si="48"/>
        <v>6588000</v>
      </c>
      <c r="AA258" s="568">
        <f t="shared" si="46"/>
        <v>238</v>
      </c>
      <c r="AB258" s="493">
        <f>IFERROR(INDEX('[12]CN BC'!$M$10:$M$276,MATCH(B258,'[12]CN BC'!$H$10:$H$276,0)),"")</f>
        <v>0</v>
      </c>
      <c r="AC258" s="945" t="s">
        <v>2241</v>
      </c>
      <c r="AF258" s="487"/>
    </row>
    <row r="259" spans="1:38" s="372" customFormat="1" ht="30" customHeight="1">
      <c r="A259" s="379">
        <f>_xlfn.AGGREGATE(4,7,A$20:A258)+1</f>
        <v>239</v>
      </c>
      <c r="B259" s="363" t="s">
        <v>1917</v>
      </c>
      <c r="C259" s="364" t="s">
        <v>1212</v>
      </c>
      <c r="D259" s="434" t="s">
        <v>1809</v>
      </c>
      <c r="E259" s="423" t="s">
        <v>394</v>
      </c>
      <c r="F259" s="373">
        <v>3.66</v>
      </c>
      <c r="G259" s="367"/>
      <c r="H259" s="368">
        <f t="shared" si="52"/>
        <v>3.66</v>
      </c>
      <c r="I259" s="368"/>
      <c r="J259" s="368" t="str">
        <f>VLOOKUP(B259,TH.T3!B265:J523,9,FALSE)</f>
        <v>Giảng viên khoa Động lực</v>
      </c>
      <c r="K259" s="369">
        <f t="shared" si="53"/>
        <v>3.66</v>
      </c>
      <c r="L259" s="362">
        <f t="shared" si="54"/>
        <v>6588000</v>
      </c>
      <c r="M259" s="366" t="str">
        <f>VLOOKUP(B259,'[11]Gui chi Quynh'!$B$11:$E$400,4,FALSE)</f>
        <v>A4</v>
      </c>
      <c r="N259" s="494">
        <f t="shared" si="44"/>
        <v>6588000</v>
      </c>
      <c r="O259" s="376">
        <v>19</v>
      </c>
      <c r="P259" s="440">
        <f>IFERROR(INDEX('[12]CN BC'!$J$10:$J$276,MATCH(B259,'[12]CN BC'!$H$10:$H$276,0)),"")</f>
        <v>19</v>
      </c>
      <c r="Q259" s="494">
        <f t="shared" si="50"/>
        <v>6588000</v>
      </c>
      <c r="R259" s="460"/>
      <c r="S259" s="362">
        <f t="shared" si="43"/>
        <v>0</v>
      </c>
      <c r="T259" s="370"/>
      <c r="U259" s="362">
        <f t="shared" si="51"/>
        <v>0</v>
      </c>
      <c r="V259" s="584">
        <f t="shared" si="45"/>
        <v>65880</v>
      </c>
      <c r="W259" s="371">
        <f t="shared" si="49"/>
        <v>6588000</v>
      </c>
      <c r="X259" s="935">
        <f t="shared" si="47"/>
        <v>3.66</v>
      </c>
      <c r="Y259" s="934">
        <v>1800000</v>
      </c>
      <c r="Z259" s="931">
        <f t="shared" si="48"/>
        <v>6588000</v>
      </c>
      <c r="AA259" s="568">
        <f t="shared" si="46"/>
        <v>239</v>
      </c>
      <c r="AB259" s="493">
        <f>IFERROR(INDEX('[12]CN BC'!$M$10:$M$276,MATCH(B259,'[12]CN BC'!$H$10:$H$276,0)),"")</f>
        <v>0</v>
      </c>
      <c r="AC259" s="945" t="s">
        <v>2241</v>
      </c>
      <c r="AD259" s="108"/>
      <c r="AE259" s="108"/>
      <c r="AF259" s="155"/>
      <c r="AG259" s="108"/>
      <c r="AH259" s="108"/>
      <c r="AI259" s="108"/>
      <c r="AJ259" s="108"/>
      <c r="AK259" s="108"/>
      <c r="AL259" s="108"/>
    </row>
    <row r="260" spans="1:38" s="372" customFormat="1" ht="30" customHeight="1">
      <c r="A260" s="379">
        <f>_xlfn.AGGREGATE(4,7,A$20:A259)+1</f>
        <v>240</v>
      </c>
      <c r="B260" s="390" t="s">
        <v>1918</v>
      </c>
      <c r="C260" s="538" t="s">
        <v>868</v>
      </c>
      <c r="D260" s="434" t="s">
        <v>1810</v>
      </c>
      <c r="E260" s="423" t="s">
        <v>393</v>
      </c>
      <c r="F260" s="373">
        <v>3.99</v>
      </c>
      <c r="G260" s="367"/>
      <c r="H260" s="368">
        <f t="shared" si="52"/>
        <v>3.99</v>
      </c>
      <c r="I260" s="368"/>
      <c r="J260" s="368" t="str">
        <f>VLOOKUP(B260,TH.T3!B266:J524,9,FALSE)</f>
        <v>Giảng viên khoa Động lực</v>
      </c>
      <c r="K260" s="369">
        <f t="shared" si="53"/>
        <v>3.99</v>
      </c>
      <c r="L260" s="362">
        <f t="shared" si="54"/>
        <v>7182000</v>
      </c>
      <c r="M260" s="366" t="str">
        <f>VLOOKUP(B260,'[11]Gui chi Quynh'!$B$11:$E$400,4,FALSE)</f>
        <v>A4</v>
      </c>
      <c r="N260" s="494">
        <f t="shared" si="44"/>
        <v>7182000</v>
      </c>
      <c r="O260" s="376">
        <v>19</v>
      </c>
      <c r="P260" s="440">
        <f>IFERROR(INDEX('[12]CN BC'!$J$10:$J$276,MATCH(B260,'[12]CN BC'!$H$10:$H$276,0)),"")</f>
        <v>19</v>
      </c>
      <c r="Q260" s="494">
        <f t="shared" si="50"/>
        <v>7182000</v>
      </c>
      <c r="R260" s="460"/>
      <c r="S260" s="362">
        <f t="shared" si="43"/>
        <v>0</v>
      </c>
      <c r="T260" s="370"/>
      <c r="U260" s="362">
        <f t="shared" si="51"/>
        <v>0</v>
      </c>
      <c r="V260" s="584">
        <f t="shared" si="45"/>
        <v>71820</v>
      </c>
      <c r="W260" s="371">
        <f t="shared" si="49"/>
        <v>7182000</v>
      </c>
      <c r="X260" s="935">
        <f t="shared" si="47"/>
        <v>3.99</v>
      </c>
      <c r="Y260" s="934">
        <v>1800000</v>
      </c>
      <c r="Z260" s="931">
        <f t="shared" si="48"/>
        <v>7182000</v>
      </c>
      <c r="AA260" s="568">
        <f t="shared" si="46"/>
        <v>240</v>
      </c>
      <c r="AB260" s="493">
        <f>IFERROR(INDEX('[12]CN BC'!$M$10:$M$276,MATCH(B260,'[12]CN BC'!$H$10:$H$276,0)),"")</f>
        <v>0</v>
      </c>
      <c r="AC260" s="945" t="s">
        <v>2241</v>
      </c>
      <c r="AF260" s="487"/>
    </row>
    <row r="261" spans="1:38" s="372" customFormat="1" ht="30" customHeight="1">
      <c r="A261" s="379">
        <f>_xlfn.AGGREGATE(4,7,A$20:A260)+1</f>
        <v>241</v>
      </c>
      <c r="B261" s="363" t="s">
        <v>1545</v>
      </c>
      <c r="C261" s="364" t="s">
        <v>1218</v>
      </c>
      <c r="D261" s="434" t="s">
        <v>1811</v>
      </c>
      <c r="E261" s="423" t="s">
        <v>395</v>
      </c>
      <c r="F261" s="373">
        <v>3.66</v>
      </c>
      <c r="G261" s="367"/>
      <c r="H261" s="368">
        <f t="shared" si="52"/>
        <v>3.66</v>
      </c>
      <c r="I261" s="368"/>
      <c r="J261" s="368" t="str">
        <f>VLOOKUP(B261,TH.T3!B267:J525,9,FALSE)</f>
        <v>Giảng viên khoa Động lực</v>
      </c>
      <c r="K261" s="369">
        <f t="shared" si="53"/>
        <v>3.66</v>
      </c>
      <c r="L261" s="362">
        <f t="shared" si="54"/>
        <v>6588000</v>
      </c>
      <c r="M261" s="366" t="str">
        <f>VLOOKUP(B261,'[11]Gui chi Quynh'!$B$11:$E$400,4,FALSE)</f>
        <v>A4</v>
      </c>
      <c r="N261" s="494">
        <f t="shared" si="44"/>
        <v>6588000</v>
      </c>
      <c r="O261" s="376">
        <v>19</v>
      </c>
      <c r="P261" s="440">
        <f>IFERROR(INDEX('[12]CN BC'!$J$10:$J$276,MATCH(B261,'[12]CN BC'!$H$10:$H$276,0)),"")</f>
        <v>19</v>
      </c>
      <c r="Q261" s="494">
        <f t="shared" si="50"/>
        <v>6588000</v>
      </c>
      <c r="R261" s="460"/>
      <c r="S261" s="362">
        <f t="shared" si="43"/>
        <v>0</v>
      </c>
      <c r="T261" s="370"/>
      <c r="U261" s="362">
        <f t="shared" si="51"/>
        <v>0</v>
      </c>
      <c r="V261" s="584">
        <f t="shared" si="45"/>
        <v>65880</v>
      </c>
      <c r="W261" s="371">
        <f t="shared" si="49"/>
        <v>6588000</v>
      </c>
      <c r="X261" s="935">
        <f t="shared" si="47"/>
        <v>3.66</v>
      </c>
      <c r="Y261" s="934">
        <v>1800000</v>
      </c>
      <c r="Z261" s="931">
        <f t="shared" si="48"/>
        <v>6588000</v>
      </c>
      <c r="AA261" s="568">
        <f t="shared" si="46"/>
        <v>241</v>
      </c>
      <c r="AB261" s="493">
        <f>IFERROR(INDEX('[12]CN BC'!$M$10:$M$276,MATCH(B261,'[12]CN BC'!$H$10:$H$276,0)),"")</f>
        <v>0</v>
      </c>
      <c r="AC261" s="945" t="s">
        <v>2241</v>
      </c>
      <c r="AF261" s="487"/>
    </row>
    <row r="262" spans="1:38" s="372" customFormat="1" ht="30" customHeight="1">
      <c r="A262" s="379">
        <f>_xlfn.AGGREGATE(4,7,A$20:A261)+1</f>
        <v>242</v>
      </c>
      <c r="B262" s="363" t="s">
        <v>1546</v>
      </c>
      <c r="C262" s="364" t="s">
        <v>469</v>
      </c>
      <c r="D262" s="434" t="s">
        <v>1812</v>
      </c>
      <c r="E262" s="423" t="s">
        <v>473</v>
      </c>
      <c r="F262" s="373">
        <v>3.66</v>
      </c>
      <c r="G262" s="367"/>
      <c r="H262" s="368">
        <f t="shared" si="52"/>
        <v>3.66</v>
      </c>
      <c r="I262" s="368"/>
      <c r="J262" s="368" t="str">
        <f>VLOOKUP(B262,TH.T3!B268:J526,9,FALSE)</f>
        <v>Giảng viên khoa Động lực</v>
      </c>
      <c r="K262" s="369">
        <f t="shared" si="53"/>
        <v>3.66</v>
      </c>
      <c r="L262" s="362">
        <f t="shared" si="54"/>
        <v>6588000</v>
      </c>
      <c r="M262" s="366" t="str">
        <f>VLOOKUP(B262,'[11]Gui chi Quynh'!$B$11:$E$400,4,FALSE)</f>
        <v>A3</v>
      </c>
      <c r="N262" s="494">
        <f t="shared" si="44"/>
        <v>7905600</v>
      </c>
      <c r="O262" s="376">
        <v>19</v>
      </c>
      <c r="P262" s="440">
        <f>IFERROR(INDEX('[12]CN BC'!$J$10:$J$276,MATCH(B262,'[12]CN BC'!$H$10:$H$276,0)),"")</f>
        <v>19</v>
      </c>
      <c r="Q262" s="494">
        <f t="shared" si="50"/>
        <v>7905600</v>
      </c>
      <c r="R262" s="460"/>
      <c r="S262" s="362">
        <f t="shared" si="43"/>
        <v>0</v>
      </c>
      <c r="T262" s="370"/>
      <c r="U262" s="362">
        <f t="shared" si="51"/>
        <v>0</v>
      </c>
      <c r="V262" s="584">
        <f t="shared" si="45"/>
        <v>65880</v>
      </c>
      <c r="W262" s="371">
        <f t="shared" si="49"/>
        <v>7905600</v>
      </c>
      <c r="X262" s="935">
        <f t="shared" si="47"/>
        <v>4.3920000000000003</v>
      </c>
      <c r="Y262" s="934">
        <v>1800000</v>
      </c>
      <c r="Z262" s="931">
        <f t="shared" si="48"/>
        <v>7905600.0000000009</v>
      </c>
      <c r="AA262" s="568">
        <f t="shared" si="46"/>
        <v>242</v>
      </c>
      <c r="AB262" s="493">
        <f>IFERROR(INDEX('[12]CN BC'!$M$10:$M$276,MATCH(B262,'[12]CN BC'!$H$10:$H$276,0)),"")</f>
        <v>0</v>
      </c>
      <c r="AC262" s="945" t="s">
        <v>2241</v>
      </c>
      <c r="AD262" s="471"/>
      <c r="AE262" s="108"/>
      <c r="AF262" s="155"/>
      <c r="AG262" s="108"/>
      <c r="AH262" s="108"/>
      <c r="AI262" s="108"/>
      <c r="AJ262" s="108"/>
      <c r="AK262" s="108"/>
      <c r="AL262" s="108"/>
    </row>
    <row r="263" spans="1:38" s="372" customFormat="1" ht="30" customHeight="1">
      <c r="A263" s="379">
        <f>_xlfn.AGGREGATE(4,7,A$20:A262)+1</f>
        <v>243</v>
      </c>
      <c r="B263" s="363" t="s">
        <v>1547</v>
      </c>
      <c r="C263" s="364" t="s">
        <v>1196</v>
      </c>
      <c r="D263" s="434" t="s">
        <v>1813</v>
      </c>
      <c r="E263" s="365" t="s">
        <v>490</v>
      </c>
      <c r="F263" s="373">
        <v>3.66</v>
      </c>
      <c r="G263" s="367"/>
      <c r="H263" s="445">
        <f t="shared" si="52"/>
        <v>3.66</v>
      </c>
      <c r="I263" s="368"/>
      <c r="J263" s="368" t="str">
        <f>VLOOKUP(B263,TH.T3!B269:J527,9,FALSE)</f>
        <v>Giảng viên khoa Động lực</v>
      </c>
      <c r="K263" s="369">
        <f t="shared" si="53"/>
        <v>3.66</v>
      </c>
      <c r="L263" s="362">
        <f t="shared" si="54"/>
        <v>6588000</v>
      </c>
      <c r="M263" s="366" t="str">
        <f>VLOOKUP(B263,'[11]Gui chi Quynh'!$B$11:$E$400,4,FALSE)</f>
        <v>A3</v>
      </c>
      <c r="N263" s="494">
        <f t="shared" si="44"/>
        <v>7905600</v>
      </c>
      <c r="O263" s="376">
        <v>19</v>
      </c>
      <c r="P263" s="440">
        <f>IFERROR(INDEX('[12]CN BC'!$J$10:$J$276,MATCH(B263,'[12]CN BC'!$H$10:$H$276,0)),"")</f>
        <v>19</v>
      </c>
      <c r="Q263" s="494">
        <f t="shared" si="50"/>
        <v>7905600</v>
      </c>
      <c r="R263" s="460"/>
      <c r="S263" s="362">
        <f t="shared" si="43"/>
        <v>0</v>
      </c>
      <c r="T263" s="370"/>
      <c r="U263" s="362">
        <f t="shared" si="51"/>
        <v>0</v>
      </c>
      <c r="V263" s="584">
        <f t="shared" si="45"/>
        <v>65880</v>
      </c>
      <c r="W263" s="371">
        <f t="shared" si="49"/>
        <v>7905600</v>
      </c>
      <c r="X263" s="935">
        <f t="shared" si="47"/>
        <v>4.3920000000000003</v>
      </c>
      <c r="Y263" s="934">
        <v>1800000</v>
      </c>
      <c r="Z263" s="931">
        <f t="shared" si="48"/>
        <v>7905600.0000000009</v>
      </c>
      <c r="AA263" s="568">
        <f t="shared" si="46"/>
        <v>243</v>
      </c>
      <c r="AB263" s="493">
        <f>IFERROR(INDEX('[12]CN BC'!$M$10:$M$276,MATCH(B263,'[12]CN BC'!$H$10:$H$276,0)),"")</f>
        <v>0</v>
      </c>
      <c r="AC263" s="945" t="s">
        <v>2241</v>
      </c>
      <c r="AD263" s="108"/>
      <c r="AE263" s="108"/>
      <c r="AF263" s="155"/>
      <c r="AG263" s="108"/>
      <c r="AH263" s="108"/>
      <c r="AI263" s="108"/>
      <c r="AJ263" s="108"/>
      <c r="AK263" s="108"/>
      <c r="AL263" s="108"/>
    </row>
    <row r="264" spans="1:38" s="372" customFormat="1" ht="30" customHeight="1">
      <c r="A264" s="379">
        <f>_xlfn.AGGREGATE(4,7,A$20:A263)+1</f>
        <v>244</v>
      </c>
      <c r="B264" s="363" t="s">
        <v>1919</v>
      </c>
      <c r="C264" s="364" t="s">
        <v>755</v>
      </c>
      <c r="D264" s="434" t="s">
        <v>1814</v>
      </c>
      <c r="E264" s="423" t="s">
        <v>750</v>
      </c>
      <c r="F264" s="373">
        <v>3.66</v>
      </c>
      <c r="G264" s="367"/>
      <c r="H264" s="445">
        <f t="shared" si="52"/>
        <v>3.66</v>
      </c>
      <c r="I264" s="368"/>
      <c r="J264" s="368" t="str">
        <f>VLOOKUP(B264,TH.T3!B270:J528,9,FALSE)</f>
        <v>Giảng viên khoa Động lực</v>
      </c>
      <c r="K264" s="369">
        <f t="shared" si="53"/>
        <v>3.66</v>
      </c>
      <c r="L264" s="362">
        <f t="shared" si="54"/>
        <v>6588000</v>
      </c>
      <c r="M264" s="366" t="str">
        <f>VLOOKUP(B264,'[11]Gui chi Quynh'!$B$11:$E$400,4,FALSE)</f>
        <v>A3</v>
      </c>
      <c r="N264" s="494">
        <f t="shared" si="44"/>
        <v>7905600</v>
      </c>
      <c r="O264" s="376">
        <v>19</v>
      </c>
      <c r="P264" s="440">
        <f>IFERROR(INDEX('[12]CN BC'!$J$10:$J$276,MATCH(B264,'[12]CN BC'!$H$10:$H$276,0)),"")</f>
        <v>19</v>
      </c>
      <c r="Q264" s="494">
        <f t="shared" si="50"/>
        <v>7905600</v>
      </c>
      <c r="R264" s="392"/>
      <c r="S264" s="362">
        <f t="shared" si="43"/>
        <v>0</v>
      </c>
      <c r="T264" s="370"/>
      <c r="U264" s="362">
        <f t="shared" si="51"/>
        <v>0</v>
      </c>
      <c r="V264" s="584">
        <f t="shared" si="45"/>
        <v>65880</v>
      </c>
      <c r="W264" s="371">
        <f t="shared" si="49"/>
        <v>7905600</v>
      </c>
      <c r="X264" s="935">
        <f t="shared" si="47"/>
        <v>4.3920000000000003</v>
      </c>
      <c r="Y264" s="934">
        <v>1800000</v>
      </c>
      <c r="Z264" s="931">
        <f t="shared" si="48"/>
        <v>7905600.0000000009</v>
      </c>
      <c r="AA264" s="568">
        <f t="shared" si="46"/>
        <v>244</v>
      </c>
      <c r="AB264" s="493">
        <f>IFERROR(INDEX('[12]CN BC'!$M$10:$M$276,MATCH(B264,'[12]CN BC'!$H$10:$H$276,0)),"")</f>
        <v>0</v>
      </c>
      <c r="AC264" s="945" t="s">
        <v>2241</v>
      </c>
      <c r="AD264" s="108"/>
      <c r="AE264" s="108"/>
      <c r="AF264" s="155"/>
      <c r="AG264" s="108"/>
      <c r="AH264" s="108"/>
      <c r="AI264" s="108"/>
      <c r="AJ264" s="108"/>
      <c r="AK264" s="108"/>
      <c r="AL264" s="108"/>
    </row>
    <row r="265" spans="1:38" s="372" customFormat="1" ht="30" customHeight="1">
      <c r="A265" s="379">
        <f>_xlfn.AGGREGATE(4,7,A$20:A264)+1</f>
        <v>245</v>
      </c>
      <c r="B265" s="363" t="s">
        <v>1548</v>
      </c>
      <c r="C265" s="364" t="s">
        <v>889</v>
      </c>
      <c r="D265" s="434" t="s">
        <v>1815</v>
      </c>
      <c r="E265" s="423" t="s">
        <v>752</v>
      </c>
      <c r="F265" s="373">
        <v>3.66</v>
      </c>
      <c r="G265" s="367"/>
      <c r="H265" s="445">
        <f t="shared" si="52"/>
        <v>3.66</v>
      </c>
      <c r="I265" s="368"/>
      <c r="J265" s="368" t="str">
        <f>VLOOKUP(B265,TH.T3!B271:J529,9,FALSE)</f>
        <v>Giảng viên khoa Động lực</v>
      </c>
      <c r="K265" s="369">
        <f t="shared" si="53"/>
        <v>3.66</v>
      </c>
      <c r="L265" s="362">
        <f t="shared" si="54"/>
        <v>6588000</v>
      </c>
      <c r="M265" s="366" t="str">
        <f>VLOOKUP(B265,'[11]Gui chi Quynh'!$B$11:$E$400,4,FALSE)</f>
        <v>A4</v>
      </c>
      <c r="N265" s="494">
        <f t="shared" si="44"/>
        <v>6588000</v>
      </c>
      <c r="O265" s="376">
        <v>19</v>
      </c>
      <c r="P265" s="440">
        <f>IFERROR(INDEX('[12]CN BC'!$J$10:$J$276,MATCH(B265,'[12]CN BC'!$H$10:$H$276,0)),"")</f>
        <v>19</v>
      </c>
      <c r="Q265" s="494">
        <f t="shared" si="50"/>
        <v>6588000</v>
      </c>
      <c r="R265" s="460"/>
      <c r="S265" s="362">
        <f t="shared" si="43"/>
        <v>0</v>
      </c>
      <c r="T265" s="370"/>
      <c r="U265" s="362">
        <f t="shared" si="51"/>
        <v>0</v>
      </c>
      <c r="V265" s="584">
        <f t="shared" si="45"/>
        <v>65880</v>
      </c>
      <c r="W265" s="371">
        <f t="shared" si="49"/>
        <v>6588000</v>
      </c>
      <c r="X265" s="935">
        <f t="shared" si="47"/>
        <v>3.66</v>
      </c>
      <c r="Y265" s="934">
        <v>1800000</v>
      </c>
      <c r="Z265" s="931">
        <f t="shared" si="48"/>
        <v>6588000</v>
      </c>
      <c r="AA265" s="568">
        <f t="shared" si="46"/>
        <v>245</v>
      </c>
      <c r="AB265" s="493">
        <f>IFERROR(INDEX('[12]CN BC'!$M$10:$M$276,MATCH(B265,'[12]CN BC'!$H$10:$H$276,0)),"")</f>
        <v>0</v>
      </c>
      <c r="AC265" s="945" t="s">
        <v>2241</v>
      </c>
      <c r="AF265" s="487"/>
    </row>
    <row r="266" spans="1:38" s="372" customFormat="1" ht="30" customHeight="1">
      <c r="A266" s="379">
        <f>_xlfn.AGGREGATE(4,7,A$20:A265)+1</f>
        <v>246</v>
      </c>
      <c r="B266" s="363" t="s">
        <v>1549</v>
      </c>
      <c r="C266" s="364" t="s">
        <v>1428</v>
      </c>
      <c r="D266" s="434" t="s">
        <v>1816</v>
      </c>
      <c r="E266" s="422" t="s">
        <v>1429</v>
      </c>
      <c r="F266" s="463">
        <v>3.33</v>
      </c>
      <c r="G266" s="367"/>
      <c r="H266" s="445">
        <f t="shared" si="52"/>
        <v>3.33</v>
      </c>
      <c r="I266" s="368">
        <v>0.25</v>
      </c>
      <c r="J266" s="368" t="str">
        <f>VLOOKUP(B266,TH.T3!B272:J530,9,FALSE)</f>
        <v>Giảng viên khoa Động lực</v>
      </c>
      <c r="K266" s="369">
        <f t="shared" si="53"/>
        <v>3.58</v>
      </c>
      <c r="L266" s="362">
        <f t="shared" si="54"/>
        <v>6444000</v>
      </c>
      <c r="M266" s="366" t="str">
        <f>VLOOKUP(B266,'[11]Gui chi Quynh'!$B$11:$E$400,4,FALSE)</f>
        <v>A4</v>
      </c>
      <c r="N266" s="494">
        <f t="shared" si="44"/>
        <v>6444000</v>
      </c>
      <c r="O266" s="376">
        <v>19</v>
      </c>
      <c r="P266" s="440">
        <f>IFERROR(INDEX('[12]CN BC'!$J$10:$J$276,MATCH(B266,'[12]CN BC'!$H$10:$H$276,0)),"")</f>
        <v>19</v>
      </c>
      <c r="Q266" s="494">
        <f t="shared" si="50"/>
        <v>6444000</v>
      </c>
      <c r="R266" s="460"/>
      <c r="S266" s="362">
        <f t="shared" si="43"/>
        <v>0</v>
      </c>
      <c r="T266" s="370"/>
      <c r="U266" s="362">
        <f t="shared" si="51"/>
        <v>0</v>
      </c>
      <c r="V266" s="584">
        <f t="shared" si="45"/>
        <v>64440</v>
      </c>
      <c r="W266" s="371">
        <f t="shared" si="49"/>
        <v>6444000</v>
      </c>
      <c r="X266" s="935">
        <f t="shared" si="47"/>
        <v>3.58</v>
      </c>
      <c r="Y266" s="934">
        <v>1800000</v>
      </c>
      <c r="Z266" s="931">
        <f t="shared" si="48"/>
        <v>6444000</v>
      </c>
      <c r="AA266" s="568">
        <f t="shared" si="46"/>
        <v>246</v>
      </c>
      <c r="AB266" s="493">
        <f>IFERROR(INDEX('[12]CN BC'!$M$10:$M$276,MATCH(B266,'[12]CN BC'!$H$10:$H$276,0)),"")</f>
        <v>0</v>
      </c>
      <c r="AC266" s="945" t="s">
        <v>2241</v>
      </c>
      <c r="AD266" s="108"/>
      <c r="AE266" s="108"/>
      <c r="AF266" s="155"/>
      <c r="AG266" s="108"/>
      <c r="AH266" s="108"/>
      <c r="AI266" s="108"/>
      <c r="AJ266" s="108"/>
      <c r="AK266" s="108"/>
      <c r="AL266" s="108"/>
    </row>
    <row r="267" spans="1:38" s="372" customFormat="1" ht="30" customHeight="1">
      <c r="A267" s="379">
        <f>_xlfn.AGGREGATE(4,7,A$20:A266)+1</f>
        <v>247</v>
      </c>
      <c r="B267" s="363" t="s">
        <v>1550</v>
      </c>
      <c r="C267" s="364" t="s">
        <v>1428</v>
      </c>
      <c r="D267" s="434" t="s">
        <v>1817</v>
      </c>
      <c r="E267" s="422" t="s">
        <v>1430</v>
      </c>
      <c r="F267" s="463">
        <v>3.33</v>
      </c>
      <c r="G267" s="367"/>
      <c r="H267" s="445">
        <f t="shared" si="52"/>
        <v>3.33</v>
      </c>
      <c r="I267" s="368"/>
      <c r="J267" s="368" t="str">
        <f>VLOOKUP(B267,TH.T3!B273:J531,9,FALSE)</f>
        <v>Giảng viên khoa Động lực</v>
      </c>
      <c r="K267" s="369">
        <f t="shared" si="53"/>
        <v>3.33</v>
      </c>
      <c r="L267" s="362">
        <f t="shared" si="54"/>
        <v>5994000</v>
      </c>
      <c r="M267" s="366" t="str">
        <f>VLOOKUP(B267,'[11]Gui chi Quynh'!$B$11:$E$400,4,FALSE)</f>
        <v>A4</v>
      </c>
      <c r="N267" s="494">
        <f t="shared" si="44"/>
        <v>5994000</v>
      </c>
      <c r="O267" s="376">
        <v>19</v>
      </c>
      <c r="P267" s="440">
        <f>IFERROR(INDEX('[12]CN BC'!$J$10:$J$276,MATCH(B267,'[12]CN BC'!$H$10:$H$276,0)),"")</f>
        <v>19</v>
      </c>
      <c r="Q267" s="494">
        <f t="shared" si="50"/>
        <v>5994000</v>
      </c>
      <c r="R267" s="392"/>
      <c r="S267" s="362">
        <f t="shared" si="43"/>
        <v>0</v>
      </c>
      <c r="T267" s="370"/>
      <c r="U267" s="362">
        <f t="shared" si="51"/>
        <v>0</v>
      </c>
      <c r="V267" s="584">
        <f t="shared" si="45"/>
        <v>59940</v>
      </c>
      <c r="W267" s="371">
        <f t="shared" si="49"/>
        <v>5994000</v>
      </c>
      <c r="X267" s="935">
        <f t="shared" si="47"/>
        <v>3.33</v>
      </c>
      <c r="Y267" s="934">
        <v>1800000</v>
      </c>
      <c r="Z267" s="931">
        <f t="shared" si="48"/>
        <v>5994000</v>
      </c>
      <c r="AA267" s="568">
        <f t="shared" si="46"/>
        <v>247</v>
      </c>
      <c r="AB267" s="493">
        <f>IFERROR(INDEX('[12]CN BC'!$M$10:$M$276,MATCH(B267,'[12]CN BC'!$H$10:$H$276,0)),"")</f>
        <v>0</v>
      </c>
      <c r="AC267" s="945" t="s">
        <v>2241</v>
      </c>
      <c r="AD267" s="471"/>
      <c r="AE267" s="108"/>
      <c r="AF267" s="155"/>
      <c r="AG267" s="108"/>
      <c r="AH267" s="108"/>
      <c r="AI267" s="108"/>
      <c r="AJ267" s="108"/>
      <c r="AK267" s="108"/>
      <c r="AL267" s="108"/>
    </row>
    <row r="268" spans="1:38" s="372" customFormat="1" ht="30" customHeight="1">
      <c r="A268" s="379">
        <f>_xlfn.AGGREGATE(4,7,A$20:A267)+1</f>
        <v>248</v>
      </c>
      <c r="B268" s="363" t="s">
        <v>1836</v>
      </c>
      <c r="C268" s="364"/>
      <c r="D268" s="434" t="s">
        <v>1976</v>
      </c>
      <c r="E268" s="481" t="s">
        <v>1977</v>
      </c>
      <c r="F268" s="365">
        <v>2.67</v>
      </c>
      <c r="G268" s="367"/>
      <c r="H268" s="368">
        <f t="shared" si="52"/>
        <v>2.67</v>
      </c>
      <c r="I268" s="368"/>
      <c r="J268" s="368" t="str">
        <f>VLOOKUP(B268,TH.T3!B274:J532,9,FALSE)</f>
        <v>Giảng viên khoa Động lực</v>
      </c>
      <c r="K268" s="369">
        <f t="shared" si="53"/>
        <v>2.67</v>
      </c>
      <c r="L268" s="362">
        <f t="shared" si="54"/>
        <v>4806000</v>
      </c>
      <c r="M268" s="366" t="str">
        <f>VLOOKUP(B268,'[11]Gui chi Quynh'!$B$11:$E$400,4,FALSE)</f>
        <v>A4</v>
      </c>
      <c r="N268" s="494">
        <f t="shared" si="44"/>
        <v>4806000</v>
      </c>
      <c r="O268" s="376">
        <v>19</v>
      </c>
      <c r="P268" s="440">
        <f>IFERROR(INDEX('[12]CN BC'!$J$10:$J$276,MATCH(B268,'[12]CN BC'!$H$10:$H$276,0)),"")</f>
        <v>19</v>
      </c>
      <c r="Q268" s="494">
        <f t="shared" si="50"/>
        <v>4806000</v>
      </c>
      <c r="R268" s="460"/>
      <c r="S268" s="362">
        <f t="shared" si="43"/>
        <v>0</v>
      </c>
      <c r="T268" s="370"/>
      <c r="U268" s="362">
        <f t="shared" si="51"/>
        <v>0</v>
      </c>
      <c r="V268" s="584">
        <f t="shared" si="45"/>
        <v>48060</v>
      </c>
      <c r="W268" s="371">
        <f t="shared" si="49"/>
        <v>4806000</v>
      </c>
      <c r="X268" s="935">
        <f t="shared" si="47"/>
        <v>2.67</v>
      </c>
      <c r="Y268" s="934">
        <v>1800000</v>
      </c>
      <c r="Z268" s="931">
        <f t="shared" si="48"/>
        <v>4806000</v>
      </c>
      <c r="AA268" s="568">
        <f t="shared" si="46"/>
        <v>248</v>
      </c>
      <c r="AB268" s="493">
        <f>IFERROR(INDEX('[12]CN BC'!$M$10:$M$276,MATCH(B268,'[12]CN BC'!$H$10:$H$276,0)),"")</f>
        <v>0</v>
      </c>
      <c r="AC268" s="945" t="s">
        <v>2241</v>
      </c>
      <c r="AD268" s="471"/>
      <c r="AE268" s="108"/>
      <c r="AF268" s="155"/>
      <c r="AG268" s="108"/>
      <c r="AH268" s="108"/>
      <c r="AI268" s="108"/>
      <c r="AJ268" s="108"/>
      <c r="AK268" s="108"/>
      <c r="AL268" s="108"/>
    </row>
    <row r="269" spans="1:38" s="372" customFormat="1" ht="30" customHeight="1">
      <c r="A269" s="379">
        <f>_xlfn.AGGREGATE(4,7,A$20:A268)+1</f>
        <v>249</v>
      </c>
      <c r="B269" s="363" t="s">
        <v>1837</v>
      </c>
      <c r="C269" s="364"/>
      <c r="D269" s="434" t="s">
        <v>1978</v>
      </c>
      <c r="E269" s="481" t="s">
        <v>1979</v>
      </c>
      <c r="F269" s="365">
        <v>2.67</v>
      </c>
      <c r="G269" s="367"/>
      <c r="H269" s="368">
        <f t="shared" si="52"/>
        <v>2.67</v>
      </c>
      <c r="I269" s="368"/>
      <c r="J269" s="368" t="str">
        <f>VLOOKUP(B269,TH.T3!B275:J533,9,FALSE)</f>
        <v>Giảng viên khoa Động lực</v>
      </c>
      <c r="K269" s="369">
        <f t="shared" si="53"/>
        <v>2.67</v>
      </c>
      <c r="L269" s="362">
        <f t="shared" si="54"/>
        <v>4806000</v>
      </c>
      <c r="M269" s="366" t="str">
        <f>VLOOKUP(B269,'[11]Gui chi Quynh'!$B$11:$E$400,4,FALSE)</f>
        <v>A3</v>
      </c>
      <c r="N269" s="494">
        <f t="shared" si="44"/>
        <v>5767200</v>
      </c>
      <c r="O269" s="376">
        <v>19</v>
      </c>
      <c r="P269" s="440">
        <f>IFERROR(INDEX('[12]CN BC'!$J$10:$J$276,MATCH(B269,'[12]CN BC'!$H$10:$H$276,0)),"")</f>
        <v>19</v>
      </c>
      <c r="Q269" s="494">
        <f t="shared" si="50"/>
        <v>5767200</v>
      </c>
      <c r="R269" s="392"/>
      <c r="S269" s="362">
        <f t="shared" si="43"/>
        <v>0</v>
      </c>
      <c r="T269" s="370"/>
      <c r="U269" s="362">
        <f t="shared" si="51"/>
        <v>0</v>
      </c>
      <c r="V269" s="584">
        <f t="shared" si="45"/>
        <v>48060</v>
      </c>
      <c r="W269" s="371">
        <f t="shared" si="49"/>
        <v>5767200</v>
      </c>
      <c r="X269" s="935">
        <f t="shared" si="47"/>
        <v>3.2040000000000002</v>
      </c>
      <c r="Y269" s="934">
        <v>1800000</v>
      </c>
      <c r="Z269" s="931">
        <f t="shared" si="48"/>
        <v>5767200</v>
      </c>
      <c r="AA269" s="568">
        <f t="shared" si="46"/>
        <v>249</v>
      </c>
      <c r="AB269" s="493">
        <f>IFERROR(INDEX('[12]CN BC'!$M$10:$M$276,MATCH(B269,'[12]CN BC'!$H$10:$H$276,0)),"")</f>
        <v>0</v>
      </c>
      <c r="AC269" s="945" t="s">
        <v>2241</v>
      </c>
      <c r="AD269" s="471"/>
      <c r="AE269" s="108"/>
      <c r="AF269" s="155"/>
      <c r="AG269" s="108"/>
      <c r="AH269" s="108"/>
      <c r="AI269" s="108"/>
      <c r="AJ269" s="108"/>
      <c r="AK269" s="108"/>
      <c r="AL269" s="108"/>
    </row>
    <row r="270" spans="1:38" s="372" customFormat="1" ht="30" customHeight="1">
      <c r="A270" s="379">
        <f>_xlfn.AGGREGATE(4,7,A$20:A269)+1</f>
        <v>250</v>
      </c>
      <c r="B270" s="390" t="s">
        <v>1839</v>
      </c>
      <c r="C270" s="364"/>
      <c r="D270" s="434" t="s">
        <v>1980</v>
      </c>
      <c r="E270" s="481" t="s">
        <v>1981</v>
      </c>
      <c r="F270" s="463">
        <v>3</v>
      </c>
      <c r="G270" s="367"/>
      <c r="H270" s="368">
        <f t="shared" si="52"/>
        <v>3</v>
      </c>
      <c r="I270" s="368"/>
      <c r="J270" s="368" t="str">
        <f>VLOOKUP(B270,TH.T3!B276:J534,9,FALSE)</f>
        <v>Giảng viên khoa Động lực</v>
      </c>
      <c r="K270" s="369">
        <f t="shared" si="53"/>
        <v>3</v>
      </c>
      <c r="L270" s="362">
        <f t="shared" si="54"/>
        <v>5400000</v>
      </c>
      <c r="M270" s="366" t="str">
        <f>VLOOKUP(B270,'[11]Gui chi Quynh'!$B$11:$E$400,4,FALSE)</f>
        <v>A3</v>
      </c>
      <c r="N270" s="494">
        <f t="shared" si="44"/>
        <v>6480000</v>
      </c>
      <c r="O270" s="376">
        <v>19</v>
      </c>
      <c r="P270" s="440">
        <f>IFERROR(INDEX('[12]CN BC'!$J$10:$J$276,MATCH(B270,'[12]CN BC'!$H$10:$H$276,0)),"")</f>
        <v>19</v>
      </c>
      <c r="Q270" s="494">
        <f t="shared" si="50"/>
        <v>6480000</v>
      </c>
      <c r="R270" s="392"/>
      <c r="S270" s="362">
        <f t="shared" si="43"/>
        <v>0</v>
      </c>
      <c r="T270" s="370"/>
      <c r="U270" s="362">
        <f t="shared" si="51"/>
        <v>0</v>
      </c>
      <c r="V270" s="584">
        <f t="shared" si="45"/>
        <v>54000</v>
      </c>
      <c r="W270" s="371">
        <f t="shared" si="49"/>
        <v>6480000</v>
      </c>
      <c r="X270" s="935">
        <f t="shared" si="47"/>
        <v>3.6</v>
      </c>
      <c r="Y270" s="934">
        <v>1800000</v>
      </c>
      <c r="Z270" s="931">
        <f t="shared" si="48"/>
        <v>6480000</v>
      </c>
      <c r="AA270" s="568">
        <f t="shared" si="46"/>
        <v>250</v>
      </c>
      <c r="AB270" s="493">
        <f>IFERROR(INDEX('[12]CN BC'!$M$10:$M$276,MATCH(B270,'[12]CN BC'!$H$10:$H$276,0)),"")</f>
        <v>0</v>
      </c>
      <c r="AC270" s="945" t="s">
        <v>2241</v>
      </c>
      <c r="AD270" s="471"/>
      <c r="AE270" s="108"/>
      <c r="AF270" s="155"/>
      <c r="AG270" s="108"/>
      <c r="AH270" s="108"/>
      <c r="AI270" s="108"/>
      <c r="AJ270" s="108"/>
      <c r="AK270" s="108"/>
      <c r="AL270" s="108"/>
    </row>
    <row r="271" spans="1:38" s="372" customFormat="1" ht="30" customHeight="1">
      <c r="A271" s="379">
        <f>_xlfn.AGGREGATE(4,7,A$20:A270)+1</f>
        <v>251</v>
      </c>
      <c r="B271" s="390" t="s">
        <v>1844</v>
      </c>
      <c r="C271" s="364"/>
      <c r="D271" s="434" t="s">
        <v>1982</v>
      </c>
      <c r="E271" s="481" t="s">
        <v>1983</v>
      </c>
      <c r="F271" s="463">
        <v>3.66</v>
      </c>
      <c r="G271" s="367"/>
      <c r="H271" s="368">
        <f t="shared" si="52"/>
        <v>3.66</v>
      </c>
      <c r="I271" s="368"/>
      <c r="J271" s="368" t="str">
        <f>VLOOKUP(B271,TH.T3!B277:J535,9,FALSE)</f>
        <v>Giảng viên khoa Động lực</v>
      </c>
      <c r="K271" s="369">
        <f t="shared" si="53"/>
        <v>3.66</v>
      </c>
      <c r="L271" s="362">
        <f t="shared" si="54"/>
        <v>6588000</v>
      </c>
      <c r="M271" s="366" t="str">
        <f>VLOOKUP(B271,'[11]Gui chi Quynh'!$B$11:$E$400,4,FALSE)</f>
        <v>A3</v>
      </c>
      <c r="N271" s="494">
        <f t="shared" si="44"/>
        <v>7905600</v>
      </c>
      <c r="O271" s="376">
        <v>19</v>
      </c>
      <c r="P271" s="440">
        <f>IFERROR(INDEX('[12]CN BC'!$J$10:$J$276,MATCH(B271,'[12]CN BC'!$H$10:$H$276,0)),"")</f>
        <v>19</v>
      </c>
      <c r="Q271" s="494">
        <f t="shared" si="50"/>
        <v>7905600</v>
      </c>
      <c r="R271" s="460"/>
      <c r="S271" s="362">
        <f t="shared" ref="S271:S287" si="55">R271*$G$17*1</f>
        <v>0</v>
      </c>
      <c r="T271" s="370"/>
      <c r="U271" s="362">
        <f t="shared" si="51"/>
        <v>0</v>
      </c>
      <c r="V271" s="584">
        <f t="shared" si="45"/>
        <v>65880</v>
      </c>
      <c r="W271" s="371">
        <f t="shared" si="49"/>
        <v>7905600</v>
      </c>
      <c r="X271" s="935">
        <f t="shared" si="47"/>
        <v>4.3920000000000003</v>
      </c>
      <c r="Y271" s="934">
        <v>1800000</v>
      </c>
      <c r="Z271" s="931">
        <f t="shared" si="48"/>
        <v>7905600.0000000009</v>
      </c>
      <c r="AA271" s="568">
        <f t="shared" si="46"/>
        <v>251</v>
      </c>
      <c r="AB271" s="493">
        <f>IFERROR(INDEX('[12]CN BC'!$M$10:$M$276,MATCH(B271,'[12]CN BC'!$H$10:$H$276,0)),"")</f>
        <v>0</v>
      </c>
      <c r="AC271" s="945" t="s">
        <v>2241</v>
      </c>
      <c r="AD271" s="471"/>
      <c r="AE271" s="108"/>
      <c r="AF271" s="155"/>
      <c r="AG271" s="108"/>
      <c r="AH271" s="108"/>
      <c r="AI271" s="108"/>
      <c r="AJ271" s="108"/>
      <c r="AK271" s="108"/>
      <c r="AL271" s="108"/>
    </row>
    <row r="272" spans="1:38" s="372" customFormat="1" ht="30" customHeight="1">
      <c r="A272" s="379">
        <f>_xlfn.AGGREGATE(4,7,A$20:A271)+1</f>
        <v>252</v>
      </c>
      <c r="B272" s="390" t="s">
        <v>1926</v>
      </c>
      <c r="C272" s="364"/>
      <c r="D272" s="434" t="s">
        <v>1984</v>
      </c>
      <c r="E272" s="477" t="s">
        <v>1985</v>
      </c>
      <c r="F272" s="473">
        <v>2.34</v>
      </c>
      <c r="G272" s="367"/>
      <c r="H272" s="368">
        <f t="shared" si="52"/>
        <v>2.34</v>
      </c>
      <c r="I272" s="368"/>
      <c r="J272" s="368" t="str">
        <f>VLOOKUP(B272,TH.T3!B278:J536,9,FALSE)</f>
        <v>Giảng viên khoa Động lực</v>
      </c>
      <c r="K272" s="369">
        <f t="shared" si="53"/>
        <v>2.34</v>
      </c>
      <c r="L272" s="362">
        <f t="shared" si="54"/>
        <v>4212000</v>
      </c>
      <c r="M272" s="366" t="str">
        <f>VLOOKUP(B272,'[11]Gui chi Quynh'!$B$11:$E$400,4,FALSE)</f>
        <v>A3</v>
      </c>
      <c r="N272" s="494">
        <f t="shared" si="44"/>
        <v>5054400</v>
      </c>
      <c r="O272" s="376">
        <v>19</v>
      </c>
      <c r="P272" s="440">
        <f>IFERROR(INDEX('[12]CN BC'!$J$10:$J$276,MATCH(B272,'[12]CN BC'!$H$10:$H$276,0)),"")</f>
        <v>19</v>
      </c>
      <c r="Q272" s="494">
        <f t="shared" si="50"/>
        <v>5054400</v>
      </c>
      <c r="R272" s="460"/>
      <c r="S272" s="362">
        <f t="shared" si="55"/>
        <v>0</v>
      </c>
      <c r="T272" s="370"/>
      <c r="U272" s="362">
        <f t="shared" si="51"/>
        <v>0</v>
      </c>
      <c r="V272" s="584">
        <f t="shared" si="45"/>
        <v>42120</v>
      </c>
      <c r="W272" s="371">
        <f t="shared" si="49"/>
        <v>5054400</v>
      </c>
      <c r="X272" s="935">
        <f t="shared" si="47"/>
        <v>2.8079999999999998</v>
      </c>
      <c r="Y272" s="934">
        <v>1800000</v>
      </c>
      <c r="Z272" s="931">
        <f t="shared" si="48"/>
        <v>5054400</v>
      </c>
      <c r="AA272" s="568">
        <f t="shared" si="46"/>
        <v>252</v>
      </c>
      <c r="AB272" s="493">
        <f>IFERROR(INDEX('[12]CN BC'!$M$10:$M$276,MATCH(B272,'[12]CN BC'!$H$10:$H$276,0)),"")</f>
        <v>0</v>
      </c>
      <c r="AC272" s="945" t="s">
        <v>2241</v>
      </c>
      <c r="AD272" s="471"/>
      <c r="AE272" s="108"/>
      <c r="AF272" s="155"/>
      <c r="AG272" s="108"/>
      <c r="AH272" s="108"/>
      <c r="AI272" s="108"/>
      <c r="AJ272" s="108"/>
      <c r="AK272" s="108"/>
      <c r="AL272" s="108"/>
    </row>
    <row r="273" spans="1:52" s="372" customFormat="1" ht="30" customHeight="1">
      <c r="A273" s="379">
        <f>_xlfn.AGGREGATE(4,7,A$20:A272)+1</f>
        <v>253</v>
      </c>
      <c r="B273" s="390" t="s">
        <v>1927</v>
      </c>
      <c r="C273" s="364"/>
      <c r="D273" s="434" t="s">
        <v>1986</v>
      </c>
      <c r="E273" s="422" t="s">
        <v>1987</v>
      </c>
      <c r="F273" s="473">
        <v>2.34</v>
      </c>
      <c r="G273" s="367"/>
      <c r="H273" s="368">
        <f t="shared" si="52"/>
        <v>2.34</v>
      </c>
      <c r="I273" s="368"/>
      <c r="J273" s="368" t="str">
        <f>VLOOKUP(B273,TH.T3!B279:J537,9,FALSE)</f>
        <v>Giảng viên khoa Động lực</v>
      </c>
      <c r="K273" s="369">
        <f t="shared" si="53"/>
        <v>2.34</v>
      </c>
      <c r="L273" s="362">
        <f t="shared" si="54"/>
        <v>4212000</v>
      </c>
      <c r="M273" s="366" t="str">
        <f>VLOOKUP(B273,'[11]Gui chi Quynh'!$B$11:$E$400,4,FALSE)</f>
        <v>A4</v>
      </c>
      <c r="N273" s="494">
        <f t="shared" si="44"/>
        <v>4212000</v>
      </c>
      <c r="O273" s="376">
        <v>19</v>
      </c>
      <c r="P273" s="467">
        <f>IFERROR(INDEX('[12]CN BC'!$J$10:$J$276,MATCH(B273,'[12]CN BC'!$H$10:$H$276,0)),"")</f>
        <v>19</v>
      </c>
      <c r="Q273" s="494">
        <f t="shared" si="50"/>
        <v>4212000</v>
      </c>
      <c r="R273" s="460"/>
      <c r="S273" s="362">
        <f t="shared" si="55"/>
        <v>0</v>
      </c>
      <c r="T273" s="370"/>
      <c r="U273" s="362">
        <f t="shared" si="51"/>
        <v>0</v>
      </c>
      <c r="V273" s="362">
        <f t="shared" si="45"/>
        <v>42120</v>
      </c>
      <c r="W273" s="371">
        <f t="shared" si="49"/>
        <v>4212000</v>
      </c>
      <c r="X273" s="935">
        <f t="shared" si="47"/>
        <v>2.34</v>
      </c>
      <c r="Y273" s="934">
        <v>1800000</v>
      </c>
      <c r="Z273" s="931">
        <f t="shared" si="48"/>
        <v>4212000</v>
      </c>
      <c r="AA273" s="568">
        <f t="shared" si="46"/>
        <v>253</v>
      </c>
      <c r="AB273" s="551">
        <f>IFERROR(INDEX('[12]CN BC'!$M$10:$M$276,MATCH(B273,'[12]CN BC'!$H$10:$H$276,0)),"")</f>
        <v>0</v>
      </c>
      <c r="AC273" s="945" t="s">
        <v>2241</v>
      </c>
      <c r="AD273" s="541"/>
      <c r="AF273" s="487"/>
    </row>
    <row r="274" spans="1:52" s="372" customFormat="1" ht="30" customHeight="1">
      <c r="A274" s="379">
        <f>_xlfn.AGGREGATE(4,7,A$20:A273)+1</f>
        <v>254</v>
      </c>
      <c r="B274" s="390" t="s">
        <v>1941</v>
      </c>
      <c r="C274" s="364"/>
      <c r="D274" s="434" t="s">
        <v>1989</v>
      </c>
      <c r="E274" s="477" t="s">
        <v>1988</v>
      </c>
      <c r="F274" s="473">
        <v>2.34</v>
      </c>
      <c r="G274" s="367"/>
      <c r="H274" s="368">
        <f t="shared" si="52"/>
        <v>2.34</v>
      </c>
      <c r="I274" s="368"/>
      <c r="J274" s="368" t="str">
        <f>VLOOKUP(B274,TH.T3!B280:J538,9,FALSE)</f>
        <v>Giảng viên khoa Động lực</v>
      </c>
      <c r="K274" s="369">
        <f t="shared" si="53"/>
        <v>2.34</v>
      </c>
      <c r="L274" s="362">
        <f t="shared" si="54"/>
        <v>4212000</v>
      </c>
      <c r="M274" s="366" t="str">
        <f>VLOOKUP(B274,'[11]Gui chi Quynh'!$B$11:$E$400,4,FALSE)</f>
        <v>A3</v>
      </c>
      <c r="N274" s="494">
        <f t="shared" si="44"/>
        <v>5054400</v>
      </c>
      <c r="O274" s="376">
        <v>19</v>
      </c>
      <c r="P274" s="440">
        <f>IFERROR(INDEX('[12]CN BC'!$J$10:$J$276,MATCH(B274,'[12]CN BC'!$H$10:$H$276,0)),"")</f>
        <v>19</v>
      </c>
      <c r="Q274" s="494">
        <f t="shared" si="50"/>
        <v>5054400</v>
      </c>
      <c r="R274" s="460"/>
      <c r="S274" s="362">
        <f t="shared" si="55"/>
        <v>0</v>
      </c>
      <c r="T274" s="370"/>
      <c r="U274" s="362">
        <f t="shared" si="51"/>
        <v>0</v>
      </c>
      <c r="V274" s="584">
        <f t="shared" si="45"/>
        <v>42120</v>
      </c>
      <c r="W274" s="371">
        <f t="shared" si="49"/>
        <v>5054400</v>
      </c>
      <c r="X274" s="935">
        <f t="shared" si="47"/>
        <v>2.8079999999999998</v>
      </c>
      <c r="Y274" s="934">
        <v>1800000</v>
      </c>
      <c r="Z274" s="931">
        <f t="shared" si="48"/>
        <v>5054400</v>
      </c>
      <c r="AA274" s="568">
        <f t="shared" si="46"/>
        <v>254</v>
      </c>
      <c r="AB274" s="493">
        <f>IFERROR(INDEX('[12]CN BC'!$M$10:$M$276,MATCH(B274,'[12]CN BC'!$H$10:$H$276,0)),"")</f>
        <v>0</v>
      </c>
      <c r="AC274" s="945" t="s">
        <v>2241</v>
      </c>
      <c r="AD274" s="471"/>
      <c r="AE274" s="108"/>
      <c r="AF274" s="155"/>
      <c r="AG274" s="108"/>
      <c r="AH274" s="108"/>
      <c r="AI274" s="108"/>
      <c r="AJ274" s="108"/>
      <c r="AK274" s="108"/>
      <c r="AL274" s="108"/>
    </row>
    <row r="275" spans="1:52" s="372" customFormat="1" ht="30" customHeight="1">
      <c r="A275" s="379">
        <f>_xlfn.AGGREGATE(4,7,A$20:A274)+1</f>
        <v>255</v>
      </c>
      <c r="B275" s="390" t="s">
        <v>1942</v>
      </c>
      <c r="C275" s="364"/>
      <c r="D275" s="434" t="s">
        <v>1990</v>
      </c>
      <c r="E275" s="422"/>
      <c r="F275" s="473">
        <v>2.34</v>
      </c>
      <c r="G275" s="367"/>
      <c r="H275" s="368">
        <f t="shared" si="52"/>
        <v>2.34</v>
      </c>
      <c r="I275" s="368"/>
      <c r="J275" s="368" t="str">
        <f>VLOOKUP(B275,TH.T3!B281:J539,9,FALSE)</f>
        <v>Giảng viên khoa Động lực</v>
      </c>
      <c r="K275" s="369">
        <f t="shared" si="53"/>
        <v>2.34</v>
      </c>
      <c r="L275" s="362">
        <f t="shared" si="54"/>
        <v>4212000</v>
      </c>
      <c r="M275" s="366" t="str">
        <f>VLOOKUP(B275,'[11]Gui chi Quynh'!$B$11:$E$400,4,FALSE)</f>
        <v>A4</v>
      </c>
      <c r="N275" s="494">
        <f t="shared" si="44"/>
        <v>4212000</v>
      </c>
      <c r="O275" s="376">
        <v>19</v>
      </c>
      <c r="P275" s="440">
        <f>IFERROR(INDEX('[12]CN BC'!$J$10:$J$276,MATCH(B275,'[12]CN BC'!$H$10:$H$276,0)),"")</f>
        <v>19</v>
      </c>
      <c r="Q275" s="494">
        <f t="shared" si="50"/>
        <v>4212000</v>
      </c>
      <c r="R275" s="460"/>
      <c r="S275" s="362">
        <f t="shared" si="55"/>
        <v>0</v>
      </c>
      <c r="T275" s="370"/>
      <c r="U275" s="362">
        <f t="shared" si="51"/>
        <v>0</v>
      </c>
      <c r="V275" s="584">
        <f t="shared" si="45"/>
        <v>42120</v>
      </c>
      <c r="W275" s="371">
        <f t="shared" si="49"/>
        <v>4212000</v>
      </c>
      <c r="X275" s="935">
        <f t="shared" si="47"/>
        <v>2.34</v>
      </c>
      <c r="Y275" s="934">
        <v>1800000</v>
      </c>
      <c r="Z275" s="931">
        <f t="shared" si="48"/>
        <v>4212000</v>
      </c>
      <c r="AA275" s="568">
        <f t="shared" si="46"/>
        <v>255</v>
      </c>
      <c r="AB275" s="493">
        <f>IFERROR(INDEX('[12]CN BC'!$M$10:$M$276,MATCH(B275,'[12]CN BC'!$H$10:$H$276,0)),"")</f>
        <v>0</v>
      </c>
      <c r="AC275" s="945" t="s">
        <v>2241</v>
      </c>
      <c r="AD275" s="471"/>
      <c r="AE275" s="108"/>
      <c r="AF275" s="155"/>
      <c r="AG275" s="108"/>
      <c r="AH275" s="108"/>
      <c r="AI275" s="108"/>
      <c r="AJ275" s="108"/>
      <c r="AK275" s="108"/>
      <c r="AL275" s="108"/>
    </row>
    <row r="276" spans="1:52" s="372" customFormat="1" ht="30" customHeight="1">
      <c r="A276" s="379">
        <f>_xlfn.AGGREGATE(4,7,A$20:A275)+1</f>
        <v>256</v>
      </c>
      <c r="B276" s="390" t="s">
        <v>1945</v>
      </c>
      <c r="C276" s="364"/>
      <c r="D276" s="379" t="s">
        <v>1948</v>
      </c>
      <c r="E276" s="422" t="s">
        <v>1949</v>
      </c>
      <c r="F276" s="473">
        <v>3.66</v>
      </c>
      <c r="G276" s="367"/>
      <c r="H276" s="445">
        <f t="shared" si="52"/>
        <v>3.66</v>
      </c>
      <c r="I276" s="368"/>
      <c r="J276" s="368" t="str">
        <f>VLOOKUP(B276,TH.T3!B282:J540,9,FALSE)</f>
        <v>Giảng viên khoa Động lực</v>
      </c>
      <c r="K276" s="369">
        <f t="shared" si="53"/>
        <v>3.66</v>
      </c>
      <c r="L276" s="362">
        <f t="shared" si="54"/>
        <v>6588000</v>
      </c>
      <c r="M276" s="366" t="str">
        <f>VLOOKUP(B276,'[11]Gui chi Quynh'!$B$11:$E$400,4,FALSE)</f>
        <v>A3</v>
      </c>
      <c r="N276" s="494">
        <f t="shared" si="44"/>
        <v>7905600</v>
      </c>
      <c r="O276" s="376">
        <v>19</v>
      </c>
      <c r="P276" s="440">
        <f>IFERROR(INDEX('[12]CN BC'!$J$10:$J$276,MATCH(B276,'[12]CN BC'!$H$10:$H$276,0)),"")</f>
        <v>19</v>
      </c>
      <c r="Q276" s="494">
        <f t="shared" si="50"/>
        <v>7905600</v>
      </c>
      <c r="R276" s="460"/>
      <c r="S276" s="362">
        <f t="shared" si="55"/>
        <v>0</v>
      </c>
      <c r="T276" s="370"/>
      <c r="U276" s="362">
        <f t="shared" si="51"/>
        <v>0</v>
      </c>
      <c r="V276" s="584">
        <f t="shared" si="45"/>
        <v>65880</v>
      </c>
      <c r="W276" s="371">
        <f t="shared" si="49"/>
        <v>7905600</v>
      </c>
      <c r="X276" s="935">
        <f t="shared" si="47"/>
        <v>4.3920000000000003</v>
      </c>
      <c r="Y276" s="934">
        <v>1800000</v>
      </c>
      <c r="Z276" s="931">
        <f t="shared" si="48"/>
        <v>7905600.0000000009</v>
      </c>
      <c r="AA276" s="568">
        <f t="shared" si="46"/>
        <v>256</v>
      </c>
      <c r="AB276" s="493">
        <f>IFERROR(INDEX('[12]CN BC'!$M$10:$M$276,MATCH(B276,'[12]CN BC'!$H$10:$H$276,0)),"")</f>
        <v>0</v>
      </c>
      <c r="AC276" s="945" t="s">
        <v>2241</v>
      </c>
      <c r="AD276" s="471"/>
      <c r="AE276" s="108"/>
      <c r="AF276" s="487"/>
    </row>
    <row r="277" spans="1:52" s="372" customFormat="1" ht="30" customHeight="1">
      <c r="A277" s="379">
        <f>_xlfn.AGGREGATE(4,7,A$20:A276)+1</f>
        <v>257</v>
      </c>
      <c r="B277" s="390" t="s">
        <v>2003</v>
      </c>
      <c r="C277" s="364"/>
      <c r="D277" s="379"/>
      <c r="E277" s="422"/>
      <c r="F277" s="463">
        <v>3.33</v>
      </c>
      <c r="G277" s="367"/>
      <c r="H277" s="445">
        <f t="shared" si="52"/>
        <v>3.33</v>
      </c>
      <c r="I277" s="368"/>
      <c r="J277" s="368" t="str">
        <f>VLOOKUP(B277,TH.T3!B283:J541,9,FALSE)</f>
        <v>Giảng viên khoa Động lực</v>
      </c>
      <c r="K277" s="369">
        <f t="shared" si="53"/>
        <v>3.33</v>
      </c>
      <c r="L277" s="362">
        <f t="shared" si="54"/>
        <v>5994000</v>
      </c>
      <c r="M277" s="366" t="str">
        <f>VLOOKUP(B277,'[11]Gui chi Quynh'!$B$11:$E$400,4,FALSE)</f>
        <v>A3</v>
      </c>
      <c r="N277" s="494">
        <f t="shared" ref="N277:N287" si="56">IF(M277="A1",L277*1.6,IF(M277="A2",L277*1.4,IF(M277="A3",L277*1.2,IF(M277="A4",L277*1,IF(M277="B1",L277*0.7,IF(M277="B2",L277*0.5,IF(M277="C1",L277*0.3,IF(M277="C2",L277*0.2,0))))))))</f>
        <v>7192800</v>
      </c>
      <c r="O277" s="376">
        <v>19</v>
      </c>
      <c r="P277" s="440">
        <f>IFERROR(INDEX('[12]CN BC'!$J$10:$J$276,MATCH(B277,'[12]CN BC'!$H$10:$H$276,0)),"")</f>
        <v>19</v>
      </c>
      <c r="Q277" s="494">
        <f t="shared" si="50"/>
        <v>7192800</v>
      </c>
      <c r="R277" s="460"/>
      <c r="S277" s="362">
        <f t="shared" si="55"/>
        <v>0</v>
      </c>
      <c r="T277" s="370"/>
      <c r="U277" s="362">
        <f t="shared" si="51"/>
        <v>0</v>
      </c>
      <c r="V277" s="584">
        <f t="shared" si="45"/>
        <v>59940</v>
      </c>
      <c r="W277" s="371">
        <f t="shared" si="49"/>
        <v>7192800</v>
      </c>
      <c r="X277" s="935">
        <f t="shared" si="47"/>
        <v>3.996</v>
      </c>
      <c r="Y277" s="934">
        <v>1800000</v>
      </c>
      <c r="Z277" s="931">
        <f t="shared" si="48"/>
        <v>7192800</v>
      </c>
      <c r="AA277" s="568">
        <f t="shared" si="46"/>
        <v>257</v>
      </c>
      <c r="AB277" s="493">
        <f>IFERROR(INDEX('[12]CN BC'!$M$10:$M$276,MATCH(B277,'[12]CN BC'!$H$10:$H$276,0)),"")</f>
        <v>0</v>
      </c>
      <c r="AC277" s="945" t="s">
        <v>2241</v>
      </c>
      <c r="AD277" s="471"/>
      <c r="AE277" s="108"/>
      <c r="AF277" s="487"/>
    </row>
    <row r="278" spans="1:52" s="372" customFormat="1" ht="30" customHeight="1">
      <c r="A278" s="379">
        <f>_xlfn.AGGREGATE(4,7,A$20:A277)+1</f>
        <v>258</v>
      </c>
      <c r="B278" s="390" t="s">
        <v>2010</v>
      </c>
      <c r="C278" s="364"/>
      <c r="D278" s="379"/>
      <c r="E278" s="422"/>
      <c r="F278" s="463">
        <v>1.9890000000000001</v>
      </c>
      <c r="G278" s="367"/>
      <c r="H278" s="445">
        <f t="shared" si="52"/>
        <v>1.9890000000000001</v>
      </c>
      <c r="I278" s="368"/>
      <c r="J278" s="368" t="str">
        <f>VLOOKUP(B278,TH.T3!B284:J542,9,FALSE)</f>
        <v>Giảng viên khoa Động lực</v>
      </c>
      <c r="K278" s="369">
        <f t="shared" si="53"/>
        <v>1.9890000000000001</v>
      </c>
      <c r="L278" s="362">
        <f t="shared" si="54"/>
        <v>3580200</v>
      </c>
      <c r="M278" s="366" t="str">
        <f>VLOOKUP(B278,'[11]Gui chi Quynh'!$B$11:$E$400,4,FALSE)</f>
        <v>A3</v>
      </c>
      <c r="N278" s="494">
        <f t="shared" si="56"/>
        <v>4296240</v>
      </c>
      <c r="O278" s="376">
        <v>19</v>
      </c>
      <c r="P278" s="440">
        <f>IFERROR(INDEX('[12]CN BC'!$J$10:$J$276,MATCH(B278,'[12]CN BC'!$H$10:$H$276,0)),"")</f>
        <v>19</v>
      </c>
      <c r="Q278" s="494">
        <f t="shared" si="50"/>
        <v>4296240</v>
      </c>
      <c r="R278" s="460"/>
      <c r="S278" s="362">
        <f t="shared" si="55"/>
        <v>0</v>
      </c>
      <c r="T278" s="370"/>
      <c r="U278" s="362">
        <f t="shared" si="51"/>
        <v>0</v>
      </c>
      <c r="V278" s="584">
        <f t="shared" si="45"/>
        <v>35802</v>
      </c>
      <c r="W278" s="371">
        <f t="shared" si="49"/>
        <v>4296240</v>
      </c>
      <c r="X278" s="935">
        <f t="shared" ref="X278:X341" si="57">W278/Y278</f>
        <v>2.3868</v>
      </c>
      <c r="Y278" s="934">
        <v>1800000</v>
      </c>
      <c r="Z278" s="931">
        <f t="shared" ref="Z278:Z341" si="58">X278*Y278</f>
        <v>4296240</v>
      </c>
      <c r="AA278" s="568">
        <f t="shared" si="46"/>
        <v>258</v>
      </c>
      <c r="AB278" s="493">
        <f>IFERROR(INDEX('[12]CN BC'!$M$10:$M$276,MATCH(B278,'[12]CN BC'!$H$10:$H$276,0)),"")</f>
        <v>0</v>
      </c>
      <c r="AC278" s="945" t="s">
        <v>2241</v>
      </c>
      <c r="AD278" s="541"/>
      <c r="AF278" s="487"/>
    </row>
    <row r="279" spans="1:52" s="372" customFormat="1" ht="30" customHeight="1">
      <c r="A279" s="379">
        <f>_xlfn.AGGREGATE(4,7,A$20:A278)+1</f>
        <v>259</v>
      </c>
      <c r="B279" s="363" t="s">
        <v>1554</v>
      </c>
      <c r="C279" s="364" t="s">
        <v>1197</v>
      </c>
      <c r="D279" s="434" t="s">
        <v>1818</v>
      </c>
      <c r="E279" s="435" t="s">
        <v>1570</v>
      </c>
      <c r="F279" s="373">
        <v>3.66</v>
      </c>
      <c r="G279" s="367"/>
      <c r="H279" s="445">
        <f t="shared" si="52"/>
        <v>3.66</v>
      </c>
      <c r="I279" s="447">
        <v>0.45</v>
      </c>
      <c r="J279" s="368" t="str">
        <f>VLOOKUP(B279,TH.T3!B285:J543,9,FALSE)</f>
        <v>Giảng viên khoa Xây dựng - Nhiệt lạnh</v>
      </c>
      <c r="K279" s="369">
        <f t="shared" si="53"/>
        <v>4.1100000000000003</v>
      </c>
      <c r="L279" s="362">
        <f t="shared" si="54"/>
        <v>7398000.0000000009</v>
      </c>
      <c r="M279" s="366" t="str">
        <f>VLOOKUP(B279,'[11]Gui chi Quynh'!$B$11:$E$400,4,FALSE)</f>
        <v>A4</v>
      </c>
      <c r="N279" s="494">
        <f t="shared" si="56"/>
        <v>7398000.0000000009</v>
      </c>
      <c r="O279" s="376">
        <v>19</v>
      </c>
      <c r="P279" s="440">
        <f>IFERROR(INDEX('[12]CN BC'!$J$10:$J$276,MATCH(B279,'[12]CN BC'!$H$10:$H$276,0)),"")</f>
        <v>19</v>
      </c>
      <c r="Q279" s="494">
        <f t="shared" si="50"/>
        <v>7398000.0000000009</v>
      </c>
      <c r="R279" s="460"/>
      <c r="S279" s="362">
        <f t="shared" si="55"/>
        <v>0</v>
      </c>
      <c r="T279" s="370"/>
      <c r="U279" s="362">
        <f t="shared" si="51"/>
        <v>0</v>
      </c>
      <c r="V279" s="584">
        <f t="shared" si="45"/>
        <v>73980</v>
      </c>
      <c r="W279" s="371">
        <f t="shared" si="49"/>
        <v>7398000.0000000009</v>
      </c>
      <c r="X279" s="935">
        <f t="shared" si="57"/>
        <v>4.1100000000000003</v>
      </c>
      <c r="Y279" s="934">
        <v>1800000</v>
      </c>
      <c r="Z279" s="931">
        <f t="shared" si="58"/>
        <v>7398000.0000000009</v>
      </c>
      <c r="AA279" s="568">
        <f t="shared" si="46"/>
        <v>259</v>
      </c>
      <c r="AB279" s="493">
        <f>IFERROR(INDEX('[12]CN BC'!$M$10:$M$276,MATCH(B279,'[12]CN BC'!$H$10:$H$276,0)),"")</f>
        <v>0</v>
      </c>
      <c r="AC279" s="945" t="s">
        <v>2232</v>
      </c>
      <c r="AD279" s="108"/>
      <c r="AE279" s="108"/>
      <c r="AF279" s="155"/>
      <c r="AG279" s="108"/>
      <c r="AH279" s="108"/>
      <c r="AI279" s="108"/>
      <c r="AJ279" s="108"/>
      <c r="AK279" s="108"/>
      <c r="AL279" s="108"/>
    </row>
    <row r="280" spans="1:52" s="372" customFormat="1" ht="30" customHeight="1">
      <c r="A280" s="379">
        <f>_xlfn.AGGREGATE(4,7,A$20:A279)+1</f>
        <v>260</v>
      </c>
      <c r="B280" s="363" t="s">
        <v>1920</v>
      </c>
      <c r="C280" s="364" t="s">
        <v>1051</v>
      </c>
      <c r="D280" s="434" t="s">
        <v>1819</v>
      </c>
      <c r="E280" s="423" t="s">
        <v>1414</v>
      </c>
      <c r="F280" s="366">
        <v>4.6500000000000004</v>
      </c>
      <c r="G280" s="367"/>
      <c r="H280" s="368">
        <f t="shared" si="52"/>
        <v>4.6500000000000004</v>
      </c>
      <c r="I280" s="472">
        <v>0.25</v>
      </c>
      <c r="J280" s="368" t="str">
        <f>VLOOKUP(B280,TH.T3!B286:J544,9,FALSE)</f>
        <v>Giảng viên khoa Xây dựng - Nhiệt lạnh</v>
      </c>
      <c r="K280" s="369">
        <f t="shared" si="53"/>
        <v>4.9000000000000004</v>
      </c>
      <c r="L280" s="362">
        <f t="shared" si="54"/>
        <v>8820000</v>
      </c>
      <c r="M280" s="366" t="str">
        <f>VLOOKUP(B280,'[11]Gui chi Quynh'!$B$11:$E$400,4,FALSE)</f>
        <v>A4</v>
      </c>
      <c r="N280" s="494">
        <f t="shared" si="56"/>
        <v>8820000</v>
      </c>
      <c r="O280" s="376">
        <v>19</v>
      </c>
      <c r="P280" s="440">
        <f>IFERROR(INDEX('[12]CN BC'!$J$10:$J$276,MATCH(B280,'[12]CN BC'!$H$10:$H$276,0)),"")</f>
        <v>19</v>
      </c>
      <c r="Q280" s="494">
        <f t="shared" si="50"/>
        <v>8820000</v>
      </c>
      <c r="R280" s="460"/>
      <c r="S280" s="362">
        <f t="shared" si="55"/>
        <v>0</v>
      </c>
      <c r="T280" s="370"/>
      <c r="U280" s="362">
        <f t="shared" si="51"/>
        <v>0</v>
      </c>
      <c r="V280" s="584">
        <f t="shared" si="45"/>
        <v>88200</v>
      </c>
      <c r="W280" s="371">
        <f t="shared" ref="W280:W287" si="59">(Q280+S280+U280)</f>
        <v>8820000</v>
      </c>
      <c r="X280" s="935">
        <f t="shared" si="57"/>
        <v>4.9000000000000004</v>
      </c>
      <c r="Y280" s="934">
        <v>1800000</v>
      </c>
      <c r="Z280" s="931">
        <f t="shared" si="58"/>
        <v>8820000</v>
      </c>
      <c r="AA280" s="568">
        <f t="shared" si="46"/>
        <v>260</v>
      </c>
      <c r="AB280" s="493">
        <f>IFERROR(INDEX('[12]CN BC'!$M$10:$M$276,MATCH(B280,'[12]CN BC'!$H$10:$H$276,0)),"")</f>
        <v>0</v>
      </c>
      <c r="AC280" s="945" t="s">
        <v>2232</v>
      </c>
      <c r="AD280" s="108"/>
      <c r="AE280" s="108"/>
      <c r="AF280" s="155"/>
      <c r="AG280" s="108"/>
      <c r="AH280" s="108"/>
      <c r="AI280" s="108"/>
      <c r="AJ280" s="108"/>
      <c r="AK280" s="108"/>
      <c r="AL280" s="108"/>
    </row>
    <row r="281" spans="1:52" s="372" customFormat="1" ht="30" customHeight="1">
      <c r="A281" s="379">
        <f>_xlfn.AGGREGATE(4,7,A$20:A280)+1</f>
        <v>261</v>
      </c>
      <c r="B281" s="363" t="s">
        <v>1921</v>
      </c>
      <c r="C281" s="364" t="s">
        <v>1083</v>
      </c>
      <c r="D281" s="406" t="s">
        <v>1820</v>
      </c>
      <c r="E281" s="423" t="s">
        <v>1415</v>
      </c>
      <c r="F281" s="366">
        <v>4.6500000000000004</v>
      </c>
      <c r="G281" s="367"/>
      <c r="H281" s="368">
        <f t="shared" si="52"/>
        <v>4.6500000000000004</v>
      </c>
      <c r="I281" s="395">
        <v>0.25</v>
      </c>
      <c r="J281" s="368" t="str">
        <f>VLOOKUP(B281,TH.T3!B287:J545,9,FALSE)</f>
        <v>Giảng viên khoa Xây dựng - Nhiệt lạnh</v>
      </c>
      <c r="K281" s="369">
        <f t="shared" si="53"/>
        <v>4.9000000000000004</v>
      </c>
      <c r="L281" s="362">
        <f t="shared" si="54"/>
        <v>8820000</v>
      </c>
      <c r="M281" s="366" t="str">
        <f>VLOOKUP(B281,'[11]Gui chi Quynh'!$B$11:$E$400,4,FALSE)</f>
        <v>A4</v>
      </c>
      <c r="N281" s="494">
        <f t="shared" si="56"/>
        <v>8820000</v>
      </c>
      <c r="O281" s="376">
        <v>19</v>
      </c>
      <c r="P281" s="440">
        <f>IFERROR(INDEX('[12]CN BC'!$J$10:$J$276,MATCH(B281,'[12]CN BC'!$H$10:$H$276,0)),"")</f>
        <v>19</v>
      </c>
      <c r="Q281" s="494">
        <f t="shared" si="50"/>
        <v>8820000</v>
      </c>
      <c r="R281" s="392"/>
      <c r="S281" s="362">
        <f t="shared" si="55"/>
        <v>0</v>
      </c>
      <c r="T281" s="385"/>
      <c r="U281" s="362">
        <f t="shared" si="51"/>
        <v>0</v>
      </c>
      <c r="V281" s="584">
        <f t="shared" si="45"/>
        <v>88200</v>
      </c>
      <c r="W281" s="371">
        <f t="shared" si="59"/>
        <v>8820000</v>
      </c>
      <c r="X281" s="935">
        <f t="shared" si="57"/>
        <v>4.9000000000000004</v>
      </c>
      <c r="Y281" s="934">
        <v>1800000</v>
      </c>
      <c r="Z281" s="931">
        <f t="shared" si="58"/>
        <v>8820000</v>
      </c>
      <c r="AA281" s="568">
        <f t="shared" si="46"/>
        <v>261</v>
      </c>
      <c r="AB281" s="493">
        <f>IFERROR(INDEX('[12]CN BC'!$M$10:$M$276,MATCH(B281,'[12]CN BC'!$H$10:$H$276,0)),"")</f>
        <v>0</v>
      </c>
      <c r="AC281" s="945" t="s">
        <v>2232</v>
      </c>
      <c r="AD281" s="108"/>
      <c r="AE281" s="108"/>
      <c r="AF281" s="155"/>
      <c r="AG281" s="108"/>
      <c r="AH281" s="108"/>
      <c r="AI281" s="108"/>
      <c r="AJ281" s="108"/>
      <c r="AK281" s="108"/>
      <c r="AL281" s="108"/>
      <c r="AM281" s="108"/>
      <c r="AN281" s="108"/>
      <c r="AO281" s="108"/>
      <c r="AP281" s="108"/>
    </row>
    <row r="282" spans="1:52" s="372" customFormat="1" ht="30" customHeight="1">
      <c r="A282" s="379">
        <f>_xlfn.AGGREGATE(4,7,A$20:A281)+1</f>
        <v>262</v>
      </c>
      <c r="B282" s="363" t="s">
        <v>1922</v>
      </c>
      <c r="C282" s="364" t="s">
        <v>863</v>
      </c>
      <c r="D282" s="434" t="s">
        <v>1821</v>
      </c>
      <c r="E282" s="423" t="s">
        <v>392</v>
      </c>
      <c r="F282" s="373">
        <v>3.66</v>
      </c>
      <c r="G282" s="367"/>
      <c r="H282" s="368">
        <f t="shared" si="52"/>
        <v>3.66</v>
      </c>
      <c r="I282" s="368"/>
      <c r="J282" s="368" t="str">
        <f>VLOOKUP(B282,TH.T3!B288:J546,9,FALSE)</f>
        <v>Giảng viên khoa Xây dựng - Nhiệt lạnh</v>
      </c>
      <c r="K282" s="369">
        <f t="shared" si="53"/>
        <v>3.66</v>
      </c>
      <c r="L282" s="362">
        <f t="shared" si="54"/>
        <v>6588000</v>
      </c>
      <c r="M282" s="366" t="str">
        <f>VLOOKUP(B282,'[11]Gui chi Quynh'!$B$11:$E$400,4,FALSE)</f>
        <v>A4</v>
      </c>
      <c r="N282" s="494">
        <f t="shared" si="56"/>
        <v>6588000</v>
      </c>
      <c r="O282" s="376">
        <v>19</v>
      </c>
      <c r="P282" s="440">
        <f>IFERROR(INDEX('[12]CN BC'!$J$10:$J$276,MATCH(B282,'[12]CN BC'!$H$10:$H$276,0)),"")</f>
        <v>19</v>
      </c>
      <c r="Q282" s="494">
        <f t="shared" si="50"/>
        <v>6588000</v>
      </c>
      <c r="R282" s="460"/>
      <c r="S282" s="362">
        <f t="shared" si="55"/>
        <v>0</v>
      </c>
      <c r="T282" s="370"/>
      <c r="U282" s="362">
        <f t="shared" si="51"/>
        <v>0</v>
      </c>
      <c r="V282" s="362">
        <f t="shared" si="45"/>
        <v>65880</v>
      </c>
      <c r="W282" s="371">
        <f t="shared" si="59"/>
        <v>6588000</v>
      </c>
      <c r="X282" s="935">
        <f t="shared" si="57"/>
        <v>3.66</v>
      </c>
      <c r="Y282" s="934">
        <v>1800000</v>
      </c>
      <c r="Z282" s="931">
        <f t="shared" si="58"/>
        <v>6588000</v>
      </c>
      <c r="AA282" s="568">
        <f t="shared" si="46"/>
        <v>262</v>
      </c>
      <c r="AB282" s="493">
        <f>IFERROR(INDEX('[12]CN BC'!$M$10:$M$276,MATCH(B282,'[12]CN BC'!$H$10:$H$276,0)),"")</f>
        <v>0</v>
      </c>
      <c r="AC282" s="945" t="s">
        <v>2232</v>
      </c>
      <c r="AF282" s="487"/>
    </row>
    <row r="283" spans="1:52" s="372" customFormat="1" ht="30" customHeight="1">
      <c r="A283" s="379">
        <f>_xlfn.AGGREGATE(4,7,A$20:A282)+1</f>
        <v>263</v>
      </c>
      <c r="B283" s="363" t="s">
        <v>1923</v>
      </c>
      <c r="C283" s="364" t="s">
        <v>1013</v>
      </c>
      <c r="D283" s="434" t="s">
        <v>1822</v>
      </c>
      <c r="E283" s="428" t="s">
        <v>511</v>
      </c>
      <c r="F283" s="373">
        <v>3.66</v>
      </c>
      <c r="G283" s="367"/>
      <c r="H283" s="445">
        <f t="shared" si="52"/>
        <v>3.66</v>
      </c>
      <c r="I283" s="368"/>
      <c r="J283" s="368" t="str">
        <f>VLOOKUP(B283,TH.T3!B289:J547,9,FALSE)</f>
        <v>Giảng viên khoa Xây dựng - Nhiệt lạnh</v>
      </c>
      <c r="K283" s="369">
        <f t="shared" si="53"/>
        <v>3.66</v>
      </c>
      <c r="L283" s="362">
        <f t="shared" si="54"/>
        <v>6588000</v>
      </c>
      <c r="M283" s="366" t="str">
        <f>VLOOKUP(B283,'[11]Gui chi Quynh'!$B$11:$E$400,4,FALSE)</f>
        <v>A4</v>
      </c>
      <c r="N283" s="494">
        <f t="shared" si="56"/>
        <v>6588000</v>
      </c>
      <c r="O283" s="376">
        <v>19</v>
      </c>
      <c r="P283" s="440">
        <f>IFERROR(INDEX('[12]CN BC'!$J$10:$J$276,MATCH(B283,'[12]CN BC'!$H$10:$H$276,0)),"")</f>
        <v>19</v>
      </c>
      <c r="Q283" s="494">
        <f>IF(P283&gt;=O283,N283,N283/O283*P283)</f>
        <v>6588000</v>
      </c>
      <c r="R283" s="460"/>
      <c r="S283" s="362">
        <f t="shared" si="55"/>
        <v>0</v>
      </c>
      <c r="T283" s="370"/>
      <c r="U283" s="362">
        <f t="shared" si="51"/>
        <v>0</v>
      </c>
      <c r="V283" s="584">
        <f t="shared" si="45"/>
        <v>65880</v>
      </c>
      <c r="W283" s="371">
        <f t="shared" si="59"/>
        <v>6588000</v>
      </c>
      <c r="X283" s="935">
        <f t="shared" si="57"/>
        <v>3.66</v>
      </c>
      <c r="Y283" s="934">
        <v>1800000</v>
      </c>
      <c r="Z283" s="931">
        <f t="shared" si="58"/>
        <v>6588000</v>
      </c>
      <c r="AA283" s="568">
        <f t="shared" si="46"/>
        <v>263</v>
      </c>
      <c r="AB283" s="493">
        <f>IFERROR(INDEX('[12]CN BC'!$M$10:$M$276,MATCH(B283,'[12]CN BC'!$H$10:$H$276,0)),"")</f>
        <v>0</v>
      </c>
      <c r="AC283" s="945" t="s">
        <v>2232</v>
      </c>
      <c r="AD283" s="108"/>
      <c r="AE283" s="108"/>
      <c r="AF283" s="487"/>
    </row>
    <row r="284" spans="1:52" s="372" customFormat="1" ht="30" customHeight="1">
      <c r="A284" s="379">
        <f>_xlfn.AGGREGATE(4,7,A$20:A283)+1</f>
        <v>264</v>
      </c>
      <c r="B284" s="363" t="s">
        <v>1552</v>
      </c>
      <c r="C284" s="364" t="s">
        <v>981</v>
      </c>
      <c r="D284" s="434" t="s">
        <v>1823</v>
      </c>
      <c r="E284" s="423" t="s">
        <v>1418</v>
      </c>
      <c r="F284" s="366">
        <v>4.32</v>
      </c>
      <c r="G284" s="367"/>
      <c r="H284" s="368">
        <f t="shared" si="52"/>
        <v>4.32</v>
      </c>
      <c r="I284" s="368"/>
      <c r="J284" s="368" t="str">
        <f>VLOOKUP(B284,TH.T3!B290:J548,9,FALSE)</f>
        <v>Giảng viên khoa Xây dựng - Nhiệt lạnh</v>
      </c>
      <c r="K284" s="369">
        <f t="shared" si="53"/>
        <v>4.32</v>
      </c>
      <c r="L284" s="362">
        <f t="shared" si="54"/>
        <v>7776000.0000000009</v>
      </c>
      <c r="M284" s="366" t="str">
        <f>VLOOKUP(B284,'[11]Gui chi Quynh'!$B$11:$E$400,4,FALSE)</f>
        <v>A4</v>
      </c>
      <c r="N284" s="494">
        <f t="shared" si="56"/>
        <v>7776000.0000000009</v>
      </c>
      <c r="O284" s="376">
        <v>19</v>
      </c>
      <c r="P284" s="440">
        <f>IFERROR(INDEX('[12]CN BC'!$J$10:$J$276,MATCH(B284,'[12]CN BC'!$H$10:$H$276,0)),"")</f>
        <v>20</v>
      </c>
      <c r="Q284" s="494">
        <f>IF(P284&gt;=O284,N284,N284/O284*P284)</f>
        <v>7776000.0000000009</v>
      </c>
      <c r="R284" s="460"/>
      <c r="S284" s="362">
        <f t="shared" si="55"/>
        <v>0</v>
      </c>
      <c r="T284" s="370"/>
      <c r="U284" s="362">
        <f t="shared" si="51"/>
        <v>0</v>
      </c>
      <c r="V284" s="584">
        <f t="shared" si="45"/>
        <v>77760</v>
      </c>
      <c r="W284" s="371">
        <f t="shared" si="59"/>
        <v>7776000.0000000009</v>
      </c>
      <c r="X284" s="935">
        <f t="shared" si="57"/>
        <v>4.32</v>
      </c>
      <c r="Y284" s="934">
        <v>1800000</v>
      </c>
      <c r="Z284" s="931">
        <f t="shared" si="58"/>
        <v>7776000.0000000009</v>
      </c>
      <c r="AA284" s="568">
        <f t="shared" si="46"/>
        <v>264</v>
      </c>
      <c r="AB284" s="493">
        <f>IFERROR(INDEX('[12]CN BC'!$M$10:$M$276,MATCH(B284,'[12]CN BC'!$H$10:$H$276,0)),"")</f>
        <v>0</v>
      </c>
      <c r="AC284" s="945" t="s">
        <v>2232</v>
      </c>
      <c r="AD284" s="108"/>
      <c r="AE284" s="108"/>
      <c r="AF284" s="487"/>
    </row>
    <row r="285" spans="1:52" s="372" customFormat="1" ht="30" customHeight="1">
      <c r="A285" s="379">
        <f>_xlfn.AGGREGATE(4,7,A$20:A284)+1</f>
        <v>265</v>
      </c>
      <c r="B285" s="363" t="s">
        <v>1940</v>
      </c>
      <c r="C285" s="364"/>
      <c r="D285" s="434" t="s">
        <v>1991</v>
      </c>
      <c r="E285" s="423" t="s">
        <v>1992</v>
      </c>
      <c r="F285" s="373">
        <v>3.33</v>
      </c>
      <c r="G285" s="367"/>
      <c r="H285" s="445">
        <f t="shared" si="52"/>
        <v>3.33</v>
      </c>
      <c r="I285" s="368"/>
      <c r="J285" s="368" t="str">
        <f>VLOOKUP(B285,TH.T3!B291:J549,9,FALSE)</f>
        <v>Giảng viên khoa Xây dựng - Nhiệt lạnh</v>
      </c>
      <c r="K285" s="369">
        <f t="shared" si="53"/>
        <v>3.33</v>
      </c>
      <c r="L285" s="362">
        <f t="shared" si="54"/>
        <v>5994000</v>
      </c>
      <c r="M285" s="366" t="str">
        <f>VLOOKUP(B285,'[11]Gui chi Quynh'!$B$11:$E$400,4,FALSE)</f>
        <v>A4</v>
      </c>
      <c r="N285" s="494">
        <f t="shared" si="56"/>
        <v>5994000</v>
      </c>
      <c r="O285" s="376">
        <v>19</v>
      </c>
      <c r="P285" s="440">
        <f>IFERROR(INDEX('[12]CN BC'!$J$10:$J$276,MATCH(B285,'[12]CN BC'!$H$10:$H$276,0)),"")</f>
        <v>19</v>
      </c>
      <c r="Q285" s="494">
        <f>IF(P285&gt;=O285,N285,N285/O285*P285)</f>
        <v>5994000</v>
      </c>
      <c r="R285" s="460"/>
      <c r="S285" s="362">
        <f t="shared" si="55"/>
        <v>0</v>
      </c>
      <c r="T285" s="370"/>
      <c r="U285" s="362">
        <f>T285*$G$17*1</f>
        <v>0</v>
      </c>
      <c r="V285" s="584">
        <f t="shared" si="45"/>
        <v>59940</v>
      </c>
      <c r="W285" s="371">
        <f t="shared" si="59"/>
        <v>5994000</v>
      </c>
      <c r="X285" s="935">
        <f t="shared" si="57"/>
        <v>3.33</v>
      </c>
      <c r="Y285" s="934">
        <v>1800000</v>
      </c>
      <c r="Z285" s="931">
        <f t="shared" si="58"/>
        <v>5994000</v>
      </c>
      <c r="AA285" s="568">
        <f t="shared" ref="AA285:AA348" si="60">A285</f>
        <v>265</v>
      </c>
      <c r="AB285" s="493">
        <f>IFERROR(INDEX('[12]CN BC'!$M$10:$M$276,MATCH(B285,'[12]CN BC'!$H$10:$H$276,0)),"")</f>
        <v>0</v>
      </c>
      <c r="AC285" s="945" t="s">
        <v>2232</v>
      </c>
      <c r="AD285" s="108"/>
      <c r="AE285" s="108"/>
      <c r="AF285" s="155"/>
      <c r="AG285" s="108"/>
      <c r="AH285" s="108"/>
      <c r="AI285" s="108"/>
      <c r="AJ285" s="108"/>
      <c r="AK285" s="108"/>
      <c r="AL285" s="108"/>
    </row>
    <row r="286" spans="1:52" s="108" customFormat="1" ht="30" customHeight="1">
      <c r="A286" s="379">
        <f>_xlfn.AGGREGATE(4,7,A$20:A285)+1</f>
        <v>266</v>
      </c>
      <c r="B286" s="33" t="s">
        <v>1553</v>
      </c>
      <c r="C286" s="403" t="s">
        <v>501</v>
      </c>
      <c r="D286" s="406" t="s">
        <v>1824</v>
      </c>
      <c r="E286" s="436">
        <v>1603205246186</v>
      </c>
      <c r="F286" s="366">
        <v>4.9800000000000004</v>
      </c>
      <c r="G286" s="367"/>
      <c r="H286" s="368">
        <f t="shared" si="52"/>
        <v>4.9800000000000004</v>
      </c>
      <c r="I286" s="368"/>
      <c r="J286" s="368" t="str">
        <f>VLOOKUP(B286,TH.T3!B292:J550,9,FALSE)</f>
        <v>Giảng viên khoa Xây dựng - Nhiệt lạnh</v>
      </c>
      <c r="K286" s="369">
        <f t="shared" si="53"/>
        <v>4.9800000000000004</v>
      </c>
      <c r="L286" s="362">
        <f t="shared" si="54"/>
        <v>8964000</v>
      </c>
      <c r="M286" s="366" t="str">
        <f>VLOOKUP(B286,'[11]Gui chi Quynh'!$B$11:$E$400,4,FALSE)</f>
        <v>A4</v>
      </c>
      <c r="N286" s="494">
        <f t="shared" si="56"/>
        <v>8964000</v>
      </c>
      <c r="O286" s="376">
        <v>19</v>
      </c>
      <c r="P286" s="440">
        <f>IFERROR(INDEX('[12]CN BC'!$J$10:$J$276,MATCH(B286,'[12]CN BC'!$H$10:$H$276,0)),"")</f>
        <v>20</v>
      </c>
      <c r="Q286" s="494">
        <f>IF(P286&gt;=O286,N286,N286/O286*P286)</f>
        <v>8964000</v>
      </c>
      <c r="R286" s="392"/>
      <c r="S286" s="362">
        <f t="shared" si="55"/>
        <v>0</v>
      </c>
      <c r="T286" s="404"/>
      <c r="U286" s="362">
        <f>T286*$G$17*1</f>
        <v>0</v>
      </c>
      <c r="V286" s="584">
        <f t="shared" si="45"/>
        <v>89640</v>
      </c>
      <c r="W286" s="371">
        <f t="shared" si="59"/>
        <v>8964000</v>
      </c>
      <c r="X286" s="935">
        <f t="shared" si="57"/>
        <v>4.9800000000000004</v>
      </c>
      <c r="Y286" s="934">
        <v>1800000</v>
      </c>
      <c r="Z286" s="931">
        <f t="shared" si="58"/>
        <v>8964000</v>
      </c>
      <c r="AA286" s="568">
        <f t="shared" si="60"/>
        <v>266</v>
      </c>
      <c r="AB286" s="493">
        <f>IFERROR(INDEX('[12]CN BC'!$M$10:$M$276,MATCH(B286,'[12]CN BC'!$H$10:$H$276,0)),"")</f>
        <v>0</v>
      </c>
      <c r="AC286" s="945" t="s">
        <v>2232</v>
      </c>
      <c r="AF286" s="155"/>
    </row>
    <row r="287" spans="1:52" s="372" customFormat="1" ht="30" customHeight="1">
      <c r="A287" s="379">
        <f>_xlfn.AGGREGATE(4,7,A$20:A286)+1</f>
        <v>267</v>
      </c>
      <c r="B287" s="363" t="s">
        <v>1560</v>
      </c>
      <c r="C287" s="364"/>
      <c r="D287" s="483" t="s">
        <v>1825</v>
      </c>
      <c r="E287" s="484">
        <v>1603215002692</v>
      </c>
      <c r="F287" s="373">
        <v>3.33</v>
      </c>
      <c r="G287" s="367"/>
      <c r="H287" s="445">
        <f t="shared" si="52"/>
        <v>3.33</v>
      </c>
      <c r="I287" s="368">
        <v>0.35</v>
      </c>
      <c r="J287" s="368" t="str">
        <f>VLOOKUP(B287,TH.T3!B293:J551,9,FALSE)</f>
        <v>Phó Trưởng khoa Xây dựng - Nhiệt lạnh</v>
      </c>
      <c r="K287" s="369">
        <f t="shared" si="53"/>
        <v>3.68</v>
      </c>
      <c r="L287" s="362">
        <f t="shared" si="54"/>
        <v>6624000</v>
      </c>
      <c r="M287" s="366" t="str">
        <f>VLOOKUP(B287,'[11]Gui chi Quynh'!$B$11:$E$400,4,FALSE)</f>
        <v>A4</v>
      </c>
      <c r="N287" s="494">
        <f t="shared" si="56"/>
        <v>6624000</v>
      </c>
      <c r="O287" s="376">
        <v>19</v>
      </c>
      <c r="P287" s="440">
        <f>IFERROR(INDEX('[12]CN BC'!$J$10:$J$276,MATCH(B287,'[12]CN BC'!$H$10:$H$276,0)),"")</f>
        <v>20</v>
      </c>
      <c r="Q287" s="494">
        <f>IF(P287&gt;=O287,N287,N287/O287*P287)</f>
        <v>6624000</v>
      </c>
      <c r="R287" s="392"/>
      <c r="S287" s="362">
        <f t="shared" si="55"/>
        <v>0</v>
      </c>
      <c r="T287" s="385"/>
      <c r="U287" s="362">
        <f>T287*$G$17*1</f>
        <v>0</v>
      </c>
      <c r="V287" s="584">
        <f t="shared" ref="V287" si="61">IF(OR(M287="A DN",M287="KXL", M287=""),"0",ROUND(K287*0.01*$G$17+R287*1%*$G$17+T287*1%*$G$17,))</f>
        <v>66240</v>
      </c>
      <c r="W287" s="371">
        <f t="shared" si="59"/>
        <v>6624000</v>
      </c>
      <c r="X287" s="935">
        <f t="shared" si="57"/>
        <v>3.68</v>
      </c>
      <c r="Y287" s="934">
        <v>1800000</v>
      </c>
      <c r="Z287" s="931">
        <f t="shared" si="58"/>
        <v>6624000</v>
      </c>
      <c r="AA287" s="568">
        <f t="shared" si="60"/>
        <v>267</v>
      </c>
      <c r="AB287" s="493">
        <f>IFERROR(INDEX('[12]CN BC'!$M$10:$M$276,MATCH(B287,'[12]CN BC'!$H$10:$H$276,0)),"")</f>
        <v>0</v>
      </c>
      <c r="AC287" s="945" t="s">
        <v>2232</v>
      </c>
      <c r="AD287" s="108"/>
      <c r="AE287" s="108"/>
      <c r="AF287" s="155"/>
      <c r="AG287" s="108"/>
      <c r="AH287" s="108"/>
      <c r="AI287" s="108"/>
      <c r="AJ287" s="108"/>
      <c r="AK287" s="108"/>
      <c r="AL287" s="108"/>
      <c r="AM287" s="108"/>
      <c r="AN287" s="108"/>
      <c r="AO287" s="108"/>
      <c r="AP287" s="108"/>
    </row>
    <row r="288" spans="1:52" s="372" customFormat="1" ht="30.75" customHeight="1">
      <c r="A288" s="30">
        <f>_xlfn.AGGREGATE(4,7,A$20:A287)+1</f>
        <v>268</v>
      </c>
      <c r="B288" s="444" t="s">
        <v>2029</v>
      </c>
      <c r="C288" s="419" t="s">
        <v>1106</v>
      </c>
      <c r="D288" s="418" t="s">
        <v>2030</v>
      </c>
      <c r="E288" s="604">
        <v>1603205359393</v>
      </c>
      <c r="F288" s="604"/>
      <c r="G288" s="604"/>
      <c r="H288" s="368" t="s">
        <v>2031</v>
      </c>
      <c r="I288" s="605">
        <v>6914491</v>
      </c>
      <c r="J288" s="368" t="str">
        <f>VLOOKUP(B288,TH.T3!B294:J552,9,FALSE)</f>
        <v xml:space="preserve">NV Bảo vệ </v>
      </c>
      <c r="K288" s="466">
        <f t="shared" ref="K288:K350" si="62">IF(H288="D.03",I288*30%,I288*70%)</f>
        <v>2074347.2999999998</v>
      </c>
      <c r="L288" s="606" t="str">
        <f>VLOOKUP(B288,'[11]Gui chi Quynh'!$B$11:$E$400,4,FALSE)</f>
        <v>A4</v>
      </c>
      <c r="M288" s="466">
        <f>ROUND(IF(AND(L288="A1",K288*1.6),K288*1.6,IF(AND(L288="A2",K288*1.4),K288*1.4,IF(AND(L288="A3",K288*1.2),K288*1.2,IF(AND(L288="A4",K288*1),K288*1,IF(AND(L288="B1",K288*0.7),K288*0.7,IF(AND(L288="B2",K288*0.5),K288*0.5,IF(AND(L288="C1",K288*0.3),K288*0.3,0))))))),)</f>
        <v>2074347</v>
      </c>
      <c r="N288" s="606">
        <v>22</v>
      </c>
      <c r="O288" s="607">
        <f>IFERROR(INDEX('[12]CN HĐ'!$J$10:$J$72,MATCH(B288,'[12]CN HĐ'!$H$10:$H$72,0)),"")</f>
        <v>23</v>
      </c>
      <c r="P288" s="608" t="e">
        <f>IF(M288&gt;#REF!,M288,#REF!)</f>
        <v>#REF!</v>
      </c>
      <c r="Q288" s="466">
        <f t="shared" ref="Q288:Q350" si="63">ROUND(IF(O288&gt;=N288,M288,M288/N288*O288),)</f>
        <v>2074347</v>
      </c>
      <c r="R288" s="609"/>
      <c r="S288" s="466">
        <v>0</v>
      </c>
      <c r="T288" s="610"/>
      <c r="U288" s="466">
        <v>0</v>
      </c>
      <c r="V288" s="647">
        <f t="shared" ref="V288:V350" si="64">I288*1%</f>
        <v>69144.91</v>
      </c>
      <c r="W288" s="611">
        <f>(Q288+S288+U288)</f>
        <v>2074347</v>
      </c>
      <c r="X288" s="935">
        <f t="shared" si="57"/>
        <v>1.152415</v>
      </c>
      <c r="Y288" s="934">
        <v>1800000</v>
      </c>
      <c r="Z288" s="931">
        <f t="shared" si="58"/>
        <v>2074347</v>
      </c>
      <c r="AA288" s="612">
        <f t="shared" si="60"/>
        <v>268</v>
      </c>
      <c r="AB288" s="613" t="str">
        <f>IFERROR(INDEX('[12]CN HĐ'!$M$10:$M$73,MATCH(B288,'[12]CN HĐ'!$H$10:$H$73,0)),"")</f>
        <v>Trừ 1 ngày nghỉ phép 23/4</v>
      </c>
      <c r="AC288" s="616" t="s">
        <v>2015</v>
      </c>
      <c r="AD288" s="155"/>
      <c r="AE288" s="155"/>
      <c r="AF288" s="155"/>
      <c r="AG288" s="108"/>
      <c r="AH288" s="108"/>
      <c r="AI288" s="108"/>
      <c r="AJ288" s="108"/>
      <c r="AK288" s="108"/>
      <c r="AL288" s="108"/>
      <c r="AM288" s="108"/>
      <c r="AN288" s="108"/>
      <c r="AO288" s="108"/>
      <c r="AP288" s="108"/>
      <c r="AQ288" s="108"/>
      <c r="AR288" s="108"/>
      <c r="AS288" s="108"/>
      <c r="AT288" s="108"/>
      <c r="AU288" s="108"/>
      <c r="AV288" s="108"/>
      <c r="AW288" s="108"/>
      <c r="AX288" s="108"/>
      <c r="AY288" s="108"/>
      <c r="AZ288" s="108"/>
    </row>
    <row r="289" spans="1:52" s="372" customFormat="1" ht="30" customHeight="1">
      <c r="A289" s="30">
        <f>_xlfn.AGGREGATE(4,7,A$20:A288)+1</f>
        <v>269</v>
      </c>
      <c r="B289" s="444" t="s">
        <v>2032</v>
      </c>
      <c r="C289" s="419" t="s">
        <v>868</v>
      </c>
      <c r="D289" s="418" t="s">
        <v>2033</v>
      </c>
      <c r="E289" s="604" t="s">
        <v>2034</v>
      </c>
      <c r="F289" s="604"/>
      <c r="G289" s="604"/>
      <c r="H289" s="368" t="s">
        <v>2031</v>
      </c>
      <c r="I289" s="605">
        <v>5417685</v>
      </c>
      <c r="J289" s="368" t="str">
        <f>VLOOKUP(B289,TH.T3!B295:J553,9,FALSE)</f>
        <v>NV Bảo vệ</v>
      </c>
      <c r="K289" s="466">
        <f t="shared" si="62"/>
        <v>1625305.5</v>
      </c>
      <c r="L289" s="606" t="str">
        <f>VLOOKUP(B289,'[11]Gui chi Quynh'!$B$11:$E$400,4,FALSE)</f>
        <v>A4</v>
      </c>
      <c r="M289" s="466">
        <f>ROUND(IF(AND(L289="A1",K289*1.6),K289*1.6,IF(AND(L289="A2",K289*1.4),K289*1.4,IF(AND(L289="A3",K289*1.2),K289*1.2,IF(AND(L289="A4",K289*1),K289*1,IF(AND(L289="B1",K289*0.7),K289*0.7,IF(AND(L289="B2",K289*0.5),K289*0.5,IF(AND(L289="C1",K289*0.3),K289*0.3,0))))))),)</f>
        <v>1625306</v>
      </c>
      <c r="N289" s="606">
        <v>22</v>
      </c>
      <c r="O289" s="607">
        <f>IFERROR(INDEX('[12]CN HĐ'!$J$10:$J$72,MATCH(B289,'[12]CN HĐ'!$H$10:$H$72,0)),"")</f>
        <v>22</v>
      </c>
      <c r="P289" s="608" t="e">
        <f>IF(M289&gt;#REF!,M289,#REF!)</f>
        <v>#REF!</v>
      </c>
      <c r="Q289" s="466">
        <f t="shared" si="63"/>
        <v>1625306</v>
      </c>
      <c r="R289" s="609"/>
      <c r="S289" s="466">
        <v>0</v>
      </c>
      <c r="T289" s="610"/>
      <c r="U289" s="466">
        <v>0</v>
      </c>
      <c r="V289" s="647">
        <f t="shared" si="64"/>
        <v>54176.85</v>
      </c>
      <c r="W289" s="611">
        <f t="shared" ref="W289:W350" si="65">(Q289+S289+U289)</f>
        <v>1625306</v>
      </c>
      <c r="X289" s="935">
        <f t="shared" si="57"/>
        <v>0.90294777777777779</v>
      </c>
      <c r="Y289" s="934">
        <v>1800000</v>
      </c>
      <c r="Z289" s="931">
        <f t="shared" si="58"/>
        <v>1625306</v>
      </c>
      <c r="AA289" s="612">
        <f t="shared" si="60"/>
        <v>269</v>
      </c>
      <c r="AB289" s="613" t="str">
        <f>IFERROR(INDEX('[12]CN HĐ'!$M$10:$M$73,MATCH(B289,'[12]CN HĐ'!$H$10:$H$73,0)),"")</f>
        <v>Trừ 2 ngày nghỉ phép 11+27/4</v>
      </c>
      <c r="AC289" s="616" t="s">
        <v>2015</v>
      </c>
      <c r="AD289" s="155"/>
      <c r="AE289" s="155"/>
      <c r="AF289" s="155"/>
      <c r="AG289" s="108"/>
      <c r="AH289" s="108"/>
      <c r="AI289" s="108"/>
      <c r="AJ289" s="108"/>
      <c r="AK289" s="108"/>
      <c r="AL289" s="108"/>
      <c r="AM289" s="108"/>
      <c r="AN289" s="108"/>
      <c r="AO289" s="108"/>
      <c r="AP289" s="108"/>
      <c r="AQ289" s="108"/>
      <c r="AR289" s="108"/>
      <c r="AS289" s="108"/>
      <c r="AT289" s="108"/>
      <c r="AU289" s="108"/>
      <c r="AV289" s="108"/>
      <c r="AW289" s="108"/>
      <c r="AX289" s="108"/>
      <c r="AY289" s="108"/>
      <c r="AZ289" s="108"/>
    </row>
    <row r="290" spans="1:52" s="372" customFormat="1" ht="27" customHeight="1">
      <c r="A290" s="30">
        <f>_xlfn.AGGREGATE(4,7,A$20:A289)+1</f>
        <v>270</v>
      </c>
      <c r="B290" s="444" t="s">
        <v>2035</v>
      </c>
      <c r="C290" s="419"/>
      <c r="D290" s="418"/>
      <c r="E290" s="604" t="s">
        <v>2036</v>
      </c>
      <c r="F290" s="604"/>
      <c r="G290" s="604"/>
      <c r="H290" s="368" t="s">
        <v>2031</v>
      </c>
      <c r="I290" s="605">
        <v>5159700</v>
      </c>
      <c r="J290" s="368" t="str">
        <f>VLOOKUP(B290,TH.T3!B296:J554,9,FALSE)</f>
        <v>NV Bảo vệ</v>
      </c>
      <c r="K290" s="466">
        <f t="shared" si="62"/>
        <v>1547910</v>
      </c>
      <c r="L290" s="606" t="str">
        <f>VLOOKUP(B290,'[11]Gui chi Quynh'!$B$11:$E$400,4,FALSE)</f>
        <v>A3</v>
      </c>
      <c r="M290" s="466">
        <f>ROUND(IF(AND(L290="A1",K290*1.6),K290*1.6,IF(AND(L290="A2",K290*1.4),K290*1.4,IF(AND(L290="A3",K290*1.2),K290*1.2,IF(AND(L290="A4",K290*1),K290*1,IF(AND(L290="B1",K290*0.7),K290*0.7,IF(AND(L290="B2",K290*0.5),K290*0.5,IF(AND(L290="C1",K290*0.3),K290*0.3,0))))))),)</f>
        <v>1857492</v>
      </c>
      <c r="N290" s="606">
        <v>22</v>
      </c>
      <c r="O290" s="607">
        <f>IFERROR(INDEX('[12]CN HĐ'!$J$10:$J$72,MATCH(B290,'[12]CN HĐ'!$H$10:$H$72,0)),"")</f>
        <v>23</v>
      </c>
      <c r="P290" s="608" t="e">
        <f>IF(M290&gt;#REF!,M290,#REF!)</f>
        <v>#REF!</v>
      </c>
      <c r="Q290" s="466">
        <f t="shared" si="63"/>
        <v>1857492</v>
      </c>
      <c r="R290" s="609"/>
      <c r="S290" s="466">
        <v>0</v>
      </c>
      <c r="T290" s="610"/>
      <c r="U290" s="466">
        <v>0</v>
      </c>
      <c r="V290" s="647">
        <f t="shared" si="64"/>
        <v>51597</v>
      </c>
      <c r="W290" s="611">
        <f t="shared" si="65"/>
        <v>1857492</v>
      </c>
      <c r="X290" s="935">
        <f t="shared" si="57"/>
        <v>1.0319400000000001</v>
      </c>
      <c r="Y290" s="934">
        <v>1800000</v>
      </c>
      <c r="Z290" s="931">
        <f t="shared" si="58"/>
        <v>1857492.0000000002</v>
      </c>
      <c r="AA290" s="612">
        <f>A290</f>
        <v>270</v>
      </c>
      <c r="AB290" s="613" t="str">
        <f>IFERROR(INDEX('[12]CN HĐ'!$M$10:$M$73,MATCH(B290,'[12]CN HĐ'!$H$10:$H$73,0)),"")</f>
        <v>Trừ 1 ngày nghỉ phép 15/4</v>
      </c>
      <c r="AC290" s="616" t="s">
        <v>2015</v>
      </c>
      <c r="AD290" s="487"/>
      <c r="AE290" s="487"/>
      <c r="AF290" s="487"/>
    </row>
    <row r="291" spans="1:52" s="372" customFormat="1" ht="27" customHeight="1">
      <c r="A291" s="30">
        <f>_xlfn.AGGREGATE(4,7,A$20:A290)+1</f>
        <v>271</v>
      </c>
      <c r="B291" s="444" t="s">
        <v>2037</v>
      </c>
      <c r="C291" s="419"/>
      <c r="D291" s="418"/>
      <c r="E291" s="614">
        <v>1603215005626</v>
      </c>
      <c r="F291" s="614"/>
      <c r="G291" s="614"/>
      <c r="H291" s="368" t="s">
        <v>2038</v>
      </c>
      <c r="I291" s="605">
        <v>5007600</v>
      </c>
      <c r="J291" s="368" t="str">
        <f>VLOOKUP(B291,TH.T3!B297:J555,9,FALSE)</f>
        <v>NV Bảo vệ</v>
      </c>
      <c r="K291" s="466">
        <f t="shared" si="62"/>
        <v>3505320</v>
      </c>
      <c r="L291" s="606" t="str">
        <f>VLOOKUP(B291,'[11]Gui chi Quynh'!$B$11:$E$400,4,FALSE)</f>
        <v>A3</v>
      </c>
      <c r="M291" s="466">
        <f t="shared" ref="M291:M350" si="66">ROUND(IF(AND(L291="A1",K291*1.6),K291*1.6,IF(AND(L291="A2",K291*1.4),K291*1.4,IF(AND(L291="A3",K291*1.2),K291*1.2,IF(AND(L291="A4",K291*1),K291*1,IF(AND(L291="B1",K291*0.7),K291*0.7,IF(AND(L291="B2",K291*0.5),K291*0.5,IF(AND(L291="C1",K291*0.3),K291*0.3,0))))))),)</f>
        <v>4206384</v>
      </c>
      <c r="N291" s="606">
        <v>22</v>
      </c>
      <c r="O291" s="607">
        <f>IFERROR(INDEX('[12]CN HĐ'!$J$10:$J$72,MATCH(B291,'[12]CN HĐ'!$H$10:$H$72,0)),"")</f>
        <v>22</v>
      </c>
      <c r="P291" s="608" t="e">
        <f>IF(M291&gt;#REF!,M291,#REF!)</f>
        <v>#REF!</v>
      </c>
      <c r="Q291" s="466">
        <f t="shared" si="63"/>
        <v>4206384</v>
      </c>
      <c r="R291" s="609"/>
      <c r="S291" s="466">
        <v>0</v>
      </c>
      <c r="T291" s="610"/>
      <c r="U291" s="466">
        <v>0</v>
      </c>
      <c r="V291" s="647">
        <f t="shared" si="64"/>
        <v>50076</v>
      </c>
      <c r="W291" s="611">
        <f t="shared" si="65"/>
        <v>4206384</v>
      </c>
      <c r="X291" s="935">
        <f t="shared" si="57"/>
        <v>2.3368799999999998</v>
      </c>
      <c r="Y291" s="934">
        <v>1800000</v>
      </c>
      <c r="Z291" s="931">
        <f t="shared" si="58"/>
        <v>4206384</v>
      </c>
      <c r="AA291" s="612">
        <f t="shared" si="60"/>
        <v>271</v>
      </c>
      <c r="AB291" s="613">
        <f>IFERROR(INDEX('[12]CN HĐ'!$M$10:$M$73,MATCH(B291,'[12]CN HĐ'!$H$10:$H$73,0)),"")</f>
        <v>0</v>
      </c>
      <c r="AC291" s="616" t="s">
        <v>2015</v>
      </c>
      <c r="AD291" s="155"/>
      <c r="AE291" s="155"/>
      <c r="AF291" s="155"/>
      <c r="AG291" s="108"/>
      <c r="AH291" s="108"/>
      <c r="AI291" s="108"/>
      <c r="AJ291" s="108"/>
      <c r="AK291" s="108"/>
      <c r="AL291" s="108"/>
      <c r="AM291" s="108"/>
      <c r="AN291" s="108"/>
      <c r="AO291" s="108"/>
      <c r="AP291" s="108"/>
      <c r="AQ291" s="108"/>
      <c r="AR291" s="108"/>
      <c r="AS291" s="108"/>
      <c r="AT291" s="108"/>
      <c r="AU291" s="108"/>
      <c r="AV291" s="108"/>
      <c r="AW291" s="108"/>
      <c r="AX291" s="108"/>
      <c r="AY291" s="108"/>
      <c r="AZ291" s="108"/>
    </row>
    <row r="292" spans="1:52" s="372" customFormat="1" ht="27" customHeight="1">
      <c r="A292" s="30">
        <f>_xlfn.AGGREGATE(4,7,A$20:A291)+1</f>
        <v>272</v>
      </c>
      <c r="B292" s="363" t="s">
        <v>2039</v>
      </c>
      <c r="C292" s="375"/>
      <c r="D292" s="434" t="s">
        <v>2040</v>
      </c>
      <c r="E292" s="604">
        <v>1603205287913</v>
      </c>
      <c r="F292" s="604"/>
      <c r="G292" s="604"/>
      <c r="H292" s="368" t="s">
        <v>2031</v>
      </c>
      <c r="I292" s="605">
        <v>7206216</v>
      </c>
      <c r="J292" s="368" t="str">
        <f>VLOOKUP(B292,TH.T3!B298:J556,9,FALSE)</f>
        <v xml:space="preserve">NV Bảo vệ </v>
      </c>
      <c r="K292" s="466">
        <f t="shared" si="62"/>
        <v>2161864.7999999998</v>
      </c>
      <c r="L292" s="606" t="str">
        <f>VLOOKUP(B292,'[11]Gui chi Quynh'!$B$11:$E$400,4,FALSE)</f>
        <v>A4</v>
      </c>
      <c r="M292" s="466">
        <f t="shared" si="66"/>
        <v>2161865</v>
      </c>
      <c r="N292" s="606">
        <v>22</v>
      </c>
      <c r="O292" s="607">
        <f>IFERROR(INDEX('[12]CN HĐ'!$J$10:$J$72,MATCH(B292,'[12]CN HĐ'!$H$10:$H$72,0)),"")</f>
        <v>23</v>
      </c>
      <c r="P292" s="608" t="e">
        <f>IF(M292&gt;#REF!,M292,#REF!)</f>
        <v>#REF!</v>
      </c>
      <c r="Q292" s="466">
        <f t="shared" si="63"/>
        <v>2161865</v>
      </c>
      <c r="R292" s="609"/>
      <c r="S292" s="466">
        <v>0</v>
      </c>
      <c r="T292" s="610"/>
      <c r="U292" s="466">
        <v>0</v>
      </c>
      <c r="V292" s="647">
        <f t="shared" si="64"/>
        <v>72062.16</v>
      </c>
      <c r="W292" s="611">
        <f t="shared" si="65"/>
        <v>2161865</v>
      </c>
      <c r="X292" s="935">
        <f t="shared" si="57"/>
        <v>1.2010361111111112</v>
      </c>
      <c r="Y292" s="934">
        <v>1800000</v>
      </c>
      <c r="Z292" s="931">
        <f t="shared" si="58"/>
        <v>2161865</v>
      </c>
      <c r="AA292" s="612">
        <f t="shared" si="60"/>
        <v>272</v>
      </c>
      <c r="AB292" s="613" t="str">
        <f>IFERROR(INDEX('[12]CN HĐ'!$M$10:$M$73,MATCH(B292,'[12]CN HĐ'!$H$10:$H$73,0)),"")</f>
        <v>Trừ 1 ngày nghỉ phép 27/4</v>
      </c>
      <c r="AC292" s="616" t="s">
        <v>2015</v>
      </c>
      <c r="AD292" s="465"/>
      <c r="AE292" s="108"/>
      <c r="AF292" s="108"/>
      <c r="AG292" s="108"/>
      <c r="AH292" s="108"/>
      <c r="AI292" s="108"/>
      <c r="AJ292" s="108"/>
      <c r="AK292" s="108"/>
      <c r="AL292" s="108"/>
      <c r="AM292" s="108"/>
      <c r="AN292" s="108"/>
      <c r="AO292" s="108"/>
      <c r="AP292" s="108"/>
      <c r="AQ292" s="108"/>
      <c r="AR292" s="108"/>
      <c r="AS292" s="108"/>
      <c r="AT292" s="108"/>
      <c r="AU292" s="108"/>
      <c r="AV292" s="108"/>
      <c r="AW292" s="108"/>
      <c r="AX292" s="108"/>
      <c r="AY292" s="108"/>
      <c r="AZ292" s="108"/>
    </row>
    <row r="293" spans="1:52" s="372" customFormat="1" ht="27" customHeight="1">
      <c r="A293" s="30">
        <f>_xlfn.AGGREGATE(4,7,A$20:A292)+1</f>
        <v>273</v>
      </c>
      <c r="B293" s="363" t="s">
        <v>2041</v>
      </c>
      <c r="C293" s="375"/>
      <c r="D293" s="434"/>
      <c r="E293" s="614">
        <v>1603205447217</v>
      </c>
      <c r="F293" s="614"/>
      <c r="G293" s="614"/>
      <c r="H293" s="81" t="s">
        <v>2042</v>
      </c>
      <c r="I293" s="605">
        <v>6134525</v>
      </c>
      <c r="J293" s="368" t="str">
        <f>VLOOKUP(B293,TH.T3!B299:J557,9,FALSE)</f>
        <v>Nhân viên bảo vệ</v>
      </c>
      <c r="K293" s="466">
        <f t="shared" si="62"/>
        <v>4294167.5</v>
      </c>
      <c r="L293" s="606" t="str">
        <f>VLOOKUP(B293,'[11]Gui chi Quynh'!$B$11:$E$400,4,FALSE)</f>
        <v>A2</v>
      </c>
      <c r="M293" s="466">
        <f t="shared" si="66"/>
        <v>6011835</v>
      </c>
      <c r="N293" s="606">
        <v>22</v>
      </c>
      <c r="O293" s="607">
        <f>IFERROR(INDEX('[12]CN HĐ'!$J$10:$J$72,MATCH(B293,'[12]CN HĐ'!$H$10:$H$72,0)),"")</f>
        <v>25</v>
      </c>
      <c r="P293" s="608" t="e">
        <f>IF(M293&gt;#REF!,M293,#REF!)</f>
        <v>#REF!</v>
      </c>
      <c r="Q293" s="466">
        <f t="shared" si="63"/>
        <v>6011835</v>
      </c>
      <c r="R293" s="609"/>
      <c r="S293" s="466">
        <v>0</v>
      </c>
      <c r="T293" s="610"/>
      <c r="U293" s="466">
        <v>0</v>
      </c>
      <c r="V293" s="647">
        <f t="shared" si="64"/>
        <v>61345.25</v>
      </c>
      <c r="W293" s="611">
        <f t="shared" si="65"/>
        <v>6011835</v>
      </c>
      <c r="X293" s="935">
        <f t="shared" si="57"/>
        <v>3.3399083333333333</v>
      </c>
      <c r="Y293" s="934">
        <v>1800000</v>
      </c>
      <c r="Z293" s="931">
        <f t="shared" si="58"/>
        <v>6011835</v>
      </c>
      <c r="AA293" s="612">
        <f t="shared" si="60"/>
        <v>273</v>
      </c>
      <c r="AB293" s="613">
        <f>IFERROR(INDEX('[12]CN HĐ'!$M$10:$M$73,MATCH(B293,'[12]CN HĐ'!$H$10:$H$73,0)),"")</f>
        <v>0</v>
      </c>
      <c r="AC293" s="616" t="s">
        <v>2015</v>
      </c>
      <c r="AD293" s="155"/>
      <c r="AE293" s="108"/>
      <c r="AF293" s="108"/>
      <c r="AG293" s="108"/>
      <c r="AH293" s="108"/>
      <c r="AI293" s="108"/>
      <c r="AJ293" s="108"/>
      <c r="AK293" s="108"/>
      <c r="AL293" s="108"/>
      <c r="AM293" s="108"/>
      <c r="AN293" s="108"/>
      <c r="AO293" s="108"/>
      <c r="AP293" s="108"/>
      <c r="AQ293" s="108"/>
      <c r="AR293" s="108"/>
      <c r="AS293" s="108"/>
      <c r="AT293" s="108"/>
      <c r="AU293" s="108"/>
      <c r="AV293" s="108"/>
      <c r="AW293" s="108"/>
      <c r="AX293" s="108"/>
      <c r="AY293" s="108"/>
      <c r="AZ293" s="108"/>
    </row>
    <row r="294" spans="1:52" s="372" customFormat="1" ht="32.25" customHeight="1">
      <c r="A294" s="30">
        <f>_xlfn.AGGREGATE(4,7,A$20:A293)+1</f>
        <v>274</v>
      </c>
      <c r="B294" s="363" t="s">
        <v>2043</v>
      </c>
      <c r="C294" s="375"/>
      <c r="D294" s="434" t="s">
        <v>2044</v>
      </c>
      <c r="E294" s="615" t="s">
        <v>2045</v>
      </c>
      <c r="F294" s="615"/>
      <c r="G294" s="615"/>
      <c r="H294" s="81" t="s">
        <v>2031</v>
      </c>
      <c r="I294" s="605">
        <v>7623227</v>
      </c>
      <c r="J294" s="368" t="str">
        <f>VLOOKUP(B294,TH.T3!B300:J558,9,FALSE)</f>
        <v xml:space="preserve">NV Bảo vệ </v>
      </c>
      <c r="K294" s="466">
        <f t="shared" si="62"/>
        <v>2286968.1</v>
      </c>
      <c r="L294" s="606" t="str">
        <f>VLOOKUP(B294,'[11]Gui chi Quynh'!$B$11:$E$400,4,FALSE)</f>
        <v>A3</v>
      </c>
      <c r="M294" s="466">
        <f t="shared" si="66"/>
        <v>2744362</v>
      </c>
      <c r="N294" s="606">
        <v>22</v>
      </c>
      <c r="O294" s="607">
        <f>IFERROR(INDEX('[12]CN HĐ'!$J$10:$J$72,MATCH(B294,'[12]CN HĐ'!$H$10:$H$72,0)),"")</f>
        <v>23</v>
      </c>
      <c r="P294" s="608" t="e">
        <f>IF(M294&gt;#REF!,M294,#REF!)</f>
        <v>#REF!</v>
      </c>
      <c r="Q294" s="466">
        <f t="shared" si="63"/>
        <v>2744362</v>
      </c>
      <c r="R294" s="609"/>
      <c r="S294" s="466">
        <v>0</v>
      </c>
      <c r="T294" s="610"/>
      <c r="U294" s="466">
        <v>0</v>
      </c>
      <c r="V294" s="647">
        <f t="shared" si="64"/>
        <v>76232.27</v>
      </c>
      <c r="W294" s="611">
        <f t="shared" si="65"/>
        <v>2744362</v>
      </c>
      <c r="X294" s="935">
        <f t="shared" si="57"/>
        <v>1.5246455555555556</v>
      </c>
      <c r="Y294" s="934">
        <v>1800000</v>
      </c>
      <c r="Z294" s="931">
        <f t="shared" si="58"/>
        <v>2744362</v>
      </c>
      <c r="AA294" s="612">
        <f t="shared" si="60"/>
        <v>274</v>
      </c>
      <c r="AB294" s="613" t="str">
        <f>IFERROR(INDEX('[12]CN HĐ'!$M$10:$M$73,MATCH(B294,'[12]CN HĐ'!$H$10:$H$73,0)),"")</f>
        <v>Trừ 1 ngày nghỉ phép 3/4</v>
      </c>
      <c r="AC294" s="616" t="s">
        <v>2015</v>
      </c>
      <c r="AD294" s="155"/>
      <c r="AE294" s="108"/>
      <c r="AF294" s="108"/>
      <c r="AG294" s="108"/>
      <c r="AH294" s="108"/>
      <c r="AI294" s="108"/>
      <c r="AJ294" s="108"/>
      <c r="AK294" s="108"/>
      <c r="AL294" s="108"/>
      <c r="AM294" s="108"/>
      <c r="AN294" s="108"/>
      <c r="AO294" s="108"/>
      <c r="AP294" s="108"/>
      <c r="AQ294" s="108"/>
      <c r="AR294" s="108"/>
      <c r="AS294" s="108"/>
      <c r="AT294" s="108"/>
      <c r="AU294" s="108"/>
      <c r="AV294" s="108"/>
      <c r="AW294" s="108"/>
      <c r="AX294" s="108"/>
      <c r="AY294" s="108"/>
      <c r="AZ294" s="108"/>
    </row>
    <row r="295" spans="1:52" s="372" customFormat="1" ht="27" customHeight="1">
      <c r="A295" s="30">
        <f>_xlfn.AGGREGATE(4,7,A$20:A294)+1</f>
        <v>275</v>
      </c>
      <c r="B295" s="363" t="s">
        <v>2046</v>
      </c>
      <c r="C295" s="375"/>
      <c r="D295" s="406" t="s">
        <v>2047</v>
      </c>
      <c r="E295" s="604" t="s">
        <v>2048</v>
      </c>
      <c r="F295" s="604"/>
      <c r="G295" s="604"/>
      <c r="H295" s="81" t="s">
        <v>2031</v>
      </c>
      <c r="I295" s="605">
        <v>5972998</v>
      </c>
      <c r="J295" s="368" t="str">
        <f>VLOOKUP(B295,TH.T3!B301:J559,9,FALSE)</f>
        <v>NV Bảo vệ</v>
      </c>
      <c r="K295" s="466">
        <f t="shared" si="62"/>
        <v>1791899.4</v>
      </c>
      <c r="L295" s="606" t="str">
        <f>VLOOKUP(B295,'[11]Gui chi Quynh'!$B$11:$E$400,4,FALSE)</f>
        <v>A3</v>
      </c>
      <c r="M295" s="466">
        <f t="shared" si="66"/>
        <v>2150279</v>
      </c>
      <c r="N295" s="606">
        <v>22</v>
      </c>
      <c r="O295" s="607">
        <f>IFERROR(INDEX('[12]CN HĐ'!$J$10:$J$72,MATCH(B295,'[12]CN HĐ'!$H$10:$H$72,0)),"")</f>
        <v>23</v>
      </c>
      <c r="P295" s="608" t="e">
        <f>IF(M295&gt;#REF!,M295,#REF!)</f>
        <v>#REF!</v>
      </c>
      <c r="Q295" s="466">
        <f t="shared" si="63"/>
        <v>2150279</v>
      </c>
      <c r="R295" s="609"/>
      <c r="S295" s="466">
        <v>0</v>
      </c>
      <c r="T295" s="610"/>
      <c r="U295" s="466">
        <v>0</v>
      </c>
      <c r="V295" s="647">
        <f t="shared" si="64"/>
        <v>59729.98</v>
      </c>
      <c r="W295" s="611">
        <f t="shared" si="65"/>
        <v>2150279</v>
      </c>
      <c r="X295" s="935">
        <f t="shared" si="57"/>
        <v>1.1945994444444445</v>
      </c>
      <c r="Y295" s="934">
        <v>1800000</v>
      </c>
      <c r="Z295" s="931">
        <f t="shared" si="58"/>
        <v>2150279</v>
      </c>
      <c r="AA295" s="612">
        <f t="shared" si="60"/>
        <v>275</v>
      </c>
      <c r="AB295" s="613" t="str">
        <f>IFERROR(INDEX('[12]CN HĐ'!$M$10:$M$73,MATCH(B295,'[12]CN HĐ'!$H$10:$H$73,0)),"")</f>
        <v>Trừ 1 ngày nghỉ phép 17/4</v>
      </c>
      <c r="AC295" s="616" t="s">
        <v>2015</v>
      </c>
      <c r="AD295" s="155"/>
      <c r="AE295" s="108"/>
      <c r="AF295" s="108"/>
      <c r="AG295" s="108"/>
      <c r="AH295" s="108"/>
      <c r="AI295" s="108"/>
      <c r="AJ295" s="108"/>
      <c r="AK295" s="108"/>
      <c r="AL295" s="108"/>
      <c r="AM295" s="108"/>
      <c r="AN295" s="108"/>
      <c r="AO295" s="108"/>
      <c r="AP295" s="108"/>
      <c r="AQ295" s="108"/>
      <c r="AR295" s="108"/>
      <c r="AS295" s="108"/>
      <c r="AT295" s="108"/>
      <c r="AU295" s="108"/>
      <c r="AV295" s="108"/>
      <c r="AW295" s="108"/>
      <c r="AX295" s="108"/>
      <c r="AY295" s="108"/>
      <c r="AZ295" s="108"/>
    </row>
    <row r="296" spans="1:52" s="372" customFormat="1" ht="30" customHeight="1">
      <c r="A296" s="30">
        <f>_xlfn.AGGREGATE(4,7,A$20:A295)+1</f>
        <v>276</v>
      </c>
      <c r="B296" s="363" t="s">
        <v>2049</v>
      </c>
      <c r="C296" s="375"/>
      <c r="D296" s="434" t="s">
        <v>2050</v>
      </c>
      <c r="E296" s="604" t="s">
        <v>2051</v>
      </c>
      <c r="F296" s="604"/>
      <c r="G296" s="604"/>
      <c r="H296" s="368" t="s">
        <v>2031</v>
      </c>
      <c r="I296" s="605">
        <v>5972998</v>
      </c>
      <c r="J296" s="368" t="str">
        <f>VLOOKUP(B296,TH.T3!B302:J560,9,FALSE)</f>
        <v>NV Bảo vệ</v>
      </c>
      <c r="K296" s="466">
        <f t="shared" si="62"/>
        <v>1791899.4</v>
      </c>
      <c r="L296" s="606" t="str">
        <f>VLOOKUP(B296,'[11]Gui chi Quynh'!$B$11:$E$400,4,FALSE)</f>
        <v>A2</v>
      </c>
      <c r="M296" s="466">
        <f t="shared" si="66"/>
        <v>2508659</v>
      </c>
      <c r="N296" s="606">
        <v>22</v>
      </c>
      <c r="O296" s="607">
        <f>IFERROR(INDEX('[12]CN HĐ'!$J$10:$J$72,MATCH(B296,'[12]CN HĐ'!$H$10:$H$72,0)),"")</f>
        <v>23</v>
      </c>
      <c r="P296" s="608" t="e">
        <f>IF(M296&gt;#REF!,M296,#REF!)</f>
        <v>#REF!</v>
      </c>
      <c r="Q296" s="466">
        <f t="shared" si="63"/>
        <v>2508659</v>
      </c>
      <c r="R296" s="609"/>
      <c r="S296" s="466">
        <v>0</v>
      </c>
      <c r="T296" s="610"/>
      <c r="U296" s="466">
        <v>0</v>
      </c>
      <c r="V296" s="647">
        <f t="shared" si="64"/>
        <v>59729.98</v>
      </c>
      <c r="W296" s="611">
        <f t="shared" si="65"/>
        <v>2508659</v>
      </c>
      <c r="X296" s="935">
        <f t="shared" si="57"/>
        <v>1.3936994444444444</v>
      </c>
      <c r="Y296" s="934">
        <v>1800000</v>
      </c>
      <c r="Z296" s="931">
        <f t="shared" si="58"/>
        <v>2508659</v>
      </c>
      <c r="AA296" s="612">
        <f t="shared" si="60"/>
        <v>276</v>
      </c>
      <c r="AB296" s="613" t="str">
        <f>IFERROR(INDEX('[12]CN HĐ'!$M$10:$M$73,MATCH(B296,'[12]CN HĐ'!$H$10:$H$73,0)),"")</f>
        <v>Trừ 1 ngày nghỉ phép 29/4</v>
      </c>
      <c r="AC296" s="616" t="s">
        <v>2015</v>
      </c>
      <c r="AD296" s="487"/>
    </row>
    <row r="297" spans="1:52" s="372" customFormat="1" ht="29.25" customHeight="1">
      <c r="A297" s="379">
        <f>_xlfn.AGGREGATE(4,7,A$20:A296)+1</f>
        <v>277</v>
      </c>
      <c r="B297" s="363" t="s">
        <v>2052</v>
      </c>
      <c r="C297" s="375"/>
      <c r="D297" s="434"/>
      <c r="E297" s="604"/>
      <c r="F297" s="604"/>
      <c r="G297" s="604"/>
      <c r="H297" s="368" t="s">
        <v>2042</v>
      </c>
      <c r="I297" s="605">
        <v>5733201</v>
      </c>
      <c r="J297" s="368" t="str">
        <f>VLOOKUP(B297,TH.T3!B303:J561,9,FALSE)</f>
        <v>NV Bảo vệ</v>
      </c>
      <c r="K297" s="466">
        <f t="shared" si="62"/>
        <v>4013240.6999999997</v>
      </c>
      <c r="L297" s="606" t="str">
        <f>VLOOKUP(B297,'[11]Gui chi Quynh'!$B$11:$E$400,4,FALSE)</f>
        <v>A4</v>
      </c>
      <c r="M297" s="466">
        <f t="shared" si="66"/>
        <v>4013241</v>
      </c>
      <c r="N297" s="606">
        <v>22</v>
      </c>
      <c r="O297" s="607">
        <f>IFERROR(INDEX('[12]CN HĐ'!$J$10:$J$72,MATCH(B297,'[12]CN HĐ'!$H$10:$H$72,0)),"")</f>
        <v>25</v>
      </c>
      <c r="P297" s="608" t="e">
        <f>IF(M297&gt;#REF!,M297,#REF!)</f>
        <v>#REF!</v>
      </c>
      <c r="Q297" s="466">
        <f t="shared" si="63"/>
        <v>4013241</v>
      </c>
      <c r="R297" s="609"/>
      <c r="S297" s="466">
        <v>0</v>
      </c>
      <c r="T297" s="610"/>
      <c r="U297" s="466">
        <v>0</v>
      </c>
      <c r="V297" s="466">
        <f t="shared" si="64"/>
        <v>57332.01</v>
      </c>
      <c r="W297" s="611">
        <f t="shared" si="65"/>
        <v>4013241</v>
      </c>
      <c r="X297" s="935">
        <f t="shared" si="57"/>
        <v>2.2295783333333334</v>
      </c>
      <c r="Y297" s="934">
        <v>1800000</v>
      </c>
      <c r="Z297" s="931">
        <f t="shared" si="58"/>
        <v>4013241</v>
      </c>
      <c r="AA297" s="612">
        <f t="shared" si="60"/>
        <v>277</v>
      </c>
      <c r="AB297" s="613">
        <f>IFERROR(INDEX('[12]CN HĐ'!$M$10:$M$73,MATCH(B297,'[12]CN HĐ'!$H$10:$H$73,0)),"")</f>
        <v>0</v>
      </c>
      <c r="AC297" s="616" t="s">
        <v>2015</v>
      </c>
      <c r="AD297" s="591"/>
    </row>
    <row r="298" spans="1:52" s="372" customFormat="1" ht="32.25" customHeight="1">
      <c r="A298" s="30">
        <f>_xlfn.AGGREGATE(4,7,A$20:A297)+1</f>
        <v>278</v>
      </c>
      <c r="B298" s="363" t="s">
        <v>2053</v>
      </c>
      <c r="C298" s="375"/>
      <c r="D298" s="434"/>
      <c r="E298" s="604"/>
      <c r="F298" s="604"/>
      <c r="G298" s="604"/>
      <c r="H298" s="368" t="s">
        <v>2031</v>
      </c>
      <c r="I298" s="605">
        <v>4680000</v>
      </c>
      <c r="J298" s="368" t="str">
        <f>VLOOKUP(B298,TH.T3!B304:J562,9,FALSE)</f>
        <v>NV Bảo vệ</v>
      </c>
      <c r="K298" s="466">
        <f t="shared" si="62"/>
        <v>1404000</v>
      </c>
      <c r="L298" s="606" t="str">
        <f>VLOOKUP(B298,'[11]Gui chi Quynh'!$B$11:$E$400,4,FALSE)</f>
        <v>A3</v>
      </c>
      <c r="M298" s="466">
        <f t="shared" si="66"/>
        <v>1684800</v>
      </c>
      <c r="N298" s="606">
        <v>22</v>
      </c>
      <c r="O298" s="607">
        <f>IFERROR(INDEX('[12]CN HĐ'!$J$10:$J$72,MATCH(B298,'[12]CN HĐ'!$H$10:$H$72,0)),"")</f>
        <v>24</v>
      </c>
      <c r="P298" s="608"/>
      <c r="Q298" s="466">
        <f t="shared" si="63"/>
        <v>1684800</v>
      </c>
      <c r="R298" s="609"/>
      <c r="S298" s="466">
        <v>0</v>
      </c>
      <c r="T298" s="610"/>
      <c r="U298" s="466">
        <v>0</v>
      </c>
      <c r="V298" s="647">
        <f t="shared" si="64"/>
        <v>46800</v>
      </c>
      <c r="W298" s="611">
        <f t="shared" si="65"/>
        <v>1684800</v>
      </c>
      <c r="X298" s="935">
        <f t="shared" si="57"/>
        <v>0.93600000000000005</v>
      </c>
      <c r="Y298" s="934">
        <v>1800000</v>
      </c>
      <c r="Z298" s="931">
        <f t="shared" si="58"/>
        <v>1684800</v>
      </c>
      <c r="AA298" s="612">
        <f t="shared" si="60"/>
        <v>278</v>
      </c>
      <c r="AB298" s="613" t="str">
        <f>IFERROR(INDEX('[12]CN HĐ'!$M$10:$M$73,MATCH(B298,'[12]CN HĐ'!$H$10:$H$73,0)),"")</f>
        <v>Trừ 1 ngày nghỉ bù 29/4</v>
      </c>
      <c r="AC298" s="616" t="s">
        <v>2015</v>
      </c>
      <c r="AD298" s="465"/>
      <c r="AE298" s="108"/>
      <c r="AF298" s="108"/>
      <c r="AG298" s="108"/>
      <c r="AH298" s="108"/>
      <c r="AI298" s="108"/>
      <c r="AJ298" s="108"/>
      <c r="AK298" s="108"/>
      <c r="AL298" s="108"/>
      <c r="AM298" s="108"/>
      <c r="AN298" s="108"/>
      <c r="AO298" s="108"/>
      <c r="AP298" s="108"/>
      <c r="AQ298" s="108"/>
      <c r="AR298" s="108"/>
      <c r="AS298" s="108"/>
      <c r="AT298" s="108"/>
      <c r="AU298" s="108"/>
      <c r="AV298" s="108"/>
      <c r="AW298" s="108"/>
      <c r="AX298" s="108"/>
      <c r="AY298" s="108"/>
      <c r="AZ298" s="108"/>
    </row>
    <row r="299" spans="1:52" s="372" customFormat="1" ht="27" customHeight="1">
      <c r="A299" s="30">
        <f>_xlfn.AGGREGATE(4,7,A$20:A298)+1</f>
        <v>279</v>
      </c>
      <c r="B299" s="363" t="s">
        <v>2054</v>
      </c>
      <c r="C299" s="375"/>
      <c r="D299" s="434"/>
      <c r="E299" s="614">
        <v>1603205639357</v>
      </c>
      <c r="F299" s="614"/>
      <c r="G299" s="614"/>
      <c r="H299" s="368" t="s">
        <v>2038</v>
      </c>
      <c r="I299" s="605">
        <v>5257980</v>
      </c>
      <c r="J299" s="368" t="str">
        <f>VLOOKUP(B299,TH.T3!B305:J563,9,FALSE)</f>
        <v>NV Lái xe</v>
      </c>
      <c r="K299" s="466">
        <f t="shared" si="62"/>
        <v>3680585.9999999995</v>
      </c>
      <c r="L299" s="606" t="str">
        <f>VLOOKUP(B299,'[11]Gui chi Quynh'!$B$11:$E$400,4,FALSE)</f>
        <v>A2</v>
      </c>
      <c r="M299" s="466">
        <f t="shared" si="66"/>
        <v>5152820</v>
      </c>
      <c r="N299" s="606">
        <v>22</v>
      </c>
      <c r="O299" s="607">
        <f>IFERROR(INDEX('[12]CN HĐ'!$J$10:$J$72,MATCH(B299,'[12]CN HĐ'!$H$10:$H$72,0)),"")</f>
        <v>24</v>
      </c>
      <c r="P299" s="608" t="e">
        <f>IF(M299&gt;#REF!,M299,#REF!)</f>
        <v>#REF!</v>
      </c>
      <c r="Q299" s="466">
        <f t="shared" si="63"/>
        <v>5152820</v>
      </c>
      <c r="R299" s="609"/>
      <c r="S299" s="466">
        <v>0</v>
      </c>
      <c r="T299" s="610"/>
      <c r="U299" s="466">
        <v>0</v>
      </c>
      <c r="V299" s="647">
        <f t="shared" si="64"/>
        <v>52579.8</v>
      </c>
      <c r="W299" s="611">
        <f t="shared" si="65"/>
        <v>5152820</v>
      </c>
      <c r="X299" s="935">
        <f t="shared" si="57"/>
        <v>2.8626777777777779</v>
      </c>
      <c r="Y299" s="934">
        <v>1800000</v>
      </c>
      <c r="Z299" s="931">
        <f t="shared" si="58"/>
        <v>5152820</v>
      </c>
      <c r="AA299" s="612">
        <f t="shared" si="60"/>
        <v>279</v>
      </c>
      <c r="AB299" s="613">
        <f>IFERROR(INDEX('[12]CN HĐ'!$M$10:$M$73,MATCH(B299,'[12]CN HĐ'!$H$10:$H$73,0)),"")</f>
        <v>0</v>
      </c>
      <c r="AC299" s="616" t="s">
        <v>2015</v>
      </c>
      <c r="AD299" s="155"/>
      <c r="AE299" s="108"/>
      <c r="AF299" s="108"/>
      <c r="AG299" s="108"/>
      <c r="AH299" s="108"/>
      <c r="AI299" s="108"/>
      <c r="AJ299" s="108"/>
      <c r="AK299" s="108"/>
      <c r="AL299" s="108"/>
      <c r="AM299" s="108"/>
      <c r="AN299" s="108"/>
      <c r="AO299" s="108"/>
      <c r="AP299" s="108"/>
      <c r="AQ299" s="108"/>
      <c r="AR299" s="108"/>
      <c r="AS299" s="108"/>
      <c r="AT299" s="108"/>
      <c r="AU299" s="108"/>
      <c r="AV299" s="108"/>
      <c r="AW299" s="108"/>
      <c r="AX299" s="108"/>
      <c r="AY299" s="108"/>
      <c r="AZ299" s="108"/>
    </row>
    <row r="300" spans="1:52" s="372" customFormat="1" ht="31.5" customHeight="1">
      <c r="A300" s="30">
        <f>_xlfn.AGGREGATE(4,7,A$20:A299)+1</f>
        <v>280</v>
      </c>
      <c r="B300" s="363" t="s">
        <v>2055</v>
      </c>
      <c r="C300" s="375"/>
      <c r="D300" s="434"/>
      <c r="E300" s="615">
        <v>1603205641829</v>
      </c>
      <c r="F300" s="615"/>
      <c r="G300" s="615"/>
      <c r="H300" s="368" t="s">
        <v>2031</v>
      </c>
      <c r="I300" s="605">
        <v>5159700</v>
      </c>
      <c r="J300" s="368" t="str">
        <f>VLOOKUP(B300,TH.T3!B306:J564,9,FALSE)</f>
        <v>NV Phuc vụ Phòng TC - HC - TH</v>
      </c>
      <c r="K300" s="466">
        <f t="shared" si="62"/>
        <v>1547910</v>
      </c>
      <c r="L300" s="606" t="str">
        <f>VLOOKUP(B300,'[11]Gui chi Quynh'!$B$11:$E$400,4,FALSE)</f>
        <v>A2</v>
      </c>
      <c r="M300" s="466">
        <f t="shared" si="66"/>
        <v>2167074</v>
      </c>
      <c r="N300" s="606">
        <v>22</v>
      </c>
      <c r="O300" s="607">
        <f>IFERROR(INDEX('[12]CN HĐ'!$J$10:$J$72,MATCH(B300,'[12]CN HĐ'!$H$10:$H$72,0)),"")</f>
        <v>22</v>
      </c>
      <c r="P300" s="608" t="e">
        <f>IF(M300&gt;#REF!,M300,#REF!)</f>
        <v>#REF!</v>
      </c>
      <c r="Q300" s="466">
        <f t="shared" si="63"/>
        <v>2167074</v>
      </c>
      <c r="R300" s="609"/>
      <c r="S300" s="466">
        <v>0</v>
      </c>
      <c r="T300" s="610"/>
      <c r="U300" s="466">
        <v>0</v>
      </c>
      <c r="V300" s="647">
        <f t="shared" si="64"/>
        <v>51597</v>
      </c>
      <c r="W300" s="611">
        <f t="shared" si="65"/>
        <v>2167074</v>
      </c>
      <c r="X300" s="935">
        <f t="shared" si="57"/>
        <v>1.2039299999999999</v>
      </c>
      <c r="Y300" s="934">
        <v>1800000</v>
      </c>
      <c r="Z300" s="931">
        <f t="shared" si="58"/>
        <v>2167074</v>
      </c>
      <c r="AA300" s="612">
        <f t="shared" si="60"/>
        <v>280</v>
      </c>
      <c r="AB300" s="613">
        <f>IFERROR(INDEX('[12]CN HĐ'!$M$10:$M$73,MATCH(B300,'[12]CN HĐ'!$H$10:$H$73,0)),"")</f>
        <v>0</v>
      </c>
      <c r="AC300" s="616" t="s">
        <v>2015</v>
      </c>
      <c r="AD300" s="155"/>
      <c r="AE300" s="108"/>
      <c r="AF300" s="108"/>
      <c r="AG300" s="108"/>
      <c r="AH300" s="108"/>
      <c r="AI300" s="108"/>
      <c r="AJ300" s="108"/>
      <c r="AK300" s="108"/>
      <c r="AL300" s="108"/>
      <c r="AM300" s="108"/>
      <c r="AN300" s="108"/>
      <c r="AO300" s="108"/>
      <c r="AP300" s="108"/>
      <c r="AQ300" s="108"/>
      <c r="AR300" s="108"/>
      <c r="AS300" s="108"/>
      <c r="AT300" s="108"/>
    </row>
    <row r="301" spans="1:52" s="372" customFormat="1" ht="33" customHeight="1">
      <c r="A301" s="379">
        <f>_xlfn.AGGREGATE(4,7,A$20:A300)+1</f>
        <v>281</v>
      </c>
      <c r="B301" s="363" t="s">
        <v>2056</v>
      </c>
      <c r="C301" s="375"/>
      <c r="D301" s="434"/>
      <c r="E301" s="615"/>
      <c r="F301" s="615"/>
      <c r="G301" s="615"/>
      <c r="H301" s="368" t="s">
        <v>2042</v>
      </c>
      <c r="I301" s="605">
        <v>5733201</v>
      </c>
      <c r="J301" s="368" t="str">
        <f>VLOOKUP(B301,TH.T3!B307:J565,9,FALSE)</f>
        <v>Nhân viên phòng Thanh tra GD - Công tác SV</v>
      </c>
      <c r="K301" s="466">
        <f t="shared" si="62"/>
        <v>4013240.6999999997</v>
      </c>
      <c r="L301" s="606" t="str">
        <f>VLOOKUP(B301,'[11]Gui chi Quynh'!$B$11:$E$400,4,FALSE)</f>
        <v>A3</v>
      </c>
      <c r="M301" s="466">
        <f t="shared" si="66"/>
        <v>4815889</v>
      </c>
      <c r="N301" s="606">
        <v>22</v>
      </c>
      <c r="O301" s="607">
        <f>IFERROR(INDEX('[12]CN HĐ'!$J$10:$J$72,MATCH(B301,'[12]CN HĐ'!$H$10:$H$72,0)),"")</f>
        <v>23</v>
      </c>
      <c r="P301" s="608"/>
      <c r="Q301" s="466">
        <f t="shared" si="63"/>
        <v>4815889</v>
      </c>
      <c r="R301" s="609"/>
      <c r="S301" s="466">
        <v>0</v>
      </c>
      <c r="T301" s="610"/>
      <c r="U301" s="466">
        <v>0</v>
      </c>
      <c r="V301" s="466">
        <f t="shared" si="64"/>
        <v>57332.01</v>
      </c>
      <c r="W301" s="611">
        <f t="shared" si="65"/>
        <v>4815889</v>
      </c>
      <c r="X301" s="935">
        <f t="shared" si="57"/>
        <v>2.6754938888888891</v>
      </c>
      <c r="Y301" s="934">
        <v>1800000</v>
      </c>
      <c r="Z301" s="931">
        <f t="shared" si="58"/>
        <v>4815889</v>
      </c>
      <c r="AA301" s="612">
        <f t="shared" si="60"/>
        <v>281</v>
      </c>
      <c r="AB301" s="613">
        <f>IFERROR(INDEX('[12]CN HĐ'!$M$10:$M$73,MATCH(B301,'[12]CN HĐ'!$H$10:$H$73,0)),"")</f>
        <v>0</v>
      </c>
      <c r="AC301" s="617" t="s">
        <v>2225</v>
      </c>
      <c r="AD301" s="487"/>
    </row>
    <row r="302" spans="1:52" s="372" customFormat="1" ht="30.75" customHeight="1">
      <c r="A302" s="30">
        <f>_xlfn.AGGREGATE(4,7,A$20:A301)+1</f>
        <v>282</v>
      </c>
      <c r="B302" s="363" t="s">
        <v>2057</v>
      </c>
      <c r="C302" s="375"/>
      <c r="D302" s="434" t="s">
        <v>2058</v>
      </c>
      <c r="E302" s="615" t="s">
        <v>1256</v>
      </c>
      <c r="F302" s="615"/>
      <c r="G302" s="615"/>
      <c r="H302" s="368" t="s">
        <v>2038</v>
      </c>
      <c r="I302" s="605">
        <v>8992930</v>
      </c>
      <c r="J302" s="368" t="str">
        <f>VLOOKUP(B302,TH.T3!B308:J566,9,FALSE)</f>
        <v>NV Phòng Tổ chức - Hành chính - Tổng hợp</v>
      </c>
      <c r="K302" s="466">
        <f t="shared" si="62"/>
        <v>6295051</v>
      </c>
      <c r="L302" s="606" t="str">
        <f>VLOOKUP(B302,'[11]Gui chi Quynh'!$B$11:$E$400,4,FALSE)</f>
        <v>A4</v>
      </c>
      <c r="M302" s="466">
        <f t="shared" si="66"/>
        <v>6295051</v>
      </c>
      <c r="N302" s="606">
        <v>22</v>
      </c>
      <c r="O302" s="607">
        <f>IFERROR(INDEX('[12]CN HĐ'!$J$10:$J$72,MATCH(B302,'[12]CN HĐ'!$H$10:$H$72,0)),"")</f>
        <v>24</v>
      </c>
      <c r="P302" s="608"/>
      <c r="Q302" s="466">
        <f t="shared" si="63"/>
        <v>6295051</v>
      </c>
      <c r="R302" s="609"/>
      <c r="S302" s="466">
        <v>0</v>
      </c>
      <c r="T302" s="610"/>
      <c r="U302" s="466">
        <v>0</v>
      </c>
      <c r="V302" s="647">
        <f t="shared" si="64"/>
        <v>89929.3</v>
      </c>
      <c r="W302" s="611">
        <f t="shared" si="65"/>
        <v>6295051</v>
      </c>
      <c r="X302" s="935">
        <f t="shared" si="57"/>
        <v>3.4972505555555555</v>
      </c>
      <c r="Y302" s="934">
        <v>1800000</v>
      </c>
      <c r="Z302" s="931">
        <f t="shared" si="58"/>
        <v>6295051</v>
      </c>
      <c r="AA302" s="612">
        <f t="shared" si="60"/>
        <v>282</v>
      </c>
      <c r="AB302" s="613">
        <f>IFERROR(INDEX('[12]CN HĐ'!$M$10:$M$73,MATCH(B302,'[12]CN HĐ'!$H$10:$H$73,0)),"")</f>
        <v>0</v>
      </c>
      <c r="AC302" s="618" t="s">
        <v>2015</v>
      </c>
      <c r="AD302" s="155"/>
      <c r="AE302" s="108"/>
      <c r="AF302" s="108"/>
      <c r="AG302" s="108"/>
      <c r="AH302" s="108"/>
      <c r="AI302" s="108"/>
      <c r="AJ302" s="108"/>
      <c r="AK302" s="108"/>
      <c r="AL302" s="108"/>
      <c r="AM302" s="108"/>
      <c r="AN302" s="108"/>
      <c r="AO302" s="108"/>
      <c r="AP302" s="108"/>
      <c r="AQ302" s="108"/>
      <c r="AR302" s="108"/>
      <c r="AS302" s="108"/>
      <c r="AT302" s="108"/>
      <c r="AU302" s="108"/>
      <c r="AV302" s="108"/>
      <c r="AW302" s="108"/>
      <c r="AX302" s="108"/>
      <c r="AY302" s="108"/>
      <c r="AZ302" s="108"/>
    </row>
    <row r="303" spans="1:52" s="372" customFormat="1" ht="30.75" customHeight="1">
      <c r="A303" s="30">
        <f>_xlfn.AGGREGATE(4,7,A$20:A302)+1</f>
        <v>283</v>
      </c>
      <c r="B303" s="363" t="s">
        <v>2059</v>
      </c>
      <c r="C303" s="375"/>
      <c r="D303" s="434"/>
      <c r="E303" s="615"/>
      <c r="F303" s="615"/>
      <c r="G303" s="615"/>
      <c r="H303" s="368" t="s">
        <v>2031</v>
      </c>
      <c r="I303" s="605">
        <v>4680000</v>
      </c>
      <c r="J303" s="368" t="str">
        <f>VLOOKUP(B303,TH.T3!B309:J567,9,FALSE)</f>
        <v>Nhân viên bảo vệ</v>
      </c>
      <c r="K303" s="466">
        <f t="shared" si="62"/>
        <v>1404000</v>
      </c>
      <c r="L303" s="606" t="str">
        <f>VLOOKUP(B303,'[11]Gui chi Quynh'!$B$11:$E$400,4,FALSE)</f>
        <v>A3</v>
      </c>
      <c r="M303" s="466">
        <f t="shared" si="66"/>
        <v>1684800</v>
      </c>
      <c r="N303" s="606">
        <v>22</v>
      </c>
      <c r="O303" s="607">
        <f>IFERROR(INDEX('[12]CN HĐ'!$J$10:$J$72,MATCH(B303,'[12]CN HĐ'!$H$10:$H$72,0)),"")</f>
        <v>22</v>
      </c>
      <c r="P303" s="608"/>
      <c r="Q303" s="466">
        <f t="shared" si="63"/>
        <v>1684800</v>
      </c>
      <c r="R303" s="609"/>
      <c r="S303" s="466">
        <v>0</v>
      </c>
      <c r="T303" s="610"/>
      <c r="U303" s="466">
        <v>0</v>
      </c>
      <c r="V303" s="647">
        <f t="shared" si="64"/>
        <v>46800</v>
      </c>
      <c r="W303" s="611">
        <f t="shared" si="65"/>
        <v>1684800</v>
      </c>
      <c r="X303" s="935">
        <f t="shared" si="57"/>
        <v>0.93600000000000005</v>
      </c>
      <c r="Y303" s="934">
        <v>1800000</v>
      </c>
      <c r="Z303" s="931">
        <f t="shared" si="58"/>
        <v>1684800</v>
      </c>
      <c r="AA303" s="612">
        <f t="shared" si="60"/>
        <v>283</v>
      </c>
      <c r="AB303" s="613" t="str">
        <f>IFERROR(INDEX('[12]CN HĐ'!$M$10:$M$73,MATCH(B303,'[12]CN HĐ'!$H$10:$H$73,0)),"")</f>
        <v>Trừ 2 ngày nghỉ phép 4+16/4</v>
      </c>
      <c r="AC303" s="619" t="s">
        <v>2015</v>
      </c>
      <c r="AD303" s="487"/>
    </row>
    <row r="304" spans="1:52" s="372" customFormat="1" ht="30" customHeight="1">
      <c r="A304" s="30">
        <f>_xlfn.AGGREGATE(4,7,A$20:A303)+1</f>
        <v>284</v>
      </c>
      <c r="B304" s="363" t="s">
        <v>2060</v>
      </c>
      <c r="C304" s="375"/>
      <c r="D304" s="434" t="s">
        <v>2061</v>
      </c>
      <c r="E304" s="615" t="s">
        <v>1275</v>
      </c>
      <c r="F304" s="615"/>
      <c r="G304" s="615"/>
      <c r="H304" s="81" t="s">
        <v>2042</v>
      </c>
      <c r="I304" s="605">
        <v>8041111</v>
      </c>
      <c r="J304" s="368" t="str">
        <f>VLOOKUP(B304,TH.T3!B310:J568,9,FALSE)</f>
        <v>NV Phòng Tổ chức - Hành chính - Tổng hợp</v>
      </c>
      <c r="K304" s="466">
        <f t="shared" si="62"/>
        <v>5628777.6999999993</v>
      </c>
      <c r="L304" s="606" t="str">
        <f>VLOOKUP(B304,'[11]Gui chi Quynh'!$B$11:$E$400,4,FALSE)</f>
        <v>A3</v>
      </c>
      <c r="M304" s="466">
        <f t="shared" si="66"/>
        <v>6754533</v>
      </c>
      <c r="N304" s="606">
        <v>22</v>
      </c>
      <c r="O304" s="607">
        <f>IFERROR(INDEX('[12]CN HĐ'!$J$10:$J$72,MATCH(B304,'[12]CN HĐ'!$H$10:$H$72,0)),"")</f>
        <v>22</v>
      </c>
      <c r="P304" s="608"/>
      <c r="Q304" s="466">
        <f t="shared" si="63"/>
        <v>6754533</v>
      </c>
      <c r="R304" s="609"/>
      <c r="S304" s="466">
        <v>0</v>
      </c>
      <c r="T304" s="610"/>
      <c r="U304" s="466">
        <v>0</v>
      </c>
      <c r="V304" s="647">
        <f t="shared" si="64"/>
        <v>80411.11</v>
      </c>
      <c r="W304" s="611">
        <f t="shared" si="65"/>
        <v>6754533</v>
      </c>
      <c r="X304" s="935">
        <f t="shared" si="57"/>
        <v>3.7525183333333332</v>
      </c>
      <c r="Y304" s="934">
        <v>1800000</v>
      </c>
      <c r="Z304" s="931">
        <f t="shared" si="58"/>
        <v>6754533</v>
      </c>
      <c r="AA304" s="612">
        <f t="shared" si="60"/>
        <v>284</v>
      </c>
      <c r="AB304" s="613">
        <f>IFERROR(INDEX('[12]CN HĐ'!$M$10:$M$73,MATCH(B304,'[12]CN HĐ'!$H$10:$H$73,0)),"")</f>
        <v>0</v>
      </c>
      <c r="AC304" s="618" t="s">
        <v>2015</v>
      </c>
      <c r="AD304" s="155"/>
      <c r="AE304" s="108"/>
      <c r="AF304" s="108"/>
      <c r="AG304" s="108"/>
      <c r="AH304" s="108"/>
      <c r="AI304" s="108"/>
      <c r="AJ304" s="108"/>
      <c r="AK304" s="108"/>
      <c r="AL304" s="108"/>
      <c r="AM304" s="108"/>
      <c r="AN304" s="108"/>
      <c r="AO304" s="108"/>
      <c r="AP304" s="108"/>
      <c r="AQ304" s="108"/>
      <c r="AR304" s="108"/>
      <c r="AS304" s="108"/>
      <c r="AT304" s="108"/>
      <c r="AU304" s="108"/>
      <c r="AV304" s="108"/>
      <c r="AW304" s="108"/>
      <c r="AX304" s="108"/>
      <c r="AY304" s="108"/>
      <c r="AZ304" s="108"/>
    </row>
    <row r="305" spans="1:69" s="372" customFormat="1" ht="29.25" customHeight="1">
      <c r="A305" s="30">
        <f>_xlfn.AGGREGATE(4,7,A$20:A304)+1</f>
        <v>285</v>
      </c>
      <c r="B305" s="444" t="s">
        <v>2062</v>
      </c>
      <c r="C305" s="419" t="s">
        <v>874</v>
      </c>
      <c r="D305" s="418" t="s">
        <v>2063</v>
      </c>
      <c r="E305" s="615" t="s">
        <v>2064</v>
      </c>
      <c r="F305" s="615"/>
      <c r="G305" s="615"/>
      <c r="H305" s="368" t="s">
        <v>2042</v>
      </c>
      <c r="I305" s="605">
        <v>7023418</v>
      </c>
      <c r="J305" s="368" t="str">
        <f>VLOOKUP(B305,TH.T3!B311:J569,9,FALSE)</f>
        <v>NV P. QT 
Dịch vụ</v>
      </c>
      <c r="K305" s="466">
        <f t="shared" si="62"/>
        <v>4916392.5999999996</v>
      </c>
      <c r="L305" s="606" t="str">
        <f>VLOOKUP(B305,'[11]Gui chi Quynh'!$B$11:$E$400,4,FALSE)</f>
        <v>A1</v>
      </c>
      <c r="M305" s="466">
        <f t="shared" si="66"/>
        <v>7866228</v>
      </c>
      <c r="N305" s="606">
        <v>22</v>
      </c>
      <c r="O305" s="607">
        <f>IFERROR(INDEX('[12]CN HĐ'!$J$10:$J$72,MATCH(B305,'[12]CN HĐ'!$H$10:$H$72,0)),"")</f>
        <v>22</v>
      </c>
      <c r="P305" s="608" t="e">
        <f>IF(M305&gt;#REF!,M305,#REF!)</f>
        <v>#REF!</v>
      </c>
      <c r="Q305" s="466">
        <f t="shared" si="63"/>
        <v>7866228</v>
      </c>
      <c r="R305" s="609"/>
      <c r="S305" s="466">
        <v>0</v>
      </c>
      <c r="T305" s="610"/>
      <c r="U305" s="466">
        <v>0</v>
      </c>
      <c r="V305" s="647">
        <f t="shared" si="64"/>
        <v>70234.180000000008</v>
      </c>
      <c r="W305" s="611">
        <f t="shared" si="65"/>
        <v>7866228</v>
      </c>
      <c r="X305" s="935">
        <f t="shared" si="57"/>
        <v>4.3701266666666667</v>
      </c>
      <c r="Y305" s="934">
        <v>1800000</v>
      </c>
      <c r="Z305" s="931">
        <f t="shared" si="58"/>
        <v>7866228</v>
      </c>
      <c r="AA305" s="612">
        <f t="shared" si="60"/>
        <v>285</v>
      </c>
      <c r="AB305" s="613">
        <f>IFERROR(INDEX('[12]CN HĐ'!$M$10:$M$73,MATCH(B305,'[12]CN HĐ'!$H$10:$H$73,0)),"")</f>
        <v>0</v>
      </c>
      <c r="AC305" s="618" t="s">
        <v>2219</v>
      </c>
      <c r="AD305" s="108"/>
      <c r="AE305" s="108"/>
      <c r="AF305" s="108"/>
      <c r="AG305" s="108"/>
      <c r="AH305" s="108"/>
      <c r="AI305" s="108"/>
      <c r="AJ305" s="108"/>
      <c r="AK305" s="108"/>
      <c r="AL305" s="108"/>
      <c r="AM305" s="108"/>
      <c r="AN305" s="108"/>
      <c r="AO305" s="108"/>
      <c r="AP305" s="108"/>
      <c r="AQ305" s="108"/>
      <c r="AR305" s="108"/>
      <c r="AS305" s="108"/>
      <c r="AT305" s="108"/>
      <c r="AU305" s="108"/>
      <c r="AV305" s="108"/>
      <c r="AW305" s="108"/>
      <c r="AX305" s="108"/>
      <c r="AY305" s="108"/>
      <c r="AZ305" s="108"/>
    </row>
    <row r="306" spans="1:69" s="372" customFormat="1" ht="28.5" customHeight="1">
      <c r="A306" s="30">
        <f>_xlfn.AGGREGATE(4,7,A$20:A305)+1</f>
        <v>286</v>
      </c>
      <c r="B306" s="444" t="s">
        <v>2065</v>
      </c>
      <c r="C306" s="419" t="s">
        <v>921</v>
      </c>
      <c r="D306" s="418" t="s">
        <v>2066</v>
      </c>
      <c r="E306" s="615">
        <v>1603205186060</v>
      </c>
      <c r="F306" s="615"/>
      <c r="G306" s="615"/>
      <c r="H306" s="368" t="s">
        <v>2038</v>
      </c>
      <c r="I306" s="605">
        <v>6391108</v>
      </c>
      <c r="J306" s="368" t="str">
        <f>VLOOKUP(B306,TH.T3!B312:J570,9,FALSE)</f>
        <v>NV Phòng Quản trị - Dịch vụ</v>
      </c>
      <c r="K306" s="466">
        <f t="shared" si="62"/>
        <v>4473775.5999999996</v>
      </c>
      <c r="L306" s="606" t="str">
        <f>VLOOKUP(B306,'[11]Gui chi Quynh'!$B$11:$E$400,4,FALSE)</f>
        <v>A3</v>
      </c>
      <c r="M306" s="466">
        <f t="shared" si="66"/>
        <v>5368531</v>
      </c>
      <c r="N306" s="606">
        <v>22</v>
      </c>
      <c r="O306" s="607">
        <f>IFERROR(INDEX('[12]CN HĐ'!$J$10:$J$72,MATCH(B306,'[12]CN HĐ'!$H$10:$H$72,0)),"")</f>
        <v>22</v>
      </c>
      <c r="P306" s="608" t="e">
        <f>IF(M306&gt;#REF!,M306,#REF!)</f>
        <v>#REF!</v>
      </c>
      <c r="Q306" s="466">
        <f t="shared" si="63"/>
        <v>5368531</v>
      </c>
      <c r="R306" s="609"/>
      <c r="S306" s="466">
        <v>0</v>
      </c>
      <c r="T306" s="610"/>
      <c r="U306" s="466">
        <v>0</v>
      </c>
      <c r="V306" s="647">
        <f t="shared" si="64"/>
        <v>63911.08</v>
      </c>
      <c r="W306" s="611">
        <f t="shared" si="65"/>
        <v>5368531</v>
      </c>
      <c r="X306" s="935">
        <f t="shared" si="57"/>
        <v>2.982517222222222</v>
      </c>
      <c r="Y306" s="934">
        <v>1800000</v>
      </c>
      <c r="Z306" s="931">
        <f t="shared" si="58"/>
        <v>5368531</v>
      </c>
      <c r="AA306" s="612">
        <f t="shared" si="60"/>
        <v>286</v>
      </c>
      <c r="AB306" s="613">
        <f>IFERROR(INDEX('[12]CN HĐ'!$M$10:$M$73,MATCH(B306,'[12]CN HĐ'!$H$10:$H$73,0)),"")</f>
        <v>0</v>
      </c>
      <c r="AC306" s="618" t="s">
        <v>2219</v>
      </c>
      <c r="AD306" s="108"/>
      <c r="AE306" s="108"/>
      <c r="AF306" s="108"/>
      <c r="AG306" s="108"/>
      <c r="AH306" s="108"/>
      <c r="AI306" s="108"/>
      <c r="AJ306" s="108"/>
      <c r="AK306" s="108"/>
      <c r="AL306" s="108"/>
      <c r="AM306" s="108"/>
      <c r="AN306" s="108"/>
      <c r="AO306" s="108"/>
      <c r="AP306" s="108"/>
      <c r="AQ306" s="108"/>
      <c r="AR306" s="108"/>
      <c r="AS306" s="108"/>
      <c r="AT306" s="108"/>
      <c r="AU306" s="108"/>
      <c r="AV306" s="108"/>
      <c r="AW306" s="108"/>
      <c r="AX306" s="108"/>
      <c r="AY306" s="108"/>
      <c r="AZ306" s="108"/>
    </row>
    <row r="307" spans="1:69" s="372" customFormat="1" ht="32.25" customHeight="1">
      <c r="A307" s="30">
        <f>_xlfn.AGGREGATE(4,7,A$20:A306)+1</f>
        <v>287</v>
      </c>
      <c r="B307" s="444" t="s">
        <v>2067</v>
      </c>
      <c r="C307" s="419" t="s">
        <v>882</v>
      </c>
      <c r="D307" s="418" t="s">
        <v>2068</v>
      </c>
      <c r="E307" s="615">
        <v>1603205327532</v>
      </c>
      <c r="F307" s="615"/>
      <c r="G307" s="615"/>
      <c r="H307" s="368" t="s">
        <v>2042</v>
      </c>
      <c r="I307" s="605">
        <v>8041111</v>
      </c>
      <c r="J307" s="368" t="str">
        <f>VLOOKUP(B307,TH.T3!B313:J571,9,FALSE)</f>
        <v>NV bảo trì</v>
      </c>
      <c r="K307" s="466">
        <f t="shared" si="62"/>
        <v>5628777.6999999993</v>
      </c>
      <c r="L307" s="606" t="str">
        <f>VLOOKUP(B307,'[11]Gui chi Quynh'!$B$11:$E$400,4,FALSE)</f>
        <v>A2</v>
      </c>
      <c r="M307" s="466">
        <f t="shared" si="66"/>
        <v>7880289</v>
      </c>
      <c r="N307" s="606">
        <v>22</v>
      </c>
      <c r="O307" s="607">
        <f>IFERROR(INDEX('[12]CN HĐ'!$J$10:$J$72,MATCH(B307,'[12]CN HĐ'!$H$10:$H$72,0)),"")</f>
        <v>22</v>
      </c>
      <c r="P307" s="608" t="e">
        <f>IF(M307&gt;#REF!,M307,#REF!)</f>
        <v>#REF!</v>
      </c>
      <c r="Q307" s="466">
        <f t="shared" si="63"/>
        <v>7880289</v>
      </c>
      <c r="R307" s="609"/>
      <c r="S307" s="466">
        <v>0</v>
      </c>
      <c r="T307" s="610"/>
      <c r="U307" s="466">
        <v>0</v>
      </c>
      <c r="V307" s="647">
        <f t="shared" si="64"/>
        <v>80411.11</v>
      </c>
      <c r="W307" s="611">
        <f t="shared" si="65"/>
        <v>7880289</v>
      </c>
      <c r="X307" s="935">
        <f t="shared" si="57"/>
        <v>4.3779383333333337</v>
      </c>
      <c r="Y307" s="934">
        <v>1800000</v>
      </c>
      <c r="Z307" s="931">
        <f t="shared" si="58"/>
        <v>7880289.0000000009</v>
      </c>
      <c r="AA307" s="612">
        <f t="shared" si="60"/>
        <v>287</v>
      </c>
      <c r="AB307" s="613">
        <f>IFERROR(INDEX('[12]CN HĐ'!$M$10:$M$73,MATCH(B307,'[12]CN HĐ'!$H$10:$H$73,0)),"")</f>
        <v>0</v>
      </c>
      <c r="AC307" s="947" t="s">
        <v>2222</v>
      </c>
      <c r="AD307" s="108"/>
      <c r="AE307" s="108"/>
      <c r="AF307" s="108"/>
      <c r="AG307" s="108"/>
      <c r="AH307" s="108"/>
      <c r="AI307" s="108"/>
      <c r="AJ307" s="108"/>
      <c r="AK307" s="108"/>
      <c r="AL307" s="108"/>
      <c r="AM307" s="108"/>
      <c r="AN307" s="108"/>
      <c r="AO307" s="108"/>
      <c r="AP307" s="108"/>
      <c r="AQ307" s="108"/>
      <c r="AR307" s="108"/>
      <c r="AS307" s="108"/>
      <c r="AT307" s="108"/>
      <c r="AU307" s="108"/>
      <c r="AV307" s="108"/>
      <c r="AW307" s="108"/>
      <c r="AX307" s="108"/>
      <c r="AY307" s="108"/>
      <c r="AZ307" s="108"/>
    </row>
    <row r="308" spans="1:69" s="372" customFormat="1" ht="32.25" customHeight="1">
      <c r="A308" s="30">
        <f>_xlfn.AGGREGATE(4,7,A$20:A307)+1</f>
        <v>288</v>
      </c>
      <c r="B308" s="444" t="s">
        <v>2069</v>
      </c>
      <c r="C308" s="419" t="s">
        <v>2070</v>
      </c>
      <c r="D308" s="418" t="s">
        <v>2071</v>
      </c>
      <c r="E308" s="604" t="s">
        <v>2072</v>
      </c>
      <c r="F308" s="604"/>
      <c r="G308" s="604"/>
      <c r="H308" s="368" t="s">
        <v>2038</v>
      </c>
      <c r="I308" s="605">
        <v>5520879</v>
      </c>
      <c r="J308" s="368" t="str">
        <f>VLOOKUP(B308,TH.T3!B314:J572,9,FALSE)</f>
        <v>NV P. QT 
Dịch vụ</v>
      </c>
      <c r="K308" s="466">
        <f t="shared" si="62"/>
        <v>3864615.3</v>
      </c>
      <c r="L308" s="606" t="str">
        <f>VLOOKUP(B308,'[11]Gui chi Quynh'!$B$11:$E$400,4,FALSE)</f>
        <v>A1</v>
      </c>
      <c r="M308" s="466">
        <f t="shared" si="66"/>
        <v>6183384</v>
      </c>
      <c r="N308" s="606">
        <v>22</v>
      </c>
      <c r="O308" s="607">
        <f>IFERROR(INDEX('[12]CN HĐ'!$J$10:$J$72,MATCH(B308,'[12]CN HĐ'!$H$10:$H$72,0)),"")</f>
        <v>22</v>
      </c>
      <c r="P308" s="608" t="e">
        <f>IF(M308&gt;#REF!,M308,#REF!)</f>
        <v>#REF!</v>
      </c>
      <c r="Q308" s="466">
        <f t="shared" si="63"/>
        <v>6183384</v>
      </c>
      <c r="R308" s="609"/>
      <c r="S308" s="466">
        <v>0</v>
      </c>
      <c r="T308" s="610"/>
      <c r="U308" s="466">
        <v>0</v>
      </c>
      <c r="V308" s="647">
        <f t="shared" si="64"/>
        <v>55208.79</v>
      </c>
      <c r="W308" s="611">
        <f t="shared" si="65"/>
        <v>6183384</v>
      </c>
      <c r="X308" s="935">
        <f t="shared" si="57"/>
        <v>3.4352133333333335</v>
      </c>
      <c r="Y308" s="934">
        <v>1800000</v>
      </c>
      <c r="Z308" s="931">
        <f t="shared" si="58"/>
        <v>6183384</v>
      </c>
      <c r="AA308" s="612">
        <f t="shared" si="60"/>
        <v>288</v>
      </c>
      <c r="AB308" s="613">
        <f>IFERROR(INDEX('[12]CN HĐ'!$M$10:$M$73,MATCH(B308,'[12]CN HĐ'!$H$10:$H$73,0)),"")</f>
        <v>0</v>
      </c>
      <c r="AC308" s="950" t="s">
        <v>2219</v>
      </c>
      <c r="AD308" s="108"/>
      <c r="AE308" s="108"/>
      <c r="AF308" s="108"/>
      <c r="AG308" s="108"/>
      <c r="AH308" s="108"/>
      <c r="AI308" s="108"/>
      <c r="AJ308" s="108"/>
      <c r="AK308" s="108"/>
      <c r="AL308" s="108"/>
      <c r="AM308" s="108"/>
      <c r="AN308" s="108"/>
      <c r="AO308" s="108"/>
      <c r="AP308" s="108"/>
      <c r="AQ308" s="108"/>
      <c r="AR308" s="108"/>
      <c r="AS308" s="108"/>
      <c r="AT308" s="108"/>
      <c r="AU308" s="108"/>
      <c r="AV308" s="108"/>
      <c r="AW308" s="108"/>
      <c r="AX308" s="108"/>
      <c r="AY308" s="108"/>
      <c r="AZ308" s="108"/>
    </row>
    <row r="309" spans="1:69" s="372" customFormat="1" ht="32.25" customHeight="1">
      <c r="A309" s="30">
        <f>_xlfn.AGGREGATE(4,7,A$20:A308)+1</f>
        <v>289</v>
      </c>
      <c r="B309" s="363" t="s">
        <v>2073</v>
      </c>
      <c r="C309" s="375" t="s">
        <v>1171</v>
      </c>
      <c r="D309" s="434" t="s">
        <v>2074</v>
      </c>
      <c r="E309" s="620" t="s">
        <v>1266</v>
      </c>
      <c r="F309" s="620"/>
      <c r="G309" s="620"/>
      <c r="H309" s="368" t="s">
        <v>2038</v>
      </c>
      <c r="I309" s="605">
        <v>6086769</v>
      </c>
      <c r="J309" s="368" t="str">
        <f>VLOOKUP(B309,TH.T3!B315:J573,9,FALSE)</f>
        <v>NV P. QT 
Dịch vụ</v>
      </c>
      <c r="K309" s="466">
        <f t="shared" si="62"/>
        <v>4260738.3</v>
      </c>
      <c r="L309" s="606" t="str">
        <f>VLOOKUP(B309,'[11]Gui chi Quynh'!$B$11:$E$400,4,FALSE)</f>
        <v>A3</v>
      </c>
      <c r="M309" s="466">
        <f t="shared" si="66"/>
        <v>5112886</v>
      </c>
      <c r="N309" s="606">
        <v>22</v>
      </c>
      <c r="O309" s="607">
        <f>IFERROR(INDEX('[12]CN HĐ'!$J$10:$J$72,MATCH(B309,'[12]CN HĐ'!$H$10:$H$72,0)),"")</f>
        <v>20</v>
      </c>
      <c r="P309" s="608" t="e">
        <f>IF(M309&gt;#REF!,M309,#REF!)</f>
        <v>#REF!</v>
      </c>
      <c r="Q309" s="466">
        <f t="shared" si="63"/>
        <v>4648078</v>
      </c>
      <c r="R309" s="609"/>
      <c r="S309" s="466">
        <v>0</v>
      </c>
      <c r="T309" s="621"/>
      <c r="U309" s="466">
        <v>0</v>
      </c>
      <c r="V309" s="647">
        <f t="shared" si="64"/>
        <v>60867.69</v>
      </c>
      <c r="W309" s="611">
        <f t="shared" si="65"/>
        <v>4648078</v>
      </c>
      <c r="X309" s="935">
        <f t="shared" si="57"/>
        <v>2.5822655555555554</v>
      </c>
      <c r="Y309" s="934">
        <v>1800000</v>
      </c>
      <c r="Z309" s="931">
        <f t="shared" si="58"/>
        <v>4648078</v>
      </c>
      <c r="AA309" s="612">
        <f t="shared" si="60"/>
        <v>289</v>
      </c>
      <c r="AB309" s="613" t="str">
        <f>IFERROR(INDEX('[12]CN HĐ'!$M$10:$M$73,MATCH(B309,'[12]CN HĐ'!$H$10:$H$73,0)),"")</f>
        <v>Trừ 2 ngày nghỉ phép 23+24/4</v>
      </c>
      <c r="AC309" s="950" t="s">
        <v>2219</v>
      </c>
      <c r="AD309" s="155"/>
      <c r="AE309" s="108"/>
      <c r="AF309" s="108"/>
      <c r="AG309" s="108"/>
      <c r="AH309" s="108"/>
      <c r="AI309" s="108"/>
      <c r="AJ309" s="108"/>
      <c r="AK309" s="108"/>
      <c r="AL309" s="108"/>
      <c r="AM309" s="108"/>
      <c r="AN309" s="108"/>
      <c r="AO309" s="108"/>
      <c r="AP309" s="108"/>
      <c r="AQ309" s="108"/>
      <c r="AR309" s="108"/>
      <c r="AS309" s="108"/>
      <c r="AT309" s="108"/>
      <c r="AU309" s="108"/>
      <c r="AV309" s="108"/>
      <c r="AW309" s="108"/>
      <c r="AX309" s="108"/>
      <c r="AY309" s="108"/>
      <c r="AZ309" s="108"/>
    </row>
    <row r="310" spans="1:69" s="372" customFormat="1" ht="32.25" customHeight="1">
      <c r="A310" s="30">
        <f>_xlfn.AGGREGATE(4,7,A$20:A309)+1</f>
        <v>290</v>
      </c>
      <c r="B310" s="363" t="s">
        <v>2075</v>
      </c>
      <c r="C310" s="375"/>
      <c r="D310" s="434" t="s">
        <v>2076</v>
      </c>
      <c r="E310" s="615">
        <v>1603205185856</v>
      </c>
      <c r="F310" s="615"/>
      <c r="G310" s="615"/>
      <c r="H310" s="368" t="s">
        <v>2031</v>
      </c>
      <c r="I310" s="605">
        <v>8004388</v>
      </c>
      <c r="J310" s="368" t="str">
        <f>VLOOKUP(B310,TH.T3!B316:J574,9,FALSE)</f>
        <v>NV Phục vụ</v>
      </c>
      <c r="K310" s="466">
        <f t="shared" si="62"/>
        <v>2401316.4</v>
      </c>
      <c r="L310" s="606" t="str">
        <f>VLOOKUP(B310,'[11]Gui chi Quynh'!$B$11:$E$400,4,FALSE)</f>
        <v>A1</v>
      </c>
      <c r="M310" s="466">
        <f t="shared" si="66"/>
        <v>3842106</v>
      </c>
      <c r="N310" s="606">
        <v>22</v>
      </c>
      <c r="O310" s="607">
        <f>IFERROR(INDEX('[12]CN HĐ'!$J$10:$J$72,MATCH(B310,'[12]CN HĐ'!$H$10:$H$72,0)),"")</f>
        <v>22</v>
      </c>
      <c r="P310" s="608" t="e">
        <f>IF(M310&gt;#REF!,M310,#REF!)</f>
        <v>#REF!</v>
      </c>
      <c r="Q310" s="466">
        <f t="shared" si="63"/>
        <v>3842106</v>
      </c>
      <c r="R310" s="609"/>
      <c r="S310" s="466">
        <v>0</v>
      </c>
      <c r="T310" s="610"/>
      <c r="U310" s="466">
        <v>0</v>
      </c>
      <c r="V310" s="647">
        <f t="shared" si="64"/>
        <v>80043.88</v>
      </c>
      <c r="W310" s="611">
        <f t="shared" si="65"/>
        <v>3842106</v>
      </c>
      <c r="X310" s="935">
        <f t="shared" si="57"/>
        <v>2.1345033333333334</v>
      </c>
      <c r="Y310" s="934">
        <v>1800000</v>
      </c>
      <c r="Z310" s="931">
        <f t="shared" si="58"/>
        <v>3842106</v>
      </c>
      <c r="AA310" s="612">
        <f t="shared" si="60"/>
        <v>290</v>
      </c>
      <c r="AB310" s="613">
        <f>IFERROR(INDEX('[12]CN HĐ'!$M$10:$M$73,MATCH(B310,'[12]CN HĐ'!$H$10:$H$73,0)),"")</f>
        <v>0</v>
      </c>
      <c r="AC310" s="950" t="s">
        <v>2219</v>
      </c>
      <c r="AD310" s="155"/>
      <c r="AE310" s="108"/>
      <c r="AF310" s="108"/>
      <c r="AG310" s="108"/>
      <c r="AH310" s="108"/>
      <c r="AI310" s="108"/>
      <c r="AJ310" s="108"/>
      <c r="AK310" s="108"/>
      <c r="AL310" s="108"/>
      <c r="AM310" s="108"/>
      <c r="AN310" s="108"/>
      <c r="AO310" s="108"/>
      <c r="AP310" s="108"/>
      <c r="AQ310" s="108"/>
      <c r="AR310" s="108"/>
      <c r="AS310" s="108"/>
      <c r="AT310" s="108"/>
      <c r="AU310" s="108"/>
      <c r="AV310" s="108"/>
      <c r="AW310" s="108"/>
      <c r="AX310" s="108"/>
      <c r="AY310" s="108"/>
      <c r="AZ310" s="108"/>
    </row>
    <row r="311" spans="1:69" s="372" customFormat="1" ht="31.5" customHeight="1">
      <c r="A311" s="379">
        <f>_xlfn.AGGREGATE(4,7,A$20:A310)+1</f>
        <v>291</v>
      </c>
      <c r="B311" s="363" t="s">
        <v>2077</v>
      </c>
      <c r="C311" s="375"/>
      <c r="D311" s="434" t="s">
        <v>2078</v>
      </c>
      <c r="E311" s="604" t="s">
        <v>2079</v>
      </c>
      <c r="F311" s="604"/>
      <c r="G311" s="604"/>
      <c r="H311" s="368" t="s">
        <v>2031</v>
      </c>
      <c r="I311" s="605">
        <v>5159700</v>
      </c>
      <c r="J311" s="368" t="str">
        <f>VLOOKUP(B311,TH.T3!B317:J575,9,FALSE)</f>
        <v>NV Phục vụ</v>
      </c>
      <c r="K311" s="466">
        <f t="shared" si="62"/>
        <v>1547910</v>
      </c>
      <c r="L311" s="606" t="str">
        <f>VLOOKUP(B311,'[11]Gui chi Quynh'!$B$11:$E$400,4,FALSE)</f>
        <v>A2</v>
      </c>
      <c r="M311" s="466">
        <f t="shared" si="66"/>
        <v>2167074</v>
      </c>
      <c r="N311" s="606">
        <v>22</v>
      </c>
      <c r="O311" s="607">
        <f>IFERROR(INDEX('[12]CN HĐ'!$J$10:$J$72,MATCH(B311,'[12]CN HĐ'!$H$10:$H$72,0)),"")</f>
        <v>22</v>
      </c>
      <c r="P311" s="608" t="e">
        <f>IF(M311&gt;#REF!,M311,#REF!)</f>
        <v>#REF!</v>
      </c>
      <c r="Q311" s="466">
        <f t="shared" si="63"/>
        <v>2167074</v>
      </c>
      <c r="R311" s="609"/>
      <c r="S311" s="466">
        <v>0</v>
      </c>
      <c r="T311" s="610"/>
      <c r="U311" s="466">
        <v>0</v>
      </c>
      <c r="V311" s="466">
        <f t="shared" si="64"/>
        <v>51597</v>
      </c>
      <c r="W311" s="611">
        <f t="shared" si="65"/>
        <v>2167074</v>
      </c>
      <c r="X311" s="935">
        <f t="shared" si="57"/>
        <v>1.2039299999999999</v>
      </c>
      <c r="Y311" s="934">
        <v>1800000</v>
      </c>
      <c r="Z311" s="931">
        <f t="shared" si="58"/>
        <v>2167074</v>
      </c>
      <c r="AA311" s="612">
        <f t="shared" si="60"/>
        <v>291</v>
      </c>
      <c r="AB311" s="613">
        <f>IFERROR(INDEX('[12]CN HĐ'!$M$10:$M$73,MATCH(B311,'[12]CN HĐ'!$H$10:$H$73,0)),"")</f>
        <v>0</v>
      </c>
      <c r="AC311" s="950" t="s">
        <v>2219</v>
      </c>
      <c r="AD311" s="487"/>
    </row>
    <row r="312" spans="1:69" s="372" customFormat="1" ht="28.5" customHeight="1">
      <c r="A312" s="30">
        <f>_xlfn.AGGREGATE(4,7,A$20:A311)+1</f>
        <v>292</v>
      </c>
      <c r="B312" s="363" t="s">
        <v>2080</v>
      </c>
      <c r="C312" s="375"/>
      <c r="D312" s="434"/>
      <c r="E312" s="622" t="s">
        <v>2081</v>
      </c>
      <c r="F312" s="622"/>
      <c r="G312" s="622"/>
      <c r="H312" s="368" t="s">
        <v>2031</v>
      </c>
      <c r="I312" s="605">
        <v>4914000</v>
      </c>
      <c r="J312" s="368" t="str">
        <f>VLOOKUP(B312,TH.T3!B318:J576,9,FALSE)</f>
        <v>NV Phục vụ</v>
      </c>
      <c r="K312" s="466">
        <f t="shared" si="62"/>
        <v>1474200</v>
      </c>
      <c r="L312" s="606" t="str">
        <f>VLOOKUP(B312,'[11]Gui chi Quynh'!$B$11:$E$400,4,FALSE)</f>
        <v>A3</v>
      </c>
      <c r="M312" s="466">
        <f t="shared" si="66"/>
        <v>1769040</v>
      </c>
      <c r="N312" s="606">
        <v>22</v>
      </c>
      <c r="O312" s="607">
        <f>IFERROR(INDEX('[12]CN HĐ'!$J$10:$J$72,MATCH(B312,'[12]CN HĐ'!$H$10:$H$72,0)),"")</f>
        <v>21</v>
      </c>
      <c r="P312" s="608" t="e">
        <f>IF(M312&gt;#REF!,M312,#REF!)</f>
        <v>#REF!</v>
      </c>
      <c r="Q312" s="466">
        <f t="shared" si="63"/>
        <v>1688629</v>
      </c>
      <c r="R312" s="609"/>
      <c r="S312" s="466">
        <v>0</v>
      </c>
      <c r="T312" s="610"/>
      <c r="U312" s="466">
        <v>0</v>
      </c>
      <c r="V312" s="647">
        <f t="shared" si="64"/>
        <v>49140</v>
      </c>
      <c r="W312" s="611">
        <f t="shared" si="65"/>
        <v>1688629</v>
      </c>
      <c r="X312" s="935">
        <f t="shared" si="57"/>
        <v>0.93812722222222222</v>
      </c>
      <c r="Y312" s="934">
        <v>1800000</v>
      </c>
      <c r="Z312" s="931">
        <f t="shared" si="58"/>
        <v>1688629</v>
      </c>
      <c r="AA312" s="612">
        <f t="shared" si="60"/>
        <v>292</v>
      </c>
      <c r="AB312" s="613" t="str">
        <f>IFERROR(INDEX('[12]CN HĐ'!$M$10:$M$73,MATCH(B312,'[12]CN HĐ'!$H$10:$H$73,0)),"")</f>
        <v>Trừ 1 ngày nghỉ phép 4/4</v>
      </c>
      <c r="AC312" s="950" t="s">
        <v>2219</v>
      </c>
      <c r="AD312" s="155"/>
      <c r="AE312" s="108"/>
      <c r="AF312" s="108"/>
      <c r="AG312" s="108"/>
      <c r="AH312" s="108"/>
      <c r="AI312" s="108"/>
      <c r="AJ312" s="108"/>
      <c r="AK312" s="108"/>
      <c r="AL312" s="108"/>
      <c r="AM312" s="108"/>
      <c r="AN312" s="108"/>
      <c r="AO312" s="108"/>
      <c r="AP312" s="108"/>
      <c r="AQ312" s="108"/>
      <c r="AR312" s="108"/>
      <c r="AS312" s="108"/>
      <c r="AT312" s="108"/>
      <c r="AU312" s="108"/>
      <c r="AV312" s="108"/>
      <c r="AW312" s="108"/>
      <c r="AX312" s="108"/>
      <c r="AY312" s="108"/>
      <c r="AZ312" s="108"/>
    </row>
    <row r="313" spans="1:69" s="372" customFormat="1" ht="31.5" customHeight="1">
      <c r="A313" s="30">
        <f>_xlfn.AGGREGATE(4,7,A$20:A312)+1</f>
        <v>293</v>
      </c>
      <c r="B313" s="363" t="s">
        <v>2082</v>
      </c>
      <c r="C313" s="375"/>
      <c r="D313" s="434"/>
      <c r="E313" s="623" t="s">
        <v>2083</v>
      </c>
      <c r="F313" s="623"/>
      <c r="G313" s="623"/>
      <c r="H313" s="368" t="s">
        <v>2031</v>
      </c>
      <c r="I313" s="605">
        <v>4914000</v>
      </c>
      <c r="J313" s="368" t="str">
        <f>VLOOKUP(B313,TH.T3!B319:J577,9,FALSE)</f>
        <v>NV Phục vụ</v>
      </c>
      <c r="K313" s="466">
        <f t="shared" si="62"/>
        <v>1474200</v>
      </c>
      <c r="L313" s="606" t="str">
        <f>VLOOKUP(B313,'[11]Gui chi Quynh'!$B$11:$E$400,4,FALSE)</f>
        <v>A2</v>
      </c>
      <c r="M313" s="466">
        <f t="shared" si="66"/>
        <v>2063880</v>
      </c>
      <c r="N313" s="606">
        <v>22</v>
      </c>
      <c r="O313" s="607">
        <f>IFERROR(INDEX('[12]CN HĐ'!$J$10:$J$72,MATCH(B313,'[12]CN HĐ'!$H$10:$H$72,0)),"")</f>
        <v>22</v>
      </c>
      <c r="P313" s="608" t="e">
        <f>IF(M313&gt;#REF!,M313,#REF!)</f>
        <v>#REF!</v>
      </c>
      <c r="Q313" s="466">
        <f t="shared" si="63"/>
        <v>2063880</v>
      </c>
      <c r="R313" s="609"/>
      <c r="S313" s="466">
        <v>0</v>
      </c>
      <c r="T313" s="610"/>
      <c r="U313" s="466">
        <v>0</v>
      </c>
      <c r="V313" s="647">
        <f t="shared" si="64"/>
        <v>49140</v>
      </c>
      <c r="W313" s="611">
        <f t="shared" si="65"/>
        <v>2063880</v>
      </c>
      <c r="X313" s="935">
        <f t="shared" si="57"/>
        <v>1.1466000000000001</v>
      </c>
      <c r="Y313" s="934">
        <v>1800000</v>
      </c>
      <c r="Z313" s="931">
        <f t="shared" si="58"/>
        <v>2063880</v>
      </c>
      <c r="AA313" s="612">
        <f t="shared" si="60"/>
        <v>293</v>
      </c>
      <c r="AB313" s="613">
        <f>IFERROR(INDEX('[12]CN HĐ'!$M$10:$M$73,MATCH(B313,'[12]CN HĐ'!$H$10:$H$73,0)),"")</f>
        <v>0</v>
      </c>
      <c r="AC313" s="950" t="s">
        <v>2219</v>
      </c>
      <c r="AD313" s="155"/>
      <c r="AE313" s="108"/>
      <c r="AF313" s="108"/>
      <c r="AG313" s="108"/>
      <c r="AH313" s="108"/>
      <c r="AI313" s="108"/>
      <c r="AJ313" s="108"/>
      <c r="AK313" s="108"/>
      <c r="AL313" s="108"/>
      <c r="AM313" s="108"/>
      <c r="AN313" s="108"/>
      <c r="AO313" s="108"/>
      <c r="AP313" s="108"/>
      <c r="AQ313" s="108"/>
      <c r="AR313" s="108"/>
      <c r="AS313" s="108"/>
      <c r="AT313" s="108"/>
      <c r="AU313" s="108"/>
      <c r="AV313" s="108"/>
      <c r="AW313" s="108"/>
      <c r="AX313" s="108"/>
      <c r="AY313" s="108"/>
      <c r="AZ313" s="108"/>
    </row>
    <row r="314" spans="1:69" s="372" customFormat="1" ht="31.5" customHeight="1">
      <c r="A314" s="30">
        <f>_xlfn.AGGREGATE(4,7,A$20:A313)+1</f>
        <v>294</v>
      </c>
      <c r="B314" s="363" t="s">
        <v>2084</v>
      </c>
      <c r="C314" s="375"/>
      <c r="D314" s="434"/>
      <c r="E314" s="623" t="s">
        <v>2085</v>
      </c>
      <c r="F314" s="623"/>
      <c r="G314" s="623"/>
      <c r="H314" s="368" t="s">
        <v>2031</v>
      </c>
      <c r="I314" s="605">
        <v>4914000</v>
      </c>
      <c r="J314" s="368" t="str">
        <f>VLOOKUP(B314,TH.T3!B320:J578,9,FALSE)</f>
        <v>NV Phục vụ</v>
      </c>
      <c r="K314" s="466">
        <f t="shared" si="62"/>
        <v>1474200</v>
      </c>
      <c r="L314" s="606" t="str">
        <f>VLOOKUP(B314,'[11]Gui chi Quynh'!$B$11:$E$400,4,FALSE)</f>
        <v>A2</v>
      </c>
      <c r="M314" s="466">
        <f t="shared" si="66"/>
        <v>2063880</v>
      </c>
      <c r="N314" s="606">
        <v>22</v>
      </c>
      <c r="O314" s="607">
        <f>IFERROR(INDEX('[12]CN HĐ'!$J$10:$J$72,MATCH(B314,'[12]CN HĐ'!$H$10:$H$72,0)),"")</f>
        <v>22</v>
      </c>
      <c r="P314" s="608" t="e">
        <f>IF(M314&gt;#REF!,M314,#REF!)</f>
        <v>#REF!</v>
      </c>
      <c r="Q314" s="466">
        <f t="shared" si="63"/>
        <v>2063880</v>
      </c>
      <c r="R314" s="609"/>
      <c r="S314" s="466">
        <v>0</v>
      </c>
      <c r="T314" s="610"/>
      <c r="U314" s="466">
        <v>0</v>
      </c>
      <c r="V314" s="647">
        <f t="shared" si="64"/>
        <v>49140</v>
      </c>
      <c r="W314" s="611">
        <f t="shared" si="65"/>
        <v>2063880</v>
      </c>
      <c r="X314" s="935">
        <f t="shared" si="57"/>
        <v>1.1466000000000001</v>
      </c>
      <c r="Y314" s="934">
        <v>1800000</v>
      </c>
      <c r="Z314" s="931">
        <f t="shared" si="58"/>
        <v>2063880</v>
      </c>
      <c r="AA314" s="612">
        <f t="shared" si="60"/>
        <v>294</v>
      </c>
      <c r="AB314" s="613">
        <f>IFERROR(INDEX('[12]CN HĐ'!$M$10:$M$73,MATCH(B314,'[12]CN HĐ'!$H$10:$H$73,0)),"")</f>
        <v>0</v>
      </c>
      <c r="AC314" s="950" t="s">
        <v>2219</v>
      </c>
      <c r="AD314" s="155"/>
      <c r="AE314" s="108"/>
      <c r="AF314" s="108"/>
      <c r="AG314" s="108"/>
      <c r="AH314" s="108"/>
      <c r="AI314" s="108"/>
      <c r="AJ314" s="108"/>
      <c r="AK314" s="108"/>
      <c r="AL314" s="108"/>
      <c r="AM314" s="108"/>
      <c r="AN314" s="108"/>
      <c r="AO314" s="108"/>
      <c r="AP314" s="108"/>
      <c r="AQ314" s="108"/>
      <c r="AR314" s="108"/>
      <c r="AS314" s="108"/>
      <c r="AT314" s="108"/>
      <c r="AU314" s="108"/>
      <c r="AV314" s="108"/>
      <c r="AW314" s="108"/>
      <c r="AX314" s="108"/>
      <c r="AY314" s="108"/>
      <c r="AZ314" s="108"/>
    </row>
    <row r="315" spans="1:69" s="372" customFormat="1" ht="28.5" customHeight="1">
      <c r="A315" s="30">
        <f>_xlfn.AGGREGATE(4,7,A$20:A314)+1</f>
        <v>295</v>
      </c>
      <c r="B315" s="363" t="s">
        <v>2086</v>
      </c>
      <c r="C315" s="375"/>
      <c r="D315" s="434"/>
      <c r="E315" s="623"/>
      <c r="F315" s="623"/>
      <c r="G315" s="623"/>
      <c r="H315" s="368" t="s">
        <v>2031</v>
      </c>
      <c r="I315" s="605">
        <v>4914000</v>
      </c>
      <c r="J315" s="368" t="str">
        <f>VLOOKUP(B315,TH.T3!B321:J579,9,FALSE)</f>
        <v>Nhân viên phòng Quản trị - Dịch vụ</v>
      </c>
      <c r="K315" s="466">
        <f t="shared" si="62"/>
        <v>1474200</v>
      </c>
      <c r="L315" s="606" t="str">
        <f>VLOOKUP(B315,'[11]Gui chi Quynh'!$B$11:$E$400,4,FALSE)</f>
        <v>A3</v>
      </c>
      <c r="M315" s="466">
        <f t="shared" si="66"/>
        <v>1769040</v>
      </c>
      <c r="N315" s="606">
        <v>22</v>
      </c>
      <c r="O315" s="607">
        <f>IFERROR(INDEX('[12]CN HĐ'!$J$10:$J$72,MATCH(B315,'[12]CN HĐ'!$H$10:$H$72,0)),"")</f>
        <v>22</v>
      </c>
      <c r="P315" s="608"/>
      <c r="Q315" s="466">
        <f t="shared" si="63"/>
        <v>1769040</v>
      </c>
      <c r="R315" s="609"/>
      <c r="S315" s="466">
        <v>0</v>
      </c>
      <c r="T315" s="610"/>
      <c r="U315" s="466">
        <v>0</v>
      </c>
      <c r="V315" s="647">
        <f t="shared" si="64"/>
        <v>49140</v>
      </c>
      <c r="W315" s="611">
        <f t="shared" si="65"/>
        <v>1769040</v>
      </c>
      <c r="X315" s="935">
        <f t="shared" si="57"/>
        <v>0.98280000000000001</v>
      </c>
      <c r="Y315" s="934">
        <v>1800000</v>
      </c>
      <c r="Z315" s="931">
        <f t="shared" si="58"/>
        <v>1769040</v>
      </c>
      <c r="AA315" s="612">
        <f t="shared" si="60"/>
        <v>295</v>
      </c>
      <c r="AB315" s="613">
        <f>IFERROR(INDEX('[12]CN HĐ'!$M$10:$M$73,MATCH(B315,'[12]CN HĐ'!$H$10:$H$73,0)),"")</f>
        <v>0</v>
      </c>
      <c r="AC315" s="950" t="s">
        <v>2219</v>
      </c>
      <c r="AD315" s="155"/>
      <c r="AE315" s="108"/>
      <c r="AF315" s="108"/>
      <c r="AG315" s="108"/>
      <c r="AH315" s="108"/>
      <c r="AI315" s="108"/>
      <c r="AJ315" s="108"/>
      <c r="AK315" s="108"/>
      <c r="AL315" s="108"/>
      <c r="AM315" s="108"/>
      <c r="AN315" s="108"/>
      <c r="AO315" s="108"/>
      <c r="AP315" s="108"/>
      <c r="AQ315" s="108"/>
      <c r="AR315" s="108"/>
      <c r="AS315" s="108"/>
      <c r="AT315" s="108"/>
      <c r="AU315" s="108"/>
      <c r="AV315" s="108"/>
      <c r="AW315" s="108"/>
      <c r="AX315" s="108"/>
      <c r="AY315" s="108"/>
      <c r="AZ315" s="108"/>
    </row>
    <row r="316" spans="1:69" s="372" customFormat="1" ht="31.5" customHeight="1">
      <c r="A316" s="30">
        <f>_xlfn.AGGREGATE(4,7,A$20:A315)+1</f>
        <v>296</v>
      </c>
      <c r="B316" s="363" t="s">
        <v>2087</v>
      </c>
      <c r="C316" s="375"/>
      <c r="D316" s="434"/>
      <c r="E316" s="623"/>
      <c r="F316" s="623"/>
      <c r="G316" s="623"/>
      <c r="H316" s="368" t="s">
        <v>2031</v>
      </c>
      <c r="I316" s="605">
        <v>4914000</v>
      </c>
      <c r="J316" s="368" t="str">
        <f>VLOOKUP(B316,TH.T3!B322:J580,9,FALSE)</f>
        <v>Nhân viên phòng Quản trị - Dịch vụ</v>
      </c>
      <c r="K316" s="466">
        <f t="shared" si="62"/>
        <v>1474200</v>
      </c>
      <c r="L316" s="606" t="str">
        <f>VLOOKUP(B316,'[11]Gui chi Quynh'!$B$11:$E$400,4,FALSE)</f>
        <v>A3</v>
      </c>
      <c r="M316" s="466">
        <f t="shared" si="66"/>
        <v>1769040</v>
      </c>
      <c r="N316" s="606">
        <v>22</v>
      </c>
      <c r="O316" s="607">
        <f>IFERROR(INDEX('[12]CN HĐ'!$J$10:$J$72,MATCH(B316,'[12]CN HĐ'!$H$10:$H$72,0)),"")</f>
        <v>23</v>
      </c>
      <c r="P316" s="608"/>
      <c r="Q316" s="466">
        <f t="shared" si="63"/>
        <v>1769040</v>
      </c>
      <c r="R316" s="609"/>
      <c r="S316" s="466">
        <v>0</v>
      </c>
      <c r="T316" s="610"/>
      <c r="U316" s="466">
        <v>0</v>
      </c>
      <c r="V316" s="647">
        <f t="shared" si="64"/>
        <v>49140</v>
      </c>
      <c r="W316" s="611">
        <f t="shared" si="65"/>
        <v>1769040</v>
      </c>
      <c r="X316" s="935">
        <f t="shared" si="57"/>
        <v>0.98280000000000001</v>
      </c>
      <c r="Y316" s="934">
        <v>1800000</v>
      </c>
      <c r="Z316" s="931">
        <f t="shared" si="58"/>
        <v>1769040</v>
      </c>
      <c r="AA316" s="612">
        <f t="shared" si="60"/>
        <v>296</v>
      </c>
      <c r="AB316" s="613">
        <f>IFERROR(INDEX('[12]CN HĐ'!$M$10:$M$73,MATCH(B316,'[12]CN HĐ'!$H$10:$H$73,0)),"")</f>
        <v>0</v>
      </c>
      <c r="AC316" s="950" t="s">
        <v>2219</v>
      </c>
      <c r="AD316" s="155"/>
      <c r="AE316" s="108"/>
      <c r="AF316" s="108"/>
      <c r="AG316" s="108"/>
      <c r="AH316" s="108"/>
      <c r="AI316" s="108"/>
      <c r="AJ316" s="108"/>
      <c r="AK316" s="108"/>
      <c r="AL316" s="108"/>
      <c r="AM316" s="108"/>
      <c r="AN316" s="108"/>
      <c r="AO316" s="108"/>
      <c r="AP316" s="108"/>
      <c r="AQ316" s="108"/>
      <c r="AR316" s="108"/>
      <c r="AS316" s="108"/>
      <c r="AT316" s="108"/>
      <c r="AU316" s="108"/>
      <c r="AV316" s="108"/>
      <c r="AW316" s="108"/>
      <c r="AX316" s="108"/>
      <c r="AY316" s="108"/>
      <c r="AZ316" s="108"/>
    </row>
    <row r="317" spans="1:69" s="372" customFormat="1" ht="31.5" customHeight="1">
      <c r="A317" s="30">
        <f>_xlfn.AGGREGATE(4,7,A$20:A316)+1</f>
        <v>297</v>
      </c>
      <c r="B317" s="363" t="s">
        <v>2088</v>
      </c>
      <c r="C317" s="375"/>
      <c r="D317" s="434"/>
      <c r="E317" s="623"/>
      <c r="F317" s="623"/>
      <c r="G317" s="623"/>
      <c r="H317" s="368" t="s">
        <v>2031</v>
      </c>
      <c r="I317" s="605">
        <v>4680000</v>
      </c>
      <c r="J317" s="368" t="str">
        <f>VLOOKUP(B317,TH.T3!B323:J581,9,FALSE)</f>
        <v>Nhân viên phòng Quản trị - Dịch vụ</v>
      </c>
      <c r="K317" s="466">
        <f t="shared" si="62"/>
        <v>1404000</v>
      </c>
      <c r="L317" s="606" t="str">
        <f>VLOOKUP(B317,'[11]Gui chi Quynh'!$B$11:$E$400,4,FALSE)</f>
        <v>A1</v>
      </c>
      <c r="M317" s="466">
        <f t="shared" si="66"/>
        <v>2246400</v>
      </c>
      <c r="N317" s="606">
        <v>22</v>
      </c>
      <c r="O317" s="607">
        <f>IFERROR(INDEX('[12]CN HĐ'!$J$10:$J$72,MATCH(B317,'[12]CN HĐ'!$H$10:$H$72,0)),"")</f>
        <v>22</v>
      </c>
      <c r="P317" s="608"/>
      <c r="Q317" s="466">
        <f t="shared" si="63"/>
        <v>2246400</v>
      </c>
      <c r="R317" s="609"/>
      <c r="S317" s="466">
        <v>0</v>
      </c>
      <c r="T317" s="610"/>
      <c r="U317" s="466">
        <v>0</v>
      </c>
      <c r="V317" s="647">
        <f t="shared" si="64"/>
        <v>46800</v>
      </c>
      <c r="W317" s="611">
        <f t="shared" si="65"/>
        <v>2246400</v>
      </c>
      <c r="X317" s="935">
        <f t="shared" si="57"/>
        <v>1.248</v>
      </c>
      <c r="Y317" s="934">
        <v>1800000</v>
      </c>
      <c r="Z317" s="931">
        <f t="shared" si="58"/>
        <v>2246400</v>
      </c>
      <c r="AA317" s="612">
        <f t="shared" si="60"/>
        <v>297</v>
      </c>
      <c r="AB317" s="613">
        <f>IFERROR(INDEX('[12]CN HĐ'!$M$10:$M$73,MATCH(B317,'[12]CN HĐ'!$H$10:$H$73,0)),"")</f>
        <v>0</v>
      </c>
      <c r="AC317" s="950" t="s">
        <v>2219</v>
      </c>
      <c r="AD317" s="155"/>
      <c r="AE317" s="108"/>
      <c r="AF317" s="108"/>
      <c r="AG317" s="108"/>
      <c r="AH317" s="108"/>
      <c r="AI317" s="108"/>
      <c r="AJ317" s="108"/>
      <c r="AK317" s="108"/>
      <c r="AL317" s="108"/>
      <c r="AM317" s="108"/>
      <c r="AN317" s="108"/>
      <c r="AO317" s="108"/>
      <c r="AP317" s="108"/>
      <c r="AQ317" s="108"/>
      <c r="AR317" s="108"/>
      <c r="AS317" s="108"/>
      <c r="AT317" s="108"/>
      <c r="AU317" s="108"/>
      <c r="AV317" s="108"/>
      <c r="AW317" s="108"/>
      <c r="AX317" s="108"/>
      <c r="AY317" s="108"/>
      <c r="AZ317" s="108"/>
    </row>
    <row r="318" spans="1:69" s="372" customFormat="1" ht="29.25" customHeight="1">
      <c r="A318" s="379">
        <f>_xlfn.AGGREGATE(4,7,A$20:A317)+1</f>
        <v>298</v>
      </c>
      <c r="B318" s="444" t="s">
        <v>2089</v>
      </c>
      <c r="C318" s="419" t="s">
        <v>307</v>
      </c>
      <c r="D318" s="418" t="s">
        <v>2090</v>
      </c>
      <c r="E318" s="615">
        <v>1603205194204</v>
      </c>
      <c r="F318" s="615"/>
      <c r="G318" s="615"/>
      <c r="H318" s="368" t="s">
        <v>2038</v>
      </c>
      <c r="I318" s="605">
        <v>7046196</v>
      </c>
      <c r="J318" s="368" t="str">
        <f>VLOOKUP(B318,TH.T3!B324:J582,9,FALSE)</f>
        <v>Nhân viên Y tế</v>
      </c>
      <c r="K318" s="466">
        <f t="shared" si="62"/>
        <v>4932337.1999999993</v>
      </c>
      <c r="L318" s="606" t="str">
        <f>VLOOKUP(B318,'[11]Gui chi Quynh'!$B$11:$E$400,4,FALSE)</f>
        <v>A1</v>
      </c>
      <c r="M318" s="466">
        <f t="shared" si="66"/>
        <v>7891740</v>
      </c>
      <c r="N318" s="606">
        <v>22</v>
      </c>
      <c r="O318" s="607">
        <f>IFERROR(INDEX('[12]CN HĐ'!$J$10:$J$72,MATCH(B318,'[12]CN HĐ'!$H$10:$H$72,0)),"")</f>
        <v>22</v>
      </c>
      <c r="P318" s="608" t="e">
        <f>IF(M318&gt;#REF!,M318,#REF!)</f>
        <v>#REF!</v>
      </c>
      <c r="Q318" s="466">
        <f t="shared" si="63"/>
        <v>7891740</v>
      </c>
      <c r="R318" s="609"/>
      <c r="S318" s="466">
        <v>0</v>
      </c>
      <c r="T318" s="610"/>
      <c r="U318" s="466">
        <v>0</v>
      </c>
      <c r="V318" s="466">
        <f t="shared" si="64"/>
        <v>70461.960000000006</v>
      </c>
      <c r="W318" s="611">
        <f t="shared" si="65"/>
        <v>7891740</v>
      </c>
      <c r="X318" s="935">
        <f t="shared" si="57"/>
        <v>4.3842999999999996</v>
      </c>
      <c r="Y318" s="934">
        <v>1800000</v>
      </c>
      <c r="Z318" s="931">
        <f t="shared" si="58"/>
        <v>7891739.9999999991</v>
      </c>
      <c r="AA318" s="612">
        <f t="shared" si="60"/>
        <v>298</v>
      </c>
      <c r="AB318" s="613">
        <f>IFERROR(INDEX('[12]CN HĐ'!$M$10:$M$73,MATCH(B318,'[12]CN HĐ'!$H$10:$H$73,0)),"")</f>
        <v>0</v>
      </c>
      <c r="AC318" s="654" t="s">
        <v>2223</v>
      </c>
    </row>
    <row r="319" spans="1:69" s="372" customFormat="1" ht="31.5" customHeight="1">
      <c r="A319" s="30">
        <f>_xlfn.AGGREGATE(4,7,A$20:A318)+1</f>
        <v>299</v>
      </c>
      <c r="B319" s="444" t="s">
        <v>2091</v>
      </c>
      <c r="C319" s="419"/>
      <c r="D319" s="418"/>
      <c r="E319" s="615"/>
      <c r="F319" s="615"/>
      <c r="G319" s="615"/>
      <c r="H319" s="368" t="s">
        <v>2031</v>
      </c>
      <c r="I319" s="605">
        <v>4680000</v>
      </c>
      <c r="J319" s="368" t="str">
        <f>VLOOKUP(B319,TH.T3!B325:J583,9,FALSE)</f>
        <v>Nhân viên Ký túc xá</v>
      </c>
      <c r="K319" s="466">
        <f t="shared" si="62"/>
        <v>1404000</v>
      </c>
      <c r="L319" s="606" t="str">
        <f>VLOOKUP(B319,'[11]Gui chi Quynh'!$B$11:$E$400,4,FALSE)</f>
        <v>A3</v>
      </c>
      <c r="M319" s="466">
        <f t="shared" si="66"/>
        <v>1684800</v>
      </c>
      <c r="N319" s="606">
        <v>22</v>
      </c>
      <c r="O319" s="607">
        <f>IFERROR(INDEX('[12]CN HĐ'!$J$10:$J$72,MATCH(B319,'[12]CN HĐ'!$H$10:$H$72,0)),"")</f>
        <v>24</v>
      </c>
      <c r="P319" s="608"/>
      <c r="Q319" s="466">
        <f t="shared" si="63"/>
        <v>1684800</v>
      </c>
      <c r="R319" s="609"/>
      <c r="S319" s="466">
        <v>0</v>
      </c>
      <c r="T319" s="610"/>
      <c r="U319" s="466">
        <v>0</v>
      </c>
      <c r="V319" s="647">
        <f t="shared" si="64"/>
        <v>46800</v>
      </c>
      <c r="W319" s="611">
        <f t="shared" si="65"/>
        <v>1684800</v>
      </c>
      <c r="X319" s="935">
        <f t="shared" si="57"/>
        <v>0.93600000000000005</v>
      </c>
      <c r="Y319" s="934">
        <v>1800000</v>
      </c>
      <c r="Z319" s="931">
        <f t="shared" si="58"/>
        <v>1684800</v>
      </c>
      <c r="AA319" s="612">
        <f t="shared" si="60"/>
        <v>299</v>
      </c>
      <c r="AB319" s="613">
        <f>IFERROR(INDEX('[12]CN HĐ'!$M$10:$M$73,MATCH(B319,'[12]CN HĐ'!$H$10:$H$73,0)),"")</f>
        <v>0</v>
      </c>
      <c r="AC319" s="617" t="s">
        <v>2219</v>
      </c>
      <c r="AD319" s="108"/>
      <c r="AE319" s="108"/>
      <c r="AF319" s="108"/>
      <c r="AG319" s="108"/>
      <c r="AH319" s="108"/>
      <c r="AI319" s="108"/>
      <c r="AJ319" s="108"/>
      <c r="AK319" s="108"/>
      <c r="AL319" s="108"/>
      <c r="AM319" s="108"/>
      <c r="AN319" s="108"/>
      <c r="AO319" s="108"/>
      <c r="AP319" s="108"/>
      <c r="AQ319" s="108"/>
      <c r="AR319" s="108"/>
      <c r="AS319" s="108"/>
      <c r="AT319" s="108"/>
    </row>
    <row r="320" spans="1:69" s="372" customFormat="1" ht="31.5" customHeight="1">
      <c r="A320" s="30">
        <f>_xlfn.AGGREGATE(4,7,A$20:A319)+1</f>
        <v>300</v>
      </c>
      <c r="B320" s="624" t="s">
        <v>2092</v>
      </c>
      <c r="C320" s="625"/>
      <c r="D320" s="418"/>
      <c r="E320" s="614" t="s">
        <v>2093</v>
      </c>
      <c r="F320" s="614"/>
      <c r="G320" s="614"/>
      <c r="H320" s="368" t="s">
        <v>2042</v>
      </c>
      <c r="I320" s="605">
        <v>12518663</v>
      </c>
      <c r="J320" s="368" t="str">
        <f>VLOOKUP(B320,TH.T3!B326:J584,9,FALSE)</f>
        <v>Nhân viên</v>
      </c>
      <c r="K320" s="466">
        <f t="shared" si="62"/>
        <v>8763064.0999999996</v>
      </c>
      <c r="L320" s="606" t="str">
        <f>VLOOKUP(B320,'[11]Gui chi Quynh'!$B$11:$E$400,4,FALSE)</f>
        <v>A1</v>
      </c>
      <c r="M320" s="466">
        <f t="shared" si="66"/>
        <v>14020903</v>
      </c>
      <c r="N320" s="606">
        <v>22</v>
      </c>
      <c r="O320" s="607">
        <f>IFERROR(INDEX('[12]CN HĐ'!$J$10:$J$72,MATCH(B320,'[12]CN HĐ'!$H$10:$H$72,0)),"")</f>
        <v>25</v>
      </c>
      <c r="P320" s="608" t="e">
        <f>IF(M320&gt;#REF!,M320,#REF!)</f>
        <v>#REF!</v>
      </c>
      <c r="Q320" s="466">
        <f t="shared" si="63"/>
        <v>14020903</v>
      </c>
      <c r="R320" s="609"/>
      <c r="S320" s="466">
        <v>0</v>
      </c>
      <c r="T320" s="626"/>
      <c r="U320" s="466">
        <v>0</v>
      </c>
      <c r="V320" s="647">
        <f t="shared" si="64"/>
        <v>125186.63</v>
      </c>
      <c r="W320" s="611">
        <f t="shared" si="65"/>
        <v>14020903</v>
      </c>
      <c r="X320" s="935">
        <f t="shared" si="57"/>
        <v>7.7893905555555554</v>
      </c>
      <c r="Y320" s="934">
        <v>1800000</v>
      </c>
      <c r="Z320" s="931">
        <f t="shared" si="58"/>
        <v>14020903</v>
      </c>
      <c r="AA320" s="612">
        <f t="shared" si="60"/>
        <v>300</v>
      </c>
      <c r="AB320" s="613">
        <f>IFERROR(INDEX('[12]CN HĐ'!$M$10:$M$73,MATCH(B320,'[12]CN HĐ'!$H$10:$H$73,0)),"")</f>
        <v>0</v>
      </c>
      <c r="AC320" s="616" t="s">
        <v>2222</v>
      </c>
      <c r="AD320" s="108"/>
      <c r="AE320" s="108"/>
      <c r="AF320" s="108"/>
      <c r="AG320" s="108"/>
      <c r="AH320" s="108"/>
      <c r="AI320" s="108"/>
      <c r="AJ320" s="108"/>
      <c r="AK320" s="108"/>
      <c r="AL320" s="108"/>
      <c r="AM320" s="108"/>
      <c r="AN320" s="108"/>
      <c r="AO320" s="108"/>
      <c r="AP320" s="108"/>
      <c r="AQ320" s="108"/>
      <c r="AR320" s="108"/>
      <c r="AS320" s="108"/>
      <c r="AT320" s="108"/>
      <c r="AU320" s="108"/>
      <c r="AV320" s="108"/>
      <c r="AW320" s="108"/>
      <c r="AX320" s="108"/>
      <c r="AY320" s="108"/>
      <c r="AZ320" s="108"/>
      <c r="BA320" s="108"/>
      <c r="BB320" s="108"/>
      <c r="BC320" s="108"/>
      <c r="BD320" s="108"/>
      <c r="BE320" s="108"/>
      <c r="BF320" s="108"/>
      <c r="BG320" s="108"/>
      <c r="BH320" s="108"/>
      <c r="BI320" s="108"/>
      <c r="BJ320" s="108"/>
      <c r="BK320" s="108"/>
      <c r="BL320" s="108"/>
      <c r="BM320" s="108"/>
      <c r="BN320" s="108"/>
      <c r="BO320" s="108"/>
      <c r="BP320" s="108"/>
      <c r="BQ320" s="108"/>
    </row>
    <row r="321" spans="1:69" s="372" customFormat="1" ht="28.5" customHeight="1">
      <c r="A321" s="30">
        <f>_xlfn.AGGREGATE(4,7,A$20:A320)+1</f>
        <v>301</v>
      </c>
      <c r="B321" s="444" t="s">
        <v>2094</v>
      </c>
      <c r="C321" s="419" t="s">
        <v>1602</v>
      </c>
      <c r="D321" s="418" t="s">
        <v>2095</v>
      </c>
      <c r="E321" s="604">
        <v>1603205341982</v>
      </c>
      <c r="F321" s="604"/>
      <c r="G321" s="604"/>
      <c r="H321" s="368" t="s">
        <v>2042</v>
      </c>
      <c r="I321" s="605">
        <v>7515057</v>
      </c>
      <c r="J321" s="368" t="str">
        <f>VLOOKUP(B321,TH.T3!B327:J585,9,FALSE)</f>
        <v>NV Kế toán</v>
      </c>
      <c r="K321" s="466">
        <f t="shared" si="62"/>
        <v>5260539.8999999994</v>
      </c>
      <c r="L321" s="606" t="str">
        <f>VLOOKUP(B321,'[11]Gui chi Quynh'!$B$11:$E$400,4,FALSE)</f>
        <v>A2</v>
      </c>
      <c r="M321" s="466">
        <f t="shared" si="66"/>
        <v>7364756</v>
      </c>
      <c r="N321" s="606">
        <v>22</v>
      </c>
      <c r="O321" s="607">
        <f>IFERROR(INDEX('[12]CN HĐ'!$J$10:$J$72,MATCH(B321,'[12]CN HĐ'!$H$10:$H$72,0)),"")</f>
        <v>22</v>
      </c>
      <c r="P321" s="608" t="e">
        <f>IF(M321&gt;#REF!,M321,#REF!)</f>
        <v>#REF!</v>
      </c>
      <c r="Q321" s="466">
        <f t="shared" si="63"/>
        <v>7364756</v>
      </c>
      <c r="R321" s="609"/>
      <c r="S321" s="466">
        <v>0</v>
      </c>
      <c r="T321" s="466" t="e">
        <f>S321*#REF!*0.5</f>
        <v>#REF!</v>
      </c>
      <c r="U321" s="466">
        <v>0</v>
      </c>
      <c r="V321" s="647">
        <f t="shared" si="64"/>
        <v>75150.570000000007</v>
      </c>
      <c r="W321" s="611">
        <f t="shared" si="65"/>
        <v>7364756</v>
      </c>
      <c r="X321" s="935">
        <f t="shared" si="57"/>
        <v>4.0915311111111112</v>
      </c>
      <c r="Y321" s="934">
        <v>1800000</v>
      </c>
      <c r="Z321" s="931">
        <f t="shared" si="58"/>
        <v>7364756</v>
      </c>
      <c r="AA321" s="612">
        <f t="shared" si="60"/>
        <v>301</v>
      </c>
      <c r="AB321" s="613">
        <f>IFERROR(INDEX('[12]CN HĐ'!$M$10:$M$73,MATCH(B321,'[12]CN HĐ'!$H$10:$H$73,0)),"")</f>
        <v>0</v>
      </c>
      <c r="AC321" s="616" t="s">
        <v>2224</v>
      </c>
      <c r="AD321" s="108"/>
      <c r="AE321" s="108"/>
      <c r="AF321" s="108"/>
      <c r="AG321" s="108"/>
      <c r="AH321" s="108"/>
      <c r="AI321" s="108"/>
      <c r="AJ321" s="108"/>
      <c r="AK321" s="108"/>
      <c r="AL321" s="108"/>
      <c r="AM321" s="108"/>
      <c r="AN321" s="108"/>
      <c r="AO321" s="108"/>
      <c r="AP321" s="108"/>
      <c r="AQ321" s="108"/>
      <c r="AR321" s="108"/>
      <c r="AS321" s="108"/>
      <c r="AT321" s="108"/>
      <c r="AU321" s="108"/>
      <c r="AV321" s="108"/>
      <c r="AW321" s="108"/>
      <c r="AX321" s="108"/>
      <c r="AY321" s="108"/>
      <c r="AZ321" s="108"/>
    </row>
    <row r="322" spans="1:69" s="372" customFormat="1" ht="32.25" customHeight="1">
      <c r="A322" s="30">
        <f>_xlfn.AGGREGATE(4,7,A$20:A321)+1</f>
        <v>302</v>
      </c>
      <c r="B322" s="444" t="s">
        <v>2096</v>
      </c>
      <c r="C322" s="419"/>
      <c r="D322" s="418"/>
      <c r="E322" s="622" t="s">
        <v>2097</v>
      </c>
      <c r="F322" s="622"/>
      <c r="G322" s="622"/>
      <c r="H322" s="368" t="s">
        <v>2042</v>
      </c>
      <c r="I322" s="605">
        <v>5733201</v>
      </c>
      <c r="J322" s="368" t="str">
        <f>VLOOKUP(B322,TH.T3!B328:J586,9,FALSE)</f>
        <v>NV Kế toán</v>
      </c>
      <c r="K322" s="466">
        <f t="shared" si="62"/>
        <v>4013240.6999999997</v>
      </c>
      <c r="L322" s="606" t="str">
        <f>VLOOKUP(B322,'[11]Gui chi Quynh'!$B$11:$E$400,4,FALSE)</f>
        <v>A3</v>
      </c>
      <c r="M322" s="466">
        <f t="shared" si="66"/>
        <v>4815889</v>
      </c>
      <c r="N322" s="606">
        <v>22</v>
      </c>
      <c r="O322" s="607">
        <f>IFERROR(INDEX('[12]CN HĐ'!$J$10:$J$72,MATCH(B322,'[12]CN HĐ'!$H$10:$H$72,0)),"")</f>
        <v>22</v>
      </c>
      <c r="P322" s="608" t="e">
        <f>IF(M322&gt;#REF!,M322,#REF!)</f>
        <v>#REF!</v>
      </c>
      <c r="Q322" s="466">
        <f t="shared" si="63"/>
        <v>4815889</v>
      </c>
      <c r="R322" s="609"/>
      <c r="S322" s="466">
        <v>0</v>
      </c>
      <c r="T322" s="466"/>
      <c r="U322" s="466">
        <v>0</v>
      </c>
      <c r="V322" s="647">
        <f t="shared" si="64"/>
        <v>57332.01</v>
      </c>
      <c r="W322" s="611">
        <f t="shared" si="65"/>
        <v>4815889</v>
      </c>
      <c r="X322" s="935">
        <f t="shared" si="57"/>
        <v>2.6754938888888891</v>
      </c>
      <c r="Y322" s="934">
        <v>1800000</v>
      </c>
      <c r="Z322" s="931">
        <f t="shared" si="58"/>
        <v>4815889</v>
      </c>
      <c r="AA322" s="612">
        <f t="shared" si="60"/>
        <v>302</v>
      </c>
      <c r="AB322" s="613">
        <f>IFERROR(INDEX('[12]CN HĐ'!$M$10:$M$73,MATCH(B322,'[12]CN HĐ'!$H$10:$H$73,0)),"")</f>
        <v>0</v>
      </c>
      <c r="AC322" s="616" t="s">
        <v>2224</v>
      </c>
      <c r="AD322" s="108"/>
      <c r="AE322" s="108"/>
      <c r="AF322" s="108"/>
      <c r="AG322" s="108"/>
      <c r="AH322" s="108"/>
      <c r="AI322" s="108"/>
      <c r="AJ322" s="108"/>
      <c r="AK322" s="108"/>
      <c r="AL322" s="108"/>
      <c r="AM322" s="108"/>
      <c r="AN322" s="108"/>
      <c r="AO322" s="108"/>
      <c r="AP322" s="108"/>
      <c r="AQ322" s="108"/>
      <c r="AR322" s="108"/>
      <c r="AS322" s="108"/>
      <c r="AT322" s="108"/>
      <c r="AU322" s="108"/>
      <c r="AV322" s="108"/>
      <c r="AW322" s="108"/>
      <c r="AX322" s="108"/>
      <c r="AY322" s="108"/>
      <c r="AZ322" s="108"/>
    </row>
    <row r="323" spans="1:69" s="372" customFormat="1" ht="27" customHeight="1">
      <c r="A323" s="30">
        <f>_xlfn.AGGREGATE(4,7,A$20:A322)+1</f>
        <v>303</v>
      </c>
      <c r="B323" s="444" t="s">
        <v>2098</v>
      </c>
      <c r="C323" s="419"/>
      <c r="D323" s="418"/>
      <c r="E323" s="615"/>
      <c r="F323" s="615"/>
      <c r="G323" s="615"/>
      <c r="H323" s="368" t="s">
        <v>2042</v>
      </c>
      <c r="I323" s="605">
        <v>5733201</v>
      </c>
      <c r="J323" s="368" t="str">
        <f>VLOOKUP(B323,TH.T3!B329:J587,9,FALSE)</f>
        <v>NV Kế toán</v>
      </c>
      <c r="K323" s="466">
        <f t="shared" si="62"/>
        <v>4013240.6999999997</v>
      </c>
      <c r="L323" s="606" t="str">
        <f>VLOOKUP(B323,'[11]Gui chi Quynh'!$B$11:$E$400,4,FALSE)</f>
        <v>A2</v>
      </c>
      <c r="M323" s="466">
        <f t="shared" si="66"/>
        <v>5618537</v>
      </c>
      <c r="N323" s="606">
        <v>22</v>
      </c>
      <c r="O323" s="607">
        <f>IFERROR(INDEX('[12]CN HĐ'!$J$10:$J$72,MATCH(B323,'[12]CN HĐ'!$H$10:$H$72,0)),"")</f>
        <v>22</v>
      </c>
      <c r="P323" s="608"/>
      <c r="Q323" s="466">
        <f t="shared" si="63"/>
        <v>5618537</v>
      </c>
      <c r="R323" s="609"/>
      <c r="S323" s="466">
        <v>0</v>
      </c>
      <c r="T323" s="466"/>
      <c r="U323" s="466">
        <v>0</v>
      </c>
      <c r="V323" s="647">
        <f t="shared" si="64"/>
        <v>57332.01</v>
      </c>
      <c r="W323" s="611">
        <f t="shared" si="65"/>
        <v>5618537</v>
      </c>
      <c r="X323" s="935">
        <f t="shared" si="57"/>
        <v>3.1214094444444442</v>
      </c>
      <c r="Y323" s="934">
        <v>1800000</v>
      </c>
      <c r="Z323" s="931">
        <f t="shared" si="58"/>
        <v>5618537</v>
      </c>
      <c r="AA323" s="612">
        <f t="shared" si="60"/>
        <v>303</v>
      </c>
      <c r="AB323" s="613">
        <f>IFERROR(INDEX('[12]CN HĐ'!$M$10:$M$73,MATCH(B323,'[12]CN HĐ'!$H$10:$H$73,0)),"")</f>
        <v>0</v>
      </c>
      <c r="AC323" s="616" t="s">
        <v>2224</v>
      </c>
      <c r="AD323" s="108"/>
      <c r="AE323" s="108"/>
      <c r="AF323" s="108"/>
      <c r="AG323" s="108"/>
      <c r="AH323" s="108"/>
      <c r="AI323" s="108"/>
      <c r="AJ323" s="108"/>
      <c r="AK323" s="108"/>
      <c r="AL323" s="108"/>
      <c r="AM323" s="108"/>
      <c r="AN323" s="108"/>
      <c r="AO323" s="108"/>
      <c r="AP323" s="108"/>
      <c r="AQ323" s="108"/>
      <c r="AR323" s="108"/>
      <c r="AS323" s="108"/>
      <c r="AT323" s="108"/>
      <c r="AU323" s="108"/>
      <c r="AV323" s="108"/>
      <c r="AW323" s="108"/>
      <c r="AX323" s="108"/>
      <c r="AY323" s="108"/>
      <c r="AZ323" s="108"/>
    </row>
    <row r="324" spans="1:69" s="372" customFormat="1" ht="36.75" customHeight="1">
      <c r="A324" s="30">
        <f>_xlfn.AGGREGATE(4,7,A$20:A323)+1</f>
        <v>304</v>
      </c>
      <c r="B324" s="444" t="s">
        <v>2099</v>
      </c>
      <c r="C324" s="419"/>
      <c r="D324" s="418"/>
      <c r="E324" s="615"/>
      <c r="F324" s="615"/>
      <c r="G324" s="615"/>
      <c r="H324" s="368" t="s">
        <v>2042</v>
      </c>
      <c r="I324" s="605">
        <v>5358132</v>
      </c>
      <c r="J324" s="368" t="str">
        <f>VLOOKUP(B324,TH.T3!B330:J588,9,FALSE)</f>
        <v>NV Kế toán</v>
      </c>
      <c r="K324" s="466">
        <f t="shared" si="62"/>
        <v>3750692.4</v>
      </c>
      <c r="L324" s="606" t="str">
        <f>VLOOKUP(B324,'[11]Gui chi Quynh'!$B$11:$E$400,4,FALSE)</f>
        <v>A2</v>
      </c>
      <c r="M324" s="466">
        <f t="shared" si="66"/>
        <v>5250969</v>
      </c>
      <c r="N324" s="606">
        <v>22</v>
      </c>
      <c r="O324" s="607">
        <f>IFERROR(INDEX('[12]CN HĐ'!$J$10:$J$72,MATCH(B324,'[12]CN HĐ'!$H$10:$H$72,0)),"")</f>
        <v>23</v>
      </c>
      <c r="P324" s="608"/>
      <c r="Q324" s="466">
        <f t="shared" si="63"/>
        <v>5250969</v>
      </c>
      <c r="R324" s="609"/>
      <c r="S324" s="466">
        <v>0</v>
      </c>
      <c r="T324" s="466"/>
      <c r="U324" s="466">
        <v>0</v>
      </c>
      <c r="V324" s="647">
        <f t="shared" si="64"/>
        <v>53581.32</v>
      </c>
      <c r="W324" s="611">
        <f t="shared" si="65"/>
        <v>5250969</v>
      </c>
      <c r="X324" s="935">
        <f t="shared" si="57"/>
        <v>2.917205</v>
      </c>
      <c r="Y324" s="934">
        <v>1800000</v>
      </c>
      <c r="Z324" s="931">
        <f t="shared" si="58"/>
        <v>5250969</v>
      </c>
      <c r="AA324" s="612">
        <f t="shared" si="60"/>
        <v>304</v>
      </c>
      <c r="AB324" s="613">
        <f>IFERROR(INDEX('[12]CN HĐ'!$M$10:$M$73,MATCH(B324,'[12]CN HĐ'!$H$10:$H$73,0)),"")</f>
        <v>0</v>
      </c>
      <c r="AC324" s="616" t="s">
        <v>2224</v>
      </c>
      <c r="AD324" s="108"/>
      <c r="AE324" s="108"/>
      <c r="AF324" s="108"/>
      <c r="AG324" s="108"/>
      <c r="AH324" s="108"/>
      <c r="AI324" s="108"/>
      <c r="AJ324" s="108"/>
      <c r="AK324" s="108"/>
      <c r="AL324" s="108"/>
      <c r="AM324" s="108"/>
      <c r="AN324" s="108"/>
      <c r="AO324" s="108"/>
      <c r="AP324" s="108"/>
      <c r="AQ324" s="108"/>
      <c r="AR324" s="108"/>
      <c r="AS324" s="108"/>
      <c r="AT324" s="108"/>
    </row>
    <row r="325" spans="1:69" s="372" customFormat="1" ht="26.25" customHeight="1">
      <c r="A325" s="30">
        <f>_xlfn.AGGREGATE(4,7,A$20:A324)+1</f>
        <v>305</v>
      </c>
      <c r="B325" s="624" t="s">
        <v>2100</v>
      </c>
      <c r="C325" s="625" t="s">
        <v>1053</v>
      </c>
      <c r="D325" s="418" t="s">
        <v>2101</v>
      </c>
      <c r="E325" s="614">
        <v>1603205399011</v>
      </c>
      <c r="F325" s="614"/>
      <c r="G325" s="614"/>
      <c r="H325" s="81" t="s">
        <v>2042</v>
      </c>
      <c r="I325" s="605">
        <v>8041111</v>
      </c>
      <c r="J325" s="368" t="str">
        <f>VLOOKUP(B325,TH.T3!B331:J589,9,FALSE)</f>
        <v>Nhân viên</v>
      </c>
      <c r="K325" s="466">
        <f t="shared" si="62"/>
        <v>5628777.6999999993</v>
      </c>
      <c r="L325" s="606" t="str">
        <f>VLOOKUP(B325,'[11]Gui chi Quynh'!$B$11:$E$400,4,FALSE)</f>
        <v>A1</v>
      </c>
      <c r="M325" s="466">
        <f t="shared" si="66"/>
        <v>9006044</v>
      </c>
      <c r="N325" s="606">
        <v>22</v>
      </c>
      <c r="O325" s="607">
        <f>IFERROR(INDEX('[12]CN HĐ'!$J$10:$J$72,MATCH(B325,'[12]CN HĐ'!$H$10:$H$72,0)),"")</f>
        <v>23</v>
      </c>
      <c r="P325" s="608" t="e">
        <f>IF(M325&gt;#REF!,M325,#REF!)</f>
        <v>#REF!</v>
      </c>
      <c r="Q325" s="466">
        <f t="shared" si="63"/>
        <v>9006044</v>
      </c>
      <c r="R325" s="609"/>
      <c r="S325" s="466">
        <v>0</v>
      </c>
      <c r="T325" s="626"/>
      <c r="U325" s="466">
        <v>0</v>
      </c>
      <c r="V325" s="647">
        <f t="shared" si="64"/>
        <v>80411.11</v>
      </c>
      <c r="W325" s="611">
        <f t="shared" si="65"/>
        <v>9006044</v>
      </c>
      <c r="X325" s="935">
        <f t="shared" si="57"/>
        <v>5.0033577777777776</v>
      </c>
      <c r="Y325" s="934">
        <v>1800000</v>
      </c>
      <c r="Z325" s="931">
        <f t="shared" si="58"/>
        <v>9006044</v>
      </c>
      <c r="AA325" s="612">
        <f t="shared" si="60"/>
        <v>305</v>
      </c>
      <c r="AB325" s="613">
        <f>IFERROR(INDEX('[12]CN HĐ'!$M$10:$M$73,MATCH(B325,'[12]CN HĐ'!$H$10:$H$73,0)),"")</f>
        <v>0</v>
      </c>
      <c r="AC325" s="616" t="s">
        <v>2225</v>
      </c>
      <c r="AD325" s="108"/>
      <c r="AE325" s="108"/>
      <c r="AF325" s="108"/>
      <c r="AG325" s="108"/>
      <c r="AH325" s="108"/>
      <c r="AI325" s="108"/>
      <c r="AJ325" s="108"/>
      <c r="AK325" s="108"/>
      <c r="AL325" s="108"/>
      <c r="AM325" s="108"/>
      <c r="AN325" s="108"/>
      <c r="AO325" s="108"/>
      <c r="AP325" s="108"/>
      <c r="AQ325" s="108"/>
      <c r="AR325" s="108"/>
      <c r="AS325" s="108"/>
      <c r="AT325" s="108"/>
      <c r="AU325" s="108"/>
      <c r="AV325" s="108"/>
      <c r="AW325" s="108"/>
      <c r="AX325" s="108"/>
      <c r="AY325" s="108"/>
      <c r="AZ325" s="108"/>
      <c r="BA325" s="108"/>
      <c r="BB325" s="108"/>
      <c r="BC325" s="108"/>
      <c r="BD325" s="108"/>
      <c r="BE325" s="108"/>
      <c r="BF325" s="108"/>
      <c r="BG325" s="108"/>
      <c r="BH325" s="108"/>
      <c r="BI325" s="108"/>
      <c r="BJ325" s="108"/>
      <c r="BK325" s="108"/>
      <c r="BL325" s="108"/>
      <c r="BM325" s="108"/>
      <c r="BN325" s="108"/>
      <c r="BO325" s="108"/>
      <c r="BP325" s="108"/>
      <c r="BQ325" s="108"/>
    </row>
    <row r="326" spans="1:69" s="372" customFormat="1" ht="31.5" customHeight="1">
      <c r="A326" s="30">
        <f>_xlfn.AGGREGATE(4,7,A$20:A325)+1</f>
        <v>306</v>
      </c>
      <c r="B326" s="444" t="s">
        <v>2102</v>
      </c>
      <c r="C326" s="419" t="s">
        <v>2103</v>
      </c>
      <c r="D326" s="418" t="s">
        <v>2104</v>
      </c>
      <c r="E326" s="604" t="s">
        <v>2105</v>
      </c>
      <c r="F326" s="604"/>
      <c r="G326" s="604"/>
      <c r="H326" s="368" t="s">
        <v>2038</v>
      </c>
      <c r="I326" s="605">
        <v>6086769</v>
      </c>
      <c r="J326" s="368" t="str">
        <f>VLOOKUP(B326,TH.T3!B332:J590,9,FALSE)</f>
        <v>NV Phòng Quản trị - Dịch vụ</v>
      </c>
      <c r="K326" s="466">
        <f t="shared" si="62"/>
        <v>4260738.3</v>
      </c>
      <c r="L326" s="606" t="str">
        <f>VLOOKUP(B326,'[11]Gui chi Quynh'!$B$11:$E$400,4,FALSE)</f>
        <v>A3</v>
      </c>
      <c r="M326" s="466">
        <f t="shared" si="66"/>
        <v>5112886</v>
      </c>
      <c r="N326" s="606">
        <v>22</v>
      </c>
      <c r="O326" s="607">
        <f>IFERROR(INDEX('[12]CN HĐ'!$J$10:$J$72,MATCH(B326,'[12]CN HĐ'!$H$10:$H$72,0)),"")</f>
        <v>22</v>
      </c>
      <c r="P326" s="608" t="e">
        <f>IF(M326&gt;#REF!,M326,#REF!)</f>
        <v>#REF!</v>
      </c>
      <c r="Q326" s="466">
        <f t="shared" si="63"/>
        <v>5112886</v>
      </c>
      <c r="R326" s="609"/>
      <c r="S326" s="466">
        <v>0</v>
      </c>
      <c r="T326" s="610"/>
      <c r="U326" s="466">
        <v>0</v>
      </c>
      <c r="V326" s="647">
        <f t="shared" si="64"/>
        <v>60867.69</v>
      </c>
      <c r="W326" s="611">
        <f t="shared" si="65"/>
        <v>5112886</v>
      </c>
      <c r="X326" s="935">
        <f t="shared" si="57"/>
        <v>2.8404922222222222</v>
      </c>
      <c r="Y326" s="934">
        <v>1800000</v>
      </c>
      <c r="Z326" s="931">
        <f t="shared" si="58"/>
        <v>5112886</v>
      </c>
      <c r="AA326" s="612">
        <f t="shared" si="60"/>
        <v>306</v>
      </c>
      <c r="AB326" s="613">
        <f>IFERROR(INDEX('[12]CN HĐ'!$M$10:$M$73,MATCH(B326,'[12]CN HĐ'!$H$10:$H$73,0)),"")</f>
        <v>0</v>
      </c>
      <c r="AC326" s="616" t="s">
        <v>2219</v>
      </c>
      <c r="AD326" s="108"/>
      <c r="AE326" s="108"/>
      <c r="AF326" s="108"/>
      <c r="AG326" s="108"/>
      <c r="AH326" s="108"/>
      <c r="AI326" s="108"/>
      <c r="AJ326" s="108"/>
      <c r="AK326" s="108"/>
      <c r="AL326" s="108"/>
      <c r="AM326" s="108"/>
      <c r="AN326" s="108"/>
      <c r="AO326" s="108"/>
      <c r="AP326" s="108"/>
      <c r="AQ326" s="108"/>
      <c r="AR326" s="108"/>
      <c r="AS326" s="108"/>
      <c r="AT326" s="108"/>
      <c r="AU326" s="108"/>
      <c r="AV326" s="108"/>
      <c r="AW326" s="108"/>
      <c r="AX326" s="108"/>
      <c r="AY326" s="108"/>
      <c r="AZ326" s="108"/>
    </row>
    <row r="327" spans="1:69" s="372" customFormat="1" ht="31.5" customHeight="1">
      <c r="A327" s="30">
        <f>_xlfn.AGGREGATE(4,7,A$20:A326)+1</f>
        <v>307</v>
      </c>
      <c r="B327" s="444" t="s">
        <v>2106</v>
      </c>
      <c r="C327" s="419" t="s">
        <v>891</v>
      </c>
      <c r="D327" s="418" t="s">
        <v>2107</v>
      </c>
      <c r="E327" s="615">
        <v>1603205192034</v>
      </c>
      <c r="F327" s="615"/>
      <c r="G327" s="615"/>
      <c r="H327" s="368" t="s">
        <v>2038</v>
      </c>
      <c r="I327" s="605">
        <v>6086769</v>
      </c>
      <c r="J327" s="368" t="str">
        <f>VLOOKUP(B327,TH.T3!B333:J591,9,FALSE)</f>
        <v>Nhân viên phòng Thanh tra GD - Quan hệ DN</v>
      </c>
      <c r="K327" s="466">
        <f t="shared" si="62"/>
        <v>4260738.3</v>
      </c>
      <c r="L327" s="606" t="str">
        <f>VLOOKUP(B327,'[11]Gui chi Quynh'!$B$11:$E$400,4,FALSE)</f>
        <v>A3</v>
      </c>
      <c r="M327" s="466">
        <f t="shared" si="66"/>
        <v>5112886</v>
      </c>
      <c r="N327" s="606">
        <v>22</v>
      </c>
      <c r="O327" s="607">
        <f>IFERROR(INDEX('[12]CN HĐ'!$J$10:$J$72,MATCH(B327,'[12]CN HĐ'!$H$10:$H$72,0)),"")</f>
        <v>23</v>
      </c>
      <c r="P327" s="608" t="e">
        <f>IF(M327&gt;#REF!,M327,#REF!)</f>
        <v>#REF!</v>
      </c>
      <c r="Q327" s="466">
        <f t="shared" si="63"/>
        <v>5112886</v>
      </c>
      <c r="R327" s="609"/>
      <c r="S327" s="466">
        <v>0</v>
      </c>
      <c r="T327" s="610"/>
      <c r="U327" s="466">
        <v>0</v>
      </c>
      <c r="V327" s="647">
        <f t="shared" si="64"/>
        <v>60867.69</v>
      </c>
      <c r="W327" s="611">
        <f t="shared" si="65"/>
        <v>5112886</v>
      </c>
      <c r="X327" s="935">
        <f t="shared" si="57"/>
        <v>2.8404922222222222</v>
      </c>
      <c r="Y327" s="934">
        <v>1800000</v>
      </c>
      <c r="Z327" s="931">
        <f t="shared" si="58"/>
        <v>5112886</v>
      </c>
      <c r="AA327" s="612">
        <f t="shared" si="60"/>
        <v>307</v>
      </c>
      <c r="AB327" s="613">
        <f>IFERROR(INDEX('[12]CN HĐ'!$M$10:$M$73,MATCH(B327,'[12]CN HĐ'!$H$10:$H$73,0)),"")</f>
        <v>0</v>
      </c>
      <c r="AC327" s="616" t="s">
        <v>2225</v>
      </c>
      <c r="AD327" s="108"/>
      <c r="AE327" s="108"/>
      <c r="AF327" s="108"/>
      <c r="AG327" s="108"/>
      <c r="AH327" s="108"/>
      <c r="AI327" s="108"/>
      <c r="AJ327" s="108"/>
      <c r="AK327" s="108"/>
      <c r="AL327" s="108"/>
      <c r="AM327" s="108"/>
      <c r="AN327" s="108"/>
      <c r="AO327" s="108"/>
      <c r="AP327" s="108"/>
      <c r="AQ327" s="108"/>
      <c r="AR327" s="108"/>
      <c r="AS327" s="108"/>
      <c r="AT327" s="108"/>
      <c r="AU327" s="108"/>
      <c r="AV327" s="108"/>
      <c r="AW327" s="108"/>
      <c r="AX327" s="108"/>
      <c r="AY327" s="108"/>
      <c r="AZ327" s="108"/>
    </row>
    <row r="328" spans="1:69" s="372" customFormat="1" ht="31.5" customHeight="1">
      <c r="A328" s="30">
        <f>_xlfn.AGGREGATE(4,7,A$20:A327)+1</f>
        <v>308</v>
      </c>
      <c r="B328" s="444" t="s">
        <v>2108</v>
      </c>
      <c r="C328" s="419"/>
      <c r="D328" s="418"/>
      <c r="E328" s="615"/>
      <c r="F328" s="615"/>
      <c r="G328" s="615"/>
      <c r="H328" s="368" t="s">
        <v>2042</v>
      </c>
      <c r="I328" s="605">
        <v>5733201</v>
      </c>
      <c r="J328" s="368" t="str">
        <f>VLOOKUP(B328,TH.T3!B334:J592,9,FALSE)</f>
        <v>Nhân viên phòng Thanh tra GD - Quan hệ DN</v>
      </c>
      <c r="K328" s="466">
        <f t="shared" si="62"/>
        <v>4013240.6999999997</v>
      </c>
      <c r="L328" s="606" t="str">
        <f>VLOOKUP(B328,'[11]Gui chi Quynh'!$B$11:$E$400,4,FALSE)</f>
        <v>A3</v>
      </c>
      <c r="M328" s="466">
        <f t="shared" si="66"/>
        <v>4815889</v>
      </c>
      <c r="N328" s="606">
        <v>22</v>
      </c>
      <c r="O328" s="607">
        <f>IFERROR(INDEX('[12]CN HĐ'!$J$10:$J$72,MATCH(B328,'[12]CN HĐ'!$H$10:$H$72,0)),"")</f>
        <v>21</v>
      </c>
      <c r="P328" s="608" t="e">
        <f>IF(M328&gt;#REF!,M328,#REF!)</f>
        <v>#REF!</v>
      </c>
      <c r="Q328" s="466">
        <f t="shared" si="63"/>
        <v>4596985</v>
      </c>
      <c r="R328" s="609"/>
      <c r="S328" s="466">
        <v>0</v>
      </c>
      <c r="T328" s="610"/>
      <c r="U328" s="466">
        <v>0</v>
      </c>
      <c r="V328" s="647">
        <f t="shared" si="64"/>
        <v>57332.01</v>
      </c>
      <c r="W328" s="611">
        <f t="shared" si="65"/>
        <v>4596985</v>
      </c>
      <c r="X328" s="935">
        <f t="shared" si="57"/>
        <v>2.5538805555555557</v>
      </c>
      <c r="Y328" s="934">
        <v>1800000</v>
      </c>
      <c r="Z328" s="931">
        <f t="shared" si="58"/>
        <v>4596985</v>
      </c>
      <c r="AA328" s="612">
        <f t="shared" si="60"/>
        <v>308</v>
      </c>
      <c r="AB328" s="613" t="str">
        <f>IFERROR(INDEX('[12]CN HĐ'!$M$10:$M$73,MATCH(B328,'[12]CN HĐ'!$H$10:$H$73,0)),"")</f>
        <v>Trừ 1 ngày nghỉ phép 16/4</v>
      </c>
      <c r="AC328" s="616" t="s">
        <v>2225</v>
      </c>
      <c r="AD328" s="108"/>
      <c r="AE328" s="108"/>
      <c r="AF328" s="108"/>
      <c r="AG328" s="108"/>
      <c r="AH328" s="108"/>
      <c r="AI328" s="108"/>
      <c r="AJ328" s="108"/>
      <c r="AK328" s="108"/>
      <c r="AL328" s="108"/>
      <c r="AM328" s="108"/>
      <c r="AN328" s="108"/>
      <c r="AO328" s="108"/>
      <c r="AP328" s="108"/>
      <c r="AQ328" s="108"/>
      <c r="AR328" s="108"/>
      <c r="AS328" s="108"/>
      <c r="AT328" s="108"/>
      <c r="AU328" s="108"/>
      <c r="AV328" s="108"/>
      <c r="AW328" s="108"/>
      <c r="AX328" s="108"/>
      <c r="AY328" s="108"/>
      <c r="AZ328" s="108"/>
    </row>
    <row r="329" spans="1:69" s="372" customFormat="1" ht="31.5" customHeight="1">
      <c r="A329" s="379">
        <f>_xlfn.AGGREGATE(4,7,A$20:A328)+1</f>
        <v>309</v>
      </c>
      <c r="B329" s="444" t="s">
        <v>2109</v>
      </c>
      <c r="C329" s="419"/>
      <c r="D329" s="418"/>
      <c r="E329" s="615"/>
      <c r="F329" s="615"/>
      <c r="G329" s="615"/>
      <c r="H329" s="368" t="s">
        <v>2038</v>
      </c>
      <c r="I329" s="605">
        <v>5257980</v>
      </c>
      <c r="J329" s="368" t="str">
        <f>VLOOKUP(B329,TH.T3!B335:J593,9,FALSE)</f>
        <v>Nhân viên phòng Thanh tra GD - Quan hệ DN</v>
      </c>
      <c r="K329" s="466">
        <f t="shared" si="62"/>
        <v>3680585.9999999995</v>
      </c>
      <c r="L329" s="606" t="str">
        <f>VLOOKUP(B329,'[11]Gui chi Quynh'!$B$11:$E$400,4,FALSE)</f>
        <v>A3</v>
      </c>
      <c r="M329" s="466">
        <f t="shared" si="66"/>
        <v>4416703</v>
      </c>
      <c r="N329" s="606">
        <v>22</v>
      </c>
      <c r="O329" s="607">
        <f>IFERROR(INDEX('[12]CN HĐ'!$J$10:$J$72,MATCH(B329,'[12]CN HĐ'!$H$10:$H$72,0)),"")</f>
        <v>23</v>
      </c>
      <c r="P329" s="608"/>
      <c r="Q329" s="466">
        <f t="shared" si="63"/>
        <v>4416703</v>
      </c>
      <c r="R329" s="609"/>
      <c r="S329" s="466">
        <v>0</v>
      </c>
      <c r="T329" s="610"/>
      <c r="U329" s="466">
        <v>0</v>
      </c>
      <c r="V329" s="466">
        <f t="shared" si="64"/>
        <v>52579.8</v>
      </c>
      <c r="W329" s="611">
        <f t="shared" si="65"/>
        <v>4416703</v>
      </c>
      <c r="X329" s="935">
        <f t="shared" si="57"/>
        <v>2.4537238888888888</v>
      </c>
      <c r="Y329" s="934">
        <v>1800000</v>
      </c>
      <c r="Z329" s="931">
        <f t="shared" si="58"/>
        <v>4416703</v>
      </c>
      <c r="AA329" s="612">
        <f t="shared" si="60"/>
        <v>309</v>
      </c>
      <c r="AB329" s="613">
        <f>IFERROR(INDEX('[12]CN HĐ'!$M$10:$M$73,MATCH(B329,'[12]CN HĐ'!$H$10:$H$73,0)),"")</f>
        <v>0</v>
      </c>
      <c r="AC329" s="654" t="s">
        <v>2225</v>
      </c>
    </row>
    <row r="330" spans="1:69" s="372" customFormat="1" ht="31.5" customHeight="1">
      <c r="A330" s="379">
        <f>_xlfn.AGGREGATE(4,7,A$20:A329)+1</f>
        <v>310</v>
      </c>
      <c r="B330" s="444" t="s">
        <v>2110</v>
      </c>
      <c r="C330" s="419" t="s">
        <v>2111</v>
      </c>
      <c r="D330" s="418" t="s">
        <v>2112</v>
      </c>
      <c r="E330" s="615">
        <v>1603205355935</v>
      </c>
      <c r="F330" s="615"/>
      <c r="G330" s="615"/>
      <c r="H330" s="368" t="s">
        <v>2038</v>
      </c>
      <c r="I330" s="605">
        <v>5520879</v>
      </c>
      <c r="J330" s="368" t="s">
        <v>2242</v>
      </c>
      <c r="K330" s="466">
        <f t="shared" si="62"/>
        <v>3864615.3</v>
      </c>
      <c r="L330" s="606" t="str">
        <f>VLOOKUP(B330,'[11]Gui chi Quynh'!$B$11:$E$400,4,FALSE)</f>
        <v>A3</v>
      </c>
      <c r="M330" s="466">
        <f t="shared" si="66"/>
        <v>4637538</v>
      </c>
      <c r="N330" s="606">
        <v>22</v>
      </c>
      <c r="O330" s="607">
        <f>IFERROR(INDEX('[12]CN HĐ'!$J$10:$J$72,MATCH(B330,'[12]CN HĐ'!$H$10:$H$72,0)),"")</f>
        <v>23</v>
      </c>
      <c r="P330" s="608" t="e">
        <f>IF(M330&gt;#REF!,M330,#REF!)</f>
        <v>#REF!</v>
      </c>
      <c r="Q330" s="466">
        <f t="shared" si="63"/>
        <v>4637538</v>
      </c>
      <c r="R330" s="609"/>
      <c r="S330" s="466">
        <v>0</v>
      </c>
      <c r="T330" s="610"/>
      <c r="U330" s="466">
        <v>0</v>
      </c>
      <c r="V330" s="466">
        <f t="shared" si="64"/>
        <v>55208.79</v>
      </c>
      <c r="W330" s="611">
        <f t="shared" si="65"/>
        <v>4637538</v>
      </c>
      <c r="X330" s="935">
        <f t="shared" si="57"/>
        <v>2.5764100000000001</v>
      </c>
      <c r="Y330" s="934">
        <v>1800000</v>
      </c>
      <c r="Z330" s="931">
        <f t="shared" si="58"/>
        <v>4637538</v>
      </c>
      <c r="AA330" s="612">
        <f t="shared" si="60"/>
        <v>310</v>
      </c>
      <c r="AB330" s="613">
        <f>IFERROR(INDEX('[12]CN HĐ'!$M$10:$M$73,MATCH(B330,'[12]CN HĐ'!$H$10:$H$73,0)),"")</f>
        <v>0</v>
      </c>
      <c r="AC330" s="654" t="s">
        <v>2219</v>
      </c>
    </row>
    <row r="331" spans="1:69" s="372" customFormat="1" ht="31.5" customHeight="1">
      <c r="A331" s="30">
        <f>_xlfn.AGGREGATE(4,7,A$20:A330)+1</f>
        <v>311</v>
      </c>
      <c r="B331" s="444" t="s">
        <v>2113</v>
      </c>
      <c r="C331" s="419"/>
      <c r="D331" s="418"/>
      <c r="E331" s="604">
        <v>1603205639363</v>
      </c>
      <c r="F331" s="604"/>
      <c r="G331" s="604"/>
      <c r="H331" s="368" t="s">
        <v>2042</v>
      </c>
      <c r="I331" s="605">
        <v>5733201</v>
      </c>
      <c r="J331" s="368" t="str">
        <f>VLOOKUP(B331,TH.T3!B337:J595,9,FALSE)</f>
        <v>Nhân viên phòng Thanh tra GD - Quan hệ DN</v>
      </c>
      <c r="K331" s="466">
        <f t="shared" si="62"/>
        <v>4013240.6999999997</v>
      </c>
      <c r="L331" s="606" t="str">
        <f>VLOOKUP(B331,'[11]Gui chi Quynh'!$B$11:$E$400,4,FALSE)</f>
        <v>A3</v>
      </c>
      <c r="M331" s="466">
        <f t="shared" si="66"/>
        <v>4815889</v>
      </c>
      <c r="N331" s="606">
        <v>22</v>
      </c>
      <c r="O331" s="607">
        <f>IFERROR(INDEX('[12]CN HĐ'!$J$10:$J$72,MATCH(B331,'[12]CN HĐ'!$H$10:$H$72,0)),"")</f>
        <v>23</v>
      </c>
      <c r="P331" s="608" t="e">
        <f>IF(M331&gt;#REF!,M331,#REF!)</f>
        <v>#REF!</v>
      </c>
      <c r="Q331" s="466">
        <f t="shared" si="63"/>
        <v>4815889</v>
      </c>
      <c r="R331" s="609"/>
      <c r="S331" s="466">
        <v>0</v>
      </c>
      <c r="T331" s="610"/>
      <c r="U331" s="466">
        <v>0</v>
      </c>
      <c r="V331" s="647">
        <f t="shared" si="64"/>
        <v>57332.01</v>
      </c>
      <c r="W331" s="611">
        <f t="shared" si="65"/>
        <v>4815889</v>
      </c>
      <c r="X331" s="935">
        <f t="shared" si="57"/>
        <v>2.6754938888888891</v>
      </c>
      <c r="Y331" s="934">
        <v>1800000</v>
      </c>
      <c r="Z331" s="931">
        <f t="shared" si="58"/>
        <v>4815889</v>
      </c>
      <c r="AA331" s="612">
        <f t="shared" si="60"/>
        <v>311</v>
      </c>
      <c r="AB331" s="613">
        <f>IFERROR(INDEX('[12]CN HĐ'!$M$10:$M$73,MATCH(B331,'[12]CN HĐ'!$H$10:$H$73,0)),"")</f>
        <v>0</v>
      </c>
      <c r="AC331" s="654" t="s">
        <v>2225</v>
      </c>
    </row>
    <row r="332" spans="1:69" s="372" customFormat="1" ht="39" customHeight="1">
      <c r="A332" s="30">
        <f>_xlfn.AGGREGATE(4,7,A$20:A331)+1</f>
        <v>312</v>
      </c>
      <c r="B332" s="444" t="s">
        <v>2114</v>
      </c>
      <c r="C332" s="419" t="s">
        <v>2115</v>
      </c>
      <c r="D332" s="418" t="s">
        <v>2116</v>
      </c>
      <c r="E332" s="604">
        <v>1603205324898</v>
      </c>
      <c r="F332" s="604"/>
      <c r="G332" s="604"/>
      <c r="H332" s="368" t="s">
        <v>2042</v>
      </c>
      <c r="I332" s="605">
        <v>7515057</v>
      </c>
      <c r="J332" s="368" t="str">
        <f>VLOOKUP(B332,TH.T3!B338:J596,9,FALSE)</f>
        <v>Nhân viên phòng KHCN &amp; HTQT</v>
      </c>
      <c r="K332" s="466">
        <f t="shared" si="62"/>
        <v>5260539.8999999994</v>
      </c>
      <c r="L332" s="606" t="str">
        <f>VLOOKUP(B332,'[11]Gui chi Quynh'!$B$11:$E$400,4,FALSE)</f>
        <v>A2</v>
      </c>
      <c r="M332" s="466">
        <f t="shared" si="66"/>
        <v>7364756</v>
      </c>
      <c r="N332" s="606">
        <v>22</v>
      </c>
      <c r="O332" s="607">
        <f>IFERROR(INDEX('[12]CN HĐ'!$J$10:$J$72,MATCH(B332,'[12]CN HĐ'!$H$10:$H$72,0)),"")</f>
        <v>22</v>
      </c>
      <c r="P332" s="608" t="e">
        <f>IF(M332&gt;#REF!,M332,#REF!)</f>
        <v>#REF!</v>
      </c>
      <c r="Q332" s="466">
        <f t="shared" si="63"/>
        <v>7364756</v>
      </c>
      <c r="R332" s="609"/>
      <c r="S332" s="466">
        <v>0</v>
      </c>
      <c r="T332" s="610"/>
      <c r="U332" s="466">
        <v>0</v>
      </c>
      <c r="V332" s="647">
        <f t="shared" si="64"/>
        <v>75150.570000000007</v>
      </c>
      <c r="W332" s="611">
        <f t="shared" si="65"/>
        <v>7364756</v>
      </c>
      <c r="X332" s="935">
        <f t="shared" si="57"/>
        <v>4.0915311111111112</v>
      </c>
      <c r="Y332" s="934">
        <v>1800000</v>
      </c>
      <c r="Z332" s="931">
        <f t="shared" si="58"/>
        <v>7364756</v>
      </c>
      <c r="AA332" s="612">
        <f t="shared" si="60"/>
        <v>312</v>
      </c>
      <c r="AB332" s="613">
        <f>IFERROR(INDEX('[12]CN HĐ'!$M$10:$M$73,MATCH(B332,'[12]CN HĐ'!$H$10:$H$73,0)),"")</f>
        <v>0</v>
      </c>
      <c r="AC332" s="654" t="s">
        <v>2230</v>
      </c>
    </row>
    <row r="333" spans="1:69" s="372" customFormat="1" ht="33" customHeight="1">
      <c r="A333" s="30">
        <f>_xlfn.AGGREGATE(4,7,A$20:A332)+1</f>
        <v>313</v>
      </c>
      <c r="B333" s="444" t="s">
        <v>2117</v>
      </c>
      <c r="C333" s="419"/>
      <c r="D333" s="418"/>
      <c r="E333" s="614" t="s">
        <v>2118</v>
      </c>
      <c r="F333" s="614"/>
      <c r="G333" s="614"/>
      <c r="H333" s="368" t="s">
        <v>2042</v>
      </c>
      <c r="I333" s="605">
        <v>5733201</v>
      </c>
      <c r="J333" s="368" t="str">
        <f>VLOOKUP(B333,TH.T3!B339:J597,9,FALSE)</f>
        <v>Nhân viên phòng KHCN &amp; HTQT</v>
      </c>
      <c r="K333" s="466">
        <f t="shared" si="62"/>
        <v>4013240.6999999997</v>
      </c>
      <c r="L333" s="606" t="str">
        <f>VLOOKUP(B333,'[11]Gui chi Quynh'!$B$11:$E$400,4,FALSE)</f>
        <v>A3</v>
      </c>
      <c r="M333" s="466">
        <f t="shared" si="66"/>
        <v>4815889</v>
      </c>
      <c r="N333" s="606">
        <v>22</v>
      </c>
      <c r="O333" s="607">
        <f>IFERROR(INDEX('[12]CN HĐ'!$J$10:$J$72,MATCH(B333,'[12]CN HĐ'!$H$10:$H$72,0)),"")</f>
        <v>22</v>
      </c>
      <c r="P333" s="608" t="e">
        <f>IF(M333&gt;#REF!,M333,#REF!)</f>
        <v>#REF!</v>
      </c>
      <c r="Q333" s="466">
        <f t="shared" si="63"/>
        <v>4815889</v>
      </c>
      <c r="R333" s="609"/>
      <c r="S333" s="466">
        <v>0</v>
      </c>
      <c r="T333" s="610"/>
      <c r="U333" s="466">
        <v>0</v>
      </c>
      <c r="V333" s="647">
        <f t="shared" si="64"/>
        <v>57332.01</v>
      </c>
      <c r="W333" s="611">
        <f t="shared" si="65"/>
        <v>4815889</v>
      </c>
      <c r="X333" s="935">
        <f t="shared" si="57"/>
        <v>2.6754938888888891</v>
      </c>
      <c r="Y333" s="934">
        <v>1800000</v>
      </c>
      <c r="Z333" s="931">
        <f t="shared" si="58"/>
        <v>4815889</v>
      </c>
      <c r="AA333" s="612">
        <f t="shared" si="60"/>
        <v>313</v>
      </c>
      <c r="AB333" s="613">
        <f>IFERROR(INDEX('[12]CN HĐ'!$M$10:$M$73,MATCH(B333,'[12]CN HĐ'!$H$10:$H$73,0)),"")</f>
        <v>0</v>
      </c>
      <c r="AC333" s="654" t="s">
        <v>2230</v>
      </c>
      <c r="AD333" s="108"/>
      <c r="AE333" s="108"/>
      <c r="AF333" s="108"/>
      <c r="AG333" s="108"/>
      <c r="AH333" s="108"/>
      <c r="AI333" s="108"/>
      <c r="AJ333" s="108"/>
      <c r="AK333" s="108"/>
      <c r="AL333" s="108"/>
      <c r="AM333" s="108"/>
      <c r="AN333" s="108"/>
      <c r="AO333" s="108"/>
      <c r="AP333" s="108"/>
      <c r="AQ333" s="108"/>
      <c r="AR333" s="108"/>
      <c r="AS333" s="108"/>
      <c r="AT333" s="108"/>
      <c r="AU333" s="108"/>
      <c r="AV333" s="108"/>
      <c r="AW333" s="108"/>
      <c r="AX333" s="108"/>
      <c r="AY333" s="108"/>
      <c r="AZ333" s="108"/>
    </row>
    <row r="334" spans="1:69" s="372" customFormat="1" ht="33.75" customHeight="1">
      <c r="A334" s="30">
        <f>_xlfn.AGGREGATE(4,7,A$20:A333)+1</f>
        <v>314</v>
      </c>
      <c r="B334" s="444" t="s">
        <v>2119</v>
      </c>
      <c r="C334" s="419" t="s">
        <v>2120</v>
      </c>
      <c r="D334" s="418" t="s">
        <v>2121</v>
      </c>
      <c r="E334" s="604" t="s">
        <v>2122</v>
      </c>
      <c r="F334" s="604"/>
      <c r="G334" s="604"/>
      <c r="H334" s="81" t="s">
        <v>2042</v>
      </c>
      <c r="I334" s="605">
        <v>5733201</v>
      </c>
      <c r="J334" s="368" t="str">
        <f>VLOOKUP(B334,TH.T3!B340:J598,9,FALSE)</f>
        <v>Nhân viên phòng Thanh tra GD - Quan hệ DN</v>
      </c>
      <c r="K334" s="466">
        <f t="shared" si="62"/>
        <v>4013240.6999999997</v>
      </c>
      <c r="L334" s="606" t="str">
        <f>VLOOKUP(B334,'[11]Gui chi Quynh'!$B$11:$E$400,4,FALSE)</f>
        <v>A3</v>
      </c>
      <c r="M334" s="466">
        <f t="shared" si="66"/>
        <v>4815889</v>
      </c>
      <c r="N334" s="606">
        <v>22</v>
      </c>
      <c r="O334" s="607">
        <f>IFERROR(INDEX('[12]CN HĐ'!$J$10:$J$72,MATCH(B334,'[12]CN HĐ'!$H$10:$H$72,0)),"")</f>
        <v>22</v>
      </c>
      <c r="P334" s="608" t="e">
        <f>IF(M334&gt;#REF!,M334,#REF!)</f>
        <v>#REF!</v>
      </c>
      <c r="Q334" s="466">
        <f t="shared" si="63"/>
        <v>4815889</v>
      </c>
      <c r="R334" s="609"/>
      <c r="S334" s="466">
        <v>0</v>
      </c>
      <c r="T334" s="610"/>
      <c r="U334" s="466">
        <v>0</v>
      </c>
      <c r="V334" s="647">
        <f t="shared" si="64"/>
        <v>57332.01</v>
      </c>
      <c r="W334" s="611">
        <f t="shared" si="65"/>
        <v>4815889</v>
      </c>
      <c r="X334" s="935">
        <f t="shared" si="57"/>
        <v>2.6754938888888891</v>
      </c>
      <c r="Y334" s="934">
        <v>1800000</v>
      </c>
      <c r="Z334" s="931">
        <f t="shared" si="58"/>
        <v>4815889</v>
      </c>
      <c r="AA334" s="612">
        <f t="shared" si="60"/>
        <v>314</v>
      </c>
      <c r="AB334" s="613">
        <f>IFERROR(INDEX('[12]CN HĐ'!$M$10:$M$73,MATCH(B334,'[12]CN HĐ'!$H$10:$H$73,0)),"")</f>
        <v>0</v>
      </c>
      <c r="AC334" s="616" t="s">
        <v>2225</v>
      </c>
      <c r="AD334" s="108"/>
      <c r="AE334" s="108"/>
      <c r="AF334" s="108"/>
      <c r="AG334" s="108"/>
      <c r="AH334" s="108"/>
      <c r="AI334" s="108"/>
      <c r="AJ334" s="108"/>
      <c r="AK334" s="108"/>
      <c r="AL334" s="108"/>
      <c r="AM334" s="108"/>
      <c r="AN334" s="108"/>
      <c r="AO334" s="108"/>
      <c r="AP334" s="108"/>
      <c r="AQ334" s="108"/>
      <c r="AR334" s="108"/>
      <c r="AS334" s="108"/>
      <c r="AT334" s="108"/>
      <c r="AU334" s="108"/>
      <c r="AV334" s="108"/>
      <c r="AW334" s="108"/>
      <c r="AX334" s="108"/>
      <c r="AY334" s="108"/>
      <c r="AZ334" s="108"/>
    </row>
    <row r="335" spans="1:69" s="372" customFormat="1" ht="33.75" customHeight="1">
      <c r="A335" s="30">
        <f>_xlfn.AGGREGATE(4,7,A$20:A334)+1</f>
        <v>315</v>
      </c>
      <c r="B335" s="444" t="s">
        <v>2123</v>
      </c>
      <c r="C335" s="419" t="s">
        <v>1103</v>
      </c>
      <c r="D335" s="418" t="s">
        <v>2124</v>
      </c>
      <c r="E335" s="604">
        <v>1603205327079</v>
      </c>
      <c r="F335" s="604"/>
      <c r="G335" s="604"/>
      <c r="H335" s="368" t="s">
        <v>2038</v>
      </c>
      <c r="I335" s="605">
        <v>6391108</v>
      </c>
      <c r="J335" s="368" t="str">
        <f>VLOOKUP(B335,TH.T3!B341:J599,9,FALSE)</f>
        <v>Nhân viên phòng Thanh tra GD - Quan hệ DN</v>
      </c>
      <c r="K335" s="466">
        <f t="shared" si="62"/>
        <v>4473775.5999999996</v>
      </c>
      <c r="L335" s="606" t="str">
        <f>VLOOKUP(B335,'[11]Gui chi Quynh'!$B$11:$E$400,4,FALSE)</f>
        <v>A3</v>
      </c>
      <c r="M335" s="466">
        <f t="shared" si="66"/>
        <v>5368531</v>
      </c>
      <c r="N335" s="606">
        <v>22</v>
      </c>
      <c r="O335" s="607">
        <f>IFERROR(INDEX('[12]CN HĐ'!$J$10:$J$72,MATCH(B335,'[12]CN HĐ'!$H$10:$H$72,0)),"")</f>
        <v>21</v>
      </c>
      <c r="P335" s="608" t="e">
        <f>IF(M335&gt;#REF!,M335,#REF!)</f>
        <v>#REF!</v>
      </c>
      <c r="Q335" s="466">
        <f t="shared" si="63"/>
        <v>5124507</v>
      </c>
      <c r="R335" s="609"/>
      <c r="S335" s="466">
        <v>0</v>
      </c>
      <c r="T335" s="610"/>
      <c r="U335" s="466">
        <v>0</v>
      </c>
      <c r="V335" s="647">
        <f t="shared" si="64"/>
        <v>63911.08</v>
      </c>
      <c r="W335" s="611">
        <f t="shared" si="65"/>
        <v>5124507</v>
      </c>
      <c r="X335" s="935">
        <f t="shared" si="57"/>
        <v>2.8469483333333332</v>
      </c>
      <c r="Y335" s="934">
        <v>1800000</v>
      </c>
      <c r="Z335" s="931">
        <f t="shared" si="58"/>
        <v>5124507</v>
      </c>
      <c r="AA335" s="612">
        <f t="shared" si="60"/>
        <v>315</v>
      </c>
      <c r="AB335" s="613" t="str">
        <f>IFERROR(INDEX('[12]CN HĐ'!$M$10:$M$73,MATCH(B335,'[12]CN HĐ'!$H$10:$H$73,0)),"")</f>
        <v>Trừ 1 ngày nghỉ phép 19/4</v>
      </c>
      <c r="AC335" s="654" t="s">
        <v>2225</v>
      </c>
    </row>
    <row r="336" spans="1:69" s="372" customFormat="1" ht="32.25" customHeight="1">
      <c r="A336" s="30">
        <f>_xlfn.AGGREGATE(4,7,A$20:A335)+1</f>
        <v>316</v>
      </c>
      <c r="B336" s="444" t="s">
        <v>2125</v>
      </c>
      <c r="C336" s="419" t="s">
        <v>1431</v>
      </c>
      <c r="D336" s="418" t="s">
        <v>2126</v>
      </c>
      <c r="E336" s="604" t="s">
        <v>2127</v>
      </c>
      <c r="F336" s="604"/>
      <c r="G336" s="604"/>
      <c r="H336" s="368" t="s">
        <v>2042</v>
      </c>
      <c r="I336" s="605">
        <v>6563942</v>
      </c>
      <c r="J336" s="368" t="str">
        <f>VLOOKUP(B336,TH.T3!B342:J600,9,FALSE)</f>
        <v>NV Phòng Tuyển sinh - Đào tạo</v>
      </c>
      <c r="K336" s="466">
        <f t="shared" si="62"/>
        <v>4594759.3999999994</v>
      </c>
      <c r="L336" s="606" t="str">
        <f>VLOOKUP(B336,'[11]Gui chi Quynh'!$B$11:$E$400,4,FALSE)</f>
        <v>A3</v>
      </c>
      <c r="M336" s="466">
        <f t="shared" si="66"/>
        <v>5513711</v>
      </c>
      <c r="N336" s="606">
        <v>22</v>
      </c>
      <c r="O336" s="607">
        <f>IFERROR(INDEX('[12]CN HĐ'!$J$10:$J$72,MATCH(B336,'[12]CN HĐ'!$H$10:$H$72,0)),"")</f>
        <v>23</v>
      </c>
      <c r="P336" s="608" t="e">
        <f>IF(M336&gt;#REF!,M336,#REF!)</f>
        <v>#REF!</v>
      </c>
      <c r="Q336" s="466">
        <f>ROUND(IF(O336&gt;=N336,M336,M336/N336*O336),)</f>
        <v>5513711</v>
      </c>
      <c r="R336" s="609"/>
      <c r="S336" s="466">
        <v>0</v>
      </c>
      <c r="T336" s="610"/>
      <c r="U336" s="466">
        <v>0</v>
      </c>
      <c r="V336" s="647">
        <f t="shared" si="64"/>
        <v>65639.42</v>
      </c>
      <c r="W336" s="611">
        <f t="shared" si="65"/>
        <v>5513711</v>
      </c>
      <c r="X336" s="935">
        <f t="shared" si="57"/>
        <v>3.063172777777778</v>
      </c>
      <c r="Y336" s="934">
        <v>1800000</v>
      </c>
      <c r="Z336" s="931">
        <f t="shared" si="58"/>
        <v>5513711</v>
      </c>
      <c r="AA336" s="612">
        <f t="shared" si="60"/>
        <v>316</v>
      </c>
      <c r="AB336" s="613">
        <f>IFERROR(INDEX('[12]CN HĐ'!$M$10:$M$73,MATCH(B336,'[12]CN HĐ'!$H$10:$H$73,0)),"")</f>
        <v>0</v>
      </c>
      <c r="AC336" s="616" t="s">
        <v>2226</v>
      </c>
      <c r="AD336" s="108"/>
      <c r="AE336" s="108"/>
      <c r="AF336" s="108"/>
      <c r="AG336" s="108"/>
      <c r="AH336" s="108"/>
      <c r="AI336" s="108"/>
      <c r="AJ336" s="108"/>
      <c r="AK336" s="108"/>
      <c r="AL336" s="108"/>
      <c r="AM336" s="108"/>
      <c r="AN336" s="108"/>
      <c r="AO336" s="108"/>
      <c r="AP336" s="108"/>
      <c r="AQ336" s="108"/>
      <c r="AR336" s="108"/>
      <c r="AS336" s="108"/>
      <c r="AT336" s="108"/>
      <c r="AU336" s="108"/>
      <c r="AV336" s="108"/>
      <c r="AW336" s="108"/>
      <c r="AX336" s="108"/>
      <c r="AY336" s="108"/>
      <c r="AZ336" s="108"/>
    </row>
    <row r="337" spans="1:52" s="372" customFormat="1" ht="30" customHeight="1">
      <c r="A337" s="30">
        <f>_xlfn.AGGREGATE(4,7,A$20:A336)+1</f>
        <v>317</v>
      </c>
      <c r="B337" s="444" t="s">
        <v>2128</v>
      </c>
      <c r="C337" s="419" t="s">
        <v>1064</v>
      </c>
      <c r="D337" s="418" t="s">
        <v>2129</v>
      </c>
      <c r="E337" s="604" t="s">
        <v>2130</v>
      </c>
      <c r="F337" s="604"/>
      <c r="G337" s="604"/>
      <c r="H337" s="368" t="s">
        <v>2042</v>
      </c>
      <c r="I337" s="605">
        <v>5733201</v>
      </c>
      <c r="J337" s="368" t="str">
        <f>VLOOKUP(B337,TH.T3!B343:J601,9,FALSE)</f>
        <v>NV phòng TS - Đào tạo</v>
      </c>
      <c r="K337" s="466">
        <f t="shared" si="62"/>
        <v>4013240.6999999997</v>
      </c>
      <c r="L337" s="606" t="str">
        <f>VLOOKUP(B337,'[11]Gui chi Quynh'!$B$11:$E$400,4,FALSE)</f>
        <v>A2</v>
      </c>
      <c r="M337" s="466">
        <f t="shared" si="66"/>
        <v>5618537</v>
      </c>
      <c r="N337" s="606">
        <v>22</v>
      </c>
      <c r="O337" s="607">
        <f>IFERROR(INDEX('[12]CN HĐ'!$J$10:$J$72,MATCH(B337,'[12]CN HĐ'!$H$10:$H$72,0)),"")</f>
        <v>24</v>
      </c>
      <c r="P337" s="608" t="e">
        <f>IF(M337&gt;#REF!,M337,#REF!)</f>
        <v>#REF!</v>
      </c>
      <c r="Q337" s="466">
        <f t="shared" si="63"/>
        <v>5618537</v>
      </c>
      <c r="R337" s="609"/>
      <c r="S337" s="466">
        <v>0</v>
      </c>
      <c r="T337" s="610"/>
      <c r="U337" s="466">
        <v>0</v>
      </c>
      <c r="V337" s="647">
        <f t="shared" si="64"/>
        <v>57332.01</v>
      </c>
      <c r="W337" s="611">
        <f t="shared" si="65"/>
        <v>5618537</v>
      </c>
      <c r="X337" s="935">
        <f t="shared" si="57"/>
        <v>3.1214094444444442</v>
      </c>
      <c r="Y337" s="934">
        <v>1800000</v>
      </c>
      <c r="Z337" s="931">
        <f t="shared" si="58"/>
        <v>5618537</v>
      </c>
      <c r="AA337" s="612">
        <f t="shared" si="60"/>
        <v>317</v>
      </c>
      <c r="AB337" s="613">
        <f>IFERROR(INDEX('[12]CN HĐ'!$M$10:$M$73,MATCH(B337,'[12]CN HĐ'!$H$10:$H$73,0)),"")</f>
        <v>0</v>
      </c>
      <c r="AC337" s="616" t="s">
        <v>2226</v>
      </c>
      <c r="AD337" s="108"/>
      <c r="AE337" s="108"/>
      <c r="AF337" s="108"/>
      <c r="AG337" s="108"/>
      <c r="AH337" s="108"/>
      <c r="AI337" s="108"/>
      <c r="AJ337" s="108"/>
      <c r="AK337" s="108"/>
      <c r="AL337" s="108"/>
      <c r="AM337" s="108"/>
      <c r="AN337" s="108"/>
      <c r="AO337" s="108"/>
      <c r="AP337" s="108"/>
      <c r="AQ337" s="108"/>
      <c r="AR337" s="108"/>
      <c r="AS337" s="108"/>
      <c r="AT337" s="108"/>
      <c r="AU337" s="108"/>
      <c r="AV337" s="108"/>
      <c r="AW337" s="108"/>
      <c r="AX337" s="108"/>
      <c r="AY337" s="108"/>
      <c r="AZ337" s="108"/>
    </row>
    <row r="338" spans="1:52" s="372" customFormat="1" ht="27" customHeight="1">
      <c r="A338" s="30">
        <f>_xlfn.AGGREGATE(4,7,A$20:A337)+1</f>
        <v>318</v>
      </c>
      <c r="B338" s="444" t="s">
        <v>2131</v>
      </c>
      <c r="C338" s="419"/>
      <c r="D338" s="418" t="s">
        <v>2132</v>
      </c>
      <c r="E338" s="604" t="s">
        <v>2133</v>
      </c>
      <c r="F338" s="604"/>
      <c r="G338" s="604"/>
      <c r="H338" s="368" t="s">
        <v>2042</v>
      </c>
      <c r="I338" s="605">
        <v>7515057</v>
      </c>
      <c r="J338" s="368" t="str">
        <f>VLOOKUP(B338,TH.T3!B344:J602,9,FALSE)</f>
        <v>NV phòng TS - Đào tạo</v>
      </c>
      <c r="K338" s="466">
        <f t="shared" si="62"/>
        <v>5260539.8999999994</v>
      </c>
      <c r="L338" s="606" t="str">
        <f>VLOOKUP(B338,'[11]Gui chi Quynh'!$B$11:$E$400,4,FALSE)</f>
        <v>A2</v>
      </c>
      <c r="M338" s="466">
        <f t="shared" si="66"/>
        <v>7364756</v>
      </c>
      <c r="N338" s="606">
        <v>22</v>
      </c>
      <c r="O338" s="607">
        <f>IFERROR(INDEX('[12]CN HĐ'!$J$10:$J$72,MATCH(B338,'[12]CN HĐ'!$H$10:$H$72,0)),"")</f>
        <v>23</v>
      </c>
      <c r="P338" s="608" t="e">
        <f>IF(M338&gt;#REF!,M338,#REF!)</f>
        <v>#REF!</v>
      </c>
      <c r="Q338" s="466">
        <f t="shared" si="63"/>
        <v>7364756</v>
      </c>
      <c r="R338" s="609"/>
      <c r="S338" s="466">
        <v>0</v>
      </c>
      <c r="T338" s="610"/>
      <c r="U338" s="466">
        <v>0</v>
      </c>
      <c r="V338" s="647">
        <f t="shared" si="64"/>
        <v>75150.570000000007</v>
      </c>
      <c r="W338" s="611">
        <f t="shared" si="65"/>
        <v>7364756</v>
      </c>
      <c r="X338" s="935">
        <f t="shared" si="57"/>
        <v>4.0915311111111112</v>
      </c>
      <c r="Y338" s="934">
        <v>1800000</v>
      </c>
      <c r="Z338" s="931">
        <f t="shared" si="58"/>
        <v>7364756</v>
      </c>
      <c r="AA338" s="612">
        <f t="shared" si="60"/>
        <v>318</v>
      </c>
      <c r="AB338" s="613">
        <f>IFERROR(INDEX('[12]CN HĐ'!$M$10:$M$73,MATCH(B338,'[12]CN HĐ'!$H$10:$H$73,0)),"")</f>
        <v>0</v>
      </c>
      <c r="AC338" s="616" t="s">
        <v>2226</v>
      </c>
      <c r="AD338" s="108"/>
      <c r="AE338" s="108"/>
      <c r="AF338" s="108"/>
      <c r="AG338" s="108"/>
      <c r="AH338" s="108"/>
      <c r="AI338" s="108"/>
      <c r="AJ338" s="108"/>
      <c r="AK338" s="108"/>
      <c r="AL338" s="108"/>
      <c r="AM338" s="108"/>
      <c r="AN338" s="108"/>
      <c r="AO338" s="108"/>
      <c r="AP338" s="108"/>
      <c r="AQ338" s="108"/>
      <c r="AR338" s="108"/>
      <c r="AS338" s="108"/>
      <c r="AT338" s="108"/>
      <c r="AU338" s="108"/>
      <c r="AV338" s="108"/>
      <c r="AW338" s="108"/>
      <c r="AX338" s="108"/>
      <c r="AY338" s="108"/>
      <c r="AZ338" s="108"/>
    </row>
    <row r="339" spans="1:52" s="372" customFormat="1" ht="29.25" customHeight="1">
      <c r="A339" s="30">
        <f>_xlfn.AGGREGATE(4,7,A$20:A338)+1</f>
        <v>319</v>
      </c>
      <c r="B339" s="444" t="s">
        <v>2134</v>
      </c>
      <c r="C339" s="419" t="s">
        <v>1043</v>
      </c>
      <c r="D339" s="418" t="s">
        <v>2135</v>
      </c>
      <c r="E339" s="604" t="s">
        <v>2136</v>
      </c>
      <c r="F339" s="604"/>
      <c r="G339" s="604"/>
      <c r="H339" s="368" t="s">
        <v>2042</v>
      </c>
      <c r="I339" s="605">
        <v>8041111</v>
      </c>
      <c r="J339" s="368" t="str">
        <f>VLOOKUP(B339,TH.T3!B345:J603,9,FALSE)</f>
        <v>NV phòng TS - Đào tạo</v>
      </c>
      <c r="K339" s="466">
        <f t="shared" si="62"/>
        <v>5628777.6999999993</v>
      </c>
      <c r="L339" s="606" t="str">
        <f>VLOOKUP(B339,'[11]Gui chi Quynh'!$B$11:$E$400,4,FALSE)</f>
        <v>A1</v>
      </c>
      <c r="M339" s="466">
        <f t="shared" si="66"/>
        <v>9006044</v>
      </c>
      <c r="N339" s="606">
        <v>22</v>
      </c>
      <c r="O339" s="607">
        <f>IFERROR(INDEX('[12]CN HĐ'!$J$10:$J$72,MATCH(B339,'[12]CN HĐ'!$H$10:$H$72,0)),"")</f>
        <v>23</v>
      </c>
      <c r="P339" s="608" t="e">
        <f>IF(M339&gt;#REF!,M339,#REF!)</f>
        <v>#REF!</v>
      </c>
      <c r="Q339" s="466">
        <f t="shared" si="63"/>
        <v>9006044</v>
      </c>
      <c r="R339" s="609"/>
      <c r="S339" s="466">
        <v>0</v>
      </c>
      <c r="T339" s="610"/>
      <c r="U339" s="466">
        <v>0</v>
      </c>
      <c r="V339" s="647">
        <f t="shared" si="64"/>
        <v>80411.11</v>
      </c>
      <c r="W339" s="611">
        <f t="shared" si="65"/>
        <v>9006044</v>
      </c>
      <c r="X339" s="935">
        <f t="shared" si="57"/>
        <v>5.0033577777777776</v>
      </c>
      <c r="Y339" s="934">
        <v>1800000</v>
      </c>
      <c r="Z339" s="931">
        <f t="shared" si="58"/>
        <v>9006044</v>
      </c>
      <c r="AA339" s="612">
        <f t="shared" si="60"/>
        <v>319</v>
      </c>
      <c r="AB339" s="613">
        <f>IFERROR(INDEX('[12]CN HĐ'!$M$10:$M$73,MATCH(B339,'[12]CN HĐ'!$H$10:$H$73,0)),"")</f>
        <v>0</v>
      </c>
      <c r="AC339" s="616" t="s">
        <v>2226</v>
      </c>
      <c r="AD339" s="108"/>
      <c r="AE339" s="108"/>
      <c r="AF339" s="108"/>
      <c r="AG339" s="108"/>
      <c r="AH339" s="108"/>
      <c r="AI339" s="108"/>
      <c r="AJ339" s="108"/>
      <c r="AK339" s="108"/>
      <c r="AL339" s="108"/>
      <c r="AM339" s="108"/>
      <c r="AN339" s="108"/>
      <c r="AO339" s="108"/>
      <c r="AP339" s="108"/>
      <c r="AQ339" s="108"/>
      <c r="AR339" s="108"/>
      <c r="AS339" s="108"/>
      <c r="AT339" s="108"/>
      <c r="AU339" s="108"/>
      <c r="AV339" s="108"/>
      <c r="AW339" s="108"/>
      <c r="AX339" s="108"/>
      <c r="AY339" s="108"/>
      <c r="AZ339" s="108"/>
    </row>
    <row r="340" spans="1:52" s="372" customFormat="1" ht="29.25" customHeight="1">
      <c r="A340" s="30">
        <f>_xlfn.AGGREGATE(4,7,A$20:A339)+1</f>
        <v>320</v>
      </c>
      <c r="B340" s="444" t="s">
        <v>2137</v>
      </c>
      <c r="C340" s="419"/>
      <c r="D340" s="418"/>
      <c r="E340" s="604"/>
      <c r="F340" s="604"/>
      <c r="G340" s="604"/>
      <c r="H340" s="368" t="s">
        <v>2042</v>
      </c>
      <c r="I340" s="605">
        <f>5358132</f>
        <v>5358132</v>
      </c>
      <c r="J340" s="368" t="str">
        <f>VLOOKUP(B340,TH.T3!B346:J604,9,FALSE)</f>
        <v>NV phòng TS - Đào tạo</v>
      </c>
      <c r="K340" s="466">
        <f t="shared" si="62"/>
        <v>3750692.4</v>
      </c>
      <c r="L340" s="606" t="str">
        <f>VLOOKUP(B340,'[11]Gui chi Quynh'!$B$11:$E$400,4,FALSE)</f>
        <v>A3</v>
      </c>
      <c r="M340" s="466">
        <f t="shared" si="66"/>
        <v>4500831</v>
      </c>
      <c r="N340" s="606">
        <v>22</v>
      </c>
      <c r="O340" s="607">
        <f>IFERROR(INDEX('[12]CN HĐ'!$J$10:$J$72,MATCH(B340,'[12]CN HĐ'!$H$10:$H$72,0)),"")</f>
        <v>22</v>
      </c>
      <c r="P340" s="608"/>
      <c r="Q340" s="466">
        <f t="shared" si="63"/>
        <v>4500831</v>
      </c>
      <c r="R340" s="609"/>
      <c r="S340" s="466">
        <v>0</v>
      </c>
      <c r="T340" s="610"/>
      <c r="U340" s="466">
        <v>0</v>
      </c>
      <c r="V340" s="647">
        <f t="shared" si="64"/>
        <v>53581.32</v>
      </c>
      <c r="W340" s="611">
        <f t="shared" si="65"/>
        <v>4500831</v>
      </c>
      <c r="X340" s="935">
        <f t="shared" si="57"/>
        <v>2.5004616666666668</v>
      </c>
      <c r="Y340" s="934">
        <v>1800000</v>
      </c>
      <c r="Z340" s="931">
        <f t="shared" si="58"/>
        <v>4500831</v>
      </c>
      <c r="AA340" s="612"/>
      <c r="AB340" s="613">
        <f>IFERROR(INDEX('[12]CN HĐ'!$M$10:$M$73,MATCH(B340,'[12]CN HĐ'!$H$10:$H$73,0)),"")</f>
        <v>0</v>
      </c>
      <c r="AC340" s="654" t="s">
        <v>2226</v>
      </c>
    </row>
    <row r="341" spans="1:52" s="372" customFormat="1" ht="39.75" customHeight="1">
      <c r="A341" s="379">
        <f>_xlfn.AGGREGATE(4,7,A$20:A340)+1</f>
        <v>321</v>
      </c>
      <c r="B341" s="444" t="s">
        <v>2138</v>
      </c>
      <c r="C341" s="419" t="s">
        <v>2139</v>
      </c>
      <c r="D341" s="418" t="s">
        <v>2140</v>
      </c>
      <c r="E341" s="636" t="s">
        <v>2141</v>
      </c>
      <c r="F341" s="636"/>
      <c r="G341" s="636"/>
      <c r="H341" s="368" t="s">
        <v>2031</v>
      </c>
      <c r="I341" s="605">
        <v>5417685</v>
      </c>
      <c r="J341" s="368" t="str">
        <f>VLOOKUP(B341,TH.T3!B347:J605,9,FALSE)</f>
        <v>NV TT Điều hành và QLDL</v>
      </c>
      <c r="K341" s="466">
        <f t="shared" si="62"/>
        <v>1625305.5</v>
      </c>
      <c r="L341" s="606" t="str">
        <f>VLOOKUP(B341,'[11]Gui chi Quynh'!$B$11:$E$400,4,FALSE)</f>
        <v>A3</v>
      </c>
      <c r="M341" s="466">
        <f t="shared" si="66"/>
        <v>1950367</v>
      </c>
      <c r="N341" s="606">
        <v>22</v>
      </c>
      <c r="O341" s="607">
        <f>IFERROR(INDEX('[12]CN HĐ'!$J$10:$J$72,MATCH(B341,'[12]CN HĐ'!$H$10:$H$72,0)),"")</f>
        <v>23</v>
      </c>
      <c r="P341" s="608" t="e">
        <f>IF(M341&gt;#REF!,M341,#REF!)</f>
        <v>#REF!</v>
      </c>
      <c r="Q341" s="466">
        <f t="shared" si="63"/>
        <v>1950367</v>
      </c>
      <c r="R341" s="609"/>
      <c r="S341" s="466">
        <v>0</v>
      </c>
      <c r="T341" s="610"/>
      <c r="U341" s="466">
        <v>0</v>
      </c>
      <c r="V341" s="647">
        <f t="shared" si="64"/>
        <v>54176.85</v>
      </c>
      <c r="W341" s="611">
        <f t="shared" si="65"/>
        <v>1950367</v>
      </c>
      <c r="X341" s="935">
        <f t="shared" si="57"/>
        <v>1.0835372222222222</v>
      </c>
      <c r="Y341" s="934">
        <v>1800000</v>
      </c>
      <c r="Z341" s="931">
        <f t="shared" si="58"/>
        <v>1950366.9999999998</v>
      </c>
      <c r="AA341" s="612">
        <f t="shared" si="60"/>
        <v>321</v>
      </c>
      <c r="AB341" s="613">
        <f>IFERROR(INDEX('[12]CN HĐ'!$M$10:$M$73,MATCH(B341,'[12]CN HĐ'!$H$10:$H$73,0)),"")</f>
        <v>0</v>
      </c>
      <c r="AC341" s="654" t="s">
        <v>2228</v>
      </c>
    </row>
    <row r="342" spans="1:52" s="372" customFormat="1" ht="32.25" customHeight="1">
      <c r="A342" s="30">
        <f>_xlfn.AGGREGATE(4,7,A$20:A341)+1</f>
        <v>322</v>
      </c>
      <c r="B342" s="444" t="s">
        <v>2142</v>
      </c>
      <c r="C342" s="419"/>
      <c r="D342" s="418"/>
      <c r="E342" s="604"/>
      <c r="F342" s="604"/>
      <c r="G342" s="604"/>
      <c r="H342" s="368" t="s">
        <v>2038</v>
      </c>
      <c r="I342" s="605">
        <v>5007600</v>
      </c>
      <c r="J342" s="368" t="str">
        <f>VLOOKUP(B342,TH.T3!B348:J606,9,FALSE)</f>
        <v>NV TT Điều hành và QLDL</v>
      </c>
      <c r="K342" s="466">
        <f t="shared" si="62"/>
        <v>3505320</v>
      </c>
      <c r="L342" s="606" t="str">
        <f>VLOOKUP(B342,'[11]Gui chi Quynh'!$B$11:$E$400,4,FALSE)</f>
        <v>A1</v>
      </c>
      <c r="M342" s="466">
        <f t="shared" si="66"/>
        <v>5608512</v>
      </c>
      <c r="N342" s="606">
        <v>22</v>
      </c>
      <c r="O342" s="607">
        <f>IFERROR(INDEX('[12]CN HĐ'!$J$10:$J$72,MATCH(B342,'[12]CN HĐ'!$H$10:$H$72,0)),"")</f>
        <v>24</v>
      </c>
      <c r="P342" s="608"/>
      <c r="Q342" s="466">
        <f t="shared" si="63"/>
        <v>5608512</v>
      </c>
      <c r="R342" s="609"/>
      <c r="S342" s="466">
        <v>0</v>
      </c>
      <c r="T342" s="610"/>
      <c r="U342" s="466">
        <v>0</v>
      </c>
      <c r="V342" s="647">
        <f t="shared" si="64"/>
        <v>50076</v>
      </c>
      <c r="W342" s="611">
        <f t="shared" si="65"/>
        <v>5608512</v>
      </c>
      <c r="X342" s="935">
        <f t="shared" ref="X342:X350" si="67">W342/Y342</f>
        <v>3.1158399999999999</v>
      </c>
      <c r="Y342" s="934">
        <v>1800000</v>
      </c>
      <c r="Z342" s="931">
        <f t="shared" ref="Z342:Z350" si="68">X342*Y342</f>
        <v>5608512</v>
      </c>
      <c r="AA342" s="612">
        <f t="shared" si="60"/>
        <v>322</v>
      </c>
      <c r="AB342" s="613">
        <f>IFERROR(INDEX('[12]CN HĐ'!$M$10:$M$73,MATCH(B342,'[12]CN HĐ'!$H$10:$H$73,0)),"")</f>
        <v>0</v>
      </c>
      <c r="AC342" s="654" t="s">
        <v>2228</v>
      </c>
      <c r="AD342" s="108"/>
      <c r="AE342" s="108"/>
      <c r="AF342" s="108"/>
      <c r="AG342" s="108"/>
      <c r="AH342" s="108"/>
      <c r="AI342" s="108"/>
      <c r="AJ342" s="108"/>
      <c r="AK342" s="108"/>
      <c r="AL342" s="108"/>
      <c r="AM342" s="108"/>
      <c r="AN342" s="108"/>
      <c r="AO342" s="108"/>
      <c r="AP342" s="108"/>
      <c r="AQ342" s="108"/>
      <c r="AR342" s="108"/>
      <c r="AS342" s="108"/>
      <c r="AT342" s="108"/>
    </row>
    <row r="343" spans="1:52" s="372" customFormat="1" ht="32.25" customHeight="1">
      <c r="A343" s="379">
        <f>_xlfn.AGGREGATE(4,7,A$20:A342)+1</f>
        <v>323</v>
      </c>
      <c r="B343" s="444" t="s">
        <v>2143</v>
      </c>
      <c r="C343" s="419"/>
      <c r="D343" s="418"/>
      <c r="E343" s="604"/>
      <c r="F343" s="604"/>
      <c r="G343" s="604"/>
      <c r="H343" s="368" t="s">
        <v>2038</v>
      </c>
      <c r="I343" s="605">
        <v>5007600</v>
      </c>
      <c r="J343" s="368" t="str">
        <f>VLOOKUP(B343,TH.T3!B349:J607,9,FALSE)</f>
        <v>NV TT Điều hành và QLDL</v>
      </c>
      <c r="K343" s="466">
        <f t="shared" si="62"/>
        <v>3505320</v>
      </c>
      <c r="L343" s="606" t="str">
        <f>VLOOKUP(B343,'[11]Gui chi Quynh'!$B$11:$E$400,4,FALSE)</f>
        <v>A3</v>
      </c>
      <c r="M343" s="466">
        <f t="shared" si="66"/>
        <v>4206384</v>
      </c>
      <c r="N343" s="606">
        <v>22</v>
      </c>
      <c r="O343" s="607">
        <f>IFERROR(INDEX('[12]CN HĐ'!$J$10:$J$72,MATCH(B343,'[12]CN HĐ'!$H$10:$H$72,0)),"")</f>
        <v>22</v>
      </c>
      <c r="P343" s="608"/>
      <c r="Q343" s="466">
        <f t="shared" si="63"/>
        <v>4206384</v>
      </c>
      <c r="R343" s="609"/>
      <c r="S343" s="466">
        <v>0</v>
      </c>
      <c r="T343" s="610"/>
      <c r="U343" s="466">
        <v>0</v>
      </c>
      <c r="V343" s="466">
        <f t="shared" si="64"/>
        <v>50076</v>
      </c>
      <c r="W343" s="611">
        <f t="shared" si="65"/>
        <v>4206384</v>
      </c>
      <c r="X343" s="935">
        <f t="shared" si="67"/>
        <v>2.3368799999999998</v>
      </c>
      <c r="Y343" s="934">
        <v>1800000</v>
      </c>
      <c r="Z343" s="931">
        <f t="shared" si="68"/>
        <v>4206384</v>
      </c>
      <c r="AA343" s="612"/>
      <c r="AB343" s="613">
        <f>IFERROR(INDEX('[12]CN HĐ'!$M$10:$M$73,MATCH(B343,'[12]CN HĐ'!$H$10:$H$73,0)),"")</f>
        <v>0</v>
      </c>
      <c r="AC343" s="654" t="s">
        <v>2228</v>
      </c>
    </row>
    <row r="344" spans="1:52" s="372" customFormat="1" ht="30" customHeight="1">
      <c r="A344" s="30">
        <f>_xlfn.AGGREGATE(4,7,A$20:A343)+1</f>
        <v>324</v>
      </c>
      <c r="B344" s="444" t="s">
        <v>2144</v>
      </c>
      <c r="C344" s="419" t="s">
        <v>2145</v>
      </c>
      <c r="D344" s="418" t="s">
        <v>2146</v>
      </c>
      <c r="E344" s="604">
        <v>1603205351493</v>
      </c>
      <c r="F344" s="604"/>
      <c r="G344" s="604"/>
      <c r="H344" s="368" t="s">
        <v>2042</v>
      </c>
      <c r="I344" s="605">
        <v>7515057</v>
      </c>
      <c r="J344" s="368" t="str">
        <f>VLOOKUP(B344,TH.T3!B350:J608,9,FALSE)</f>
        <v>NV phòng Khảo thí và ĐBCL</v>
      </c>
      <c r="K344" s="466">
        <f t="shared" si="62"/>
        <v>5260539.8999999994</v>
      </c>
      <c r="L344" s="606" t="str">
        <f>VLOOKUP(B344,'[11]Gui chi Quynh'!$B$11:$E$400,4,FALSE)</f>
        <v>A3</v>
      </c>
      <c r="M344" s="466">
        <f t="shared" si="66"/>
        <v>6312648</v>
      </c>
      <c r="N344" s="606">
        <v>22</v>
      </c>
      <c r="O344" s="607">
        <f>IFERROR(INDEX('[12]CN HĐ'!$J$10:$J$72,MATCH(B344,'[12]CN HĐ'!$H$10:$H$72,0)),"")</f>
        <v>22</v>
      </c>
      <c r="P344" s="608" t="e">
        <f>IF(M344&gt;#REF!,M344,#REF!)</f>
        <v>#REF!</v>
      </c>
      <c r="Q344" s="466">
        <f t="shared" si="63"/>
        <v>6312648</v>
      </c>
      <c r="R344" s="609"/>
      <c r="S344" s="466">
        <v>0</v>
      </c>
      <c r="T344" s="610"/>
      <c r="U344" s="466">
        <v>0</v>
      </c>
      <c r="V344" s="647">
        <f t="shared" si="64"/>
        <v>75150.570000000007</v>
      </c>
      <c r="W344" s="611">
        <f t="shared" si="65"/>
        <v>6312648</v>
      </c>
      <c r="X344" s="935">
        <f t="shared" si="67"/>
        <v>3.5070266666666665</v>
      </c>
      <c r="Y344" s="934">
        <v>1800000</v>
      </c>
      <c r="Z344" s="931">
        <f t="shared" si="68"/>
        <v>6312648</v>
      </c>
      <c r="AA344" s="612">
        <f t="shared" si="60"/>
        <v>324</v>
      </c>
      <c r="AB344" s="613">
        <f>IFERROR(INDEX('[12]CN HĐ'!$M$10:$M$73,MATCH(B344,'[12]CN HĐ'!$H$10:$H$73,0)),"")</f>
        <v>0</v>
      </c>
      <c r="AC344" s="948" t="s">
        <v>2227</v>
      </c>
      <c r="AD344" s="108"/>
      <c r="AE344" s="108"/>
      <c r="AF344" s="108"/>
      <c r="AG344" s="108"/>
      <c r="AH344" s="108"/>
      <c r="AI344" s="108"/>
      <c r="AJ344" s="108"/>
      <c r="AK344" s="108"/>
      <c r="AL344" s="108"/>
      <c r="AM344" s="108"/>
      <c r="AN344" s="108"/>
      <c r="AO344" s="108"/>
      <c r="AP344" s="108"/>
      <c r="AQ344" s="108"/>
      <c r="AR344" s="108"/>
      <c r="AS344" s="108"/>
      <c r="AT344" s="108"/>
      <c r="AU344" s="108"/>
      <c r="AV344" s="108"/>
      <c r="AW344" s="108"/>
      <c r="AX344" s="108"/>
      <c r="AY344" s="108"/>
      <c r="AZ344" s="108"/>
    </row>
    <row r="345" spans="1:52" s="372" customFormat="1" ht="30.75" customHeight="1">
      <c r="A345" s="30">
        <f>_xlfn.AGGREGATE(4,7,A$20:A344)+1</f>
        <v>325</v>
      </c>
      <c r="B345" s="444" t="s">
        <v>2147</v>
      </c>
      <c r="C345" s="419"/>
      <c r="D345" s="418"/>
      <c r="E345" s="20" t="s">
        <v>2148</v>
      </c>
      <c r="F345" s="20"/>
      <c r="G345" s="20"/>
      <c r="H345" s="368" t="s">
        <v>2042</v>
      </c>
      <c r="I345" s="605">
        <v>10540257</v>
      </c>
      <c r="J345" s="368" t="str">
        <f>VLOOKUP(B345,TH.T3!B351:J609,9,FALSE)</f>
        <v>Khoa Động lực</v>
      </c>
      <c r="K345" s="466">
        <f t="shared" si="62"/>
        <v>7378179.8999999994</v>
      </c>
      <c r="L345" s="606" t="str">
        <f>VLOOKUP(B345,'[11]Gui chi Quynh'!$B$11:$E$400,4,FALSE)</f>
        <v>A2</v>
      </c>
      <c r="M345" s="466">
        <f t="shared" si="66"/>
        <v>10329452</v>
      </c>
      <c r="N345" s="606">
        <v>22</v>
      </c>
      <c r="O345" s="607">
        <f>IFERROR(INDEX('[12]CN HĐ'!$J$10:$J$72,MATCH(B345,'[12]CN HĐ'!$H$10:$H$72,0)),"")</f>
        <v>22</v>
      </c>
      <c r="P345" s="608" t="e">
        <f>IF(M345&gt;#REF!,M345,#REF!)</f>
        <v>#REF!</v>
      </c>
      <c r="Q345" s="466">
        <f t="shared" si="63"/>
        <v>10329452</v>
      </c>
      <c r="R345" s="609"/>
      <c r="S345" s="466">
        <v>0</v>
      </c>
      <c r="T345" s="610"/>
      <c r="U345" s="466">
        <v>0</v>
      </c>
      <c r="V345" s="647">
        <f t="shared" si="64"/>
        <v>105402.57</v>
      </c>
      <c r="W345" s="611">
        <f t="shared" si="65"/>
        <v>10329452</v>
      </c>
      <c r="X345" s="935">
        <f t="shared" si="67"/>
        <v>5.7385844444444443</v>
      </c>
      <c r="Y345" s="934">
        <v>1800000</v>
      </c>
      <c r="Z345" s="931">
        <f t="shared" si="68"/>
        <v>10329452</v>
      </c>
      <c r="AA345" s="612">
        <f t="shared" si="60"/>
        <v>325</v>
      </c>
      <c r="AB345" s="613">
        <f>IFERROR(INDEX('[12]CN HĐ'!$M$10:$M$73,MATCH(B345,'[12]CN HĐ'!$H$10:$H$73,0)),"")</f>
        <v>0</v>
      </c>
      <c r="AC345" s="616" t="s">
        <v>2241</v>
      </c>
      <c r="AD345" s="108"/>
      <c r="AE345" s="108"/>
      <c r="AF345" s="108"/>
      <c r="AG345" s="108"/>
      <c r="AH345" s="108"/>
      <c r="AI345" s="108"/>
      <c r="AJ345" s="108"/>
      <c r="AK345" s="108"/>
      <c r="AL345" s="108"/>
      <c r="AM345" s="108"/>
      <c r="AN345" s="108"/>
      <c r="AO345" s="108"/>
      <c r="AP345" s="108"/>
      <c r="AQ345" s="108"/>
      <c r="AR345" s="108"/>
      <c r="AS345" s="108"/>
      <c r="AT345" s="108"/>
      <c r="AU345" s="108"/>
      <c r="AV345" s="108"/>
      <c r="AW345" s="108"/>
      <c r="AX345" s="108"/>
      <c r="AY345" s="108"/>
      <c r="AZ345" s="108"/>
    </row>
    <row r="346" spans="1:52" s="372" customFormat="1" ht="31.5" customHeight="1">
      <c r="A346" s="30">
        <f>_xlfn.AGGREGATE(4,7,A$20:A345)+1</f>
        <v>326</v>
      </c>
      <c r="B346" s="444" t="s">
        <v>2149</v>
      </c>
      <c r="C346" s="419"/>
      <c r="D346" s="418" t="s">
        <v>2150</v>
      </c>
      <c r="E346" s="20" t="s">
        <v>11</v>
      </c>
      <c r="F346" s="20"/>
      <c r="G346" s="20"/>
      <c r="H346" s="368" t="s">
        <v>2038</v>
      </c>
      <c r="I346" s="605">
        <v>6086769</v>
      </c>
      <c r="J346" s="368" t="str">
        <f>VLOOKUP(B346,TH.T3!B352:J610,9,FALSE)</f>
        <v>NV TT Đào tạo Lý Tự Trọng</v>
      </c>
      <c r="K346" s="466">
        <f t="shared" si="62"/>
        <v>4260738.3</v>
      </c>
      <c r="L346" s="606" t="str">
        <f>VLOOKUP(B346,'[11]Gui chi Quynh'!$B$11:$E$400,4,FALSE)</f>
        <v>A4</v>
      </c>
      <c r="M346" s="466">
        <f t="shared" si="66"/>
        <v>4260738</v>
      </c>
      <c r="N346" s="606">
        <v>22</v>
      </c>
      <c r="O346" s="607">
        <f>IFERROR(INDEX('[12]CN HĐ'!$J$10:$J$72,MATCH(B346,'[12]CN HĐ'!$H$10:$H$72,0)),"")</f>
        <v>22</v>
      </c>
      <c r="P346" s="608"/>
      <c r="Q346" s="466">
        <f t="shared" si="63"/>
        <v>4260738</v>
      </c>
      <c r="R346" s="609"/>
      <c r="S346" s="466">
        <v>0</v>
      </c>
      <c r="T346" s="610"/>
      <c r="U346" s="466">
        <v>0</v>
      </c>
      <c r="V346" s="647">
        <f t="shared" si="64"/>
        <v>60867.69</v>
      </c>
      <c r="W346" s="611">
        <f t="shared" si="65"/>
        <v>4260738</v>
      </c>
      <c r="X346" s="935">
        <f t="shared" si="67"/>
        <v>2.3670766666666667</v>
      </c>
      <c r="Y346" s="934">
        <v>1800000</v>
      </c>
      <c r="Z346" s="931">
        <f t="shared" si="68"/>
        <v>4260738</v>
      </c>
      <c r="AA346" s="612">
        <f t="shared" si="60"/>
        <v>326</v>
      </c>
      <c r="AB346" s="613">
        <f>IFERROR(INDEX('[12]CN HĐ'!$M$10:$M$73,MATCH(B346,'[12]CN HĐ'!$H$10:$H$73,0)),"")</f>
        <v>0</v>
      </c>
      <c r="AC346" s="616" t="s">
        <v>2222</v>
      </c>
      <c r="AD346" s="108"/>
      <c r="AE346" s="108"/>
      <c r="AF346" s="108"/>
      <c r="AG346" s="108"/>
      <c r="AH346" s="108"/>
      <c r="AI346" s="108"/>
      <c r="AJ346" s="108"/>
      <c r="AK346" s="108"/>
      <c r="AL346" s="108"/>
      <c r="AM346" s="108"/>
      <c r="AN346" s="108"/>
      <c r="AO346" s="108"/>
      <c r="AP346" s="108"/>
      <c r="AQ346" s="108"/>
      <c r="AR346" s="108"/>
      <c r="AS346" s="108"/>
      <c r="AT346" s="108"/>
      <c r="AU346" s="108"/>
      <c r="AV346" s="108"/>
      <c r="AW346" s="108"/>
      <c r="AX346" s="108"/>
      <c r="AY346" s="108"/>
      <c r="AZ346" s="108"/>
    </row>
    <row r="347" spans="1:52" s="372" customFormat="1" ht="27.75" customHeight="1">
      <c r="A347" s="30">
        <f>_xlfn.AGGREGATE(4,7,A$20:A346)+1</f>
        <v>327</v>
      </c>
      <c r="B347" s="444" t="s">
        <v>2151</v>
      </c>
      <c r="C347" s="419"/>
      <c r="D347" s="418"/>
      <c r="E347" s="636"/>
      <c r="F347" s="636"/>
      <c r="G347" s="636"/>
      <c r="H347" s="368" t="s">
        <v>2031</v>
      </c>
      <c r="I347" s="605">
        <v>4680000</v>
      </c>
      <c r="J347" s="368" t="str">
        <f>VLOOKUP(B347,TH.T3!B353:J611,9,FALSE)</f>
        <v>NV TT Đào tạo Lý Tự Trọng</v>
      </c>
      <c r="K347" s="466">
        <f t="shared" si="62"/>
        <v>1404000</v>
      </c>
      <c r="L347" s="606" t="str">
        <f>VLOOKUP(B347,'[11]Gui chi Quynh'!$B$11:$E$400,4,FALSE)</f>
        <v>A3</v>
      </c>
      <c r="M347" s="466">
        <f t="shared" si="66"/>
        <v>1684800</v>
      </c>
      <c r="N347" s="606">
        <v>22</v>
      </c>
      <c r="O347" s="607">
        <f>IFERROR(INDEX('[12]CN HĐ'!$J$10:$J$73,MATCH(B347,'[12]CN HĐ'!$H$10:$H$73,0)),"")</f>
        <v>25</v>
      </c>
      <c r="P347" s="608"/>
      <c r="Q347" s="466">
        <f t="shared" si="63"/>
        <v>1684800</v>
      </c>
      <c r="R347" s="609"/>
      <c r="S347" s="466">
        <v>0</v>
      </c>
      <c r="T347" s="610"/>
      <c r="U347" s="466">
        <v>0</v>
      </c>
      <c r="V347" s="647">
        <f t="shared" si="64"/>
        <v>46800</v>
      </c>
      <c r="W347" s="611">
        <f t="shared" si="65"/>
        <v>1684800</v>
      </c>
      <c r="X347" s="935">
        <f t="shared" si="67"/>
        <v>0.93600000000000005</v>
      </c>
      <c r="Y347" s="934">
        <v>1800000</v>
      </c>
      <c r="Z347" s="931">
        <f t="shared" si="68"/>
        <v>1684800</v>
      </c>
      <c r="AA347" s="612">
        <f t="shared" si="60"/>
        <v>327</v>
      </c>
      <c r="AB347" s="613">
        <f>IFERROR(INDEX('[12]CN HĐ'!$M$10:$M$73,MATCH(B347,'[12]CN HĐ'!$H$10:$H$73,0)),"")</f>
        <v>0</v>
      </c>
      <c r="AC347" s="616" t="s">
        <v>2222</v>
      </c>
    </row>
    <row r="348" spans="1:52" s="372" customFormat="1" ht="27.75" customHeight="1">
      <c r="A348" s="30">
        <f>_xlfn.AGGREGATE(4,7,A$20:A347)+1</f>
        <v>328</v>
      </c>
      <c r="B348" s="444" t="s">
        <v>2152</v>
      </c>
      <c r="C348" s="419" t="s">
        <v>960</v>
      </c>
      <c r="D348" s="418" t="s">
        <v>2153</v>
      </c>
      <c r="E348" s="604" t="s">
        <v>2154</v>
      </c>
      <c r="F348" s="604"/>
      <c r="G348" s="604"/>
      <c r="H348" s="368" t="s">
        <v>2042</v>
      </c>
      <c r="I348" s="605">
        <v>6563942</v>
      </c>
      <c r="J348" s="368" t="str">
        <f>VLOOKUP(B348,TH.T3!B354:J612,9,FALSE)</f>
        <v xml:space="preserve">NV Thư viện  </v>
      </c>
      <c r="K348" s="466">
        <f t="shared" si="62"/>
        <v>4594759.3999999994</v>
      </c>
      <c r="L348" s="606" t="str">
        <f>VLOOKUP(B348,'[11]Gui chi Quynh'!$B$11:$E$400,4,FALSE)</f>
        <v>A3</v>
      </c>
      <c r="M348" s="466">
        <f t="shared" si="66"/>
        <v>5513711</v>
      </c>
      <c r="N348" s="606">
        <v>22</v>
      </c>
      <c r="O348" s="607">
        <f>IFERROR(INDEX('[12]CN HĐ'!$J$10:$J$72,MATCH(B348,'[12]CN HĐ'!$H$10:$H$72,0)),"")</f>
        <v>20</v>
      </c>
      <c r="P348" s="608" t="e">
        <f>IF(M348&gt;#REF!,M348,#REF!)</f>
        <v>#REF!</v>
      </c>
      <c r="Q348" s="466">
        <f t="shared" si="63"/>
        <v>5012465</v>
      </c>
      <c r="R348" s="609"/>
      <c r="S348" s="466">
        <v>0</v>
      </c>
      <c r="T348" s="610"/>
      <c r="U348" s="466">
        <v>0</v>
      </c>
      <c r="V348" s="647">
        <f t="shared" si="64"/>
        <v>65639.42</v>
      </c>
      <c r="W348" s="611">
        <f t="shared" si="65"/>
        <v>5012465</v>
      </c>
      <c r="X348" s="935">
        <f t="shared" si="67"/>
        <v>2.784702777777778</v>
      </c>
      <c r="Y348" s="934">
        <v>1800000</v>
      </c>
      <c r="Z348" s="931">
        <f t="shared" si="68"/>
        <v>5012465</v>
      </c>
      <c r="AA348" s="612">
        <f t="shared" si="60"/>
        <v>328</v>
      </c>
      <c r="AB348" s="613" t="str">
        <f>IFERROR(INDEX('[12]CN HĐ'!$M$10:$M$73,MATCH(B348,'[12]CN HĐ'!$H$10:$H$73,0)),"")</f>
        <v>Trừ 2 ngày nghỉ phép 5+6/4</v>
      </c>
      <c r="AC348" s="616" t="s">
        <v>2229</v>
      </c>
      <c r="AD348" s="108"/>
      <c r="AE348" s="108"/>
      <c r="AF348" s="108"/>
      <c r="AG348" s="108"/>
      <c r="AH348" s="108"/>
      <c r="AI348" s="108"/>
      <c r="AJ348" s="108"/>
      <c r="AK348" s="108"/>
      <c r="AL348" s="108"/>
      <c r="AM348" s="108"/>
      <c r="AN348" s="108"/>
      <c r="AO348" s="108"/>
      <c r="AP348" s="108"/>
      <c r="AQ348" s="108"/>
      <c r="AR348" s="108"/>
      <c r="AS348" s="108"/>
      <c r="AT348" s="108"/>
      <c r="AU348" s="108"/>
      <c r="AV348" s="108"/>
      <c r="AW348" s="108"/>
      <c r="AX348" s="108"/>
      <c r="AY348" s="108"/>
      <c r="AZ348" s="108"/>
    </row>
    <row r="349" spans="1:52" s="372" customFormat="1" ht="27.75" customHeight="1">
      <c r="A349" s="30">
        <f>_xlfn.AGGREGATE(4,7,A$20:A348)+1</f>
        <v>329</v>
      </c>
      <c r="B349" s="444" t="s">
        <v>2155</v>
      </c>
      <c r="C349" s="419"/>
      <c r="D349" s="418"/>
      <c r="E349" s="604"/>
      <c r="F349" s="604"/>
      <c r="G349" s="604"/>
      <c r="H349" s="368" t="s">
        <v>2038</v>
      </c>
      <c r="I349" s="605">
        <v>5520879</v>
      </c>
      <c r="J349" s="368" t="str">
        <f>VLOOKUP(B349,TH.T3!B355:J613,9,FALSE)</f>
        <v xml:space="preserve">NV Thư viện  </v>
      </c>
      <c r="K349" s="466">
        <f t="shared" si="62"/>
        <v>3864615.3</v>
      </c>
      <c r="L349" s="606" t="str">
        <f>VLOOKUP(B349,'[11]Gui chi Quynh'!$B$11:$E$400,4,FALSE)</f>
        <v>A3</v>
      </c>
      <c r="M349" s="466">
        <f t="shared" si="66"/>
        <v>4637538</v>
      </c>
      <c r="N349" s="606">
        <v>22</v>
      </c>
      <c r="O349" s="607">
        <f>IFERROR(INDEX('[12]CN HĐ'!$J$10:$J$72,MATCH(B349,'[12]CN HĐ'!$H$10:$H$72,0)),"")</f>
        <v>22</v>
      </c>
      <c r="P349" s="608" t="e">
        <f>IF(M349&gt;#REF!,M349,#REF!)</f>
        <v>#REF!</v>
      </c>
      <c r="Q349" s="466">
        <f t="shared" si="63"/>
        <v>4637538</v>
      </c>
      <c r="R349" s="609"/>
      <c r="S349" s="466">
        <v>0</v>
      </c>
      <c r="T349" s="610"/>
      <c r="U349" s="466">
        <v>0</v>
      </c>
      <c r="V349" s="647">
        <f t="shared" si="64"/>
        <v>55208.79</v>
      </c>
      <c r="W349" s="611">
        <f t="shared" si="65"/>
        <v>4637538</v>
      </c>
      <c r="X349" s="935">
        <f t="shared" si="67"/>
        <v>2.5764100000000001</v>
      </c>
      <c r="Y349" s="934">
        <v>1800000</v>
      </c>
      <c r="Z349" s="931">
        <f t="shared" si="68"/>
        <v>4637538</v>
      </c>
      <c r="AA349" s="612">
        <f t="shared" ref="AA349:AA350" si="69">A349</f>
        <v>329</v>
      </c>
      <c r="AB349" s="613">
        <f>IFERROR(INDEX('[12]CN HĐ'!$M$10:$M$73,MATCH(B349,'[12]CN HĐ'!$H$10:$H$73,0)),"")</f>
        <v>0</v>
      </c>
      <c r="AC349" s="616" t="s">
        <v>2229</v>
      </c>
      <c r="AD349" s="108"/>
      <c r="AE349" s="108"/>
      <c r="AF349" s="108"/>
      <c r="AG349" s="108"/>
      <c r="AH349" s="108"/>
      <c r="AI349" s="108"/>
      <c r="AJ349" s="108"/>
      <c r="AK349" s="108"/>
      <c r="AL349" s="108"/>
      <c r="AM349" s="108"/>
      <c r="AN349" s="108"/>
      <c r="AO349" s="108"/>
      <c r="AP349" s="108"/>
      <c r="AQ349" s="108"/>
      <c r="AR349" s="108"/>
      <c r="AS349" s="108"/>
      <c r="AT349" s="108"/>
      <c r="AU349" s="108"/>
      <c r="AV349" s="108"/>
      <c r="AW349" s="108"/>
      <c r="AX349" s="108"/>
      <c r="AY349" s="108"/>
      <c r="AZ349" s="108"/>
    </row>
    <row r="350" spans="1:52" s="372" customFormat="1" ht="27.75" customHeight="1">
      <c r="A350" s="30">
        <f>_xlfn.AGGREGATE(4,7,A$20:A349)+1</f>
        <v>330</v>
      </c>
      <c r="B350" s="444" t="s">
        <v>2156</v>
      </c>
      <c r="C350" s="419" t="s">
        <v>920</v>
      </c>
      <c r="D350" s="418" t="s">
        <v>2157</v>
      </c>
      <c r="E350" s="637" t="s">
        <v>2158</v>
      </c>
      <c r="F350" s="638"/>
      <c r="G350" s="638"/>
      <c r="H350" s="81" t="s">
        <v>2042</v>
      </c>
      <c r="I350" s="605">
        <v>6563942</v>
      </c>
      <c r="J350" s="368" t="str">
        <f>VLOOKUP(B350,TH.T3!B356:J614,9,FALSE)</f>
        <v xml:space="preserve">NV Thư viện  </v>
      </c>
      <c r="K350" s="466">
        <f t="shared" si="62"/>
        <v>4594759.3999999994</v>
      </c>
      <c r="L350" s="606" t="str">
        <f>VLOOKUP(B350,'[11]Gui chi Quynh'!$B$11:$E$400,4,FALSE)</f>
        <v>A3</v>
      </c>
      <c r="M350" s="466">
        <f t="shared" si="66"/>
        <v>5513711</v>
      </c>
      <c r="N350" s="606">
        <v>22</v>
      </c>
      <c r="O350" s="607">
        <f>IFERROR(INDEX('[12]CN HĐ'!$J$10:$J$72,MATCH(B350,'[12]CN HĐ'!$H$10:$H$72,0)),"")</f>
        <v>22</v>
      </c>
      <c r="P350" s="608" t="e">
        <f>IF(M350&gt;#REF!,M350,#REF!)</f>
        <v>#REF!</v>
      </c>
      <c r="Q350" s="466">
        <f t="shared" si="63"/>
        <v>5513711</v>
      </c>
      <c r="R350" s="609"/>
      <c r="S350" s="466">
        <v>0</v>
      </c>
      <c r="T350" s="610"/>
      <c r="U350" s="466">
        <v>0</v>
      </c>
      <c r="V350" s="647">
        <f t="shared" si="64"/>
        <v>65639.42</v>
      </c>
      <c r="W350" s="611">
        <f t="shared" si="65"/>
        <v>5513711</v>
      </c>
      <c r="X350" s="935">
        <f t="shared" si="67"/>
        <v>3.063172777777778</v>
      </c>
      <c r="Y350" s="934">
        <v>1800000</v>
      </c>
      <c r="Z350" s="931">
        <f t="shared" si="68"/>
        <v>5513711</v>
      </c>
      <c r="AA350" s="612">
        <f t="shared" si="69"/>
        <v>330</v>
      </c>
      <c r="AB350" s="613">
        <f>IFERROR(INDEX('[12]CN HĐ'!$M$10:$M$73,MATCH(B350,'[12]CN HĐ'!$H$10:$H$73,0)),"")</f>
        <v>0</v>
      </c>
      <c r="AC350" s="616" t="s">
        <v>2229</v>
      </c>
      <c r="AD350" s="108"/>
      <c r="AE350" s="108"/>
      <c r="AF350" s="108"/>
      <c r="AG350" s="108"/>
      <c r="AH350" s="108"/>
      <c r="AI350" s="108"/>
      <c r="AJ350" s="108"/>
      <c r="AK350" s="108"/>
      <c r="AL350" s="108"/>
      <c r="AM350" s="108"/>
      <c r="AN350" s="108"/>
      <c r="AO350" s="108"/>
      <c r="AP350" s="108"/>
      <c r="AQ350" s="108"/>
      <c r="AR350" s="108"/>
      <c r="AS350" s="108"/>
      <c r="AT350" s="108"/>
      <c r="AU350" s="108"/>
      <c r="AV350" s="108"/>
      <c r="AW350" s="108"/>
      <c r="AX350" s="108"/>
      <c r="AY350" s="108"/>
      <c r="AZ350" s="108"/>
    </row>
    <row r="351" spans="1:52" s="372" customFormat="1" ht="27.75" customHeight="1">
      <c r="A351" s="896"/>
      <c r="B351" s="941"/>
      <c r="C351" s="897"/>
      <c r="D351" s="898"/>
      <c r="E351" s="899"/>
      <c r="F351" s="900"/>
      <c r="G351" s="900"/>
      <c r="H351" s="901"/>
      <c r="I351" s="902"/>
      <c r="J351" s="715"/>
      <c r="K351" s="903"/>
      <c r="L351" s="904"/>
      <c r="M351" s="903"/>
      <c r="N351" s="904"/>
      <c r="O351" s="904"/>
      <c r="P351" s="905"/>
      <c r="Q351" s="903"/>
      <c r="R351" s="906"/>
      <c r="S351" s="903"/>
      <c r="T351" s="907"/>
      <c r="U351" s="903"/>
      <c r="V351" s="908"/>
      <c r="W351" s="909"/>
      <c r="X351" s="942"/>
      <c r="Y351" s="943"/>
      <c r="Z351" s="944"/>
      <c r="AA351" s="910"/>
      <c r="AB351" s="911"/>
      <c r="AC351" s="108"/>
      <c r="AD351" s="108"/>
      <c r="AE351" s="108"/>
      <c r="AF351" s="108"/>
      <c r="AG351" s="108"/>
      <c r="AH351" s="108"/>
      <c r="AI351" s="108"/>
      <c r="AJ351" s="108"/>
      <c r="AK351" s="108"/>
      <c r="AL351" s="108"/>
      <c r="AM351" s="108"/>
      <c r="AN351" s="108"/>
      <c r="AO351" s="108"/>
      <c r="AP351" s="108"/>
      <c r="AQ351" s="108"/>
      <c r="AR351" s="108"/>
      <c r="AS351" s="108"/>
      <c r="AT351" s="108"/>
      <c r="AU351" s="108"/>
      <c r="AV351" s="108"/>
      <c r="AW351" s="108"/>
      <c r="AX351" s="108"/>
      <c r="AY351" s="108"/>
      <c r="AZ351" s="108"/>
    </row>
    <row r="352" spans="1:52" s="124" customFormat="1" ht="21.75" customHeight="1">
      <c r="A352" s="347"/>
      <c r="B352" s="410" t="s">
        <v>1109</v>
      </c>
      <c r="C352" s="411"/>
      <c r="D352" s="412"/>
      <c r="E352" s="348"/>
      <c r="F352" s="413">
        <f>SUM(F21:F287)</f>
        <v>1014.8940000000006</v>
      </c>
      <c r="G352" s="413">
        <f>SUM(G21:G287)</f>
        <v>2.7100000000000009</v>
      </c>
      <c r="H352" s="413">
        <f>SUM(H21:H287)</f>
        <v>1028.2978000000005</v>
      </c>
      <c r="I352" s="413">
        <f>SUM(I21:I287)</f>
        <v>25.099999999999998</v>
      </c>
      <c r="J352" s="413"/>
      <c r="K352" s="413">
        <f>SUM(K21:K287)</f>
        <v>1053.3978000000009</v>
      </c>
      <c r="L352" s="414">
        <f>SUM(L21:L287)</f>
        <v>1896116040</v>
      </c>
      <c r="M352" s="413"/>
      <c r="N352" s="415">
        <f t="shared" ref="N352:W352" si="70">SUM(N21:N287)</f>
        <v>2369061756</v>
      </c>
      <c r="O352" s="415">
        <f t="shared" si="70"/>
        <v>5073</v>
      </c>
      <c r="P352" s="416">
        <f t="shared" si="70"/>
        <v>5238.5</v>
      </c>
      <c r="Q352" s="415">
        <f t="shared" si="70"/>
        <v>2368471734.9473686</v>
      </c>
      <c r="R352" s="475">
        <f t="shared" si="70"/>
        <v>0</v>
      </c>
      <c r="S352" s="415">
        <f t="shared" si="70"/>
        <v>0</v>
      </c>
      <c r="T352" s="417">
        <f t="shared" si="70"/>
        <v>0</v>
      </c>
      <c r="U352" s="415">
        <f t="shared" si="70"/>
        <v>0</v>
      </c>
      <c r="V352" s="586">
        <f t="shared" si="70"/>
        <v>18781555</v>
      </c>
      <c r="W352" s="415">
        <f t="shared" si="70"/>
        <v>2368471734.9473686</v>
      </c>
      <c r="X352" s="928">
        <f>SUM(X21:X350)</f>
        <v>1479.9583838596493</v>
      </c>
      <c r="Y352" s="442"/>
      <c r="Z352" s="442">
        <f>SUM(Z21:Z350)</f>
        <v>2663925090.9473686</v>
      </c>
      <c r="AA352" s="349"/>
      <c r="AB352" s="348"/>
      <c r="AC352" s="438"/>
      <c r="AF352" s="156"/>
    </row>
    <row r="353" spans="1:33" ht="2.25" customHeight="1">
      <c r="F353" s="1"/>
      <c r="G353" s="4"/>
      <c r="L353" s="357"/>
      <c r="M353" s="1"/>
      <c r="N353" s="3"/>
      <c r="O353" s="1"/>
      <c r="P353" s="1"/>
      <c r="Q353" s="3"/>
      <c r="R353" s="451"/>
      <c r="S353" s="3"/>
      <c r="T353" s="382"/>
      <c r="U353" s="3"/>
      <c r="V353" s="581"/>
      <c r="W353" s="3"/>
      <c r="X353" s="3"/>
      <c r="Y353" s="3"/>
      <c r="Z353" s="3"/>
    </row>
    <row r="354" spans="1:33" s="16" customFormat="1" ht="21.75" customHeight="1">
      <c r="B354" s="492" t="s">
        <v>2217</v>
      </c>
      <c r="C354" s="14"/>
      <c r="D354" s="14"/>
      <c r="E354" s="14"/>
      <c r="F354" s="15"/>
      <c r="G354" s="15"/>
      <c r="H354" s="15"/>
      <c r="I354" s="15"/>
      <c r="J354" s="15"/>
      <c r="K354" s="80"/>
      <c r="L354" s="355"/>
      <c r="M354" s="18"/>
      <c r="N354" s="17"/>
      <c r="O354" s="18"/>
      <c r="P354" s="18"/>
      <c r="Q354" s="43"/>
      <c r="R354" s="450"/>
      <c r="S354" s="17"/>
      <c r="T354" s="381"/>
      <c r="U354" s="17"/>
      <c r="V354" s="579"/>
      <c r="W354" s="43"/>
      <c r="X354" s="43"/>
      <c r="Y354" s="43"/>
      <c r="Z354" s="43"/>
      <c r="AB354" s="97"/>
      <c r="AC354" s="106"/>
      <c r="AF354" s="152"/>
    </row>
    <row r="355" spans="1:33" s="16" customFormat="1" ht="3.75" customHeight="1">
      <c r="B355" s="37"/>
      <c r="C355" s="14"/>
      <c r="D355" s="14"/>
      <c r="E355" s="14"/>
      <c r="F355" s="15"/>
      <c r="G355" s="15"/>
      <c r="H355" s="15"/>
      <c r="I355" s="15"/>
      <c r="J355" s="15"/>
      <c r="K355" s="80"/>
      <c r="L355" s="355"/>
      <c r="M355" s="18"/>
      <c r="N355" s="17"/>
      <c r="O355" s="18"/>
      <c r="P355" s="18"/>
      <c r="Q355" s="43"/>
      <c r="R355" s="450"/>
      <c r="S355" s="17"/>
      <c r="T355" s="381"/>
      <c r="U355" s="17"/>
      <c r="V355" s="579"/>
      <c r="W355" s="43"/>
      <c r="X355" s="43"/>
      <c r="Y355" s="43"/>
      <c r="Z355" s="43"/>
      <c r="AB355" s="97"/>
      <c r="AC355" s="106"/>
      <c r="AF355" s="152"/>
    </row>
    <row r="356" spans="1:33" ht="15.75">
      <c r="F356" s="1"/>
      <c r="G356" s="4"/>
      <c r="L356" s="356"/>
      <c r="M356" s="1"/>
      <c r="N356" s="3"/>
      <c r="O356" s="1"/>
      <c r="P356" s="1"/>
      <c r="Q356" s="1"/>
      <c r="R356" s="456"/>
      <c r="S356" s="1"/>
      <c r="T356" s="386"/>
      <c r="U356" s="1559" t="s">
        <v>2215</v>
      </c>
      <c r="V356" s="1559"/>
      <c r="W356" s="1559"/>
      <c r="X356" s="1559"/>
      <c r="Y356" s="1559"/>
      <c r="Z356" s="1559"/>
      <c r="AA356" s="1559"/>
      <c r="AB356" s="1559"/>
      <c r="AC356" s="730"/>
      <c r="AD356" s="219"/>
      <c r="AF356" s="2"/>
      <c r="AG356" s="151"/>
    </row>
    <row r="357" spans="1:33" s="16" customFormat="1">
      <c r="A357" s="1543" t="s">
        <v>859</v>
      </c>
      <c r="B357" s="1543"/>
      <c r="C357" s="14"/>
      <c r="D357" s="14"/>
      <c r="E357" s="14"/>
      <c r="F357" s="14"/>
      <c r="G357" s="14"/>
      <c r="H357" s="14"/>
      <c r="I357" s="14"/>
      <c r="J357" s="1543" t="s">
        <v>1191</v>
      </c>
      <c r="K357" s="1543"/>
      <c r="L357" s="1543"/>
      <c r="M357" s="1543"/>
      <c r="N357" s="1543"/>
      <c r="O357" s="1543"/>
      <c r="P357" s="1543"/>
      <c r="Q357" s="1543"/>
      <c r="R357" s="1543"/>
      <c r="S357" s="1543"/>
      <c r="T357" s="1543"/>
      <c r="U357" s="1543"/>
      <c r="V357" s="1543"/>
      <c r="W357" s="1543"/>
      <c r="X357" s="1543"/>
      <c r="Y357" s="1543"/>
      <c r="Z357" s="1543" t="s">
        <v>41</v>
      </c>
      <c r="AA357" s="1543"/>
      <c r="AB357" s="1543"/>
      <c r="AC357" s="14"/>
      <c r="AD357" s="106"/>
      <c r="AG357" s="152"/>
    </row>
    <row r="358" spans="1:33" s="16" customFormat="1" ht="13.5" customHeight="1">
      <c r="A358" s="13"/>
      <c r="B358" s="13"/>
      <c r="C358" s="14"/>
      <c r="D358" s="14"/>
      <c r="E358" s="14"/>
      <c r="F358" s="14"/>
      <c r="G358" s="14"/>
      <c r="H358" s="14"/>
      <c r="I358" s="13"/>
      <c r="J358" s="13"/>
      <c r="K358" s="178"/>
      <c r="L358" s="352"/>
      <c r="M358" s="594"/>
      <c r="N358" s="14"/>
      <c r="O358" s="13"/>
      <c r="P358" s="14"/>
      <c r="Q358" s="13"/>
      <c r="R358" s="457"/>
      <c r="S358" s="13"/>
      <c r="T358" s="387"/>
      <c r="V358" s="587"/>
      <c r="W358" s="587"/>
      <c r="X358" s="13"/>
      <c r="Y358" s="13"/>
      <c r="Z358" s="13"/>
      <c r="AA358" s="13"/>
      <c r="AC358" s="98"/>
      <c r="AD358" s="106"/>
      <c r="AG358" s="152"/>
    </row>
    <row r="359" spans="1:33" s="16" customFormat="1" ht="10.5" customHeight="1">
      <c r="A359" s="13"/>
      <c r="B359" s="998"/>
      <c r="C359" s="998"/>
      <c r="D359" s="998"/>
      <c r="E359" s="998"/>
      <c r="F359" s="998"/>
      <c r="G359" s="998"/>
      <c r="H359" s="998"/>
      <c r="I359" s="998"/>
      <c r="J359" s="998"/>
      <c r="K359" s="998"/>
      <c r="L359" s="998"/>
      <c r="M359" s="998"/>
      <c r="N359" s="998"/>
      <c r="O359" s="998"/>
      <c r="P359" s="998"/>
      <c r="Q359" s="998"/>
      <c r="R359" s="998"/>
      <c r="S359" s="998"/>
      <c r="T359" s="998"/>
      <c r="U359" s="998"/>
      <c r="V359" s="998"/>
      <c r="W359" s="998"/>
      <c r="X359" s="998"/>
      <c r="Y359" s="13"/>
      <c r="Z359" s="13"/>
      <c r="AA359" s="13"/>
      <c r="AC359" s="98"/>
      <c r="AD359" s="106"/>
      <c r="AG359" s="152"/>
    </row>
    <row r="360" spans="1:33" s="16" customFormat="1" ht="13.5" customHeight="1">
      <c r="G360" s="21"/>
      <c r="H360" s="18"/>
      <c r="K360" s="178"/>
      <c r="L360" s="352"/>
      <c r="M360" s="649">
        <f>COUNTIF($M$24:$M$290,"A2")</f>
        <v>50</v>
      </c>
      <c r="N360" s="13"/>
      <c r="O360" s="13"/>
      <c r="P360" s="18"/>
      <c r="Q360" s="18"/>
      <c r="R360" s="458"/>
      <c r="S360" s="18"/>
      <c r="T360" s="388"/>
      <c r="U360" s="18"/>
      <c r="V360" s="588"/>
      <c r="W360" s="588"/>
      <c r="X360" s="18"/>
      <c r="Y360" s="18"/>
      <c r="Z360" s="18"/>
      <c r="AA360" s="18"/>
      <c r="AC360" s="96"/>
      <c r="AD360" s="106"/>
      <c r="AG360" s="152"/>
    </row>
    <row r="361" spans="1:33" s="16" customFormat="1" ht="13.5" customHeight="1">
      <c r="B361" s="940"/>
      <c r="C361" s="940"/>
      <c r="D361" s="940"/>
      <c r="E361" s="940"/>
      <c r="F361" s="940"/>
      <c r="G361" s="940"/>
      <c r="H361" s="940"/>
      <c r="I361" s="940"/>
      <c r="J361" s="940"/>
      <c r="K361" s="940"/>
      <c r="L361" s="940"/>
      <c r="M361" s="940"/>
      <c r="N361" s="940"/>
      <c r="O361" s="940"/>
      <c r="P361" s="940"/>
      <c r="Q361" s="940"/>
      <c r="R361" s="940"/>
      <c r="S361" s="940"/>
      <c r="T361" s="940"/>
      <c r="U361" s="940"/>
      <c r="V361" s="940"/>
      <c r="W361" s="940"/>
      <c r="X361" s="940"/>
      <c r="Y361" s="940"/>
      <c r="Z361" s="940"/>
      <c r="AA361" s="940"/>
      <c r="AB361" s="940"/>
      <c r="AC361" s="940"/>
      <c r="AD361" s="106"/>
      <c r="AG361" s="152"/>
    </row>
    <row r="362" spans="1:33" s="16" customFormat="1" ht="13.5" customHeight="1">
      <c r="G362" s="21"/>
      <c r="H362" s="18"/>
      <c r="K362" s="178"/>
      <c r="L362" s="352"/>
      <c r="M362" s="649">
        <f>COUNTIF($M$24:$M$290,"A4")</f>
        <v>59</v>
      </c>
      <c r="N362" s="13"/>
      <c r="O362" s="13"/>
      <c r="P362" s="18"/>
      <c r="Q362" s="44"/>
      <c r="R362" s="458"/>
      <c r="S362" s="18"/>
      <c r="T362" s="388"/>
      <c r="U362" s="18"/>
      <c r="V362" s="588"/>
      <c r="W362" s="588"/>
      <c r="X362" s="44"/>
      <c r="Y362" s="44"/>
      <c r="Z362" s="44"/>
      <c r="AA362" s="44"/>
      <c r="AC362" s="96"/>
      <c r="AD362" s="106"/>
      <c r="AG362" s="152"/>
    </row>
    <row r="363" spans="1:33" s="16" customFormat="1" ht="13.5" customHeight="1">
      <c r="G363" s="21"/>
      <c r="H363" s="18"/>
      <c r="I363" s="18"/>
      <c r="J363" s="18"/>
      <c r="K363" s="225"/>
      <c r="L363" s="353"/>
      <c r="M363" s="649"/>
      <c r="N363" s="13"/>
      <c r="O363" s="18"/>
      <c r="P363" s="18"/>
      <c r="Q363" s="18"/>
      <c r="R363" s="458"/>
      <c r="S363" s="18"/>
      <c r="T363" s="388"/>
      <c r="U363" s="18"/>
      <c r="V363" s="588"/>
      <c r="W363" s="588"/>
      <c r="X363" s="18"/>
      <c r="Y363" s="18"/>
      <c r="Z363" s="18"/>
      <c r="AA363" s="18"/>
      <c r="AC363" s="448"/>
      <c r="AD363" s="106"/>
      <c r="AG363" s="152"/>
    </row>
    <row r="364" spans="1:33" s="16" customFormat="1" ht="13.5" customHeight="1">
      <c r="G364" s="1553"/>
      <c r="H364" s="1553"/>
      <c r="I364" s="18"/>
      <c r="J364" s="18"/>
      <c r="K364" s="225"/>
      <c r="L364" s="353"/>
      <c r="M364" s="594"/>
      <c r="N364" s="13"/>
      <c r="O364" s="18"/>
      <c r="P364" s="18"/>
      <c r="Q364" s="18"/>
      <c r="R364" s="458"/>
      <c r="S364" s="18"/>
      <c r="T364" s="388"/>
      <c r="U364" s="18"/>
      <c r="V364" s="588"/>
      <c r="W364" s="588"/>
      <c r="X364" s="18"/>
      <c r="Y364" s="18"/>
      <c r="Z364" s="18"/>
      <c r="AA364" s="18"/>
      <c r="AC364" s="96"/>
      <c r="AD364" s="106"/>
      <c r="AG364" s="152"/>
    </row>
    <row r="365" spans="1:33" s="16" customFormat="1">
      <c r="A365" s="1543" t="s">
        <v>1827</v>
      </c>
      <c r="B365" s="1543"/>
      <c r="C365" s="14"/>
      <c r="D365" s="14"/>
      <c r="E365" s="14"/>
      <c r="F365" s="14"/>
      <c r="G365" s="14"/>
      <c r="H365" s="14"/>
      <c r="I365" s="14"/>
      <c r="J365" s="1543" t="s">
        <v>1445</v>
      </c>
      <c r="K365" s="1543"/>
      <c r="L365" s="1543"/>
      <c r="M365" s="1543"/>
      <c r="N365" s="1543"/>
      <c r="O365" s="1543"/>
      <c r="P365" s="1543"/>
      <c r="Q365" s="1543"/>
      <c r="R365" s="1543"/>
      <c r="S365" s="1543"/>
      <c r="T365" s="1543"/>
      <c r="U365" s="1543"/>
      <c r="V365" s="1543"/>
      <c r="W365" s="1543"/>
      <c r="X365" s="1543"/>
      <c r="Y365" s="1543"/>
      <c r="Z365" s="1543" t="s">
        <v>1433</v>
      </c>
      <c r="AA365" s="1543"/>
      <c r="AB365" s="1543"/>
      <c r="AC365" s="14"/>
      <c r="AD365" s="106"/>
      <c r="AG365" s="152"/>
    </row>
    <row r="366" spans="1:33" ht="15.75" customHeight="1">
      <c r="A366" s="6"/>
      <c r="K366" s="179"/>
      <c r="L366" s="358"/>
      <c r="M366" s="7"/>
      <c r="N366" s="7"/>
    </row>
    <row r="369" spans="12:12">
      <c r="L369" s="359"/>
    </row>
    <row r="422" ht="15.75" customHeight="1"/>
  </sheetData>
  <sheetProtection deleteColumns="0" deleteRows="0" selectLockedCells="1"/>
  <mergeCells count="33">
    <mergeCell ref="Z365:AB365"/>
    <mergeCell ref="A7:AB7"/>
    <mergeCell ref="G364:H364"/>
    <mergeCell ref="A365:B365"/>
    <mergeCell ref="J365:Y365"/>
    <mergeCell ref="A357:B357"/>
    <mergeCell ref="J357:Y357"/>
    <mergeCell ref="U356:AB356"/>
    <mergeCell ref="Z357:AB357"/>
    <mergeCell ref="A10:M10"/>
    <mergeCell ref="A12:AE12"/>
    <mergeCell ref="A13:AE13"/>
    <mergeCell ref="A14:AE14"/>
    <mergeCell ref="O15:S15"/>
    <mergeCell ref="A8:M8"/>
    <mergeCell ref="S8:AE8"/>
    <mergeCell ref="A9:M9"/>
    <mergeCell ref="S9:AE9"/>
    <mergeCell ref="A1:J1"/>
    <mergeCell ref="A2:J2"/>
    <mergeCell ref="A3:M3"/>
    <mergeCell ref="A6:AB6"/>
    <mergeCell ref="A4:M4"/>
    <mergeCell ref="U1:AB1"/>
    <mergeCell ref="X2:AB2"/>
    <mergeCell ref="Z3:AB3"/>
    <mergeCell ref="Z4:AB4"/>
    <mergeCell ref="Z5:AB5"/>
    <mergeCell ref="O17:S17"/>
    <mergeCell ref="B19:C19"/>
    <mergeCell ref="AA19:AB19"/>
    <mergeCell ref="B20:C20"/>
    <mergeCell ref="AA20:AB20"/>
  </mergeCells>
  <conditionalFormatting sqref="A1 K1:M1">
    <cfRule type="cellIs" dxfId="720" priority="61" stopIfTrue="1" operator="equal">
      <formula>"KXL"</formula>
    </cfRule>
    <cfRule type="cellIs" dxfId="719" priority="62" stopIfTrue="1" operator="equal">
      <formula>"A DN"</formula>
    </cfRule>
    <cfRule type="cellIs" dxfId="718" priority="63" stopIfTrue="1" operator="equal">
      <formula>"C"</formula>
    </cfRule>
    <cfRule type="cellIs" dxfId="717" priority="64" stopIfTrue="1" operator="equal">
      <formula>"B"</formula>
    </cfRule>
  </conditionalFormatting>
  <conditionalFormatting sqref="A1:A2 K1:M2 O1:U3 A3:M3 A4:Z5">
    <cfRule type="cellIs" dxfId="716" priority="54" stopIfTrue="1" operator="equal">
      <formula>"A DN"</formula>
    </cfRule>
    <cfRule type="cellIs" dxfId="715" priority="55" stopIfTrue="1" operator="equal">
      <formula>"C"</formula>
    </cfRule>
    <cfRule type="cellIs" dxfId="714" priority="56" stopIfTrue="1" operator="equal">
      <formula>"B"</formula>
    </cfRule>
  </conditionalFormatting>
  <conditionalFormatting sqref="A6:A7">
    <cfRule type="cellIs" dxfId="713" priority="60" stopIfTrue="1" operator="equal">
      <formula>"B"</formula>
    </cfRule>
    <cfRule type="cellIs" dxfId="712" priority="57" stopIfTrue="1" operator="equal">
      <formula>"KXL"</formula>
    </cfRule>
    <cfRule type="cellIs" dxfId="711" priority="58" stopIfTrue="1" operator="equal">
      <formula>"A DN"</formula>
    </cfRule>
    <cfRule type="cellIs" dxfId="710" priority="59" stopIfTrue="1" operator="equal">
      <formula>"C"</formula>
    </cfRule>
  </conditionalFormatting>
  <conditionalFormatting sqref="A22:A351 AA94:AA351 H228:I290 AC279:IY291 Q288:U288 D288:G289 V288:W291 K288:N351 U289:U327 D290:D291 I291:I327 AC292:AC300 V292:V327 W292:W351 AD307:IY307 AC308:IY318 B309:C317 T310:T327 AD319:IY319 AC320:IY343 D322:D334 E325:H327 P328:V351 AD344:IY344 AC345:IY351">
    <cfRule type="cellIs" dxfId="709" priority="152" stopIfTrue="1" operator="equal">
      <formula>"A DN"</formula>
    </cfRule>
    <cfRule type="cellIs" dxfId="708" priority="153" stopIfTrue="1" operator="equal">
      <formula>"C"</formula>
    </cfRule>
    <cfRule type="cellIs" dxfId="707" priority="154" stopIfTrue="1" operator="equal">
      <formula>"B"</formula>
    </cfRule>
  </conditionalFormatting>
  <conditionalFormatting sqref="A8:M9 O8:S9 AF8:JB9 A10:XFD13 A14 AF14:JB14 A15:XFD18">
    <cfRule type="cellIs" dxfId="706" priority="94" stopIfTrue="1" operator="equal">
      <formula>"A DN"</formula>
    </cfRule>
    <cfRule type="cellIs" dxfId="705" priority="93" stopIfTrue="1" operator="equal">
      <formula>"KXL"</formula>
    </cfRule>
    <cfRule type="cellIs" dxfId="704" priority="96" stopIfTrue="1" operator="equal">
      <formula>"B"</formula>
    </cfRule>
    <cfRule type="cellIs" dxfId="703" priority="95" stopIfTrue="1" operator="equal">
      <formula>"C"</formula>
    </cfRule>
  </conditionalFormatting>
  <conditionalFormatting sqref="A356:U356 AD356:IZ357 A357 A358:XFD364 A365 AD365:IZ365">
    <cfRule type="cellIs" dxfId="702" priority="2" stopIfTrue="1" operator="equal">
      <formula>"A DN"</formula>
    </cfRule>
    <cfRule type="cellIs" dxfId="701" priority="3" stopIfTrue="1" operator="equal">
      <formula>"C"</formula>
    </cfRule>
    <cfRule type="cellIs" dxfId="700" priority="4" stopIfTrue="1" operator="equal">
      <formula>"B"</formula>
    </cfRule>
    <cfRule type="cellIs" dxfId="699" priority="1" stopIfTrue="1" operator="equal">
      <formula>"KXL"</formula>
    </cfRule>
  </conditionalFormatting>
  <conditionalFormatting sqref="A19:Y20">
    <cfRule type="cellIs" dxfId="698" priority="29" stopIfTrue="1" operator="equal">
      <formula>"KXL"</formula>
    </cfRule>
    <cfRule type="cellIs" dxfId="697" priority="30" stopIfTrue="1" operator="equal">
      <formula>"A DN"</formula>
    </cfRule>
    <cfRule type="cellIs" dxfId="696" priority="31" stopIfTrue="1" operator="equal">
      <formula>"C"</formula>
    </cfRule>
    <cfRule type="cellIs" dxfId="695" priority="32" stopIfTrue="1" operator="equal">
      <formula>"B"</formula>
    </cfRule>
  </conditionalFormatting>
  <conditionalFormatting sqref="A4:Z5 A1:A2 K1:M2 O1:U3 A3:M3">
    <cfRule type="cellIs" dxfId="694" priority="53" stopIfTrue="1" operator="equal">
      <formula>"KXL"</formula>
    </cfRule>
  </conditionalFormatting>
  <conditionalFormatting sqref="B59:C59 F59:G59 I59 R59 T59 AD59:IY59 AD72:IY72 AC124:IY124 AC125:AC158">
    <cfRule type="cellIs" dxfId="693" priority="285" stopIfTrue="1" operator="equal">
      <formula>"B"</formula>
    </cfRule>
    <cfRule type="cellIs" dxfId="692" priority="284" stopIfTrue="1" operator="equal">
      <formula>"C"</formula>
    </cfRule>
  </conditionalFormatting>
  <conditionalFormatting sqref="B72:C72 F72:G72 I72 R72 T72">
    <cfRule type="cellIs" dxfId="691" priority="281" stopIfTrue="1" operator="equal">
      <formula>"C"</formula>
    </cfRule>
    <cfRule type="cellIs" dxfId="690" priority="283" stopIfTrue="1" operator="equal">
      <formula>"A DN"</formula>
    </cfRule>
    <cfRule type="cellIs" dxfId="689" priority="282" stopIfTrue="1" operator="equal">
      <formula>"B"</formula>
    </cfRule>
  </conditionalFormatting>
  <conditionalFormatting sqref="B124:C124 F124:G124 I124 R124 T124">
    <cfRule type="cellIs" dxfId="688" priority="280" stopIfTrue="1" operator="equal">
      <formula>"A DN"</formula>
    </cfRule>
    <cfRule type="cellIs" dxfId="687" priority="279" stopIfTrue="1" operator="equal">
      <formula>"B"</formula>
    </cfRule>
    <cfRule type="cellIs" dxfId="686" priority="278" stopIfTrue="1" operator="equal">
      <formula>"C"</formula>
    </cfRule>
  </conditionalFormatting>
  <conditionalFormatting sqref="B125:C287 Q223:W287">
    <cfRule type="cellIs" dxfId="685" priority="287" stopIfTrue="1" operator="equal">
      <formula>"KXL"</formula>
    </cfRule>
    <cfRule type="cellIs" dxfId="684" priority="288" stopIfTrue="1" operator="equal">
      <formula>"A DN"</formula>
    </cfRule>
    <cfRule type="cellIs" dxfId="683" priority="289" stopIfTrue="1" operator="equal">
      <formula>"C"</formula>
    </cfRule>
    <cfRule type="cellIs" dxfId="682" priority="290" stopIfTrue="1" operator="equal">
      <formula>"B"</formula>
    </cfRule>
  </conditionalFormatting>
  <conditionalFormatting sqref="D305:G308">
    <cfRule type="cellIs" dxfId="681" priority="137" stopIfTrue="1" operator="equal">
      <formula>"B"</formula>
    </cfRule>
    <cfRule type="cellIs" dxfId="680" priority="136" stopIfTrue="1" operator="equal">
      <formula>"C"</formula>
    </cfRule>
    <cfRule type="cellIs" dxfId="679" priority="134" stopIfTrue="1" operator="equal">
      <formula>"KXL"</formula>
    </cfRule>
    <cfRule type="cellIs" dxfId="678" priority="135" stopIfTrue="1" operator="equal">
      <formula>"A DN"</formula>
    </cfRule>
  </conditionalFormatting>
  <conditionalFormatting sqref="D318:G321">
    <cfRule type="cellIs" dxfId="677" priority="123" stopIfTrue="1" operator="equal">
      <formula>"A DN"</formula>
    </cfRule>
    <cfRule type="cellIs" dxfId="676" priority="122" stopIfTrue="1" operator="equal">
      <formula>"KXL"</formula>
    </cfRule>
    <cfRule type="cellIs" dxfId="675" priority="125" stopIfTrue="1" operator="equal">
      <formula>"B"</formula>
    </cfRule>
    <cfRule type="cellIs" dxfId="674" priority="124" stopIfTrue="1" operator="equal">
      <formula>"C"</formula>
    </cfRule>
  </conditionalFormatting>
  <conditionalFormatting sqref="D335:I351">
    <cfRule type="cellIs" dxfId="673" priority="109" stopIfTrue="1" operator="equal">
      <formula>"B"</formula>
    </cfRule>
    <cfRule type="cellIs" dxfId="672" priority="106" stopIfTrue="1" operator="equal">
      <formula>"KXL"</formula>
    </cfRule>
    <cfRule type="cellIs" dxfId="671" priority="107" stopIfTrue="1" operator="equal">
      <formula>"A DN"</formula>
    </cfRule>
    <cfRule type="cellIs" dxfId="670" priority="108" stopIfTrue="1" operator="equal">
      <formula>"C"</formula>
    </cfRule>
  </conditionalFormatting>
  <conditionalFormatting sqref="E124">
    <cfRule type="cellIs" dxfId="669" priority="277" stopIfTrue="1" operator="equal">
      <formula>"B"</formula>
    </cfRule>
    <cfRule type="cellIs" dxfId="668" priority="276" stopIfTrue="1" operator="equal">
      <formula>"C"</formula>
    </cfRule>
    <cfRule type="cellIs" dxfId="667" priority="274" stopIfTrue="1" operator="equal">
      <formula>"KXL"</formula>
    </cfRule>
    <cfRule type="cellIs" dxfId="666" priority="275" stopIfTrue="1" operator="equal">
      <formula>"A DN"</formula>
    </cfRule>
  </conditionalFormatting>
  <conditionalFormatting sqref="E299:G304">
    <cfRule type="cellIs" dxfId="665" priority="131" stopIfTrue="1" operator="equal">
      <formula>"A DN"</formula>
    </cfRule>
    <cfRule type="cellIs" dxfId="664" priority="133" stopIfTrue="1" operator="equal">
      <formula>"B"</formula>
    </cfRule>
    <cfRule type="cellIs" dxfId="663" priority="132" stopIfTrue="1" operator="equal">
      <formula>"C"</formula>
    </cfRule>
    <cfRule type="cellIs" dxfId="662" priority="130" stopIfTrue="1" operator="equal">
      <formula>"KXL"</formula>
    </cfRule>
  </conditionalFormatting>
  <conditionalFormatting sqref="E309:G309">
    <cfRule type="cellIs" dxfId="661" priority="142" stopIfTrue="1" operator="equal">
      <formula>"KXL"</formula>
    </cfRule>
    <cfRule type="cellIs" dxfId="660" priority="143" stopIfTrue="1" operator="equal">
      <formula>"A DN"</formula>
    </cfRule>
    <cfRule type="cellIs" dxfId="659" priority="144" stopIfTrue="1" operator="equal">
      <formula>"C"</formula>
    </cfRule>
    <cfRule type="cellIs" dxfId="658" priority="145" stopIfTrue="1" operator="equal">
      <formula>"B"</formula>
    </cfRule>
  </conditionalFormatting>
  <conditionalFormatting sqref="E312:G312">
    <cfRule type="cellIs" dxfId="657" priority="126" stopIfTrue="1" operator="equal">
      <formula>"KXL"</formula>
    </cfRule>
    <cfRule type="cellIs" dxfId="656" priority="127" stopIfTrue="1" operator="equal">
      <formula>"A DN"</formula>
    </cfRule>
    <cfRule type="cellIs" dxfId="655" priority="129" stopIfTrue="1" operator="equal">
      <formula>"B"</formula>
    </cfRule>
    <cfRule type="cellIs" dxfId="654" priority="128" stopIfTrue="1" operator="equal">
      <formula>"C"</formula>
    </cfRule>
  </conditionalFormatting>
  <conditionalFormatting sqref="E322:G324">
    <cfRule type="cellIs" dxfId="653" priority="119" stopIfTrue="1" operator="equal">
      <formula>"A DN"</formula>
    </cfRule>
    <cfRule type="cellIs" dxfId="652" priority="120" stopIfTrue="1" operator="equal">
      <formula>"C"</formula>
    </cfRule>
    <cfRule type="cellIs" dxfId="651" priority="121" stopIfTrue="1" operator="equal">
      <formula>"B"</formula>
    </cfRule>
    <cfRule type="cellIs" dxfId="650" priority="118" stopIfTrue="1" operator="equal">
      <formula>"KXL"</formula>
    </cfRule>
  </conditionalFormatting>
  <conditionalFormatting sqref="E328:I334">
    <cfRule type="cellIs" dxfId="649" priority="110" stopIfTrue="1" operator="equal">
      <formula>"KXL"</formula>
    </cfRule>
    <cfRule type="cellIs" dxfId="648" priority="112" stopIfTrue="1" operator="equal">
      <formula>"C"</formula>
    </cfRule>
    <cfRule type="cellIs" dxfId="647" priority="113" stopIfTrue="1" operator="equal">
      <formula>"B"</formula>
    </cfRule>
    <cfRule type="cellIs" dxfId="646" priority="111" stopIfTrue="1" operator="equal">
      <formula>"A DN"</formula>
    </cfRule>
  </conditionalFormatting>
  <conditionalFormatting sqref="H291:H324">
    <cfRule type="cellIs" dxfId="645" priority="104" stopIfTrue="1" operator="equal">
      <formula>"C"</formula>
    </cfRule>
    <cfRule type="cellIs" dxfId="644" priority="105" stopIfTrue="1" operator="equal">
      <formula>"B"</formula>
    </cfRule>
    <cfRule type="cellIs" dxfId="643" priority="103" stopIfTrue="1" operator="equal">
      <formula>"A DN"</formula>
    </cfRule>
    <cfRule type="cellIs" dxfId="642" priority="102" stopIfTrue="1" operator="equal">
      <formula>"KXL"</formula>
    </cfRule>
  </conditionalFormatting>
  <conditionalFormatting sqref="H36:I46 R43:R46 T43:T55 D45:G45 D46 F46:G46">
    <cfRule type="cellIs" dxfId="641" priority="265" stopIfTrue="1" operator="equal">
      <formula>"B"</formula>
    </cfRule>
    <cfRule type="cellIs" dxfId="640" priority="263" stopIfTrue="1" operator="equal">
      <formula>"A DN"</formula>
    </cfRule>
    <cfRule type="cellIs" dxfId="639" priority="264" stopIfTrue="1" operator="equal">
      <formula>"C"</formula>
    </cfRule>
  </conditionalFormatting>
  <conditionalFormatting sqref="H36:I46 T43:T55 R43:R58 D45:G45 D46 F46:G46">
    <cfRule type="cellIs" dxfId="638" priority="262" stopIfTrue="1" operator="equal">
      <formula>"KXL"</formula>
    </cfRule>
  </conditionalFormatting>
  <conditionalFormatting sqref="J22:O90 M92:O287 AC20:IY25 A21:C21 E21:O21 Q21:Z21 Q22:W22 E22:I23 B22:C25 X22:Z35 U23:W35 Q23:Q90 F24:I25 AE26:IY26 AC26:AC35 E27:I27 B27:C34 AD27:IY34 E28:G29 H28:I34 F30:G31 E32:G33 F34:G34 D35:I35 AC35:IY36 E36:G40 B36:C44 U36:AA90 AD37:IY39 AC37:AC42 AE40:IY40 F41:G41 AD41:IY46 E42:G42 F43:G44 S43:S61 E47:I49 AC47:IY49 B47:C58 E50:G51 H50:I54 AD50:IY58 F52:G52 E53:G54 F55:I58 T57:T58 H59 R60:R61 T60:T61 E60:I64 AD60:IY65 B60:C71 R62:T68 F65:I65 E66:I66 AC66:IY71 F67:I67 E68:I71 R69:R71 T69:T71 S69:S90 H72 AC72:AC74 B73:C73 E73:G73 AC73:IY73 H73:I74 R73:R90 T73:T90 D74:G74 AE74:IY74 F75:I75 B75:C90 E76:I77 E78:G79 H78:I81 F80:G81 F82:I82 E83:I83 F84:I86 F87:G88 H87:I89 E89:G89 F90:I90 D91:O91 Q91:AA91 W92:W222 J92:J351 X92:Z351 D94 K94 F94:I97 AC94:IY97 R94:T123 Q94:Q221 U94:V221 B95:C123 K95:L132 E98:G98 AD98:IY103 AC98:AC114 H98:I123 F99:G102 E103:G103 AE104:IY104 F104:G114 AD105:IY114 E115:G119 AC115:IY123 F120:G123 H124 S124 E125:G127 H125:I132 AD125:IY158 R125:T221 F128:G128 E129:G132 F133:G133 H133:L142 E134:G137 F138:G139 E140:G142 F143:G144 H143:I190 K143:L287 E145:G150 F151:G158 E159:G170 AC159:IY195 F171:G171 E172:G172 F173:G173 E174:G184 F185:G185 E186:G189 F190:G190 E191:I193 E194:G202 H194:I216 AD196:IY200 AC196:AC278 AE201:IY201 AC202:IY208 F203:G203 E204:G213 AD209:IY209 AE210:IY210 AD211:IY211 AE212:IY212 AD213:IY221 F214:G214 E215:G216 E217:I227 Q222:V222 AC222:IY222 AD223:IY230 E228:G229 F230:G230 AE231:IY231 E231:G246 AD232:IY251 F247:G252 AC252:IY252 AE253:IY253 E253:G265 AC254:IY261 AE262:IY262 AC263:IY266 G266:G278 AE267:IY278 E279:G285 F286:G287 A352:IY355 A366:XFD65611">
    <cfRule type="cellIs" dxfId="637" priority="291" stopIfTrue="1" operator="equal">
      <formula>"KXL"</formula>
    </cfRule>
  </conditionalFormatting>
  <conditionalFormatting sqref="K288:N351 A22:A351 AA94:AA351 H228:I290 AC279:IY291 Q288:U288 D288:G289 V288:W291 U289:U327 D290:D291 I291:I327 AC292:AC300 V292:V327 W292:W351 AD307:IY307 AC308:IY318 B309:C317 T310:T327 AD319:IY319 AC320:IY343 D322:D334 E325:H327 P328:V351 AD344:IY344 AC345:IY351">
    <cfRule type="cellIs" dxfId="636" priority="151" stopIfTrue="1" operator="equal">
      <formula>"KXL"</formula>
    </cfRule>
  </conditionalFormatting>
  <conditionalFormatting sqref="L288:L351">
    <cfRule type="cellIs" dxfId="635" priority="150" stopIfTrue="1" operator="equal">
      <formula>"D"</formula>
    </cfRule>
    <cfRule type="cellIs" dxfId="634" priority="168" operator="equal">
      <formula>"D"</formula>
    </cfRule>
    <cfRule type="cellIs" dxfId="633" priority="169" operator="equal">
      <formula>"C2"</formula>
    </cfRule>
    <cfRule type="cellIs" dxfId="632" priority="170" operator="equal">
      <formula>"C1"</formula>
    </cfRule>
    <cfRule type="cellIs" dxfId="631" priority="171" operator="equal">
      <formula>"C"</formula>
    </cfRule>
    <cfRule type="cellIs" dxfId="630" priority="172" operator="equal">
      <formula>"B2"</formula>
    </cfRule>
    <cfRule type="cellIs" dxfId="629" priority="173" operator="equal">
      <formula>"B1"</formula>
    </cfRule>
    <cfRule type="cellIs" dxfId="628" priority="174" operator="equal">
      <formula>"B"</formula>
    </cfRule>
    <cfRule type="cellIs" dxfId="627" priority="175" operator="equal">
      <formula>"B1"</formula>
    </cfRule>
    <cfRule type="cellIs" dxfId="626" priority="176" operator="greaterThan">
      <formula>B</formula>
    </cfRule>
    <cfRule type="cellIs" dxfId="622" priority="167" operator="equal">
      <formula>"A DN"</formula>
    </cfRule>
  </conditionalFormatting>
  <conditionalFormatting sqref="L299:L331">
    <cfRule type="cellIs" dxfId="619" priority="199" operator="equal">
      <formula>"B1"</formula>
    </cfRule>
    <cfRule type="cellIs" dxfId="618" priority="200" operator="greaterThan">
      <formula>B</formula>
    </cfRule>
    <cfRule type="cellIs" dxfId="617" priority="192" operator="equal">
      <formula>"D"</formula>
    </cfRule>
    <cfRule type="cellIs" dxfId="616" priority="191" operator="equal">
      <formula>"A DN"</formula>
    </cfRule>
    <cfRule type="cellIs" dxfId="615" priority="193" operator="equal">
      <formula>"C2"</formula>
    </cfRule>
    <cfRule type="cellIs" dxfId="614" priority="194" operator="equal">
      <formula>"C1"</formula>
    </cfRule>
    <cfRule type="cellIs" dxfId="613" priority="195" operator="equal">
      <formula>"C"</formula>
    </cfRule>
    <cfRule type="cellIs" dxfId="612" priority="196" operator="equal">
      <formula>"B2"</formula>
    </cfRule>
    <cfRule type="cellIs" dxfId="611" priority="197" operator="equal">
      <formula>"B1"</formula>
    </cfRule>
    <cfRule type="cellIs" dxfId="610" priority="198" operator="equal">
      <formula>"B"</formula>
    </cfRule>
  </conditionalFormatting>
  <conditionalFormatting sqref="L304:L317 L341:L351">
    <cfRule type="cellIs" dxfId="607" priority="183" operator="equal">
      <formula>"C"</formula>
    </cfRule>
    <cfRule type="cellIs" dxfId="606" priority="182" operator="equal">
      <formula>"C1"</formula>
    </cfRule>
    <cfRule type="cellIs" dxfId="605" priority="181" operator="equal">
      <formula>"C2"</formula>
    </cfRule>
    <cfRule type="cellIs" dxfId="604" priority="184" operator="equal">
      <formula>"B2"</formula>
    </cfRule>
    <cfRule type="cellIs" dxfId="603" priority="185" operator="equal">
      <formula>"B1"</formula>
    </cfRule>
    <cfRule type="cellIs" dxfId="602" priority="186" operator="equal">
      <formula>"B"</formula>
    </cfRule>
    <cfRule type="cellIs" dxfId="601" priority="187" operator="equal">
      <formula>"B1"</formula>
    </cfRule>
    <cfRule type="cellIs" dxfId="600" priority="188" operator="greaterThan">
      <formula>B</formula>
    </cfRule>
    <cfRule type="cellIs" dxfId="599" priority="180" operator="equal">
      <formula>"D"</formula>
    </cfRule>
    <cfRule type="cellIs" dxfId="598" priority="179" operator="equal">
      <formula>"A DN"</formula>
    </cfRule>
  </conditionalFormatting>
  <conditionalFormatting sqref="L318:L333">
    <cfRule type="cellIs" dxfId="597" priority="163" operator="equal">
      <formula>"B1"</formula>
    </cfRule>
    <cfRule type="cellIs" dxfId="596" priority="164" operator="greaterThan">
      <formula>B</formula>
    </cfRule>
    <cfRule type="cellIs" dxfId="594" priority="157" operator="equal">
      <formula>"C2"</formula>
    </cfRule>
    <cfRule type="cellIs" dxfId="593" priority="155" operator="equal">
      <formula>"A DN"</formula>
    </cfRule>
    <cfRule type="cellIs" dxfId="592" priority="156" operator="equal">
      <formula>"D"</formula>
    </cfRule>
    <cfRule type="cellIs" dxfId="591" priority="158" operator="equal">
      <formula>"C1"</formula>
    </cfRule>
    <cfRule type="cellIs" dxfId="590" priority="159" operator="equal">
      <formula>"C"</formula>
    </cfRule>
    <cfRule type="cellIs" dxfId="589" priority="160" operator="equal">
      <formula>"B2"</formula>
    </cfRule>
    <cfRule type="cellIs" dxfId="588" priority="161" operator="equal">
      <formula>"B1"</formula>
    </cfRule>
    <cfRule type="cellIs" dxfId="587" priority="162" operator="equal">
      <formula>"B"</formula>
    </cfRule>
  </conditionalFormatting>
  <conditionalFormatting sqref="L318:L341">
    <cfRule type="cellIs" dxfId="586" priority="242" operator="equal">
      <formula>"C1"</formula>
    </cfRule>
    <cfRule type="cellIs" dxfId="585" priority="240" operator="equal">
      <formula>"D"</formula>
    </cfRule>
    <cfRule type="cellIs" dxfId="584" priority="241" operator="equal">
      <formula>"C2"</formula>
    </cfRule>
    <cfRule type="cellIs" dxfId="583" priority="239" operator="equal">
      <formula>"A DN"</formula>
    </cfRule>
    <cfRule type="cellIs" dxfId="582" priority="243" operator="equal">
      <formula>"C"</formula>
    </cfRule>
    <cfRule type="cellIs" dxfId="581" priority="244" operator="equal">
      <formula>"B2"</formula>
    </cfRule>
    <cfRule type="cellIs" dxfId="580" priority="245" operator="equal">
      <formula>"B1"</formula>
    </cfRule>
    <cfRule type="cellIs" dxfId="579" priority="246" operator="equal">
      <formula>"B"</formula>
    </cfRule>
    <cfRule type="cellIs" dxfId="578" priority="247" operator="equal">
      <formula>"B1"</formula>
    </cfRule>
    <cfRule type="cellIs" dxfId="577" priority="248" operator="greaterThan">
      <formula>B</formula>
    </cfRule>
  </conditionalFormatting>
  <conditionalFormatting sqref="L318:L351">
    <cfRule type="cellIs" dxfId="574" priority="229" operator="equal">
      <formula>"C2"</formula>
    </cfRule>
    <cfRule type="cellIs" dxfId="572" priority="231" operator="equal">
      <formula>"C"</formula>
    </cfRule>
    <cfRule type="cellIs" dxfId="571" priority="234" operator="equal">
      <formula>"B"</formula>
    </cfRule>
    <cfRule type="cellIs" dxfId="570" priority="233" operator="equal">
      <formula>"B1"</formula>
    </cfRule>
    <cfRule type="cellIs" dxfId="569" priority="235" operator="equal">
      <formula>"B1"</formula>
    </cfRule>
    <cfRule type="cellIs" dxfId="567" priority="236" operator="greaterThan">
      <formula>B</formula>
    </cfRule>
    <cfRule type="cellIs" dxfId="566" priority="228" operator="equal">
      <formula>"D"</formula>
    </cfRule>
    <cfRule type="cellIs" dxfId="565" priority="227" operator="equal">
      <formula>"A DN"</formula>
    </cfRule>
    <cfRule type="cellIs" dxfId="564" priority="232" operator="equal">
      <formula>"B2"</formula>
    </cfRule>
    <cfRule type="cellIs" dxfId="563" priority="230" operator="equal">
      <formula>"C1"</formula>
    </cfRule>
  </conditionalFormatting>
  <conditionalFormatting sqref="L341:L351">
    <cfRule type="cellIs" dxfId="561" priority="206" operator="equal">
      <formula>"C1"</formula>
    </cfRule>
    <cfRule type="cellIs" dxfId="560" priority="205" operator="equal">
      <formula>"C2"</formula>
    </cfRule>
    <cfRule type="cellIs" dxfId="559" priority="207" operator="equal">
      <formula>"C"</formula>
    </cfRule>
    <cfRule type="cellIs" dxfId="558" priority="203" operator="equal">
      <formula>"A DN"</formula>
    </cfRule>
    <cfRule type="cellIs" dxfId="557" priority="208" operator="equal">
      <formula>"B2"</formula>
    </cfRule>
    <cfRule type="cellIs" dxfId="556" priority="209" operator="equal">
      <formula>"B1"</formula>
    </cfRule>
    <cfRule type="cellIs" dxfId="555" priority="210" operator="equal">
      <formula>"B"</formula>
    </cfRule>
    <cfRule type="cellIs" dxfId="554" priority="211" operator="equal">
      <formula>"B1"</formula>
    </cfRule>
    <cfRule type="cellIs" dxfId="553" priority="212" operator="greaterThan">
      <formula>B</formula>
    </cfRule>
    <cfRule type="cellIs" dxfId="551" priority="204" operator="equal">
      <formula>"D"</formula>
    </cfRule>
  </conditionalFormatting>
  <conditionalFormatting sqref="L344:L351">
    <cfRule type="cellIs" dxfId="550" priority="215" operator="equal">
      <formula>"A DN"</formula>
    </cfRule>
    <cfRule type="cellIs" dxfId="549" priority="219" operator="equal">
      <formula>"C"</formula>
    </cfRule>
    <cfRule type="cellIs" dxfId="548" priority="218" operator="equal">
      <formula>"C1"</formula>
    </cfRule>
    <cfRule type="cellIs" dxfId="547" priority="217" operator="equal">
      <formula>"C2"</formula>
    </cfRule>
    <cfRule type="cellIs" dxfId="546" priority="221" operator="equal">
      <formula>"B1"</formula>
    </cfRule>
    <cfRule type="cellIs" dxfId="545" priority="216" operator="equal">
      <formula>"D"</formula>
    </cfRule>
    <cfRule type="cellIs" dxfId="543" priority="222" operator="equal">
      <formula>"B"</formula>
    </cfRule>
    <cfRule type="cellIs" dxfId="542" priority="223" operator="equal">
      <formula>"B1"</formula>
    </cfRule>
    <cfRule type="cellIs" dxfId="541" priority="224" operator="greaterThan">
      <formula>B</formula>
    </cfRule>
    <cfRule type="cellIs" dxfId="539" priority="220" operator="equal">
      <formula>"B2"</formula>
    </cfRule>
  </conditionalFormatting>
  <conditionalFormatting sqref="M21:M27">
    <cfRule type="expression" dxfId="538" priority="3508" stopIfTrue="1">
      <formula>"if=B1"</formula>
    </cfRule>
    <cfRule type="expression" dxfId="537" priority="3509" stopIfTrue="1">
      <formula>#REF!</formula>
    </cfRule>
    <cfRule type="expression" dxfId="536" priority="3510" stopIfTrue="1">
      <formula>#REF!</formula>
    </cfRule>
  </conditionalFormatting>
  <conditionalFormatting sqref="M21:M287">
    <cfRule type="expression" dxfId="535" priority="3717" stopIfTrue="1">
      <formula>#REF!</formula>
    </cfRule>
    <cfRule type="cellIs" dxfId="534" priority="3718" stopIfTrue="1" operator="equal">
      <formula>"D"</formula>
    </cfRule>
    <cfRule type="cellIs" dxfId="533" priority="3719" stopIfTrue="1" operator="equal">
      <formula>"B1"</formula>
    </cfRule>
    <cfRule type="expression" dxfId="532" priority="3720" stopIfTrue="1">
      <formula>#REF!</formula>
    </cfRule>
    <cfRule type="cellIs" dxfId="531" priority="3708" stopIfTrue="1" operator="equal">
      <formula>"A DN"</formula>
    </cfRule>
    <cfRule type="cellIs" dxfId="530" priority="3715" stopIfTrue="1" operator="equal">
      <formula>"B2"</formula>
    </cfRule>
    <cfRule type="cellIs" dxfId="529" priority="3721" stopIfTrue="1" operator="equal">
      <formula>"B2"</formula>
    </cfRule>
    <cfRule type="expression" dxfId="528" priority="3722" stopIfTrue="1">
      <formula>#REF!</formula>
    </cfRule>
    <cfRule type="cellIs" dxfId="527" priority="3703" stopIfTrue="1" operator="equal">
      <formula>"C2"</formula>
    </cfRule>
    <cfRule type="cellIs" dxfId="526" priority="3704" stopIfTrue="1" operator="equal">
      <formula>"C1"</formula>
    </cfRule>
    <cfRule type="cellIs" dxfId="525" priority="3705" stopIfTrue="1" operator="equal">
      <formula>"C2"</formula>
    </cfRule>
    <cfRule type="cellIs" dxfId="524" priority="3706" stopIfTrue="1" operator="equal">
      <formula>"D"</formula>
    </cfRule>
    <cfRule type="cellIs" dxfId="523" priority="3707" stopIfTrue="1" operator="equal">
      <formula>"E"</formula>
    </cfRule>
    <cfRule type="cellIs" dxfId="522" priority="3709" stopIfTrue="1" operator="equal">
      <formula>"A DN"</formula>
    </cfRule>
    <cfRule type="cellIs" dxfId="521" priority="3710" stopIfTrue="1" operator="equal">
      <formula>"E"</formula>
    </cfRule>
    <cfRule type="cellIs" dxfId="520" priority="3711" stopIfTrue="1" operator="equal">
      <formula>"D"</formula>
    </cfRule>
    <cfRule type="cellIs" dxfId="519" priority="3712" stopIfTrue="1" operator="equal">
      <formula>"D1"</formula>
    </cfRule>
    <cfRule type="cellIs" dxfId="518" priority="3713" stopIfTrue="1" operator="equal">
      <formula>"C2"</formula>
    </cfRule>
    <cfRule type="cellIs" dxfId="517" priority="3714" stopIfTrue="1" operator="equal">
      <formula>"C1"</formula>
    </cfRule>
    <cfRule type="cellIs" dxfId="516" priority="3716" stopIfTrue="1" operator="equal">
      <formula>"B1"</formula>
    </cfRule>
  </conditionalFormatting>
  <conditionalFormatting sqref="M28:M35 M47:M90 M103:M287">
    <cfRule type="expression" dxfId="515" priority="260" stopIfTrue="1">
      <formula>$B17</formula>
    </cfRule>
    <cfRule type="expression" dxfId="514" priority="259" stopIfTrue="1">
      <formula>"if=B1"</formula>
    </cfRule>
    <cfRule type="expression" dxfId="513" priority="261" stopIfTrue="1">
      <formula>B17</formula>
    </cfRule>
  </conditionalFormatting>
  <conditionalFormatting sqref="M36:M45 M174:M183">
    <cfRule type="expression" dxfId="512" priority="299" stopIfTrue="1">
      <formula>$B26</formula>
    </cfRule>
    <cfRule type="expression" dxfId="511" priority="300" stopIfTrue="1">
      <formula>B26</formula>
    </cfRule>
  </conditionalFormatting>
  <conditionalFormatting sqref="M36:M45">
    <cfRule type="expression" dxfId="510" priority="298" stopIfTrue="1">
      <formula>"if=B1"</formula>
    </cfRule>
  </conditionalFormatting>
  <conditionalFormatting sqref="M46">
    <cfRule type="expression" dxfId="509" priority="4162" stopIfTrue="1">
      <formula>B91</formula>
    </cfRule>
    <cfRule type="expression" dxfId="508" priority="4160" stopIfTrue="1">
      <formula>"if=B1"</formula>
    </cfRule>
    <cfRule type="expression" dxfId="507" priority="4161" stopIfTrue="1">
      <formula>$B91</formula>
    </cfRule>
  </conditionalFormatting>
  <conditionalFormatting sqref="M91">
    <cfRule type="expression" dxfId="506" priority="4158" stopIfTrue="1">
      <formula>$B25</formula>
    </cfRule>
    <cfRule type="expression" dxfId="505" priority="4159" stopIfTrue="1">
      <formula>B25</formula>
    </cfRule>
  </conditionalFormatting>
  <conditionalFormatting sqref="M91:M102">
    <cfRule type="expression" dxfId="504" priority="4030" stopIfTrue="1">
      <formula>"if=B1"</formula>
    </cfRule>
  </conditionalFormatting>
  <conditionalFormatting sqref="M92:M102">
    <cfRule type="expression" dxfId="503" priority="4032" stopIfTrue="1">
      <formula>B80</formula>
    </cfRule>
    <cfRule type="expression" dxfId="502" priority="4031" stopIfTrue="1">
      <formula>$B80</formula>
    </cfRule>
  </conditionalFormatting>
  <conditionalFormatting sqref="M174:M184">
    <cfRule type="expression" dxfId="501" priority="295" stopIfTrue="1">
      <formula>"if=B1"</formula>
    </cfRule>
  </conditionalFormatting>
  <conditionalFormatting sqref="M174:M287">
    <cfRule type="cellIs" dxfId="500" priority="310" stopIfTrue="1" operator="equal">
      <formula>"D1"</formula>
    </cfRule>
    <cfRule type="cellIs" dxfId="499" priority="311" stopIfTrue="1" operator="equal">
      <formula>"C2"</formula>
    </cfRule>
    <cfRule type="cellIs" dxfId="498" priority="312" stopIfTrue="1" operator="equal">
      <formula>"C1"</formula>
    </cfRule>
    <cfRule type="cellIs" dxfId="497" priority="313" stopIfTrue="1" operator="equal">
      <formula>"B2"</formula>
    </cfRule>
    <cfRule type="cellIs" dxfId="496" priority="314" stopIfTrue="1" operator="equal">
      <formula>"B1"</formula>
    </cfRule>
    <cfRule type="expression" dxfId="495" priority="315" stopIfTrue="1">
      <formula>B164</formula>
    </cfRule>
    <cfRule type="cellIs" dxfId="494" priority="316" stopIfTrue="1" operator="equal">
      <formula>"D"</formula>
    </cfRule>
    <cfRule type="expression" dxfId="493" priority="318" stopIfTrue="1">
      <formula>B164</formula>
    </cfRule>
    <cfRule type="cellIs" dxfId="492" priority="319" stopIfTrue="1" operator="equal">
      <formula>"B2"</formula>
    </cfRule>
    <cfRule type="expression" dxfId="491" priority="320" stopIfTrue="1">
      <formula>B164</formula>
    </cfRule>
    <cfRule type="cellIs" dxfId="490" priority="306" stopIfTrue="1" operator="equal">
      <formula>"A DN"</formula>
    </cfRule>
    <cfRule type="cellIs" dxfId="489" priority="301" stopIfTrue="1" operator="equal">
      <formula>"C2"</formula>
    </cfRule>
    <cfRule type="cellIs" dxfId="488" priority="302" stopIfTrue="1" operator="equal">
      <formula>"C1"</formula>
    </cfRule>
    <cfRule type="cellIs" dxfId="487" priority="303" stopIfTrue="1" operator="equal">
      <formula>"C2"</formula>
    </cfRule>
    <cfRule type="cellIs" dxfId="486" priority="304" stopIfTrue="1" operator="equal">
      <formula>"D"</formula>
    </cfRule>
    <cfRule type="cellIs" dxfId="485" priority="305" stopIfTrue="1" operator="equal">
      <formula>"E"</formula>
    </cfRule>
    <cfRule type="cellIs" dxfId="484" priority="307" stopIfTrue="1" operator="equal">
      <formula>"A DN"</formula>
    </cfRule>
    <cfRule type="cellIs" dxfId="483" priority="308" stopIfTrue="1" operator="equal">
      <formula>"E"</formula>
    </cfRule>
    <cfRule type="cellIs" dxfId="482" priority="309" stopIfTrue="1" operator="equal">
      <formula>"D"</formula>
    </cfRule>
    <cfRule type="cellIs" dxfId="481" priority="317" stopIfTrue="1" operator="equal">
      <formula>"B1"</formula>
    </cfRule>
  </conditionalFormatting>
  <conditionalFormatting sqref="M184">
    <cfRule type="expression" dxfId="480" priority="297" stopIfTrue="1">
      <formula>#REF!</formula>
    </cfRule>
    <cfRule type="expression" dxfId="479" priority="296" stopIfTrue="1">
      <formula>#REF!</formula>
    </cfRule>
  </conditionalFormatting>
  <conditionalFormatting sqref="P288:P327 T289:T308 Q289:S327 AD292:IY301 B292:C304 AC302:IY306">
    <cfRule type="cellIs" dxfId="478" priority="149" stopIfTrue="1" operator="equal">
      <formula>"B"</formula>
    </cfRule>
    <cfRule type="cellIs" dxfId="477" priority="148" stopIfTrue="1" operator="equal">
      <formula>"C"</formula>
    </cfRule>
    <cfRule type="cellIs" dxfId="476" priority="147" stopIfTrue="1" operator="equal">
      <formula>"A DN"</formula>
    </cfRule>
    <cfRule type="cellIs" dxfId="475" priority="146" stopIfTrue="1" operator="equal">
      <formula>"KXL"</formula>
    </cfRule>
  </conditionalFormatting>
  <conditionalFormatting sqref="R47:R59 B59:C59 F59:G59 I59 T59 AD59:IY59 AD72:IY72 AC124:IY124 AC125:AC158">
    <cfRule type="cellIs" dxfId="474" priority="286" stopIfTrue="1" operator="equal">
      <formula>"A DN"</formula>
    </cfRule>
  </conditionalFormatting>
  <conditionalFormatting sqref="R23:T42 D26:I26">
    <cfRule type="cellIs" dxfId="473" priority="270" stopIfTrue="1" operator="equal">
      <formula>"KXL"</formula>
    </cfRule>
    <cfRule type="cellIs" dxfId="472" priority="271" stopIfTrue="1" operator="equal">
      <formula>"A DN"</formula>
    </cfRule>
    <cfRule type="cellIs" dxfId="471" priority="272" stopIfTrue="1" operator="equal">
      <formula>"C"</formula>
    </cfRule>
    <cfRule type="cellIs" dxfId="470" priority="273" stopIfTrue="1" operator="equal">
      <formula>"B"</formula>
    </cfRule>
  </conditionalFormatting>
  <conditionalFormatting sqref="X19:Y20">
    <cfRule type="cellIs" dxfId="469" priority="21" stopIfTrue="1" operator="equal">
      <formula>"KXL"</formula>
    </cfRule>
    <cfRule type="cellIs" dxfId="468" priority="22" stopIfTrue="1" operator="equal">
      <formula>"A DN"</formula>
    </cfRule>
    <cfRule type="cellIs" dxfId="467" priority="23" stopIfTrue="1" operator="equal">
      <formula>"C"</formula>
    </cfRule>
    <cfRule type="cellIs" dxfId="466" priority="24" stopIfTrue="1" operator="equal">
      <formula>"B"</formula>
    </cfRule>
  </conditionalFormatting>
  <conditionalFormatting sqref="Z5">
    <cfRule type="cellIs" dxfId="465" priority="50" stopIfTrue="1" operator="equal">
      <formula>"A DN"</formula>
    </cfRule>
    <cfRule type="cellIs" dxfId="464" priority="51" stopIfTrue="1" operator="equal">
      <formula>"C"</formula>
    </cfRule>
    <cfRule type="cellIs" dxfId="463" priority="49" stopIfTrue="1" operator="equal">
      <formula>"KXL"</formula>
    </cfRule>
    <cfRule type="cellIs" dxfId="462" priority="52" stopIfTrue="1" operator="equal">
      <formula>"B"</formula>
    </cfRule>
  </conditionalFormatting>
  <conditionalFormatting sqref="Z20">
    <cfRule type="cellIs" dxfId="461" priority="8" stopIfTrue="1" operator="equal">
      <formula>"B"</formula>
    </cfRule>
    <cfRule type="cellIs" dxfId="460" priority="7" stopIfTrue="1" operator="equal">
      <formula>"C"</formula>
    </cfRule>
    <cfRule type="cellIs" dxfId="459" priority="6" stopIfTrue="1" operator="equal">
      <formula>"A DN"</formula>
    </cfRule>
    <cfRule type="cellIs" dxfId="458" priority="5" stopIfTrue="1" operator="equal">
      <formula>"KXL"</formula>
    </cfRule>
  </conditionalFormatting>
  <conditionalFormatting sqref="Z19:XFD19">
    <cfRule type="cellIs" dxfId="457" priority="16" stopIfTrue="1" operator="equal">
      <formula>"B"</formula>
    </cfRule>
    <cfRule type="cellIs" dxfId="456" priority="15" stopIfTrue="1" operator="equal">
      <formula>"C"</formula>
    </cfRule>
    <cfRule type="cellIs" dxfId="455" priority="14" stopIfTrue="1" operator="equal">
      <formula>"A DN"</formula>
    </cfRule>
    <cfRule type="cellIs" dxfId="454" priority="13" stopIfTrue="1" operator="equal">
      <formula>"KXL"</formula>
    </cfRule>
  </conditionalFormatting>
  <conditionalFormatting sqref="AA19:AA35">
    <cfRule type="cellIs" dxfId="453" priority="12" stopIfTrue="1" operator="equal">
      <formula>"B"</formula>
    </cfRule>
    <cfRule type="cellIs" dxfId="452" priority="11" stopIfTrue="1" operator="equal">
      <formula>"C"</formula>
    </cfRule>
    <cfRule type="cellIs" dxfId="451" priority="10" stopIfTrue="1" operator="equal">
      <formula>"A DN"</formula>
    </cfRule>
    <cfRule type="cellIs" dxfId="450" priority="9" stopIfTrue="1" operator="equal">
      <formula>"KXL"</formula>
    </cfRule>
  </conditionalFormatting>
  <conditionalFormatting sqref="AA92 L92:L94">
    <cfRule type="cellIs" dxfId="449" priority="255" stopIfTrue="1" operator="equal">
      <formula>"KXL"</formula>
    </cfRule>
    <cfRule type="cellIs" dxfId="448" priority="257" stopIfTrue="1" operator="equal">
      <formula>"C"</formula>
    </cfRule>
    <cfRule type="cellIs" dxfId="447" priority="258" stopIfTrue="1" operator="equal">
      <formula>"B"</formula>
    </cfRule>
    <cfRule type="cellIs" dxfId="446" priority="256" stopIfTrue="1" operator="equal">
      <formula>"A DN"</formula>
    </cfRule>
  </conditionalFormatting>
  <conditionalFormatting sqref="AC20:IY25 A21:C21 E21:O21 Q21:Z21 Q22:W22 E22:I23 B22:C25 X22:Z35 J22:O90 U23:W35 Q23:Q90 F24:I25 AE26:IY26 AC26:AC35 E27:I27 B27:C34 AD27:IY34 E28:G29 H28:I34 F30:G31 E32:G33 F34:G34 D35:I35 AC35:IY36 E36:G40 B36:C44 U36:AA90 AD37:IY39 AC37:AC42 AE40:IY40 F41:G41 AD41:IY46 E42:G42 F43:G44 S43:S61 E47:I49 AC47:IY49 B47:C58 E50:G51 H50:I54 AD50:IY58 F52:G52 E53:G54 F55:I58 T57:T58 H59 R60:R61 T60:T61 E60:I64 AD60:IY65 B60:C71 R62:T68 F65:I65 E66:I66 AC66:IY71 F67:I67 E68:I71 R69:R71 T69:T71 S69:S90 H72 AC72:AC74 B73:C73 E73:G73 AC73:IY73 H73:I74 R73:R90 T73:T90 D74:G74 AE74:IY74 F75:I75 B75:C90 E76:I77 E78:G79 H78:I81 F80:G81 F82:I82 E83:I83 F84:I86 F87:G88 H87:I89 E89:G89 F90:I90 D91:O91 Q91:AA91 W92:W222 M92:O287 J92:J351 X92:Z351 D94 K94 F94:I97 AC94:IY97 R94:T123 Q94:Q221 U94:V221 B95:C123 K95:L132 E98:G98 AD98:IY103 AC98:AC114 H98:I123 F99:G102 E103:G103 AE104:IY104 F104:G114 AD105:IY114 E115:G119 AC115:IY123 F120:G123 H124 S124 E125:G127 H125:I132 AD125:IY158 R125:T221 F128:G128 E129:G132 F133:G133 H133:L142 E134:G137 F138:G139 E140:G142 F143:G144 H143:I190 K143:L287 E145:G150 F151:G158 E159:G170 AC159:IY195 F171:G171 E172:G172 F173:G173 E174:G184 F185:G185 E186:G189 F190:G190 E191:I193 E194:G202 H194:I216 AD196:IY200 AC196:AC278 AE201:IY201 AC202:IY208 F203:G203 E204:G213 AD209:IY209 AE210:IY210 AD211:IY211 AE212:IY212 AD213:IY221 F214:G214 E215:G216 E217:I227 Q222:V222 AC222:IY222 AD223:IY230 E228:G229 F230:G230 AE231:IY231 E231:G246 AD232:IY251 F247:G252 AC252:IY252 AE253:IY253 E253:G265 AC254:IY261 AE262:IY262 AC263:IY266 G266:G278 AE267:IY278 E279:G285 F286:G287 A352:IY355 A366:XFD65611 R47:R58">
    <cfRule type="cellIs" dxfId="445" priority="293" stopIfTrue="1" operator="equal">
      <formula>"C"</formula>
    </cfRule>
  </conditionalFormatting>
  <conditionalFormatting sqref="AC20:IY25 A21:C21 E21:O21 Q21:Z21 Q22:W22 E22:I23 B22:C25 X22:Z35 J22:O90 U23:W35 Q23:Q90 F24:I25 AE26:IY26 AC26:AC35 E27:I27 B27:C34 AD27:IY34 E28:G29 H28:I34 F30:G31 E32:G33 F34:G34 D35:I35 AC35:IY36 E36:G40 B36:C44 U36:AA90 AD37:IY39 AC37:AC42 AE40:IY40 F41:G41 AD41:IY46 E42:G42 F43:G44 S43:S61 E47:I49 AC47:IY49 B47:C58 E50:G51 H50:I54 AD50:IY58 F52:G52 E53:G54 F55:I58 T57:T58 H59 R60:R61 T60:T61 E60:I64 AD60:IY65 B60:C71 R62:T68 F65:I65 E66:I66 AC66:IY71 F67:I67 E68:I71 R69:R71 T69:T71 S69:S90 H72 AC72:AC74 B73:C73 E73:G73 AC73:IY73 H73:I74 R73:R90 T73:T90 D74:G74 AE74:IY74 F75:I75 B75:C90 E76:I77 E78:G79 H78:I81 F80:G81 F82:I82 E83:I83 F84:I86 F87:G88 H87:I89 E89:G89 F90:I90 D91:O91 Q91:AA91 W92:W222 M92:O287 J92:J351 X92:Z351 D94 K94 F94:I97 AC94:IY97 R94:T123 Q94:Q221 U94:V221 B95:C123 K95:L132 E98:G98 AD98:IY103 AC98:AC114 H98:I123 F99:G102 E103:G103 AE104:IY104 F104:G114 AD105:IY114 E115:G119 AC115:IY123 F120:G123 H124 S124 E125:G127 H125:I132 AD125:IY158 R125:T221 F128:G128 E129:G132 F133:G133 H133:L142 E134:G137 F138:G139 E140:G142 F143:G144 H143:I190 K143:L287 E145:G150 F151:G158 E159:G170 AC159:IY195 F171:G171 E172:G172 F173:G173 E174:G184 F185:G185 E186:G189 F190:G190 E191:I193 E194:G202 H194:I216 AD196:IY200 AC196:AC278 AE201:IY201 AC202:IY208 F203:G203 E204:G213 AD209:IY209 AE210:IY210 AD211:IY211 AE212:IY212 AD213:IY221 F214:G214 E215:G216 E217:I227 Q222:V222 AC222:IY222 AD223:IY230 E228:G229 F230:G230 AE231:IY231 E231:G246 AD232:IY251 F247:G252 AC252:IY252 AE253:IY253 E253:G265 AC254:IY261 AE262:IY262 AC263:IY266 G266:G278 AE267:IY278 E279:G285 F286:G287 A352:IY355 A366:XFD65611">
    <cfRule type="cellIs" dxfId="444" priority="292" stopIfTrue="1" operator="equal">
      <formula>"A DN"</formula>
    </cfRule>
  </conditionalFormatting>
  <conditionalFormatting sqref="AC20:IY25 A21:C21 E21:O21 Q21:Z21 Q22:W22 E22:I23 B22:C25 X22:Z35 J22:O90 U23:W35 Q23:Q90 F24:I25 AE26:IY26 AC26:AC35 E27:I27 B27:C34 AD27:IY34 E28:G29 H28:I34 F30:G31 E32:G33 F34:G34 D35:I35 AC35:IY36 E36:G40 B36:C44 U36:AA90 AD37:IY39 AC37:AC42 AE40:IY40 F41:G41 AD41:IY46 E42:G42 F43:G44 S43:S61 E47:I49 AC47:IY49 B47:C58 R47:R58 E50:G51 H50:I54 AD50:IY58 F52:G52 E53:G54 F55:I58 T57:T58 H59 R60:R61 T60:T61 E60:I64 AD60:IY65 B60:C71 R62:T68 F65:I65 E66:I66 AC66:IY71 F67:I67 E68:I71 R69:R71 T69:T71 S69:S90 H72 AC72:AC74 B73:C73 E73:G73 AC73:IY73 H73:I74 R73:R90 T73:T90 D74:G74 AE74:IY74 F75:I75 B75:C90 E76:I77 E78:G79 H78:I81 F80:G81 F82:I82 E83:I83 F84:I86 F87:G88 H87:I89 E89:G89 F90:I90 D91:O91 Q91:AA91 W92:W222 M92:O287 J92:J351 X92:Z351 D94 K94 F94:I97 AC94:IY97 R94:T123 Q94:Q221 U94:V221 B95:C123 K95:L132 E98:G98 AD98:IY103 AC98:AC114 H98:I123 F99:G102 E103:G103 AE104:IY104 F104:G114 AD105:IY114 E115:G119 AC115:IY123 F120:G123 H124 S124 E125:G127 H125:I132 AD125:IY158 R125:T221 F128:G128 E129:G132 F133:G133 H133:L142 E134:G137 F138:G139 E140:G142 F143:G144 H143:I190 K143:L287 E145:G150 F151:G158 E159:G170 AC159:IY195 F171:G171 E172:G172 F173:G173 E174:G184 F185:G185 E186:G189 F190:G190 E191:I193 E194:G202 H194:I216 AD196:IY200 AC196:AC278 AE201:IY201 AC202:IY208 F203:G203 E204:G213 AD209:IY209 AE210:IY210 AD211:IY211 AE212:IY212 AD213:IY221 F214:G214 E215:G216 E217:I227 Q222:V222 AC222:IY222 AD223:IY230 E228:G229 F230:G230 AE231:IY231 E231:G246 AD232:IY251 F247:G252 AC252:IY252 AE253:IY253 E253:G265 AC254:IY261 AE262:IY262 AC263:IY266 G266:G278 AE267:IY278 E279:G285 F286:G287 A352:IY355 A366:XFD65611">
    <cfRule type="cellIs" dxfId="443" priority="294" stopIfTrue="1" operator="equal">
      <formula>"B"</formula>
    </cfRule>
  </conditionalFormatting>
  <conditionalFormatting sqref="AD75:IY92 D92:I92 K92 Q92:V92">
    <cfRule type="cellIs" dxfId="442" priority="251" stopIfTrue="1" operator="equal">
      <formula>"KXL"</formula>
    </cfRule>
    <cfRule type="cellIs" dxfId="441" priority="252" stopIfTrue="1" operator="equal">
      <formula>"A DN"</formula>
    </cfRule>
    <cfRule type="cellIs" dxfId="440" priority="254" stopIfTrue="1" operator="equal">
      <formula>"B"</formula>
    </cfRule>
    <cfRule type="cellIs" dxfId="439" priority="253" stopIfTrue="1" operator="equal">
      <formula>"C"</formula>
    </cfRule>
  </conditionalFormatting>
  <conditionalFormatting sqref="AG1:IW7">
    <cfRule type="cellIs" dxfId="438" priority="69" stopIfTrue="1" operator="equal">
      <formula>"KXL"</formula>
    </cfRule>
    <cfRule type="cellIs" dxfId="437" priority="70" stopIfTrue="1" operator="equal">
      <formula>"A DN"</formula>
    </cfRule>
    <cfRule type="cellIs" dxfId="436" priority="71" stopIfTrue="1" operator="equal">
      <formula>"C"</formula>
    </cfRule>
    <cfRule type="cellIs" dxfId="435" priority="72" stopIfTrue="1" operator="equal">
      <formula>"B"</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77" id="{E20DA4B0-09DF-49C4-AFD0-CA04F9C0C941}">
            <xm:f>'111'!B276</xm:f>
            <x14:dxf>
              <fill>
                <patternFill>
                  <bgColor rgb="FFFFFF00"/>
                </patternFill>
              </fill>
            </x14:dxf>
          </x14:cfRule>
          <x14:cfRule type="cellIs" priority="178" operator="equal" id="{17D7F969-E8A4-40C7-AB91-A6F88D8D8ACF}">
            <xm:f>'111'!B276</xm:f>
            <x14:dxf>
              <font>
                <color rgb="FF9C0006"/>
              </font>
            </x14:dxf>
          </x14:cfRule>
          <x14:cfRule type="containsText" priority="5272" operator="containsText" id="{DE7C0046-D0D2-44FE-88F7-6F14682383C9}">
            <xm:f>NOT(ISERROR(SEARCH(B,'111'!#REF!)))</xm:f>
            <xm:f>B</xm:f>
            <x14:dxf>
              <fill>
                <patternFill>
                  <bgColor theme="9" tint="0.59996337778862885"/>
                </patternFill>
              </fill>
            </x14:dxf>
          </x14:cfRule>
          <xm:sqref>L288:L351</xm:sqref>
        </x14:conditionalFormatting>
        <x14:conditionalFormatting xmlns:xm="http://schemas.microsoft.com/office/excel/2006/main">
          <x14:cfRule type="expression" priority="201" id="{80662879-230F-4D97-B041-77D430364D9B}">
            <xm:f>'111'!B284</xm:f>
            <x14:dxf>
              <fill>
                <patternFill>
                  <bgColor rgb="FFFFFF00"/>
                </patternFill>
              </fill>
            </x14:dxf>
          </x14:cfRule>
          <x14:cfRule type="cellIs" priority="202" operator="equal" id="{6E067068-65E6-4EF6-B50A-466585E700C6}">
            <xm:f>'111'!B284</xm:f>
            <x14:dxf>
              <font>
                <color rgb="FF9C0006"/>
              </font>
            </x14:dxf>
          </x14:cfRule>
          <xm:sqref>L299:L331 L344:L351</xm:sqref>
        </x14:conditionalFormatting>
        <x14:conditionalFormatting xmlns:xm="http://schemas.microsoft.com/office/excel/2006/main">
          <x14:cfRule type="cellIs" priority="190" operator="equal" id="{D024AFF6-DB12-43BF-A197-440765E0B2FC}">
            <xm:f>'111'!B288</xm:f>
            <x14:dxf>
              <font>
                <color rgb="FF9C0006"/>
              </font>
            </x14:dxf>
          </x14:cfRule>
          <x14:cfRule type="expression" priority="189" id="{936E3BBF-5304-4383-B5E9-70BF631B84C1}">
            <xm:f>'111'!B288</xm:f>
            <x14:dxf>
              <fill>
                <patternFill>
                  <bgColor rgb="FFFFFF00"/>
                </patternFill>
              </fill>
            </x14:dxf>
          </x14:cfRule>
          <xm:sqref>L304:L317 L341:L343</xm:sqref>
        </x14:conditionalFormatting>
        <x14:conditionalFormatting xmlns:xm="http://schemas.microsoft.com/office/excel/2006/main">
          <x14:cfRule type="expression" priority="165" id="{4A78C5E9-27BE-4CCD-81B3-782C054D9EB1}">
            <xm:f>'111'!#REF!</xm:f>
            <x14:dxf>
              <fill>
                <patternFill>
                  <bgColor rgb="FFFFFF00"/>
                </patternFill>
              </fill>
            </x14:dxf>
          </x14:cfRule>
          <xm:sqref>L318:L333</xm:sqref>
        </x14:conditionalFormatting>
        <x14:conditionalFormatting xmlns:xm="http://schemas.microsoft.com/office/excel/2006/main">
          <x14:cfRule type="expression" priority="249" id="{EB55E6C0-F516-4886-95A2-969BF541D81C}">
            <xm:f>'111'!B304</xm:f>
            <x14:dxf>
              <fill>
                <patternFill>
                  <bgColor rgb="FFFFFF00"/>
                </patternFill>
              </fill>
            </x14:dxf>
          </x14:cfRule>
          <x14:cfRule type="cellIs" priority="250" operator="equal" id="{E00287C4-D7AF-4554-A6E4-B4850CC6FB7D}">
            <xm:f>'111'!B304</xm:f>
            <x14:dxf>
              <font>
                <color rgb="FF9C0006"/>
              </font>
            </x14:dxf>
          </x14:cfRule>
          <xm:sqref>L318:L341</xm:sqref>
        </x14:conditionalFormatting>
        <x14:conditionalFormatting xmlns:xm="http://schemas.microsoft.com/office/excel/2006/main">
          <x14:cfRule type="cellIs" priority="166" operator="equal" id="{CC4BF89D-BDCC-4FB1-8329-157ED4B609E8}">
            <xm:f>'111'!#REF!</xm:f>
            <x14:dxf>
              <font>
                <color rgb="FF9C0006"/>
              </font>
            </x14:dxf>
          </x14:cfRule>
          <x14:cfRule type="expression" priority="237" id="{D515F5A0-8906-4DF4-8C7B-752D8E48553B}">
            <xm:f>'111'!#REF!</xm:f>
            <x14:dxf>
              <fill>
                <patternFill>
                  <bgColor rgb="FFFFFF00"/>
                </patternFill>
              </fill>
            </x14:dxf>
          </x14:cfRule>
          <xm:sqref>L318:L351</xm:sqref>
        </x14:conditionalFormatting>
        <x14:conditionalFormatting xmlns:xm="http://schemas.microsoft.com/office/excel/2006/main">
          <x14:cfRule type="cellIs" priority="214" operator="equal" id="{27B2744A-70DD-4983-957C-8AEA2BCEACDE}">
            <xm:f>'111'!B328</xm:f>
            <x14:dxf>
              <font>
                <color rgb="FF9C0006"/>
              </font>
            </x14:dxf>
          </x14:cfRule>
          <x14:cfRule type="expression" priority="213" id="{DA6C87EF-53EB-4674-AAD7-5749A3DC3BD8}">
            <xm:f>'111'!B328</xm:f>
            <x14:dxf>
              <fill>
                <patternFill>
                  <bgColor rgb="FFFFFF00"/>
                </patternFill>
              </fill>
            </x14:dxf>
          </x14:cfRule>
          <xm:sqref>L341:L351</xm:sqref>
        </x14:conditionalFormatting>
        <x14:conditionalFormatting xmlns:xm="http://schemas.microsoft.com/office/excel/2006/main">
          <x14:cfRule type="expression" priority="225" id="{BAA8E1A7-8C8E-41E3-A8FC-2FF2914F1AE1}">
            <xm:f>'111'!B327</xm:f>
            <x14:dxf>
              <fill>
                <patternFill>
                  <bgColor rgb="FFFFFF00"/>
                </patternFill>
              </fill>
            </x14:dxf>
          </x14:cfRule>
          <x14:cfRule type="cellIs" priority="226" operator="equal" id="{67D1ADBD-ED26-4496-843D-97A41B677CA8}">
            <xm:f>'111'!B327</xm:f>
            <x14:dxf>
              <font>
                <color rgb="FF9C0006"/>
              </font>
            </x14:dxf>
          </x14:cfRule>
          <xm:sqref>L344:L351</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Q424"/>
  <sheetViews>
    <sheetView topLeftCell="A343" zoomScale="120" zoomScaleNormal="120" workbookViewId="0">
      <selection activeCell="AB350" sqref="AB350"/>
    </sheetView>
  </sheetViews>
  <sheetFormatPr defaultRowHeight="15"/>
  <cols>
    <col min="1" max="1" width="5.5703125" style="2" customWidth="1"/>
    <col min="2" max="2" width="21.5703125" style="2" customWidth="1"/>
    <col min="3" max="3" width="11.28515625" style="2" hidden="1" customWidth="1"/>
    <col min="4" max="4" width="17.7109375" style="2" hidden="1" customWidth="1"/>
    <col min="5" max="5" width="16" style="16" hidden="1" customWidth="1"/>
    <col min="6" max="6" width="19.42578125" style="16" customWidth="1"/>
    <col min="7" max="7" width="10" style="2" hidden="1" customWidth="1"/>
    <col min="8" max="8" width="10.140625" style="109" hidden="1" customWidth="1"/>
    <col min="9" max="9" width="11.28515625" style="2" hidden="1" customWidth="1"/>
    <col min="10" max="10" width="5.28515625" style="2" hidden="1" customWidth="1"/>
    <col min="11" max="11" width="9.5703125" style="79" hidden="1" customWidth="1"/>
    <col min="12" max="12" width="14.85546875" style="354"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59" hidden="1" customWidth="1"/>
    <col min="19" max="19" width="11.85546875" style="2" hidden="1" customWidth="1"/>
    <col min="20" max="20" width="5.28515625" style="389" hidden="1" customWidth="1"/>
    <col min="21" max="21" width="11.28515625" style="2" hidden="1" customWidth="1"/>
    <col min="22" max="22" width="11.85546875" style="589" hidden="1" customWidth="1"/>
    <col min="23" max="23" width="18.85546875" style="2" hidden="1" customWidth="1"/>
    <col min="24" max="24" width="13.28515625" style="2" customWidth="1"/>
    <col min="25" max="25" width="12.42578125" style="2" customWidth="1"/>
    <col min="26" max="26" width="17.85546875" style="2" customWidth="1"/>
    <col min="27" max="27" width="3.85546875" style="2" customWidth="1"/>
    <col min="28" max="28" width="22" style="96" customWidth="1"/>
    <col min="29" max="29" width="23.5703125" style="219" bestFit="1" customWidth="1"/>
    <col min="30" max="30" width="12.7109375" style="2" customWidth="1"/>
    <col min="31" max="31" width="17.85546875" style="2" customWidth="1"/>
    <col min="32" max="32" width="10.42578125" style="151" bestFit="1" customWidth="1"/>
    <col min="33" max="16384" width="9.140625" style="2"/>
  </cols>
  <sheetData>
    <row r="1" spans="1:32" s="670" customFormat="1">
      <c r="A1" s="1557" t="s">
        <v>492</v>
      </c>
      <c r="B1" s="1557"/>
      <c r="C1" s="1557"/>
      <c r="D1" s="1557"/>
      <c r="E1" s="1557"/>
      <c r="F1" s="1557"/>
      <c r="G1" s="1557"/>
      <c r="H1" s="1557"/>
      <c r="I1" s="1557"/>
      <c r="J1" s="1557"/>
      <c r="K1" s="669"/>
      <c r="L1" s="669"/>
      <c r="M1" s="669"/>
      <c r="O1" s="671"/>
      <c r="P1" s="671"/>
      <c r="Q1" s="671"/>
      <c r="R1" s="671"/>
      <c r="S1" s="671"/>
      <c r="T1" s="672"/>
      <c r="U1" s="1555" t="s">
        <v>849</v>
      </c>
      <c r="V1" s="1555"/>
      <c r="W1" s="1555"/>
      <c r="X1" s="1555"/>
      <c r="Y1" s="1555"/>
      <c r="Z1" s="1555"/>
      <c r="AA1" s="1555"/>
      <c r="AB1" s="1555"/>
      <c r="AC1" s="671"/>
      <c r="AD1" s="671"/>
      <c r="AE1" s="671"/>
      <c r="AF1" s="671"/>
    </row>
    <row r="2" spans="1:32" s="670" customFormat="1" ht="14.25">
      <c r="A2" s="1555" t="s">
        <v>1563</v>
      </c>
      <c r="B2" s="1555"/>
      <c r="C2" s="1555"/>
      <c r="D2" s="1555"/>
      <c r="E2" s="1555"/>
      <c r="F2" s="1555"/>
      <c r="G2" s="1555"/>
      <c r="H2" s="1555"/>
      <c r="I2" s="1555"/>
      <c r="J2" s="1555"/>
      <c r="K2" s="673"/>
      <c r="L2" s="673"/>
      <c r="M2" s="673"/>
      <c r="O2" s="671"/>
      <c r="P2" s="671"/>
      <c r="Q2" s="671"/>
      <c r="R2" s="671"/>
      <c r="S2" s="671"/>
      <c r="T2" s="671"/>
      <c r="U2" s="671"/>
      <c r="V2" s="671"/>
      <c r="W2" s="671"/>
      <c r="X2" s="1555" t="s">
        <v>2179</v>
      </c>
      <c r="Y2" s="1555"/>
      <c r="Z2" s="1555"/>
      <c r="AA2" s="1555"/>
      <c r="AB2" s="1555"/>
      <c r="AC2" s="671"/>
      <c r="AF2" s="671"/>
    </row>
    <row r="3" spans="1:32" s="670" customFormat="1" ht="15" customHeight="1">
      <c r="A3" s="1555" t="s">
        <v>1564</v>
      </c>
      <c r="B3" s="1555"/>
      <c r="C3" s="1555"/>
      <c r="D3" s="1555"/>
      <c r="E3" s="1555"/>
      <c r="F3" s="1555"/>
      <c r="G3" s="1555"/>
      <c r="H3" s="1555"/>
      <c r="I3" s="1555"/>
      <c r="J3" s="1555"/>
      <c r="K3" s="1555"/>
      <c r="L3" s="1555"/>
      <c r="M3" s="1555"/>
      <c r="O3" s="671"/>
      <c r="P3" s="671"/>
      <c r="Q3" s="671"/>
      <c r="R3" s="671"/>
      <c r="S3" s="671"/>
      <c r="T3" s="671"/>
      <c r="U3" s="671"/>
      <c r="V3" s="671"/>
      <c r="W3" s="671"/>
      <c r="X3" s="671"/>
      <c r="Y3" s="671"/>
      <c r="Z3" s="1555" t="s">
        <v>2180</v>
      </c>
      <c r="AA3" s="1555"/>
      <c r="AB3" s="1555"/>
      <c r="AC3" s="671"/>
      <c r="AD3" s="671"/>
      <c r="AE3" s="671"/>
      <c r="AF3" s="671"/>
    </row>
    <row r="4" spans="1:32" s="670" customFormat="1" ht="16.5" customHeight="1">
      <c r="A4" s="1555"/>
      <c r="B4" s="1555"/>
      <c r="C4" s="1555"/>
      <c r="D4" s="1555"/>
      <c r="E4" s="1555"/>
      <c r="F4" s="1555"/>
      <c r="G4" s="1555"/>
      <c r="H4" s="1555"/>
      <c r="I4" s="1555"/>
      <c r="J4" s="1555"/>
      <c r="K4" s="1555"/>
      <c r="L4" s="1555"/>
      <c r="M4" s="1555"/>
      <c r="N4" s="674"/>
      <c r="O4" s="675"/>
      <c r="P4" s="669"/>
      <c r="Q4" s="669"/>
      <c r="R4" s="669"/>
      <c r="S4" s="675"/>
      <c r="T4" s="676"/>
      <c r="U4" s="675"/>
      <c r="V4" s="677"/>
      <c r="W4" s="677"/>
      <c r="X4" s="675"/>
      <c r="Y4" s="675"/>
      <c r="Z4" s="1557" t="s">
        <v>2181</v>
      </c>
      <c r="AA4" s="1557"/>
      <c r="AB4" s="1557"/>
      <c r="AC4" s="680"/>
      <c r="AD4" s="680"/>
      <c r="AE4" s="680"/>
      <c r="AF4" s="680"/>
    </row>
    <row r="5" spans="1:32" s="670" customFormat="1" ht="16.5" customHeight="1">
      <c r="A5" s="678"/>
      <c r="B5" s="679"/>
      <c r="C5" s="679"/>
      <c r="D5" s="679"/>
      <c r="E5" s="679"/>
      <c r="F5" s="679"/>
      <c r="G5" s="679"/>
      <c r="H5" s="679"/>
      <c r="I5" s="679"/>
      <c r="J5" s="679"/>
      <c r="K5" s="678"/>
      <c r="L5" s="678"/>
      <c r="M5" s="678"/>
      <c r="N5" s="674"/>
      <c r="O5" s="675"/>
      <c r="P5" s="669"/>
      <c r="Q5" s="669"/>
      <c r="R5" s="669"/>
      <c r="S5" s="675"/>
      <c r="T5" s="676"/>
      <c r="U5" s="675"/>
      <c r="V5" s="677"/>
      <c r="W5" s="677"/>
      <c r="X5" s="675"/>
      <c r="Y5" s="675"/>
      <c r="Z5" s="1557" t="s">
        <v>2182</v>
      </c>
      <c r="AA5" s="1557"/>
      <c r="AB5" s="1557"/>
      <c r="AC5" s="680"/>
      <c r="AD5" s="680"/>
      <c r="AE5" s="680"/>
      <c r="AF5" s="680"/>
    </row>
    <row r="6" spans="1:32" s="670" customFormat="1" ht="18.75" customHeight="1">
      <c r="A6" s="1554" t="s">
        <v>2183</v>
      </c>
      <c r="B6" s="1554"/>
      <c r="C6" s="1554"/>
      <c r="D6" s="1554"/>
      <c r="E6" s="1554"/>
      <c r="F6" s="1554"/>
      <c r="G6" s="1554"/>
      <c r="H6" s="1554"/>
      <c r="I6" s="1554"/>
      <c r="J6" s="1554"/>
      <c r="K6" s="1554"/>
      <c r="L6" s="1554"/>
      <c r="M6" s="1554"/>
      <c r="N6" s="1554"/>
      <c r="O6" s="1554"/>
      <c r="P6" s="1554"/>
      <c r="Q6" s="1554"/>
      <c r="R6" s="1554"/>
      <c r="S6" s="1554"/>
      <c r="T6" s="1554"/>
      <c r="U6" s="1554"/>
      <c r="V6" s="1554"/>
      <c r="W6" s="1554"/>
      <c r="X6" s="1554"/>
      <c r="Y6" s="1554"/>
      <c r="Z6" s="1554"/>
      <c r="AA6" s="1554"/>
      <c r="AB6" s="1554"/>
      <c r="AC6" s="681"/>
      <c r="AD6" s="681"/>
      <c r="AE6" s="681"/>
      <c r="AF6" s="681"/>
    </row>
    <row r="7" spans="1:32" s="670" customFormat="1" ht="18" customHeight="1">
      <c r="A7" s="1554" t="s">
        <v>2248</v>
      </c>
      <c r="B7" s="1554"/>
      <c r="C7" s="1554"/>
      <c r="D7" s="1554"/>
      <c r="E7" s="1554"/>
      <c r="F7" s="1554"/>
      <c r="G7" s="1554"/>
      <c r="H7" s="1554"/>
      <c r="I7" s="1554"/>
      <c r="J7" s="1554"/>
      <c r="K7" s="1554"/>
      <c r="L7" s="1554"/>
      <c r="M7" s="1554"/>
      <c r="N7" s="1554"/>
      <c r="O7" s="1554"/>
      <c r="P7" s="1554"/>
      <c r="Q7" s="1554"/>
      <c r="R7" s="1554"/>
      <c r="S7" s="1554"/>
      <c r="T7" s="1554"/>
      <c r="U7" s="1554"/>
      <c r="V7" s="1554"/>
      <c r="W7" s="1554"/>
      <c r="X7" s="1554"/>
      <c r="Y7" s="1554"/>
      <c r="Z7" s="1554"/>
      <c r="AA7" s="1554"/>
      <c r="AB7" s="1554"/>
      <c r="AC7" s="681"/>
      <c r="AD7" s="681"/>
      <c r="AE7" s="681"/>
      <c r="AF7" s="681"/>
    </row>
    <row r="8" spans="1:32" s="500" customFormat="1" ht="16.5" customHeight="1">
      <c r="A8" s="499" t="s">
        <v>2013</v>
      </c>
      <c r="C8" s="501">
        <v>1490000</v>
      </c>
      <c r="D8" s="502"/>
      <c r="E8" s="502"/>
      <c r="F8" s="503"/>
      <c r="G8" s="504">
        <v>1800000</v>
      </c>
      <c r="H8" s="504"/>
      <c r="I8" s="505"/>
      <c r="J8" s="505"/>
      <c r="K8" s="506"/>
      <c r="L8" s="507"/>
      <c r="M8" s="505"/>
      <c r="N8" s="508"/>
      <c r="O8" s="1549"/>
      <c r="P8" s="1549"/>
      <c r="Q8" s="1549"/>
      <c r="R8" s="1549"/>
      <c r="S8" s="1549"/>
      <c r="T8" s="509"/>
      <c r="U8" s="510"/>
      <c r="V8" s="580"/>
      <c r="W8" s="651" t="s">
        <v>1181</v>
      </c>
      <c r="X8" s="651"/>
      <c r="Y8" s="651"/>
      <c r="Z8" s="651"/>
      <c r="AA8" s="505"/>
      <c r="AB8" s="511"/>
      <c r="AC8" s="512"/>
      <c r="AF8" s="513"/>
    </row>
    <row r="9" spans="1:32" ht="10.5" customHeight="1">
      <c r="A9" s="1"/>
      <c r="B9" s="7"/>
      <c r="C9" s="7"/>
      <c r="D9" s="7"/>
      <c r="E9" s="14"/>
      <c r="F9" s="188"/>
      <c r="G9" s="222"/>
      <c r="H9" s="1"/>
      <c r="I9" s="1"/>
      <c r="J9" s="1"/>
      <c r="K9" s="73"/>
      <c r="L9" s="356"/>
      <c r="M9" s="1"/>
      <c r="N9" s="3"/>
      <c r="O9" s="1"/>
      <c r="P9" s="1"/>
      <c r="Q9" s="3"/>
      <c r="R9" s="451"/>
      <c r="S9" s="3"/>
      <c r="T9" s="382"/>
      <c r="U9" s="3"/>
      <c r="V9" s="581"/>
      <c r="W9" s="27"/>
      <c r="X9" s="27"/>
      <c r="Y9" s="27"/>
      <c r="Z9" s="27"/>
      <c r="AA9" s="1"/>
    </row>
    <row r="10" spans="1:32" s="111" customFormat="1" ht="26.25" customHeight="1">
      <c r="A10" s="401" t="s">
        <v>853</v>
      </c>
      <c r="B10" s="1567" t="s">
        <v>854</v>
      </c>
      <c r="C10" s="1567"/>
      <c r="D10" s="88" t="s">
        <v>1598</v>
      </c>
      <c r="E10" s="420" t="s">
        <v>50</v>
      </c>
      <c r="F10" s="667" t="s">
        <v>2176</v>
      </c>
      <c r="G10" s="220" t="s">
        <v>1138</v>
      </c>
      <c r="H10" s="40" t="s">
        <v>1139</v>
      </c>
      <c r="I10" s="40" t="s">
        <v>1140</v>
      </c>
      <c r="J10" s="667" t="s">
        <v>2176</v>
      </c>
      <c r="K10" s="78" t="s">
        <v>855</v>
      </c>
      <c r="L10" s="350" t="s">
        <v>1141</v>
      </c>
      <c r="M10" s="28" t="s">
        <v>860</v>
      </c>
      <c r="N10" s="28" t="s">
        <v>1186</v>
      </c>
      <c r="O10" s="28" t="s">
        <v>861</v>
      </c>
      <c r="P10" s="28" t="s">
        <v>857</v>
      </c>
      <c r="Q10" s="28" t="s">
        <v>1187</v>
      </c>
      <c r="R10" s="452" t="s">
        <v>1247</v>
      </c>
      <c r="S10" s="93" t="s">
        <v>1188</v>
      </c>
      <c r="T10" s="383" t="s">
        <v>1184</v>
      </c>
      <c r="U10" s="28" t="s">
        <v>1189</v>
      </c>
      <c r="V10" s="582" t="s">
        <v>1190</v>
      </c>
      <c r="W10" s="28" t="s">
        <v>1100</v>
      </c>
      <c r="X10" s="666" t="s">
        <v>2172</v>
      </c>
      <c r="Y10" s="666" t="s">
        <v>2173</v>
      </c>
      <c r="Z10" s="666" t="s">
        <v>2174</v>
      </c>
      <c r="AA10" s="1545" t="s">
        <v>2175</v>
      </c>
      <c r="AB10" s="1546"/>
      <c r="AC10" s="437"/>
      <c r="AF10" s="153"/>
    </row>
    <row r="11" spans="1:32" s="108" customFormat="1" ht="15" customHeight="1">
      <c r="A11" s="29" t="s">
        <v>858</v>
      </c>
      <c r="B11" s="1558" t="s">
        <v>525</v>
      </c>
      <c r="C11" s="1558"/>
      <c r="D11" s="29"/>
      <c r="E11" s="421"/>
      <c r="F11" s="29" t="s">
        <v>786</v>
      </c>
      <c r="G11" s="29" t="s">
        <v>1113</v>
      </c>
      <c r="H11" s="29" t="s">
        <v>1114</v>
      </c>
      <c r="I11" s="29" t="s">
        <v>1115</v>
      </c>
      <c r="J11" s="652" t="s">
        <v>786</v>
      </c>
      <c r="K11" s="72" t="s">
        <v>1112</v>
      </c>
      <c r="L11" s="351" t="s">
        <v>1117</v>
      </c>
      <c r="M11" s="29" t="s">
        <v>1113</v>
      </c>
      <c r="N11" s="29" t="s">
        <v>1114</v>
      </c>
      <c r="O11" s="29" t="s">
        <v>1115</v>
      </c>
      <c r="P11" s="29" t="s">
        <v>1116</v>
      </c>
      <c r="Q11" s="29" t="s">
        <v>1117</v>
      </c>
      <c r="R11" s="453" t="s">
        <v>1125</v>
      </c>
      <c r="S11" s="29" t="s">
        <v>1118</v>
      </c>
      <c r="T11" s="384" t="s">
        <v>1127</v>
      </c>
      <c r="U11" s="29">
        <v>10</v>
      </c>
      <c r="V11" s="583" t="s">
        <v>2022</v>
      </c>
      <c r="W11" s="29">
        <v>11</v>
      </c>
      <c r="X11" s="652">
        <v>1</v>
      </c>
      <c r="Y11" s="652">
        <v>2</v>
      </c>
      <c r="Z11" s="652" t="s">
        <v>2177</v>
      </c>
      <c r="AA11" s="1562" t="s">
        <v>2178</v>
      </c>
      <c r="AB11" s="1563"/>
      <c r="AC11" s="141"/>
      <c r="AF11" s="154"/>
    </row>
    <row r="12" spans="1:32" hidden="1">
      <c r="A12" s="1544" t="s">
        <v>492</v>
      </c>
      <c r="B12" s="1544"/>
      <c r="C12" s="1544"/>
      <c r="D12" s="1544"/>
      <c r="E12" s="1544"/>
      <c r="F12" s="1544"/>
      <c r="G12" s="1544"/>
      <c r="H12" s="1544"/>
      <c r="I12" s="1544"/>
      <c r="J12" s="1544"/>
      <c r="K12" s="1544"/>
      <c r="L12" s="1544"/>
      <c r="M12" s="1544"/>
      <c r="O12" s="14"/>
      <c r="P12" s="14"/>
      <c r="Q12" s="14"/>
      <c r="R12" s="449"/>
      <c r="S12" s="1543" t="s">
        <v>849</v>
      </c>
      <c r="T12" s="1543"/>
      <c r="U12" s="1543"/>
      <c r="V12" s="1543"/>
      <c r="W12" s="1543"/>
      <c r="X12" s="1543"/>
      <c r="Y12" s="1543"/>
      <c r="Z12" s="1543"/>
      <c r="AA12" s="1543"/>
      <c r="AB12" s="1543"/>
    </row>
    <row r="13" spans="1:32" ht="15" hidden="1" customHeight="1">
      <c r="A13" s="1543" t="s">
        <v>1563</v>
      </c>
      <c r="B13" s="1543"/>
      <c r="C13" s="1543"/>
      <c r="D13" s="1543"/>
      <c r="E13" s="1543"/>
      <c r="F13" s="1543"/>
      <c r="G13" s="1543"/>
      <c r="H13" s="1543"/>
      <c r="I13" s="1543"/>
      <c r="J13" s="1543"/>
      <c r="K13" s="1543"/>
      <c r="L13" s="1543"/>
      <c r="M13" s="1543"/>
      <c r="O13" s="14"/>
      <c r="P13" s="14"/>
      <c r="Q13" s="14"/>
      <c r="R13" s="449"/>
      <c r="S13" s="1543" t="s">
        <v>851</v>
      </c>
      <c r="T13" s="1543"/>
      <c r="U13" s="1543"/>
      <c r="V13" s="1543"/>
      <c r="W13" s="1543"/>
      <c r="X13" s="1543"/>
      <c r="Y13" s="1543"/>
      <c r="Z13" s="1543"/>
      <c r="AA13" s="1543"/>
      <c r="AB13" s="1543"/>
    </row>
    <row r="14" spans="1:32" ht="16.5" hidden="1" customHeight="1">
      <c r="A14" s="1543" t="s">
        <v>1564</v>
      </c>
      <c r="B14" s="1543"/>
      <c r="C14" s="1543"/>
      <c r="D14" s="1543"/>
      <c r="E14" s="1543"/>
      <c r="F14" s="1543"/>
      <c r="G14" s="1543"/>
      <c r="H14" s="1543"/>
      <c r="I14" s="1543"/>
      <c r="J14" s="1543"/>
      <c r="K14" s="1543"/>
      <c r="L14" s="1543"/>
      <c r="M14" s="1543"/>
      <c r="N14" s="99"/>
      <c r="O14" s="18"/>
      <c r="P14" s="18"/>
      <c r="Q14" s="17"/>
      <c r="R14" s="450"/>
      <c r="S14" s="17"/>
      <c r="T14" s="381"/>
      <c r="U14" s="17"/>
      <c r="V14" s="579"/>
      <c r="W14" s="17"/>
      <c r="X14" s="17"/>
      <c r="Y14" s="17"/>
      <c r="Z14" s="17"/>
      <c r="AA14" s="16"/>
    </row>
    <row r="15" spans="1:32" ht="9" hidden="1" customHeight="1">
      <c r="A15" s="187"/>
      <c r="B15" s="187"/>
      <c r="C15" s="187"/>
      <c r="D15" s="187"/>
      <c r="E15" s="187"/>
      <c r="F15" s="187"/>
      <c r="G15" s="187"/>
      <c r="H15" s="187"/>
      <c r="I15" s="187"/>
      <c r="J15" s="187"/>
      <c r="K15" s="187"/>
      <c r="L15" s="187"/>
      <c r="M15" s="187"/>
      <c r="N15" s="99"/>
      <c r="O15" s="18"/>
      <c r="P15" s="18"/>
      <c r="Q15" s="17"/>
      <c r="R15" s="450"/>
      <c r="S15" s="17"/>
      <c r="T15" s="381"/>
      <c r="U15" s="17"/>
      <c r="V15" s="579"/>
      <c r="W15" s="17"/>
      <c r="X15" s="17"/>
      <c r="Y15" s="17"/>
      <c r="Z15" s="17"/>
      <c r="AA15" s="16"/>
    </row>
    <row r="16" spans="1:32" ht="18.75" hidden="1" customHeight="1">
      <c r="A16" s="1547" t="s">
        <v>2211</v>
      </c>
      <c r="B16" s="1547"/>
      <c r="C16" s="1547"/>
      <c r="D16" s="1547"/>
      <c r="E16" s="1547"/>
      <c r="F16" s="1547"/>
      <c r="G16" s="1547"/>
      <c r="H16" s="1547"/>
      <c r="I16" s="1547"/>
      <c r="J16" s="1547"/>
      <c r="K16" s="1547"/>
      <c r="L16" s="1547"/>
      <c r="M16" s="1547"/>
      <c r="N16" s="1547"/>
      <c r="O16" s="1547"/>
      <c r="P16" s="1547"/>
      <c r="Q16" s="1547"/>
      <c r="R16" s="1547"/>
      <c r="S16" s="1547"/>
      <c r="T16" s="1547"/>
      <c r="U16" s="1547"/>
      <c r="V16" s="1547"/>
      <c r="W16" s="1547"/>
      <c r="X16" s="1547"/>
      <c r="Y16" s="1547"/>
      <c r="Z16" s="1547"/>
      <c r="AA16" s="1547"/>
      <c r="AB16" s="1547"/>
    </row>
    <row r="17" spans="1:42" ht="18.75" hidden="1" customHeight="1">
      <c r="A17" s="1547" t="s">
        <v>1600</v>
      </c>
      <c r="B17" s="1547"/>
      <c r="C17" s="1547"/>
      <c r="D17" s="1547"/>
      <c r="E17" s="1547"/>
      <c r="F17" s="1547"/>
      <c r="G17" s="1547"/>
      <c r="H17" s="1547"/>
      <c r="I17" s="1547"/>
      <c r="J17" s="1547"/>
      <c r="K17" s="1547"/>
      <c r="L17" s="1547"/>
      <c r="M17" s="1547"/>
      <c r="N17" s="1547"/>
      <c r="O17" s="1547"/>
      <c r="P17" s="1547"/>
      <c r="Q17" s="1547"/>
      <c r="R17" s="1547"/>
      <c r="S17" s="1547"/>
      <c r="T17" s="1547"/>
      <c r="U17" s="1547"/>
      <c r="V17" s="1547"/>
      <c r="W17" s="1547"/>
      <c r="X17" s="1547"/>
      <c r="Y17" s="1547"/>
      <c r="Z17" s="1547"/>
      <c r="AA17" s="1547"/>
      <c r="AB17" s="1547"/>
    </row>
    <row r="18" spans="1:42" ht="54" hidden="1" customHeight="1">
      <c r="A18" s="1548" t="s">
        <v>2007</v>
      </c>
      <c r="B18" s="1548"/>
      <c r="C18" s="1548"/>
      <c r="D18" s="1548"/>
      <c r="E18" s="1548"/>
      <c r="F18" s="1548"/>
      <c r="G18" s="1548"/>
      <c r="H18" s="1548"/>
      <c r="I18" s="1548"/>
      <c r="J18" s="1548"/>
      <c r="K18" s="1548"/>
      <c r="L18" s="1548"/>
      <c r="M18" s="1548"/>
      <c r="N18" s="1548"/>
      <c r="O18" s="1548"/>
      <c r="P18" s="1548"/>
      <c r="Q18" s="1548"/>
      <c r="R18" s="1548"/>
      <c r="S18" s="1548"/>
      <c r="T18" s="1548"/>
      <c r="U18" s="1548"/>
      <c r="V18" s="1548"/>
      <c r="W18" s="1548"/>
      <c r="X18" s="1548"/>
      <c r="Y18" s="1548"/>
      <c r="Z18" s="1548"/>
      <c r="AA18" s="1548"/>
      <c r="AB18" s="1548"/>
    </row>
    <row r="19" spans="1:42" s="500" customFormat="1" ht="16.5" hidden="1" customHeight="1">
      <c r="A19" s="499" t="s">
        <v>2013</v>
      </c>
      <c r="C19" s="501">
        <v>1490000</v>
      </c>
      <c r="D19" s="502"/>
      <c r="E19" s="502"/>
      <c r="F19" s="502"/>
      <c r="G19" s="503"/>
      <c r="H19" s="504">
        <v>1800000</v>
      </c>
      <c r="I19" s="504"/>
      <c r="J19" s="505"/>
      <c r="K19" s="506"/>
      <c r="L19" s="507"/>
      <c r="M19" s="505"/>
      <c r="N19" s="508"/>
      <c r="O19" s="1549"/>
      <c r="P19" s="1549"/>
      <c r="Q19" s="1549"/>
      <c r="R19" s="1549"/>
      <c r="S19" s="1549"/>
      <c r="T19" s="509"/>
      <c r="U19" s="510"/>
      <c r="V19" s="580"/>
      <c r="W19" s="651" t="s">
        <v>1181</v>
      </c>
      <c r="X19" s="651"/>
      <c r="Y19" s="651"/>
      <c r="Z19" s="651"/>
      <c r="AA19" s="505"/>
      <c r="AB19" s="511"/>
      <c r="AC19" s="512"/>
      <c r="AF19" s="513"/>
    </row>
    <row r="20" spans="1:42" ht="10.5" hidden="1" customHeight="1">
      <c r="A20" s="1"/>
      <c r="B20" s="7"/>
      <c r="C20" s="7"/>
      <c r="D20" s="7"/>
      <c r="E20" s="14"/>
      <c r="F20" s="14"/>
      <c r="G20" s="188"/>
      <c r="H20" s="222"/>
      <c r="I20" s="1"/>
      <c r="J20" s="1"/>
      <c r="K20" s="73"/>
      <c r="L20" s="356"/>
      <c r="M20" s="1"/>
      <c r="N20" s="3"/>
      <c r="O20" s="1"/>
      <c r="P20" s="1"/>
      <c r="Q20" s="3"/>
      <c r="R20" s="451"/>
      <c r="S20" s="3"/>
      <c r="T20" s="382"/>
      <c r="U20" s="3"/>
      <c r="V20" s="581"/>
      <c r="W20" s="27"/>
      <c r="X20" s="27"/>
      <c r="Y20" s="27"/>
      <c r="Z20" s="27"/>
      <c r="AA20" s="1"/>
    </row>
    <row r="21" spans="1:42" s="111" customFormat="1" ht="63.75" hidden="1" customHeight="1">
      <c r="A21" s="28" t="s">
        <v>853</v>
      </c>
      <c r="B21" s="1550" t="s">
        <v>854</v>
      </c>
      <c r="C21" s="1550"/>
      <c r="D21" s="88" t="s">
        <v>1598</v>
      </c>
      <c r="E21" s="420" t="s">
        <v>50</v>
      </c>
      <c r="F21" s="953"/>
      <c r="G21" s="40" t="s">
        <v>1137</v>
      </c>
      <c r="H21" s="220" t="s">
        <v>1138</v>
      </c>
      <c r="I21" s="40" t="s">
        <v>1139</v>
      </c>
      <c r="J21" s="40" t="s">
        <v>1140</v>
      </c>
      <c r="K21" s="78" t="s">
        <v>855</v>
      </c>
      <c r="L21" s="350" t="s">
        <v>1141</v>
      </c>
      <c r="M21" s="28" t="s">
        <v>860</v>
      </c>
      <c r="N21" s="28" t="s">
        <v>1186</v>
      </c>
      <c r="O21" s="28" t="s">
        <v>861</v>
      </c>
      <c r="P21" s="28" t="s">
        <v>857</v>
      </c>
      <c r="Q21" s="28" t="s">
        <v>1187</v>
      </c>
      <c r="R21" s="452" t="s">
        <v>1247</v>
      </c>
      <c r="S21" s="93" t="s">
        <v>1188</v>
      </c>
      <c r="T21" s="383" t="s">
        <v>1184</v>
      </c>
      <c r="U21" s="28" t="s">
        <v>1189</v>
      </c>
      <c r="V21" s="582" t="s">
        <v>1190</v>
      </c>
      <c r="W21" s="28" t="s">
        <v>1100</v>
      </c>
      <c r="X21" s="441"/>
      <c r="Y21" s="441"/>
      <c r="Z21" s="441"/>
      <c r="AA21" s="1560" t="s">
        <v>40</v>
      </c>
      <c r="AB21" s="1561"/>
      <c r="AC21" s="437"/>
      <c r="AF21" s="153"/>
    </row>
    <row r="22" spans="1:42" s="108" customFormat="1" ht="15" hidden="1" customHeight="1">
      <c r="A22" s="29" t="s">
        <v>1110</v>
      </c>
      <c r="B22" s="1558" t="s">
        <v>1111</v>
      </c>
      <c r="C22" s="1558"/>
      <c r="D22" s="29"/>
      <c r="E22" s="421"/>
      <c r="F22" s="421"/>
      <c r="G22" s="29" t="s">
        <v>1112</v>
      </c>
      <c r="H22" s="29" t="s">
        <v>1113</v>
      </c>
      <c r="I22" s="29" t="s">
        <v>1114</v>
      </c>
      <c r="J22" s="29" t="s">
        <v>1115</v>
      </c>
      <c r="K22" s="72" t="s">
        <v>1112</v>
      </c>
      <c r="L22" s="351" t="s">
        <v>1117</v>
      </c>
      <c r="M22" s="29" t="s">
        <v>1113</v>
      </c>
      <c r="N22" s="29" t="s">
        <v>1114</v>
      </c>
      <c r="O22" s="29" t="s">
        <v>1115</v>
      </c>
      <c r="P22" s="29" t="s">
        <v>1116</v>
      </c>
      <c r="Q22" s="29" t="s">
        <v>1117</v>
      </c>
      <c r="R22" s="453" t="s">
        <v>1125</v>
      </c>
      <c r="S22" s="29" t="s">
        <v>1118</v>
      </c>
      <c r="T22" s="384" t="s">
        <v>1127</v>
      </c>
      <c r="U22" s="29">
        <v>10</v>
      </c>
      <c r="V22" s="583" t="s">
        <v>2022</v>
      </c>
      <c r="W22" s="29">
        <v>11</v>
      </c>
      <c r="X22" s="652"/>
      <c r="Y22" s="652"/>
      <c r="Z22" s="652"/>
      <c r="AA22" s="1562">
        <v>12</v>
      </c>
      <c r="AB22" s="1563"/>
      <c r="AC22" s="141"/>
      <c r="AF22" s="154"/>
    </row>
    <row r="23" spans="1:42" s="372" customFormat="1" ht="24.75" customHeight="1">
      <c r="A23" s="379">
        <f>_xlfn.AGGREGATE(4,7,A$22:A22)+1</f>
        <v>1</v>
      </c>
      <c r="B23" s="954" t="s">
        <v>1433</v>
      </c>
      <c r="C23" s="955" t="s">
        <v>1434</v>
      </c>
      <c r="D23" s="394" t="s">
        <v>1613</v>
      </c>
      <c r="E23" s="478" t="s">
        <v>1435</v>
      </c>
      <c r="F23" s="54" t="str">
        <f>VLOOKUP(B23,TH.T4!B21:J351,9,FALSE)</f>
        <v>Hiệu trưởng</v>
      </c>
      <c r="G23" s="366">
        <v>5.76</v>
      </c>
      <c r="H23" s="367">
        <v>0</v>
      </c>
      <c r="I23" s="368">
        <f t="shared" ref="I23:I86" si="0">G23+(G23*H23)</f>
        <v>5.76</v>
      </c>
      <c r="J23" s="368">
        <v>0.9</v>
      </c>
      <c r="K23" s="369">
        <f t="shared" ref="K23:K86" si="1">I23+J23</f>
        <v>6.66</v>
      </c>
      <c r="L23" s="362">
        <f t="shared" ref="L23:L86" si="2">K23*$H$19</f>
        <v>11988000</v>
      </c>
      <c r="M23" s="366" t="str">
        <f>VLOOKUP(B23,'[13]Gui chi Quynh'!$B$11:$E$400,4,FALSE)</f>
        <v>A1</v>
      </c>
      <c r="N23" s="494">
        <f t="shared" ref="N23:N86" si="3">IF(M23="A1",L23*1.6,IF(M23="A2",L23*1.4,IF(M23="A3",L23*1.2,IF(M23="A4",L23*1,IF(M23="B1",L23*0.7,IF(M23="B2",L23*0.5,IF(M23="C1",L23*0.3,IF(M23="C2",L23*0.2,0))))))))</f>
        <v>19180800</v>
      </c>
      <c r="O23" s="657">
        <v>22</v>
      </c>
      <c r="P23" s="440">
        <f>IFERROR(INDEX('[14]CN BC'!$J$10:$J$276,MATCH(B23,'[14]CN BC'!$H$10:$H$276,0)),"")</f>
        <v>29</v>
      </c>
      <c r="Q23" s="494">
        <f t="shared" ref="Q23:Q86" si="4">IF(P23&gt;=O23,N23,N23/O23*P23)</f>
        <v>19180800</v>
      </c>
      <c r="R23" s="460"/>
      <c r="S23" s="362">
        <f>R23*$H$19*1.6</f>
        <v>0</v>
      </c>
      <c r="T23" s="370"/>
      <c r="U23" s="362">
        <f t="shared" ref="U23:U86" si="5">T23*$H$19*1</f>
        <v>0</v>
      </c>
      <c r="V23" s="584">
        <f t="shared" ref="V23:V86" si="6">IF(OR(M23="A DN",M23="KXL", M23=""),"0",ROUND(K23*0.01*$H$19+R23*1%*$H$19+T23*1%*$H$19,))</f>
        <v>119880</v>
      </c>
      <c r="W23" s="371">
        <f>(Q23+S23+U23)</f>
        <v>19180800</v>
      </c>
      <c r="X23" s="976">
        <f>W23/Y23</f>
        <v>10.656000000000001</v>
      </c>
      <c r="Y23" s="662">
        <v>1800000</v>
      </c>
      <c r="Z23" s="663">
        <f>X23*Y23</f>
        <v>19180800</v>
      </c>
      <c r="AA23" s="568">
        <f t="shared" ref="AA23:AA86" si="7">A23</f>
        <v>1</v>
      </c>
      <c r="AB23" s="493">
        <f>IFERROR(INDEX('[14]CN BC'!$M$10:$M$276,MATCH(B23,'[14]CN BC'!$H$10:$H$276,0)),"")</f>
        <v>0</v>
      </c>
      <c r="AC23" s="141" t="str">
        <f>VLOOKUP(B23,TH.T4!B21:AC350,28,FALSE)</f>
        <v>BGH</v>
      </c>
      <c r="AD23" s="495"/>
      <c r="AE23" s="108"/>
      <c r="AF23" s="155"/>
      <c r="AG23" s="108"/>
      <c r="AH23" s="108"/>
      <c r="AI23" s="108"/>
      <c r="AJ23" s="108"/>
      <c r="AK23" s="108"/>
      <c r="AL23" s="108"/>
      <c r="AM23" s="108"/>
      <c r="AN23" s="108"/>
      <c r="AO23" s="108"/>
      <c r="AP23" s="108"/>
    </row>
    <row r="24" spans="1:42" s="372" customFormat="1" ht="27.75" customHeight="1">
      <c r="A24" s="379">
        <f>_xlfn.AGGREGATE(4,7,A$22:A23)+1</f>
        <v>2</v>
      </c>
      <c r="B24" s="374" t="s">
        <v>1447</v>
      </c>
      <c r="C24" s="956" t="s">
        <v>1439</v>
      </c>
      <c r="D24" s="406" t="s">
        <v>1614</v>
      </c>
      <c r="E24" s="422" t="s">
        <v>1442</v>
      </c>
      <c r="F24" s="81" t="str">
        <f>VLOOKUP(B24,TH.T4!B22:J352,9,FALSE)</f>
        <v>Phó Hiệu trưởng</v>
      </c>
      <c r="G24" s="366">
        <v>4.9800000000000004</v>
      </c>
      <c r="H24" s="367">
        <v>7.0000000000000007E-2</v>
      </c>
      <c r="I24" s="368">
        <f t="shared" si="0"/>
        <v>5.3286000000000007</v>
      </c>
      <c r="J24" s="368">
        <v>0.7</v>
      </c>
      <c r="K24" s="369">
        <f t="shared" si="1"/>
        <v>6.0286000000000008</v>
      </c>
      <c r="L24" s="362">
        <f t="shared" si="2"/>
        <v>10851480.000000002</v>
      </c>
      <c r="M24" s="366" t="str">
        <f>VLOOKUP(B24,'[13]Gui chi Quynh'!$B$11:$E$400,4,FALSE)</f>
        <v>A1</v>
      </c>
      <c r="N24" s="494">
        <f t="shared" si="3"/>
        <v>17362368.000000004</v>
      </c>
      <c r="O24" s="366">
        <v>22</v>
      </c>
      <c r="P24" s="440">
        <f>IFERROR(INDEX('[14]CN BC'!$J$10:$J$276,MATCH(B24,'[14]CN BC'!$H$10:$H$276,0)),"")</f>
        <v>28</v>
      </c>
      <c r="Q24" s="494">
        <f t="shared" si="4"/>
        <v>17362368.000000004</v>
      </c>
      <c r="R24" s="460"/>
      <c r="S24" s="362">
        <f>R24*$H$19*1.6</f>
        <v>0</v>
      </c>
      <c r="T24" s="385"/>
      <c r="U24" s="362">
        <f t="shared" si="5"/>
        <v>0</v>
      </c>
      <c r="V24" s="584">
        <f t="shared" si="6"/>
        <v>108515</v>
      </c>
      <c r="W24" s="371">
        <f>(Q24+S24+U24)</f>
        <v>17362368.000000004</v>
      </c>
      <c r="X24" s="977">
        <f>W24/Y24</f>
        <v>9.6457600000000028</v>
      </c>
      <c r="Y24" s="491">
        <v>1800000</v>
      </c>
      <c r="Z24" s="663">
        <f t="shared" ref="Z24:Z87" si="8">X24*Y24</f>
        <v>17362368.000000004</v>
      </c>
      <c r="AA24" s="568">
        <f t="shared" si="7"/>
        <v>2</v>
      </c>
      <c r="AB24" s="493">
        <f>IFERROR(INDEX('[14]CN BC'!$M$10:$M$276,MATCH(B24,'[14]CN BC'!$H$10:$H$276,0)),"")</f>
        <v>0</v>
      </c>
      <c r="AC24" s="141" t="str">
        <f>VLOOKUP(B24,TH.T4!B22:AC352,28,FALSE)</f>
        <v>BGH</v>
      </c>
      <c r="AD24" s="496"/>
      <c r="AE24" s="465"/>
      <c r="AF24" s="155"/>
      <c r="AG24" s="108"/>
      <c r="AH24" s="108"/>
      <c r="AI24" s="108"/>
      <c r="AJ24" s="108"/>
      <c r="AK24" s="108"/>
      <c r="AL24" s="108"/>
      <c r="AM24" s="108"/>
      <c r="AN24" s="108"/>
      <c r="AO24" s="108"/>
      <c r="AP24" s="108"/>
    </row>
    <row r="25" spans="1:42" s="372" customFormat="1" ht="27" customHeight="1">
      <c r="A25" s="379">
        <f>_xlfn.AGGREGATE(4,7,A$22:A24)+1</f>
        <v>3</v>
      </c>
      <c r="B25" s="374" t="s">
        <v>1845</v>
      </c>
      <c r="C25" s="956" t="s">
        <v>867</v>
      </c>
      <c r="D25" s="434" t="s">
        <v>1615</v>
      </c>
      <c r="E25" s="423" t="s">
        <v>1255</v>
      </c>
      <c r="F25" s="81" t="str">
        <f>VLOOKUP(B25,TH.T4!B23:J353,9,FALSE)</f>
        <v>Phó Hiệu trưởng</v>
      </c>
      <c r="G25" s="366">
        <v>4.9800000000000004</v>
      </c>
      <c r="H25" s="367">
        <v>0.08</v>
      </c>
      <c r="I25" s="368">
        <f t="shared" si="0"/>
        <v>5.3784000000000001</v>
      </c>
      <c r="J25" s="368">
        <v>0.7</v>
      </c>
      <c r="K25" s="369">
        <f t="shared" si="1"/>
        <v>6.0784000000000002</v>
      </c>
      <c r="L25" s="362">
        <f t="shared" si="2"/>
        <v>10941120</v>
      </c>
      <c r="M25" s="366" t="str">
        <f>VLOOKUP(B25,'[13]Gui chi Quynh'!$B$11:$E$400,4,FALSE)</f>
        <v>A1</v>
      </c>
      <c r="N25" s="494">
        <f t="shared" si="3"/>
        <v>17505792</v>
      </c>
      <c r="O25" s="366">
        <v>22</v>
      </c>
      <c r="P25" s="440">
        <f>IFERROR(INDEX('[14]CN BC'!$J$10:$J$276,MATCH(B25,'[14]CN BC'!$H$10:$H$276,0)),"")</f>
        <v>29</v>
      </c>
      <c r="Q25" s="494">
        <f t="shared" si="4"/>
        <v>17505792</v>
      </c>
      <c r="R25" s="460"/>
      <c r="S25" s="362">
        <f>R25*$H$19*1.6</f>
        <v>0</v>
      </c>
      <c r="T25" s="370"/>
      <c r="U25" s="362">
        <f t="shared" si="5"/>
        <v>0</v>
      </c>
      <c r="V25" s="362">
        <f t="shared" si="6"/>
        <v>109411</v>
      </c>
      <c r="W25" s="371">
        <f t="shared" ref="W25:W88" si="9">(Q25+S25+U25)</f>
        <v>17505792</v>
      </c>
      <c r="X25" s="977">
        <f t="shared" ref="X25:X88" si="10">W25/Y25</f>
        <v>9.7254400000000008</v>
      </c>
      <c r="Y25" s="491">
        <v>1800000</v>
      </c>
      <c r="Z25" s="663">
        <f t="shared" si="8"/>
        <v>17505792</v>
      </c>
      <c r="AA25" s="568">
        <f t="shared" si="7"/>
        <v>3</v>
      </c>
      <c r="AB25" s="493">
        <f>IFERROR(INDEX('[14]CN BC'!$M$10:$M$276,MATCH(B25,'[14]CN BC'!$H$10:$H$276,0)),"")</f>
        <v>0</v>
      </c>
      <c r="AC25" s="141" t="str">
        <f>VLOOKUP(B25,TH.T4!B23:AC353,28,FALSE)</f>
        <v>BGH</v>
      </c>
      <c r="AD25" s="590"/>
      <c r="AE25" s="591"/>
      <c r="AF25" s="487"/>
    </row>
    <row r="26" spans="1:42" s="372" customFormat="1" ht="24.75" customHeight="1">
      <c r="A26" s="379">
        <f>_xlfn.AGGREGATE(4,7,A$22:A25)+1</f>
        <v>4</v>
      </c>
      <c r="B26" s="374" t="s">
        <v>1533</v>
      </c>
      <c r="C26" s="956"/>
      <c r="D26" s="434" t="s">
        <v>1954</v>
      </c>
      <c r="E26" s="102" t="s">
        <v>1937</v>
      </c>
      <c r="F26" s="81" t="str">
        <f>VLOOKUP(B26,TH.T4!B24:J354,9,FALSE)</f>
        <v>Phó Hiệu trưởng</v>
      </c>
      <c r="G26" s="373">
        <v>4.6500000000000004</v>
      </c>
      <c r="H26" s="367"/>
      <c r="I26" s="368">
        <f t="shared" si="0"/>
        <v>4.6500000000000004</v>
      </c>
      <c r="J26" s="368">
        <v>0.7</v>
      </c>
      <c r="K26" s="369">
        <f t="shared" si="1"/>
        <v>5.3500000000000005</v>
      </c>
      <c r="L26" s="362">
        <f t="shared" si="2"/>
        <v>9630000.0000000019</v>
      </c>
      <c r="M26" s="366" t="str">
        <f>VLOOKUP(B26,'[13]Gui chi Quynh'!$B$11:$E$400,4,FALSE)</f>
        <v>A1</v>
      </c>
      <c r="N26" s="494">
        <f t="shared" si="3"/>
        <v>15408000.000000004</v>
      </c>
      <c r="O26" s="366">
        <v>22</v>
      </c>
      <c r="P26" s="440">
        <f>IFERROR(INDEX('[14]CN BC'!$J$10:$J$276,MATCH(B26,'[14]CN BC'!$H$10:$H$276,0)),"")</f>
        <v>31</v>
      </c>
      <c r="Q26" s="494">
        <f t="shared" si="4"/>
        <v>15408000.000000004</v>
      </c>
      <c r="R26" s="460"/>
      <c r="S26" s="362">
        <f t="shared" ref="S26:S34" si="11">R26*$H$19*1</f>
        <v>0</v>
      </c>
      <c r="T26" s="370"/>
      <c r="U26" s="362">
        <f t="shared" si="5"/>
        <v>0</v>
      </c>
      <c r="V26" s="584">
        <f t="shared" si="6"/>
        <v>96300</v>
      </c>
      <c r="W26" s="371">
        <f t="shared" si="9"/>
        <v>15408000.000000004</v>
      </c>
      <c r="X26" s="977">
        <f t="shared" si="10"/>
        <v>8.5600000000000023</v>
      </c>
      <c r="Y26" s="491">
        <v>1800000</v>
      </c>
      <c r="Z26" s="663">
        <f t="shared" si="8"/>
        <v>15408000.000000004</v>
      </c>
      <c r="AA26" s="568">
        <f t="shared" si="7"/>
        <v>4</v>
      </c>
      <c r="AB26" s="493">
        <f>IFERROR(INDEX('[14]CN BC'!$M$10:$M$276,MATCH(B26,'[14]CN BC'!$H$10:$H$276,0)),"")</f>
        <v>0</v>
      </c>
      <c r="AC26" s="141" t="str">
        <f>VLOOKUP(B26,TH.T4!B24:AC354,28,FALSE)</f>
        <v>BGH</v>
      </c>
      <c r="AD26" s="497"/>
      <c r="AE26" s="497"/>
      <c r="AF26" s="155"/>
      <c r="AG26" s="108"/>
      <c r="AH26" s="108"/>
      <c r="AI26" s="108"/>
      <c r="AJ26" s="108"/>
      <c r="AK26" s="108"/>
      <c r="AL26" s="108"/>
    </row>
    <row r="27" spans="1:42" s="372" customFormat="1" ht="30.75" customHeight="1">
      <c r="A27" s="379">
        <f>_xlfn.AGGREGATE(4,7,A$22:A26)+1</f>
        <v>5</v>
      </c>
      <c r="B27" s="374" t="s">
        <v>1458</v>
      </c>
      <c r="C27" s="956" t="s">
        <v>891</v>
      </c>
      <c r="D27" s="30" t="s">
        <v>1995</v>
      </c>
      <c r="E27" s="432" t="s">
        <v>1577</v>
      </c>
      <c r="F27" s="81" t="str">
        <f>VLOOKUP(B27,TH.T4!B25:J355,9,FALSE)</f>
        <v>Trưởng phòng TC - HC - TH</v>
      </c>
      <c r="G27" s="366">
        <v>4.9800000000000004</v>
      </c>
      <c r="H27" s="367">
        <v>0.05</v>
      </c>
      <c r="I27" s="368">
        <f t="shared" si="0"/>
        <v>5.2290000000000001</v>
      </c>
      <c r="J27" s="368">
        <v>0.45</v>
      </c>
      <c r="K27" s="369">
        <f t="shared" si="1"/>
        <v>5.6790000000000003</v>
      </c>
      <c r="L27" s="362">
        <f t="shared" si="2"/>
        <v>10222200</v>
      </c>
      <c r="M27" s="366" t="str">
        <f>VLOOKUP(B27,'[13]Gui chi Quynh'!$B$11:$E$400,4,FALSE)</f>
        <v>A1</v>
      </c>
      <c r="N27" s="494">
        <f t="shared" si="3"/>
        <v>16355520</v>
      </c>
      <c r="O27" s="366">
        <v>22</v>
      </c>
      <c r="P27" s="440">
        <f>IFERROR(INDEX('[14]CN BC'!$J$10:$J$276,MATCH(B27,'[14]CN BC'!$H$10:$H$276,0)),"")</f>
        <v>29</v>
      </c>
      <c r="Q27" s="494">
        <f t="shared" si="4"/>
        <v>16355520</v>
      </c>
      <c r="R27" s="392"/>
      <c r="S27" s="362">
        <f t="shared" si="11"/>
        <v>0</v>
      </c>
      <c r="T27" s="385"/>
      <c r="U27" s="362">
        <f t="shared" si="5"/>
        <v>0</v>
      </c>
      <c r="V27" s="584">
        <f t="shared" si="6"/>
        <v>102222</v>
      </c>
      <c r="W27" s="371">
        <f t="shared" si="9"/>
        <v>16355520</v>
      </c>
      <c r="X27" s="977">
        <f t="shared" si="10"/>
        <v>9.0863999999999994</v>
      </c>
      <c r="Y27" s="491">
        <v>1800000</v>
      </c>
      <c r="Z27" s="663">
        <f t="shared" si="8"/>
        <v>16355519.999999998</v>
      </c>
      <c r="AA27" s="568">
        <f t="shared" si="7"/>
        <v>5</v>
      </c>
      <c r="AB27" s="493">
        <f>IFERROR(INDEX('[14]CN BC'!$M$10:$M$276,MATCH(B27,'[14]CN BC'!$H$10:$H$276,0)),"")</f>
        <v>0</v>
      </c>
      <c r="AC27" s="141" t="str">
        <f>VLOOKUP(B27,TH.T4!B25:AC355,28,FALSE)</f>
        <v>TCHC</v>
      </c>
      <c r="AD27" s="497"/>
      <c r="AE27" s="497"/>
      <c r="AF27" s="155"/>
      <c r="AG27" s="108"/>
      <c r="AH27" s="108"/>
      <c r="AI27" s="108"/>
      <c r="AJ27" s="108"/>
      <c r="AK27" s="108"/>
      <c r="AL27" s="108"/>
      <c r="AM27" s="108"/>
      <c r="AN27" s="108"/>
      <c r="AO27" s="108"/>
      <c r="AP27" s="108"/>
    </row>
    <row r="28" spans="1:42" s="372" customFormat="1" ht="30.75" customHeight="1">
      <c r="A28" s="379">
        <f>_xlfn.AGGREGATE(4,7,A$22:A27)+1</f>
        <v>6</v>
      </c>
      <c r="B28" s="957" t="s">
        <v>1596</v>
      </c>
      <c r="C28" s="957" t="s">
        <v>979</v>
      </c>
      <c r="D28" s="418" t="s">
        <v>1623</v>
      </c>
      <c r="E28" s="426">
        <v>1603205353720</v>
      </c>
      <c r="F28" s="81" t="str">
        <f>VLOOKUP(B28,TH.T4!B26:J356,9,FALSE)</f>
        <v>Phó Trưởng phòng Tổ chức - Hành chính - TH</v>
      </c>
      <c r="G28" s="373">
        <v>3.33</v>
      </c>
      <c r="H28" s="367"/>
      <c r="I28" s="445">
        <f t="shared" si="0"/>
        <v>3.33</v>
      </c>
      <c r="J28" s="368">
        <v>0.35</v>
      </c>
      <c r="K28" s="369">
        <f t="shared" si="1"/>
        <v>3.68</v>
      </c>
      <c r="L28" s="362">
        <f t="shared" si="2"/>
        <v>6624000</v>
      </c>
      <c r="M28" s="366" t="str">
        <f>VLOOKUP(B28,'[13]Gui chi Quynh'!$B$11:$E$400,4,FALSE)</f>
        <v>A1</v>
      </c>
      <c r="N28" s="494">
        <f t="shared" si="3"/>
        <v>10598400</v>
      </c>
      <c r="O28" s="366">
        <v>22</v>
      </c>
      <c r="P28" s="440">
        <f>IFERROR(INDEX('[14]CN BC'!$J$10:$J$276,MATCH(B28,'[14]CN BC'!$H$10:$H$276,0)),"")</f>
        <v>24.5</v>
      </c>
      <c r="Q28" s="494">
        <f t="shared" si="4"/>
        <v>10598400</v>
      </c>
      <c r="R28" s="392"/>
      <c r="S28" s="362">
        <f t="shared" si="11"/>
        <v>0</v>
      </c>
      <c r="T28" s="370"/>
      <c r="U28" s="362">
        <f t="shared" si="5"/>
        <v>0</v>
      </c>
      <c r="V28" s="584">
        <f t="shared" si="6"/>
        <v>66240</v>
      </c>
      <c r="W28" s="371">
        <f t="shared" si="9"/>
        <v>10598400</v>
      </c>
      <c r="X28" s="977">
        <f t="shared" si="10"/>
        <v>5.8879999999999999</v>
      </c>
      <c r="Y28" s="491">
        <v>1800000</v>
      </c>
      <c r="Z28" s="663">
        <f t="shared" si="8"/>
        <v>10598400</v>
      </c>
      <c r="AA28" s="568">
        <f t="shared" si="7"/>
        <v>6</v>
      </c>
      <c r="AB28" s="493">
        <f>IFERROR(INDEX('[14]CN BC'!$M$10:$M$276,MATCH(B28,'[14]CN BC'!$H$10:$H$276,0)),"")</f>
        <v>0</v>
      </c>
      <c r="AC28" s="141" t="str">
        <f>VLOOKUP(B28,TH.T4!B26:AC356,28,FALSE)</f>
        <v>TCHC</v>
      </c>
      <c r="AD28" s="471"/>
      <c r="AE28" s="497"/>
      <c r="AF28" s="155"/>
      <c r="AG28" s="108"/>
      <c r="AH28" s="108"/>
      <c r="AI28" s="108"/>
      <c r="AJ28" s="108"/>
      <c r="AK28" s="108"/>
      <c r="AL28" s="108"/>
    </row>
    <row r="29" spans="1:42" s="372" customFormat="1" ht="30.75" customHeight="1">
      <c r="A29" s="379">
        <f>_xlfn.AGGREGATE(4,7,A$22:A28)+1</f>
        <v>7</v>
      </c>
      <c r="B29" s="374" t="s">
        <v>1464</v>
      </c>
      <c r="C29" s="956" t="s">
        <v>266</v>
      </c>
      <c r="D29" s="434" t="s">
        <v>1660</v>
      </c>
      <c r="E29" s="428">
        <v>1603205185719</v>
      </c>
      <c r="F29" s="81" t="str">
        <f>VLOOKUP(B29,TH.T4!B27:J357,9,FALSE)</f>
        <v>Phó Trưởng phòng Tổ chức - Hành chính - TH</v>
      </c>
      <c r="G29" s="373">
        <v>3</v>
      </c>
      <c r="H29" s="367"/>
      <c r="I29" s="368">
        <f t="shared" si="0"/>
        <v>3</v>
      </c>
      <c r="J29" s="368">
        <v>0.35</v>
      </c>
      <c r="K29" s="369">
        <f t="shared" si="1"/>
        <v>3.35</v>
      </c>
      <c r="L29" s="362">
        <f t="shared" si="2"/>
        <v>6030000</v>
      </c>
      <c r="M29" s="366" t="str">
        <f>VLOOKUP(B29,'[13]Gui chi Quynh'!$B$11:$E$400,4,FALSE)</f>
        <v>A1</v>
      </c>
      <c r="N29" s="494">
        <f t="shared" si="3"/>
        <v>9648000</v>
      </c>
      <c r="O29" s="366">
        <v>22</v>
      </c>
      <c r="P29" s="440">
        <f>IFERROR(INDEX('[14]CN BC'!$J$10:$J$276,MATCH(B29,'[14]CN BC'!$H$10:$H$276,0)),"")</f>
        <v>25.5</v>
      </c>
      <c r="Q29" s="494">
        <f t="shared" si="4"/>
        <v>9648000</v>
      </c>
      <c r="R29" s="460"/>
      <c r="S29" s="362">
        <f t="shared" si="11"/>
        <v>0</v>
      </c>
      <c r="T29" s="370"/>
      <c r="U29" s="362">
        <f t="shared" si="5"/>
        <v>0</v>
      </c>
      <c r="V29" s="584">
        <f t="shared" si="6"/>
        <v>60300</v>
      </c>
      <c r="W29" s="371">
        <f t="shared" si="9"/>
        <v>9648000</v>
      </c>
      <c r="X29" s="977">
        <f t="shared" si="10"/>
        <v>5.36</v>
      </c>
      <c r="Y29" s="491">
        <v>1800000</v>
      </c>
      <c r="Z29" s="663">
        <f t="shared" si="8"/>
        <v>9648000</v>
      </c>
      <c r="AA29" s="568">
        <f t="shared" si="7"/>
        <v>7</v>
      </c>
      <c r="AB29" s="493">
        <f>IFERROR(INDEX('[14]CN BC'!$M$10:$M$276,MATCH(B29,'[14]CN BC'!$H$10:$H$276,0)),"")</f>
        <v>0</v>
      </c>
      <c r="AC29" s="141" t="str">
        <f>VLOOKUP(B29,TH.T4!B27:AC357,28,FALSE)</f>
        <v>TCHC</v>
      </c>
      <c r="AD29" s="108"/>
      <c r="AE29" s="497"/>
      <c r="AF29" s="155"/>
      <c r="AG29" s="108"/>
      <c r="AH29" s="108"/>
      <c r="AI29" s="108"/>
      <c r="AJ29" s="108"/>
      <c r="AK29" s="108"/>
      <c r="AL29" s="108"/>
    </row>
    <row r="30" spans="1:42" s="372" customFormat="1" ht="30.75" customHeight="1">
      <c r="A30" s="379">
        <f>_xlfn.AGGREGATE(4,7,A$22:A29)+1</f>
        <v>8</v>
      </c>
      <c r="B30" s="374" t="s">
        <v>1846</v>
      </c>
      <c r="C30" s="956" t="s">
        <v>996</v>
      </c>
      <c r="D30" s="434" t="s">
        <v>1618</v>
      </c>
      <c r="E30" s="423" t="s">
        <v>1264</v>
      </c>
      <c r="F30" s="81" t="str">
        <f>VLOOKUP(B30,TH.T4!B28:J358,9,FALSE)</f>
        <v>NV Phòng Tổ chức - Hành chính - Tổng hợp</v>
      </c>
      <c r="G30" s="366">
        <v>3.66</v>
      </c>
      <c r="H30" s="367"/>
      <c r="I30" s="368">
        <f t="shared" si="0"/>
        <v>3.66</v>
      </c>
      <c r="J30" s="368"/>
      <c r="K30" s="369">
        <f t="shared" si="1"/>
        <v>3.66</v>
      </c>
      <c r="L30" s="362">
        <f t="shared" si="2"/>
        <v>6588000</v>
      </c>
      <c r="M30" s="366" t="str">
        <f>VLOOKUP(B30,'[13]Gui chi Quynh'!$B$11:$E$400,4,FALSE)</f>
        <v>A2</v>
      </c>
      <c r="N30" s="494">
        <f t="shared" si="3"/>
        <v>9223200</v>
      </c>
      <c r="O30" s="366">
        <v>22</v>
      </c>
      <c r="P30" s="440">
        <f>IFERROR(INDEX('[14]CN BC'!$J$10:$J$276,MATCH(B30,'[14]CN BC'!$H$10:$H$276,0)),"")</f>
        <v>24</v>
      </c>
      <c r="Q30" s="494">
        <f t="shared" si="4"/>
        <v>9223200</v>
      </c>
      <c r="R30" s="460"/>
      <c r="S30" s="362">
        <f t="shared" si="11"/>
        <v>0</v>
      </c>
      <c r="T30" s="370"/>
      <c r="U30" s="362">
        <f t="shared" si="5"/>
        <v>0</v>
      </c>
      <c r="V30" s="584">
        <f t="shared" si="6"/>
        <v>65880</v>
      </c>
      <c r="W30" s="371">
        <f t="shared" si="9"/>
        <v>9223200</v>
      </c>
      <c r="X30" s="977">
        <f t="shared" si="10"/>
        <v>5.1239999999999997</v>
      </c>
      <c r="Y30" s="491">
        <v>1800000</v>
      </c>
      <c r="Z30" s="663">
        <f t="shared" si="8"/>
        <v>9223200</v>
      </c>
      <c r="AA30" s="568">
        <f t="shared" si="7"/>
        <v>8</v>
      </c>
      <c r="AB30" s="493">
        <f>IFERROR(INDEX('[14]CN BC'!$M$10:$M$276,MATCH(B30,'[14]CN BC'!$H$10:$H$276,0)),"")</f>
        <v>0</v>
      </c>
      <c r="AC30" s="141" t="str">
        <f>VLOOKUP(B30,TH.T4!B28:AC358,28,FALSE)</f>
        <v>TCHC</v>
      </c>
      <c r="AD30" s="497"/>
      <c r="AE30" s="497"/>
      <c r="AF30" s="155"/>
      <c r="AG30" s="108"/>
      <c r="AH30" s="108"/>
      <c r="AI30" s="108"/>
      <c r="AJ30" s="108"/>
      <c r="AK30" s="108"/>
      <c r="AL30" s="108"/>
    </row>
    <row r="31" spans="1:42" s="372" customFormat="1" ht="30.75" customHeight="1">
      <c r="A31" s="379">
        <f>_xlfn.AGGREGATE(4,7,A$22:A30)+1</f>
        <v>9</v>
      </c>
      <c r="B31" s="374" t="s">
        <v>1827</v>
      </c>
      <c r="C31" s="956" t="s">
        <v>1169</v>
      </c>
      <c r="D31" s="434" t="s">
        <v>1619</v>
      </c>
      <c r="E31" s="423" t="s">
        <v>1265</v>
      </c>
      <c r="F31" s="81" t="str">
        <f>VLOOKUP(B31,TH.T4!B29:J359,9,FALSE)</f>
        <v>NV Phòng Tổ chức - Hành chính - Tổng hợp</v>
      </c>
      <c r="G31" s="373">
        <v>3.99</v>
      </c>
      <c r="H31" s="367"/>
      <c r="I31" s="368">
        <f t="shared" si="0"/>
        <v>3.99</v>
      </c>
      <c r="J31" s="368"/>
      <c r="K31" s="369">
        <f t="shared" si="1"/>
        <v>3.99</v>
      </c>
      <c r="L31" s="362">
        <f t="shared" si="2"/>
        <v>7182000</v>
      </c>
      <c r="M31" s="366" t="str">
        <f>VLOOKUP(B31,'[13]Gui chi Quynh'!$B$11:$E$400,4,FALSE)</f>
        <v>A3</v>
      </c>
      <c r="N31" s="494">
        <f t="shared" si="3"/>
        <v>8618400</v>
      </c>
      <c r="O31" s="366">
        <v>22</v>
      </c>
      <c r="P31" s="440">
        <f>IFERROR(INDEX('[14]CN BC'!$J$10:$J$276,MATCH(B31,'[14]CN BC'!$H$10:$H$276,0)),"")</f>
        <v>24.5</v>
      </c>
      <c r="Q31" s="494">
        <f t="shared" si="4"/>
        <v>8618400</v>
      </c>
      <c r="R31" s="460"/>
      <c r="S31" s="362">
        <f t="shared" si="11"/>
        <v>0</v>
      </c>
      <c r="T31" s="370"/>
      <c r="U31" s="362">
        <f t="shared" si="5"/>
        <v>0</v>
      </c>
      <c r="V31" s="584">
        <f t="shared" si="6"/>
        <v>71820</v>
      </c>
      <c r="W31" s="371">
        <f t="shared" si="9"/>
        <v>8618400</v>
      </c>
      <c r="X31" s="977">
        <f t="shared" si="10"/>
        <v>4.7880000000000003</v>
      </c>
      <c r="Y31" s="491">
        <v>1800000</v>
      </c>
      <c r="Z31" s="663">
        <f t="shared" si="8"/>
        <v>8618400</v>
      </c>
      <c r="AA31" s="568">
        <f t="shared" si="7"/>
        <v>9</v>
      </c>
      <c r="AB31" s="493">
        <f>IFERROR(INDEX('[14]CN BC'!$M$10:$M$276,MATCH(B31,'[14]CN BC'!$H$10:$H$276,0)),"")</f>
        <v>0</v>
      </c>
      <c r="AC31" s="141" t="str">
        <f>VLOOKUP(B31,TH.T4!B29:AC359,28,FALSE)</f>
        <v>TCHC</v>
      </c>
      <c r="AD31" s="497"/>
      <c r="AE31" s="497"/>
      <c r="AF31" s="155"/>
      <c r="AG31" s="108"/>
      <c r="AH31" s="108"/>
      <c r="AI31" s="108"/>
      <c r="AJ31" s="108"/>
      <c r="AK31" s="108"/>
      <c r="AL31" s="108"/>
    </row>
    <row r="32" spans="1:42" s="372" customFormat="1" ht="30.75" customHeight="1">
      <c r="A32" s="379">
        <f>_xlfn.AGGREGATE(4,7,A$22:A31)+1</f>
        <v>10</v>
      </c>
      <c r="B32" s="374" t="s">
        <v>1448</v>
      </c>
      <c r="C32" s="956" t="s">
        <v>951</v>
      </c>
      <c r="D32" s="434" t="s">
        <v>1620</v>
      </c>
      <c r="E32" s="426" t="s">
        <v>1574</v>
      </c>
      <c r="F32" s="81" t="str">
        <f>VLOOKUP(B32,TH.T4!B30:J360,9,FALSE)</f>
        <v>NV Phòng Tổ chức - Hành chính - Tổng hợp</v>
      </c>
      <c r="G32" s="366">
        <v>3.46</v>
      </c>
      <c r="H32" s="367"/>
      <c r="I32" s="368">
        <f t="shared" si="0"/>
        <v>3.46</v>
      </c>
      <c r="J32" s="368"/>
      <c r="K32" s="369">
        <f t="shared" si="1"/>
        <v>3.46</v>
      </c>
      <c r="L32" s="362">
        <f t="shared" si="2"/>
        <v>6228000</v>
      </c>
      <c r="M32" s="366" t="str">
        <f>VLOOKUP(B32,'[13]Gui chi Quynh'!$B$11:$E$400,4,FALSE)</f>
        <v>A2</v>
      </c>
      <c r="N32" s="494">
        <f t="shared" si="3"/>
        <v>8719200</v>
      </c>
      <c r="O32" s="366">
        <v>22</v>
      </c>
      <c r="P32" s="440">
        <f>IFERROR(INDEX('[14]CN BC'!$J$10:$J$276,MATCH(B32,'[14]CN BC'!$H$10:$H$276,0)),"")</f>
        <v>24</v>
      </c>
      <c r="Q32" s="494">
        <f t="shared" si="4"/>
        <v>8719200</v>
      </c>
      <c r="R32" s="460"/>
      <c r="S32" s="362">
        <f t="shared" si="11"/>
        <v>0</v>
      </c>
      <c r="T32" s="370"/>
      <c r="U32" s="362">
        <f t="shared" si="5"/>
        <v>0</v>
      </c>
      <c r="V32" s="584">
        <f t="shared" si="6"/>
        <v>62280</v>
      </c>
      <c r="W32" s="371">
        <f t="shared" si="9"/>
        <v>8719200</v>
      </c>
      <c r="X32" s="977">
        <f t="shared" si="10"/>
        <v>4.8440000000000003</v>
      </c>
      <c r="Y32" s="491">
        <v>1800000</v>
      </c>
      <c r="Z32" s="663">
        <f t="shared" si="8"/>
        <v>8719200</v>
      </c>
      <c r="AA32" s="568">
        <f t="shared" si="7"/>
        <v>10</v>
      </c>
      <c r="AB32" s="493">
        <f>IFERROR(INDEX('[14]CN BC'!$M$10:$M$276,MATCH(B32,'[14]CN BC'!$H$10:$H$276,0)),"")</f>
        <v>0</v>
      </c>
      <c r="AC32" s="141" t="str">
        <f>VLOOKUP(B32,TH.T4!B30:AC360,28,FALSE)</f>
        <v>TCHC</v>
      </c>
      <c r="AD32" s="108"/>
      <c r="AE32" s="497"/>
      <c r="AF32" s="155"/>
      <c r="AG32" s="108"/>
      <c r="AH32" s="108"/>
      <c r="AI32" s="108"/>
      <c r="AJ32" s="108"/>
      <c r="AK32" s="108"/>
      <c r="AL32" s="108"/>
    </row>
    <row r="33" spans="1:42" s="372" customFormat="1" ht="30.75" customHeight="1">
      <c r="A33" s="379">
        <f>_xlfn.AGGREGATE(4,7,A$22:A32)+1</f>
        <v>11</v>
      </c>
      <c r="B33" s="374" t="s">
        <v>1449</v>
      </c>
      <c r="C33" s="956" t="s">
        <v>1436</v>
      </c>
      <c r="D33" s="406" t="s">
        <v>1621</v>
      </c>
      <c r="E33" s="427">
        <v>1603205280047</v>
      </c>
      <c r="F33" s="81" t="str">
        <f>VLOOKUP(B33,TH.T4!B31:J361,9,FALSE)</f>
        <v>NV Phòng Tổ chức - Hành chính - Tổng hợp</v>
      </c>
      <c r="G33" s="373">
        <v>3.66</v>
      </c>
      <c r="H33" s="378"/>
      <c r="I33" s="368">
        <f t="shared" si="0"/>
        <v>3.66</v>
      </c>
      <c r="J33" s="368"/>
      <c r="K33" s="369">
        <f t="shared" si="1"/>
        <v>3.66</v>
      </c>
      <c r="L33" s="362">
        <f t="shared" si="2"/>
        <v>6588000</v>
      </c>
      <c r="M33" s="366" t="str">
        <f>VLOOKUP(B33,'[13]Gui chi Quynh'!$B$11:$E$400,4,FALSE)</f>
        <v>A3</v>
      </c>
      <c r="N33" s="494">
        <f t="shared" si="3"/>
        <v>7905600</v>
      </c>
      <c r="O33" s="366">
        <v>22</v>
      </c>
      <c r="P33" s="440">
        <f>IFERROR(INDEX('[14]CN BC'!$J$10:$J$276,MATCH(B33,'[14]CN BC'!$H$10:$H$276,0)),"")</f>
        <v>23.5</v>
      </c>
      <c r="Q33" s="494">
        <f t="shared" si="4"/>
        <v>7905600</v>
      </c>
      <c r="R33" s="392"/>
      <c r="S33" s="362">
        <f t="shared" si="11"/>
        <v>0</v>
      </c>
      <c r="T33" s="385"/>
      <c r="U33" s="362">
        <f t="shared" si="5"/>
        <v>0</v>
      </c>
      <c r="V33" s="584">
        <f t="shared" si="6"/>
        <v>65880</v>
      </c>
      <c r="W33" s="371">
        <f t="shared" si="9"/>
        <v>7905600</v>
      </c>
      <c r="X33" s="977">
        <f t="shared" si="10"/>
        <v>4.3920000000000003</v>
      </c>
      <c r="Y33" s="491">
        <v>1800000</v>
      </c>
      <c r="Z33" s="663">
        <f t="shared" si="8"/>
        <v>7905600.0000000009</v>
      </c>
      <c r="AA33" s="568">
        <f t="shared" si="7"/>
        <v>11</v>
      </c>
      <c r="AB33" s="493">
        <f>IFERROR(INDEX('[14]CN BC'!$M$10:$M$276,MATCH(B33,'[14]CN BC'!$H$10:$H$276,0)),"")</f>
        <v>0</v>
      </c>
      <c r="AC33" s="141" t="str">
        <f>VLOOKUP(B33,TH.T4!B31:AC361,28,FALSE)</f>
        <v>TCHC</v>
      </c>
      <c r="AD33" s="108"/>
      <c r="AE33" s="108"/>
      <c r="AF33" s="155"/>
      <c r="AG33" s="108"/>
      <c r="AH33" s="108"/>
      <c r="AI33" s="108"/>
      <c r="AJ33" s="108"/>
      <c r="AK33" s="108"/>
      <c r="AL33" s="108"/>
      <c r="AM33" s="108"/>
      <c r="AN33" s="108"/>
      <c r="AO33" s="108"/>
      <c r="AP33" s="108"/>
    </row>
    <row r="34" spans="1:42" s="372" customFormat="1" ht="30.75" customHeight="1">
      <c r="A34" s="379">
        <f>_xlfn.AGGREGATE(4,7,A$22:A33)+1</f>
        <v>12</v>
      </c>
      <c r="B34" s="374" t="s">
        <v>1828</v>
      </c>
      <c r="C34" s="956" t="s">
        <v>996</v>
      </c>
      <c r="D34" s="434" t="s">
        <v>1622</v>
      </c>
      <c r="E34" s="428" t="s">
        <v>385</v>
      </c>
      <c r="F34" s="81" t="str">
        <f>VLOOKUP(B34,TH.T4!B32:J362,9,FALSE)</f>
        <v>NV Phòng Tổ chức - Hành chính - Tổng hợp</v>
      </c>
      <c r="G34" s="366">
        <v>3.66</v>
      </c>
      <c r="H34" s="367"/>
      <c r="I34" s="368">
        <f t="shared" si="0"/>
        <v>3.66</v>
      </c>
      <c r="J34" s="368"/>
      <c r="K34" s="369">
        <f t="shared" si="1"/>
        <v>3.66</v>
      </c>
      <c r="L34" s="362">
        <f t="shared" si="2"/>
        <v>6588000</v>
      </c>
      <c r="M34" s="366" t="str">
        <f>VLOOKUP(B34,'[13]Gui chi Quynh'!$B$11:$E$400,4,FALSE)</f>
        <v>A3</v>
      </c>
      <c r="N34" s="494">
        <f t="shared" si="3"/>
        <v>7905600</v>
      </c>
      <c r="O34" s="366">
        <v>22</v>
      </c>
      <c r="P34" s="440">
        <f>IFERROR(INDEX('[14]CN BC'!$J$10:$J$276,MATCH(B34,'[14]CN BC'!$H$10:$H$276,0)),"")</f>
        <v>24.5</v>
      </c>
      <c r="Q34" s="494">
        <f t="shared" si="4"/>
        <v>7905600</v>
      </c>
      <c r="R34" s="460"/>
      <c r="S34" s="362">
        <f t="shared" si="11"/>
        <v>0</v>
      </c>
      <c r="T34" s="370"/>
      <c r="U34" s="362">
        <f t="shared" si="5"/>
        <v>0</v>
      </c>
      <c r="V34" s="584">
        <f t="shared" si="6"/>
        <v>65880</v>
      </c>
      <c r="W34" s="371">
        <f t="shared" si="9"/>
        <v>7905600</v>
      </c>
      <c r="X34" s="977">
        <f t="shared" si="10"/>
        <v>4.3920000000000003</v>
      </c>
      <c r="Y34" s="491">
        <v>1800000</v>
      </c>
      <c r="Z34" s="663">
        <f t="shared" si="8"/>
        <v>7905600.0000000009</v>
      </c>
      <c r="AA34" s="568">
        <f t="shared" si="7"/>
        <v>12</v>
      </c>
      <c r="AB34" s="493">
        <f>IFERROR(INDEX('[14]CN BC'!$M$10:$M$276,MATCH(B34,'[14]CN BC'!$H$10:$H$276,0)),"")</f>
        <v>0</v>
      </c>
      <c r="AC34" s="141" t="str">
        <f>VLOOKUP(B34,TH.T4!B32:AC362,28,FALSE)</f>
        <v>TCHC</v>
      </c>
      <c r="AD34" s="108"/>
      <c r="AE34" s="108"/>
      <c r="AF34" s="155"/>
      <c r="AG34" s="108"/>
      <c r="AH34" s="108"/>
      <c r="AI34" s="108"/>
      <c r="AJ34" s="108"/>
      <c r="AK34" s="108"/>
      <c r="AL34" s="108"/>
    </row>
    <row r="35" spans="1:42" s="372" customFormat="1" ht="30.75" customHeight="1">
      <c r="A35" s="379">
        <f>_xlfn.AGGREGATE(4,7,A$22:A34)+1</f>
        <v>13</v>
      </c>
      <c r="B35" s="374" t="s">
        <v>1847</v>
      </c>
      <c r="C35" s="956" t="s">
        <v>1094</v>
      </c>
      <c r="D35" s="406" t="s">
        <v>1643</v>
      </c>
      <c r="E35" s="423" t="s">
        <v>8</v>
      </c>
      <c r="F35" s="81" t="str">
        <f>VLOOKUP(B35,TH.T4!B33:J363,9,FALSE)</f>
        <v>NV Phòng Tổ chức - Hành chính - Tổng hợp</v>
      </c>
      <c r="G35" s="366">
        <v>3.66</v>
      </c>
      <c r="H35" s="367"/>
      <c r="I35" s="368">
        <f t="shared" si="0"/>
        <v>3.66</v>
      </c>
      <c r="J35" s="368"/>
      <c r="K35" s="369">
        <f t="shared" si="1"/>
        <v>3.66</v>
      </c>
      <c r="L35" s="362">
        <f t="shared" si="2"/>
        <v>6588000</v>
      </c>
      <c r="M35" s="366" t="str">
        <f>VLOOKUP(B35,'[13]Gui chi Quynh'!$B$11:$E$400,4,FALSE)</f>
        <v>A3</v>
      </c>
      <c r="N35" s="494">
        <f t="shared" si="3"/>
        <v>7905600</v>
      </c>
      <c r="O35" s="366">
        <v>22</v>
      </c>
      <c r="P35" s="440">
        <f>IFERROR(INDEX('[14]CN BC'!$J$10:$J$276,MATCH(B35,'[14]CN BC'!$H$10:$H$276,0)),"")</f>
        <v>23</v>
      </c>
      <c r="Q35" s="494">
        <f t="shared" si="4"/>
        <v>7905600</v>
      </c>
      <c r="R35" s="460"/>
      <c r="S35" s="362">
        <f>R35*$H$19*1.4</f>
        <v>0</v>
      </c>
      <c r="T35" s="370"/>
      <c r="U35" s="362">
        <f t="shared" si="5"/>
        <v>0</v>
      </c>
      <c r="V35" s="584">
        <f t="shared" si="6"/>
        <v>65880</v>
      </c>
      <c r="W35" s="371">
        <f t="shared" si="9"/>
        <v>7905600</v>
      </c>
      <c r="X35" s="977">
        <f t="shared" si="10"/>
        <v>4.3920000000000003</v>
      </c>
      <c r="Y35" s="491">
        <v>1800000</v>
      </c>
      <c r="Z35" s="663">
        <f t="shared" si="8"/>
        <v>7905600.0000000009</v>
      </c>
      <c r="AA35" s="568">
        <f t="shared" si="7"/>
        <v>13</v>
      </c>
      <c r="AB35" s="493">
        <f>IFERROR(INDEX('[14]CN BC'!$M$10:$M$276,MATCH(B35,'[14]CN BC'!$H$10:$H$276,0)),"")</f>
        <v>0</v>
      </c>
      <c r="AC35" s="141" t="str">
        <f>VLOOKUP(B35,TH.T4!B33:AC363,28,FALSE)</f>
        <v>TCHC</v>
      </c>
      <c r="AD35" s="108"/>
      <c r="AE35" s="108"/>
      <c r="AF35" s="155"/>
      <c r="AG35" s="108"/>
      <c r="AH35" s="108"/>
      <c r="AI35" s="108"/>
      <c r="AJ35" s="108"/>
      <c r="AK35" s="108"/>
      <c r="AL35" s="108"/>
      <c r="AM35" s="108"/>
      <c r="AN35" s="108"/>
      <c r="AO35" s="108"/>
      <c r="AP35" s="108"/>
    </row>
    <row r="36" spans="1:42" s="372" customFormat="1" ht="30.75" customHeight="1">
      <c r="A36" s="379">
        <f>_xlfn.AGGREGATE(4,7,A$22:A35)+1</f>
        <v>14</v>
      </c>
      <c r="B36" s="374" t="s">
        <v>1848</v>
      </c>
      <c r="C36" s="956" t="s">
        <v>1431</v>
      </c>
      <c r="D36" s="434" t="s">
        <v>1644</v>
      </c>
      <c r="E36" s="426">
        <v>1603205360856</v>
      </c>
      <c r="F36" s="81" t="str">
        <f>VLOOKUP(B36,TH.T4!B34:J364,9,FALSE)</f>
        <v>NV Phòng Tổ chức - Hành chính - Tổng hợp</v>
      </c>
      <c r="G36" s="373">
        <v>3.33</v>
      </c>
      <c r="H36" s="367"/>
      <c r="I36" s="445">
        <f t="shared" si="0"/>
        <v>3.33</v>
      </c>
      <c r="J36" s="368"/>
      <c r="K36" s="369">
        <f t="shared" si="1"/>
        <v>3.33</v>
      </c>
      <c r="L36" s="362">
        <f t="shared" si="2"/>
        <v>5994000</v>
      </c>
      <c r="M36" s="366" t="str">
        <f>VLOOKUP(B36,'[13]Gui chi Quynh'!$B$11:$E$400,4,FALSE)</f>
        <v>A2</v>
      </c>
      <c r="N36" s="494">
        <f t="shared" si="3"/>
        <v>8391600</v>
      </c>
      <c r="O36" s="366">
        <v>22</v>
      </c>
      <c r="P36" s="440">
        <f>IFERROR(INDEX('[14]CN BC'!$J$10:$J$276,MATCH(B36,'[14]CN BC'!$H$10:$H$276,0)),"")</f>
        <v>23</v>
      </c>
      <c r="Q36" s="494">
        <f t="shared" si="4"/>
        <v>8391600</v>
      </c>
      <c r="R36" s="460"/>
      <c r="S36" s="362">
        <f t="shared" ref="S36:S46" si="12">R36*$H$19*1</f>
        <v>0</v>
      </c>
      <c r="T36" s="370"/>
      <c r="U36" s="362">
        <f t="shared" si="5"/>
        <v>0</v>
      </c>
      <c r="V36" s="584">
        <f t="shared" si="6"/>
        <v>59940</v>
      </c>
      <c r="W36" s="371">
        <f t="shared" si="9"/>
        <v>8391600</v>
      </c>
      <c r="X36" s="977">
        <f t="shared" si="10"/>
        <v>4.6619999999999999</v>
      </c>
      <c r="Y36" s="491">
        <v>1800000</v>
      </c>
      <c r="Z36" s="663">
        <f t="shared" si="8"/>
        <v>8391600</v>
      </c>
      <c r="AA36" s="568">
        <f t="shared" si="7"/>
        <v>14</v>
      </c>
      <c r="AB36" s="493">
        <f>IFERROR(INDEX('[14]CN BC'!$M$10:$M$276,MATCH(B36,'[14]CN BC'!$H$10:$H$276,0)),"")</f>
        <v>0</v>
      </c>
      <c r="AC36" s="141" t="str">
        <f>VLOOKUP(B36,TH.T4!B34:AC364,28,FALSE)</f>
        <v>TCHC</v>
      </c>
      <c r="AF36" s="487"/>
    </row>
    <row r="37" spans="1:42" s="372" customFormat="1" ht="30.75" customHeight="1">
      <c r="A37" s="379">
        <f>_xlfn.AGGREGATE(4,7,A$22:A36)+1</f>
        <v>15</v>
      </c>
      <c r="B37" s="957" t="s">
        <v>1603</v>
      </c>
      <c r="C37" s="957" t="s">
        <v>1602</v>
      </c>
      <c r="D37" s="418" t="s">
        <v>1624</v>
      </c>
      <c r="E37" s="426">
        <v>1603205545491</v>
      </c>
      <c r="F37" s="81" t="str">
        <f>VLOOKUP(B37,TH.T4!B35:J365,9,FALSE)</f>
        <v>NV Phòng Tổ chức - Hành chính - Tổng hợp</v>
      </c>
      <c r="G37" s="373">
        <f>2.46+0.15</f>
        <v>2.61</v>
      </c>
      <c r="H37" s="367"/>
      <c r="I37" s="368">
        <f t="shared" si="0"/>
        <v>2.61</v>
      </c>
      <c r="J37" s="368"/>
      <c r="K37" s="369">
        <f t="shared" si="1"/>
        <v>2.61</v>
      </c>
      <c r="L37" s="362">
        <f t="shared" si="2"/>
        <v>4698000</v>
      </c>
      <c r="M37" s="366" t="str">
        <f>VLOOKUP(B37,'[13]Gui chi Quynh'!$B$11:$E$400,4,FALSE)</f>
        <v>A3</v>
      </c>
      <c r="N37" s="494">
        <f t="shared" si="3"/>
        <v>5637600</v>
      </c>
      <c r="O37" s="366">
        <v>22</v>
      </c>
      <c r="P37" s="440">
        <f>IFERROR(INDEX('[14]CN BC'!$J$10:$J$276,MATCH(B37,'[14]CN BC'!$H$10:$H$276,0)),"")</f>
        <v>25</v>
      </c>
      <c r="Q37" s="494">
        <f t="shared" si="4"/>
        <v>5637600</v>
      </c>
      <c r="R37" s="460"/>
      <c r="S37" s="362">
        <f t="shared" si="12"/>
        <v>0</v>
      </c>
      <c r="T37" s="370"/>
      <c r="U37" s="362">
        <f t="shared" si="5"/>
        <v>0</v>
      </c>
      <c r="V37" s="584">
        <f t="shared" si="6"/>
        <v>46980</v>
      </c>
      <c r="W37" s="371">
        <f t="shared" si="9"/>
        <v>5637600</v>
      </c>
      <c r="X37" s="977">
        <f t="shared" si="10"/>
        <v>3.1320000000000001</v>
      </c>
      <c r="Y37" s="491">
        <v>1800000</v>
      </c>
      <c r="Z37" s="663">
        <f t="shared" si="8"/>
        <v>5637600</v>
      </c>
      <c r="AA37" s="568">
        <f t="shared" si="7"/>
        <v>15</v>
      </c>
      <c r="AB37" s="493">
        <f>IFERROR(INDEX('[14]CN BC'!$M$10:$M$276,MATCH(B37,'[14]CN BC'!$H$10:$H$276,0)),"")</f>
        <v>0</v>
      </c>
      <c r="AC37" s="141" t="str">
        <f>VLOOKUP(B37,TH.T4!B35:AC365,28,FALSE)</f>
        <v>TCHC</v>
      </c>
      <c r="AD37" s="108"/>
      <c r="AE37" s="108"/>
      <c r="AF37" s="155"/>
      <c r="AG37" s="108"/>
      <c r="AH37" s="108"/>
      <c r="AI37" s="108"/>
      <c r="AJ37" s="108"/>
      <c r="AK37" s="108"/>
      <c r="AL37" s="108"/>
    </row>
    <row r="38" spans="1:42" s="372" customFormat="1" ht="30.75" customHeight="1">
      <c r="A38" s="379">
        <f>_xlfn.AGGREGATE(4,7,A$22:A37)+1</f>
        <v>16</v>
      </c>
      <c r="B38" s="374" t="s">
        <v>1450</v>
      </c>
      <c r="C38" s="956" t="s">
        <v>1440</v>
      </c>
      <c r="D38" s="406" t="s">
        <v>1625</v>
      </c>
      <c r="E38" s="422" t="s">
        <v>1441</v>
      </c>
      <c r="F38" s="81" t="str">
        <f>VLOOKUP(B38,TH.T4!B36:J366,9,FALSE)</f>
        <v>Trưởng phòng Quản trị - Dịch vụ</v>
      </c>
      <c r="G38" s="366">
        <v>4.9800000000000004</v>
      </c>
      <c r="H38" s="367">
        <v>0.05</v>
      </c>
      <c r="I38" s="368">
        <f t="shared" si="0"/>
        <v>5.2290000000000001</v>
      </c>
      <c r="J38" s="368">
        <v>0.45</v>
      </c>
      <c r="K38" s="369">
        <f t="shared" si="1"/>
        <v>5.6790000000000003</v>
      </c>
      <c r="L38" s="362">
        <f t="shared" si="2"/>
        <v>10222200</v>
      </c>
      <c r="M38" s="366" t="str">
        <f>VLOOKUP(B38,'[13]Gui chi Quynh'!$B$11:$E$400,4,FALSE)</f>
        <v>A1</v>
      </c>
      <c r="N38" s="494">
        <f t="shared" si="3"/>
        <v>16355520</v>
      </c>
      <c r="O38" s="366">
        <v>22</v>
      </c>
      <c r="P38" s="440">
        <f>IFERROR(INDEX('[14]CN BC'!$J$10:$J$276,MATCH(B38,'[14]CN BC'!$H$10:$H$276,0)),"")</f>
        <v>26</v>
      </c>
      <c r="Q38" s="494">
        <f t="shared" si="4"/>
        <v>16355520</v>
      </c>
      <c r="R38" s="392"/>
      <c r="S38" s="362">
        <f t="shared" si="12"/>
        <v>0</v>
      </c>
      <c r="T38" s="385"/>
      <c r="U38" s="362">
        <f t="shared" si="5"/>
        <v>0</v>
      </c>
      <c r="V38" s="584">
        <f t="shared" si="6"/>
        <v>102222</v>
      </c>
      <c r="W38" s="371">
        <f t="shared" si="9"/>
        <v>16355520</v>
      </c>
      <c r="X38" s="977">
        <f t="shared" si="10"/>
        <v>9.0863999999999994</v>
      </c>
      <c r="Y38" s="491">
        <v>1800000</v>
      </c>
      <c r="Z38" s="663">
        <f t="shared" si="8"/>
        <v>16355519.999999998</v>
      </c>
      <c r="AA38" s="568">
        <f t="shared" si="7"/>
        <v>16</v>
      </c>
      <c r="AB38" s="493">
        <f>IFERROR(INDEX('[14]CN BC'!$M$10:$M$276,MATCH(B38,'[14]CN BC'!$H$10:$H$276,0)),"")</f>
        <v>0</v>
      </c>
      <c r="AC38" s="141" t="str">
        <f>VLOOKUP(B38,TH.T4!B36:AC366,28,FALSE)</f>
        <v>QTDV</v>
      </c>
      <c r="AD38" s="108"/>
      <c r="AE38" s="108"/>
      <c r="AF38" s="155"/>
      <c r="AG38" s="108"/>
      <c r="AH38" s="108"/>
      <c r="AI38" s="108"/>
      <c r="AJ38" s="108"/>
      <c r="AK38" s="108"/>
      <c r="AL38" s="108"/>
      <c r="AM38" s="108"/>
      <c r="AN38" s="108"/>
      <c r="AO38" s="108"/>
      <c r="AP38" s="108"/>
    </row>
    <row r="39" spans="1:42" s="372" customFormat="1" ht="30.75" customHeight="1">
      <c r="A39" s="379">
        <f>_xlfn.AGGREGATE(4,7,A$22:A38)+1</f>
        <v>17</v>
      </c>
      <c r="B39" s="374" t="s">
        <v>1996</v>
      </c>
      <c r="C39" s="956" t="s">
        <v>1028</v>
      </c>
      <c r="D39" s="406" t="s">
        <v>1626</v>
      </c>
      <c r="E39" s="423" t="s">
        <v>1393</v>
      </c>
      <c r="F39" s="81" t="str">
        <f>VLOOKUP(B39,TH.T4!B37:J367,9,FALSE)</f>
        <v>Phó TP. Quản trị - 
Dịch vụ</v>
      </c>
      <c r="G39" s="366">
        <v>4.9800000000000004</v>
      </c>
      <c r="H39" s="367">
        <v>7.0000000000000007E-2</v>
      </c>
      <c r="I39" s="368">
        <f t="shared" si="0"/>
        <v>5.3286000000000007</v>
      </c>
      <c r="J39" s="368">
        <v>0.35</v>
      </c>
      <c r="K39" s="369">
        <f t="shared" si="1"/>
        <v>5.6786000000000003</v>
      </c>
      <c r="L39" s="362">
        <f t="shared" si="2"/>
        <v>10221480</v>
      </c>
      <c r="M39" s="366" t="str">
        <f>VLOOKUP(B39,'[13]Gui chi Quynh'!$B$11:$E$400,4,FALSE)</f>
        <v>A1</v>
      </c>
      <c r="N39" s="494">
        <f t="shared" si="3"/>
        <v>16354368</v>
      </c>
      <c r="O39" s="366">
        <v>22</v>
      </c>
      <c r="P39" s="440">
        <f>IFERROR(INDEX('[14]CN BC'!$J$10:$J$276,MATCH(B39,'[14]CN BC'!$H$10:$H$276,0)),"")</f>
        <v>26</v>
      </c>
      <c r="Q39" s="494">
        <f t="shared" si="4"/>
        <v>16354368</v>
      </c>
      <c r="R39" s="392"/>
      <c r="S39" s="362">
        <f t="shared" si="12"/>
        <v>0</v>
      </c>
      <c r="T39" s="385"/>
      <c r="U39" s="362">
        <f t="shared" si="5"/>
        <v>0</v>
      </c>
      <c r="V39" s="584">
        <f t="shared" si="6"/>
        <v>102215</v>
      </c>
      <c r="W39" s="371">
        <f t="shared" si="9"/>
        <v>16354368</v>
      </c>
      <c r="X39" s="977">
        <f t="shared" si="10"/>
        <v>9.0857600000000005</v>
      </c>
      <c r="Y39" s="491">
        <v>1800000</v>
      </c>
      <c r="Z39" s="663">
        <f t="shared" si="8"/>
        <v>16354368</v>
      </c>
      <c r="AA39" s="568">
        <f t="shared" si="7"/>
        <v>17</v>
      </c>
      <c r="AB39" s="493">
        <f>IFERROR(INDEX('[14]CN BC'!$M$10:$M$276,MATCH(B39,'[14]CN BC'!$H$10:$H$276,0)),"")</f>
        <v>0</v>
      </c>
      <c r="AC39" s="141" t="str">
        <f>VLOOKUP(B39,TH.T4!B37:AC367,28,FALSE)</f>
        <v>QTDV</v>
      </c>
      <c r="AD39" s="108"/>
      <c r="AE39" s="108"/>
      <c r="AF39" s="155"/>
      <c r="AG39" s="108"/>
      <c r="AH39" s="108"/>
      <c r="AI39" s="108"/>
      <c r="AJ39" s="108"/>
      <c r="AK39" s="108"/>
      <c r="AL39" s="108"/>
      <c r="AM39" s="108"/>
      <c r="AN39" s="108"/>
      <c r="AO39" s="108"/>
      <c r="AP39" s="108"/>
    </row>
    <row r="40" spans="1:42" s="108" customFormat="1" ht="30.75" customHeight="1">
      <c r="A40" s="379">
        <f>_xlfn.AGGREGATE(4,7,A$22:A39)+1</f>
        <v>18</v>
      </c>
      <c r="B40" s="45" t="s">
        <v>1849</v>
      </c>
      <c r="C40" s="958" t="s">
        <v>1172</v>
      </c>
      <c r="D40" s="406" t="s">
        <v>1627</v>
      </c>
      <c r="E40" s="424" t="s">
        <v>1267</v>
      </c>
      <c r="F40" s="81" t="str">
        <f>VLOOKUP(B40,TH.T4!B38:J368,9,FALSE)</f>
        <v>NV Phòng Quản trị - Dịch vụ</v>
      </c>
      <c r="G40" s="10">
        <v>3.65</v>
      </c>
      <c r="H40" s="157"/>
      <c r="I40" s="368">
        <f t="shared" si="0"/>
        <v>3.65</v>
      </c>
      <c r="J40" s="81">
        <v>0.25</v>
      </c>
      <c r="K40" s="369">
        <f t="shared" si="1"/>
        <v>3.9</v>
      </c>
      <c r="L40" s="362">
        <f t="shared" si="2"/>
        <v>7020000</v>
      </c>
      <c r="M40" s="366" t="str">
        <f>VLOOKUP(B40,'[13]Gui chi Quynh'!$B$11:$E$400,4,FALSE)</f>
        <v>A2</v>
      </c>
      <c r="N40" s="494">
        <f t="shared" si="3"/>
        <v>9828000</v>
      </c>
      <c r="O40" s="366">
        <v>22</v>
      </c>
      <c r="P40" s="440">
        <f>IFERROR(INDEX('[14]CN BC'!$J$10:$J$276,MATCH(B40,'[14]CN BC'!$H$10:$H$276,0)),"")</f>
        <v>25</v>
      </c>
      <c r="Q40" s="494">
        <f t="shared" si="4"/>
        <v>9828000</v>
      </c>
      <c r="R40" s="392"/>
      <c r="S40" s="362">
        <f t="shared" si="12"/>
        <v>0</v>
      </c>
      <c r="T40" s="385"/>
      <c r="U40" s="362">
        <f t="shared" si="5"/>
        <v>0</v>
      </c>
      <c r="V40" s="584">
        <f t="shared" si="6"/>
        <v>70200</v>
      </c>
      <c r="W40" s="371">
        <f t="shared" si="9"/>
        <v>9828000</v>
      </c>
      <c r="X40" s="977">
        <f t="shared" si="10"/>
        <v>5.46</v>
      </c>
      <c r="Y40" s="491">
        <v>1800000</v>
      </c>
      <c r="Z40" s="663">
        <f t="shared" si="8"/>
        <v>9828000</v>
      </c>
      <c r="AA40" s="568">
        <f t="shared" si="7"/>
        <v>18</v>
      </c>
      <c r="AB40" s="493">
        <f>IFERROR(INDEX('[14]CN BC'!$M$10:$M$276,MATCH(B40,'[14]CN BC'!$H$10:$H$276,0)),"")</f>
        <v>0</v>
      </c>
      <c r="AC40" s="141" t="str">
        <f>VLOOKUP(B40,TH.T4!B38:AC368,28,FALSE)</f>
        <v>QTDV</v>
      </c>
      <c r="AF40" s="155"/>
    </row>
    <row r="41" spans="1:42" s="372" customFormat="1" ht="30.75" customHeight="1">
      <c r="A41" s="379">
        <f>_xlfn.AGGREGATE(4,7,A$22:A40)+1</f>
        <v>19</v>
      </c>
      <c r="B41" s="374" t="s">
        <v>1850</v>
      </c>
      <c r="C41" s="956" t="s">
        <v>1035</v>
      </c>
      <c r="D41" s="434" t="s">
        <v>1628</v>
      </c>
      <c r="E41" s="423" t="s">
        <v>1268</v>
      </c>
      <c r="F41" s="81" t="str">
        <f>VLOOKUP(B41,TH.T4!B39:J369,9,FALSE)</f>
        <v>NV Phòng Quản trị - Dịch vụ</v>
      </c>
      <c r="G41" s="366">
        <v>3.46</v>
      </c>
      <c r="H41" s="367"/>
      <c r="I41" s="368">
        <f t="shared" si="0"/>
        <v>3.46</v>
      </c>
      <c r="J41" s="368"/>
      <c r="K41" s="369">
        <f t="shared" si="1"/>
        <v>3.46</v>
      </c>
      <c r="L41" s="362">
        <f t="shared" si="2"/>
        <v>6228000</v>
      </c>
      <c r="M41" s="366" t="str">
        <f>VLOOKUP(B41,'[13]Gui chi Quynh'!$B$11:$E$400,4,FALSE)</f>
        <v>A3</v>
      </c>
      <c r="N41" s="494">
        <f t="shared" si="3"/>
        <v>7473600</v>
      </c>
      <c r="O41" s="366">
        <v>22</v>
      </c>
      <c r="P41" s="440">
        <f>IFERROR(INDEX('[14]CN BC'!$J$10:$J$276,MATCH(B41,'[14]CN BC'!$H$10:$H$276,0)),"")</f>
        <v>23</v>
      </c>
      <c r="Q41" s="494">
        <f t="shared" si="4"/>
        <v>7473600</v>
      </c>
      <c r="R41" s="460"/>
      <c r="S41" s="362">
        <f t="shared" si="12"/>
        <v>0</v>
      </c>
      <c r="T41" s="370"/>
      <c r="U41" s="362">
        <f t="shared" si="5"/>
        <v>0</v>
      </c>
      <c r="V41" s="584">
        <f t="shared" si="6"/>
        <v>62280</v>
      </c>
      <c r="W41" s="371">
        <f t="shared" si="9"/>
        <v>7473600</v>
      </c>
      <c r="X41" s="977">
        <f t="shared" si="10"/>
        <v>4.1520000000000001</v>
      </c>
      <c r="Y41" s="491">
        <v>1800000</v>
      </c>
      <c r="Z41" s="663">
        <f t="shared" si="8"/>
        <v>7473600</v>
      </c>
      <c r="AA41" s="568">
        <f t="shared" si="7"/>
        <v>19</v>
      </c>
      <c r="AB41" s="493">
        <f>IFERROR(INDEX('[14]CN BC'!$M$10:$M$276,MATCH(B41,'[14]CN BC'!$H$10:$H$276,0)),"")</f>
        <v>0</v>
      </c>
      <c r="AC41" s="141" t="str">
        <f>VLOOKUP(B41,TH.T4!B39:AC369,28,FALSE)</f>
        <v>QTDV</v>
      </c>
      <c r="AD41" s="108"/>
      <c r="AE41" s="108"/>
      <c r="AF41" s="155"/>
      <c r="AG41" s="108"/>
      <c r="AH41" s="108"/>
      <c r="AI41" s="108"/>
      <c r="AJ41" s="108"/>
      <c r="AK41" s="108"/>
      <c r="AL41" s="108"/>
    </row>
    <row r="42" spans="1:42" s="108" customFormat="1" ht="30.75" customHeight="1">
      <c r="A42" s="379">
        <f>_xlfn.AGGREGATE(4,7,A$22:A41)+1</f>
        <v>20</v>
      </c>
      <c r="B42" s="45" t="s">
        <v>1451</v>
      </c>
      <c r="C42" s="958" t="s">
        <v>1087</v>
      </c>
      <c r="D42" s="406" t="s">
        <v>1629</v>
      </c>
      <c r="E42" s="431" t="s">
        <v>367</v>
      </c>
      <c r="F42" s="81" t="str">
        <f>VLOOKUP(B42,TH.T4!B40:J370,9,FALSE)</f>
        <v>Nhân viên phòng Quản trị - Dịch vụ</v>
      </c>
      <c r="G42" s="10">
        <v>3.46</v>
      </c>
      <c r="H42" s="157"/>
      <c r="I42" s="368">
        <f t="shared" si="0"/>
        <v>3.46</v>
      </c>
      <c r="J42" s="81"/>
      <c r="K42" s="369">
        <f t="shared" si="1"/>
        <v>3.46</v>
      </c>
      <c r="L42" s="362">
        <f t="shared" si="2"/>
        <v>6228000</v>
      </c>
      <c r="M42" s="366" t="str">
        <f>VLOOKUP(B42,'[13]Gui chi Quynh'!$B$11:$E$400,4,FALSE)</f>
        <v>A2</v>
      </c>
      <c r="N42" s="494">
        <f t="shared" si="3"/>
        <v>8719200</v>
      </c>
      <c r="O42" s="366">
        <v>22</v>
      </c>
      <c r="P42" s="440">
        <f>IFERROR(INDEX('[14]CN BC'!$J$10:$J$276,MATCH(B42,'[14]CN BC'!$H$10:$H$276,0)),"")</f>
        <v>23</v>
      </c>
      <c r="Q42" s="494">
        <f t="shared" si="4"/>
        <v>8719200</v>
      </c>
      <c r="R42" s="392"/>
      <c r="S42" s="362">
        <f t="shared" si="12"/>
        <v>0</v>
      </c>
      <c r="T42" s="385"/>
      <c r="U42" s="362">
        <f t="shared" si="5"/>
        <v>0</v>
      </c>
      <c r="V42" s="584">
        <f t="shared" si="6"/>
        <v>62280</v>
      </c>
      <c r="W42" s="371">
        <f t="shared" si="9"/>
        <v>8719200</v>
      </c>
      <c r="X42" s="977">
        <f t="shared" si="10"/>
        <v>4.8440000000000003</v>
      </c>
      <c r="Y42" s="491">
        <v>1800000</v>
      </c>
      <c r="Z42" s="663">
        <f t="shared" si="8"/>
        <v>8719200</v>
      </c>
      <c r="AA42" s="568">
        <f t="shared" si="7"/>
        <v>20</v>
      </c>
      <c r="AB42" s="493">
        <f>IFERROR(INDEX('[14]CN BC'!$M$10:$M$276,MATCH(B42,'[14]CN BC'!$H$10:$H$276,0)),"")</f>
        <v>0</v>
      </c>
      <c r="AC42" s="141" t="str">
        <f>VLOOKUP(B42,TH.T4!B40:AC370,28,FALSE)</f>
        <v>QTDV</v>
      </c>
      <c r="AD42" s="471"/>
      <c r="AF42" s="155"/>
    </row>
    <row r="43" spans="1:42" s="372" customFormat="1" ht="30.75" customHeight="1">
      <c r="A43" s="379">
        <f>_xlfn.AGGREGATE(4,7,A$22:A42)+1</f>
        <v>21</v>
      </c>
      <c r="B43" s="374" t="s">
        <v>1452</v>
      </c>
      <c r="C43" s="956" t="s">
        <v>876</v>
      </c>
      <c r="D43" s="434" t="s">
        <v>1630</v>
      </c>
      <c r="E43" s="426">
        <v>1603205348129</v>
      </c>
      <c r="F43" s="81" t="str">
        <f>VLOOKUP(B43,TH.T4!B41:J371,9,FALSE)</f>
        <v>Nhân viên phòng Quản trị - Dịch vụ</v>
      </c>
      <c r="G43" s="366">
        <v>3.34</v>
      </c>
      <c r="H43" s="367"/>
      <c r="I43" s="368">
        <f t="shared" si="0"/>
        <v>3.34</v>
      </c>
      <c r="J43" s="368"/>
      <c r="K43" s="369">
        <f t="shared" si="1"/>
        <v>3.34</v>
      </c>
      <c r="L43" s="362">
        <f t="shared" si="2"/>
        <v>6012000</v>
      </c>
      <c r="M43" s="366" t="str">
        <f>VLOOKUP(B43,'[13]Gui chi Quynh'!$B$11:$E$400,4,FALSE)</f>
        <v>A2</v>
      </c>
      <c r="N43" s="494">
        <f t="shared" si="3"/>
        <v>8416800</v>
      </c>
      <c r="O43" s="366">
        <v>22</v>
      </c>
      <c r="P43" s="440">
        <f>IFERROR(INDEX('[14]CN BC'!$J$10:$J$276,MATCH(B43,'[14]CN BC'!$H$10:$H$276,0)),"")</f>
        <v>23</v>
      </c>
      <c r="Q43" s="494">
        <f t="shared" si="4"/>
        <v>8416800</v>
      </c>
      <c r="R43" s="460"/>
      <c r="S43" s="362">
        <f t="shared" si="12"/>
        <v>0</v>
      </c>
      <c r="T43" s="370"/>
      <c r="U43" s="362">
        <f t="shared" si="5"/>
        <v>0</v>
      </c>
      <c r="V43" s="584">
        <f t="shared" si="6"/>
        <v>60120</v>
      </c>
      <c r="W43" s="371">
        <f t="shared" si="9"/>
        <v>8416800</v>
      </c>
      <c r="X43" s="977">
        <f t="shared" si="10"/>
        <v>4.6760000000000002</v>
      </c>
      <c r="Y43" s="491">
        <v>1800000</v>
      </c>
      <c r="Z43" s="663">
        <f t="shared" si="8"/>
        <v>8416800</v>
      </c>
      <c r="AA43" s="568">
        <f t="shared" si="7"/>
        <v>21</v>
      </c>
      <c r="AB43" s="493">
        <f>IFERROR(INDEX('[14]CN BC'!$M$10:$M$276,MATCH(B43,'[14]CN BC'!$H$10:$H$276,0)),"")</f>
        <v>0</v>
      </c>
      <c r="AC43" s="141" t="str">
        <f>VLOOKUP(B43,TH.T4!B41:AC371,28,FALSE)</f>
        <v>QTDV</v>
      </c>
      <c r="AD43" s="108"/>
      <c r="AE43" s="108"/>
      <c r="AF43" s="155"/>
      <c r="AG43" s="108"/>
      <c r="AH43" s="108"/>
      <c r="AI43" s="108"/>
      <c r="AJ43" s="108"/>
      <c r="AK43" s="108"/>
      <c r="AL43" s="108"/>
    </row>
    <row r="44" spans="1:42" s="108" customFormat="1" ht="30.75" customHeight="1">
      <c r="A44" s="379">
        <f>_xlfn.AGGREGATE(4,7,A$22:A43)+1</f>
        <v>22</v>
      </c>
      <c r="B44" s="45" t="s">
        <v>1453</v>
      </c>
      <c r="C44" s="958" t="s">
        <v>939</v>
      </c>
      <c r="D44" s="406" t="s">
        <v>1631</v>
      </c>
      <c r="E44" s="431" t="s">
        <v>384</v>
      </c>
      <c r="F44" s="81" t="str">
        <f>VLOOKUP(B44,TH.T4!B42:J372,9,FALSE)</f>
        <v>Nhân viên phòng Quản trị - Dịch vụ</v>
      </c>
      <c r="G44" s="83">
        <v>3.66</v>
      </c>
      <c r="H44" s="157"/>
      <c r="I44" s="445">
        <f t="shared" si="0"/>
        <v>3.66</v>
      </c>
      <c r="J44" s="81"/>
      <c r="K44" s="369">
        <f t="shared" si="1"/>
        <v>3.66</v>
      </c>
      <c r="L44" s="362">
        <f t="shared" si="2"/>
        <v>6588000</v>
      </c>
      <c r="M44" s="366" t="str">
        <f>VLOOKUP(B44,'[13]Gui chi Quynh'!$B$11:$E$400,4,FALSE)</f>
        <v>A4</v>
      </c>
      <c r="N44" s="494">
        <f t="shared" si="3"/>
        <v>6588000</v>
      </c>
      <c r="O44" s="366">
        <v>22</v>
      </c>
      <c r="P44" s="440">
        <f>IFERROR(INDEX('[14]CN BC'!$J$10:$J$276,MATCH(B44,'[14]CN BC'!$H$10:$H$276,0)),"")</f>
        <v>21</v>
      </c>
      <c r="Q44" s="494">
        <f t="shared" si="4"/>
        <v>6288545.4545454551</v>
      </c>
      <c r="R44" s="392"/>
      <c r="S44" s="362">
        <f t="shared" si="12"/>
        <v>0</v>
      </c>
      <c r="T44" s="385"/>
      <c r="U44" s="362">
        <f t="shared" si="5"/>
        <v>0</v>
      </c>
      <c r="V44" s="584">
        <f t="shared" si="6"/>
        <v>65880</v>
      </c>
      <c r="W44" s="371">
        <f t="shared" si="9"/>
        <v>6288545.4545454551</v>
      </c>
      <c r="X44" s="977">
        <f t="shared" si="10"/>
        <v>3.4936363636363641</v>
      </c>
      <c r="Y44" s="491">
        <v>1800000</v>
      </c>
      <c r="Z44" s="663">
        <f t="shared" si="8"/>
        <v>6288545.4545454551</v>
      </c>
      <c r="AA44" s="568">
        <f t="shared" si="7"/>
        <v>22</v>
      </c>
      <c r="AB44" s="493">
        <f>IFERROR(INDEX('[14]CN BC'!$M$10:$M$276,MATCH(B44,'[14]CN BC'!$H$10:$H$276,0)),"")</f>
        <v>0</v>
      </c>
      <c r="AC44" s="141" t="str">
        <f>VLOOKUP(B44,TH.T4!B42:AC372,28,FALSE)</f>
        <v>QTDV</v>
      </c>
      <c r="AF44" s="155"/>
    </row>
    <row r="45" spans="1:42" s="372" customFormat="1" ht="30.75" customHeight="1">
      <c r="A45" s="379">
        <f>_xlfn.AGGREGATE(4,7,A$22:A44)+1</f>
        <v>23</v>
      </c>
      <c r="B45" s="374" t="s">
        <v>1522</v>
      </c>
      <c r="C45" s="959" t="s">
        <v>891</v>
      </c>
      <c r="D45" s="434" t="s">
        <v>1633</v>
      </c>
      <c r="E45" s="430">
        <v>1603205357238</v>
      </c>
      <c r="F45" s="81" t="str">
        <f>VLOOKUP(B45,TH.T4!B43:J373,9,FALSE)</f>
        <v>Nhân viên TT Đào tạo và QLTB</v>
      </c>
      <c r="G45" s="366">
        <v>3.03</v>
      </c>
      <c r="H45" s="367"/>
      <c r="I45" s="368">
        <f t="shared" si="0"/>
        <v>3.03</v>
      </c>
      <c r="J45" s="368"/>
      <c r="K45" s="369">
        <f t="shared" si="1"/>
        <v>3.03</v>
      </c>
      <c r="L45" s="362">
        <f t="shared" si="2"/>
        <v>5454000</v>
      </c>
      <c r="M45" s="366" t="str">
        <f>VLOOKUP(B45,'[13]Gui chi Quynh'!$B$11:$E$400,4,FALSE)</f>
        <v>A2</v>
      </c>
      <c r="N45" s="494">
        <f t="shared" si="3"/>
        <v>7635599.9999999991</v>
      </c>
      <c r="O45" s="366">
        <v>22</v>
      </c>
      <c r="P45" s="440">
        <f>IFERROR(INDEX('[14]CN BC'!$J$10:$J$276,MATCH(B45,'[14]CN BC'!$H$10:$H$276,0)),"")</f>
        <v>25</v>
      </c>
      <c r="Q45" s="494">
        <f t="shared" si="4"/>
        <v>7635599.9999999991</v>
      </c>
      <c r="R45" s="460"/>
      <c r="S45" s="362">
        <f t="shared" si="12"/>
        <v>0</v>
      </c>
      <c r="T45" s="370"/>
      <c r="U45" s="362">
        <f t="shared" si="5"/>
        <v>0</v>
      </c>
      <c r="V45" s="584">
        <f t="shared" si="6"/>
        <v>54540</v>
      </c>
      <c r="W45" s="371">
        <f t="shared" si="9"/>
        <v>7635599.9999999991</v>
      </c>
      <c r="X45" s="977">
        <f t="shared" si="10"/>
        <v>4.2419999999999991</v>
      </c>
      <c r="Y45" s="491">
        <v>1800000</v>
      </c>
      <c r="Z45" s="663">
        <f t="shared" si="8"/>
        <v>7635599.9999999981</v>
      </c>
      <c r="AA45" s="568">
        <f t="shared" si="7"/>
        <v>23</v>
      </c>
      <c r="AB45" s="493">
        <f>IFERROR(INDEX('[14]CN BC'!$M$10:$M$276,MATCH(B45,'[14]CN BC'!$H$10:$H$276,0)),"")</f>
        <v>0</v>
      </c>
      <c r="AC45" s="141" t="str">
        <f>VLOOKUP(B45,TH.T4!B43:AC373,28,FALSE)</f>
        <v>TTĐT</v>
      </c>
      <c r="AD45" s="108"/>
      <c r="AE45" s="108"/>
      <c r="AF45" s="155"/>
      <c r="AG45" s="108"/>
      <c r="AH45" s="108"/>
      <c r="AI45" s="108"/>
      <c r="AJ45" s="108"/>
      <c r="AK45" s="108"/>
      <c r="AL45" s="108"/>
    </row>
    <row r="46" spans="1:42" s="372" customFormat="1" ht="30.75" customHeight="1">
      <c r="A46" s="379">
        <f>_xlfn.AGGREGATE(4,7,A$22:A45)+1</f>
        <v>24</v>
      </c>
      <c r="B46" s="374" t="s">
        <v>1523</v>
      </c>
      <c r="C46" s="959" t="s">
        <v>876</v>
      </c>
      <c r="D46" s="434" t="s">
        <v>1634</v>
      </c>
      <c r="E46" s="426">
        <v>1603205302590</v>
      </c>
      <c r="F46" s="81" t="str">
        <f>VLOOKUP(B46,TH.T4!B44:J374,9,FALSE)</f>
        <v>Nhân viên TT Đào tạo và QLTB</v>
      </c>
      <c r="G46" s="366">
        <v>3.34</v>
      </c>
      <c r="H46" s="367"/>
      <c r="I46" s="368">
        <f t="shared" si="0"/>
        <v>3.34</v>
      </c>
      <c r="J46" s="368"/>
      <c r="K46" s="369">
        <f t="shared" si="1"/>
        <v>3.34</v>
      </c>
      <c r="L46" s="362">
        <f t="shared" si="2"/>
        <v>6012000</v>
      </c>
      <c r="M46" s="366" t="str">
        <f>VLOOKUP(B46,'[13]Gui chi Quynh'!$B$11:$E$400,4,FALSE)</f>
        <v>A1</v>
      </c>
      <c r="N46" s="494">
        <f t="shared" si="3"/>
        <v>9619200</v>
      </c>
      <c r="O46" s="366">
        <v>22</v>
      </c>
      <c r="P46" s="440">
        <f>IFERROR(INDEX('[14]CN BC'!$J$10:$J$276,MATCH(B46,'[14]CN BC'!$H$10:$H$276,0)),"")</f>
        <v>26</v>
      </c>
      <c r="Q46" s="494">
        <f t="shared" si="4"/>
        <v>9619200</v>
      </c>
      <c r="R46" s="460"/>
      <c r="S46" s="362">
        <f t="shared" si="12"/>
        <v>0</v>
      </c>
      <c r="T46" s="370"/>
      <c r="U46" s="362">
        <f t="shared" si="5"/>
        <v>0</v>
      </c>
      <c r="V46" s="584">
        <f t="shared" si="6"/>
        <v>60120</v>
      </c>
      <c r="W46" s="371">
        <f t="shared" si="9"/>
        <v>9619200</v>
      </c>
      <c r="X46" s="977">
        <f t="shared" si="10"/>
        <v>5.3440000000000003</v>
      </c>
      <c r="Y46" s="491">
        <v>1800000</v>
      </c>
      <c r="Z46" s="663">
        <f t="shared" si="8"/>
        <v>9619200</v>
      </c>
      <c r="AA46" s="568">
        <f t="shared" si="7"/>
        <v>24</v>
      </c>
      <c r="AB46" s="493">
        <f>IFERROR(INDEX('[14]CN BC'!$M$10:$M$276,MATCH(B46,'[14]CN BC'!$H$10:$H$276,0)),"")</f>
        <v>0</v>
      </c>
      <c r="AC46" s="141" t="str">
        <f>VLOOKUP(B46,TH.T4!B44:AC374,28,FALSE)</f>
        <v>TTĐT</v>
      </c>
      <c r="AD46" s="108"/>
      <c r="AE46" s="108"/>
      <c r="AF46" s="155"/>
      <c r="AG46" s="108"/>
      <c r="AH46" s="108"/>
      <c r="AI46" s="108"/>
      <c r="AJ46" s="108"/>
      <c r="AK46" s="108"/>
      <c r="AL46" s="108"/>
    </row>
    <row r="47" spans="1:42" s="372" customFormat="1" ht="30.75" customHeight="1">
      <c r="A47" s="379">
        <f>_xlfn.AGGREGATE(4,7,A$22:A46)+1</f>
        <v>25</v>
      </c>
      <c r="B47" s="957" t="s">
        <v>1606</v>
      </c>
      <c r="C47" s="957" t="s">
        <v>1605</v>
      </c>
      <c r="D47" s="418" t="s">
        <v>1635</v>
      </c>
      <c r="E47" s="379" t="s">
        <v>1604</v>
      </c>
      <c r="F47" s="81" t="str">
        <f>VLOOKUP(B47,TH.T4!B45:J375,9,FALSE)</f>
        <v>Phó Trưởng TT Đào tạo và QLTB</v>
      </c>
      <c r="G47" s="373">
        <v>3</v>
      </c>
      <c r="H47" s="367"/>
      <c r="I47" s="445">
        <f t="shared" si="0"/>
        <v>3</v>
      </c>
      <c r="J47" s="368">
        <v>0.35</v>
      </c>
      <c r="K47" s="369">
        <f t="shared" si="1"/>
        <v>3.35</v>
      </c>
      <c r="L47" s="362">
        <f t="shared" si="2"/>
        <v>6030000</v>
      </c>
      <c r="M47" s="366" t="str">
        <f>VLOOKUP(B47,'[13]Gui chi Quynh'!$B$11:$E$400,4,FALSE)</f>
        <v>A1</v>
      </c>
      <c r="N47" s="494">
        <f t="shared" si="3"/>
        <v>9648000</v>
      </c>
      <c r="O47" s="366">
        <v>22</v>
      </c>
      <c r="P47" s="440">
        <f>IFERROR(INDEX('[14]CN BC'!$J$10:$J$276,MATCH(B47,'[14]CN BC'!$H$10:$H$276,0)),"")</f>
        <v>30</v>
      </c>
      <c r="Q47" s="494">
        <f t="shared" si="4"/>
        <v>9648000</v>
      </c>
      <c r="R47" s="460"/>
      <c r="S47" s="362">
        <f>R47*$H$19*1.6</f>
        <v>0</v>
      </c>
      <c r="T47" s="370"/>
      <c r="U47" s="362">
        <f t="shared" si="5"/>
        <v>0</v>
      </c>
      <c r="V47" s="584">
        <f t="shared" si="6"/>
        <v>60300</v>
      </c>
      <c r="W47" s="371">
        <f t="shared" si="9"/>
        <v>9648000</v>
      </c>
      <c r="X47" s="977">
        <f t="shared" si="10"/>
        <v>5.36</v>
      </c>
      <c r="Y47" s="491">
        <v>1800000</v>
      </c>
      <c r="Z47" s="663">
        <f t="shared" si="8"/>
        <v>9648000</v>
      </c>
      <c r="AA47" s="568">
        <f t="shared" si="7"/>
        <v>25</v>
      </c>
      <c r="AB47" s="493">
        <f>IFERROR(INDEX('[14]CN BC'!$M$10:$M$276,MATCH(B47,'[14]CN BC'!$H$10:$H$276,0)),"")</f>
        <v>0</v>
      </c>
      <c r="AC47" s="141" t="str">
        <f>VLOOKUP(B47,TH.T4!B45:AC375,28,FALSE)</f>
        <v>TTĐT</v>
      </c>
      <c r="AD47" s="108"/>
      <c r="AE47" s="108"/>
      <c r="AF47" s="155"/>
    </row>
    <row r="48" spans="1:42" s="372" customFormat="1" ht="30.75" customHeight="1">
      <c r="A48" s="379">
        <f>_xlfn.AGGREGATE(4,7,A$22:A47)+1</f>
        <v>26</v>
      </c>
      <c r="B48" s="957" t="s">
        <v>1843</v>
      </c>
      <c r="C48" s="957"/>
      <c r="D48" s="418" t="s">
        <v>1955</v>
      </c>
      <c r="E48" s="479" t="s">
        <v>1936</v>
      </c>
      <c r="F48" s="81" t="str">
        <f>VLOOKUP(B48,TH.T4!B46:J376,9,FALSE)</f>
        <v>Nhân viên TT Đào tạo và QLTB</v>
      </c>
      <c r="G48" s="366">
        <v>2.67</v>
      </c>
      <c r="H48" s="367"/>
      <c r="I48" s="368">
        <f t="shared" si="0"/>
        <v>2.67</v>
      </c>
      <c r="J48" s="368"/>
      <c r="K48" s="369">
        <f t="shared" si="1"/>
        <v>2.67</v>
      </c>
      <c r="L48" s="362">
        <f t="shared" si="2"/>
        <v>4806000</v>
      </c>
      <c r="M48" s="366" t="str">
        <f>VLOOKUP(B48,'[13]Gui chi Quynh'!$B$11:$E$400,4,FALSE)</f>
        <v>A1</v>
      </c>
      <c r="N48" s="494">
        <f t="shared" si="3"/>
        <v>7689600</v>
      </c>
      <c r="O48" s="366">
        <v>22</v>
      </c>
      <c r="P48" s="440">
        <f>IFERROR(INDEX('[14]CN BC'!$J$10:$J$276,MATCH(B48,'[14]CN BC'!$H$10:$H$276,0)),"")</f>
        <v>24</v>
      </c>
      <c r="Q48" s="494">
        <f t="shared" si="4"/>
        <v>7689600</v>
      </c>
      <c r="R48" s="460"/>
      <c r="S48" s="362">
        <f>R48*$H$19*1</f>
        <v>0</v>
      </c>
      <c r="T48" s="370"/>
      <c r="U48" s="362">
        <f t="shared" si="5"/>
        <v>0</v>
      </c>
      <c r="V48" s="584">
        <f t="shared" si="6"/>
        <v>48060</v>
      </c>
      <c r="W48" s="371">
        <f t="shared" si="9"/>
        <v>7689600</v>
      </c>
      <c r="X48" s="977">
        <f t="shared" si="10"/>
        <v>4.2720000000000002</v>
      </c>
      <c r="Y48" s="491">
        <v>1800000</v>
      </c>
      <c r="Z48" s="663">
        <f t="shared" si="8"/>
        <v>7689600</v>
      </c>
      <c r="AA48" s="568">
        <f t="shared" si="7"/>
        <v>26</v>
      </c>
      <c r="AB48" s="493">
        <f>IFERROR(INDEX('[14]CN BC'!$M$10:$M$276,MATCH(B48,'[14]CN BC'!$H$10:$H$276,0)),"")</f>
        <v>0</v>
      </c>
      <c r="AC48" s="141" t="str">
        <f>VLOOKUP(B48,TH.T4!B46:AC376,28,FALSE)</f>
        <v>TTĐT</v>
      </c>
      <c r="AD48" s="108"/>
      <c r="AE48" s="108"/>
      <c r="AF48" s="155"/>
      <c r="AG48" s="108"/>
      <c r="AH48" s="108"/>
      <c r="AI48" s="108"/>
      <c r="AJ48" s="108"/>
      <c r="AK48" s="108"/>
      <c r="AL48" s="108"/>
    </row>
    <row r="49" spans="1:42" s="108" customFormat="1" ht="30.75" customHeight="1">
      <c r="A49" s="379">
        <f>_xlfn.AGGREGATE(4,7,A$22:A48)+1</f>
        <v>27</v>
      </c>
      <c r="B49" s="45" t="s">
        <v>1856</v>
      </c>
      <c r="C49" s="958" t="s">
        <v>880</v>
      </c>
      <c r="D49" s="406" t="s">
        <v>1652</v>
      </c>
      <c r="E49" s="424" t="s">
        <v>1293</v>
      </c>
      <c r="F49" s="81" t="str">
        <f>VLOOKUP(B49,TH.T4!B47:J377,9,FALSE)</f>
        <v>Nhân viên phòng Quản trị - Dịch vụ</v>
      </c>
      <c r="G49" s="10">
        <v>4.9800000000000004</v>
      </c>
      <c r="H49" s="157">
        <v>0.05</v>
      </c>
      <c r="I49" s="368">
        <f t="shared" si="0"/>
        <v>5.2290000000000001</v>
      </c>
      <c r="J49" s="368">
        <v>0.25</v>
      </c>
      <c r="K49" s="369">
        <f t="shared" si="1"/>
        <v>5.4790000000000001</v>
      </c>
      <c r="L49" s="362">
        <f t="shared" si="2"/>
        <v>9862200</v>
      </c>
      <c r="M49" s="366" t="str">
        <f>VLOOKUP(B49,'[13]Gui chi Quynh'!$B$11:$E$400,4,FALSE)</f>
        <v>A2</v>
      </c>
      <c r="N49" s="494">
        <f t="shared" si="3"/>
        <v>13807080</v>
      </c>
      <c r="O49" s="366">
        <v>22</v>
      </c>
      <c r="P49" s="440">
        <f>IFERROR(INDEX('[14]CN BC'!$J$10:$J$276,MATCH(B49,'[14]CN BC'!$H$10:$H$276,0)),"")</f>
        <v>26</v>
      </c>
      <c r="Q49" s="494">
        <f t="shared" si="4"/>
        <v>13807080</v>
      </c>
      <c r="R49" s="392"/>
      <c r="S49" s="362">
        <f>R49*$H$19*1</f>
        <v>0</v>
      </c>
      <c r="T49" s="385"/>
      <c r="U49" s="362">
        <f t="shared" si="5"/>
        <v>0</v>
      </c>
      <c r="V49" s="584">
        <f t="shared" si="6"/>
        <v>98622</v>
      </c>
      <c r="W49" s="371">
        <f t="shared" si="9"/>
        <v>13807080</v>
      </c>
      <c r="X49" s="977">
        <f t="shared" si="10"/>
        <v>7.6706000000000003</v>
      </c>
      <c r="Y49" s="491">
        <v>1800000</v>
      </c>
      <c r="Z49" s="663">
        <f t="shared" si="8"/>
        <v>13807080</v>
      </c>
      <c r="AA49" s="568">
        <f t="shared" si="7"/>
        <v>27</v>
      </c>
      <c r="AB49" s="493">
        <f>IFERROR(INDEX('[14]CN BC'!$M$10:$M$276,MATCH(B49,'[14]CN BC'!$H$10:$H$276,0)),"")</f>
        <v>0</v>
      </c>
      <c r="AC49" s="141" t="str">
        <f>VLOOKUP(B49,TH.T4!B47:AC377,28,FALSE)</f>
        <v>QTDV</v>
      </c>
      <c r="AF49" s="155"/>
    </row>
    <row r="50" spans="1:42" s="372" customFormat="1" ht="30.75" customHeight="1">
      <c r="A50" s="379">
        <f>_xlfn.AGGREGATE(4,7,A$22:A49)+1</f>
        <v>28</v>
      </c>
      <c r="B50" s="374" t="s">
        <v>1462</v>
      </c>
      <c r="C50" s="956" t="s">
        <v>962</v>
      </c>
      <c r="D50" s="434" t="s">
        <v>1654</v>
      </c>
      <c r="E50" s="428">
        <v>1603205182619</v>
      </c>
      <c r="F50" s="81" t="str">
        <f>VLOOKUP(B50,TH.T4!B48:J378,9,FALSE)</f>
        <v>Nhân viên phòng Quản trị - Dịch vụ</v>
      </c>
      <c r="G50" s="366">
        <v>3.66</v>
      </c>
      <c r="H50" s="367"/>
      <c r="I50" s="368">
        <f t="shared" si="0"/>
        <v>3.66</v>
      </c>
      <c r="J50" s="368"/>
      <c r="K50" s="369">
        <f t="shared" si="1"/>
        <v>3.66</v>
      </c>
      <c r="L50" s="362">
        <f t="shared" si="2"/>
        <v>6588000</v>
      </c>
      <c r="M50" s="366" t="str">
        <f>VLOOKUP(B50,'[13]Gui chi Quynh'!$B$11:$E$400,4,FALSE)</f>
        <v>A3</v>
      </c>
      <c r="N50" s="494">
        <f t="shared" si="3"/>
        <v>7905600</v>
      </c>
      <c r="O50" s="366">
        <v>22</v>
      </c>
      <c r="P50" s="440">
        <f>IFERROR(INDEX('[14]CN BC'!$J$10:$J$276,MATCH(B50,'[14]CN BC'!$H$10:$H$276,0)),"")</f>
        <v>25</v>
      </c>
      <c r="Q50" s="494">
        <f t="shared" si="4"/>
        <v>7905600</v>
      </c>
      <c r="R50" s="460"/>
      <c r="S50" s="362">
        <f>R50*$H$19*0.8</f>
        <v>0</v>
      </c>
      <c r="T50" s="370"/>
      <c r="U50" s="362">
        <f t="shared" si="5"/>
        <v>0</v>
      </c>
      <c r="V50" s="362">
        <f t="shared" si="6"/>
        <v>65880</v>
      </c>
      <c r="W50" s="371">
        <f t="shared" si="9"/>
        <v>7905600</v>
      </c>
      <c r="X50" s="977">
        <f t="shared" si="10"/>
        <v>4.3920000000000003</v>
      </c>
      <c r="Y50" s="491">
        <v>1800000</v>
      </c>
      <c r="Z50" s="663">
        <f t="shared" si="8"/>
        <v>7905600.0000000009</v>
      </c>
      <c r="AA50" s="568">
        <f t="shared" si="7"/>
        <v>28</v>
      </c>
      <c r="AB50" s="493">
        <f>IFERROR(INDEX('[14]CN BC'!$M$10:$M$276,MATCH(B50,'[14]CN BC'!$H$10:$H$276,0)),"")</f>
        <v>0</v>
      </c>
      <c r="AC50" s="141" t="str">
        <f>VLOOKUP(B50,TH.T4!B48:AC378,28,FALSE)</f>
        <v>QTDV</v>
      </c>
      <c r="AF50" s="487"/>
    </row>
    <row r="51" spans="1:42" s="372" customFormat="1" ht="30.75" customHeight="1">
      <c r="A51" s="379">
        <f>_xlfn.AGGREGATE(4,7,A$22:A50)+1</f>
        <v>29</v>
      </c>
      <c r="B51" s="374" t="s">
        <v>2012</v>
      </c>
      <c r="C51" s="956"/>
      <c r="D51" s="434"/>
      <c r="E51" s="428"/>
      <c r="F51" s="81" t="str">
        <f>VLOOKUP(B51,TH.T4!B49:J379,9,FALSE)</f>
        <v>Nhân viên phòng Quản trị - Dịch vụ</v>
      </c>
      <c r="G51" s="366">
        <v>4.0599999999999996</v>
      </c>
      <c r="H51" s="367">
        <v>0.1</v>
      </c>
      <c r="I51" s="368">
        <f t="shared" si="0"/>
        <v>4.4659999999999993</v>
      </c>
      <c r="J51" s="368">
        <v>0.35</v>
      </c>
      <c r="K51" s="369">
        <f t="shared" si="1"/>
        <v>4.8159999999999989</v>
      </c>
      <c r="L51" s="362">
        <f t="shared" si="2"/>
        <v>8668799.9999999981</v>
      </c>
      <c r="M51" s="366" t="str">
        <f>VLOOKUP(B51,'[13]Gui chi Quynh'!$B$11:$E$400,4,FALSE)</f>
        <v>A1</v>
      </c>
      <c r="N51" s="494">
        <f t="shared" si="3"/>
        <v>13870079.999999998</v>
      </c>
      <c r="O51" s="366">
        <v>22</v>
      </c>
      <c r="P51" s="440">
        <f>IFERROR(INDEX('[14]CN BC'!$J$10:$J$276,MATCH(B51,'[14]CN BC'!$H$10:$H$276,0)),"")</f>
        <v>26</v>
      </c>
      <c r="Q51" s="494">
        <f t="shared" si="4"/>
        <v>13870079.999999998</v>
      </c>
      <c r="R51" s="460"/>
      <c r="S51" s="362">
        <f>R51*$H$19*0.8</f>
        <v>0</v>
      </c>
      <c r="T51" s="370"/>
      <c r="U51" s="362">
        <f t="shared" si="5"/>
        <v>0</v>
      </c>
      <c r="V51" s="584">
        <f t="shared" si="6"/>
        <v>86688</v>
      </c>
      <c r="W51" s="371">
        <f t="shared" si="9"/>
        <v>13870079.999999998</v>
      </c>
      <c r="X51" s="977">
        <f t="shared" si="10"/>
        <v>7.7055999999999987</v>
      </c>
      <c r="Y51" s="491">
        <v>1800000</v>
      </c>
      <c r="Z51" s="663">
        <f t="shared" si="8"/>
        <v>13870079.999999998</v>
      </c>
      <c r="AA51" s="568">
        <f t="shared" si="7"/>
        <v>29</v>
      </c>
      <c r="AB51" s="493">
        <f>IFERROR(INDEX('[14]CN BC'!$M$10:$M$276,MATCH(B51,'[14]CN BC'!$H$10:$H$276,0)),"")</f>
        <v>0</v>
      </c>
      <c r="AC51" s="141" t="str">
        <f>VLOOKUP(B51,TH.T4!B49:AC379,28,FALSE)</f>
        <v>QTDV</v>
      </c>
      <c r="AF51" s="487"/>
    </row>
    <row r="52" spans="1:42" s="108" customFormat="1" ht="30.75" customHeight="1">
      <c r="A52" s="379">
        <f>_xlfn.AGGREGATE(4,7,A$22:A51)+1</f>
        <v>30</v>
      </c>
      <c r="B52" s="45" t="s">
        <v>1852</v>
      </c>
      <c r="C52" s="958" t="s">
        <v>900</v>
      </c>
      <c r="D52" s="406" t="s">
        <v>1636</v>
      </c>
      <c r="E52" s="424" t="s">
        <v>1258</v>
      </c>
      <c r="F52" s="81" t="str">
        <f>VLOOKUP(B52,TH.T4!B50:J380,9,FALSE)</f>
        <v>Trưởng TT Y tế</v>
      </c>
      <c r="G52" s="83">
        <v>4.6500000000000004</v>
      </c>
      <c r="H52" s="161"/>
      <c r="I52" s="368">
        <f t="shared" si="0"/>
        <v>4.6500000000000004</v>
      </c>
      <c r="J52" s="81">
        <v>0.45</v>
      </c>
      <c r="K52" s="369">
        <f t="shared" si="1"/>
        <v>5.1000000000000005</v>
      </c>
      <c r="L52" s="362">
        <f t="shared" si="2"/>
        <v>9180000.0000000019</v>
      </c>
      <c r="M52" s="366" t="str">
        <f>VLOOKUP(B52,'[13]Gui chi Quynh'!$B$11:$E$400,4,FALSE)</f>
        <v>A1</v>
      </c>
      <c r="N52" s="494">
        <f t="shared" si="3"/>
        <v>14688000.000000004</v>
      </c>
      <c r="O52" s="366">
        <v>22</v>
      </c>
      <c r="P52" s="440">
        <f>IFERROR(INDEX('[14]CN BC'!$J$10:$J$276,MATCH(B52,'[14]CN BC'!$H$10:$H$276,0)),"")</f>
        <v>26</v>
      </c>
      <c r="Q52" s="494">
        <f t="shared" si="4"/>
        <v>14688000.000000004</v>
      </c>
      <c r="R52" s="392"/>
      <c r="S52" s="362">
        <f>R52*$H$19*1</f>
        <v>0</v>
      </c>
      <c r="T52" s="385"/>
      <c r="U52" s="362">
        <f t="shared" si="5"/>
        <v>0</v>
      </c>
      <c r="V52" s="584">
        <f t="shared" si="6"/>
        <v>91800</v>
      </c>
      <c r="W52" s="371">
        <f t="shared" si="9"/>
        <v>14688000.000000004</v>
      </c>
      <c r="X52" s="977">
        <f t="shared" si="10"/>
        <v>8.1600000000000019</v>
      </c>
      <c r="Y52" s="491">
        <v>1800000</v>
      </c>
      <c r="Z52" s="663">
        <f t="shared" si="8"/>
        <v>14688000.000000004</v>
      </c>
      <c r="AA52" s="568">
        <f t="shared" si="7"/>
        <v>30</v>
      </c>
      <c r="AB52" s="493">
        <f>IFERROR(INDEX('[14]CN BC'!$M$10:$M$276,MATCH(B52,'[14]CN BC'!$H$10:$H$276,0)),"")</f>
        <v>0</v>
      </c>
      <c r="AC52" s="141" t="str">
        <f>VLOOKUP(B52,TH.T4!B50:AC380,28,FALSE)</f>
        <v>TTYT</v>
      </c>
      <c r="AF52" s="155"/>
    </row>
    <row r="53" spans="1:42" s="108" customFormat="1" ht="30.75" customHeight="1">
      <c r="A53" s="379">
        <f>_xlfn.AGGREGATE(4,7,A$22:A52)+1</f>
        <v>31</v>
      </c>
      <c r="B53" s="45" t="s">
        <v>1454</v>
      </c>
      <c r="C53" s="958" t="s">
        <v>885</v>
      </c>
      <c r="D53" s="406" t="s">
        <v>1637</v>
      </c>
      <c r="E53" s="431">
        <v>1603205247426</v>
      </c>
      <c r="F53" s="81" t="str">
        <f>VLOOKUP(B53,TH.T4!B51:J381,9,FALSE)</f>
        <v>Nhân viên Trung tâm Y tế</v>
      </c>
      <c r="G53" s="10">
        <v>3.66</v>
      </c>
      <c r="H53" s="157"/>
      <c r="I53" s="368">
        <f t="shared" si="0"/>
        <v>3.66</v>
      </c>
      <c r="J53" s="81"/>
      <c r="K53" s="369">
        <f t="shared" si="1"/>
        <v>3.66</v>
      </c>
      <c r="L53" s="362">
        <f t="shared" si="2"/>
        <v>6588000</v>
      </c>
      <c r="M53" s="366" t="str">
        <f>VLOOKUP(B53,'[13]Gui chi Quynh'!$B$11:$E$400,4,FALSE)</f>
        <v>A3</v>
      </c>
      <c r="N53" s="494">
        <f t="shared" si="3"/>
        <v>7905600</v>
      </c>
      <c r="O53" s="366">
        <v>22</v>
      </c>
      <c r="P53" s="440">
        <f>IFERROR(INDEX('[14]CN BC'!$J$10:$J$276,MATCH(B53,'[14]CN BC'!$H$10:$H$276,0)),"")</f>
        <v>26</v>
      </c>
      <c r="Q53" s="494">
        <f t="shared" si="4"/>
        <v>7905600</v>
      </c>
      <c r="R53" s="392"/>
      <c r="S53" s="362">
        <f>R53*$H$19*1</f>
        <v>0</v>
      </c>
      <c r="T53" s="385"/>
      <c r="U53" s="362">
        <f t="shared" si="5"/>
        <v>0</v>
      </c>
      <c r="V53" s="584">
        <f t="shared" si="6"/>
        <v>65880</v>
      </c>
      <c r="W53" s="371">
        <f t="shared" si="9"/>
        <v>7905600</v>
      </c>
      <c r="X53" s="977">
        <f t="shared" si="10"/>
        <v>4.3920000000000003</v>
      </c>
      <c r="Y53" s="491">
        <v>1800000</v>
      </c>
      <c r="Z53" s="663">
        <f t="shared" si="8"/>
        <v>7905600.0000000009</v>
      </c>
      <c r="AA53" s="568">
        <f t="shared" si="7"/>
        <v>31</v>
      </c>
      <c r="AB53" s="493">
        <f>IFERROR(INDEX('[14]CN BC'!$M$10:$M$276,MATCH(B53,'[14]CN BC'!$H$10:$H$276,0)),"")</f>
        <v>0</v>
      </c>
      <c r="AC53" s="141" t="str">
        <f>VLOOKUP(B53,TH.T4!B51:AC381,28,FALSE)</f>
        <v>TTYT</v>
      </c>
      <c r="AF53" s="155"/>
    </row>
    <row r="54" spans="1:42" s="372" customFormat="1" ht="30.75" customHeight="1">
      <c r="A54" s="379">
        <f>_xlfn.AGGREGATE(4,7,A$22:A53)+1</f>
        <v>32</v>
      </c>
      <c r="B54" s="374" t="s">
        <v>1445</v>
      </c>
      <c r="C54" s="956" t="s">
        <v>1443</v>
      </c>
      <c r="D54" s="406" t="s">
        <v>1638</v>
      </c>
      <c r="E54" s="422" t="s">
        <v>1576</v>
      </c>
      <c r="F54" s="81" t="str">
        <f>VLOOKUP(B54,TH.T4!B52:J382,9,FALSE)</f>
        <v>TP. Kế hoạch - Tài chính</v>
      </c>
      <c r="G54" s="373">
        <v>4.9800000000000004</v>
      </c>
      <c r="H54" s="367">
        <v>0.37</v>
      </c>
      <c r="I54" s="368">
        <f t="shared" si="0"/>
        <v>6.8226000000000004</v>
      </c>
      <c r="J54" s="368">
        <v>0.45</v>
      </c>
      <c r="K54" s="369">
        <f t="shared" si="1"/>
        <v>7.2726000000000006</v>
      </c>
      <c r="L54" s="362">
        <f t="shared" si="2"/>
        <v>13090680.000000002</v>
      </c>
      <c r="M54" s="366" t="str">
        <f>VLOOKUP(B54,'[13]Gui chi Quynh'!$B$11:$E$400,4,FALSE)</f>
        <v>A1</v>
      </c>
      <c r="N54" s="494">
        <f t="shared" si="3"/>
        <v>20945088.000000004</v>
      </c>
      <c r="O54" s="366">
        <v>22</v>
      </c>
      <c r="P54" s="440">
        <f>IFERROR(INDEX('[14]CN BC'!$J$10:$J$276,MATCH(B54,'[14]CN BC'!$H$10:$H$276,0)),"")</f>
        <v>26</v>
      </c>
      <c r="Q54" s="494">
        <f t="shared" si="4"/>
        <v>20945088.000000004</v>
      </c>
      <c r="R54" s="392"/>
      <c r="S54" s="362">
        <f>R54*$H$19*1</f>
        <v>0</v>
      </c>
      <c r="T54" s="385"/>
      <c r="U54" s="362">
        <f t="shared" si="5"/>
        <v>0</v>
      </c>
      <c r="V54" s="584">
        <f t="shared" si="6"/>
        <v>130907</v>
      </c>
      <c r="W54" s="371">
        <f t="shared" si="9"/>
        <v>20945088.000000004</v>
      </c>
      <c r="X54" s="977">
        <f t="shared" si="10"/>
        <v>11.636160000000002</v>
      </c>
      <c r="Y54" s="491">
        <v>1800000</v>
      </c>
      <c r="Z54" s="663">
        <f t="shared" si="8"/>
        <v>20945088.000000004</v>
      </c>
      <c r="AA54" s="568">
        <f t="shared" si="7"/>
        <v>32</v>
      </c>
      <c r="AB54" s="493" t="str">
        <f>IFERROR(INDEX('[14]CN BC'!$M$10:$M$276,MATCH(B54,'[14]CN BC'!$H$10:$H$276,0)),"")</f>
        <v>Trừ 1 ngày nghỉ bù 24/5</v>
      </c>
      <c r="AC54" s="141" t="str">
        <f>VLOOKUP(B54,TH.T4!B52:AC382,28,FALSE)</f>
        <v>KHTC</v>
      </c>
      <c r="AD54" s="108"/>
      <c r="AE54" s="108"/>
      <c r="AF54" s="155"/>
      <c r="AG54" s="108"/>
      <c r="AH54" s="108"/>
      <c r="AI54" s="108"/>
      <c r="AJ54" s="108"/>
      <c r="AK54" s="108"/>
      <c r="AL54" s="108"/>
      <c r="AM54" s="108"/>
      <c r="AN54" s="108"/>
      <c r="AO54" s="108"/>
      <c r="AP54" s="108"/>
    </row>
    <row r="55" spans="1:42" s="108" customFormat="1" ht="31.5" customHeight="1">
      <c r="A55" s="379">
        <f>_xlfn.AGGREGATE(4,7,A$22:A54)+1</f>
        <v>33</v>
      </c>
      <c r="B55" s="45" t="s">
        <v>1455</v>
      </c>
      <c r="C55" s="958" t="s">
        <v>912</v>
      </c>
      <c r="D55" s="406" t="s">
        <v>1640</v>
      </c>
      <c r="E55" s="424" t="s">
        <v>368</v>
      </c>
      <c r="F55" s="81" t="str">
        <f>VLOOKUP(B55,TH.T4!B53:J383,9,FALSE)</f>
        <v>NV phòng KH-TC</v>
      </c>
      <c r="G55" s="10">
        <v>3.99</v>
      </c>
      <c r="H55" s="157"/>
      <c r="I55" s="368">
        <f t="shared" si="0"/>
        <v>3.99</v>
      </c>
      <c r="J55" s="81"/>
      <c r="K55" s="369">
        <f t="shared" si="1"/>
        <v>3.99</v>
      </c>
      <c r="L55" s="362">
        <f t="shared" si="2"/>
        <v>7182000</v>
      </c>
      <c r="M55" s="366" t="str">
        <f>VLOOKUP(B55,'[13]Gui chi Quynh'!$B$11:$E$400,4,FALSE)</f>
        <v>A1</v>
      </c>
      <c r="N55" s="494">
        <f t="shared" si="3"/>
        <v>11491200</v>
      </c>
      <c r="O55" s="366">
        <v>22</v>
      </c>
      <c r="P55" s="440">
        <f>IFERROR(INDEX('[14]CN BC'!$J$10:$J$276,MATCH(B55,'[14]CN BC'!$H$10:$H$276,0)),"")</f>
        <v>26</v>
      </c>
      <c r="Q55" s="494">
        <f t="shared" si="4"/>
        <v>11491200</v>
      </c>
      <c r="R55" s="392"/>
      <c r="S55" s="362">
        <f>R55*$H$19*1</f>
        <v>0</v>
      </c>
      <c r="T55" s="385"/>
      <c r="U55" s="362">
        <f t="shared" si="5"/>
        <v>0</v>
      </c>
      <c r="V55" s="584">
        <f t="shared" si="6"/>
        <v>71820</v>
      </c>
      <c r="W55" s="371">
        <f t="shared" si="9"/>
        <v>11491200</v>
      </c>
      <c r="X55" s="977">
        <f t="shared" si="10"/>
        <v>6.3840000000000003</v>
      </c>
      <c r="Y55" s="491">
        <v>1800000</v>
      </c>
      <c r="Z55" s="663">
        <f t="shared" si="8"/>
        <v>11491200</v>
      </c>
      <c r="AA55" s="568">
        <f t="shared" si="7"/>
        <v>33</v>
      </c>
      <c r="AB55" s="493">
        <f>IFERROR(INDEX('[14]CN BC'!$M$10:$M$276,MATCH(B55,'[14]CN BC'!$H$10:$H$276,0)),"")</f>
        <v>0</v>
      </c>
      <c r="AC55" s="141" t="str">
        <f>VLOOKUP(B55,TH.T4!B53:AC383,28,FALSE)</f>
        <v>KHTC</v>
      </c>
      <c r="AF55" s="155"/>
    </row>
    <row r="56" spans="1:42" s="372" customFormat="1" ht="27" customHeight="1">
      <c r="A56" s="379">
        <f>_xlfn.AGGREGATE(4,7,A$22:A55)+1</f>
        <v>34</v>
      </c>
      <c r="B56" s="374" t="s">
        <v>1456</v>
      </c>
      <c r="C56" s="956" t="s">
        <v>494</v>
      </c>
      <c r="D56" s="434" t="s">
        <v>1641</v>
      </c>
      <c r="E56" s="428">
        <v>1603205178873</v>
      </c>
      <c r="F56" s="81" t="str">
        <f>VLOOKUP(B56,TH.T4!B54:J384,9,FALSE)</f>
        <v>NV phòng KH-TC</v>
      </c>
      <c r="G56" s="366">
        <v>3.66</v>
      </c>
      <c r="H56" s="367"/>
      <c r="I56" s="368">
        <f t="shared" si="0"/>
        <v>3.66</v>
      </c>
      <c r="J56" s="368"/>
      <c r="K56" s="369">
        <f t="shared" si="1"/>
        <v>3.66</v>
      </c>
      <c r="L56" s="362">
        <f t="shared" si="2"/>
        <v>6588000</v>
      </c>
      <c r="M56" s="366" t="str">
        <f>VLOOKUP(B56,'[13]Gui chi Quynh'!$B$11:$E$400,4,FALSE)</f>
        <v>A2</v>
      </c>
      <c r="N56" s="494">
        <f t="shared" si="3"/>
        <v>9223200</v>
      </c>
      <c r="O56" s="366">
        <v>22</v>
      </c>
      <c r="P56" s="440">
        <f>IFERROR(INDEX('[14]CN BC'!$J$10:$J$276,MATCH(B56,'[14]CN BC'!$H$10:$H$276,0)),"")</f>
        <v>25</v>
      </c>
      <c r="Q56" s="494">
        <f t="shared" si="4"/>
        <v>9223200</v>
      </c>
      <c r="R56" s="460"/>
      <c r="S56" s="362">
        <f>R56*$H$19*1.6</f>
        <v>0</v>
      </c>
      <c r="T56" s="370"/>
      <c r="U56" s="362">
        <f t="shared" si="5"/>
        <v>0</v>
      </c>
      <c r="V56" s="584">
        <f t="shared" si="6"/>
        <v>65880</v>
      </c>
      <c r="W56" s="371">
        <f t="shared" si="9"/>
        <v>9223200</v>
      </c>
      <c r="X56" s="977">
        <f t="shared" si="10"/>
        <v>5.1239999999999997</v>
      </c>
      <c r="Y56" s="491">
        <v>1800000</v>
      </c>
      <c r="Z56" s="663">
        <f t="shared" si="8"/>
        <v>9223200</v>
      </c>
      <c r="AA56" s="568">
        <f t="shared" si="7"/>
        <v>34</v>
      </c>
      <c r="AB56" s="493">
        <f>IFERROR(INDEX('[14]CN BC'!$M$10:$M$276,MATCH(B56,'[14]CN BC'!$H$10:$H$276,0)),"")</f>
        <v>0</v>
      </c>
      <c r="AC56" s="141" t="str">
        <f>VLOOKUP(B56,TH.T4!B54:AC384,28,FALSE)</f>
        <v>KHTC</v>
      </c>
      <c r="AD56" s="108"/>
      <c r="AE56" s="108"/>
      <c r="AF56" s="155"/>
      <c r="AG56" s="108"/>
      <c r="AH56" s="108"/>
      <c r="AI56" s="108"/>
      <c r="AJ56" s="108"/>
      <c r="AK56" s="108"/>
      <c r="AL56" s="108"/>
    </row>
    <row r="57" spans="1:42" s="372" customFormat="1" ht="33.75" customHeight="1">
      <c r="A57" s="379">
        <f>_xlfn.AGGREGATE(4,7,A$22:A56)+1</f>
        <v>35</v>
      </c>
      <c r="B57" s="374" t="s">
        <v>1457</v>
      </c>
      <c r="C57" s="956" t="s">
        <v>1178</v>
      </c>
      <c r="D57" s="434" t="s">
        <v>1642</v>
      </c>
      <c r="E57" s="426">
        <v>1603205372861</v>
      </c>
      <c r="F57" s="81" t="str">
        <f>VLOOKUP(B57,TH.T4!B55:J385,9,FALSE)</f>
        <v>NV phòng KH-TC</v>
      </c>
      <c r="G57" s="366">
        <v>2.67</v>
      </c>
      <c r="H57" s="367"/>
      <c r="I57" s="368">
        <f t="shared" si="0"/>
        <v>2.67</v>
      </c>
      <c r="J57" s="368"/>
      <c r="K57" s="369">
        <f t="shared" si="1"/>
        <v>2.67</v>
      </c>
      <c r="L57" s="362">
        <f t="shared" si="2"/>
        <v>4806000</v>
      </c>
      <c r="M57" s="366" t="str">
        <f>VLOOKUP(B57,'[13]Gui chi Quynh'!$B$11:$E$400,4,FALSE)</f>
        <v>A1</v>
      </c>
      <c r="N57" s="494">
        <f t="shared" si="3"/>
        <v>7689600</v>
      </c>
      <c r="O57" s="366">
        <v>22</v>
      </c>
      <c r="P57" s="440">
        <f>IFERROR(INDEX('[14]CN BC'!$J$10:$J$276,MATCH(B57,'[14]CN BC'!$H$10:$H$276,0)),"")</f>
        <v>26</v>
      </c>
      <c r="Q57" s="494">
        <f t="shared" si="4"/>
        <v>7689600</v>
      </c>
      <c r="R57" s="460"/>
      <c r="S57" s="362">
        <f>R57*$H$19*1</f>
        <v>0</v>
      </c>
      <c r="T57" s="370"/>
      <c r="U57" s="362">
        <f t="shared" si="5"/>
        <v>0</v>
      </c>
      <c r="V57" s="584">
        <f t="shared" si="6"/>
        <v>48060</v>
      </c>
      <c r="W57" s="371">
        <f t="shared" si="9"/>
        <v>7689600</v>
      </c>
      <c r="X57" s="977">
        <f t="shared" si="10"/>
        <v>4.2720000000000002</v>
      </c>
      <c r="Y57" s="491">
        <v>1800000</v>
      </c>
      <c r="Z57" s="663">
        <f t="shared" si="8"/>
        <v>7689600</v>
      </c>
      <c r="AA57" s="568">
        <f t="shared" si="7"/>
        <v>35</v>
      </c>
      <c r="AB57" s="493">
        <f>IFERROR(INDEX('[14]CN BC'!$M$10:$M$276,MATCH(B57,'[14]CN BC'!$H$10:$H$276,0)),"")</f>
        <v>0</v>
      </c>
      <c r="AC57" s="141" t="str">
        <f>VLOOKUP(B57,TH.T4!B55:AC385,28,FALSE)</f>
        <v>KHTC</v>
      </c>
      <c r="AD57" s="108"/>
      <c r="AE57" s="108"/>
      <c r="AF57" s="155"/>
      <c r="AG57" s="108"/>
      <c r="AH57" s="108"/>
      <c r="AI57" s="108"/>
      <c r="AJ57" s="108"/>
      <c r="AK57" s="108"/>
      <c r="AL57" s="108"/>
    </row>
    <row r="58" spans="1:42" s="372" customFormat="1" ht="27" customHeight="1">
      <c r="A58" s="379">
        <f>_xlfn.AGGREGATE(4,7,A$22:A57)+1</f>
        <v>36</v>
      </c>
      <c r="B58" s="374" t="s">
        <v>1859</v>
      </c>
      <c r="C58" s="956" t="s">
        <v>986</v>
      </c>
      <c r="D58" s="434" t="s">
        <v>1665</v>
      </c>
      <c r="E58" s="430">
        <v>1603205185357</v>
      </c>
      <c r="F58" s="81" t="str">
        <f>VLOOKUP(B58,TH.T4!B56:J386,9,FALSE)</f>
        <v>NV Phòng KH-TC</v>
      </c>
      <c r="G58" s="373">
        <v>3.66</v>
      </c>
      <c r="H58" s="367"/>
      <c r="I58" s="368">
        <f t="shared" si="0"/>
        <v>3.66</v>
      </c>
      <c r="J58" s="368"/>
      <c r="K58" s="369">
        <f t="shared" si="1"/>
        <v>3.66</v>
      </c>
      <c r="L58" s="362">
        <f t="shared" si="2"/>
        <v>6588000</v>
      </c>
      <c r="M58" s="366" t="str">
        <f>VLOOKUP(B58,'[13]Gui chi Quynh'!$B$11:$E$400,4,FALSE)</f>
        <v>A1</v>
      </c>
      <c r="N58" s="494">
        <f t="shared" si="3"/>
        <v>10540800</v>
      </c>
      <c r="O58" s="366">
        <v>22</v>
      </c>
      <c r="P58" s="440">
        <f>IFERROR(INDEX('[14]CN BC'!$J$10:$J$276,MATCH(B58,'[14]CN BC'!$H$10:$H$276,0)),"")</f>
        <v>26</v>
      </c>
      <c r="Q58" s="494">
        <f t="shared" si="4"/>
        <v>10540800</v>
      </c>
      <c r="R58" s="460"/>
      <c r="S58" s="362">
        <f>R58*$H$19*1</f>
        <v>0</v>
      </c>
      <c r="T58" s="537"/>
      <c r="U58" s="362">
        <f t="shared" si="5"/>
        <v>0</v>
      </c>
      <c r="V58" s="584">
        <f t="shared" si="6"/>
        <v>65880</v>
      </c>
      <c r="W58" s="371">
        <f t="shared" si="9"/>
        <v>10540800</v>
      </c>
      <c r="X58" s="977">
        <f t="shared" si="10"/>
        <v>5.8559999999999999</v>
      </c>
      <c r="Y58" s="491">
        <v>1800000</v>
      </c>
      <c r="Z58" s="663">
        <f t="shared" si="8"/>
        <v>10540800</v>
      </c>
      <c r="AA58" s="568">
        <f t="shared" si="7"/>
        <v>36</v>
      </c>
      <c r="AB58" s="493">
        <f>IFERROR(INDEX('[14]CN BC'!$M$10:$M$276,MATCH(B58,'[14]CN BC'!$H$10:$H$276,0)),"")</f>
        <v>0</v>
      </c>
      <c r="AC58" s="141" t="str">
        <f>VLOOKUP(B58,TH.T4!B56:AC386,28,FALSE)</f>
        <v>KHTC</v>
      </c>
      <c r="AF58" s="487"/>
    </row>
    <row r="59" spans="1:42" s="372" customFormat="1" ht="30.75" customHeight="1">
      <c r="A59" s="379">
        <f>_xlfn.AGGREGATE(4,7,A$22:A58)+1</f>
        <v>37</v>
      </c>
      <c r="B59" s="374" t="s">
        <v>1459</v>
      </c>
      <c r="C59" s="956" t="s">
        <v>1437</v>
      </c>
      <c r="D59" s="434" t="s">
        <v>1645</v>
      </c>
      <c r="E59" s="426" t="s">
        <v>1578</v>
      </c>
      <c r="F59" s="81" t="str">
        <f>VLOOKUP(B59,TH.T4!B57:J387,9,FALSE)</f>
        <v>Trưởng phòng Thanh tra GD - Quan hệ DN</v>
      </c>
      <c r="G59" s="366">
        <v>4.32</v>
      </c>
      <c r="H59" s="367"/>
      <c r="I59" s="368">
        <f t="shared" si="0"/>
        <v>4.32</v>
      </c>
      <c r="J59" s="368">
        <v>0.45</v>
      </c>
      <c r="K59" s="369">
        <f t="shared" si="1"/>
        <v>4.7700000000000005</v>
      </c>
      <c r="L59" s="362">
        <f t="shared" si="2"/>
        <v>8586000</v>
      </c>
      <c r="M59" s="366" t="str">
        <f>VLOOKUP(B59,'[13]Gui chi Quynh'!$B$11:$E$400,4,FALSE)</f>
        <v>A2</v>
      </c>
      <c r="N59" s="494">
        <f t="shared" si="3"/>
        <v>12020400</v>
      </c>
      <c r="O59" s="366">
        <v>22</v>
      </c>
      <c r="P59" s="440">
        <f>IFERROR(INDEX('[14]CN BC'!$J$10:$J$276,MATCH(B59,'[14]CN BC'!$H$10:$H$276,0)),"")</f>
        <v>26</v>
      </c>
      <c r="Q59" s="494">
        <f t="shared" si="4"/>
        <v>12020400</v>
      </c>
      <c r="R59" s="460"/>
      <c r="S59" s="362">
        <v>0</v>
      </c>
      <c r="T59" s="370"/>
      <c r="U59" s="362">
        <f t="shared" si="5"/>
        <v>0</v>
      </c>
      <c r="V59" s="584">
        <f t="shared" si="6"/>
        <v>85860</v>
      </c>
      <c r="W59" s="371">
        <f t="shared" si="9"/>
        <v>12020400</v>
      </c>
      <c r="X59" s="977">
        <f t="shared" si="10"/>
        <v>6.6779999999999999</v>
      </c>
      <c r="Y59" s="491">
        <v>1800000</v>
      </c>
      <c r="Z59" s="663">
        <f t="shared" si="8"/>
        <v>12020400</v>
      </c>
      <c r="AA59" s="568">
        <f t="shared" si="7"/>
        <v>37</v>
      </c>
      <c r="AB59" s="493">
        <f>IFERROR(INDEX('[14]CN BC'!$M$10:$M$276,MATCH(B59,'[14]CN BC'!$H$10:$H$276,0)),"")</f>
        <v>0</v>
      </c>
      <c r="AC59" s="141" t="str">
        <f>VLOOKUP(B59,TH.T4!B57:AC387,28,FALSE)</f>
        <v>TTrGD</v>
      </c>
      <c r="AD59" s="108"/>
      <c r="AE59" s="108"/>
      <c r="AF59" s="155"/>
    </row>
    <row r="60" spans="1:42" s="372" customFormat="1" ht="30.75" customHeight="1">
      <c r="A60" s="379">
        <f>_xlfn.AGGREGATE(4,7,A$22:A59)+1</f>
        <v>38</v>
      </c>
      <c r="B60" s="374" t="s">
        <v>1541</v>
      </c>
      <c r="C60" s="960" t="s">
        <v>962</v>
      </c>
      <c r="D60" s="434" t="s">
        <v>1802</v>
      </c>
      <c r="E60" s="426">
        <v>1603205356140</v>
      </c>
      <c r="F60" s="81" t="str">
        <f>VLOOKUP(B60,TH.T4!B58:J388,9,FALSE)</f>
        <v>Nhân viên phòng Thanh tra GD - Quan hệ DN</v>
      </c>
      <c r="G60" s="366">
        <v>3.99</v>
      </c>
      <c r="H60" s="367"/>
      <c r="I60" s="368">
        <f t="shared" si="0"/>
        <v>3.99</v>
      </c>
      <c r="J60" s="368"/>
      <c r="K60" s="369">
        <f t="shared" si="1"/>
        <v>3.99</v>
      </c>
      <c r="L60" s="362">
        <f t="shared" si="2"/>
        <v>7182000</v>
      </c>
      <c r="M60" s="366" t="str">
        <f>VLOOKUP(B60,'[13]Gui chi Quynh'!$B$11:$E$400,4,FALSE)</f>
        <v>A4</v>
      </c>
      <c r="N60" s="494">
        <f t="shared" si="3"/>
        <v>7182000</v>
      </c>
      <c r="O60" s="366">
        <v>22</v>
      </c>
      <c r="P60" s="440">
        <f>IFERROR(INDEX('[14]CN BC'!$J$10:$J$276,MATCH(B60,'[14]CN BC'!$H$10:$H$276,0)),"")</f>
        <v>24</v>
      </c>
      <c r="Q60" s="494">
        <f t="shared" si="4"/>
        <v>7182000</v>
      </c>
      <c r="R60" s="460"/>
      <c r="S60" s="362">
        <f t="shared" ref="S60:S74" si="13">R60*$H$19*1</f>
        <v>0</v>
      </c>
      <c r="T60" s="370"/>
      <c r="U60" s="362">
        <f t="shared" si="5"/>
        <v>0</v>
      </c>
      <c r="V60" s="584">
        <f t="shared" si="6"/>
        <v>71820</v>
      </c>
      <c r="W60" s="371">
        <f t="shared" si="9"/>
        <v>7182000</v>
      </c>
      <c r="X60" s="977">
        <f t="shared" si="10"/>
        <v>3.99</v>
      </c>
      <c r="Y60" s="491">
        <v>1800000</v>
      </c>
      <c r="Z60" s="663">
        <f t="shared" si="8"/>
        <v>7182000</v>
      </c>
      <c r="AA60" s="568">
        <f t="shared" si="7"/>
        <v>38</v>
      </c>
      <c r="AB60" s="493">
        <f>IFERROR(INDEX('[14]CN BC'!$M$10:$M$276,MATCH(B60,'[14]CN BC'!$H$10:$H$276,0)),"")</f>
        <v>0</v>
      </c>
      <c r="AC60" s="141" t="str">
        <f>VLOOKUP(B60,TH.T4!B58:AC388,28,FALSE)</f>
        <v>TTrGD</v>
      </c>
      <c r="AF60" s="487"/>
    </row>
    <row r="61" spans="1:42" s="372" customFormat="1" ht="30.75" customHeight="1">
      <c r="A61" s="379">
        <f>_xlfn.AGGREGATE(4,7,A$22:A60)+1</f>
        <v>39</v>
      </c>
      <c r="B61" s="374" t="s">
        <v>1556</v>
      </c>
      <c r="C61" s="960" t="s">
        <v>885</v>
      </c>
      <c r="D61" s="434" t="s">
        <v>1648</v>
      </c>
      <c r="E61" s="430">
        <v>1603205182727</v>
      </c>
      <c r="F61" s="81" t="str">
        <f>VLOOKUP(B61,TH.T4!B59:J389,9,FALSE)</f>
        <v>Nhân viên phòng Thanh tra GD - Quan hệ DN</v>
      </c>
      <c r="G61" s="373">
        <v>4.6500000000000004</v>
      </c>
      <c r="H61" s="374"/>
      <c r="I61" s="368">
        <f t="shared" si="0"/>
        <v>4.6500000000000004</v>
      </c>
      <c r="J61" s="366"/>
      <c r="K61" s="369">
        <f t="shared" si="1"/>
        <v>4.6500000000000004</v>
      </c>
      <c r="L61" s="362">
        <f t="shared" si="2"/>
        <v>8370000.0000000009</v>
      </c>
      <c r="M61" s="366" t="str">
        <f>VLOOKUP(B61,'[13]Gui chi Quynh'!$B$11:$E$400,4,FALSE)</f>
        <v>A3</v>
      </c>
      <c r="N61" s="494">
        <f t="shared" si="3"/>
        <v>10044000</v>
      </c>
      <c r="O61" s="366">
        <v>22</v>
      </c>
      <c r="P61" s="440">
        <f>IFERROR(INDEX('[14]CN BC'!$J$10:$J$276,MATCH(B61,'[14]CN BC'!$H$10:$H$276,0)),"")</f>
        <v>24.5</v>
      </c>
      <c r="Q61" s="494">
        <f t="shared" si="4"/>
        <v>10044000</v>
      </c>
      <c r="R61" s="476">
        <v>0</v>
      </c>
      <c r="S61" s="362">
        <f t="shared" si="13"/>
        <v>0</v>
      </c>
      <c r="T61" s="370"/>
      <c r="U61" s="362">
        <f t="shared" si="5"/>
        <v>0</v>
      </c>
      <c r="V61" s="584">
        <f t="shared" si="6"/>
        <v>83700</v>
      </c>
      <c r="W61" s="371">
        <f t="shared" si="9"/>
        <v>10044000</v>
      </c>
      <c r="X61" s="977">
        <f t="shared" si="10"/>
        <v>5.58</v>
      </c>
      <c r="Y61" s="491">
        <v>1800000</v>
      </c>
      <c r="Z61" s="663">
        <f t="shared" si="8"/>
        <v>10044000</v>
      </c>
      <c r="AA61" s="568">
        <f t="shared" si="7"/>
        <v>39</v>
      </c>
      <c r="AB61" s="493">
        <f>IFERROR(INDEX('[14]CN BC'!$M$10:$M$276,MATCH(B61,'[14]CN BC'!$H$10:$H$276,0)),"")</f>
        <v>0</v>
      </c>
      <c r="AC61" s="141" t="str">
        <f>VLOOKUP(B61,TH.T4!B59:AC389,28,FALSE)</f>
        <v>TTrGD</v>
      </c>
      <c r="AD61" s="108"/>
      <c r="AE61" s="108"/>
      <c r="AF61" s="155"/>
      <c r="AG61" s="108"/>
      <c r="AH61" s="108"/>
      <c r="AI61" s="108"/>
      <c r="AJ61" s="108"/>
      <c r="AK61" s="108"/>
      <c r="AL61" s="108"/>
    </row>
    <row r="62" spans="1:42" s="372" customFormat="1" ht="30.75" customHeight="1">
      <c r="A62" s="379">
        <f>_xlfn.AGGREGATE(4,7,A$22:A61)+1</f>
        <v>40</v>
      </c>
      <c r="B62" s="374" t="s">
        <v>1854</v>
      </c>
      <c r="C62" s="956" t="s">
        <v>903</v>
      </c>
      <c r="D62" s="406" t="s">
        <v>1616</v>
      </c>
      <c r="E62" s="423" t="s">
        <v>1260</v>
      </c>
      <c r="F62" s="81" t="str">
        <f>VLOOKUP(B62,TH.T4!B60:J390,9,FALSE)</f>
        <v>Nhân viên phòng Thanh tra GD - Quan hệ DN</v>
      </c>
      <c r="G62" s="366">
        <v>4.9800000000000004</v>
      </c>
      <c r="H62" s="367">
        <v>7.0000000000000007E-2</v>
      </c>
      <c r="I62" s="368">
        <f t="shared" si="0"/>
        <v>5.3286000000000007</v>
      </c>
      <c r="J62" s="368">
        <v>0.45</v>
      </c>
      <c r="K62" s="369">
        <f t="shared" si="1"/>
        <v>5.7786000000000008</v>
      </c>
      <c r="L62" s="362">
        <f t="shared" si="2"/>
        <v>10401480.000000002</v>
      </c>
      <c r="M62" s="366" t="str">
        <f>VLOOKUP(B62,'[13]Gui chi Quynh'!$B$11:$E$400,4,FALSE)</f>
        <v>A3</v>
      </c>
      <c r="N62" s="494">
        <f t="shared" si="3"/>
        <v>12481776.000000002</v>
      </c>
      <c r="O62" s="366">
        <v>22</v>
      </c>
      <c r="P62" s="440">
        <f>IFERROR(INDEX('[14]CN BC'!$J$10:$J$276,MATCH(B62,'[14]CN BC'!$H$10:$H$276,0)),"")</f>
        <v>21</v>
      </c>
      <c r="Q62" s="494">
        <f t="shared" si="4"/>
        <v>11914422.545454547</v>
      </c>
      <c r="R62" s="392"/>
      <c r="S62" s="362">
        <f t="shared" si="13"/>
        <v>0</v>
      </c>
      <c r="T62" s="385"/>
      <c r="U62" s="362">
        <f t="shared" si="5"/>
        <v>0</v>
      </c>
      <c r="V62" s="584">
        <f t="shared" si="6"/>
        <v>104015</v>
      </c>
      <c r="W62" s="371">
        <f t="shared" si="9"/>
        <v>11914422.545454547</v>
      </c>
      <c r="X62" s="977">
        <f t="shared" si="10"/>
        <v>6.6191236363636374</v>
      </c>
      <c r="Y62" s="491">
        <v>1800000</v>
      </c>
      <c r="Z62" s="663">
        <f t="shared" si="8"/>
        <v>11914422.545454547</v>
      </c>
      <c r="AA62" s="568">
        <f t="shared" si="7"/>
        <v>40</v>
      </c>
      <c r="AB62" s="493" t="str">
        <f>IFERROR(INDEX('[14]CN BC'!$M$10:$M$276,MATCH(B62,'[14]CN BC'!$H$10:$H$276,0)),"")</f>
        <v>Trừ 2 ngày nghỉ phép 30+31/5</v>
      </c>
      <c r="AC62" s="141" t="str">
        <f>VLOOKUP(B62,TH.T4!B60:AC390,28,FALSE)</f>
        <v>TTrGD</v>
      </c>
      <c r="AD62" s="154"/>
      <c r="AE62" s="155"/>
      <c r="AF62" s="155">
        <v>5000000</v>
      </c>
      <c r="AG62" s="108"/>
      <c r="AH62" s="108"/>
      <c r="AI62" s="108"/>
      <c r="AJ62" s="108"/>
      <c r="AK62" s="108"/>
      <c r="AL62" s="108"/>
      <c r="AM62" s="108"/>
      <c r="AN62" s="108"/>
      <c r="AO62" s="108"/>
      <c r="AP62" s="108"/>
    </row>
    <row r="63" spans="1:42" s="372" customFormat="1" ht="30.75" customHeight="1">
      <c r="A63" s="379">
        <f>_xlfn.AGGREGATE(4,7,A$22:A62)+1</f>
        <v>41</v>
      </c>
      <c r="B63" s="374" t="s">
        <v>1460</v>
      </c>
      <c r="C63" s="956" t="s">
        <v>885</v>
      </c>
      <c r="D63" s="434" t="s">
        <v>1650</v>
      </c>
      <c r="E63" s="428">
        <v>1603205189653</v>
      </c>
      <c r="F63" s="81" t="str">
        <f>VLOOKUP(B63,TH.T4!B61:J391,9,FALSE)</f>
        <v>Nhân viên phòng Thanh tra GD - Quan hệ DN</v>
      </c>
      <c r="G63" s="366">
        <v>3.99</v>
      </c>
      <c r="H63" s="367"/>
      <c r="I63" s="368">
        <f t="shared" si="0"/>
        <v>3.99</v>
      </c>
      <c r="J63" s="368"/>
      <c r="K63" s="369">
        <f t="shared" si="1"/>
        <v>3.99</v>
      </c>
      <c r="L63" s="362">
        <f t="shared" si="2"/>
        <v>7182000</v>
      </c>
      <c r="M63" s="366" t="str">
        <f>VLOOKUP(B63,'[13]Gui chi Quynh'!$B$11:$E$400,4,FALSE)</f>
        <v>A4</v>
      </c>
      <c r="N63" s="494">
        <f t="shared" si="3"/>
        <v>7182000</v>
      </c>
      <c r="O63" s="366">
        <v>22</v>
      </c>
      <c r="P63" s="440">
        <f>IFERROR(INDEX('[14]CN BC'!$J$10:$J$276,MATCH(B63,'[14]CN BC'!$H$10:$H$276,0)),"")</f>
        <v>24</v>
      </c>
      <c r="Q63" s="494">
        <f t="shared" si="4"/>
        <v>7182000</v>
      </c>
      <c r="R63" s="460"/>
      <c r="S63" s="362">
        <f t="shared" si="13"/>
        <v>0</v>
      </c>
      <c r="T63" s="370"/>
      <c r="U63" s="362">
        <f t="shared" si="5"/>
        <v>0</v>
      </c>
      <c r="V63" s="584">
        <f t="shared" si="6"/>
        <v>71820</v>
      </c>
      <c r="W63" s="371">
        <f t="shared" si="9"/>
        <v>7182000</v>
      </c>
      <c r="X63" s="977">
        <f t="shared" si="10"/>
        <v>3.99</v>
      </c>
      <c r="Y63" s="491">
        <v>1800000</v>
      </c>
      <c r="Z63" s="663">
        <f t="shared" si="8"/>
        <v>7182000</v>
      </c>
      <c r="AA63" s="568">
        <f t="shared" si="7"/>
        <v>41</v>
      </c>
      <c r="AB63" s="493">
        <f>IFERROR(INDEX('[14]CN BC'!$M$10:$M$276,MATCH(B63,'[14]CN BC'!$H$10:$H$276,0)),"")</f>
        <v>0</v>
      </c>
      <c r="AC63" s="141" t="str">
        <f>VLOOKUP(B63,TH.T4!B61:AC391,28,FALSE)</f>
        <v>TTrGD</v>
      </c>
      <c r="AF63" s="487"/>
    </row>
    <row r="64" spans="1:42" s="372" customFormat="1" ht="30.75" customHeight="1">
      <c r="A64" s="379">
        <f>_xlfn.AGGREGATE(4,7,A$22:A63)+1</f>
        <v>42</v>
      </c>
      <c r="B64" s="374" t="s">
        <v>1461</v>
      </c>
      <c r="C64" s="956" t="s">
        <v>270</v>
      </c>
      <c r="D64" s="434" t="s">
        <v>1653</v>
      </c>
      <c r="E64" s="423" t="s">
        <v>370</v>
      </c>
      <c r="F64" s="81" t="str">
        <f>VLOOKUP(B64,TH.T4!B62:J392,9,FALSE)</f>
        <v>Nhân viên phòng Thanh tra GD - Quan hệ DN</v>
      </c>
      <c r="G64" s="373">
        <v>3.66</v>
      </c>
      <c r="H64" s="367"/>
      <c r="I64" s="368">
        <f t="shared" si="0"/>
        <v>3.66</v>
      </c>
      <c r="J64" s="368"/>
      <c r="K64" s="369">
        <f t="shared" si="1"/>
        <v>3.66</v>
      </c>
      <c r="L64" s="362">
        <f t="shared" si="2"/>
        <v>6588000</v>
      </c>
      <c r="M64" s="366" t="str">
        <f>VLOOKUP(B64,'[13]Gui chi Quynh'!$B$11:$E$400,4,FALSE)</f>
        <v>A4</v>
      </c>
      <c r="N64" s="494">
        <f t="shared" si="3"/>
        <v>6588000</v>
      </c>
      <c r="O64" s="366">
        <v>22</v>
      </c>
      <c r="P64" s="440">
        <f>IFERROR(INDEX('[14]CN BC'!$J$10:$J$276,MATCH(B64,'[14]CN BC'!$H$10:$H$276,0)),"")</f>
        <v>23</v>
      </c>
      <c r="Q64" s="494">
        <f t="shared" si="4"/>
        <v>6588000</v>
      </c>
      <c r="R64" s="460"/>
      <c r="S64" s="362">
        <f t="shared" si="13"/>
        <v>0</v>
      </c>
      <c r="T64" s="370"/>
      <c r="U64" s="362">
        <f t="shared" si="5"/>
        <v>0</v>
      </c>
      <c r="V64" s="584">
        <f t="shared" si="6"/>
        <v>65880</v>
      </c>
      <c r="W64" s="371">
        <f t="shared" si="9"/>
        <v>6588000</v>
      </c>
      <c r="X64" s="977">
        <f t="shared" si="10"/>
        <v>3.66</v>
      </c>
      <c r="Y64" s="491">
        <v>1800000</v>
      </c>
      <c r="Z64" s="663">
        <f t="shared" si="8"/>
        <v>6588000</v>
      </c>
      <c r="AA64" s="568">
        <f t="shared" si="7"/>
        <v>42</v>
      </c>
      <c r="AB64" s="493">
        <f>IFERROR(INDEX('[14]CN BC'!$M$10:$M$276,MATCH(B64,'[14]CN BC'!$H$10:$H$276,0)),"")</f>
        <v>0</v>
      </c>
      <c r="AC64" s="141" t="str">
        <f>VLOOKUP(B64,TH.T4!B62:AC392,28,FALSE)</f>
        <v>TTrGD</v>
      </c>
      <c r="AD64" s="108"/>
      <c r="AE64" s="108"/>
      <c r="AF64" s="155"/>
      <c r="AG64" s="108"/>
      <c r="AH64" s="108"/>
      <c r="AI64" s="108"/>
      <c r="AJ64" s="108"/>
      <c r="AK64" s="108"/>
      <c r="AL64" s="108"/>
    </row>
    <row r="65" spans="1:42" s="372" customFormat="1" ht="30.75" customHeight="1">
      <c r="A65" s="379">
        <f>_xlfn.AGGREGATE(4,7,A$22:A64)+1</f>
        <v>43</v>
      </c>
      <c r="B65" s="374" t="s">
        <v>848</v>
      </c>
      <c r="C65" s="956" t="s">
        <v>883</v>
      </c>
      <c r="D65" s="434" t="s">
        <v>1655</v>
      </c>
      <c r="E65" s="423" t="s">
        <v>1263</v>
      </c>
      <c r="F65" s="81" t="str">
        <f>VLOOKUP(B65,TH.T4!B63:J393,9,FALSE)</f>
        <v>Nhân viên phòng Thanh tra GD - Quan hệ DN</v>
      </c>
      <c r="G65" s="366">
        <v>4.32</v>
      </c>
      <c r="H65" s="367"/>
      <c r="I65" s="368">
        <f t="shared" si="0"/>
        <v>4.32</v>
      </c>
      <c r="J65" s="368"/>
      <c r="K65" s="369">
        <f t="shared" si="1"/>
        <v>4.32</v>
      </c>
      <c r="L65" s="362">
        <f t="shared" si="2"/>
        <v>7776000.0000000009</v>
      </c>
      <c r="M65" s="366" t="str">
        <f>VLOOKUP(B65,'[13]Gui chi Quynh'!$B$11:$E$400,4,FALSE)</f>
        <v>A3</v>
      </c>
      <c r="N65" s="494">
        <f t="shared" si="3"/>
        <v>9331200</v>
      </c>
      <c r="O65" s="366">
        <v>22</v>
      </c>
      <c r="P65" s="440">
        <f>IFERROR(INDEX('[14]CN BC'!$J$10:$J$276,MATCH(B65,'[14]CN BC'!$H$10:$H$276,0)),"")</f>
        <v>24</v>
      </c>
      <c r="Q65" s="494">
        <f t="shared" si="4"/>
        <v>9331200</v>
      </c>
      <c r="R65" s="460"/>
      <c r="S65" s="362">
        <f t="shared" si="13"/>
        <v>0</v>
      </c>
      <c r="T65" s="370"/>
      <c r="U65" s="362">
        <f t="shared" si="5"/>
        <v>0</v>
      </c>
      <c r="V65" s="584">
        <f t="shared" si="6"/>
        <v>77760</v>
      </c>
      <c r="W65" s="371">
        <f t="shared" si="9"/>
        <v>9331200</v>
      </c>
      <c r="X65" s="977">
        <f t="shared" si="10"/>
        <v>5.1840000000000002</v>
      </c>
      <c r="Y65" s="491">
        <v>1800000</v>
      </c>
      <c r="Z65" s="663">
        <f t="shared" si="8"/>
        <v>9331200</v>
      </c>
      <c r="AA65" s="568">
        <f t="shared" si="7"/>
        <v>43</v>
      </c>
      <c r="AB65" s="493">
        <f>IFERROR(INDEX('[14]CN BC'!$M$10:$M$276,MATCH(B65,'[14]CN BC'!$H$10:$H$276,0)),"")</f>
        <v>0</v>
      </c>
      <c r="AC65" s="141" t="str">
        <f>VLOOKUP(B65,TH.T4!B63:AC393,28,FALSE)</f>
        <v>TTrGD</v>
      </c>
      <c r="AD65" s="108"/>
      <c r="AE65" s="108"/>
      <c r="AF65" s="155"/>
      <c r="AG65" s="108"/>
      <c r="AH65" s="108"/>
      <c r="AI65" s="108"/>
      <c r="AJ65" s="108"/>
      <c r="AK65" s="108"/>
      <c r="AL65" s="108"/>
    </row>
    <row r="66" spans="1:42" s="372" customFormat="1" ht="30.75" customHeight="1">
      <c r="A66" s="379">
        <f>_xlfn.AGGREGATE(4,7,A$22:A65)+1</f>
        <v>44</v>
      </c>
      <c r="B66" s="374" t="s">
        <v>1857</v>
      </c>
      <c r="C66" s="956" t="s">
        <v>942</v>
      </c>
      <c r="D66" s="434" t="s">
        <v>1656</v>
      </c>
      <c r="E66" s="428" t="s">
        <v>1358</v>
      </c>
      <c r="F66" s="81" t="str">
        <f>VLOOKUP(B66,TH.T4!B64:J394,9,FALSE)</f>
        <v>Nhân viên phòng Thanh tra GD - Quan hệ DN</v>
      </c>
      <c r="G66" s="366">
        <v>4.32</v>
      </c>
      <c r="H66" s="367"/>
      <c r="I66" s="368">
        <f t="shared" si="0"/>
        <v>4.32</v>
      </c>
      <c r="J66" s="368"/>
      <c r="K66" s="369">
        <f t="shared" si="1"/>
        <v>4.32</v>
      </c>
      <c r="L66" s="362">
        <f t="shared" si="2"/>
        <v>7776000.0000000009</v>
      </c>
      <c r="M66" s="366" t="str">
        <f>VLOOKUP(B66,'[13]Gui chi Quynh'!$B$11:$E$400,4,FALSE)</f>
        <v>A4</v>
      </c>
      <c r="N66" s="494">
        <f t="shared" si="3"/>
        <v>7776000.0000000009</v>
      </c>
      <c r="O66" s="366">
        <v>22</v>
      </c>
      <c r="P66" s="440">
        <f>IFERROR(INDEX('[14]CN BC'!$J$10:$J$276,MATCH(B66,'[14]CN BC'!$H$10:$H$276,0)),"")</f>
        <v>24</v>
      </c>
      <c r="Q66" s="494">
        <f t="shared" si="4"/>
        <v>7776000.0000000009</v>
      </c>
      <c r="R66" s="460"/>
      <c r="S66" s="362">
        <f t="shared" si="13"/>
        <v>0</v>
      </c>
      <c r="T66" s="370"/>
      <c r="U66" s="362">
        <f t="shared" si="5"/>
        <v>0</v>
      </c>
      <c r="V66" s="584">
        <f t="shared" si="6"/>
        <v>77760</v>
      </c>
      <c r="W66" s="371">
        <f t="shared" si="9"/>
        <v>7776000.0000000009</v>
      </c>
      <c r="X66" s="977">
        <f t="shared" si="10"/>
        <v>4.32</v>
      </c>
      <c r="Y66" s="491">
        <v>1800000</v>
      </c>
      <c r="Z66" s="663">
        <f t="shared" si="8"/>
        <v>7776000.0000000009</v>
      </c>
      <c r="AA66" s="568">
        <f t="shared" si="7"/>
        <v>44</v>
      </c>
      <c r="AB66" s="493">
        <f>IFERROR(INDEX('[14]CN BC'!$M$10:$M$276,MATCH(B66,'[14]CN BC'!$H$10:$H$276,0)),"")</f>
        <v>0</v>
      </c>
      <c r="AC66" s="141" t="str">
        <f>VLOOKUP(B66,TH.T4!B64:AC394,28,FALSE)</f>
        <v>TTrGD</v>
      </c>
      <c r="AD66" s="108"/>
      <c r="AE66" s="108"/>
      <c r="AF66" s="155"/>
      <c r="AG66" s="108"/>
      <c r="AH66" s="108"/>
      <c r="AI66" s="108"/>
      <c r="AJ66" s="108"/>
      <c r="AK66" s="108"/>
      <c r="AL66" s="108"/>
    </row>
    <row r="67" spans="1:42" s="372" customFormat="1" ht="30.75" customHeight="1">
      <c r="A67" s="379">
        <f>_xlfn.AGGREGATE(4,7,A$22:A66)+1</f>
        <v>45</v>
      </c>
      <c r="B67" s="374" t="s">
        <v>1851</v>
      </c>
      <c r="C67" s="956" t="s">
        <v>886</v>
      </c>
      <c r="D67" s="406" t="s">
        <v>1632</v>
      </c>
      <c r="E67" s="429" t="s">
        <v>1575</v>
      </c>
      <c r="F67" s="81" t="str">
        <f>VLOOKUP(B67,TH.T4!B65:J395,9,FALSE)</f>
        <v>Nhân viên phòng Thanh tra GD - Quan hệ DN</v>
      </c>
      <c r="G67" s="373">
        <v>3.66</v>
      </c>
      <c r="H67" s="367"/>
      <c r="I67" s="445">
        <f t="shared" si="0"/>
        <v>3.66</v>
      </c>
      <c r="J67" s="368"/>
      <c r="K67" s="369">
        <f t="shared" si="1"/>
        <v>3.66</v>
      </c>
      <c r="L67" s="362">
        <f t="shared" si="2"/>
        <v>6588000</v>
      </c>
      <c r="M67" s="366" t="str">
        <f>VLOOKUP(B67,'[13]Gui chi Quynh'!$B$11:$E$400,4,FALSE)</f>
        <v>A4</v>
      </c>
      <c r="N67" s="494">
        <f t="shared" si="3"/>
        <v>6588000</v>
      </c>
      <c r="O67" s="366">
        <v>22</v>
      </c>
      <c r="P67" s="440">
        <f>IFERROR(INDEX('[14]CN BC'!$J$10:$J$276,MATCH(B67,'[14]CN BC'!$H$10:$H$276,0)),"")</f>
        <v>24</v>
      </c>
      <c r="Q67" s="494">
        <f t="shared" si="4"/>
        <v>6588000</v>
      </c>
      <c r="R67" s="392"/>
      <c r="S67" s="362">
        <f t="shared" si="13"/>
        <v>0</v>
      </c>
      <c r="T67" s="370"/>
      <c r="U67" s="362">
        <f t="shared" si="5"/>
        <v>0</v>
      </c>
      <c r="V67" s="584">
        <f t="shared" si="6"/>
        <v>65880</v>
      </c>
      <c r="W67" s="371">
        <f t="shared" si="9"/>
        <v>6588000</v>
      </c>
      <c r="X67" s="977">
        <f t="shared" si="10"/>
        <v>3.66</v>
      </c>
      <c r="Y67" s="491">
        <v>1800000</v>
      </c>
      <c r="Z67" s="663">
        <f t="shared" si="8"/>
        <v>6588000</v>
      </c>
      <c r="AA67" s="568">
        <f t="shared" si="7"/>
        <v>45</v>
      </c>
      <c r="AB67" s="493">
        <f>IFERROR(INDEX('[14]CN BC'!$M$10:$M$276,MATCH(B67,'[14]CN BC'!$H$10:$H$276,0)),"")</f>
        <v>0</v>
      </c>
      <c r="AC67" s="141" t="str">
        <f>VLOOKUP(B67,TH.T4!B65:AC395,28,FALSE)</f>
        <v>TTrGD</v>
      </c>
      <c r="AD67" s="108"/>
      <c r="AE67" s="108"/>
      <c r="AF67" s="155"/>
      <c r="AG67" s="108"/>
      <c r="AH67" s="108"/>
      <c r="AI67" s="108"/>
      <c r="AJ67" s="108"/>
      <c r="AK67" s="108"/>
      <c r="AL67" s="108"/>
      <c r="AM67" s="108"/>
      <c r="AN67" s="108"/>
      <c r="AO67" s="108"/>
      <c r="AP67" s="108"/>
    </row>
    <row r="68" spans="1:42" s="372" customFormat="1" ht="30.75" customHeight="1">
      <c r="A68" s="379">
        <f>_xlfn.AGGREGATE(4,7,A$22:A67)+1</f>
        <v>46</v>
      </c>
      <c r="B68" s="374" t="s">
        <v>1561</v>
      </c>
      <c r="C68" s="956" t="s">
        <v>915</v>
      </c>
      <c r="D68" s="434" t="s">
        <v>1657</v>
      </c>
      <c r="E68" s="422" t="s">
        <v>1562</v>
      </c>
      <c r="F68" s="81" t="str">
        <f>VLOOKUP(B68,TH.T4!B66:J396,9,FALSE)</f>
        <v>Nhân viên phòng Tuyển sinh - Đào tạo</v>
      </c>
      <c r="G68" s="373">
        <v>3.66</v>
      </c>
      <c r="H68" s="367"/>
      <c r="I68" s="368">
        <f t="shared" si="0"/>
        <v>3.66</v>
      </c>
      <c r="J68" s="368"/>
      <c r="K68" s="369">
        <f t="shared" si="1"/>
        <v>3.66</v>
      </c>
      <c r="L68" s="362">
        <f t="shared" si="2"/>
        <v>6588000</v>
      </c>
      <c r="M68" s="366" t="str">
        <f>VLOOKUP(B68,'[13]Gui chi Quynh'!$B$11:$E$400,4,FALSE)</f>
        <v>A3</v>
      </c>
      <c r="N68" s="494">
        <f t="shared" si="3"/>
        <v>7905600</v>
      </c>
      <c r="O68" s="366">
        <v>22</v>
      </c>
      <c r="P68" s="440">
        <f>IFERROR(INDEX('[14]CN BC'!$J$10:$J$276,MATCH(B68,'[14]CN BC'!$H$10:$H$276,0)),"")</f>
        <v>24</v>
      </c>
      <c r="Q68" s="494">
        <f t="shared" si="4"/>
        <v>7905600</v>
      </c>
      <c r="R68" s="460"/>
      <c r="S68" s="362">
        <f t="shared" si="13"/>
        <v>0</v>
      </c>
      <c r="T68" s="370"/>
      <c r="U68" s="362">
        <f t="shared" si="5"/>
        <v>0</v>
      </c>
      <c r="V68" s="584">
        <f t="shared" si="6"/>
        <v>65880</v>
      </c>
      <c r="W68" s="371">
        <f t="shared" si="9"/>
        <v>7905600</v>
      </c>
      <c r="X68" s="977">
        <f t="shared" si="10"/>
        <v>4.3920000000000003</v>
      </c>
      <c r="Y68" s="491">
        <v>1800000</v>
      </c>
      <c r="Z68" s="663">
        <f t="shared" si="8"/>
        <v>7905600.0000000009</v>
      </c>
      <c r="AA68" s="568">
        <f t="shared" si="7"/>
        <v>46</v>
      </c>
      <c r="AB68" s="493">
        <f>IFERROR(INDEX('[14]CN BC'!$M$10:$M$276,MATCH(B68,'[14]CN BC'!$H$10:$H$276,0)),"")</f>
        <v>0</v>
      </c>
      <c r="AC68" s="141" t="str">
        <f>VLOOKUP(B68,TH.T4!B66:AC396,28,FALSE)</f>
        <v>TSĐT</v>
      </c>
      <c r="AD68" s="108"/>
      <c r="AE68" s="108"/>
      <c r="AF68" s="487"/>
    </row>
    <row r="69" spans="1:42" s="372" customFormat="1" ht="30.75" customHeight="1">
      <c r="A69" s="379">
        <f>_xlfn.AGGREGATE(4,7,A$22:A68)+1</f>
        <v>47</v>
      </c>
      <c r="B69" s="374" t="s">
        <v>1463</v>
      </c>
      <c r="C69" s="956" t="s">
        <v>1030</v>
      </c>
      <c r="D69" s="434" t="s">
        <v>1617</v>
      </c>
      <c r="E69" s="423" t="s">
        <v>1573</v>
      </c>
      <c r="F69" s="81" t="str">
        <f>VLOOKUP(B69,TH.T4!B67:J397,9,FALSE)</f>
        <v>Trưởng phòng Tuyển sinh - Đào tạo</v>
      </c>
      <c r="G69" s="373">
        <v>4.74</v>
      </c>
      <c r="H69" s="367"/>
      <c r="I69" s="368">
        <f t="shared" si="0"/>
        <v>4.74</v>
      </c>
      <c r="J69" s="368">
        <v>0.45</v>
      </c>
      <c r="K69" s="369">
        <f t="shared" si="1"/>
        <v>5.19</v>
      </c>
      <c r="L69" s="362">
        <f t="shared" si="2"/>
        <v>9342000</v>
      </c>
      <c r="M69" s="366" t="str">
        <f>VLOOKUP(B69,'[13]Gui chi Quynh'!$B$11:$E$400,4,FALSE)</f>
        <v>A1</v>
      </c>
      <c r="N69" s="494">
        <f t="shared" si="3"/>
        <v>14947200</v>
      </c>
      <c r="O69" s="366">
        <v>22</v>
      </c>
      <c r="P69" s="440">
        <f>IFERROR(INDEX('[14]CN BC'!$J$10:$J$276,MATCH(B69,'[14]CN BC'!$H$10:$H$276,0)),"")</f>
        <v>25.5</v>
      </c>
      <c r="Q69" s="494">
        <f t="shared" si="4"/>
        <v>14947200</v>
      </c>
      <c r="R69" s="460"/>
      <c r="S69" s="362">
        <f>R69*$H$19*1.6</f>
        <v>0</v>
      </c>
      <c r="T69" s="370"/>
      <c r="U69" s="362">
        <f t="shared" si="5"/>
        <v>0</v>
      </c>
      <c r="V69" s="584">
        <f t="shared" si="6"/>
        <v>93420</v>
      </c>
      <c r="W69" s="371">
        <f t="shared" si="9"/>
        <v>14947200</v>
      </c>
      <c r="X69" s="977">
        <f t="shared" si="10"/>
        <v>8.3040000000000003</v>
      </c>
      <c r="Y69" s="491">
        <v>1800000</v>
      </c>
      <c r="Z69" s="663">
        <f t="shared" si="8"/>
        <v>14947200</v>
      </c>
      <c r="AA69" s="568">
        <f t="shared" si="7"/>
        <v>47</v>
      </c>
      <c r="AB69" s="493">
        <f>IFERROR(INDEX('[14]CN BC'!$M$10:$M$276,MATCH(B69,'[14]CN BC'!$H$10:$H$276,0)),"")</f>
        <v>0</v>
      </c>
      <c r="AC69" s="141" t="str">
        <f>VLOOKUP(B69,TH.T4!B67:AC397,28,FALSE)</f>
        <v>TSĐT</v>
      </c>
      <c r="AD69" s="154"/>
      <c r="AE69" s="108"/>
      <c r="AF69" s="155"/>
      <c r="AG69" s="108"/>
      <c r="AH69" s="108"/>
      <c r="AI69" s="108"/>
      <c r="AJ69" s="108"/>
      <c r="AK69" s="108"/>
      <c r="AL69" s="108"/>
    </row>
    <row r="70" spans="1:42" s="108" customFormat="1" ht="30.75" customHeight="1">
      <c r="A70" s="379">
        <f>_xlfn.AGGREGATE(4,7,A$22:A69)+1</f>
        <v>48</v>
      </c>
      <c r="B70" s="45" t="s">
        <v>1902</v>
      </c>
      <c r="C70" s="961" t="s">
        <v>1056</v>
      </c>
      <c r="D70" s="406" t="s">
        <v>1785</v>
      </c>
      <c r="E70" s="424" t="s">
        <v>1391</v>
      </c>
      <c r="F70" s="81" t="str">
        <f>VLOOKUP(B70,TH.T4!B68:J398,9,FALSE)</f>
        <v>Phó TP. Tuyể sinh - Đào tạo</v>
      </c>
      <c r="G70" s="10">
        <v>4.32</v>
      </c>
      <c r="H70" s="157"/>
      <c r="I70" s="368">
        <f>G70+(G70*H70)</f>
        <v>4.32</v>
      </c>
      <c r="J70" s="81">
        <v>0.35</v>
      </c>
      <c r="K70" s="369">
        <f>I70+J70</f>
        <v>4.67</v>
      </c>
      <c r="L70" s="362">
        <f>K70*$H$19</f>
        <v>8406000</v>
      </c>
      <c r="M70" s="366" t="str">
        <f>VLOOKUP(B70,'[13]Gui chi Quynh'!$B$11:$E$400,4,FALSE)</f>
        <v>A2</v>
      </c>
      <c r="N70" s="494">
        <f>IF(M70="A1",L70*1.6,IF(M70="A2",L70*1.4,IF(M70="A3",L70*1.2,IF(M70="A4",L70*1,IF(M70="B1",L70*0.7,IF(M70="B2",L70*0.5,IF(M70="C1",L70*0.3,IF(M70="C2",L70*0.2,0))))))))</f>
        <v>11768400</v>
      </c>
      <c r="O70" s="366">
        <v>22</v>
      </c>
      <c r="P70" s="440">
        <f>IFERROR(INDEX('[14]CN BC'!$J$10:$J$276,MATCH(B70,'[14]CN BC'!$H$10:$H$276,0)),"")</f>
        <v>23</v>
      </c>
      <c r="Q70" s="494">
        <f>IF(P70&gt;=O70,N70,N70/O70*P70)</f>
        <v>11768400</v>
      </c>
      <c r="R70" s="392"/>
      <c r="S70" s="362">
        <f>R70*$H$19*1</f>
        <v>0</v>
      </c>
      <c r="T70" s="385"/>
      <c r="U70" s="362">
        <f>T70*$H$19*1</f>
        <v>0</v>
      </c>
      <c r="V70" s="584">
        <f>IF(OR(M70="A DN",M70="KXL", M70=""),"0",ROUND(K70*0.01*$H$19+R70*1%*$H$19+T70*1%*$H$19,))</f>
        <v>84060</v>
      </c>
      <c r="W70" s="371">
        <f t="shared" si="9"/>
        <v>11768400</v>
      </c>
      <c r="X70" s="977">
        <f t="shared" si="10"/>
        <v>6.5380000000000003</v>
      </c>
      <c r="Y70" s="491">
        <v>1800000</v>
      </c>
      <c r="Z70" s="663">
        <f t="shared" si="8"/>
        <v>11768400</v>
      </c>
      <c r="AA70" s="568">
        <f>A70</f>
        <v>48</v>
      </c>
      <c r="AB70" s="493">
        <f>IFERROR(INDEX('[14]CN BC'!$M$10:$M$276,MATCH(B70,'[14]CN BC'!$H$10:$H$276,0)),"")</f>
        <v>0</v>
      </c>
      <c r="AC70" s="141" t="str">
        <f>VLOOKUP(B70,TH.T4!B68:AC398,28,FALSE)</f>
        <v>TSĐT</v>
      </c>
      <c r="AF70" s="155"/>
    </row>
    <row r="71" spans="1:42" s="372" customFormat="1" ht="30.75" customHeight="1">
      <c r="A71" s="379">
        <f>_xlfn.AGGREGATE(4,7,A$22:A70)+1</f>
        <v>49</v>
      </c>
      <c r="B71" s="374" t="s">
        <v>1858</v>
      </c>
      <c r="C71" s="956" t="s">
        <v>929</v>
      </c>
      <c r="D71" s="434" t="s">
        <v>1659</v>
      </c>
      <c r="E71" s="423" t="s">
        <v>1285</v>
      </c>
      <c r="F71" s="81" t="str">
        <f>VLOOKUP(B71,TH.T4!B69:J399,9,FALSE)</f>
        <v>Nhân viên phòng TS - Đào tạo</v>
      </c>
      <c r="G71" s="366">
        <v>4.6500000000000004</v>
      </c>
      <c r="H71" s="367"/>
      <c r="I71" s="368">
        <f t="shared" si="0"/>
        <v>4.6500000000000004</v>
      </c>
      <c r="J71" s="368"/>
      <c r="K71" s="369">
        <f t="shared" si="1"/>
        <v>4.6500000000000004</v>
      </c>
      <c r="L71" s="362">
        <f t="shared" si="2"/>
        <v>8370000.0000000009</v>
      </c>
      <c r="M71" s="366" t="str">
        <f>VLOOKUP(B71,'[13]Gui chi Quynh'!$B$11:$E$400,4,FALSE)</f>
        <v>A2</v>
      </c>
      <c r="N71" s="494">
        <f t="shared" si="3"/>
        <v>11718000</v>
      </c>
      <c r="O71" s="366">
        <v>22</v>
      </c>
      <c r="P71" s="440">
        <f>IFERROR(INDEX('[14]CN BC'!$J$10:$J$276,MATCH(B71,'[14]CN BC'!$H$10:$H$276,0)),"")</f>
        <v>25</v>
      </c>
      <c r="Q71" s="494">
        <f t="shared" si="4"/>
        <v>11718000</v>
      </c>
      <c r="R71" s="460"/>
      <c r="S71" s="362">
        <f t="shared" si="13"/>
        <v>0</v>
      </c>
      <c r="T71" s="370"/>
      <c r="U71" s="362">
        <f t="shared" si="5"/>
        <v>0</v>
      </c>
      <c r="V71" s="584">
        <f t="shared" si="6"/>
        <v>83700</v>
      </c>
      <c r="W71" s="371">
        <f t="shared" si="9"/>
        <v>11718000</v>
      </c>
      <c r="X71" s="977">
        <f t="shared" si="10"/>
        <v>6.51</v>
      </c>
      <c r="Y71" s="491">
        <v>1800000</v>
      </c>
      <c r="Z71" s="663">
        <f t="shared" si="8"/>
        <v>11718000</v>
      </c>
      <c r="AA71" s="568">
        <f t="shared" si="7"/>
        <v>49</v>
      </c>
      <c r="AB71" s="493">
        <f>IFERROR(INDEX('[14]CN BC'!$M$10:$M$276,MATCH(B71,'[14]CN BC'!$H$10:$H$276,0)),"")</f>
        <v>0</v>
      </c>
      <c r="AC71" s="141" t="str">
        <f>VLOOKUP(B71,TH.T4!B69:AC399,28,FALSE)</f>
        <v>TSĐT</v>
      </c>
      <c r="AD71" s="108"/>
      <c r="AE71" s="108"/>
      <c r="AF71" s="155"/>
      <c r="AG71" s="108"/>
      <c r="AH71" s="108"/>
      <c r="AI71" s="108"/>
      <c r="AJ71" s="108"/>
      <c r="AK71" s="108"/>
      <c r="AL71" s="108"/>
    </row>
    <row r="72" spans="1:42" s="372" customFormat="1" ht="30.75" customHeight="1">
      <c r="A72" s="379">
        <f>_xlfn.AGGREGATE(4,7,A$22:A71)+1</f>
        <v>50</v>
      </c>
      <c r="B72" s="374" t="s">
        <v>1465</v>
      </c>
      <c r="C72" s="956" t="s">
        <v>1103</v>
      </c>
      <c r="D72" s="434" t="s">
        <v>1661</v>
      </c>
      <c r="E72" s="428">
        <v>1603205182394</v>
      </c>
      <c r="F72" s="81" t="str">
        <f>VLOOKUP(B72,TH.T4!B70:J400,9,FALSE)</f>
        <v>Nhân viên phòng TS - Đào tạo</v>
      </c>
      <c r="G72" s="366">
        <v>3.99</v>
      </c>
      <c r="H72" s="367"/>
      <c r="I72" s="368">
        <f t="shared" si="0"/>
        <v>3.99</v>
      </c>
      <c r="J72" s="368"/>
      <c r="K72" s="369">
        <f t="shared" si="1"/>
        <v>3.99</v>
      </c>
      <c r="L72" s="362">
        <f t="shared" si="2"/>
        <v>7182000</v>
      </c>
      <c r="M72" s="366" t="str">
        <f>VLOOKUP(B72,'[13]Gui chi Quynh'!$B$11:$E$400,4,FALSE)</f>
        <v>A2</v>
      </c>
      <c r="N72" s="494">
        <f t="shared" si="3"/>
        <v>10054800</v>
      </c>
      <c r="O72" s="366">
        <v>22</v>
      </c>
      <c r="P72" s="440">
        <f>IFERROR(INDEX('[14]CN BC'!$J$10:$J$276,MATCH(B72,'[14]CN BC'!$H$10:$H$276,0)),"")</f>
        <v>24</v>
      </c>
      <c r="Q72" s="494">
        <f t="shared" si="4"/>
        <v>10054800</v>
      </c>
      <c r="R72" s="460"/>
      <c r="S72" s="362">
        <f t="shared" si="13"/>
        <v>0</v>
      </c>
      <c r="T72" s="370"/>
      <c r="U72" s="362">
        <f t="shared" si="5"/>
        <v>0</v>
      </c>
      <c r="V72" s="584">
        <f t="shared" si="6"/>
        <v>71820</v>
      </c>
      <c r="W72" s="371">
        <f t="shared" si="9"/>
        <v>10054800</v>
      </c>
      <c r="X72" s="977">
        <f t="shared" si="10"/>
        <v>5.5860000000000003</v>
      </c>
      <c r="Y72" s="491">
        <v>1800000</v>
      </c>
      <c r="Z72" s="663">
        <f t="shared" si="8"/>
        <v>10054800</v>
      </c>
      <c r="AA72" s="568">
        <f t="shared" si="7"/>
        <v>50</v>
      </c>
      <c r="AB72" s="493">
        <f>IFERROR(INDEX('[14]CN BC'!$M$10:$M$276,MATCH(B72,'[14]CN BC'!$H$10:$H$276,0)),"")</f>
        <v>0</v>
      </c>
      <c r="AC72" s="141" t="str">
        <f>VLOOKUP(B72,TH.T4!B70:AC400,28,FALSE)</f>
        <v>TSĐT</v>
      </c>
      <c r="AD72" s="108"/>
      <c r="AE72" s="108"/>
      <c r="AF72" s="155"/>
      <c r="AG72" s="108"/>
      <c r="AH72" s="108"/>
      <c r="AI72" s="108"/>
      <c r="AJ72" s="108"/>
      <c r="AK72" s="108"/>
      <c r="AL72" s="108"/>
    </row>
    <row r="73" spans="1:42" s="372" customFormat="1" ht="30.75" customHeight="1">
      <c r="A73" s="379">
        <f>_xlfn.AGGREGATE(4,7,A$22:A72)+1</f>
        <v>51</v>
      </c>
      <c r="B73" s="374" t="s">
        <v>844</v>
      </c>
      <c r="C73" s="956" t="s">
        <v>267</v>
      </c>
      <c r="D73" s="434" t="s">
        <v>1662</v>
      </c>
      <c r="E73" s="428" t="s">
        <v>369</v>
      </c>
      <c r="F73" s="81" t="str">
        <f>VLOOKUP(B73,TH.T4!B71:J401,9,FALSE)</f>
        <v>Nhân viên phòng TS - Đào tạo</v>
      </c>
      <c r="G73" s="366">
        <v>3.33</v>
      </c>
      <c r="H73" s="367"/>
      <c r="I73" s="368">
        <f t="shared" si="0"/>
        <v>3.33</v>
      </c>
      <c r="J73" s="368"/>
      <c r="K73" s="369">
        <f t="shared" si="1"/>
        <v>3.33</v>
      </c>
      <c r="L73" s="362">
        <f t="shared" si="2"/>
        <v>5994000</v>
      </c>
      <c r="M73" s="366" t="str">
        <f>VLOOKUP(B73,'[13]Gui chi Quynh'!$B$11:$E$400,4,FALSE)</f>
        <v>A2</v>
      </c>
      <c r="N73" s="494">
        <f t="shared" si="3"/>
        <v>8391600</v>
      </c>
      <c r="O73" s="366">
        <v>22</v>
      </c>
      <c r="P73" s="440">
        <f>IFERROR(INDEX('[14]CN BC'!$J$10:$J$276,MATCH(B73,'[14]CN BC'!$H$10:$H$276,0)),"")</f>
        <v>24</v>
      </c>
      <c r="Q73" s="494">
        <f t="shared" si="4"/>
        <v>8391600</v>
      </c>
      <c r="R73" s="460">
        <v>0</v>
      </c>
      <c r="S73" s="362">
        <f t="shared" si="13"/>
        <v>0</v>
      </c>
      <c r="T73" s="370"/>
      <c r="U73" s="362">
        <f t="shared" si="5"/>
        <v>0</v>
      </c>
      <c r="V73" s="584">
        <f t="shared" si="6"/>
        <v>59940</v>
      </c>
      <c r="W73" s="371">
        <f t="shared" si="9"/>
        <v>8391600</v>
      </c>
      <c r="X73" s="977">
        <f t="shared" si="10"/>
        <v>4.6619999999999999</v>
      </c>
      <c r="Y73" s="491">
        <v>1800000</v>
      </c>
      <c r="Z73" s="663">
        <f t="shared" si="8"/>
        <v>8391600</v>
      </c>
      <c r="AA73" s="568">
        <f t="shared" si="7"/>
        <v>51</v>
      </c>
      <c r="AB73" s="493">
        <f>IFERROR(INDEX('[14]CN BC'!$M$10:$M$276,MATCH(B73,'[14]CN BC'!$H$10:$H$276,0)),"")</f>
        <v>0</v>
      </c>
      <c r="AC73" s="141" t="str">
        <f>VLOOKUP(B73,TH.T4!B71:AC401,28,FALSE)</f>
        <v>TSĐT</v>
      </c>
      <c r="AD73" s="108"/>
      <c r="AE73" s="108"/>
      <c r="AF73" s="155"/>
      <c r="AG73" s="108"/>
      <c r="AH73" s="108"/>
      <c r="AI73" s="108"/>
      <c r="AJ73" s="108"/>
      <c r="AK73" s="108"/>
      <c r="AL73" s="108"/>
    </row>
    <row r="74" spans="1:42" s="372" customFormat="1" ht="30.75" customHeight="1">
      <c r="A74" s="379">
        <f>_xlfn.AGGREGATE(4,7,A$22:A73)+1</f>
        <v>52</v>
      </c>
      <c r="B74" s="374" t="s">
        <v>1557</v>
      </c>
      <c r="C74" s="960" t="s">
        <v>272</v>
      </c>
      <c r="D74" s="434" t="s">
        <v>1664</v>
      </c>
      <c r="E74" s="430">
        <v>1603205182762</v>
      </c>
      <c r="F74" s="81" t="str">
        <f>VLOOKUP(B74,TH.T4!B72:J402,9,FALSE)</f>
        <v>Nhân viên phòng TS - Đào tạo</v>
      </c>
      <c r="G74" s="373">
        <v>3.96</v>
      </c>
      <c r="H74" s="374"/>
      <c r="I74" s="368">
        <f t="shared" si="0"/>
        <v>3.96</v>
      </c>
      <c r="J74" s="366"/>
      <c r="K74" s="369">
        <f t="shared" si="1"/>
        <v>3.96</v>
      </c>
      <c r="L74" s="362">
        <f t="shared" si="2"/>
        <v>7128000</v>
      </c>
      <c r="M74" s="366" t="str">
        <f>VLOOKUP(B74,'[13]Gui chi Quynh'!$B$11:$E$400,4,FALSE)</f>
        <v>A1</v>
      </c>
      <c r="N74" s="494">
        <f t="shared" si="3"/>
        <v>11404800</v>
      </c>
      <c r="O74" s="366">
        <v>22</v>
      </c>
      <c r="P74" s="440">
        <f>IFERROR(INDEX('[14]CN BC'!$J$10:$J$276,MATCH(B74,'[14]CN BC'!$H$10:$H$276,0)),"")</f>
        <v>25</v>
      </c>
      <c r="Q74" s="494">
        <f t="shared" si="4"/>
        <v>11404800</v>
      </c>
      <c r="R74" s="476"/>
      <c r="S74" s="362">
        <f t="shared" si="13"/>
        <v>0</v>
      </c>
      <c r="T74" s="370"/>
      <c r="U74" s="362">
        <f t="shared" si="5"/>
        <v>0</v>
      </c>
      <c r="V74" s="584">
        <f t="shared" si="6"/>
        <v>71280</v>
      </c>
      <c r="W74" s="371">
        <f t="shared" si="9"/>
        <v>11404800</v>
      </c>
      <c r="X74" s="977">
        <f t="shared" si="10"/>
        <v>6.3360000000000003</v>
      </c>
      <c r="Y74" s="491">
        <v>1800000</v>
      </c>
      <c r="Z74" s="663">
        <f t="shared" si="8"/>
        <v>11404800</v>
      </c>
      <c r="AA74" s="568">
        <f t="shared" si="7"/>
        <v>52</v>
      </c>
      <c r="AB74" s="493">
        <f>IFERROR(INDEX('[14]CN BC'!$M$10:$M$276,MATCH(B74,'[14]CN BC'!$H$10:$H$276,0)),"")</f>
        <v>0</v>
      </c>
      <c r="AC74" s="141" t="str">
        <f>VLOOKUP(B74,TH.T4!B72:AC402,28,FALSE)</f>
        <v>TSĐT</v>
      </c>
      <c r="AD74" s="108"/>
      <c r="AE74" s="108"/>
      <c r="AF74" s="155"/>
      <c r="AG74" s="108"/>
      <c r="AH74" s="108"/>
      <c r="AI74" s="108"/>
      <c r="AJ74" s="108"/>
      <c r="AK74" s="108"/>
      <c r="AL74" s="108"/>
    </row>
    <row r="75" spans="1:42" s="372" customFormat="1" ht="30.75" customHeight="1">
      <c r="A75" s="379">
        <f>_xlfn.AGGREGATE(4,7,A$22:A74)+1</f>
        <v>53</v>
      </c>
      <c r="B75" s="374" t="s">
        <v>1524</v>
      </c>
      <c r="C75" s="956" t="s">
        <v>883</v>
      </c>
      <c r="D75" s="434" t="s">
        <v>1666</v>
      </c>
      <c r="E75" s="428">
        <v>1603205182178</v>
      </c>
      <c r="F75" s="81" t="str">
        <f>VLOOKUP(B75,TH.T4!B73:J403,9,FALSE)</f>
        <v>Nhân viên phòng TS - Đào tạo</v>
      </c>
      <c r="G75" s="366">
        <v>3.66</v>
      </c>
      <c r="H75" s="367"/>
      <c r="I75" s="368">
        <f t="shared" si="0"/>
        <v>3.66</v>
      </c>
      <c r="J75" s="368"/>
      <c r="K75" s="369">
        <f t="shared" si="1"/>
        <v>3.66</v>
      </c>
      <c r="L75" s="362">
        <f t="shared" si="2"/>
        <v>6588000</v>
      </c>
      <c r="M75" s="366" t="str">
        <f>VLOOKUP(B75,'[13]Gui chi Quynh'!$B$11:$E$400,4,FALSE)</f>
        <v>A3</v>
      </c>
      <c r="N75" s="494">
        <f t="shared" si="3"/>
        <v>7905600</v>
      </c>
      <c r="O75" s="366">
        <v>22</v>
      </c>
      <c r="P75" s="440">
        <f>IFERROR(INDEX('[14]CN BC'!$J$10:$J$276,MATCH(B75,'[14]CN BC'!$H$10:$H$276,0)),"")</f>
        <v>23.5</v>
      </c>
      <c r="Q75" s="494">
        <f t="shared" si="4"/>
        <v>7905600</v>
      </c>
      <c r="R75" s="460"/>
      <c r="S75" s="362">
        <f>R75*$H$19*1.6</f>
        <v>0</v>
      </c>
      <c r="T75" s="370"/>
      <c r="U75" s="362">
        <f t="shared" si="5"/>
        <v>0</v>
      </c>
      <c r="V75" s="584">
        <f t="shared" si="6"/>
        <v>65880</v>
      </c>
      <c r="W75" s="371">
        <f t="shared" si="9"/>
        <v>7905600</v>
      </c>
      <c r="X75" s="977">
        <f t="shared" si="10"/>
        <v>4.3920000000000003</v>
      </c>
      <c r="Y75" s="491">
        <v>1800000</v>
      </c>
      <c r="Z75" s="663">
        <f t="shared" si="8"/>
        <v>7905600.0000000009</v>
      </c>
      <c r="AA75" s="568">
        <f t="shared" si="7"/>
        <v>53</v>
      </c>
      <c r="AB75" s="493">
        <f>IFERROR(INDEX('[14]CN BC'!$M$10:$M$276,MATCH(B75,'[14]CN BC'!$H$10:$H$276,0)),"")</f>
        <v>0</v>
      </c>
      <c r="AC75" s="141" t="str">
        <f>VLOOKUP(B75,TH.T4!B73:AC403,28,FALSE)</f>
        <v>TSĐT</v>
      </c>
      <c r="AD75" s="108"/>
      <c r="AE75" s="108"/>
      <c r="AF75" s="155"/>
    </row>
    <row r="76" spans="1:42" s="372" customFormat="1" ht="30.75" customHeight="1">
      <c r="A76" s="379">
        <f>_xlfn.AGGREGATE(4,7,A$22:A75)+1</f>
        <v>54</v>
      </c>
      <c r="B76" s="957" t="s">
        <v>1860</v>
      </c>
      <c r="C76" s="957" t="s">
        <v>1601</v>
      </c>
      <c r="D76" s="418" t="s">
        <v>1667</v>
      </c>
      <c r="E76" s="426">
        <v>1603205351697</v>
      </c>
      <c r="F76" s="81" t="str">
        <f>VLOOKUP(B76,TH.T4!B74:J404,9,FALSE)</f>
        <v>Nhân viên phòng TS - Đào tạo</v>
      </c>
      <c r="G76" s="373">
        <v>3.33</v>
      </c>
      <c r="H76" s="367"/>
      <c r="I76" s="445">
        <f t="shared" si="0"/>
        <v>3.33</v>
      </c>
      <c r="J76" s="368"/>
      <c r="K76" s="369">
        <f t="shared" si="1"/>
        <v>3.33</v>
      </c>
      <c r="L76" s="362">
        <f t="shared" si="2"/>
        <v>5994000</v>
      </c>
      <c r="M76" s="366" t="str">
        <f>VLOOKUP(B76,'[13]Gui chi Quynh'!$B$11:$E$400,4,FALSE)</f>
        <v>A1</v>
      </c>
      <c r="N76" s="494">
        <f t="shared" si="3"/>
        <v>9590400</v>
      </c>
      <c r="O76" s="366">
        <v>22</v>
      </c>
      <c r="P76" s="440">
        <f>IFERROR(INDEX('[14]CN BC'!$J$10:$J$276,MATCH(B76,'[14]CN BC'!$H$10:$H$276,0)),"")</f>
        <v>24.5</v>
      </c>
      <c r="Q76" s="494">
        <f t="shared" si="4"/>
        <v>9590400</v>
      </c>
      <c r="R76" s="460"/>
      <c r="S76" s="362">
        <f>R76*$H$19*1</f>
        <v>0</v>
      </c>
      <c r="T76" s="370"/>
      <c r="U76" s="362">
        <f t="shared" si="5"/>
        <v>0</v>
      </c>
      <c r="V76" s="584">
        <f t="shared" si="6"/>
        <v>59940</v>
      </c>
      <c r="W76" s="371">
        <f t="shared" si="9"/>
        <v>9590400</v>
      </c>
      <c r="X76" s="977">
        <f t="shared" si="10"/>
        <v>5.3280000000000003</v>
      </c>
      <c r="Y76" s="491">
        <v>1800000</v>
      </c>
      <c r="Z76" s="663">
        <f t="shared" si="8"/>
        <v>9590400</v>
      </c>
      <c r="AA76" s="568">
        <f t="shared" si="7"/>
        <v>54</v>
      </c>
      <c r="AB76" s="493">
        <f>IFERROR(INDEX('[14]CN BC'!$M$10:$M$276,MATCH(B76,'[14]CN BC'!$H$10:$H$276,0)),"")</f>
        <v>0</v>
      </c>
      <c r="AC76" s="141" t="str">
        <f>VLOOKUP(B76,TH.T4!B74:AC404,28,FALSE)</f>
        <v>TSĐT</v>
      </c>
      <c r="AD76" s="471"/>
      <c r="AE76" s="108"/>
      <c r="AF76" s="155"/>
      <c r="AG76" s="108"/>
      <c r="AH76" s="108"/>
      <c r="AI76" s="108"/>
      <c r="AJ76" s="108"/>
      <c r="AK76" s="108"/>
      <c r="AL76" s="108"/>
    </row>
    <row r="77" spans="1:42" s="372" customFormat="1" ht="30.75" customHeight="1">
      <c r="A77" s="379">
        <f>_xlfn.AGGREGATE(4,7,A$22:A76)+1</f>
        <v>55</v>
      </c>
      <c r="B77" s="374" t="s">
        <v>1484</v>
      </c>
      <c r="C77" s="959" t="s">
        <v>979</v>
      </c>
      <c r="D77" s="434" t="s">
        <v>1649</v>
      </c>
      <c r="E77" s="426">
        <v>1603205357194</v>
      </c>
      <c r="F77" s="81" t="str">
        <f>VLOOKUP(B77,TH.T4!B75:J405,9,FALSE)</f>
        <v>Nhân viên phòng Tuyển sinh - Đào tạo</v>
      </c>
      <c r="G77" s="489">
        <v>3.33</v>
      </c>
      <c r="H77" s="367"/>
      <c r="I77" s="445">
        <f t="shared" si="0"/>
        <v>3.33</v>
      </c>
      <c r="J77" s="368"/>
      <c r="K77" s="369">
        <f t="shared" si="1"/>
        <v>3.33</v>
      </c>
      <c r="L77" s="362">
        <f t="shared" si="2"/>
        <v>5994000</v>
      </c>
      <c r="M77" s="366" t="str">
        <f>VLOOKUP(B77,'[13]Gui chi Quynh'!$B$11:$E$400,4,FALSE)</f>
        <v>A3</v>
      </c>
      <c r="N77" s="494">
        <f t="shared" si="3"/>
        <v>7192800</v>
      </c>
      <c r="O77" s="366">
        <v>22</v>
      </c>
      <c r="P77" s="440">
        <f>IFERROR(INDEX('[14]CN BC'!$J$10:$J$276,MATCH(B77,'[14]CN BC'!$H$10:$H$276,0)),"")</f>
        <v>25.5</v>
      </c>
      <c r="Q77" s="494">
        <f t="shared" si="4"/>
        <v>7192800</v>
      </c>
      <c r="R77" s="460"/>
      <c r="S77" s="362">
        <f>R77*$H$19*1</f>
        <v>0</v>
      </c>
      <c r="T77" s="370"/>
      <c r="U77" s="362">
        <f t="shared" si="5"/>
        <v>0</v>
      </c>
      <c r="V77" s="584">
        <f t="shared" si="6"/>
        <v>59940</v>
      </c>
      <c r="W77" s="371">
        <f t="shared" si="9"/>
        <v>7192800</v>
      </c>
      <c r="X77" s="977">
        <f t="shared" si="10"/>
        <v>3.996</v>
      </c>
      <c r="Y77" s="491">
        <v>1800000</v>
      </c>
      <c r="Z77" s="663">
        <f t="shared" si="8"/>
        <v>7192800</v>
      </c>
      <c r="AA77" s="568">
        <f t="shared" si="7"/>
        <v>55</v>
      </c>
      <c r="AB77" s="493">
        <f>IFERROR(INDEX('[14]CN BC'!$M$10:$M$276,MATCH(B77,'[14]CN BC'!$H$10:$H$276,0)),"")</f>
        <v>0</v>
      </c>
      <c r="AC77" s="141" t="str">
        <f>VLOOKUP(B77,TH.T4!B75:AC405,28,FALSE)</f>
        <v>KTĐBCL</v>
      </c>
      <c r="AD77" s="108"/>
      <c r="AE77" s="108"/>
      <c r="AF77" s="155"/>
    </row>
    <row r="78" spans="1:42" s="108" customFormat="1" ht="30.75" customHeight="1">
      <c r="A78" s="379">
        <f>_xlfn.AGGREGATE(4,7,A$22:A77)+1</f>
        <v>56</v>
      </c>
      <c r="B78" s="45" t="s">
        <v>1861</v>
      </c>
      <c r="C78" s="958" t="s">
        <v>1026</v>
      </c>
      <c r="D78" s="406" t="s">
        <v>1668</v>
      </c>
      <c r="E78" s="424" t="s">
        <v>1361</v>
      </c>
      <c r="F78" s="81" t="str">
        <f>VLOOKUP(B78,TH.T4!B76:J406,9,FALSE)</f>
        <v>Trưởng phòng Khảo thí và ĐBCL</v>
      </c>
      <c r="G78" s="10">
        <v>4.6500000000000004</v>
      </c>
      <c r="H78" s="157"/>
      <c r="I78" s="368">
        <f t="shared" si="0"/>
        <v>4.6500000000000004</v>
      </c>
      <c r="J78" s="368">
        <v>0.45</v>
      </c>
      <c r="K78" s="369">
        <f t="shared" si="1"/>
        <v>5.1000000000000005</v>
      </c>
      <c r="L78" s="362">
        <f t="shared" si="2"/>
        <v>9180000.0000000019</v>
      </c>
      <c r="M78" s="366" t="str">
        <f>VLOOKUP(B78,'[13]Gui chi Quynh'!$B$11:$E$400,4,FALSE)</f>
        <v>A2</v>
      </c>
      <c r="N78" s="494">
        <f t="shared" si="3"/>
        <v>12852000.000000002</v>
      </c>
      <c r="O78" s="366">
        <v>22</v>
      </c>
      <c r="P78" s="440">
        <f>IFERROR(INDEX('[14]CN BC'!$J$10:$J$276,MATCH(B78,'[14]CN BC'!$H$10:$H$276,0)),"")</f>
        <v>25</v>
      </c>
      <c r="Q78" s="494">
        <f t="shared" si="4"/>
        <v>12852000.000000002</v>
      </c>
      <c r="R78" s="392"/>
      <c r="S78" s="362">
        <f>R78*$H$19*1</f>
        <v>0</v>
      </c>
      <c r="T78" s="385"/>
      <c r="U78" s="362">
        <f t="shared" si="5"/>
        <v>0</v>
      </c>
      <c r="V78" s="584">
        <f t="shared" si="6"/>
        <v>91800</v>
      </c>
      <c r="W78" s="371">
        <f t="shared" si="9"/>
        <v>12852000.000000002</v>
      </c>
      <c r="X78" s="977">
        <f t="shared" si="10"/>
        <v>7.1400000000000015</v>
      </c>
      <c r="Y78" s="491">
        <v>1800000</v>
      </c>
      <c r="Z78" s="663">
        <f t="shared" si="8"/>
        <v>12852000.000000002</v>
      </c>
      <c r="AA78" s="568">
        <f t="shared" si="7"/>
        <v>56</v>
      </c>
      <c r="AB78" s="493">
        <f>IFERROR(INDEX('[14]CN BC'!$M$10:$M$276,MATCH(B78,'[14]CN BC'!$H$10:$H$276,0)),"")</f>
        <v>0</v>
      </c>
      <c r="AC78" s="141" t="str">
        <f>VLOOKUP(B78,TH.T4!B76:AC406,28,FALSE)</f>
        <v>KTĐBCL</v>
      </c>
      <c r="AF78" s="155"/>
    </row>
    <row r="79" spans="1:42" s="108" customFormat="1" ht="30.75" customHeight="1">
      <c r="A79" s="379">
        <f>_xlfn.AGGREGATE(4,7,A$22:A78)+1</f>
        <v>57</v>
      </c>
      <c r="B79" s="45" t="s">
        <v>1853</v>
      </c>
      <c r="C79" s="958" t="s">
        <v>912</v>
      </c>
      <c r="D79" s="406" t="s">
        <v>1639</v>
      </c>
      <c r="E79" s="424" t="s">
        <v>1271</v>
      </c>
      <c r="F79" s="81" t="str">
        <f>VLOOKUP(B79,TH.T4!B77:J407,9,FALSE)</f>
        <v>Phó TP. Kế hoạch - Tài chính</v>
      </c>
      <c r="G79" s="366">
        <v>4.32</v>
      </c>
      <c r="H79" s="157"/>
      <c r="I79" s="368">
        <f>G79+(G79*H79)</f>
        <v>4.32</v>
      </c>
      <c r="J79" s="81">
        <v>0.35</v>
      </c>
      <c r="K79" s="369">
        <f>I79+J79</f>
        <v>4.67</v>
      </c>
      <c r="L79" s="362">
        <f>K79*$H$19</f>
        <v>8406000</v>
      </c>
      <c r="M79" s="366" t="str">
        <f>VLOOKUP(B79,'[13]Gui chi Quynh'!$B$11:$E$400,4,FALSE)</f>
        <v>A2</v>
      </c>
      <c r="N79" s="494">
        <f>IF(M79="A1",L79*1.6,IF(M79="A2",L79*1.4,IF(M79="A3",L79*1.2,IF(M79="A4",L79*1,IF(M79="B1",L79*0.7,IF(M79="B2",L79*0.5,IF(M79="C1",L79*0.3,IF(M79="C2",L79*0.2,0))))))))</f>
        <v>11768400</v>
      </c>
      <c r="O79" s="366">
        <v>22</v>
      </c>
      <c r="P79" s="440">
        <f>IFERROR(INDEX('[14]CN BC'!$J$10:$J$276,MATCH(B79,'[14]CN BC'!$H$10:$H$276,0)),"")</f>
        <v>25</v>
      </c>
      <c r="Q79" s="494">
        <f>IF(P79&gt;=O79,N79,N79/O79*P79)</f>
        <v>11768400</v>
      </c>
      <c r="R79" s="392"/>
      <c r="S79" s="362">
        <f>R79*$H$19*1</f>
        <v>0</v>
      </c>
      <c r="T79" s="385"/>
      <c r="U79" s="362">
        <f>T79*$H$19*1</f>
        <v>0</v>
      </c>
      <c r="V79" s="584">
        <f>IF(OR(M79="A DN",M79="KXL", M79=""),"0",ROUND(K79*0.01*$H$19+R79*1%*$H$19+T79*1%*$H$19,))</f>
        <v>84060</v>
      </c>
      <c r="W79" s="371">
        <f t="shared" si="9"/>
        <v>11768400</v>
      </c>
      <c r="X79" s="977">
        <f t="shared" si="10"/>
        <v>6.5380000000000003</v>
      </c>
      <c r="Y79" s="491">
        <v>1800000</v>
      </c>
      <c r="Z79" s="663">
        <f t="shared" si="8"/>
        <v>11768400</v>
      </c>
      <c r="AA79" s="568">
        <f>A79</f>
        <v>57</v>
      </c>
      <c r="AB79" s="493">
        <f>IFERROR(INDEX('[14]CN BC'!$M$10:$M$276,MATCH(B79,'[14]CN BC'!$H$10:$H$276,0)),"")</f>
        <v>0</v>
      </c>
      <c r="AC79" s="141" t="str">
        <f>VLOOKUP(B79,TH.T4!B77:AC407,28,FALSE)</f>
        <v>KTĐBCL</v>
      </c>
      <c r="AD79" s="141"/>
      <c r="AF79" s="155"/>
    </row>
    <row r="80" spans="1:42" s="372" customFormat="1" ht="30.75" customHeight="1">
      <c r="A80" s="379">
        <f>_xlfn.AGGREGATE(4,7,A$22:A79)+1</f>
        <v>58</v>
      </c>
      <c r="B80" s="374" t="s">
        <v>1862</v>
      </c>
      <c r="C80" s="956" t="s">
        <v>499</v>
      </c>
      <c r="D80" s="434" t="s">
        <v>1669</v>
      </c>
      <c r="E80" s="423" t="s">
        <v>497</v>
      </c>
      <c r="F80" s="81" t="str">
        <f>VLOOKUP(B80,TH.T4!B78:J408,9,FALSE)</f>
        <v>Nhân viên phòng Khảo thí và ĐBCL</v>
      </c>
      <c r="G80" s="366">
        <v>4.9800000000000004</v>
      </c>
      <c r="H80" s="378">
        <v>0.2</v>
      </c>
      <c r="I80" s="368">
        <f t="shared" si="0"/>
        <v>5.9760000000000009</v>
      </c>
      <c r="J80" s="368"/>
      <c r="K80" s="369">
        <f t="shared" si="1"/>
        <v>5.9760000000000009</v>
      </c>
      <c r="L80" s="362">
        <f t="shared" si="2"/>
        <v>10756800.000000002</v>
      </c>
      <c r="M80" s="366" t="str">
        <f>VLOOKUP(B80,'[13]Gui chi Quynh'!$B$11:$E$400,4,FALSE)</f>
        <v>A3</v>
      </c>
      <c r="N80" s="494">
        <f t="shared" si="3"/>
        <v>12908160.000000002</v>
      </c>
      <c r="O80" s="366">
        <v>22</v>
      </c>
      <c r="P80" s="440">
        <f>IFERROR(INDEX('[14]CN BC'!$J$10:$J$276,MATCH(B80,'[14]CN BC'!$H$10:$H$276,0)),"")</f>
        <v>22</v>
      </c>
      <c r="Q80" s="494">
        <f t="shared" si="4"/>
        <v>12908160.000000002</v>
      </c>
      <c r="R80" s="460"/>
      <c r="S80" s="362">
        <f>R80*$H$19*1</f>
        <v>0</v>
      </c>
      <c r="T80" s="370"/>
      <c r="U80" s="362">
        <f t="shared" si="5"/>
        <v>0</v>
      </c>
      <c r="V80" s="584">
        <f t="shared" si="6"/>
        <v>107568</v>
      </c>
      <c r="W80" s="371">
        <f t="shared" si="9"/>
        <v>12908160.000000002</v>
      </c>
      <c r="X80" s="977">
        <f t="shared" si="10"/>
        <v>7.1712000000000007</v>
      </c>
      <c r="Y80" s="491">
        <v>1800000</v>
      </c>
      <c r="Z80" s="663">
        <f t="shared" si="8"/>
        <v>12908160.000000002</v>
      </c>
      <c r="AA80" s="568">
        <f t="shared" si="7"/>
        <v>58</v>
      </c>
      <c r="AB80" s="493" t="str">
        <f>IFERROR(INDEX('[14]CN BC'!$M$10:$M$276,MATCH(B80,'[14]CN BC'!$H$10:$H$276,0)),"")</f>
        <v>Trừ 1 ngày nghỉ phép 21/5</v>
      </c>
      <c r="AC80" s="141" t="str">
        <f>VLOOKUP(B80,TH.T4!B78:AC408,28,FALSE)</f>
        <v>KTĐBCL</v>
      </c>
      <c r="AF80" s="487"/>
    </row>
    <row r="81" spans="1:42" s="372" customFormat="1" ht="30.75" customHeight="1">
      <c r="A81" s="379">
        <f>_xlfn.AGGREGATE(4,7,A$22:A80)+1</f>
        <v>59</v>
      </c>
      <c r="B81" s="374" t="s">
        <v>842</v>
      </c>
      <c r="C81" s="956" t="s">
        <v>874</v>
      </c>
      <c r="D81" s="434" t="s">
        <v>1671</v>
      </c>
      <c r="E81" s="423" t="s">
        <v>396</v>
      </c>
      <c r="F81" s="81" t="str">
        <f>VLOOKUP(B81,TH.T4!B79:J409,9,FALSE)</f>
        <v>Nhân viên phòng Khảo thí và ĐBCL</v>
      </c>
      <c r="G81" s="366">
        <v>3.66</v>
      </c>
      <c r="H81" s="367"/>
      <c r="I81" s="368">
        <f t="shared" si="0"/>
        <v>3.66</v>
      </c>
      <c r="J81" s="368"/>
      <c r="K81" s="369">
        <f t="shared" si="1"/>
        <v>3.66</v>
      </c>
      <c r="L81" s="362">
        <f t="shared" si="2"/>
        <v>6588000</v>
      </c>
      <c r="M81" s="366" t="str">
        <f>VLOOKUP(B81,'[13]Gui chi Quynh'!$B$11:$E$400,4,FALSE)</f>
        <v>A3</v>
      </c>
      <c r="N81" s="494">
        <f t="shared" si="3"/>
        <v>7905600</v>
      </c>
      <c r="O81" s="366">
        <v>22</v>
      </c>
      <c r="P81" s="440">
        <f>IFERROR(INDEX('[14]CN BC'!$J$10:$J$276,MATCH(B81,'[14]CN BC'!$H$10:$H$276,0)),"")</f>
        <v>23</v>
      </c>
      <c r="Q81" s="494">
        <f t="shared" si="4"/>
        <v>7905600</v>
      </c>
      <c r="R81" s="460"/>
      <c r="S81" s="362">
        <f>R81*$H$19*0.8</f>
        <v>0</v>
      </c>
      <c r="T81" s="370"/>
      <c r="U81" s="362">
        <f t="shared" si="5"/>
        <v>0</v>
      </c>
      <c r="V81" s="584">
        <f t="shared" si="6"/>
        <v>65880</v>
      </c>
      <c r="W81" s="371">
        <f t="shared" si="9"/>
        <v>7905600</v>
      </c>
      <c r="X81" s="977">
        <f t="shared" si="10"/>
        <v>4.3920000000000003</v>
      </c>
      <c r="Y81" s="491">
        <v>1800000</v>
      </c>
      <c r="Z81" s="663">
        <f t="shared" si="8"/>
        <v>7905600.0000000009</v>
      </c>
      <c r="AA81" s="568">
        <f t="shared" si="7"/>
        <v>59</v>
      </c>
      <c r="AB81" s="493">
        <f>IFERROR(INDEX('[14]CN BC'!$M$10:$M$276,MATCH(B81,'[14]CN BC'!$H$10:$H$276,0)),"")</f>
        <v>0</v>
      </c>
      <c r="AC81" s="141" t="str">
        <f>VLOOKUP(B81,TH.T4!B79:AC409,28,FALSE)</f>
        <v>KTĐBCL</v>
      </c>
      <c r="AD81" s="108"/>
      <c r="AE81" s="108"/>
      <c r="AF81" s="155"/>
      <c r="AG81" s="108"/>
      <c r="AH81" s="108"/>
      <c r="AI81" s="108"/>
      <c r="AJ81" s="108"/>
      <c r="AK81" s="108"/>
      <c r="AL81" s="108"/>
    </row>
    <row r="82" spans="1:42" s="372" customFormat="1" ht="30.75" customHeight="1">
      <c r="A82" s="379">
        <f>_xlfn.AGGREGATE(4,7,A$22:A81)+1</f>
        <v>60</v>
      </c>
      <c r="B82" s="374" t="s">
        <v>1551</v>
      </c>
      <c r="C82" s="956" t="s">
        <v>896</v>
      </c>
      <c r="D82" s="406" t="s">
        <v>1672</v>
      </c>
      <c r="E82" s="430">
        <v>1603205182756</v>
      </c>
      <c r="F82" s="81" t="str">
        <f>VLOOKUP(B82,TH.T4!B80:J410,9,FALSE)</f>
        <v>Nhân viên phòng Khảo thí và ĐBCL</v>
      </c>
      <c r="G82" s="366">
        <v>3.66</v>
      </c>
      <c r="H82" s="367"/>
      <c r="I82" s="368">
        <f t="shared" si="0"/>
        <v>3.66</v>
      </c>
      <c r="J82" s="368"/>
      <c r="K82" s="369">
        <f t="shared" si="1"/>
        <v>3.66</v>
      </c>
      <c r="L82" s="362">
        <f t="shared" si="2"/>
        <v>6588000</v>
      </c>
      <c r="M82" s="366" t="str">
        <f>VLOOKUP(B82,'[13]Gui chi Quynh'!$B$11:$E$400,4,FALSE)</f>
        <v>A3</v>
      </c>
      <c r="N82" s="494">
        <f t="shared" si="3"/>
        <v>7905600</v>
      </c>
      <c r="O82" s="366">
        <v>22</v>
      </c>
      <c r="P82" s="440">
        <f>IFERROR(INDEX('[14]CN BC'!$J$10:$J$276,MATCH(B82,'[14]CN BC'!$H$10:$H$276,0)),"")</f>
        <v>21</v>
      </c>
      <c r="Q82" s="494">
        <f t="shared" si="4"/>
        <v>7546254.5454545449</v>
      </c>
      <c r="R82" s="460"/>
      <c r="S82" s="362">
        <f>R82*$H$19*0.8</f>
        <v>0</v>
      </c>
      <c r="T82" s="370"/>
      <c r="U82" s="362">
        <f t="shared" si="5"/>
        <v>0</v>
      </c>
      <c r="V82" s="584">
        <f t="shared" si="6"/>
        <v>65880</v>
      </c>
      <c r="W82" s="371">
        <f t="shared" si="9"/>
        <v>7546254.5454545449</v>
      </c>
      <c r="X82" s="977">
        <f t="shared" si="10"/>
        <v>4.1923636363636358</v>
      </c>
      <c r="Y82" s="491">
        <v>1800000</v>
      </c>
      <c r="Z82" s="663">
        <f t="shared" si="8"/>
        <v>7546254.5454545449</v>
      </c>
      <c r="AA82" s="568">
        <f t="shared" si="7"/>
        <v>60</v>
      </c>
      <c r="AB82" s="493" t="str">
        <f>IFERROR(INDEX('[14]CN BC'!$M$10:$M$276,MATCH(B82,'[14]CN BC'!$H$10:$H$276,0)),"")</f>
        <v>Trừ 2 ngày nghỉ phép 27+30/5</v>
      </c>
      <c r="AC82" s="141" t="str">
        <f>VLOOKUP(B82,TH.T4!B80:AC410,28,FALSE)</f>
        <v>KTĐBCL</v>
      </c>
      <c r="AD82" s="108"/>
      <c r="AE82" s="659"/>
      <c r="AF82" s="155"/>
      <c r="AG82" s="108"/>
      <c r="AH82" s="108"/>
      <c r="AI82" s="108"/>
      <c r="AJ82" s="108"/>
      <c r="AK82" s="108"/>
      <c r="AL82" s="108"/>
      <c r="AM82" s="108"/>
      <c r="AN82" s="108"/>
      <c r="AO82" s="108"/>
      <c r="AP82" s="108"/>
    </row>
    <row r="83" spans="1:42" s="372" customFormat="1" ht="30.75" customHeight="1">
      <c r="A83" s="379">
        <f>_xlfn.AGGREGATE(4,7,A$22:A82)+1</f>
        <v>61</v>
      </c>
      <c r="B83" s="374" t="s">
        <v>1521</v>
      </c>
      <c r="C83" s="959" t="s">
        <v>891</v>
      </c>
      <c r="D83" s="406" t="s">
        <v>1673</v>
      </c>
      <c r="E83" s="429">
        <v>1603205286752</v>
      </c>
      <c r="F83" s="81" t="str">
        <f>VLOOKUP(B83,TH.T4!B81:J411,9,FALSE)</f>
        <v>Nhân viên phòng Khảo thí và ĐBCL</v>
      </c>
      <c r="G83" s="373">
        <v>3.66</v>
      </c>
      <c r="H83" s="367"/>
      <c r="I83" s="445">
        <f t="shared" si="0"/>
        <v>3.66</v>
      </c>
      <c r="J83" s="368"/>
      <c r="K83" s="369">
        <f t="shared" si="1"/>
        <v>3.66</v>
      </c>
      <c r="L83" s="362">
        <f t="shared" si="2"/>
        <v>6588000</v>
      </c>
      <c r="M83" s="366" t="str">
        <f>VLOOKUP(B83,'[13]Gui chi Quynh'!$B$11:$E$400,4,FALSE)</f>
        <v>A2</v>
      </c>
      <c r="N83" s="494">
        <f t="shared" si="3"/>
        <v>9223200</v>
      </c>
      <c r="O83" s="366">
        <v>22</v>
      </c>
      <c r="P83" s="440">
        <f>IFERROR(INDEX('[14]CN BC'!$J$10:$J$276,MATCH(B83,'[14]CN BC'!$H$10:$H$276,0)),"")</f>
        <v>23</v>
      </c>
      <c r="Q83" s="494">
        <f t="shared" si="4"/>
        <v>9223200</v>
      </c>
      <c r="R83" s="392"/>
      <c r="S83" s="362">
        <f>R83*$H$19*0.8</f>
        <v>0</v>
      </c>
      <c r="T83" s="385"/>
      <c r="U83" s="362">
        <f t="shared" si="5"/>
        <v>0</v>
      </c>
      <c r="V83" s="584">
        <f t="shared" si="6"/>
        <v>65880</v>
      </c>
      <c r="W83" s="371">
        <f t="shared" si="9"/>
        <v>9223200</v>
      </c>
      <c r="X83" s="977">
        <f t="shared" si="10"/>
        <v>5.1239999999999997</v>
      </c>
      <c r="Y83" s="491">
        <v>1800000</v>
      </c>
      <c r="Z83" s="663">
        <f t="shared" si="8"/>
        <v>9223200</v>
      </c>
      <c r="AA83" s="568">
        <f t="shared" si="7"/>
        <v>61</v>
      </c>
      <c r="AB83" s="493">
        <f>IFERROR(INDEX('[14]CN BC'!$M$10:$M$276,MATCH(B83,'[14]CN BC'!$H$10:$H$276,0)),"")</f>
        <v>0</v>
      </c>
      <c r="AC83" s="141" t="str">
        <f>VLOOKUP(B83,TH.T4!B81:AC411,28,FALSE)</f>
        <v>KTĐBCL</v>
      </c>
      <c r="AD83" s="108"/>
      <c r="AE83" s="108"/>
      <c r="AF83" s="461"/>
      <c r="AG83" s="108"/>
      <c r="AH83" s="108"/>
      <c r="AI83" s="108"/>
      <c r="AJ83" s="108"/>
      <c r="AK83" s="108"/>
      <c r="AL83" s="108"/>
      <c r="AM83" s="108"/>
      <c r="AN83" s="108"/>
      <c r="AO83" s="108"/>
      <c r="AP83" s="108"/>
    </row>
    <row r="84" spans="1:42" s="372" customFormat="1" ht="30.75" customHeight="1">
      <c r="A84" s="379">
        <f>_xlfn.AGGREGATE(4,7,A$22:A83)+1</f>
        <v>62</v>
      </c>
      <c r="B84" s="374" t="s">
        <v>1841</v>
      </c>
      <c r="C84" s="960"/>
      <c r="D84" s="434" t="s">
        <v>1956</v>
      </c>
      <c r="E84" s="480" t="s">
        <v>1931</v>
      </c>
      <c r="F84" s="81" t="str">
        <f>VLOOKUP(B84,TH.T4!B82:J412,9,FALSE)</f>
        <v>Nhân viên phòng Khảo thí và ĐBCL</v>
      </c>
      <c r="G84" s="373">
        <v>3</v>
      </c>
      <c r="H84" s="367"/>
      <c r="I84" s="445">
        <f t="shared" si="0"/>
        <v>3</v>
      </c>
      <c r="J84" s="368">
        <v>0.35</v>
      </c>
      <c r="K84" s="369">
        <f t="shared" si="1"/>
        <v>3.35</v>
      </c>
      <c r="L84" s="362">
        <f t="shared" si="2"/>
        <v>6030000</v>
      </c>
      <c r="M84" s="366" t="str">
        <f>VLOOKUP(B84,'[13]Gui chi Quynh'!$B$11:$E$400,4,FALSE)</f>
        <v>A1</v>
      </c>
      <c r="N84" s="494">
        <f t="shared" si="3"/>
        <v>9648000</v>
      </c>
      <c r="O84" s="366">
        <v>22</v>
      </c>
      <c r="P84" s="440">
        <f>IFERROR(INDEX('[14]CN BC'!$J$10:$J$276,MATCH(B84,'[14]CN BC'!$H$10:$H$276,0)),"")</f>
        <v>26</v>
      </c>
      <c r="Q84" s="494">
        <f t="shared" si="4"/>
        <v>9648000</v>
      </c>
      <c r="R84" s="460"/>
      <c r="S84" s="362">
        <f>R84*$H$19*1</f>
        <v>0</v>
      </c>
      <c r="T84" s="370"/>
      <c r="U84" s="362">
        <f t="shared" si="5"/>
        <v>0</v>
      </c>
      <c r="V84" s="584">
        <f t="shared" si="6"/>
        <v>60300</v>
      </c>
      <c r="W84" s="371">
        <f t="shared" si="9"/>
        <v>9648000</v>
      </c>
      <c r="X84" s="977">
        <f t="shared" si="10"/>
        <v>5.36</v>
      </c>
      <c r="Y84" s="491">
        <v>1800000</v>
      </c>
      <c r="Z84" s="663">
        <f t="shared" si="8"/>
        <v>9648000</v>
      </c>
      <c r="AA84" s="568">
        <f t="shared" si="7"/>
        <v>62</v>
      </c>
      <c r="AB84" s="493">
        <f>IFERROR(INDEX('[14]CN BC'!$M$10:$M$276,MATCH(B84,'[14]CN BC'!$H$10:$H$276,0)),"")</f>
        <v>0</v>
      </c>
      <c r="AC84" s="141" t="str">
        <f>VLOOKUP(B84,TH.T4!B82:AC412,28,FALSE)</f>
        <v>TTĐHDL</v>
      </c>
      <c r="AD84" s="108"/>
      <c r="AE84" s="108"/>
      <c r="AF84" s="155"/>
      <c r="AG84" s="108"/>
      <c r="AH84" s="108"/>
      <c r="AI84" s="108"/>
      <c r="AJ84" s="108"/>
      <c r="AK84" s="108"/>
      <c r="AL84" s="108"/>
    </row>
    <row r="85" spans="1:42" s="108" customFormat="1" ht="30.75" customHeight="1">
      <c r="A85" s="379">
        <f>_xlfn.AGGREGATE(4,7,A$22:A84)+1</f>
        <v>63</v>
      </c>
      <c r="B85" s="45" t="s">
        <v>1863</v>
      </c>
      <c r="C85" s="958" t="s">
        <v>903</v>
      </c>
      <c r="D85" s="406" t="s">
        <v>1675</v>
      </c>
      <c r="E85" s="424" t="s">
        <v>1357</v>
      </c>
      <c r="F85" s="81" t="str">
        <f>VLOOKUP(B85,TH.T4!B83:J413,9,FALSE)</f>
        <v>Trưởng TT Điều hành và QLDL</v>
      </c>
      <c r="G85" s="83">
        <v>3.66</v>
      </c>
      <c r="H85" s="157"/>
      <c r="I85" s="368">
        <f t="shared" si="0"/>
        <v>3.66</v>
      </c>
      <c r="J85" s="81">
        <v>0.45</v>
      </c>
      <c r="K85" s="369">
        <f t="shared" si="1"/>
        <v>4.1100000000000003</v>
      </c>
      <c r="L85" s="362">
        <f t="shared" si="2"/>
        <v>7398000.0000000009</v>
      </c>
      <c r="M85" s="366" t="str">
        <f>VLOOKUP(B85,'[13]Gui chi Quynh'!$B$11:$E$400,4,FALSE)</f>
        <v>A1</v>
      </c>
      <c r="N85" s="494">
        <f t="shared" si="3"/>
        <v>11836800.000000002</v>
      </c>
      <c r="O85" s="366">
        <v>22</v>
      </c>
      <c r="P85" s="440">
        <f>IFERROR(INDEX('[14]CN BC'!$J$10:$J$276,MATCH(B85,'[14]CN BC'!$H$10:$H$276,0)),"")</f>
        <v>26</v>
      </c>
      <c r="Q85" s="494">
        <f t="shared" si="4"/>
        <v>11836800.000000002</v>
      </c>
      <c r="R85" s="392"/>
      <c r="S85" s="362">
        <f>R85*$H$19*1</f>
        <v>0</v>
      </c>
      <c r="T85" s="385"/>
      <c r="U85" s="362">
        <f t="shared" si="5"/>
        <v>0</v>
      </c>
      <c r="V85" s="584">
        <f t="shared" si="6"/>
        <v>73980</v>
      </c>
      <c r="W85" s="371">
        <f t="shared" si="9"/>
        <v>11836800.000000002</v>
      </c>
      <c r="X85" s="977">
        <f t="shared" si="10"/>
        <v>6.5760000000000014</v>
      </c>
      <c r="Y85" s="491">
        <v>1800000</v>
      </c>
      <c r="Z85" s="663">
        <f t="shared" si="8"/>
        <v>11836800.000000002</v>
      </c>
      <c r="AA85" s="568">
        <f t="shared" si="7"/>
        <v>63</v>
      </c>
      <c r="AB85" s="493">
        <f>IFERROR(INDEX('[14]CN BC'!$M$10:$M$276,MATCH(B85,'[14]CN BC'!$H$10:$H$276,0)),"")</f>
        <v>0</v>
      </c>
      <c r="AC85" s="141" t="str">
        <f>VLOOKUP(B85,TH.T4!B83:AC413,28,FALSE)</f>
        <v>TTĐHDL</v>
      </c>
      <c r="AF85" s="155"/>
    </row>
    <row r="86" spans="1:42" s="372" customFormat="1" ht="30.75" customHeight="1">
      <c r="A86" s="379">
        <f>_xlfn.AGGREGATE(4,7,A$22:A85)+1</f>
        <v>64</v>
      </c>
      <c r="B86" s="374" t="s">
        <v>1470</v>
      </c>
      <c r="C86" s="959" t="s">
        <v>1434</v>
      </c>
      <c r="D86" s="406" t="s">
        <v>1679</v>
      </c>
      <c r="E86" s="426" t="s">
        <v>1438</v>
      </c>
      <c r="F86" s="81" t="str">
        <f>VLOOKUP(B86,TH.T4!B84:J414,9,FALSE)</f>
        <v>NV Trung tâm ĐH và QLDL</v>
      </c>
      <c r="G86" s="366">
        <v>3.66</v>
      </c>
      <c r="H86" s="367"/>
      <c r="I86" s="368">
        <f t="shared" si="0"/>
        <v>3.66</v>
      </c>
      <c r="J86" s="368"/>
      <c r="K86" s="369">
        <f t="shared" si="1"/>
        <v>3.66</v>
      </c>
      <c r="L86" s="362">
        <f t="shared" si="2"/>
        <v>6588000</v>
      </c>
      <c r="M86" s="366" t="str">
        <f>VLOOKUP(B86,'[13]Gui chi Quynh'!$B$11:$E$400,4,FALSE)</f>
        <v>A1</v>
      </c>
      <c r="N86" s="494">
        <f t="shared" si="3"/>
        <v>10540800</v>
      </c>
      <c r="O86" s="366">
        <v>22</v>
      </c>
      <c r="P86" s="440">
        <f>IFERROR(INDEX('[14]CN BC'!$J$10:$J$276,MATCH(B86,'[14]CN BC'!$H$10:$H$276,0)),"")</f>
        <v>26</v>
      </c>
      <c r="Q86" s="494">
        <f t="shared" si="4"/>
        <v>10540800</v>
      </c>
      <c r="R86" s="392"/>
      <c r="S86" s="362">
        <f>R86*$H$19*1</f>
        <v>0</v>
      </c>
      <c r="T86" s="385"/>
      <c r="U86" s="362">
        <f t="shared" si="5"/>
        <v>0</v>
      </c>
      <c r="V86" s="584">
        <f t="shared" si="6"/>
        <v>65880</v>
      </c>
      <c r="W86" s="371">
        <f t="shared" si="9"/>
        <v>10540800</v>
      </c>
      <c r="X86" s="977">
        <f t="shared" si="10"/>
        <v>5.8559999999999999</v>
      </c>
      <c r="Y86" s="491">
        <v>1800000</v>
      </c>
      <c r="Z86" s="663">
        <f t="shared" si="8"/>
        <v>10540800</v>
      </c>
      <c r="AA86" s="568">
        <f t="shared" si="7"/>
        <v>64</v>
      </c>
      <c r="AB86" s="493">
        <f>IFERROR(INDEX('[14]CN BC'!$M$10:$M$276,MATCH(B86,'[14]CN BC'!$H$10:$H$276,0)),"")</f>
        <v>0</v>
      </c>
      <c r="AC86" s="141" t="str">
        <f>VLOOKUP(B86,TH.T4!B84:AC414,28,FALSE)</f>
        <v>TTĐHDL</v>
      </c>
      <c r="AD86" s="141"/>
      <c r="AE86" s="108"/>
      <c r="AF86" s="461"/>
      <c r="AG86" s="108"/>
      <c r="AH86" s="108"/>
      <c r="AI86" s="108"/>
      <c r="AJ86" s="108"/>
      <c r="AK86" s="108"/>
      <c r="AL86" s="108"/>
      <c r="AM86" s="108"/>
      <c r="AN86" s="108"/>
      <c r="AO86" s="108"/>
      <c r="AP86" s="108"/>
    </row>
    <row r="87" spans="1:42" s="372" customFormat="1" ht="30.75" customHeight="1">
      <c r="A87" s="379">
        <f>_xlfn.AGGREGATE(4,7,A$22:A86)+1</f>
        <v>65</v>
      </c>
      <c r="B87" s="374" t="s">
        <v>1466</v>
      </c>
      <c r="C87" s="956" t="s">
        <v>1211</v>
      </c>
      <c r="D87" s="434" t="s">
        <v>1663</v>
      </c>
      <c r="E87" s="426" t="s">
        <v>1579</v>
      </c>
      <c r="F87" s="81" t="str">
        <f>VLOOKUP(B87,TH.T4!B85:J415,9,FALSE)</f>
        <v>Nhân viên TT Điều hành và QLDL</v>
      </c>
      <c r="G87" s="366">
        <v>3.26</v>
      </c>
      <c r="H87" s="367"/>
      <c r="I87" s="368">
        <f t="shared" ref="I87:I119" si="14">G87+(G87*H87)</f>
        <v>3.26</v>
      </c>
      <c r="J87" s="368"/>
      <c r="K87" s="369">
        <f t="shared" ref="K87:K119" si="15">I87+J87</f>
        <v>3.26</v>
      </c>
      <c r="L87" s="362">
        <f t="shared" ref="L87:L116" si="16">K87*$H$19</f>
        <v>5868000</v>
      </c>
      <c r="M87" s="366" t="str">
        <f>VLOOKUP(B87,'[13]Gui chi Quynh'!$B$11:$E$400,4,FALSE)</f>
        <v>A1</v>
      </c>
      <c r="N87" s="494">
        <f t="shared" ref="N87:N150" si="17">IF(M87="A1",L87*1.6,IF(M87="A2",L87*1.4,IF(M87="A3",L87*1.2,IF(M87="A4",L87*1,IF(M87="B1",L87*0.7,IF(M87="B2",L87*0.5,IF(M87="C1",L87*0.3,IF(M87="C2",L87*0.2,0))))))))</f>
        <v>9388800</v>
      </c>
      <c r="O87" s="366">
        <v>22</v>
      </c>
      <c r="P87" s="440">
        <f>IFERROR(INDEX('[14]CN BC'!$J$10:$J$276,MATCH(B87,'[14]CN BC'!$H$10:$H$276,0)),"")</f>
        <v>25</v>
      </c>
      <c r="Q87" s="494">
        <f t="shared" ref="Q87:Q150" si="18">IF(P87&gt;=O87,N87,N87/O87*P87)</f>
        <v>9388800</v>
      </c>
      <c r="R87" s="460"/>
      <c r="S87" s="362">
        <f>R87*$H$19*1.2</f>
        <v>0</v>
      </c>
      <c r="T87" s="370"/>
      <c r="U87" s="362">
        <f t="shared" ref="U87:U150" si="19">T87*$H$19*1</f>
        <v>0</v>
      </c>
      <c r="V87" s="584">
        <f t="shared" ref="V87:V150" si="20">IF(OR(M87="A DN",M87="KXL", M87=""),"0",ROUND(K87*0.01*$H$19+R87*1%*$H$19+T87*1%*$H$19,))</f>
        <v>58680</v>
      </c>
      <c r="W87" s="371">
        <f t="shared" si="9"/>
        <v>9388800</v>
      </c>
      <c r="X87" s="977">
        <f t="shared" si="10"/>
        <v>5.2160000000000002</v>
      </c>
      <c r="Y87" s="491">
        <v>1800000</v>
      </c>
      <c r="Z87" s="663">
        <f t="shared" si="8"/>
        <v>9388800</v>
      </c>
      <c r="AA87" s="568">
        <f t="shared" ref="AA87:AA150" si="21">A87</f>
        <v>65</v>
      </c>
      <c r="AB87" s="493">
        <f>IFERROR(INDEX('[14]CN BC'!$M$10:$M$276,MATCH(B87,'[14]CN BC'!$H$10:$H$276,0)),"")</f>
        <v>0</v>
      </c>
      <c r="AC87" s="141" t="str">
        <f>VLOOKUP(B87,TH.T4!B85:AC415,28,FALSE)</f>
        <v>TTĐHDL</v>
      </c>
      <c r="AD87" s="108"/>
      <c r="AE87" s="108"/>
      <c r="AF87" s="155"/>
      <c r="AG87" s="108"/>
      <c r="AH87" s="108"/>
      <c r="AI87" s="108"/>
      <c r="AJ87" s="108"/>
      <c r="AK87" s="108"/>
      <c r="AL87" s="108"/>
    </row>
    <row r="88" spans="1:42" s="372" customFormat="1" ht="23.25" customHeight="1">
      <c r="A88" s="379">
        <f>_xlfn.AGGREGATE(4,7,A$22:A87)+1</f>
        <v>66</v>
      </c>
      <c r="B88" s="374" t="s">
        <v>1834</v>
      </c>
      <c r="C88" s="960"/>
      <c r="D88" s="434" t="s">
        <v>1967</v>
      </c>
      <c r="E88" s="480">
        <v>1603215005599</v>
      </c>
      <c r="F88" s="81" t="str">
        <f>VLOOKUP(B88,TH.T4!B86:J416,9,FALSE)</f>
        <v>Phụ trách TT Thư viện</v>
      </c>
      <c r="G88" s="373">
        <v>3.66</v>
      </c>
      <c r="H88" s="367"/>
      <c r="I88" s="368">
        <f t="shared" si="14"/>
        <v>3.66</v>
      </c>
      <c r="J88" s="368">
        <v>0.45</v>
      </c>
      <c r="K88" s="369">
        <f t="shared" si="15"/>
        <v>4.1100000000000003</v>
      </c>
      <c r="L88" s="362">
        <f t="shared" si="16"/>
        <v>7398000.0000000009</v>
      </c>
      <c r="M88" s="366" t="str">
        <f>VLOOKUP(B88,'[13]Gui chi Quynh'!$B$11:$E$400,4,FALSE)</f>
        <v>A1</v>
      </c>
      <c r="N88" s="494">
        <f t="shared" si="17"/>
        <v>11836800.000000002</v>
      </c>
      <c r="O88" s="366">
        <v>22</v>
      </c>
      <c r="P88" s="440">
        <f>IFERROR(INDEX('[14]CN BC'!$J$10:$J$276,MATCH(B88,'[14]CN BC'!$H$10:$H$276,0)),"")</f>
        <v>23</v>
      </c>
      <c r="Q88" s="494">
        <f t="shared" si="18"/>
        <v>11836800.000000002</v>
      </c>
      <c r="R88" s="460"/>
      <c r="S88" s="362">
        <f t="shared" ref="S88:S142" si="22">R88*$H$19*1</f>
        <v>0</v>
      </c>
      <c r="T88" s="370"/>
      <c r="U88" s="362">
        <f t="shared" si="19"/>
        <v>0</v>
      </c>
      <c r="V88" s="584">
        <f t="shared" si="20"/>
        <v>73980</v>
      </c>
      <c r="W88" s="371">
        <f t="shared" si="9"/>
        <v>11836800.000000002</v>
      </c>
      <c r="X88" s="977">
        <f t="shared" si="10"/>
        <v>6.5760000000000014</v>
      </c>
      <c r="Y88" s="491">
        <v>1800000</v>
      </c>
      <c r="Z88" s="663">
        <f t="shared" ref="Z88:Z151" si="23">X88*Y88</f>
        <v>11836800.000000002</v>
      </c>
      <c r="AA88" s="568">
        <f t="shared" si="21"/>
        <v>66</v>
      </c>
      <c r="AB88" s="493">
        <f>IFERROR(INDEX('[14]CN BC'!$M$10:$M$276,MATCH(B88,'[14]CN BC'!$H$10:$H$276,0)),"")</f>
        <v>0</v>
      </c>
      <c r="AC88" s="141" t="str">
        <f>VLOOKUP(B88,TH.T4!B86:AC416,28,FALSE)</f>
        <v>TTTV</v>
      </c>
      <c r="AD88" s="108"/>
      <c r="AE88" s="108"/>
      <c r="AF88" s="155"/>
      <c r="AG88" s="108"/>
      <c r="AH88" s="108"/>
      <c r="AI88" s="108"/>
      <c r="AJ88" s="108"/>
      <c r="AK88" s="108"/>
      <c r="AL88" s="108"/>
    </row>
    <row r="89" spans="1:42" s="372" customFormat="1" ht="27" customHeight="1">
      <c r="A89" s="379">
        <f>_xlfn.AGGREGATE(4,7,A$22:A88)+1</f>
        <v>67</v>
      </c>
      <c r="B89" s="374" t="s">
        <v>1468</v>
      </c>
      <c r="C89" s="956" t="s">
        <v>883</v>
      </c>
      <c r="D89" s="434" t="s">
        <v>1676</v>
      </c>
      <c r="E89" s="426" t="s">
        <v>1580</v>
      </c>
      <c r="F89" s="81" t="str">
        <f>VLOOKUP(B89,TH.T4!B87:J417,9,FALSE)</f>
        <v>Nhân viên TT Thư viện</v>
      </c>
      <c r="G89" s="373">
        <v>3.33</v>
      </c>
      <c r="H89" s="367"/>
      <c r="I89" s="445">
        <f t="shared" si="14"/>
        <v>3.33</v>
      </c>
      <c r="J89" s="368"/>
      <c r="K89" s="369">
        <f t="shared" si="15"/>
        <v>3.33</v>
      </c>
      <c r="L89" s="362">
        <f t="shared" si="16"/>
        <v>5994000</v>
      </c>
      <c r="M89" s="366" t="str">
        <f>VLOOKUP(B89,'[13]Gui chi Quynh'!$B$11:$E$400,4,FALSE)</f>
        <v>A2</v>
      </c>
      <c r="N89" s="494">
        <f t="shared" si="17"/>
        <v>8391600</v>
      </c>
      <c r="O89" s="366">
        <v>22</v>
      </c>
      <c r="P89" s="440">
        <f>IFERROR(INDEX('[14]CN BC'!$J$10:$J$276,MATCH(B89,'[14]CN BC'!$H$10:$H$276,0)),"")</f>
        <v>23</v>
      </c>
      <c r="Q89" s="494">
        <f t="shared" si="18"/>
        <v>8391600</v>
      </c>
      <c r="R89" s="392"/>
      <c r="S89" s="362">
        <f t="shared" si="22"/>
        <v>0</v>
      </c>
      <c r="T89" s="370"/>
      <c r="U89" s="362">
        <f t="shared" si="19"/>
        <v>0</v>
      </c>
      <c r="V89" s="584">
        <f t="shared" si="20"/>
        <v>59940</v>
      </c>
      <c r="W89" s="371">
        <f t="shared" ref="W89:W153" si="24">(Q89+S89+U89)</f>
        <v>8391600</v>
      </c>
      <c r="X89" s="977">
        <f t="shared" ref="X89:X152" si="25">W89/Y89</f>
        <v>4.6619999999999999</v>
      </c>
      <c r="Y89" s="491">
        <v>1800000</v>
      </c>
      <c r="Z89" s="663">
        <f t="shared" si="23"/>
        <v>8391600</v>
      </c>
      <c r="AA89" s="568">
        <f t="shared" si="21"/>
        <v>67</v>
      </c>
      <c r="AB89" s="493">
        <f>IFERROR(INDEX('[14]CN BC'!$M$10:$M$276,MATCH(B89,'[14]CN BC'!$H$10:$H$276,0)),"")</f>
        <v>0</v>
      </c>
      <c r="AC89" s="141" t="str">
        <f>VLOOKUP(B89,TH.T4!B87:AC417,28,FALSE)</f>
        <v>TTTV</v>
      </c>
      <c r="AD89" s="108"/>
      <c r="AE89" s="108"/>
      <c r="AF89" s="155"/>
      <c r="AG89" s="108"/>
      <c r="AH89" s="108"/>
      <c r="AI89" s="108"/>
      <c r="AJ89" s="108"/>
      <c r="AK89" s="108"/>
      <c r="AL89" s="108"/>
    </row>
    <row r="90" spans="1:42" s="372" customFormat="1" ht="27" customHeight="1">
      <c r="A90" s="379">
        <f>_xlfn.AGGREGATE(4,7,A$22:A89)+1</f>
        <v>68</v>
      </c>
      <c r="B90" s="374" t="s">
        <v>1469</v>
      </c>
      <c r="C90" s="956" t="s">
        <v>49</v>
      </c>
      <c r="D90" s="434" t="s">
        <v>1677</v>
      </c>
      <c r="E90" s="430">
        <v>1603205185623</v>
      </c>
      <c r="F90" s="81" t="str">
        <f>VLOOKUP(B90,TH.T4!B88:J418,9,FALSE)</f>
        <v>Nhân viên TT Thư viện</v>
      </c>
      <c r="G90" s="373">
        <v>3.33</v>
      </c>
      <c r="H90" s="367"/>
      <c r="I90" s="445">
        <f t="shared" si="14"/>
        <v>3.33</v>
      </c>
      <c r="J90" s="368"/>
      <c r="K90" s="369">
        <f t="shared" si="15"/>
        <v>3.33</v>
      </c>
      <c r="L90" s="362">
        <f t="shared" si="16"/>
        <v>5994000</v>
      </c>
      <c r="M90" s="366" t="str">
        <f>VLOOKUP(B90,'[13]Gui chi Quynh'!$B$11:$E$400,4,FALSE)</f>
        <v>A3</v>
      </c>
      <c r="N90" s="494">
        <f t="shared" si="17"/>
        <v>7192800</v>
      </c>
      <c r="O90" s="366">
        <v>22</v>
      </c>
      <c r="P90" s="440">
        <f>IFERROR(INDEX('[14]CN BC'!$J$10:$J$276,MATCH(B90,'[14]CN BC'!$H$10:$H$276,0)),"")</f>
        <v>23</v>
      </c>
      <c r="Q90" s="494">
        <f t="shared" si="18"/>
        <v>7192800</v>
      </c>
      <c r="R90" s="460"/>
      <c r="S90" s="362">
        <f t="shared" si="22"/>
        <v>0</v>
      </c>
      <c r="T90" s="370"/>
      <c r="U90" s="362">
        <f t="shared" si="19"/>
        <v>0</v>
      </c>
      <c r="V90" s="584">
        <f t="shared" si="20"/>
        <v>59940</v>
      </c>
      <c r="W90" s="371">
        <f t="shared" si="24"/>
        <v>7192800</v>
      </c>
      <c r="X90" s="977">
        <f t="shared" si="25"/>
        <v>3.996</v>
      </c>
      <c r="Y90" s="491">
        <v>1800000</v>
      </c>
      <c r="Z90" s="663">
        <f t="shared" si="23"/>
        <v>7192800</v>
      </c>
      <c r="AA90" s="568">
        <f t="shared" si="21"/>
        <v>68</v>
      </c>
      <c r="AB90" s="493">
        <f>IFERROR(INDEX('[14]CN BC'!$M$10:$M$276,MATCH(B90,'[14]CN BC'!$H$10:$H$276,0)),"")</f>
        <v>0</v>
      </c>
      <c r="AC90" s="141" t="str">
        <f>VLOOKUP(B90,TH.T4!B88:AC418,28,FALSE)</f>
        <v>TTTV</v>
      </c>
      <c r="AD90" s="108"/>
      <c r="AE90" s="108"/>
      <c r="AF90" s="155"/>
      <c r="AG90" s="108"/>
      <c r="AH90" s="108"/>
      <c r="AI90" s="108"/>
      <c r="AJ90" s="108"/>
      <c r="AK90" s="108"/>
      <c r="AL90" s="108"/>
    </row>
    <row r="91" spans="1:42" s="372" customFormat="1" ht="27" customHeight="1">
      <c r="A91" s="379">
        <f>_xlfn.AGGREGATE(4,7,A$22:A90)+1</f>
        <v>69</v>
      </c>
      <c r="B91" s="374" t="s">
        <v>1864</v>
      </c>
      <c r="C91" s="959" t="s">
        <v>1066</v>
      </c>
      <c r="D91" s="434" t="s">
        <v>1678</v>
      </c>
      <c r="E91" s="423" t="s">
        <v>1402</v>
      </c>
      <c r="F91" s="81" t="str">
        <f>VLOOKUP(B91,TH.T4!B89:J419,9,FALSE)</f>
        <v>Nhân viên TT Thư viện</v>
      </c>
      <c r="G91" s="366">
        <v>4.9800000000000004</v>
      </c>
      <c r="H91" s="367">
        <v>0.05</v>
      </c>
      <c r="I91" s="368">
        <f t="shared" si="14"/>
        <v>5.2290000000000001</v>
      </c>
      <c r="J91" s="368"/>
      <c r="K91" s="369">
        <f t="shared" si="15"/>
        <v>5.2290000000000001</v>
      </c>
      <c r="L91" s="362">
        <f t="shared" si="16"/>
        <v>9412200</v>
      </c>
      <c r="M91" s="366" t="str">
        <f>VLOOKUP(B91,'[13]Gui chi Quynh'!$B$11:$E$400,4,FALSE)</f>
        <v>A4</v>
      </c>
      <c r="N91" s="494">
        <f t="shared" si="17"/>
        <v>9412200</v>
      </c>
      <c r="O91" s="366">
        <v>22</v>
      </c>
      <c r="P91" s="467">
        <f>IFERROR(INDEX('[14]CN BC'!$J$10:$J$276,MATCH(B91,'[14]CN BC'!$H$10:$H$276,0)),"")</f>
        <v>23</v>
      </c>
      <c r="Q91" s="494">
        <f t="shared" si="18"/>
        <v>9412200</v>
      </c>
      <c r="R91" s="460"/>
      <c r="S91" s="362">
        <f t="shared" si="22"/>
        <v>0</v>
      </c>
      <c r="T91" s="370"/>
      <c r="U91" s="362">
        <f t="shared" si="19"/>
        <v>0</v>
      </c>
      <c r="V91" s="362">
        <f t="shared" si="20"/>
        <v>94122</v>
      </c>
      <c r="W91" s="371">
        <f t="shared" si="24"/>
        <v>9412200</v>
      </c>
      <c r="X91" s="977">
        <f t="shared" si="25"/>
        <v>5.2290000000000001</v>
      </c>
      <c r="Y91" s="491">
        <v>1800000</v>
      </c>
      <c r="Z91" s="663">
        <f t="shared" si="23"/>
        <v>9412200</v>
      </c>
      <c r="AA91" s="568">
        <f t="shared" si="21"/>
        <v>69</v>
      </c>
      <c r="AB91" s="551">
        <f>IFERROR(INDEX('[14]CN BC'!$M$10:$M$276,MATCH(B91,'[14]CN BC'!$H$10:$H$276,0)),"")</f>
        <v>0</v>
      </c>
      <c r="AC91" s="536" t="str">
        <f>VLOOKUP(B91,TH.T4!B89:AC419,28,FALSE)</f>
        <v>TTTV</v>
      </c>
      <c r="AF91" s="487"/>
    </row>
    <row r="92" spans="1:42" s="372" customFormat="1" ht="31.5" customHeight="1">
      <c r="A92" s="379">
        <f>_xlfn.AGGREGATE(4,7,A$22:A91)+1</f>
        <v>70</v>
      </c>
      <c r="B92" s="374" t="s">
        <v>1471</v>
      </c>
      <c r="C92" s="960" t="s">
        <v>1060</v>
      </c>
      <c r="D92" s="434" t="s">
        <v>1680</v>
      </c>
      <c r="E92" s="426" t="s">
        <v>1581</v>
      </c>
      <c r="F92" s="81" t="str">
        <f>VLOOKUP(B92,TH.T4!B90:J420,9,FALSE)</f>
        <v>Trưởng phòng KHCN &amp; HTQT</v>
      </c>
      <c r="G92" s="366">
        <v>4.9800000000000004</v>
      </c>
      <c r="H92" s="367"/>
      <c r="I92" s="368">
        <f t="shared" si="14"/>
        <v>4.9800000000000004</v>
      </c>
      <c r="J92" s="368">
        <v>0.45</v>
      </c>
      <c r="K92" s="369">
        <f t="shared" si="15"/>
        <v>5.4300000000000006</v>
      </c>
      <c r="L92" s="362">
        <f t="shared" si="16"/>
        <v>9774000.0000000019</v>
      </c>
      <c r="M92" s="366" t="str">
        <f>VLOOKUP(B92,'[13]Gui chi Quynh'!$B$11:$E$400,4,FALSE)</f>
        <v>A2</v>
      </c>
      <c r="N92" s="494">
        <f t="shared" si="17"/>
        <v>13683600.000000002</v>
      </c>
      <c r="O92" s="366">
        <v>22</v>
      </c>
      <c r="P92" s="440">
        <f>IFERROR(INDEX('[14]CN BC'!$J$10:$J$276,MATCH(B92,'[14]CN BC'!$H$10:$H$276,0)),"")</f>
        <v>22</v>
      </c>
      <c r="Q92" s="494">
        <f t="shared" si="18"/>
        <v>13683600.000000002</v>
      </c>
      <c r="R92" s="460"/>
      <c r="S92" s="362">
        <f t="shared" si="22"/>
        <v>0</v>
      </c>
      <c r="T92" s="370"/>
      <c r="U92" s="362">
        <f t="shared" si="19"/>
        <v>0</v>
      </c>
      <c r="V92" s="584">
        <f t="shared" si="20"/>
        <v>97740</v>
      </c>
      <c r="W92" s="371">
        <f t="shared" si="24"/>
        <v>13683600.000000002</v>
      </c>
      <c r="X92" s="977">
        <f t="shared" si="25"/>
        <v>7.6020000000000012</v>
      </c>
      <c r="Y92" s="491">
        <v>1800000</v>
      </c>
      <c r="Z92" s="663">
        <f t="shared" si="23"/>
        <v>13683600.000000002</v>
      </c>
      <c r="AA92" s="568">
        <f t="shared" si="21"/>
        <v>70</v>
      </c>
      <c r="AB92" s="493">
        <f>IFERROR(INDEX('[14]CN BC'!$M$10:$M$276,MATCH(B92,'[14]CN BC'!$H$10:$H$276,0)),"")</f>
        <v>0</v>
      </c>
      <c r="AC92" s="141" t="str">
        <f>VLOOKUP(B92,TH.T4!B90:AC420,28,FALSE)</f>
        <v>QLKH</v>
      </c>
      <c r="AF92" s="487"/>
    </row>
    <row r="93" spans="1:42" s="372" customFormat="1" ht="30" customHeight="1">
      <c r="A93" s="379">
        <f>_xlfn.AGGREGATE(4,7,A$22:A92)+1</f>
        <v>71</v>
      </c>
      <c r="B93" s="957" t="s">
        <v>2009</v>
      </c>
      <c r="C93" s="957"/>
      <c r="D93" s="418"/>
      <c r="E93" s="426"/>
      <c r="F93" s="81" t="str">
        <f>VLOOKUP(B93,TH.T4!B91:J421,9,FALSE)</f>
        <v>NV Phòng KHCN &amp; HTQT</v>
      </c>
      <c r="G93" s="373">
        <v>3.66</v>
      </c>
      <c r="H93" s="367"/>
      <c r="I93" s="368">
        <f>G93+(G93*H93)</f>
        <v>3.66</v>
      </c>
      <c r="J93" s="368"/>
      <c r="K93" s="369">
        <f>I93+J93</f>
        <v>3.66</v>
      </c>
      <c r="L93" s="362">
        <f>K93*$H$19</f>
        <v>6588000</v>
      </c>
      <c r="M93" s="366" t="str">
        <f>VLOOKUP(B93,'[13]Gui chi Quynh'!$B$11:$E$400,4,FALSE)</f>
        <v>A2</v>
      </c>
      <c r="N93" s="494">
        <f>IF(M93="A1",L93*1.6,IF(M93="A2",L93*1.4,IF(M93="A3",L93*1.2,IF(M93="A4",L93*1,IF(M93="B1",L93*0.7,IF(M93="B2",L93*0.5,IF(M93="C1",L93*0.3,IF(M93="C2",L93*0.2,0))))))))</f>
        <v>9223200</v>
      </c>
      <c r="O93" s="366">
        <v>22</v>
      </c>
      <c r="P93" s="440">
        <f>IFERROR(INDEX('[14]CN BC'!$J$10:$J$276,MATCH(B93,'[14]CN BC'!$H$10:$H$276,0)),"")</f>
        <v>22</v>
      </c>
      <c r="Q93" s="494">
        <f>IF(P93&gt;=O93,N93,N93/O93*P93)</f>
        <v>9223200</v>
      </c>
      <c r="R93" s="460"/>
      <c r="S93" s="362">
        <f>R93*$H$19*1</f>
        <v>0</v>
      </c>
      <c r="T93" s="370"/>
      <c r="U93" s="362">
        <f>T93*$H$19*1</f>
        <v>0</v>
      </c>
      <c r="V93" s="584">
        <f>IF(OR(M93="A DN",M93="KXL", M93=""),"0",ROUND(K93*0.01*$H$19+R93*1%*$H$19+T93*1%*$H$19,))</f>
        <v>65880</v>
      </c>
      <c r="W93" s="371">
        <f>(Q93+S93+U93)</f>
        <v>9223200</v>
      </c>
      <c r="X93" s="977">
        <f t="shared" si="25"/>
        <v>5.1239999999999997</v>
      </c>
      <c r="Y93" s="491">
        <v>1800000</v>
      </c>
      <c r="Z93" s="663">
        <f t="shared" si="23"/>
        <v>9223200</v>
      </c>
      <c r="AA93" s="568">
        <f>A93</f>
        <v>71</v>
      </c>
      <c r="AB93" s="493">
        <f>IFERROR(INDEX('[14]CN BC'!$M$10:$M$276,MATCH(B93,'[14]CN BC'!$H$10:$H$276,0)),"")</f>
        <v>0</v>
      </c>
      <c r="AC93" s="141" t="str">
        <f>VLOOKUP(B93,TH.T4!B91:AC421,28,FALSE)</f>
        <v>QLKH</v>
      </c>
      <c r="AF93" s="487"/>
    </row>
    <row r="94" spans="1:42" s="372" customFormat="1" ht="30" customHeight="1">
      <c r="A94" s="379">
        <f>_xlfn.AGGREGATE(4,7,A$22:A93)+1</f>
        <v>72</v>
      </c>
      <c r="B94" s="957" t="s">
        <v>1830</v>
      </c>
      <c r="C94" s="957" t="s">
        <v>1087</v>
      </c>
      <c r="D94" s="418" t="s">
        <v>1829</v>
      </c>
      <c r="E94" s="623">
        <v>1603205354978</v>
      </c>
      <c r="F94" s="81" t="str">
        <f>VLOOKUP(B94,TH.T4!B92:J422,9,FALSE)</f>
        <v>Giám đốc TT Đào tạo và QLTB</v>
      </c>
      <c r="G94" s="366">
        <v>2.67</v>
      </c>
      <c r="H94" s="367"/>
      <c r="I94" s="368">
        <f>G94+(G94*H94)</f>
        <v>2.67</v>
      </c>
      <c r="J94" s="368">
        <v>0.45</v>
      </c>
      <c r="K94" s="369">
        <f>I94+J94</f>
        <v>3.12</v>
      </c>
      <c r="L94" s="362">
        <f>K94*TH.T5!$H$19</f>
        <v>5616000</v>
      </c>
      <c r="M94" s="366" t="str">
        <f>VLOOKUP(B94,'[13]Gui chi Quynh'!$B$11:$E$400,4,FALSE)</f>
        <v>A1</v>
      </c>
      <c r="N94" s="494">
        <f t="shared" si="17"/>
        <v>8985600</v>
      </c>
      <c r="O94" s="366">
        <v>22</v>
      </c>
      <c r="P94" s="440">
        <f>IFERROR(INDEX('[14]CN BC'!$J$10:$J$276,MATCH(B94,'[14]CN BC'!$H$10:$H$276,0)),"")</f>
        <v>30</v>
      </c>
      <c r="Q94" s="362">
        <f>IF(P94&gt;=O94,N94,N94/O94*P94)</f>
        <v>8985600</v>
      </c>
      <c r="R94" s="392"/>
      <c r="S94" s="362">
        <f>R94*TH.T5!$H$19*1</f>
        <v>0</v>
      </c>
      <c r="T94" s="370"/>
      <c r="U94" s="362">
        <f>T94*[3]CN!$G$8*0.65</f>
        <v>0</v>
      </c>
      <c r="V94" s="584">
        <f>IF(OR(M94="A DN",M94="KXL", M94=""),"0",ROUND(K94*0.01*TH.T5!$H$19+R94*1%*TH.T5!$H$19+T94*1%*TH.T5!$H$19,))</f>
        <v>56160</v>
      </c>
      <c r="W94" s="371">
        <f t="shared" si="24"/>
        <v>8985600</v>
      </c>
      <c r="X94" s="977">
        <f t="shared" si="25"/>
        <v>4.992</v>
      </c>
      <c r="Y94" s="491">
        <v>1800000</v>
      </c>
      <c r="Z94" s="663">
        <f t="shared" si="23"/>
        <v>8985600</v>
      </c>
      <c r="AA94" s="569">
        <f>A94</f>
        <v>72</v>
      </c>
      <c r="AB94" s="493">
        <f>IFERROR(INDEX('[14]CN BC'!$M$10:$M$276,MATCH(B94,'[14]CN BC'!$H$10:$H$276,0)),"")</f>
        <v>0</v>
      </c>
      <c r="AC94" s="141" t="str">
        <f>VLOOKUP(B94,TH.T4!B92:AC422,28,FALSE)</f>
        <v>TTĐT</v>
      </c>
      <c r="AD94" s="155"/>
      <c r="AE94" s="108"/>
      <c r="AF94" s="108"/>
      <c r="AG94" s="108"/>
      <c r="AH94" s="108"/>
      <c r="AI94" s="108"/>
      <c r="AJ94" s="108"/>
      <c r="AK94" s="108"/>
      <c r="AL94" s="108"/>
    </row>
    <row r="95" spans="1:42" s="108" customFormat="1" ht="30" customHeight="1">
      <c r="A95" s="379">
        <f>_xlfn.AGGREGATE(4,7,A$22:A94)+1</f>
        <v>73</v>
      </c>
      <c r="B95" s="45" t="s">
        <v>2005</v>
      </c>
      <c r="C95" s="958" t="s">
        <v>987</v>
      </c>
      <c r="D95" s="62" t="s">
        <v>1826</v>
      </c>
      <c r="E95" s="75" t="s">
        <v>12</v>
      </c>
      <c r="F95" s="81" t="str">
        <f>VLOOKUP(B95,TH.T4!B93:J423,9,FALSE)</f>
        <v>Giám đốc TT Đào tạo và QLTB</v>
      </c>
      <c r="G95" s="81">
        <v>3.34</v>
      </c>
      <c r="H95" s="172"/>
      <c r="I95" s="81">
        <f>G95+(G95*H95)</f>
        <v>3.34</v>
      </c>
      <c r="J95" s="172">
        <v>0</v>
      </c>
      <c r="K95" s="10">
        <f>J95+I95</f>
        <v>3.34</v>
      </c>
      <c r="L95" s="362">
        <f>K95*TH.T5!$H$19</f>
        <v>6012000</v>
      </c>
      <c r="M95" s="366" t="str">
        <f>VLOOKUP(B95,'[13]Gui chi Quynh'!$B$11:$E$400,4,FALSE)</f>
        <v>A4</v>
      </c>
      <c r="N95" s="494">
        <f t="shared" si="17"/>
        <v>6012000</v>
      </c>
      <c r="O95" s="366">
        <v>22</v>
      </c>
      <c r="P95" s="440">
        <f>IFERROR(INDEX('[14]CN BC'!$J$10:$J$276,MATCH(B95,'[14]CN BC'!$H$10:$H$276,0)),"")</f>
        <v>28</v>
      </c>
      <c r="Q95" s="31">
        <f>IF(P95&gt;=O95,N95,N95/O95*P95)</f>
        <v>6012000</v>
      </c>
      <c r="R95" s="517"/>
      <c r="S95" s="31">
        <f>R95*$I$20*0.65</f>
        <v>0</v>
      </c>
      <c r="T95" s="74"/>
      <c r="U95" s="31">
        <f>T95*$I$20*0.65</f>
        <v>0</v>
      </c>
      <c r="V95" s="585">
        <f>L95*1%</f>
        <v>60120</v>
      </c>
      <c r="W95" s="371">
        <f t="shared" si="24"/>
        <v>6012000</v>
      </c>
      <c r="X95" s="977">
        <f t="shared" si="25"/>
        <v>3.34</v>
      </c>
      <c r="Y95" s="491">
        <v>1800000</v>
      </c>
      <c r="Z95" s="663">
        <f t="shared" si="23"/>
        <v>6012000</v>
      </c>
      <c r="AA95" s="570">
        <f>A95</f>
        <v>73</v>
      </c>
      <c r="AB95" s="493">
        <f>IFERROR(INDEX('[14]CN BC'!$M$10:$M$276,MATCH(B95,'[14]CN BC'!$H$10:$H$276,0)),"")</f>
        <v>0</v>
      </c>
      <c r="AC95" s="141" t="str">
        <f>VLOOKUP(B95,TH.T4!B93:AC423,28,FALSE)</f>
        <v>TTĐT</v>
      </c>
    </row>
    <row r="96" spans="1:42" s="372" customFormat="1" ht="30" customHeight="1">
      <c r="A96" s="379">
        <f>_xlfn.AGGREGATE(4,7,A$22:A95)+1</f>
        <v>74</v>
      </c>
      <c r="B96" s="957" t="s">
        <v>1607</v>
      </c>
      <c r="C96" s="957" t="s">
        <v>1009</v>
      </c>
      <c r="D96" s="418" t="s">
        <v>1957</v>
      </c>
      <c r="E96" s="479">
        <v>1603215003961</v>
      </c>
      <c r="F96" s="81" t="str">
        <f>VLOOKUP(B96,TH.T4!B94:J424,9,FALSE)</f>
        <v>Trưởng khoa Xây dựng - Nhiệt lạnh</v>
      </c>
      <c r="G96" s="373">
        <v>3.66</v>
      </c>
      <c r="H96" s="367"/>
      <c r="I96" s="445">
        <f t="shared" si="14"/>
        <v>3.66</v>
      </c>
      <c r="J96" s="368">
        <v>0.45</v>
      </c>
      <c r="K96" s="369">
        <f t="shared" si="15"/>
        <v>4.1100000000000003</v>
      </c>
      <c r="L96" s="362">
        <f>K96*TH.T5!$H$19</f>
        <v>7398000.0000000009</v>
      </c>
      <c r="M96" s="366" t="str">
        <f>VLOOKUP(B96,'[13]Gui chi Quynh'!$B$11:$E$400,4,FALSE)</f>
        <v>A4</v>
      </c>
      <c r="N96" s="494">
        <f t="shared" si="17"/>
        <v>7398000.0000000009</v>
      </c>
      <c r="O96" s="376">
        <v>22</v>
      </c>
      <c r="P96" s="440">
        <f>IFERROR(INDEX('[14]CN BC'!$J$10:$J$276,MATCH(B96,'[14]CN BC'!$H$10:$H$276,0)),"")</f>
        <v>22</v>
      </c>
      <c r="Q96" s="494">
        <f t="shared" si="18"/>
        <v>7398000.0000000009</v>
      </c>
      <c r="R96" s="460"/>
      <c r="S96" s="362">
        <f t="shared" si="22"/>
        <v>0</v>
      </c>
      <c r="T96" s="370"/>
      <c r="U96" s="362">
        <f t="shared" si="19"/>
        <v>0</v>
      </c>
      <c r="V96" s="362">
        <f t="shared" si="20"/>
        <v>73980</v>
      </c>
      <c r="W96" s="371">
        <f t="shared" si="24"/>
        <v>7398000.0000000009</v>
      </c>
      <c r="X96" s="977">
        <f t="shared" si="25"/>
        <v>4.1100000000000003</v>
      </c>
      <c r="Y96" s="491">
        <v>1800000</v>
      </c>
      <c r="Z96" s="663">
        <f t="shared" si="23"/>
        <v>7398000.0000000009</v>
      </c>
      <c r="AA96" s="568">
        <f t="shared" si="21"/>
        <v>74</v>
      </c>
      <c r="AB96" s="493">
        <f>IFERROR(INDEX('[14]CN BC'!$M$10:$M$276,MATCH(B96,'[14]CN BC'!$H$10:$H$276,0)),"")</f>
        <v>0</v>
      </c>
      <c r="AC96" s="141" t="str">
        <f>VLOOKUP(B96,TH.T4!B94:AC424,28,FALSE)</f>
        <v>XD-NL</v>
      </c>
      <c r="AF96" s="487"/>
    </row>
    <row r="97" spans="1:42" s="372" customFormat="1" ht="30" customHeight="1">
      <c r="A97" s="379">
        <f>_xlfn.AGGREGATE(4,7,A$22:A96)+1</f>
        <v>75</v>
      </c>
      <c r="B97" s="374" t="s">
        <v>1924</v>
      </c>
      <c r="C97" s="960"/>
      <c r="D97" s="434" t="s">
        <v>1958</v>
      </c>
      <c r="E97" s="480" t="s">
        <v>1935</v>
      </c>
      <c r="F97" s="81" t="str">
        <f>VLOOKUP(B97,TH.T4!B95:J425,9,FALSE)</f>
        <v>Giảng viên khoa Xây dựng - Nhiệt lạnh</v>
      </c>
      <c r="G97" s="373">
        <v>3</v>
      </c>
      <c r="H97" s="367"/>
      <c r="I97" s="445">
        <f t="shared" si="14"/>
        <v>3</v>
      </c>
      <c r="J97" s="368"/>
      <c r="K97" s="369">
        <f t="shared" si="15"/>
        <v>3</v>
      </c>
      <c r="L97" s="362">
        <f t="shared" si="16"/>
        <v>5400000</v>
      </c>
      <c r="M97" s="366" t="str">
        <f>VLOOKUP(B97,'[13]Gui chi Quynh'!$B$11:$E$400,4,FALSE)</f>
        <v>A4</v>
      </c>
      <c r="N97" s="494">
        <f t="shared" si="17"/>
        <v>5400000</v>
      </c>
      <c r="O97" s="376">
        <v>22</v>
      </c>
      <c r="P97" s="440">
        <f>IFERROR(INDEX('[14]CN BC'!$J$10:$J$276,MATCH(B97,'[14]CN BC'!$H$10:$H$276,0)),"")</f>
        <v>22</v>
      </c>
      <c r="Q97" s="494">
        <f t="shared" si="18"/>
        <v>5400000</v>
      </c>
      <c r="R97" s="460"/>
      <c r="S97" s="362">
        <f t="shared" si="22"/>
        <v>0</v>
      </c>
      <c r="T97" s="370"/>
      <c r="U97" s="362">
        <f t="shared" si="19"/>
        <v>0</v>
      </c>
      <c r="V97" s="362">
        <f t="shared" si="20"/>
        <v>54000</v>
      </c>
      <c r="W97" s="371">
        <f t="shared" si="24"/>
        <v>5400000</v>
      </c>
      <c r="X97" s="977">
        <f t="shared" si="25"/>
        <v>3</v>
      </c>
      <c r="Y97" s="491">
        <v>1800000</v>
      </c>
      <c r="Z97" s="663">
        <f t="shared" si="23"/>
        <v>5400000</v>
      </c>
      <c r="AA97" s="568">
        <f t="shared" si="21"/>
        <v>75</v>
      </c>
      <c r="AB97" s="493">
        <f>IFERROR(INDEX('[14]CN BC'!$M$10:$M$276,MATCH(B97,'[14]CN BC'!$H$10:$H$276,0)),"")</f>
        <v>0</v>
      </c>
      <c r="AC97" s="141" t="str">
        <f>VLOOKUP(B97,TH.T4!B95:AC425,28,FALSE)</f>
        <v>XD-NL</v>
      </c>
      <c r="AF97" s="487"/>
    </row>
    <row r="98" spans="1:42" s="372" customFormat="1" ht="30" customHeight="1">
      <c r="A98" s="379">
        <f>_xlfn.AGGREGATE(4,7,A$22:A97)+1</f>
        <v>76</v>
      </c>
      <c r="B98" s="374" t="s">
        <v>1944</v>
      </c>
      <c r="C98" s="960"/>
      <c r="D98" s="434" t="s">
        <v>1959</v>
      </c>
      <c r="E98" s="479"/>
      <c r="F98" s="81" t="str">
        <f>VLOOKUP(B98,TH.T4!B96:J426,9,FALSE)</f>
        <v>Giảng viên khoa Xây dựng - Nhiệt lạnh</v>
      </c>
      <c r="G98" s="366">
        <v>2.34</v>
      </c>
      <c r="H98" s="367"/>
      <c r="I98" s="445">
        <f t="shared" si="14"/>
        <v>2.34</v>
      </c>
      <c r="J98" s="368"/>
      <c r="K98" s="369">
        <f t="shared" si="15"/>
        <v>2.34</v>
      </c>
      <c r="L98" s="362">
        <f t="shared" si="16"/>
        <v>4212000</v>
      </c>
      <c r="M98" s="366" t="str">
        <f>VLOOKUP(B98,'[13]Gui chi Quynh'!$B$11:$E$400,4,FALSE)</f>
        <v>A3</v>
      </c>
      <c r="N98" s="494">
        <f t="shared" si="17"/>
        <v>5054400</v>
      </c>
      <c r="O98" s="376">
        <v>22</v>
      </c>
      <c r="P98" s="440">
        <f>IFERROR(INDEX('[14]CN BC'!$J$10:$J$276,MATCH(B98,'[14]CN BC'!$H$10:$H$276,0)),"")</f>
        <v>22</v>
      </c>
      <c r="Q98" s="494">
        <f t="shared" si="18"/>
        <v>5054400</v>
      </c>
      <c r="R98" s="460"/>
      <c r="S98" s="362">
        <f t="shared" si="22"/>
        <v>0</v>
      </c>
      <c r="T98" s="370"/>
      <c r="U98" s="362">
        <f t="shared" si="19"/>
        <v>0</v>
      </c>
      <c r="V98" s="362">
        <f t="shared" si="20"/>
        <v>42120</v>
      </c>
      <c r="W98" s="371">
        <f t="shared" si="24"/>
        <v>5054400</v>
      </c>
      <c r="X98" s="977">
        <f t="shared" si="25"/>
        <v>2.8079999999999998</v>
      </c>
      <c r="Y98" s="491">
        <v>1800000</v>
      </c>
      <c r="Z98" s="663">
        <f t="shared" si="23"/>
        <v>5054400</v>
      </c>
      <c r="AA98" s="568">
        <f t="shared" si="21"/>
        <v>76</v>
      </c>
      <c r="AB98" s="493">
        <f>IFERROR(INDEX('[14]CN BC'!$M$10:$M$276,MATCH(B98,'[14]CN BC'!$H$10:$H$276,0)),"")</f>
        <v>0</v>
      </c>
      <c r="AC98" s="141" t="str">
        <f>VLOOKUP(B98,TH.T4!B96:AC426,28,FALSE)</f>
        <v>XD-NL</v>
      </c>
      <c r="AF98" s="487"/>
    </row>
    <row r="99" spans="1:42" s="372" customFormat="1" ht="25.5" customHeight="1">
      <c r="A99" s="379">
        <f>_xlfn.AGGREGATE(4,7,A$22:A98)+1</f>
        <v>77</v>
      </c>
      <c r="B99" s="374" t="s">
        <v>1472</v>
      </c>
      <c r="C99" s="960" t="s">
        <v>939</v>
      </c>
      <c r="D99" s="406" t="s">
        <v>1682</v>
      </c>
      <c r="E99" s="426" t="s">
        <v>1582</v>
      </c>
      <c r="F99" s="81" t="str">
        <f>VLOOKUP(B99,TH.T4!B97:J427,9,FALSE)</f>
        <v>Trưởng khoa Kinh tế</v>
      </c>
      <c r="G99" s="373">
        <v>3.99</v>
      </c>
      <c r="H99" s="367"/>
      <c r="I99" s="368">
        <f t="shared" si="14"/>
        <v>3.99</v>
      </c>
      <c r="J99" s="368">
        <v>0.45</v>
      </c>
      <c r="K99" s="369">
        <f t="shared" si="15"/>
        <v>4.4400000000000004</v>
      </c>
      <c r="L99" s="362">
        <f t="shared" si="16"/>
        <v>7992000.0000000009</v>
      </c>
      <c r="M99" s="366" t="str">
        <f>VLOOKUP(B99,'[13]Gui chi Quynh'!$B$11:$E$400,4,FALSE)</f>
        <v>A1</v>
      </c>
      <c r="N99" s="494">
        <f t="shared" si="17"/>
        <v>12787200.000000002</v>
      </c>
      <c r="O99" s="376">
        <v>22</v>
      </c>
      <c r="P99" s="440">
        <f>IFERROR(INDEX('[14]CN BC'!$J$10:$J$276,MATCH(B99,'[14]CN BC'!$H$10:$H$276,0)),"")</f>
        <v>22</v>
      </c>
      <c r="Q99" s="494">
        <f t="shared" si="18"/>
        <v>12787200.000000002</v>
      </c>
      <c r="R99" s="392"/>
      <c r="S99" s="362">
        <f t="shared" si="22"/>
        <v>0</v>
      </c>
      <c r="T99" s="370"/>
      <c r="U99" s="362">
        <f t="shared" si="19"/>
        <v>0</v>
      </c>
      <c r="V99" s="584">
        <f t="shared" si="20"/>
        <v>79920</v>
      </c>
      <c r="W99" s="371">
        <f t="shared" si="24"/>
        <v>12787200.000000002</v>
      </c>
      <c r="X99" s="977">
        <f t="shared" si="25"/>
        <v>7.104000000000001</v>
      </c>
      <c r="Y99" s="491">
        <v>1800000</v>
      </c>
      <c r="Z99" s="663">
        <f t="shared" si="23"/>
        <v>12787200.000000002</v>
      </c>
      <c r="AA99" s="568">
        <f t="shared" si="21"/>
        <v>77</v>
      </c>
      <c r="AB99" s="493">
        <f>IFERROR(INDEX('[14]CN BC'!$M$10:$M$276,MATCH(B99,'[14]CN BC'!$H$10:$H$276,0)),"")</f>
        <v>0</v>
      </c>
      <c r="AC99" s="141" t="str">
        <f>VLOOKUP(B99,TH.T4!B97:AC427,28,FALSE)</f>
        <v>KT</v>
      </c>
      <c r="AD99" s="108"/>
      <c r="AE99" s="108"/>
      <c r="AF99" s="155"/>
      <c r="AG99" s="108"/>
      <c r="AH99" s="108"/>
      <c r="AI99" s="108"/>
      <c r="AJ99" s="108"/>
      <c r="AK99" s="108"/>
      <c r="AL99" s="108"/>
      <c r="AM99" s="108"/>
      <c r="AN99" s="108"/>
      <c r="AO99" s="108"/>
      <c r="AP99" s="108"/>
    </row>
    <row r="100" spans="1:42" s="372" customFormat="1" ht="25.15" customHeight="1">
      <c r="A100" s="379">
        <f>_xlfn.AGGREGATE(4,7,A$22:A99)+1</f>
        <v>78</v>
      </c>
      <c r="B100" s="374" t="s">
        <v>1566</v>
      </c>
      <c r="C100" s="960"/>
      <c r="D100" s="434" t="s">
        <v>1681</v>
      </c>
      <c r="E100" s="435" t="s">
        <v>1567</v>
      </c>
      <c r="F100" s="81" t="str">
        <f>VLOOKUP(B100,TH.T4!B98:J428,9,FALSE)</f>
        <v>Giảng viên khoa Kinh tế</v>
      </c>
      <c r="G100" s="369">
        <v>3</v>
      </c>
      <c r="H100" s="367"/>
      <c r="I100" s="445">
        <f t="shared" si="14"/>
        <v>3</v>
      </c>
      <c r="J100" s="368"/>
      <c r="K100" s="369">
        <f t="shared" si="15"/>
        <v>3</v>
      </c>
      <c r="L100" s="362">
        <f t="shared" si="16"/>
        <v>5400000</v>
      </c>
      <c r="M100" s="366" t="str">
        <f>VLOOKUP(B100,'[13]Gui chi Quynh'!$B$11:$E$400,4,FALSE)</f>
        <v>A2</v>
      </c>
      <c r="N100" s="494">
        <f t="shared" si="17"/>
        <v>7559999.9999999991</v>
      </c>
      <c r="O100" s="376">
        <v>22</v>
      </c>
      <c r="P100" s="440">
        <f>IFERROR(INDEX('[14]CN BC'!$J$10:$J$276,MATCH(B100,'[14]CN BC'!$H$10:$H$276,0)),"")</f>
        <v>22</v>
      </c>
      <c r="Q100" s="494">
        <f t="shared" si="18"/>
        <v>7559999.9999999991</v>
      </c>
      <c r="R100" s="460"/>
      <c r="S100" s="362">
        <f t="shared" si="22"/>
        <v>0</v>
      </c>
      <c r="T100" s="370"/>
      <c r="U100" s="362">
        <f t="shared" si="19"/>
        <v>0</v>
      </c>
      <c r="V100" s="584">
        <f t="shared" si="20"/>
        <v>54000</v>
      </c>
      <c r="W100" s="371">
        <f t="shared" si="24"/>
        <v>7559999.9999999991</v>
      </c>
      <c r="X100" s="977">
        <f t="shared" si="25"/>
        <v>4.1999999999999993</v>
      </c>
      <c r="Y100" s="491">
        <v>1800000</v>
      </c>
      <c r="Z100" s="663">
        <f t="shared" si="23"/>
        <v>7559999.9999999991</v>
      </c>
      <c r="AA100" s="568">
        <f t="shared" si="21"/>
        <v>78</v>
      </c>
      <c r="AB100" s="493">
        <f>IFERROR(INDEX('[14]CN BC'!$M$10:$M$276,MATCH(B100,'[14]CN BC'!$H$10:$H$276,0)),"")</f>
        <v>0</v>
      </c>
      <c r="AC100" s="141" t="str">
        <f>VLOOKUP(B100,TH.T4!B98:AC428,28,FALSE)</f>
        <v>KT</v>
      </c>
      <c r="AD100" s="108"/>
      <c r="AE100" s="108"/>
      <c r="AF100" s="155"/>
    </row>
    <row r="101" spans="1:42" s="372" customFormat="1" ht="25.15" customHeight="1">
      <c r="A101" s="379">
        <f>_xlfn.AGGREGATE(4,7,A$22:A100)+1</f>
        <v>79</v>
      </c>
      <c r="B101" s="374" t="s">
        <v>1831</v>
      </c>
      <c r="C101" s="960"/>
      <c r="D101" s="434" t="s">
        <v>1960</v>
      </c>
      <c r="E101" s="481">
        <v>1603215005603</v>
      </c>
      <c r="F101" s="81" t="str">
        <f>VLOOKUP(B101,TH.T4!B99:J429,9,FALSE)</f>
        <v>Giảng viên khoa 
Kinh tế</v>
      </c>
      <c r="G101" s="369">
        <v>3</v>
      </c>
      <c r="H101" s="367"/>
      <c r="I101" s="445">
        <f t="shared" si="14"/>
        <v>3</v>
      </c>
      <c r="J101" s="368"/>
      <c r="K101" s="369">
        <f t="shared" si="15"/>
        <v>3</v>
      </c>
      <c r="L101" s="362">
        <f t="shared" si="16"/>
        <v>5400000</v>
      </c>
      <c r="M101" s="366" t="str">
        <f>VLOOKUP(B101,'[13]Gui chi Quynh'!$B$11:$E$400,4,FALSE)</f>
        <v>A3</v>
      </c>
      <c r="N101" s="494">
        <f t="shared" si="17"/>
        <v>6480000</v>
      </c>
      <c r="O101" s="376">
        <v>22</v>
      </c>
      <c r="P101" s="440">
        <f>IFERROR(INDEX('[14]CN BC'!$J$10:$J$276,MATCH(B101,'[14]CN BC'!$H$10:$H$276,0)),"")</f>
        <v>22</v>
      </c>
      <c r="Q101" s="494">
        <f t="shared" si="18"/>
        <v>6480000</v>
      </c>
      <c r="R101" s="460"/>
      <c r="S101" s="362">
        <f t="shared" si="22"/>
        <v>0</v>
      </c>
      <c r="T101" s="370"/>
      <c r="U101" s="362">
        <f t="shared" si="19"/>
        <v>0</v>
      </c>
      <c r="V101" s="584">
        <f t="shared" si="20"/>
        <v>54000</v>
      </c>
      <c r="W101" s="371">
        <f t="shared" si="24"/>
        <v>6480000</v>
      </c>
      <c r="X101" s="977">
        <f t="shared" si="25"/>
        <v>3.6</v>
      </c>
      <c r="Y101" s="491">
        <v>1800000</v>
      </c>
      <c r="Z101" s="663">
        <f t="shared" si="23"/>
        <v>6480000</v>
      </c>
      <c r="AA101" s="568">
        <f t="shared" si="21"/>
        <v>79</v>
      </c>
      <c r="AB101" s="493">
        <f>IFERROR(INDEX('[14]CN BC'!$M$10:$M$276,MATCH(B101,'[14]CN BC'!$H$10:$H$276,0)),"")</f>
        <v>0</v>
      </c>
      <c r="AC101" s="141" t="str">
        <f>VLOOKUP(B101,TH.T4!B99:AC429,28,FALSE)</f>
        <v>KT</v>
      </c>
      <c r="AD101" s="108"/>
      <c r="AE101" s="108"/>
      <c r="AF101" s="155"/>
      <c r="AG101" s="108"/>
      <c r="AH101" s="108"/>
      <c r="AI101" s="108"/>
      <c r="AJ101" s="108"/>
      <c r="AK101" s="108"/>
      <c r="AL101" s="108"/>
    </row>
    <row r="102" spans="1:42" s="372" customFormat="1" ht="26.25" customHeight="1">
      <c r="A102" s="379">
        <f>_xlfn.AGGREGATE(4,7,A$22:A101)+1</f>
        <v>80</v>
      </c>
      <c r="B102" s="374" t="s">
        <v>1473</v>
      </c>
      <c r="C102" s="960" t="s">
        <v>1444</v>
      </c>
      <c r="D102" s="434" t="s">
        <v>1683</v>
      </c>
      <c r="E102" s="426" t="s">
        <v>1583</v>
      </c>
      <c r="F102" s="81" t="str">
        <f>VLOOKUP(B102,TH.T4!B100:J430,9,FALSE)</f>
        <v>Phó Trưởng khoa Kinh tế</v>
      </c>
      <c r="G102" s="373">
        <v>3.66</v>
      </c>
      <c r="H102" s="367"/>
      <c r="I102" s="368">
        <f t="shared" si="14"/>
        <v>3.66</v>
      </c>
      <c r="J102" s="368">
        <v>0.35</v>
      </c>
      <c r="K102" s="369">
        <f t="shared" si="15"/>
        <v>4.01</v>
      </c>
      <c r="L102" s="362">
        <f t="shared" si="16"/>
        <v>7218000</v>
      </c>
      <c r="M102" s="366" t="str">
        <f>VLOOKUP(B102,'[13]Gui chi Quynh'!$B$11:$E$400,4,FALSE)</f>
        <v>A2</v>
      </c>
      <c r="N102" s="494">
        <f t="shared" si="17"/>
        <v>10105200</v>
      </c>
      <c r="O102" s="376">
        <v>22</v>
      </c>
      <c r="P102" s="440">
        <f>IFERROR(INDEX('[14]CN BC'!$J$10:$J$276,MATCH(B102,'[14]CN BC'!$H$10:$H$276,0)),"")</f>
        <v>22</v>
      </c>
      <c r="Q102" s="494">
        <f t="shared" si="18"/>
        <v>10105200</v>
      </c>
      <c r="R102" s="460"/>
      <c r="S102" s="362">
        <f t="shared" si="22"/>
        <v>0</v>
      </c>
      <c r="T102" s="370"/>
      <c r="U102" s="362">
        <f t="shared" si="19"/>
        <v>0</v>
      </c>
      <c r="V102" s="584">
        <f t="shared" si="20"/>
        <v>72180</v>
      </c>
      <c r="W102" s="371">
        <f t="shared" si="24"/>
        <v>10105200</v>
      </c>
      <c r="X102" s="977">
        <f t="shared" si="25"/>
        <v>5.6139999999999999</v>
      </c>
      <c r="Y102" s="491">
        <v>1800000</v>
      </c>
      <c r="Z102" s="663">
        <f t="shared" si="23"/>
        <v>10105200</v>
      </c>
      <c r="AA102" s="568">
        <f t="shared" si="21"/>
        <v>80</v>
      </c>
      <c r="AB102" s="493">
        <f>IFERROR(INDEX('[14]CN BC'!$M$10:$M$276,MATCH(B102,'[14]CN BC'!$H$10:$H$276,0)),"")</f>
        <v>0</v>
      </c>
      <c r="AC102" s="141" t="str">
        <f>VLOOKUP(B102,TH.T4!B100:AC430,28,FALSE)</f>
        <v>KT</v>
      </c>
      <c r="AF102" s="487"/>
    </row>
    <row r="103" spans="1:42" s="372" customFormat="1" ht="26.25" customHeight="1">
      <c r="A103" s="379">
        <f>_xlfn.AGGREGATE(4,7,A$22:A102)+1</f>
        <v>81</v>
      </c>
      <c r="B103" s="374" t="s">
        <v>1928</v>
      </c>
      <c r="C103" s="960"/>
      <c r="D103" s="434" t="s">
        <v>1961</v>
      </c>
      <c r="E103" s="479" t="s">
        <v>1934</v>
      </c>
      <c r="F103" s="81" t="s">
        <v>2251</v>
      </c>
      <c r="G103" s="369">
        <v>2.34</v>
      </c>
      <c r="H103" s="367"/>
      <c r="I103" s="368">
        <f t="shared" si="14"/>
        <v>2.34</v>
      </c>
      <c r="J103" s="368"/>
      <c r="K103" s="369">
        <f t="shared" si="15"/>
        <v>2.34</v>
      </c>
      <c r="L103" s="362">
        <f t="shared" si="16"/>
        <v>4212000</v>
      </c>
      <c r="M103" s="366" t="str">
        <f>VLOOKUP(B103,'[13]Gui chi Quynh'!$B$11:$E$400,4,FALSE)</f>
        <v>A3</v>
      </c>
      <c r="N103" s="494">
        <f t="shared" si="17"/>
        <v>5054400</v>
      </c>
      <c r="O103" s="376">
        <v>22</v>
      </c>
      <c r="P103" s="440">
        <f>IFERROR(INDEX('[14]CN BC'!$J$10:$J$276,MATCH(B103,'[14]CN BC'!$H$10:$H$276,0)),"")</f>
        <v>22</v>
      </c>
      <c r="Q103" s="494">
        <f t="shared" si="18"/>
        <v>5054400</v>
      </c>
      <c r="R103" s="460"/>
      <c r="S103" s="362">
        <f t="shared" si="22"/>
        <v>0</v>
      </c>
      <c r="T103" s="370"/>
      <c r="U103" s="362">
        <f t="shared" si="19"/>
        <v>0</v>
      </c>
      <c r="V103" s="584">
        <f t="shared" si="20"/>
        <v>42120</v>
      </c>
      <c r="W103" s="371">
        <f t="shared" si="24"/>
        <v>5054400</v>
      </c>
      <c r="X103" s="977">
        <f t="shared" si="25"/>
        <v>2.8079999999999998</v>
      </c>
      <c r="Y103" s="491">
        <v>1800000</v>
      </c>
      <c r="Z103" s="663">
        <f t="shared" si="23"/>
        <v>5054400</v>
      </c>
      <c r="AA103" s="568">
        <f t="shared" si="21"/>
        <v>81</v>
      </c>
      <c r="AB103" s="493">
        <f>IFERROR(INDEX('[14]CN BC'!$M$10:$M$276,MATCH(B103,'[14]CN BC'!$H$10:$H$276,0)),"")</f>
        <v>0</v>
      </c>
      <c r="AC103" s="141" t="s">
        <v>2234</v>
      </c>
      <c r="AF103" s="487"/>
    </row>
    <row r="104" spans="1:42" s="372" customFormat="1" ht="32.25" customHeight="1">
      <c r="A104" s="379">
        <f>_xlfn.AGGREGATE(4,7,A$22:A103)+1</f>
        <v>82</v>
      </c>
      <c r="B104" s="374" t="s">
        <v>1474</v>
      </c>
      <c r="C104" s="960" t="s">
        <v>1103</v>
      </c>
      <c r="D104" s="434" t="s">
        <v>1684</v>
      </c>
      <c r="E104" s="426" t="s">
        <v>1584</v>
      </c>
      <c r="F104" s="81" t="str">
        <f>VLOOKUP(B104,TH.T4!B102:J432,9,FALSE)</f>
        <v>Giảng viên khoa Kinh tế</v>
      </c>
      <c r="G104" s="373">
        <v>3.33</v>
      </c>
      <c r="H104" s="367"/>
      <c r="I104" s="445">
        <f t="shared" si="14"/>
        <v>3.33</v>
      </c>
      <c r="J104" s="368"/>
      <c r="K104" s="369">
        <f t="shared" si="15"/>
        <v>3.33</v>
      </c>
      <c r="L104" s="362">
        <f t="shared" si="16"/>
        <v>5994000</v>
      </c>
      <c r="M104" s="366" t="str">
        <f>VLOOKUP(B104,'[13]Gui chi Quynh'!$B$11:$E$400,4,FALSE)</f>
        <v>A3</v>
      </c>
      <c r="N104" s="494">
        <f t="shared" si="17"/>
        <v>7192800</v>
      </c>
      <c r="O104" s="376">
        <v>22</v>
      </c>
      <c r="P104" s="440">
        <f>IFERROR(INDEX('[14]CN BC'!$J$10:$J$276,MATCH(B104,'[14]CN BC'!$H$10:$H$276,0)),"")</f>
        <v>22</v>
      </c>
      <c r="Q104" s="494">
        <f t="shared" si="18"/>
        <v>7192800</v>
      </c>
      <c r="R104" s="460"/>
      <c r="S104" s="362">
        <f t="shared" si="22"/>
        <v>0</v>
      </c>
      <c r="T104" s="370"/>
      <c r="U104" s="362">
        <f t="shared" si="19"/>
        <v>0</v>
      </c>
      <c r="V104" s="584">
        <f t="shared" si="20"/>
        <v>59940</v>
      </c>
      <c r="W104" s="371">
        <f t="shared" si="24"/>
        <v>7192800</v>
      </c>
      <c r="X104" s="977">
        <f t="shared" si="25"/>
        <v>3.996</v>
      </c>
      <c r="Y104" s="491">
        <v>1800000</v>
      </c>
      <c r="Z104" s="663">
        <f t="shared" si="23"/>
        <v>7192800</v>
      </c>
      <c r="AA104" s="568">
        <f t="shared" si="21"/>
        <v>82</v>
      </c>
      <c r="AB104" s="493">
        <f>IFERROR(INDEX('[14]CN BC'!$M$10:$M$276,MATCH(B104,'[14]CN BC'!$H$10:$H$276,0)),"")</f>
        <v>0</v>
      </c>
      <c r="AC104" s="141" t="str">
        <f>VLOOKUP(B104,TH.T4!B102:AC432,28,FALSE)</f>
        <v>KT</v>
      </c>
      <c r="AF104" s="487"/>
    </row>
    <row r="105" spans="1:42" s="372" customFormat="1" ht="28.5" customHeight="1">
      <c r="A105" s="379">
        <f>_xlfn.AGGREGATE(4,7,A$22:A104)+1</f>
        <v>83</v>
      </c>
      <c r="B105" s="374" t="s">
        <v>1571</v>
      </c>
      <c r="C105" s="960"/>
      <c r="D105" s="434" t="s">
        <v>1685</v>
      </c>
      <c r="E105" s="435" t="s">
        <v>1572</v>
      </c>
      <c r="F105" s="81" t="str">
        <f>VLOOKUP(B105,TH.T4!B103:J433,9,FALSE)</f>
        <v>Giảng viên khoa Kinh tế</v>
      </c>
      <c r="G105" s="369">
        <v>3</v>
      </c>
      <c r="H105" s="367"/>
      <c r="I105" s="445">
        <f t="shared" si="14"/>
        <v>3</v>
      </c>
      <c r="J105" s="368"/>
      <c r="K105" s="369">
        <f t="shared" si="15"/>
        <v>3</v>
      </c>
      <c r="L105" s="362">
        <f t="shared" si="16"/>
        <v>5400000</v>
      </c>
      <c r="M105" s="366" t="str">
        <f>VLOOKUP(B105,'[13]Gui chi Quynh'!$B$11:$E$400,4,FALSE)</f>
        <v>A3</v>
      </c>
      <c r="N105" s="494">
        <f t="shared" si="17"/>
        <v>6480000</v>
      </c>
      <c r="O105" s="376">
        <v>22</v>
      </c>
      <c r="P105" s="440">
        <f>IFERROR(INDEX('[14]CN BC'!$J$10:$J$276,MATCH(B105,'[14]CN BC'!$H$10:$H$276,0)),"")</f>
        <v>22</v>
      </c>
      <c r="Q105" s="494">
        <f t="shared" si="18"/>
        <v>6480000</v>
      </c>
      <c r="R105" s="392"/>
      <c r="S105" s="362">
        <f t="shared" si="22"/>
        <v>0</v>
      </c>
      <c r="T105" s="370"/>
      <c r="U105" s="362">
        <f t="shared" si="19"/>
        <v>0</v>
      </c>
      <c r="V105" s="584">
        <f t="shared" si="20"/>
        <v>54000</v>
      </c>
      <c r="W105" s="371">
        <f t="shared" si="24"/>
        <v>6480000</v>
      </c>
      <c r="X105" s="977">
        <f t="shared" si="25"/>
        <v>3.6</v>
      </c>
      <c r="Y105" s="491">
        <v>1800000</v>
      </c>
      <c r="Z105" s="663">
        <f t="shared" si="23"/>
        <v>6480000</v>
      </c>
      <c r="AA105" s="568">
        <f t="shared" si="21"/>
        <v>83</v>
      </c>
      <c r="AB105" s="493">
        <f>IFERROR(INDEX('[14]CN BC'!$M$10:$M$276,MATCH(B105,'[14]CN BC'!$H$10:$H$276,0)),"")</f>
        <v>0</v>
      </c>
      <c r="AC105" s="141" t="str">
        <f>VLOOKUP(B105,TH.T4!B103:AC433,28,FALSE)</f>
        <v>KT</v>
      </c>
      <c r="AD105" s="108"/>
      <c r="AE105" s="108"/>
      <c r="AF105" s="155"/>
      <c r="AG105" s="108"/>
      <c r="AH105" s="108"/>
      <c r="AI105" s="108"/>
      <c r="AJ105" s="108"/>
      <c r="AK105" s="108"/>
      <c r="AL105" s="108"/>
    </row>
    <row r="106" spans="1:42" s="372" customFormat="1" ht="28.5" customHeight="1">
      <c r="A106" s="379">
        <f>_xlfn.AGGREGATE(4,7,A$22:A105)+1</f>
        <v>84</v>
      </c>
      <c r="B106" s="374" t="s">
        <v>1475</v>
      </c>
      <c r="C106" s="960" t="s">
        <v>49</v>
      </c>
      <c r="D106" s="434" t="s">
        <v>1686</v>
      </c>
      <c r="E106" s="426" t="s">
        <v>1585</v>
      </c>
      <c r="F106" s="81" t="str">
        <f>VLOOKUP(B106,TH.T4!B104:J434,9,FALSE)</f>
        <v>Giảng viên khoa Kinh tế</v>
      </c>
      <c r="G106" s="373">
        <v>3.66</v>
      </c>
      <c r="H106" s="367"/>
      <c r="I106" s="445">
        <f t="shared" si="14"/>
        <v>3.66</v>
      </c>
      <c r="J106" s="368"/>
      <c r="K106" s="369">
        <f t="shared" si="15"/>
        <v>3.66</v>
      </c>
      <c r="L106" s="362">
        <f t="shared" si="16"/>
        <v>6588000</v>
      </c>
      <c r="M106" s="366" t="str">
        <f>VLOOKUP(B106,'[13]Gui chi Quynh'!$B$11:$E$400,4,FALSE)</f>
        <v>A3</v>
      </c>
      <c r="N106" s="494">
        <f t="shared" si="17"/>
        <v>7905600</v>
      </c>
      <c r="O106" s="376">
        <v>22</v>
      </c>
      <c r="P106" s="440">
        <f>IFERROR(INDEX('[14]CN BC'!$J$10:$J$276,MATCH(B106,'[14]CN BC'!$H$10:$H$276,0)),"")</f>
        <v>22</v>
      </c>
      <c r="Q106" s="494">
        <f t="shared" si="18"/>
        <v>7905600</v>
      </c>
      <c r="R106" s="460"/>
      <c r="S106" s="362">
        <f t="shared" si="22"/>
        <v>0</v>
      </c>
      <c r="T106" s="370"/>
      <c r="U106" s="362">
        <f t="shared" si="19"/>
        <v>0</v>
      </c>
      <c r="V106" s="584">
        <f t="shared" si="20"/>
        <v>65880</v>
      </c>
      <c r="W106" s="371">
        <f t="shared" si="24"/>
        <v>7905600</v>
      </c>
      <c r="X106" s="977">
        <f t="shared" si="25"/>
        <v>4.3920000000000003</v>
      </c>
      <c r="Y106" s="491">
        <v>1800000</v>
      </c>
      <c r="Z106" s="663">
        <f t="shared" si="23"/>
        <v>7905600.0000000009</v>
      </c>
      <c r="AA106" s="568">
        <f t="shared" si="21"/>
        <v>84</v>
      </c>
      <c r="AB106" s="493">
        <f>IFERROR(INDEX('[14]CN BC'!$M$10:$M$276,MATCH(B106,'[14]CN BC'!$H$10:$H$276,0)),"")</f>
        <v>0</v>
      </c>
      <c r="AC106" s="141" t="str">
        <f>VLOOKUP(B106,TH.T4!B104:AC434,28,FALSE)</f>
        <v>KT</v>
      </c>
      <c r="AD106" s="471"/>
      <c r="AE106" s="108"/>
      <c r="AF106" s="155"/>
    </row>
    <row r="107" spans="1:42" s="372" customFormat="1" ht="28.5" customHeight="1">
      <c r="A107" s="379">
        <f>_xlfn.AGGREGATE(4,7,A$22:A106)+1</f>
        <v>85</v>
      </c>
      <c r="B107" s="374" t="s">
        <v>1476</v>
      </c>
      <c r="C107" s="960" t="s">
        <v>1209</v>
      </c>
      <c r="D107" s="434" t="s">
        <v>1687</v>
      </c>
      <c r="E107" s="426" t="s">
        <v>1586</v>
      </c>
      <c r="F107" s="81" t="str">
        <f>VLOOKUP(B107,TH.T4!B105:J435,9,FALSE)</f>
        <v>Giảng viên khoa Du lịch - Khách sạn</v>
      </c>
      <c r="G107" s="373">
        <v>3</v>
      </c>
      <c r="H107" s="367"/>
      <c r="I107" s="445">
        <f t="shared" si="14"/>
        <v>3</v>
      </c>
      <c r="J107" s="368"/>
      <c r="K107" s="369">
        <f t="shared" si="15"/>
        <v>3</v>
      </c>
      <c r="L107" s="362">
        <f t="shared" si="16"/>
        <v>5400000</v>
      </c>
      <c r="M107" s="366" t="str">
        <f>VLOOKUP(B107,'[13]Gui chi Quynh'!$B$11:$E$400,4,FALSE)</f>
        <v>A3</v>
      </c>
      <c r="N107" s="494">
        <f t="shared" si="17"/>
        <v>6480000</v>
      </c>
      <c r="O107" s="376">
        <v>22</v>
      </c>
      <c r="P107" s="440">
        <f>IFERROR(INDEX('[14]CN BC'!$J$10:$J$276,MATCH(B107,'[14]CN BC'!$H$10:$H$276,0)),"")</f>
        <v>22</v>
      </c>
      <c r="Q107" s="494">
        <f t="shared" si="18"/>
        <v>6480000</v>
      </c>
      <c r="R107" s="392"/>
      <c r="S107" s="362">
        <f t="shared" si="22"/>
        <v>0</v>
      </c>
      <c r="T107" s="370"/>
      <c r="U107" s="362">
        <f t="shared" si="19"/>
        <v>0</v>
      </c>
      <c r="V107" s="584">
        <f t="shared" si="20"/>
        <v>54000</v>
      </c>
      <c r="W107" s="371">
        <f t="shared" si="24"/>
        <v>6480000</v>
      </c>
      <c r="X107" s="977">
        <f t="shared" si="25"/>
        <v>3.6</v>
      </c>
      <c r="Y107" s="491">
        <v>1800000</v>
      </c>
      <c r="Z107" s="663">
        <f t="shared" si="23"/>
        <v>6480000</v>
      </c>
      <c r="AA107" s="568">
        <f t="shared" si="21"/>
        <v>85</v>
      </c>
      <c r="AB107" s="493">
        <f>IFERROR(INDEX('[14]CN BC'!$M$10:$M$276,MATCH(B107,'[14]CN BC'!$H$10:$H$276,0)),"")</f>
        <v>0</v>
      </c>
      <c r="AC107" s="141" t="str">
        <f>VLOOKUP(B107,TH.T4!B105:AC435,28,FALSE)</f>
        <v>DL-KS</v>
      </c>
      <c r="AD107" s="108"/>
      <c r="AE107" s="108"/>
      <c r="AF107" s="155"/>
      <c r="AG107" s="108"/>
      <c r="AH107" s="108"/>
      <c r="AI107" s="108"/>
      <c r="AJ107" s="108"/>
      <c r="AK107" s="108"/>
      <c r="AL107" s="108"/>
    </row>
    <row r="108" spans="1:42" s="372" customFormat="1" ht="28.5" customHeight="1">
      <c r="A108" s="379">
        <f>_xlfn.AGGREGATE(4,7,A$22:A107)+1</f>
        <v>86</v>
      </c>
      <c r="B108" s="374" t="s">
        <v>1477</v>
      </c>
      <c r="C108" s="960" t="s">
        <v>920</v>
      </c>
      <c r="D108" s="434" t="s">
        <v>1688</v>
      </c>
      <c r="E108" s="426" t="s">
        <v>1587</v>
      </c>
      <c r="F108" s="81" t="str">
        <f>VLOOKUP(B108,TH.T4!B106:J436,9,FALSE)</f>
        <v>Giảng viên khoa Du lịch - Khách sạn</v>
      </c>
      <c r="G108" s="373">
        <v>3.66</v>
      </c>
      <c r="H108" s="367"/>
      <c r="I108" s="445">
        <f t="shared" si="14"/>
        <v>3.66</v>
      </c>
      <c r="J108" s="368">
        <v>0.25</v>
      </c>
      <c r="K108" s="369">
        <f t="shared" si="15"/>
        <v>3.91</v>
      </c>
      <c r="L108" s="362">
        <f t="shared" si="16"/>
        <v>7038000</v>
      </c>
      <c r="M108" s="366" t="str">
        <f>VLOOKUP(B108,'[13]Gui chi Quynh'!$B$11:$E$400,4,FALSE)</f>
        <v>A2</v>
      </c>
      <c r="N108" s="494">
        <f t="shared" si="17"/>
        <v>9853200</v>
      </c>
      <c r="O108" s="376">
        <v>22</v>
      </c>
      <c r="P108" s="440">
        <f>IFERROR(INDEX('[14]CN BC'!$J$10:$J$276,MATCH(B108,'[14]CN BC'!$H$10:$H$276,0)),"")</f>
        <v>22</v>
      </c>
      <c r="Q108" s="494">
        <f t="shared" si="18"/>
        <v>9853200</v>
      </c>
      <c r="R108" s="460"/>
      <c r="S108" s="362">
        <f t="shared" si="22"/>
        <v>0</v>
      </c>
      <c r="T108" s="370"/>
      <c r="U108" s="362">
        <f t="shared" si="19"/>
        <v>0</v>
      </c>
      <c r="V108" s="584">
        <f t="shared" si="20"/>
        <v>70380</v>
      </c>
      <c r="W108" s="371">
        <f t="shared" si="24"/>
        <v>9853200</v>
      </c>
      <c r="X108" s="977">
        <f t="shared" si="25"/>
        <v>5.4740000000000002</v>
      </c>
      <c r="Y108" s="491">
        <v>1800000</v>
      </c>
      <c r="Z108" s="663">
        <f t="shared" si="23"/>
        <v>9853200</v>
      </c>
      <c r="AA108" s="568">
        <f t="shared" si="21"/>
        <v>86</v>
      </c>
      <c r="AB108" s="493">
        <f>IFERROR(INDEX('[14]CN BC'!$M$10:$M$276,MATCH(B108,'[14]CN BC'!$H$10:$H$276,0)),"")</f>
        <v>0</v>
      </c>
      <c r="AC108" s="141" t="s">
        <v>2234</v>
      </c>
      <c r="AD108" s="108"/>
      <c r="AE108" s="108"/>
      <c r="AF108" s="155"/>
      <c r="AG108" s="108"/>
      <c r="AH108" s="108"/>
      <c r="AI108" s="108"/>
      <c r="AJ108" s="108"/>
      <c r="AK108" s="108"/>
      <c r="AL108" s="108"/>
    </row>
    <row r="109" spans="1:42" s="372" customFormat="1" ht="28.5" customHeight="1">
      <c r="A109" s="379">
        <f>_xlfn.AGGREGATE(4,7,A$22:A108)+1</f>
        <v>87</v>
      </c>
      <c r="B109" s="374" t="s">
        <v>1842</v>
      </c>
      <c r="C109" s="960"/>
      <c r="D109" s="434" t="s">
        <v>1962</v>
      </c>
      <c r="E109" s="479" t="s">
        <v>1933</v>
      </c>
      <c r="F109" s="81" t="str">
        <f>VLOOKUP(B109,TH.T4!B107:J437,9,FALSE)</f>
        <v>Giảng viên khoa Kinh tế</v>
      </c>
      <c r="G109" s="373">
        <v>3</v>
      </c>
      <c r="H109" s="367"/>
      <c r="I109" s="445">
        <f t="shared" si="14"/>
        <v>3</v>
      </c>
      <c r="J109" s="368"/>
      <c r="K109" s="369">
        <f t="shared" si="15"/>
        <v>3</v>
      </c>
      <c r="L109" s="362">
        <f t="shared" si="16"/>
        <v>5400000</v>
      </c>
      <c r="M109" s="366" t="str">
        <f>VLOOKUP(B109,'[13]Gui chi Quynh'!$B$11:$E$400,4,FALSE)</f>
        <v>A1</v>
      </c>
      <c r="N109" s="494">
        <f t="shared" si="17"/>
        <v>8640000</v>
      </c>
      <c r="O109" s="376">
        <v>22</v>
      </c>
      <c r="P109" s="440">
        <f>IFERROR(INDEX('[14]CN BC'!$J$10:$J$276,MATCH(B109,'[14]CN BC'!$H$10:$H$276,0)),"")</f>
        <v>26</v>
      </c>
      <c r="Q109" s="494">
        <f t="shared" si="18"/>
        <v>8640000</v>
      </c>
      <c r="R109" s="460"/>
      <c r="S109" s="362">
        <f t="shared" si="22"/>
        <v>0</v>
      </c>
      <c r="T109" s="370"/>
      <c r="U109" s="362">
        <f t="shared" si="19"/>
        <v>0</v>
      </c>
      <c r="V109" s="584">
        <f t="shared" si="20"/>
        <v>54000</v>
      </c>
      <c r="W109" s="371">
        <f t="shared" si="24"/>
        <v>8640000</v>
      </c>
      <c r="X109" s="977">
        <f t="shared" si="25"/>
        <v>4.8</v>
      </c>
      <c r="Y109" s="491">
        <v>1800000</v>
      </c>
      <c r="Z109" s="663">
        <f t="shared" si="23"/>
        <v>8640000</v>
      </c>
      <c r="AA109" s="568">
        <f t="shared" si="21"/>
        <v>87</v>
      </c>
      <c r="AB109" s="493" t="str">
        <f>IFERROR(INDEX('[14]CN BC'!$M$10:$M$276,MATCH(B109,'[14]CN BC'!$H$10:$H$276,0)),"")</f>
        <v>Hỗ trợ công việc phòng KHTC</v>
      </c>
      <c r="AC109" s="141" t="str">
        <f>VLOOKUP(B109,TH.T4!B107:AC437,28,FALSE)</f>
        <v>KT</v>
      </c>
      <c r="AD109" s="108"/>
      <c r="AE109" s="108"/>
      <c r="AF109" s="155"/>
      <c r="AG109" s="108"/>
      <c r="AH109" s="108"/>
      <c r="AI109" s="108"/>
      <c r="AJ109" s="108"/>
      <c r="AK109" s="108"/>
      <c r="AL109" s="108"/>
    </row>
    <row r="110" spans="1:42" s="372" customFormat="1" ht="28.5" customHeight="1">
      <c r="A110" s="379">
        <f>_xlfn.AGGREGATE(4,7,A$22:A109)+1</f>
        <v>88</v>
      </c>
      <c r="B110" s="374" t="s">
        <v>1946</v>
      </c>
      <c r="C110" s="960"/>
      <c r="D110" s="379" t="s">
        <v>1950</v>
      </c>
      <c r="E110" s="479" t="s">
        <v>1951</v>
      </c>
      <c r="F110" s="81" t="str">
        <f>VLOOKUP(B110,TH.T4!B108:J438,9,FALSE)</f>
        <v>Trưởng khoa Du lịch - Khách sạn</v>
      </c>
      <c r="G110" s="369">
        <v>2.67</v>
      </c>
      <c r="H110" s="367"/>
      <c r="I110" s="445">
        <f t="shared" si="14"/>
        <v>2.67</v>
      </c>
      <c r="J110" s="368">
        <v>0.45</v>
      </c>
      <c r="K110" s="369">
        <f t="shared" si="15"/>
        <v>3.12</v>
      </c>
      <c r="L110" s="362">
        <f t="shared" si="16"/>
        <v>5616000</v>
      </c>
      <c r="M110" s="366" t="str">
        <f>VLOOKUP(B110,'[13]Gui chi Quynh'!$B$11:$E$400,4,FALSE)</f>
        <v>A1</v>
      </c>
      <c r="N110" s="494">
        <f t="shared" si="17"/>
        <v>8985600</v>
      </c>
      <c r="O110" s="376">
        <v>22</v>
      </c>
      <c r="P110" s="440">
        <f>IFERROR(INDEX('[14]CN BC'!$J$10:$J$276,MATCH(B110,'[14]CN BC'!$H$10:$H$276,0)),"")</f>
        <v>22</v>
      </c>
      <c r="Q110" s="494">
        <f t="shared" si="18"/>
        <v>8985600</v>
      </c>
      <c r="R110" s="460"/>
      <c r="S110" s="362">
        <f t="shared" si="22"/>
        <v>0</v>
      </c>
      <c r="T110" s="370"/>
      <c r="U110" s="362">
        <f t="shared" si="19"/>
        <v>0</v>
      </c>
      <c r="V110" s="584">
        <f t="shared" si="20"/>
        <v>56160</v>
      </c>
      <c r="W110" s="371">
        <f t="shared" si="24"/>
        <v>8985600</v>
      </c>
      <c r="X110" s="977">
        <f t="shared" si="25"/>
        <v>4.992</v>
      </c>
      <c r="Y110" s="491">
        <v>1800000</v>
      </c>
      <c r="Z110" s="663">
        <f t="shared" si="23"/>
        <v>8985600</v>
      </c>
      <c r="AA110" s="568">
        <f t="shared" si="21"/>
        <v>88</v>
      </c>
      <c r="AB110" s="493">
        <f>IFERROR(INDEX('[14]CN BC'!$M$10:$M$276,MATCH(B110,'[14]CN BC'!$H$10:$H$276,0)),"")</f>
        <v>0</v>
      </c>
      <c r="AC110" s="141" t="s">
        <v>2234</v>
      </c>
      <c r="AD110" s="108"/>
      <c r="AE110" s="108"/>
      <c r="AF110" s="155"/>
      <c r="AG110" s="108"/>
      <c r="AH110" s="108"/>
      <c r="AI110" s="108"/>
      <c r="AJ110" s="108"/>
      <c r="AK110" s="108"/>
      <c r="AL110" s="108"/>
    </row>
    <row r="111" spans="1:42" s="372" customFormat="1" ht="36.75" customHeight="1">
      <c r="A111" s="543">
        <f>_xlfn.AGGREGATE(4,7,A$22:A110)+1</f>
        <v>89</v>
      </c>
      <c r="B111" s="962" t="s">
        <v>1947</v>
      </c>
      <c r="C111" s="963"/>
      <c r="D111" s="543" t="s">
        <v>1952</v>
      </c>
      <c r="E111" s="545" t="s">
        <v>1953</v>
      </c>
      <c r="F111" s="472" t="str">
        <f>VLOOKUP(B111,TH.T4!B109:J439,9,FALSE)</f>
        <v>Giảng viên khoa Du lịch - Khách sạn</v>
      </c>
      <c r="G111" s="529">
        <v>2.34</v>
      </c>
      <c r="H111" s="528"/>
      <c r="I111" s="546">
        <f t="shared" si="14"/>
        <v>2.34</v>
      </c>
      <c r="J111" s="472"/>
      <c r="K111" s="529">
        <f t="shared" si="15"/>
        <v>2.34</v>
      </c>
      <c r="L111" s="530">
        <f t="shared" si="16"/>
        <v>4212000</v>
      </c>
      <c r="M111" s="548" t="str">
        <f>VLOOKUP(B111,'[13]Gui chi Quynh'!$B$11:$E$400,4,FALSE)</f>
        <v>A DN</v>
      </c>
      <c r="N111" s="531">
        <f t="shared" si="17"/>
        <v>0</v>
      </c>
      <c r="O111" s="549">
        <v>22</v>
      </c>
      <c r="P111" s="532">
        <f>IFERROR(INDEX('[14]CN BC'!$J$10:$J$276,MATCH(B111,'[14]CN BC'!$H$10:$H$276,0)),"")</f>
        <v>0</v>
      </c>
      <c r="Q111" s="531">
        <f t="shared" si="18"/>
        <v>0</v>
      </c>
      <c r="R111" s="533"/>
      <c r="S111" s="530">
        <f t="shared" si="22"/>
        <v>0</v>
      </c>
      <c r="T111" s="534"/>
      <c r="U111" s="530">
        <f t="shared" si="19"/>
        <v>0</v>
      </c>
      <c r="V111" s="530" t="str">
        <f t="shared" si="20"/>
        <v>0</v>
      </c>
      <c r="W111" s="547">
        <f t="shared" si="24"/>
        <v>0</v>
      </c>
      <c r="X111" s="979">
        <f t="shared" si="25"/>
        <v>0</v>
      </c>
      <c r="Y111" s="843">
        <v>1800000</v>
      </c>
      <c r="Z111" s="706">
        <f t="shared" si="23"/>
        <v>0</v>
      </c>
      <c r="AA111" s="571">
        <f t="shared" si="21"/>
        <v>89</v>
      </c>
      <c r="AB111" s="550" t="str">
        <f>IFERROR(INDEX('[14]CN BC'!$M$10:$M$276,MATCH(B111,'[14]CN BC'!$H$10:$H$276,0)),"")</f>
        <v>Đi du học nước ngoài từ 28/2/2023</v>
      </c>
      <c r="AC111" s="141" t="s">
        <v>2234</v>
      </c>
      <c r="AD111" s="108"/>
      <c r="AE111" s="108"/>
      <c r="AF111" s="155"/>
      <c r="AG111" s="108"/>
      <c r="AH111" s="108"/>
      <c r="AI111" s="108"/>
      <c r="AJ111" s="108"/>
      <c r="AK111" s="108"/>
      <c r="AL111" s="108"/>
    </row>
    <row r="112" spans="1:42" s="372" customFormat="1" ht="28.5" customHeight="1">
      <c r="A112" s="379">
        <f>_xlfn.AGGREGATE(4,7,A$22:A111)+1</f>
        <v>90</v>
      </c>
      <c r="B112" s="374" t="s">
        <v>1997</v>
      </c>
      <c r="C112" s="960"/>
      <c r="D112" s="379"/>
      <c r="E112" s="479"/>
      <c r="F112" s="81" t="str">
        <f>VLOOKUP(B112,TH.T4!B110:J440,9,FALSE)</f>
        <v>Giảng viên khoa Kinh tế</v>
      </c>
      <c r="G112" s="369">
        <v>2.34</v>
      </c>
      <c r="H112" s="367"/>
      <c r="I112" s="445">
        <f t="shared" si="14"/>
        <v>2.34</v>
      </c>
      <c r="J112" s="368"/>
      <c r="K112" s="369">
        <f t="shared" si="15"/>
        <v>2.34</v>
      </c>
      <c r="L112" s="362">
        <f t="shared" si="16"/>
        <v>4212000</v>
      </c>
      <c r="M112" s="366" t="str">
        <f>VLOOKUP(B112,'[13]Gui chi Quynh'!$B$11:$E$400,4,FALSE)</f>
        <v>A2</v>
      </c>
      <c r="N112" s="494">
        <f t="shared" si="17"/>
        <v>5896800</v>
      </c>
      <c r="O112" s="376">
        <v>22</v>
      </c>
      <c r="P112" s="440">
        <f>IFERROR(INDEX('[14]CN BC'!$J$10:$J$276,MATCH(B112,'[14]CN BC'!$H$10:$H$276,0)),"")</f>
        <v>22</v>
      </c>
      <c r="Q112" s="494">
        <f t="shared" si="18"/>
        <v>5896800</v>
      </c>
      <c r="R112" s="460"/>
      <c r="S112" s="362">
        <f>R112*$H$19*1.4</f>
        <v>0</v>
      </c>
      <c r="T112" s="370"/>
      <c r="U112" s="362">
        <f t="shared" si="19"/>
        <v>0</v>
      </c>
      <c r="V112" s="584">
        <f t="shared" si="20"/>
        <v>42120</v>
      </c>
      <c r="W112" s="371">
        <f t="shared" si="24"/>
        <v>5896800</v>
      </c>
      <c r="X112" s="977">
        <f t="shared" si="25"/>
        <v>3.2759999999999998</v>
      </c>
      <c r="Y112" s="491">
        <v>1800000</v>
      </c>
      <c r="Z112" s="663">
        <f t="shared" si="23"/>
        <v>5896800</v>
      </c>
      <c r="AA112" s="568">
        <f t="shared" si="21"/>
        <v>90</v>
      </c>
      <c r="AB112" s="493">
        <f>IFERROR(INDEX('[14]CN BC'!$M$10:$M$276,MATCH(B112,'[14]CN BC'!$H$10:$H$276,0)),"")</f>
        <v>0</v>
      </c>
      <c r="AC112" s="141" t="str">
        <f>VLOOKUP(B112,TH.T4!B110:AC440,28,FALSE)</f>
        <v>KT</v>
      </c>
      <c r="AD112" s="108"/>
      <c r="AE112" s="108"/>
      <c r="AF112" s="487"/>
    </row>
    <row r="113" spans="1:42" s="372" customFormat="1" ht="28.5" customHeight="1">
      <c r="A113" s="379">
        <f>_xlfn.AGGREGATE(4,7,A$22:A112)+1</f>
        <v>91</v>
      </c>
      <c r="B113" s="374" t="s">
        <v>1998</v>
      </c>
      <c r="C113" s="960"/>
      <c r="D113" s="379"/>
      <c r="E113" s="479"/>
      <c r="F113" s="81" t="str">
        <f>VLOOKUP(B113,TH.T4!B111:J441,9,FALSE)</f>
        <v>Giảng viên khoa Du lịch - Khách sạn</v>
      </c>
      <c r="G113" s="373">
        <v>3.33</v>
      </c>
      <c r="H113" s="367"/>
      <c r="I113" s="445">
        <f t="shared" si="14"/>
        <v>3.33</v>
      </c>
      <c r="J113" s="368"/>
      <c r="K113" s="369">
        <f t="shared" si="15"/>
        <v>3.33</v>
      </c>
      <c r="L113" s="362">
        <f t="shared" si="16"/>
        <v>5994000</v>
      </c>
      <c r="M113" s="366" t="str">
        <f>VLOOKUP(B113,'[13]Gui chi Quynh'!$B$11:$E$400,4,FALSE)</f>
        <v>A3</v>
      </c>
      <c r="N113" s="494">
        <f t="shared" si="17"/>
        <v>7192800</v>
      </c>
      <c r="O113" s="376">
        <v>22</v>
      </c>
      <c r="P113" s="440">
        <f>IFERROR(INDEX('[14]CN BC'!$J$10:$J$276,MATCH(B113,'[14]CN BC'!$H$10:$H$276,0)),"")</f>
        <v>22</v>
      </c>
      <c r="Q113" s="494">
        <f t="shared" si="18"/>
        <v>7192800</v>
      </c>
      <c r="R113" s="460"/>
      <c r="S113" s="362">
        <f t="shared" si="22"/>
        <v>0</v>
      </c>
      <c r="T113" s="370"/>
      <c r="U113" s="362">
        <f t="shared" si="19"/>
        <v>0</v>
      </c>
      <c r="V113" s="584">
        <f t="shared" si="20"/>
        <v>59940</v>
      </c>
      <c r="W113" s="371">
        <f t="shared" si="24"/>
        <v>7192800</v>
      </c>
      <c r="X113" s="977">
        <f t="shared" si="25"/>
        <v>3.996</v>
      </c>
      <c r="Y113" s="491">
        <v>1800000</v>
      </c>
      <c r="Z113" s="663">
        <f t="shared" si="23"/>
        <v>7192800</v>
      </c>
      <c r="AA113" s="568">
        <f t="shared" si="21"/>
        <v>91</v>
      </c>
      <c r="AB113" s="493">
        <f>IFERROR(INDEX('[14]CN BC'!$M$10:$M$276,MATCH(B113,'[14]CN BC'!$H$10:$H$276,0)),"")</f>
        <v>0</v>
      </c>
      <c r="AC113" s="141" t="s">
        <v>2234</v>
      </c>
      <c r="AD113" s="108"/>
      <c r="AE113" s="108"/>
      <c r="AF113" s="487"/>
    </row>
    <row r="114" spans="1:42" s="372" customFormat="1" ht="28.5" customHeight="1">
      <c r="A114" s="379">
        <f>_xlfn.AGGREGATE(4,7,A$22:A113)+1</f>
        <v>92</v>
      </c>
      <c r="B114" s="374" t="s">
        <v>1999</v>
      </c>
      <c r="C114" s="960"/>
      <c r="D114" s="379"/>
      <c r="E114" s="479"/>
      <c r="F114" s="81" t="str">
        <f>VLOOKUP(B114,TH.T4!B112:J442,9,FALSE)</f>
        <v>Giảng viên khoa Kinh tế</v>
      </c>
      <c r="G114" s="373">
        <v>3.66</v>
      </c>
      <c r="H114" s="367"/>
      <c r="I114" s="445">
        <f t="shared" si="14"/>
        <v>3.66</v>
      </c>
      <c r="J114" s="368"/>
      <c r="K114" s="369">
        <f t="shared" si="15"/>
        <v>3.66</v>
      </c>
      <c r="L114" s="362">
        <f t="shared" si="16"/>
        <v>6588000</v>
      </c>
      <c r="M114" s="366" t="str">
        <f>VLOOKUP(B114,'[13]Gui chi Quynh'!$B$11:$E$400,4,FALSE)</f>
        <v>A3</v>
      </c>
      <c r="N114" s="494">
        <f t="shared" si="17"/>
        <v>7905600</v>
      </c>
      <c r="O114" s="376">
        <v>22</v>
      </c>
      <c r="P114" s="440">
        <f>IFERROR(INDEX('[14]CN BC'!$J$10:$J$276,MATCH(B114,'[14]CN BC'!$H$10:$H$276,0)),"")</f>
        <v>22</v>
      </c>
      <c r="Q114" s="494">
        <f t="shared" si="18"/>
        <v>7905600</v>
      </c>
      <c r="R114" s="460"/>
      <c r="S114" s="362">
        <f t="shared" si="22"/>
        <v>0</v>
      </c>
      <c r="T114" s="370"/>
      <c r="U114" s="362">
        <f t="shared" si="19"/>
        <v>0</v>
      </c>
      <c r="V114" s="584">
        <f t="shared" si="20"/>
        <v>65880</v>
      </c>
      <c r="W114" s="371">
        <f t="shared" si="24"/>
        <v>7905600</v>
      </c>
      <c r="X114" s="977">
        <f t="shared" si="25"/>
        <v>4.3920000000000003</v>
      </c>
      <c r="Y114" s="491">
        <v>1800000</v>
      </c>
      <c r="Z114" s="663">
        <f t="shared" si="23"/>
        <v>7905600.0000000009</v>
      </c>
      <c r="AA114" s="568">
        <f t="shared" si="21"/>
        <v>92</v>
      </c>
      <c r="AB114" s="493">
        <f>IFERROR(INDEX('[14]CN BC'!$M$10:$M$276,MATCH(B114,'[14]CN BC'!$H$10:$H$276,0)),"")</f>
        <v>0</v>
      </c>
      <c r="AC114" s="141" t="str">
        <f>VLOOKUP(B114,TH.T4!B112:AC442,28,FALSE)</f>
        <v>KT</v>
      </c>
      <c r="AD114" s="108"/>
      <c r="AE114" s="108"/>
      <c r="AF114" s="487"/>
    </row>
    <row r="115" spans="1:42" s="372" customFormat="1" ht="28.5" customHeight="1">
      <c r="A115" s="379">
        <f>_xlfn.AGGREGATE(4,7,A$22:A114)+1</f>
        <v>93</v>
      </c>
      <c r="B115" s="374" t="s">
        <v>2001</v>
      </c>
      <c r="C115" s="960"/>
      <c r="D115" s="379"/>
      <c r="E115" s="479"/>
      <c r="F115" s="81" t="s">
        <v>2252</v>
      </c>
      <c r="G115" s="373">
        <v>3</v>
      </c>
      <c r="H115" s="367"/>
      <c r="I115" s="445">
        <f t="shared" si="14"/>
        <v>3</v>
      </c>
      <c r="J115" s="368"/>
      <c r="K115" s="369">
        <f t="shared" si="15"/>
        <v>3</v>
      </c>
      <c r="L115" s="362">
        <f t="shared" si="16"/>
        <v>5400000</v>
      </c>
      <c r="M115" s="366" t="str">
        <f>VLOOKUP(B115,'[13]Gui chi Quynh'!$B$11:$E$400,4,FALSE)</f>
        <v>A3</v>
      </c>
      <c r="N115" s="494">
        <f t="shared" si="17"/>
        <v>6480000</v>
      </c>
      <c r="O115" s="376">
        <v>22</v>
      </c>
      <c r="P115" s="440">
        <f>IFERROR(INDEX('[14]CN BC'!$J$10:$J$276,MATCH(B115,'[14]CN BC'!$H$10:$H$276,0)),"")</f>
        <v>22</v>
      </c>
      <c r="Q115" s="494">
        <f t="shared" si="18"/>
        <v>6480000</v>
      </c>
      <c r="R115" s="460"/>
      <c r="S115" s="362">
        <f t="shared" si="22"/>
        <v>0</v>
      </c>
      <c r="T115" s="370"/>
      <c r="U115" s="362">
        <f t="shared" si="19"/>
        <v>0</v>
      </c>
      <c r="V115" s="584">
        <f t="shared" si="20"/>
        <v>54000</v>
      </c>
      <c r="W115" s="371">
        <f t="shared" si="24"/>
        <v>6480000</v>
      </c>
      <c r="X115" s="977">
        <f t="shared" si="25"/>
        <v>3.6</v>
      </c>
      <c r="Y115" s="491">
        <v>1800000</v>
      </c>
      <c r="Z115" s="663">
        <f t="shared" si="23"/>
        <v>6480000</v>
      </c>
      <c r="AA115" s="568">
        <f t="shared" si="21"/>
        <v>93</v>
      </c>
      <c r="AB115" s="493">
        <f>IFERROR(INDEX('[14]CN BC'!$M$10:$M$276,MATCH(B115,'[14]CN BC'!$H$10:$H$276,0)),"")</f>
        <v>0</v>
      </c>
      <c r="AC115" s="141" t="s">
        <v>2233</v>
      </c>
      <c r="AD115" s="108"/>
      <c r="AE115" s="108"/>
      <c r="AF115" s="487"/>
    </row>
    <row r="116" spans="1:42" s="372" customFormat="1" ht="37.5" customHeight="1">
      <c r="A116" s="379">
        <f>_xlfn.AGGREGATE(4,7,A$22:A115)+1</f>
        <v>94</v>
      </c>
      <c r="B116" s="374" t="s">
        <v>2021</v>
      </c>
      <c r="C116" s="960"/>
      <c r="D116" s="379"/>
      <c r="E116" s="479"/>
      <c r="F116" s="81" t="str">
        <f>VLOOKUP(B116,TH.T4!B114:J444,9,FALSE)</f>
        <v>Giảng viên khoa Kinh tế</v>
      </c>
      <c r="G116" s="373">
        <v>3.66</v>
      </c>
      <c r="H116" s="367"/>
      <c r="I116" s="445">
        <f t="shared" si="14"/>
        <v>3.66</v>
      </c>
      <c r="J116" s="368"/>
      <c r="K116" s="369">
        <f t="shared" si="15"/>
        <v>3.66</v>
      </c>
      <c r="L116" s="362">
        <f t="shared" si="16"/>
        <v>6588000</v>
      </c>
      <c r="M116" s="366" t="str">
        <f>VLOOKUP(B116,'[13]Gui chi Quynh'!$B$11:$E$400,4,FALSE)</f>
        <v>A3</v>
      </c>
      <c r="N116" s="494">
        <f t="shared" si="17"/>
        <v>7905600</v>
      </c>
      <c r="O116" s="376">
        <v>22</v>
      </c>
      <c r="P116" s="440">
        <f>IFERROR(INDEX('[14]CN BC'!$J$10:$J$276,MATCH(B116,'[14]CN BC'!$H$10:$H$276,0)),"")</f>
        <v>22</v>
      </c>
      <c r="Q116" s="494">
        <f t="shared" si="18"/>
        <v>7905600</v>
      </c>
      <c r="R116" s="460"/>
      <c r="S116" s="362">
        <f t="shared" si="22"/>
        <v>0</v>
      </c>
      <c r="T116" s="370"/>
      <c r="U116" s="362">
        <f t="shared" si="19"/>
        <v>0</v>
      </c>
      <c r="V116" s="584">
        <f t="shared" si="20"/>
        <v>65880</v>
      </c>
      <c r="W116" s="371">
        <f t="shared" si="24"/>
        <v>7905600</v>
      </c>
      <c r="X116" s="977">
        <f t="shared" si="25"/>
        <v>4.3920000000000003</v>
      </c>
      <c r="Y116" s="491">
        <v>1800000</v>
      </c>
      <c r="Z116" s="663">
        <f t="shared" si="23"/>
        <v>7905600.0000000009</v>
      </c>
      <c r="AA116" s="568">
        <f t="shared" si="21"/>
        <v>94</v>
      </c>
      <c r="AB116" s="493">
        <f>IFERROR(INDEX('[14]CN BC'!$M$10:$M$276,MATCH(B116,'[14]CN BC'!$H$10:$H$276,0)),"")</f>
        <v>0</v>
      </c>
      <c r="AC116" s="141" t="str">
        <f>VLOOKUP(B116,TH.T4!B114:AC444,28,FALSE)</f>
        <v>KT</v>
      </c>
      <c r="AF116" s="487"/>
    </row>
    <row r="117" spans="1:42" s="372" customFormat="1" ht="31.5" customHeight="1">
      <c r="A117" s="379">
        <f>_xlfn.AGGREGATE(4,7,A$22:A116)+1</f>
        <v>95</v>
      </c>
      <c r="B117" s="374" t="s">
        <v>1478</v>
      </c>
      <c r="C117" s="960" t="s">
        <v>272</v>
      </c>
      <c r="D117" s="434" t="s">
        <v>1689</v>
      </c>
      <c r="E117" s="423" t="s">
        <v>371</v>
      </c>
      <c r="F117" s="81" t="str">
        <f>VLOOKUP(B117,TH.T4!B115:J445,9,FALSE)</f>
        <v>Giảng viên khoa May - Thời trang</v>
      </c>
      <c r="G117" s="373">
        <v>3.66</v>
      </c>
      <c r="H117" s="367"/>
      <c r="I117" s="368">
        <f t="shared" si="14"/>
        <v>3.66</v>
      </c>
      <c r="J117" s="368"/>
      <c r="K117" s="369">
        <f t="shared" si="15"/>
        <v>3.66</v>
      </c>
      <c r="L117" s="362">
        <f>K117*$H$19</f>
        <v>6588000</v>
      </c>
      <c r="M117" s="366" t="str">
        <f>VLOOKUP(B117,'[13]Gui chi Quynh'!$B$11:$E$400,4,FALSE)</f>
        <v>A3</v>
      </c>
      <c r="N117" s="494">
        <f t="shared" si="17"/>
        <v>7905600</v>
      </c>
      <c r="O117" s="376">
        <v>22</v>
      </c>
      <c r="P117" s="440">
        <f>IFERROR(INDEX('[14]CN BC'!$J$10:$J$276,MATCH(B117,'[14]CN BC'!$H$10:$H$276,0)),"")</f>
        <v>22</v>
      </c>
      <c r="Q117" s="494">
        <f t="shared" si="18"/>
        <v>7905600</v>
      </c>
      <c r="R117" s="460"/>
      <c r="S117" s="362">
        <f t="shared" si="22"/>
        <v>0</v>
      </c>
      <c r="T117" s="370"/>
      <c r="U117" s="362">
        <f t="shared" si="19"/>
        <v>0</v>
      </c>
      <c r="V117" s="584">
        <f t="shared" si="20"/>
        <v>65880</v>
      </c>
      <c r="W117" s="371">
        <f t="shared" si="24"/>
        <v>7905600</v>
      </c>
      <c r="X117" s="977">
        <f t="shared" si="25"/>
        <v>4.3920000000000003</v>
      </c>
      <c r="Y117" s="491">
        <v>1800000</v>
      </c>
      <c r="Z117" s="663">
        <f t="shared" si="23"/>
        <v>7905600.0000000009</v>
      </c>
      <c r="AA117" s="568">
        <f t="shared" si="21"/>
        <v>95</v>
      </c>
      <c r="AB117" s="493">
        <f>IFERROR(INDEX('[14]CN BC'!$M$10:$M$276,MATCH(B117,'[14]CN BC'!$H$10:$H$276,0)),"")</f>
        <v>0</v>
      </c>
      <c r="AC117" s="141" t="str">
        <f>VLOOKUP(B117,TH.T4!B115:AC445,28,FALSE)</f>
        <v>M-TT</v>
      </c>
      <c r="AD117" s="108"/>
      <c r="AE117" s="108"/>
      <c r="AF117" s="155"/>
      <c r="AG117" s="108"/>
      <c r="AH117" s="108"/>
      <c r="AI117" s="108"/>
      <c r="AJ117" s="108"/>
      <c r="AK117" s="108"/>
      <c r="AL117" s="108"/>
    </row>
    <row r="118" spans="1:42" s="372" customFormat="1" ht="31.5" customHeight="1">
      <c r="A118" s="379">
        <f>_xlfn.AGGREGATE(4,7,A$22:A117)+1</f>
        <v>96</v>
      </c>
      <c r="B118" s="45" t="s">
        <v>1479</v>
      </c>
      <c r="C118" s="961" t="s">
        <v>912</v>
      </c>
      <c r="D118" s="406" t="s">
        <v>1690</v>
      </c>
      <c r="E118" s="424" t="s">
        <v>372</v>
      </c>
      <c r="F118" s="81" t="str">
        <f>VLOOKUP(B118,TH.T4!B116:J446,9,FALSE)</f>
        <v>Giảng viên khoa May - Thời trang</v>
      </c>
      <c r="G118" s="83">
        <v>3.66</v>
      </c>
      <c r="H118" s="157"/>
      <c r="I118" s="368">
        <f t="shared" si="14"/>
        <v>3.66</v>
      </c>
      <c r="J118" s="81"/>
      <c r="K118" s="369">
        <f t="shared" si="15"/>
        <v>3.66</v>
      </c>
      <c r="L118" s="362">
        <f>K118*$H$19</f>
        <v>6588000</v>
      </c>
      <c r="M118" s="366" t="str">
        <f>VLOOKUP(B118,'[13]Gui chi Quynh'!$B$11:$E$400,4,FALSE)</f>
        <v>A4</v>
      </c>
      <c r="N118" s="494">
        <f t="shared" si="17"/>
        <v>6588000</v>
      </c>
      <c r="O118" s="376">
        <v>22</v>
      </c>
      <c r="P118" s="440">
        <f>IFERROR(INDEX('[14]CN BC'!$J$10:$J$276,MATCH(B118,'[14]CN BC'!$H$10:$H$276,0)),"")</f>
        <v>22</v>
      </c>
      <c r="Q118" s="494">
        <f t="shared" si="18"/>
        <v>6588000</v>
      </c>
      <c r="R118" s="392"/>
      <c r="S118" s="362">
        <f t="shared" si="22"/>
        <v>0</v>
      </c>
      <c r="T118" s="74"/>
      <c r="U118" s="362">
        <f t="shared" si="19"/>
        <v>0</v>
      </c>
      <c r="V118" s="584">
        <f t="shared" si="20"/>
        <v>65880</v>
      </c>
      <c r="W118" s="371">
        <f t="shared" si="24"/>
        <v>6588000</v>
      </c>
      <c r="X118" s="977">
        <f t="shared" si="25"/>
        <v>3.66</v>
      </c>
      <c r="Y118" s="491">
        <v>1800000</v>
      </c>
      <c r="Z118" s="663">
        <f t="shared" si="23"/>
        <v>6588000</v>
      </c>
      <c r="AA118" s="568">
        <f t="shared" si="21"/>
        <v>96</v>
      </c>
      <c r="AB118" s="493">
        <f>IFERROR(INDEX('[14]CN BC'!$M$10:$M$276,MATCH(B118,'[14]CN BC'!$H$10:$H$276,0)),"")</f>
        <v>0</v>
      </c>
      <c r="AC118" s="141" t="str">
        <f>VLOOKUP(B118,TH.T4!B116:AC446,28,FALSE)</f>
        <v>M-TT</v>
      </c>
      <c r="AD118" s="108"/>
      <c r="AE118" s="108"/>
      <c r="AF118" s="155"/>
      <c r="AG118" s="108"/>
      <c r="AH118" s="108"/>
      <c r="AI118" s="108"/>
      <c r="AJ118" s="108"/>
      <c r="AK118" s="108"/>
      <c r="AL118" s="108"/>
      <c r="AM118" s="108"/>
      <c r="AN118" s="108"/>
      <c r="AO118" s="108"/>
      <c r="AP118" s="108"/>
    </row>
    <row r="119" spans="1:42" s="372" customFormat="1" ht="31.5" customHeight="1">
      <c r="A119" s="379">
        <f>_xlfn.AGGREGATE(4,7,A$22:A118)+1</f>
        <v>97</v>
      </c>
      <c r="B119" s="374" t="s">
        <v>1480</v>
      </c>
      <c r="C119" s="960" t="s">
        <v>733</v>
      </c>
      <c r="D119" s="406" t="s">
        <v>1691</v>
      </c>
      <c r="E119" s="426" t="s">
        <v>735</v>
      </c>
      <c r="F119" s="81" t="str">
        <f>VLOOKUP(B119,TH.T4!B117:J447,9,FALSE)</f>
        <v>Phó Trưởng khoa May - Thời trang</v>
      </c>
      <c r="G119" s="373">
        <v>3.33</v>
      </c>
      <c r="H119" s="367"/>
      <c r="I119" s="445">
        <f t="shared" si="14"/>
        <v>3.33</v>
      </c>
      <c r="J119" s="368">
        <v>0.45</v>
      </c>
      <c r="K119" s="369">
        <f t="shared" si="15"/>
        <v>3.7800000000000002</v>
      </c>
      <c r="L119" s="362">
        <f>K119*$H$19</f>
        <v>6804000</v>
      </c>
      <c r="M119" s="366" t="str">
        <f>VLOOKUP(B119,'[13]Gui chi Quynh'!$B$11:$E$400,4,FALSE)</f>
        <v>A3</v>
      </c>
      <c r="N119" s="494">
        <f t="shared" si="17"/>
        <v>8164800</v>
      </c>
      <c r="O119" s="376">
        <v>22</v>
      </c>
      <c r="P119" s="440">
        <f>IFERROR(INDEX('[14]CN BC'!$J$10:$J$276,MATCH(B119,'[14]CN BC'!$H$10:$H$276,0)),"")</f>
        <v>22</v>
      </c>
      <c r="Q119" s="494">
        <f t="shared" si="18"/>
        <v>8164800</v>
      </c>
      <c r="R119" s="392"/>
      <c r="S119" s="362">
        <f t="shared" si="22"/>
        <v>0</v>
      </c>
      <c r="T119" s="370"/>
      <c r="U119" s="362">
        <f t="shared" si="19"/>
        <v>0</v>
      </c>
      <c r="V119" s="584">
        <f t="shared" si="20"/>
        <v>68040</v>
      </c>
      <c r="W119" s="371">
        <f t="shared" si="24"/>
        <v>8164800</v>
      </c>
      <c r="X119" s="977">
        <f t="shared" si="25"/>
        <v>4.5359999999999996</v>
      </c>
      <c r="Y119" s="491">
        <v>1800000</v>
      </c>
      <c r="Z119" s="663">
        <f t="shared" si="23"/>
        <v>8164799.9999999991</v>
      </c>
      <c r="AA119" s="568">
        <f t="shared" si="21"/>
        <v>97</v>
      </c>
      <c r="AB119" s="493">
        <f>IFERROR(INDEX('[14]CN BC'!$M$10:$M$276,MATCH(B119,'[14]CN BC'!$H$10:$H$276,0)),"")</f>
        <v>0</v>
      </c>
      <c r="AC119" s="141" t="str">
        <f>VLOOKUP(B119,TH.T4!B117:AC447,28,FALSE)</f>
        <v>M-TT</v>
      </c>
      <c r="AD119" s="108"/>
      <c r="AE119" s="108"/>
      <c r="AF119" s="155"/>
      <c r="AG119" s="108"/>
      <c r="AH119" s="108"/>
      <c r="AI119" s="108"/>
      <c r="AJ119" s="108"/>
      <c r="AK119" s="108"/>
      <c r="AL119" s="108"/>
      <c r="AM119" s="108"/>
      <c r="AN119" s="108"/>
      <c r="AO119" s="108"/>
      <c r="AP119" s="108"/>
    </row>
    <row r="120" spans="1:42" s="372" customFormat="1" ht="31.5" customHeight="1">
      <c r="A120" s="379">
        <f>_xlfn.AGGREGATE(4,7,A$22:A119)+1</f>
        <v>98</v>
      </c>
      <c r="B120" s="374" t="s">
        <v>1481</v>
      </c>
      <c r="C120" s="960" t="s">
        <v>736</v>
      </c>
      <c r="D120" s="434" t="s">
        <v>1692</v>
      </c>
      <c r="E120" s="426">
        <v>1603205353742</v>
      </c>
      <c r="F120" s="81" t="str">
        <f>VLOOKUP(B120,TH.T4!B118:J448,9,FALSE)</f>
        <v>Giảng viên khoa May - Thời trang</v>
      </c>
      <c r="G120" s="373">
        <v>3.33</v>
      </c>
      <c r="H120" s="367"/>
      <c r="I120" s="445">
        <f>G120+(G120*H120)</f>
        <v>3.33</v>
      </c>
      <c r="J120" s="368"/>
      <c r="K120" s="369">
        <f>I120+J120</f>
        <v>3.33</v>
      </c>
      <c r="L120" s="362">
        <f>K120*$H$19</f>
        <v>5994000</v>
      </c>
      <c r="M120" s="366" t="str">
        <f>VLOOKUP(B120,'[13]Gui chi Quynh'!$B$11:$E$400,4,FALSE)</f>
        <v>A4</v>
      </c>
      <c r="N120" s="494">
        <f t="shared" si="17"/>
        <v>5994000</v>
      </c>
      <c r="O120" s="376">
        <v>22</v>
      </c>
      <c r="P120" s="440">
        <f>IFERROR(INDEX('[14]CN BC'!$J$10:$J$276,MATCH(B120,'[14]CN BC'!$H$10:$H$276,0)),"")</f>
        <v>22</v>
      </c>
      <c r="Q120" s="494">
        <f t="shared" si="18"/>
        <v>5994000</v>
      </c>
      <c r="R120" s="460"/>
      <c r="S120" s="362">
        <f t="shared" si="22"/>
        <v>0</v>
      </c>
      <c r="T120" s="370"/>
      <c r="U120" s="362">
        <f t="shared" si="19"/>
        <v>0</v>
      </c>
      <c r="V120" s="584">
        <f t="shared" si="20"/>
        <v>59940</v>
      </c>
      <c r="W120" s="371">
        <f t="shared" si="24"/>
        <v>5994000</v>
      </c>
      <c r="X120" s="977">
        <f t="shared" si="25"/>
        <v>3.33</v>
      </c>
      <c r="Y120" s="491">
        <v>1800000</v>
      </c>
      <c r="Z120" s="663">
        <f t="shared" si="23"/>
        <v>5994000</v>
      </c>
      <c r="AA120" s="568">
        <f t="shared" si="21"/>
        <v>98</v>
      </c>
      <c r="AB120" s="493">
        <f>IFERROR(INDEX('[14]CN BC'!$M$10:$M$276,MATCH(B120,'[14]CN BC'!$H$10:$H$276,0)),"")</f>
        <v>0</v>
      </c>
      <c r="AC120" s="141" t="str">
        <f>VLOOKUP(B120,TH.T4!B118:AC448,28,FALSE)</f>
        <v>M-TT</v>
      </c>
      <c r="AD120" s="108"/>
      <c r="AE120" s="108"/>
      <c r="AF120" s="155"/>
      <c r="AG120" s="108"/>
      <c r="AH120" s="108"/>
      <c r="AI120" s="108"/>
      <c r="AJ120" s="108"/>
      <c r="AK120" s="108"/>
      <c r="AL120" s="108"/>
    </row>
    <row r="121" spans="1:42" s="372" customFormat="1" ht="31.5" customHeight="1">
      <c r="A121" s="379">
        <f>_xlfn.AGGREGATE(4,7,A$22:A120)+1</f>
        <v>99</v>
      </c>
      <c r="B121" s="374" t="s">
        <v>1865</v>
      </c>
      <c r="C121" s="960" t="s">
        <v>737</v>
      </c>
      <c r="D121" s="406" t="s">
        <v>1693</v>
      </c>
      <c r="E121" s="426">
        <v>1603205357136</v>
      </c>
      <c r="F121" s="81" t="str">
        <f>VLOOKUP(B121,TH.T4!B119:J449,9,FALSE)</f>
        <v>Giảng viên khoa May - Thời trang</v>
      </c>
      <c r="G121" s="373">
        <v>3.33</v>
      </c>
      <c r="H121" s="367"/>
      <c r="I121" s="445">
        <f t="shared" ref="I121:I184" si="26">G121+(G121*H121)</f>
        <v>3.33</v>
      </c>
      <c r="J121" s="368"/>
      <c r="K121" s="369">
        <f t="shared" ref="K121:K184" si="27">I121+J121</f>
        <v>3.33</v>
      </c>
      <c r="L121" s="362">
        <f t="shared" ref="L121:L184" si="28">K121*$H$19</f>
        <v>5994000</v>
      </c>
      <c r="M121" s="366" t="str">
        <f>VLOOKUP(B121,'[13]Gui chi Quynh'!$B$11:$E$400,4,FALSE)</f>
        <v>A4</v>
      </c>
      <c r="N121" s="494">
        <f t="shared" si="17"/>
        <v>5994000</v>
      </c>
      <c r="O121" s="376">
        <v>22</v>
      </c>
      <c r="P121" s="440">
        <f>IFERROR(INDEX('[14]CN BC'!$J$10:$J$276,MATCH(B121,'[14]CN BC'!$H$10:$H$276,0)),"")</f>
        <v>22</v>
      </c>
      <c r="Q121" s="494">
        <f t="shared" si="18"/>
        <v>5994000</v>
      </c>
      <c r="R121" s="392"/>
      <c r="S121" s="362">
        <f t="shared" si="22"/>
        <v>0</v>
      </c>
      <c r="T121" s="370"/>
      <c r="U121" s="362">
        <f t="shared" si="19"/>
        <v>0</v>
      </c>
      <c r="V121" s="584">
        <f t="shared" si="20"/>
        <v>59940</v>
      </c>
      <c r="W121" s="371">
        <f t="shared" si="24"/>
        <v>5994000</v>
      </c>
      <c r="X121" s="977">
        <f t="shared" si="25"/>
        <v>3.33</v>
      </c>
      <c r="Y121" s="491">
        <v>1800000</v>
      </c>
      <c r="Z121" s="663">
        <f t="shared" si="23"/>
        <v>5994000</v>
      </c>
      <c r="AA121" s="568">
        <f t="shared" si="21"/>
        <v>99</v>
      </c>
      <c r="AB121" s="493">
        <f>IFERROR(INDEX('[14]CN BC'!$M$10:$M$276,MATCH(B121,'[14]CN BC'!$H$10:$H$276,0)),"")</f>
        <v>0</v>
      </c>
      <c r="AC121" s="141" t="str">
        <f>VLOOKUP(B121,TH.T4!B119:AC449,28,FALSE)</f>
        <v>M-TT</v>
      </c>
      <c r="AD121" s="108"/>
      <c r="AE121" s="108"/>
      <c r="AF121" s="155"/>
      <c r="AG121" s="108"/>
      <c r="AH121" s="108"/>
      <c r="AI121" s="108"/>
      <c r="AJ121" s="108"/>
      <c r="AK121" s="108"/>
      <c r="AL121" s="108"/>
      <c r="AM121" s="108"/>
      <c r="AN121" s="108"/>
      <c r="AO121" s="108"/>
      <c r="AP121" s="108"/>
    </row>
    <row r="122" spans="1:42" s="372" customFormat="1" ht="31.5" customHeight="1">
      <c r="A122" s="379">
        <f>_xlfn.AGGREGATE(4,7,A$22:A121)+1</f>
        <v>100</v>
      </c>
      <c r="B122" s="374" t="s">
        <v>1482</v>
      </c>
      <c r="C122" s="960" t="s">
        <v>1421</v>
      </c>
      <c r="D122" s="406" t="s">
        <v>1694</v>
      </c>
      <c r="E122" s="422" t="s">
        <v>1422</v>
      </c>
      <c r="F122" s="81" t="str">
        <f>VLOOKUP(B122,TH.T4!B120:J450,9,FALSE)</f>
        <v>Giảng viên khoa May - Thời trang</v>
      </c>
      <c r="G122" s="373">
        <v>3.33</v>
      </c>
      <c r="H122" s="367"/>
      <c r="I122" s="445">
        <f t="shared" si="26"/>
        <v>3.33</v>
      </c>
      <c r="J122" s="368"/>
      <c r="K122" s="369">
        <f t="shared" si="27"/>
        <v>3.33</v>
      </c>
      <c r="L122" s="362">
        <f t="shared" si="28"/>
        <v>5994000</v>
      </c>
      <c r="M122" s="366" t="str">
        <f>VLOOKUP(B122,'[13]Gui chi Quynh'!$B$11:$E$400,4,FALSE)</f>
        <v>A3</v>
      </c>
      <c r="N122" s="494">
        <f t="shared" si="17"/>
        <v>7192800</v>
      </c>
      <c r="O122" s="376">
        <v>22</v>
      </c>
      <c r="P122" s="440">
        <f>IFERROR(INDEX('[14]CN BC'!$J$10:$J$276,MATCH(B122,'[14]CN BC'!$H$10:$H$276,0)),"")</f>
        <v>22</v>
      </c>
      <c r="Q122" s="494">
        <f t="shared" si="18"/>
        <v>7192800</v>
      </c>
      <c r="R122" s="392"/>
      <c r="S122" s="362">
        <f t="shared" si="22"/>
        <v>0</v>
      </c>
      <c r="T122" s="385"/>
      <c r="U122" s="362">
        <f t="shared" si="19"/>
        <v>0</v>
      </c>
      <c r="V122" s="584">
        <f t="shared" si="20"/>
        <v>59940</v>
      </c>
      <c r="W122" s="371">
        <f t="shared" si="24"/>
        <v>7192800</v>
      </c>
      <c r="X122" s="977">
        <f t="shared" si="25"/>
        <v>3.996</v>
      </c>
      <c r="Y122" s="491">
        <v>1800000</v>
      </c>
      <c r="Z122" s="663">
        <f t="shared" si="23"/>
        <v>7192800</v>
      </c>
      <c r="AA122" s="568">
        <f t="shared" si="21"/>
        <v>100</v>
      </c>
      <c r="AB122" s="493">
        <f>IFERROR(INDEX('[14]CN BC'!$M$10:$M$276,MATCH(B122,'[14]CN BC'!$H$10:$H$276,0)),"")</f>
        <v>0</v>
      </c>
      <c r="AC122" s="141" t="str">
        <f>VLOOKUP(B122,TH.T4!B120:AC450,28,FALSE)</f>
        <v>M-TT</v>
      </c>
      <c r="AD122" s="108"/>
      <c r="AE122" s="108"/>
      <c r="AF122" s="155"/>
      <c r="AG122" s="108"/>
      <c r="AH122" s="108"/>
      <c r="AI122" s="108"/>
      <c r="AJ122" s="108"/>
      <c r="AK122" s="108"/>
      <c r="AL122" s="108"/>
      <c r="AM122" s="108"/>
      <c r="AN122" s="108"/>
      <c r="AO122" s="108"/>
      <c r="AP122" s="108"/>
    </row>
    <row r="123" spans="1:42" s="372" customFormat="1" ht="31.5" customHeight="1">
      <c r="A123" s="379">
        <f>_xlfn.AGGREGATE(4,7,A$22:A122)+1</f>
        <v>101</v>
      </c>
      <c r="B123" s="374" t="s">
        <v>1483</v>
      </c>
      <c r="C123" s="960" t="s">
        <v>49</v>
      </c>
      <c r="D123" s="406" t="s">
        <v>1695</v>
      </c>
      <c r="E123" s="422" t="s">
        <v>1432</v>
      </c>
      <c r="F123" s="81" t="str">
        <f>VLOOKUP(B123,TH.T4!B121:J451,9,FALSE)</f>
        <v>Giảng viên khoa Du lịch - Khách sạn</v>
      </c>
      <c r="G123" s="366">
        <v>4.9800000000000004</v>
      </c>
      <c r="H123" s="367">
        <v>0.05</v>
      </c>
      <c r="I123" s="368">
        <f t="shared" si="26"/>
        <v>5.2290000000000001</v>
      </c>
      <c r="J123" s="395">
        <v>0.25</v>
      </c>
      <c r="K123" s="369">
        <f t="shared" si="27"/>
        <v>5.4790000000000001</v>
      </c>
      <c r="L123" s="362">
        <f t="shared" si="28"/>
        <v>9862200</v>
      </c>
      <c r="M123" s="366" t="str">
        <f>VLOOKUP(B123,'[13]Gui chi Quynh'!$B$11:$E$400,4,FALSE)</f>
        <v>A3</v>
      </c>
      <c r="N123" s="494">
        <f t="shared" si="17"/>
        <v>11834640</v>
      </c>
      <c r="O123" s="376">
        <v>22</v>
      </c>
      <c r="P123" s="440">
        <f>IFERROR(INDEX('[14]CN BC'!$J$10:$J$276,MATCH(B123,'[14]CN BC'!$H$10:$H$276,0)),"")</f>
        <v>22</v>
      </c>
      <c r="Q123" s="494">
        <f t="shared" si="18"/>
        <v>11834640</v>
      </c>
      <c r="R123" s="392"/>
      <c r="S123" s="362">
        <f t="shared" si="22"/>
        <v>0</v>
      </c>
      <c r="T123" s="385"/>
      <c r="U123" s="362">
        <f t="shared" si="19"/>
        <v>0</v>
      </c>
      <c r="V123" s="584">
        <f t="shared" si="20"/>
        <v>98622</v>
      </c>
      <c r="W123" s="371">
        <f t="shared" si="24"/>
        <v>11834640</v>
      </c>
      <c r="X123" s="977">
        <f t="shared" si="25"/>
        <v>6.5747999999999998</v>
      </c>
      <c r="Y123" s="491">
        <v>1800000</v>
      </c>
      <c r="Z123" s="663">
        <f t="shared" si="23"/>
        <v>11834640</v>
      </c>
      <c r="AA123" s="568">
        <f t="shared" si="21"/>
        <v>101</v>
      </c>
      <c r="AB123" s="493">
        <f>IFERROR(INDEX('[14]CN BC'!$M$10:$M$276,MATCH(B123,'[14]CN BC'!$H$10:$H$276,0)),"")</f>
        <v>0</v>
      </c>
      <c r="AC123" s="141" t="s">
        <v>2234</v>
      </c>
      <c r="AD123" s="108"/>
      <c r="AE123" s="108"/>
      <c r="AF123" s="155"/>
      <c r="AG123" s="108"/>
      <c r="AH123" s="108"/>
      <c r="AI123" s="108"/>
      <c r="AJ123" s="108"/>
      <c r="AK123" s="108"/>
      <c r="AL123" s="108"/>
      <c r="AM123" s="108"/>
      <c r="AN123" s="108"/>
      <c r="AO123" s="108"/>
      <c r="AP123" s="108"/>
    </row>
    <row r="124" spans="1:42" s="372" customFormat="1" ht="31.5" customHeight="1">
      <c r="A124" s="379">
        <f>_xlfn.AGGREGATE(4,7,A$22:A123)+1</f>
        <v>102</v>
      </c>
      <c r="B124" s="45" t="s">
        <v>1568</v>
      </c>
      <c r="C124" s="961"/>
      <c r="D124" s="406" t="s">
        <v>1696</v>
      </c>
      <c r="E124" s="432" t="s">
        <v>1569</v>
      </c>
      <c r="F124" s="81" t="str">
        <f>VLOOKUP(B124,TH.T4!B122:J452,9,FALSE)</f>
        <v>Giảng viên khoa May - Thời trang</v>
      </c>
      <c r="G124" s="83">
        <v>3.33</v>
      </c>
      <c r="H124" s="157"/>
      <c r="I124" s="445">
        <f t="shared" si="26"/>
        <v>3.33</v>
      </c>
      <c r="J124" s="81"/>
      <c r="K124" s="369">
        <f t="shared" si="27"/>
        <v>3.33</v>
      </c>
      <c r="L124" s="362">
        <f t="shared" si="28"/>
        <v>5994000</v>
      </c>
      <c r="M124" s="366" t="str">
        <f>VLOOKUP(B124,'[13]Gui chi Quynh'!$B$11:$E$400,4,FALSE)</f>
        <v>A4</v>
      </c>
      <c r="N124" s="494">
        <f t="shared" si="17"/>
        <v>5994000</v>
      </c>
      <c r="O124" s="376">
        <v>22</v>
      </c>
      <c r="P124" s="440">
        <f>IFERROR(INDEX('[14]CN BC'!$J$10:$J$276,MATCH(B124,'[14]CN BC'!$H$10:$H$276,0)),"")</f>
        <v>22</v>
      </c>
      <c r="Q124" s="494">
        <f t="shared" si="18"/>
        <v>5994000</v>
      </c>
      <c r="R124" s="392"/>
      <c r="S124" s="362">
        <f t="shared" si="22"/>
        <v>0</v>
      </c>
      <c r="T124" s="74"/>
      <c r="U124" s="362">
        <f t="shared" si="19"/>
        <v>0</v>
      </c>
      <c r="V124" s="584">
        <f t="shared" si="20"/>
        <v>59940</v>
      </c>
      <c r="W124" s="371">
        <f t="shared" si="24"/>
        <v>5994000</v>
      </c>
      <c r="X124" s="977">
        <f t="shared" si="25"/>
        <v>3.33</v>
      </c>
      <c r="Y124" s="491">
        <v>1800000</v>
      </c>
      <c r="Z124" s="663">
        <f t="shared" si="23"/>
        <v>5994000</v>
      </c>
      <c r="AA124" s="568">
        <f t="shared" si="21"/>
        <v>102</v>
      </c>
      <c r="AB124" s="493">
        <f>IFERROR(INDEX('[14]CN BC'!$M$10:$M$276,MATCH(B124,'[14]CN BC'!$H$10:$H$276,0)),"")</f>
        <v>0</v>
      </c>
      <c r="AC124" s="141" t="str">
        <f>VLOOKUP(B124,TH.T4!B122:AC452,28,FALSE)</f>
        <v>M-TT</v>
      </c>
      <c r="AD124" s="108"/>
      <c r="AE124" s="108"/>
      <c r="AF124" s="155"/>
      <c r="AG124" s="108"/>
      <c r="AH124" s="108"/>
      <c r="AI124" s="108"/>
      <c r="AJ124" s="108"/>
      <c r="AK124" s="108"/>
      <c r="AL124" s="108"/>
      <c r="AM124" s="108"/>
      <c r="AN124" s="108"/>
      <c r="AO124" s="108"/>
      <c r="AP124" s="108"/>
    </row>
    <row r="125" spans="1:42" s="372" customFormat="1" ht="31.5" customHeight="1">
      <c r="A125" s="379">
        <f>_xlfn.AGGREGATE(4,7,A$22:A124)+1</f>
        <v>103</v>
      </c>
      <c r="B125" s="374" t="s">
        <v>1832</v>
      </c>
      <c r="C125" s="960"/>
      <c r="D125" s="434" t="s">
        <v>1963</v>
      </c>
      <c r="E125" s="195">
        <v>1603215005610</v>
      </c>
      <c r="F125" s="81" t="str">
        <f>VLOOKUP(B125,TH.T4!B123:J453,9,FALSE)</f>
        <v>Giảng viên khoa May - Thời trang</v>
      </c>
      <c r="G125" s="373">
        <v>3</v>
      </c>
      <c r="H125" s="367"/>
      <c r="I125" s="368">
        <f t="shared" si="26"/>
        <v>3</v>
      </c>
      <c r="J125" s="368"/>
      <c r="K125" s="369">
        <f t="shared" si="27"/>
        <v>3</v>
      </c>
      <c r="L125" s="362">
        <f t="shared" si="28"/>
        <v>5400000</v>
      </c>
      <c r="M125" s="366" t="str">
        <f>VLOOKUP(B125,'[13]Gui chi Quynh'!$B$11:$E$400,4,FALSE)</f>
        <v>A4</v>
      </c>
      <c r="N125" s="494">
        <f t="shared" si="17"/>
        <v>5400000</v>
      </c>
      <c r="O125" s="376">
        <v>22</v>
      </c>
      <c r="P125" s="440">
        <f>IFERROR(INDEX('[14]CN BC'!$J$10:$J$276,MATCH(B125,'[14]CN BC'!$H$10:$H$276,0)),"")</f>
        <v>22</v>
      </c>
      <c r="Q125" s="494">
        <f t="shared" si="18"/>
        <v>5400000</v>
      </c>
      <c r="R125" s="392"/>
      <c r="S125" s="362">
        <f t="shared" si="22"/>
        <v>0</v>
      </c>
      <c r="T125" s="370"/>
      <c r="U125" s="362">
        <f t="shared" si="19"/>
        <v>0</v>
      </c>
      <c r="V125" s="584">
        <f t="shared" si="20"/>
        <v>54000</v>
      </c>
      <c r="W125" s="371">
        <f t="shared" si="24"/>
        <v>5400000</v>
      </c>
      <c r="X125" s="977">
        <f t="shared" si="25"/>
        <v>3</v>
      </c>
      <c r="Y125" s="491">
        <v>1800000</v>
      </c>
      <c r="Z125" s="663">
        <f t="shared" si="23"/>
        <v>5400000</v>
      </c>
      <c r="AA125" s="568">
        <f t="shared" si="21"/>
        <v>103</v>
      </c>
      <c r="AB125" s="493">
        <f>IFERROR(INDEX('[14]CN BC'!$M$10:$M$276,MATCH(B125,'[14]CN BC'!$H$10:$H$276,0)),"")</f>
        <v>0</v>
      </c>
      <c r="AC125" s="141" t="str">
        <f>VLOOKUP(B125,TH.T4!B123:AC453,28,FALSE)</f>
        <v>M-TT</v>
      </c>
      <c r="AD125" s="108"/>
      <c r="AE125" s="108"/>
      <c r="AF125" s="155"/>
      <c r="AG125" s="108"/>
      <c r="AH125" s="108"/>
      <c r="AI125" s="108"/>
      <c r="AJ125" s="108"/>
      <c r="AK125" s="108"/>
      <c r="AL125" s="108"/>
    </row>
    <row r="126" spans="1:42" s="108" customFormat="1" ht="27" customHeight="1">
      <c r="A126" s="379">
        <f>_xlfn.AGGREGATE(4,7,A$22:A125)+1</f>
        <v>104</v>
      </c>
      <c r="B126" s="45" t="s">
        <v>1555</v>
      </c>
      <c r="C126" s="958" t="s">
        <v>1105</v>
      </c>
      <c r="D126" s="406" t="s">
        <v>1658</v>
      </c>
      <c r="E126" s="424" t="s">
        <v>1278</v>
      </c>
      <c r="F126" s="81" t="str">
        <f>VLOOKUP(B126,TH.T4!B124:J454,9,FALSE)</f>
        <v>Trưởng khoa KHCB</v>
      </c>
      <c r="G126" s="10">
        <v>4.9800000000000004</v>
      </c>
      <c r="H126" s="45"/>
      <c r="I126" s="368">
        <f t="shared" si="26"/>
        <v>4.9800000000000004</v>
      </c>
      <c r="J126" s="464">
        <v>0.45</v>
      </c>
      <c r="K126" s="369">
        <f t="shared" si="27"/>
        <v>5.4300000000000006</v>
      </c>
      <c r="L126" s="362">
        <f t="shared" si="28"/>
        <v>9774000.0000000019</v>
      </c>
      <c r="M126" s="366" t="str">
        <f>VLOOKUP(B126,'[13]Gui chi Quynh'!$B$11:$E$400,4,FALSE)</f>
        <v>A3</v>
      </c>
      <c r="N126" s="494">
        <f t="shared" si="17"/>
        <v>11728800.000000002</v>
      </c>
      <c r="O126" s="376">
        <v>22</v>
      </c>
      <c r="P126" s="440">
        <f>IFERROR(INDEX('[14]CN BC'!$J$10:$J$276,MATCH(B126,'[14]CN BC'!$H$10:$H$276,0)),"")</f>
        <v>22</v>
      </c>
      <c r="Q126" s="494">
        <f t="shared" si="18"/>
        <v>11728800.000000002</v>
      </c>
      <c r="R126" s="454"/>
      <c r="S126" s="362">
        <f t="shared" si="22"/>
        <v>0</v>
      </c>
      <c r="T126" s="74"/>
      <c r="U126" s="362">
        <f t="shared" si="19"/>
        <v>0</v>
      </c>
      <c r="V126" s="584">
        <f t="shared" si="20"/>
        <v>97740</v>
      </c>
      <c r="W126" s="371">
        <f t="shared" si="24"/>
        <v>11728800.000000002</v>
      </c>
      <c r="X126" s="977">
        <f t="shared" si="25"/>
        <v>6.5160000000000009</v>
      </c>
      <c r="Y126" s="491">
        <v>1800000</v>
      </c>
      <c r="Z126" s="663">
        <f t="shared" si="23"/>
        <v>11728800.000000002</v>
      </c>
      <c r="AA126" s="568">
        <f t="shared" si="21"/>
        <v>104</v>
      </c>
      <c r="AB126" s="493">
        <f>IFERROR(INDEX('[14]CN BC'!$M$10:$M$276,MATCH(B126,'[14]CN BC'!$H$10:$H$276,0)),"")</f>
        <v>0</v>
      </c>
      <c r="AC126" s="141" t="str">
        <f>VLOOKUP(B126,TH.T4!B124:AC454,28,FALSE)</f>
        <v>KHCB</v>
      </c>
      <c r="AF126" s="155"/>
    </row>
    <row r="127" spans="1:42" s="372" customFormat="1" ht="28.5" customHeight="1">
      <c r="A127" s="379">
        <f>_xlfn.AGGREGATE(4,7,A$22:A126)+1</f>
        <v>105</v>
      </c>
      <c r="B127" s="374" t="s">
        <v>1866</v>
      </c>
      <c r="C127" s="960" t="s">
        <v>873</v>
      </c>
      <c r="D127" s="434" t="s">
        <v>1697</v>
      </c>
      <c r="E127" s="423" t="s">
        <v>1300</v>
      </c>
      <c r="F127" s="81" t="str">
        <f>VLOOKUP(B127,TH.T4!B125:J455,9,FALSE)</f>
        <v>Giảng viên Khoa KHCB</v>
      </c>
      <c r="G127" s="366">
        <v>4.9800000000000004</v>
      </c>
      <c r="H127" s="367">
        <v>0.06</v>
      </c>
      <c r="I127" s="368">
        <f t="shared" si="26"/>
        <v>5.2788000000000004</v>
      </c>
      <c r="J127" s="368">
        <v>0.25</v>
      </c>
      <c r="K127" s="369">
        <f t="shared" si="27"/>
        <v>5.5288000000000004</v>
      </c>
      <c r="L127" s="362">
        <f t="shared" si="28"/>
        <v>9951840</v>
      </c>
      <c r="M127" s="366" t="str">
        <f>VLOOKUP(B127,'[13]Gui chi Quynh'!$B$11:$E$400,4,FALSE)</f>
        <v>A3</v>
      </c>
      <c r="N127" s="494">
        <f t="shared" si="17"/>
        <v>11942208</v>
      </c>
      <c r="O127" s="376">
        <v>22</v>
      </c>
      <c r="P127" s="440">
        <f>IFERROR(INDEX('[14]CN BC'!$J$10:$J$276,MATCH(B127,'[14]CN BC'!$H$10:$H$276,0)),"")</f>
        <v>22</v>
      </c>
      <c r="Q127" s="494">
        <f t="shared" si="18"/>
        <v>11942208</v>
      </c>
      <c r="R127" s="460"/>
      <c r="S127" s="362">
        <f t="shared" si="22"/>
        <v>0</v>
      </c>
      <c r="T127" s="370"/>
      <c r="U127" s="362">
        <f t="shared" si="19"/>
        <v>0</v>
      </c>
      <c r="V127" s="584">
        <f t="shared" si="20"/>
        <v>99518</v>
      </c>
      <c r="W127" s="371">
        <f t="shared" si="24"/>
        <v>11942208</v>
      </c>
      <c r="X127" s="977">
        <f t="shared" si="25"/>
        <v>6.6345599999999996</v>
      </c>
      <c r="Y127" s="491">
        <v>1800000</v>
      </c>
      <c r="Z127" s="663">
        <f t="shared" si="23"/>
        <v>11942208</v>
      </c>
      <c r="AA127" s="568">
        <f t="shared" si="21"/>
        <v>105</v>
      </c>
      <c r="AB127" s="493">
        <f>IFERROR(INDEX('[14]CN BC'!$M$10:$M$276,MATCH(B127,'[14]CN BC'!$H$10:$H$276,0)),"")</f>
        <v>0</v>
      </c>
      <c r="AC127" s="141" t="str">
        <f>VLOOKUP(B127,TH.T4!B125:AC455,28,FALSE)</f>
        <v>KHCB</v>
      </c>
      <c r="AD127" s="108"/>
      <c r="AE127" s="108"/>
      <c r="AF127" s="487"/>
    </row>
    <row r="128" spans="1:42" s="108" customFormat="1" ht="30" customHeight="1">
      <c r="A128" s="379">
        <f>_xlfn.AGGREGATE(4,7,A$22:A127)+1</f>
        <v>106</v>
      </c>
      <c r="B128" s="45" t="s">
        <v>1867</v>
      </c>
      <c r="C128" s="961" t="s">
        <v>883</v>
      </c>
      <c r="D128" s="406" t="s">
        <v>1698</v>
      </c>
      <c r="E128" s="424" t="s">
        <v>1299</v>
      </c>
      <c r="F128" s="81" t="str">
        <f>VLOOKUP(B128,TH.T4!B126:J456,9,FALSE)</f>
        <v>Giảng viên Khoa KHCB</v>
      </c>
      <c r="G128" s="10">
        <v>4.32</v>
      </c>
      <c r="H128" s="157"/>
      <c r="I128" s="368">
        <f t="shared" si="26"/>
        <v>4.32</v>
      </c>
      <c r="J128" s="81"/>
      <c r="K128" s="369">
        <f t="shared" si="27"/>
        <v>4.32</v>
      </c>
      <c r="L128" s="362">
        <f t="shared" si="28"/>
        <v>7776000.0000000009</v>
      </c>
      <c r="M128" s="366" t="str">
        <f>VLOOKUP(B128,'[13]Gui chi Quynh'!$B$11:$E$400,4,FALSE)</f>
        <v>A4</v>
      </c>
      <c r="N128" s="494">
        <f t="shared" si="17"/>
        <v>7776000.0000000009</v>
      </c>
      <c r="O128" s="376">
        <v>22</v>
      </c>
      <c r="P128" s="440">
        <f>IFERROR(INDEX('[14]CN BC'!$J$10:$J$276,MATCH(B128,'[14]CN BC'!$H$10:$H$276,0)),"")</f>
        <v>22</v>
      </c>
      <c r="Q128" s="494">
        <f t="shared" si="18"/>
        <v>7776000.0000000009</v>
      </c>
      <c r="R128" s="392"/>
      <c r="S128" s="362">
        <f t="shared" si="22"/>
        <v>0</v>
      </c>
      <c r="T128" s="385"/>
      <c r="U128" s="362">
        <f t="shared" si="19"/>
        <v>0</v>
      </c>
      <c r="V128" s="584">
        <f t="shared" si="20"/>
        <v>77760</v>
      </c>
      <c r="W128" s="371">
        <f t="shared" si="24"/>
        <v>7776000.0000000009</v>
      </c>
      <c r="X128" s="977">
        <f t="shared" si="25"/>
        <v>4.32</v>
      </c>
      <c r="Y128" s="491">
        <v>1800000</v>
      </c>
      <c r="Z128" s="663">
        <f t="shared" si="23"/>
        <v>7776000.0000000009</v>
      </c>
      <c r="AA128" s="568">
        <f t="shared" si="21"/>
        <v>106</v>
      </c>
      <c r="AB128" s="493">
        <f>IFERROR(INDEX('[14]CN BC'!$M$10:$M$276,MATCH(B128,'[14]CN BC'!$H$10:$H$276,0)),"")</f>
        <v>0</v>
      </c>
      <c r="AC128" s="141" t="str">
        <f>VLOOKUP(B128,TH.T4!B126:AC456,28,FALSE)</f>
        <v>KHCB</v>
      </c>
      <c r="AF128" s="155"/>
    </row>
    <row r="129" spans="1:42" s="372" customFormat="1" ht="30" customHeight="1">
      <c r="A129" s="379">
        <f>_xlfn.AGGREGATE(4,7,A$22:A128)+1</f>
        <v>107</v>
      </c>
      <c r="B129" s="374" t="s">
        <v>1485</v>
      </c>
      <c r="C129" s="960" t="s">
        <v>1009</v>
      </c>
      <c r="D129" s="406" t="s">
        <v>1699</v>
      </c>
      <c r="E129" s="423" t="s">
        <v>373</v>
      </c>
      <c r="F129" s="81" t="str">
        <f>VLOOKUP(B129,TH.T4!B127:J457,9,FALSE)</f>
        <v>Giảng viên khoa KHCB</v>
      </c>
      <c r="G129" s="366">
        <v>3.99</v>
      </c>
      <c r="H129" s="367"/>
      <c r="I129" s="368">
        <f t="shared" si="26"/>
        <v>3.99</v>
      </c>
      <c r="J129" s="368"/>
      <c r="K129" s="369">
        <f t="shared" si="27"/>
        <v>3.99</v>
      </c>
      <c r="L129" s="362">
        <f t="shared" si="28"/>
        <v>7182000</v>
      </c>
      <c r="M129" s="366" t="str">
        <f>VLOOKUP(B129,'[13]Gui chi Quynh'!$B$11:$E$400,4,FALSE)</f>
        <v>A4</v>
      </c>
      <c r="N129" s="494">
        <f t="shared" si="17"/>
        <v>7182000</v>
      </c>
      <c r="O129" s="376">
        <v>22</v>
      </c>
      <c r="P129" s="440">
        <f>IFERROR(INDEX('[14]CN BC'!$J$10:$J$276,MATCH(B129,'[14]CN BC'!$H$10:$H$276,0)),"")</f>
        <v>22</v>
      </c>
      <c r="Q129" s="494">
        <f t="shared" si="18"/>
        <v>7182000</v>
      </c>
      <c r="R129" s="392"/>
      <c r="S129" s="362">
        <f t="shared" si="22"/>
        <v>0</v>
      </c>
      <c r="T129" s="385"/>
      <c r="U129" s="362">
        <f t="shared" si="19"/>
        <v>0</v>
      </c>
      <c r="V129" s="584">
        <f t="shared" si="20"/>
        <v>71820</v>
      </c>
      <c r="W129" s="371">
        <f t="shared" si="24"/>
        <v>7182000</v>
      </c>
      <c r="X129" s="977">
        <f t="shared" si="25"/>
        <v>3.99</v>
      </c>
      <c r="Y129" s="491">
        <v>1800000</v>
      </c>
      <c r="Z129" s="663">
        <f t="shared" si="23"/>
        <v>7182000</v>
      </c>
      <c r="AA129" s="568">
        <f t="shared" si="21"/>
        <v>107</v>
      </c>
      <c r="AB129" s="493">
        <f>IFERROR(INDEX('[14]CN BC'!$M$10:$M$276,MATCH(B129,'[14]CN BC'!$H$10:$H$276,0)),"")</f>
        <v>0</v>
      </c>
      <c r="AC129" s="141" t="str">
        <f>VLOOKUP(B129,TH.T4!B127:AC457,28,FALSE)</f>
        <v>KHCB</v>
      </c>
      <c r="AD129" s="108"/>
      <c r="AE129" s="108"/>
      <c r="AF129" s="155"/>
      <c r="AG129" s="108"/>
      <c r="AH129" s="108"/>
      <c r="AI129" s="108"/>
      <c r="AJ129" s="108"/>
      <c r="AK129" s="108"/>
      <c r="AL129" s="108"/>
      <c r="AM129" s="108"/>
      <c r="AN129" s="108"/>
      <c r="AO129" s="108"/>
      <c r="AP129" s="108"/>
    </row>
    <row r="130" spans="1:42" s="372" customFormat="1" ht="30" customHeight="1">
      <c r="A130" s="379">
        <f>_xlfn.AGGREGATE(4,7,A$22:A129)+1</f>
        <v>108</v>
      </c>
      <c r="B130" s="374" t="s">
        <v>1559</v>
      </c>
      <c r="C130" s="956"/>
      <c r="D130" s="406" t="s">
        <v>1647</v>
      </c>
      <c r="E130" s="423" t="s">
        <v>406</v>
      </c>
      <c r="F130" s="81" t="str">
        <f>VLOOKUP(B130,TH.T4!B128:J458,9,FALSE)</f>
        <v>Giảng viên khoa KHCB</v>
      </c>
      <c r="G130" s="373">
        <v>3.66</v>
      </c>
      <c r="H130" s="378"/>
      <c r="I130" s="368">
        <f t="shared" si="26"/>
        <v>3.66</v>
      </c>
      <c r="J130" s="368"/>
      <c r="K130" s="369">
        <f t="shared" si="27"/>
        <v>3.66</v>
      </c>
      <c r="L130" s="362">
        <f t="shared" si="28"/>
        <v>6588000</v>
      </c>
      <c r="M130" s="366" t="str">
        <f>VLOOKUP(B130,'[13]Gui chi Quynh'!$B$11:$E$400,4,FALSE)</f>
        <v>A4</v>
      </c>
      <c r="N130" s="494">
        <f t="shared" si="17"/>
        <v>6588000</v>
      </c>
      <c r="O130" s="376">
        <v>22</v>
      </c>
      <c r="P130" s="440">
        <f>IFERROR(INDEX('[14]CN BC'!$J$10:$J$276,MATCH(B130,'[14]CN BC'!$H$10:$H$276,0)),"")</f>
        <v>22</v>
      </c>
      <c r="Q130" s="494">
        <f t="shared" si="18"/>
        <v>6588000</v>
      </c>
      <c r="R130" s="392"/>
      <c r="S130" s="362">
        <f t="shared" si="22"/>
        <v>0</v>
      </c>
      <c r="T130" s="370"/>
      <c r="U130" s="362">
        <f t="shared" si="19"/>
        <v>0</v>
      </c>
      <c r="V130" s="584">
        <f t="shared" si="20"/>
        <v>65880</v>
      </c>
      <c r="W130" s="371">
        <f t="shared" si="24"/>
        <v>6588000</v>
      </c>
      <c r="X130" s="977">
        <f t="shared" si="25"/>
        <v>3.66</v>
      </c>
      <c r="Y130" s="491">
        <v>1800000</v>
      </c>
      <c r="Z130" s="663">
        <f t="shared" si="23"/>
        <v>6588000</v>
      </c>
      <c r="AA130" s="568">
        <f t="shared" si="21"/>
        <v>108</v>
      </c>
      <c r="AB130" s="493">
        <f>IFERROR(INDEX('[14]CN BC'!$M$10:$M$276,MATCH(B130,'[14]CN BC'!$H$10:$H$276,0)),"")</f>
        <v>0</v>
      </c>
      <c r="AC130" s="141" t="str">
        <f>VLOOKUP(B130,TH.T4!B128:AC458,28,FALSE)</f>
        <v>KHCB</v>
      </c>
      <c r="AD130" s="108"/>
      <c r="AE130" s="108"/>
      <c r="AF130" s="155"/>
      <c r="AG130" s="108"/>
      <c r="AH130" s="108"/>
      <c r="AI130" s="108"/>
      <c r="AJ130" s="108"/>
      <c r="AK130" s="108"/>
      <c r="AL130" s="108"/>
      <c r="AM130" s="108"/>
      <c r="AN130" s="108"/>
      <c r="AO130" s="108"/>
      <c r="AP130" s="108"/>
    </row>
    <row r="131" spans="1:42" s="372" customFormat="1" ht="30" customHeight="1">
      <c r="A131" s="379">
        <f>_xlfn.AGGREGATE(4,7,A$22:A130)+1</f>
        <v>109</v>
      </c>
      <c r="B131" s="374" t="s">
        <v>1868</v>
      </c>
      <c r="C131" s="960" t="s">
        <v>956</v>
      </c>
      <c r="D131" s="434" t="s">
        <v>1700</v>
      </c>
      <c r="E131" s="423" t="s">
        <v>1303</v>
      </c>
      <c r="F131" s="81" t="str">
        <f>VLOOKUP(B131,TH.T4!B129:J459,9,FALSE)</f>
        <v>Giảng viên Khoa KHCB</v>
      </c>
      <c r="G131" s="366">
        <v>4.6500000000000004</v>
      </c>
      <c r="H131" s="367"/>
      <c r="I131" s="368">
        <f t="shared" si="26"/>
        <v>4.6500000000000004</v>
      </c>
      <c r="J131" s="368"/>
      <c r="K131" s="369">
        <f t="shared" si="27"/>
        <v>4.6500000000000004</v>
      </c>
      <c r="L131" s="362">
        <f t="shared" si="28"/>
        <v>8370000.0000000009</v>
      </c>
      <c r="M131" s="366" t="str">
        <f>VLOOKUP(B131,'[13]Gui chi Quynh'!$B$11:$E$400,4,FALSE)</f>
        <v>A4</v>
      </c>
      <c r="N131" s="494">
        <f t="shared" si="17"/>
        <v>8370000.0000000009</v>
      </c>
      <c r="O131" s="376">
        <v>22</v>
      </c>
      <c r="P131" s="440">
        <f>IFERROR(INDEX('[14]CN BC'!$J$10:$J$276,MATCH(B131,'[14]CN BC'!$H$10:$H$276,0)),"")</f>
        <v>22</v>
      </c>
      <c r="Q131" s="494">
        <f t="shared" si="18"/>
        <v>8370000.0000000009</v>
      </c>
      <c r="R131" s="392"/>
      <c r="S131" s="362">
        <f t="shared" si="22"/>
        <v>0</v>
      </c>
      <c r="T131" s="370"/>
      <c r="U131" s="362">
        <f t="shared" si="19"/>
        <v>0</v>
      </c>
      <c r="V131" s="584">
        <f t="shared" si="20"/>
        <v>83700</v>
      </c>
      <c r="W131" s="371">
        <f t="shared" si="24"/>
        <v>8370000.0000000009</v>
      </c>
      <c r="X131" s="977">
        <f t="shared" si="25"/>
        <v>4.6500000000000004</v>
      </c>
      <c r="Y131" s="491">
        <v>1800000</v>
      </c>
      <c r="Z131" s="663">
        <f t="shared" si="23"/>
        <v>8370000.0000000009</v>
      </c>
      <c r="AA131" s="568">
        <f t="shared" si="21"/>
        <v>109</v>
      </c>
      <c r="AB131" s="493">
        <f>IFERROR(INDEX('[14]CN BC'!$M$10:$M$276,MATCH(B131,'[14]CN BC'!$H$10:$H$276,0)),"")</f>
        <v>0</v>
      </c>
      <c r="AC131" s="141" t="str">
        <f>VLOOKUP(B131,TH.T4!B129:AC459,28,FALSE)</f>
        <v>KHCB</v>
      </c>
      <c r="AD131" s="108"/>
      <c r="AE131" s="108"/>
      <c r="AF131" s="155"/>
      <c r="AG131" s="108"/>
      <c r="AH131" s="108"/>
      <c r="AI131" s="108"/>
      <c r="AJ131" s="108"/>
      <c r="AK131" s="108"/>
      <c r="AL131" s="108"/>
    </row>
    <row r="132" spans="1:42" s="372" customFormat="1" ht="30" customHeight="1">
      <c r="A132" s="379">
        <f>_xlfn.AGGREGATE(4,7,A$22:A131)+1</f>
        <v>110</v>
      </c>
      <c r="B132" s="374" t="s">
        <v>1869</v>
      </c>
      <c r="C132" s="960" t="s">
        <v>958</v>
      </c>
      <c r="D132" s="406" t="s">
        <v>1701</v>
      </c>
      <c r="E132" s="423" t="s">
        <v>1304</v>
      </c>
      <c r="F132" s="81" t="str">
        <f>VLOOKUP(B132,TH.T4!B130:J460,9,FALSE)</f>
        <v>Giảng viên Khoa KHCB</v>
      </c>
      <c r="G132" s="373">
        <v>4.32</v>
      </c>
      <c r="H132" s="367"/>
      <c r="I132" s="368">
        <f t="shared" si="26"/>
        <v>4.32</v>
      </c>
      <c r="J132" s="368"/>
      <c r="K132" s="369">
        <f t="shared" si="27"/>
        <v>4.32</v>
      </c>
      <c r="L132" s="362">
        <f t="shared" si="28"/>
        <v>7776000.0000000009</v>
      </c>
      <c r="M132" s="366" t="str">
        <f>VLOOKUP(B132,'[13]Gui chi Quynh'!$B$11:$E$400,4,FALSE)</f>
        <v>A3</v>
      </c>
      <c r="N132" s="494">
        <f t="shared" si="17"/>
        <v>9331200</v>
      </c>
      <c r="O132" s="376">
        <v>22</v>
      </c>
      <c r="P132" s="440">
        <f>IFERROR(INDEX('[14]CN BC'!$J$10:$J$276,MATCH(B132,'[14]CN BC'!$H$10:$H$276,0)),"")</f>
        <v>22</v>
      </c>
      <c r="Q132" s="494">
        <f t="shared" si="18"/>
        <v>9331200</v>
      </c>
      <c r="R132" s="392"/>
      <c r="S132" s="362">
        <f t="shared" si="22"/>
        <v>0</v>
      </c>
      <c r="T132" s="385"/>
      <c r="U132" s="362">
        <f t="shared" si="19"/>
        <v>0</v>
      </c>
      <c r="V132" s="584">
        <f t="shared" si="20"/>
        <v>77760</v>
      </c>
      <c r="W132" s="371">
        <f t="shared" si="24"/>
        <v>9331200</v>
      </c>
      <c r="X132" s="977">
        <f t="shared" si="25"/>
        <v>5.1840000000000002</v>
      </c>
      <c r="Y132" s="491">
        <v>1800000</v>
      </c>
      <c r="Z132" s="663">
        <f t="shared" si="23"/>
        <v>9331200</v>
      </c>
      <c r="AA132" s="568">
        <f t="shared" si="21"/>
        <v>110</v>
      </c>
      <c r="AB132" s="493">
        <f>IFERROR(INDEX('[14]CN BC'!$M$10:$M$276,MATCH(B132,'[14]CN BC'!$H$10:$H$276,0)),"")</f>
        <v>0</v>
      </c>
      <c r="AC132" s="141" t="str">
        <f>VLOOKUP(B132,TH.T4!B130:AC460,28,FALSE)</f>
        <v>KHCB</v>
      </c>
      <c r="AD132" s="108"/>
      <c r="AE132" s="108"/>
      <c r="AF132" s="155"/>
      <c r="AG132" s="108"/>
      <c r="AH132" s="108"/>
      <c r="AI132" s="108"/>
      <c r="AJ132" s="108"/>
      <c r="AK132" s="108"/>
      <c r="AL132" s="108"/>
      <c r="AM132" s="108"/>
      <c r="AN132" s="108"/>
      <c r="AO132" s="108"/>
      <c r="AP132" s="108"/>
    </row>
    <row r="133" spans="1:42" s="372" customFormat="1" ht="30" customHeight="1">
      <c r="A133" s="379">
        <f>_xlfn.AGGREGATE(4,7,A$22:A132)+1</f>
        <v>111</v>
      </c>
      <c r="B133" s="374" t="s">
        <v>1870</v>
      </c>
      <c r="C133" s="960" t="s">
        <v>967</v>
      </c>
      <c r="D133" s="434" t="s">
        <v>1702</v>
      </c>
      <c r="E133" s="423" t="s">
        <v>1306</v>
      </c>
      <c r="F133" s="81" t="str">
        <f>VLOOKUP(B133,TH.T4!B131:J461,9,FALSE)</f>
        <v>Giảng viên Khoa KHCB</v>
      </c>
      <c r="G133" s="366">
        <v>4.9800000000000004</v>
      </c>
      <c r="H133" s="367">
        <v>0.08</v>
      </c>
      <c r="I133" s="368">
        <f t="shared" si="26"/>
        <v>5.3784000000000001</v>
      </c>
      <c r="J133" s="368"/>
      <c r="K133" s="369">
        <f t="shared" si="27"/>
        <v>5.3784000000000001</v>
      </c>
      <c r="L133" s="362">
        <f t="shared" si="28"/>
        <v>9681120</v>
      </c>
      <c r="M133" s="366" t="str">
        <f>VLOOKUP(B133,'[13]Gui chi Quynh'!$B$11:$E$400,4,FALSE)</f>
        <v>A3</v>
      </c>
      <c r="N133" s="494">
        <f t="shared" si="17"/>
        <v>11617344</v>
      </c>
      <c r="O133" s="376">
        <v>22</v>
      </c>
      <c r="P133" s="440">
        <f>IFERROR(INDEX('[14]CN BC'!$J$10:$J$276,MATCH(B133,'[14]CN BC'!$H$10:$H$276,0)),"")</f>
        <v>22</v>
      </c>
      <c r="Q133" s="494">
        <f t="shared" si="18"/>
        <v>11617344</v>
      </c>
      <c r="R133" s="460"/>
      <c r="S133" s="362">
        <f t="shared" si="22"/>
        <v>0</v>
      </c>
      <c r="T133" s="370"/>
      <c r="U133" s="362">
        <f t="shared" si="19"/>
        <v>0</v>
      </c>
      <c r="V133" s="584">
        <f t="shared" si="20"/>
        <v>96811</v>
      </c>
      <c r="W133" s="371">
        <f t="shared" si="24"/>
        <v>11617344</v>
      </c>
      <c r="X133" s="977">
        <f t="shared" si="25"/>
        <v>6.4540800000000003</v>
      </c>
      <c r="Y133" s="491">
        <v>1800000</v>
      </c>
      <c r="Z133" s="653">
        <f t="shared" si="23"/>
        <v>11617344</v>
      </c>
      <c r="AA133" s="572">
        <f t="shared" si="21"/>
        <v>111</v>
      </c>
      <c r="AB133" s="493">
        <f>IFERROR(INDEX('[14]CN BC'!$M$10:$M$276,MATCH(B133,'[14]CN BC'!$H$10:$H$276,0)),"")</f>
        <v>0</v>
      </c>
      <c r="AC133" s="141" t="str">
        <f>VLOOKUP(B133,TH.T4!B131:AC461,28,FALSE)</f>
        <v>KHCB</v>
      </c>
      <c r="AD133" s="108"/>
      <c r="AE133" s="108"/>
      <c r="AF133" s="487"/>
    </row>
    <row r="134" spans="1:42" s="372" customFormat="1" ht="26.25" customHeight="1">
      <c r="A134" s="379">
        <f>_xlfn.AGGREGATE(4,7,A$22:A133)+1</f>
        <v>112</v>
      </c>
      <c r="B134" s="374" t="s">
        <v>847</v>
      </c>
      <c r="C134" s="960" t="s">
        <v>896</v>
      </c>
      <c r="D134" s="434" t="s">
        <v>1703</v>
      </c>
      <c r="E134" s="423" t="s">
        <v>1307</v>
      </c>
      <c r="F134" s="81" t="str">
        <f>VLOOKUP(B134,TH.T4!B132:J462,9,FALSE)</f>
        <v>Giảng viên khoa KHCB</v>
      </c>
      <c r="G134" s="373">
        <v>3.99</v>
      </c>
      <c r="H134" s="367"/>
      <c r="I134" s="368">
        <f t="shared" si="26"/>
        <v>3.99</v>
      </c>
      <c r="J134" s="368"/>
      <c r="K134" s="369">
        <f t="shared" si="27"/>
        <v>3.99</v>
      </c>
      <c r="L134" s="362">
        <f t="shared" si="28"/>
        <v>7182000</v>
      </c>
      <c r="M134" s="366" t="str">
        <f>VLOOKUP(B134,'[13]Gui chi Quynh'!$B$11:$E$400,4,FALSE)</f>
        <v>A3</v>
      </c>
      <c r="N134" s="494">
        <f t="shared" si="17"/>
        <v>8618400</v>
      </c>
      <c r="O134" s="376">
        <v>22</v>
      </c>
      <c r="P134" s="440">
        <f>IFERROR(INDEX('[14]CN BC'!$J$10:$J$276,MATCH(B134,'[14]CN BC'!$H$10:$H$276,0)),"")</f>
        <v>22</v>
      </c>
      <c r="Q134" s="494">
        <f t="shared" si="18"/>
        <v>8618400</v>
      </c>
      <c r="R134" s="460"/>
      <c r="S134" s="362">
        <f t="shared" si="22"/>
        <v>0</v>
      </c>
      <c r="T134" s="370"/>
      <c r="U134" s="362">
        <f t="shared" si="19"/>
        <v>0</v>
      </c>
      <c r="V134" s="362">
        <f t="shared" si="20"/>
        <v>71820</v>
      </c>
      <c r="W134" s="371">
        <f t="shared" si="24"/>
        <v>8618400</v>
      </c>
      <c r="X134" s="977">
        <f t="shared" si="25"/>
        <v>4.7880000000000003</v>
      </c>
      <c r="Y134" s="491">
        <v>1800000</v>
      </c>
      <c r="Z134" s="767">
        <f t="shared" si="23"/>
        <v>8618400</v>
      </c>
      <c r="AA134" s="572">
        <f t="shared" si="21"/>
        <v>112</v>
      </c>
      <c r="AB134" s="493">
        <f>IFERROR(INDEX('[14]CN BC'!$M$10:$M$276,MATCH(B134,'[14]CN BC'!$H$10:$H$276,0)),"")</f>
        <v>0</v>
      </c>
      <c r="AC134" s="141" t="str">
        <f>VLOOKUP(B134,TH.T4!B132:AC462,28,FALSE)</f>
        <v>KHCB</v>
      </c>
      <c r="AF134" s="487"/>
    </row>
    <row r="135" spans="1:42" s="372" customFormat="1" ht="30" customHeight="1">
      <c r="A135" s="379">
        <f>_xlfn.AGGREGATE(4,7,A$22:A134)+1</f>
        <v>113</v>
      </c>
      <c r="B135" s="374" t="s">
        <v>1486</v>
      </c>
      <c r="C135" s="960" t="s">
        <v>1218</v>
      </c>
      <c r="D135" s="406" t="s">
        <v>1704</v>
      </c>
      <c r="E135" s="426" t="s">
        <v>1588</v>
      </c>
      <c r="F135" s="81" t="str">
        <f>VLOOKUP(B135,TH.T4!B133:J463,9,FALSE)</f>
        <v>Giảng viên khoa KHCB</v>
      </c>
      <c r="G135" s="373">
        <v>3.66</v>
      </c>
      <c r="H135" s="367"/>
      <c r="I135" s="368">
        <f t="shared" si="26"/>
        <v>3.66</v>
      </c>
      <c r="J135" s="368"/>
      <c r="K135" s="369">
        <f t="shared" si="27"/>
        <v>3.66</v>
      </c>
      <c r="L135" s="362">
        <f t="shared" si="28"/>
        <v>6588000</v>
      </c>
      <c r="M135" s="366" t="str">
        <f>VLOOKUP(B135,'[13]Gui chi Quynh'!$B$11:$E$400,4,FALSE)</f>
        <v>A4</v>
      </c>
      <c r="N135" s="494">
        <f t="shared" si="17"/>
        <v>6588000</v>
      </c>
      <c r="O135" s="376">
        <v>22</v>
      </c>
      <c r="P135" s="440">
        <f>IFERROR(INDEX('[14]CN BC'!$J$10:$J$276,MATCH(B135,'[14]CN BC'!$H$10:$H$276,0)),"")</f>
        <v>22</v>
      </c>
      <c r="Q135" s="494">
        <f t="shared" si="18"/>
        <v>6588000</v>
      </c>
      <c r="R135" s="392"/>
      <c r="S135" s="362">
        <f t="shared" si="22"/>
        <v>0</v>
      </c>
      <c r="T135" s="370"/>
      <c r="U135" s="362">
        <f t="shared" si="19"/>
        <v>0</v>
      </c>
      <c r="V135" s="584">
        <f t="shared" si="20"/>
        <v>65880</v>
      </c>
      <c r="W135" s="371">
        <f t="shared" si="24"/>
        <v>6588000</v>
      </c>
      <c r="X135" s="977">
        <f t="shared" si="25"/>
        <v>3.66</v>
      </c>
      <c r="Y135" s="491">
        <v>1800000</v>
      </c>
      <c r="Z135" s="767">
        <f t="shared" si="23"/>
        <v>6588000</v>
      </c>
      <c r="AA135" s="572">
        <f t="shared" si="21"/>
        <v>113</v>
      </c>
      <c r="AB135" s="493">
        <f>IFERROR(INDEX('[14]CN BC'!$M$10:$M$276,MATCH(B135,'[14]CN BC'!$H$10:$H$276,0)),"")</f>
        <v>0</v>
      </c>
      <c r="AC135" s="141" t="str">
        <f>VLOOKUP(B135,TH.T4!B133:AC463,28,FALSE)</f>
        <v>KHCB</v>
      </c>
      <c r="AD135" s="108"/>
      <c r="AE135" s="108"/>
      <c r="AF135" s="155"/>
      <c r="AG135" s="108"/>
      <c r="AH135" s="108"/>
      <c r="AI135" s="108"/>
      <c r="AJ135" s="108"/>
      <c r="AK135" s="108"/>
      <c r="AL135" s="108"/>
      <c r="AM135" s="108"/>
      <c r="AN135" s="108"/>
      <c r="AO135" s="108"/>
      <c r="AP135" s="108"/>
    </row>
    <row r="136" spans="1:42" s="108" customFormat="1" ht="30" customHeight="1">
      <c r="A136" s="379">
        <f>_xlfn.AGGREGATE(4,7,A$22:A135)+1</f>
        <v>114</v>
      </c>
      <c r="B136" s="374" t="s">
        <v>1871</v>
      </c>
      <c r="C136" s="960" t="s">
        <v>873</v>
      </c>
      <c r="D136" s="434" t="s">
        <v>1705</v>
      </c>
      <c r="E136" s="423" t="s">
        <v>1309</v>
      </c>
      <c r="F136" s="81" t="str">
        <f>VLOOKUP(B136,TH.T4!B134:J464,9,FALSE)</f>
        <v>Phó TK Khoa KHCB</v>
      </c>
      <c r="G136" s="366">
        <v>4.9800000000000004</v>
      </c>
      <c r="H136" s="367"/>
      <c r="I136" s="368">
        <f t="shared" si="26"/>
        <v>4.9800000000000004</v>
      </c>
      <c r="J136" s="368">
        <v>0.35</v>
      </c>
      <c r="K136" s="369">
        <f t="shared" si="27"/>
        <v>5.33</v>
      </c>
      <c r="L136" s="362">
        <f t="shared" si="28"/>
        <v>9594000</v>
      </c>
      <c r="M136" s="366" t="str">
        <f>VLOOKUP(B136,'[13]Gui chi Quynh'!$B$11:$E$400,4,FALSE)</f>
        <v>A3</v>
      </c>
      <c r="N136" s="494">
        <f t="shared" si="17"/>
        <v>11512800</v>
      </c>
      <c r="O136" s="376">
        <v>22</v>
      </c>
      <c r="P136" s="440">
        <f>IFERROR(INDEX('[14]CN BC'!$J$10:$J$276,MATCH(B136,'[14]CN BC'!$H$10:$H$276,0)),"")</f>
        <v>22</v>
      </c>
      <c r="Q136" s="494">
        <f t="shared" si="18"/>
        <v>11512800</v>
      </c>
      <c r="R136" s="460"/>
      <c r="S136" s="362">
        <f t="shared" si="22"/>
        <v>0</v>
      </c>
      <c r="T136" s="370"/>
      <c r="U136" s="362">
        <f t="shared" si="19"/>
        <v>0</v>
      </c>
      <c r="V136" s="584">
        <f t="shared" si="20"/>
        <v>95940</v>
      </c>
      <c r="W136" s="371">
        <f t="shared" si="24"/>
        <v>11512800</v>
      </c>
      <c r="X136" s="977">
        <f t="shared" si="25"/>
        <v>6.3959999999999999</v>
      </c>
      <c r="Y136" s="491">
        <v>1800000</v>
      </c>
      <c r="Z136" s="767">
        <f t="shared" si="23"/>
        <v>11512800</v>
      </c>
      <c r="AA136" s="572">
        <f t="shared" si="21"/>
        <v>114</v>
      </c>
      <c r="AB136" s="493">
        <f>IFERROR(INDEX('[14]CN BC'!$M$10:$M$276,MATCH(B136,'[14]CN BC'!$H$10:$H$276,0)),"")</f>
        <v>0</v>
      </c>
      <c r="AC136" s="141" t="str">
        <f>VLOOKUP(B136,TH.T4!B134:AC464,28,FALSE)</f>
        <v>KHCB</v>
      </c>
      <c r="AF136" s="155"/>
    </row>
    <row r="137" spans="1:42" s="372" customFormat="1" ht="30" customHeight="1">
      <c r="A137" s="379">
        <f>_xlfn.AGGREGATE(4,7,A$22:A136)+1</f>
        <v>115</v>
      </c>
      <c r="B137" s="374" t="s">
        <v>1872</v>
      </c>
      <c r="C137" s="960" t="s">
        <v>966</v>
      </c>
      <c r="D137" s="434" t="s">
        <v>1706</v>
      </c>
      <c r="E137" s="423" t="s">
        <v>1311</v>
      </c>
      <c r="F137" s="81" t="str">
        <f>VLOOKUP(B137,TH.T4!B135:J465,9,FALSE)</f>
        <v>Giảng viên Khoa KHCB</v>
      </c>
      <c r="G137" s="366">
        <v>4.9800000000000004</v>
      </c>
      <c r="H137" s="367">
        <v>0.05</v>
      </c>
      <c r="I137" s="368">
        <f t="shared" si="26"/>
        <v>5.2290000000000001</v>
      </c>
      <c r="J137" s="368"/>
      <c r="K137" s="369">
        <f t="shared" si="27"/>
        <v>5.2290000000000001</v>
      </c>
      <c r="L137" s="362">
        <f t="shared" si="28"/>
        <v>9412200</v>
      </c>
      <c r="M137" s="366" t="str">
        <f>VLOOKUP(B137,'[13]Gui chi Quynh'!$B$11:$E$400,4,FALSE)</f>
        <v>A4</v>
      </c>
      <c r="N137" s="494">
        <f t="shared" si="17"/>
        <v>9412200</v>
      </c>
      <c r="O137" s="376">
        <v>22</v>
      </c>
      <c r="P137" s="440">
        <f>IFERROR(INDEX('[14]CN BC'!$J$10:$J$276,MATCH(B137,'[14]CN BC'!$H$10:$H$276,0)),"")</f>
        <v>22</v>
      </c>
      <c r="Q137" s="494">
        <f t="shared" si="18"/>
        <v>9412200</v>
      </c>
      <c r="R137" s="460"/>
      <c r="S137" s="362">
        <f t="shared" si="22"/>
        <v>0</v>
      </c>
      <c r="T137" s="370"/>
      <c r="U137" s="362">
        <f t="shared" si="19"/>
        <v>0</v>
      </c>
      <c r="V137" s="584">
        <f t="shared" si="20"/>
        <v>94122</v>
      </c>
      <c r="W137" s="371">
        <f t="shared" si="24"/>
        <v>9412200</v>
      </c>
      <c r="X137" s="977">
        <f t="shared" si="25"/>
        <v>5.2290000000000001</v>
      </c>
      <c r="Y137" s="491">
        <v>1800000</v>
      </c>
      <c r="Z137" s="767">
        <f t="shared" si="23"/>
        <v>9412200</v>
      </c>
      <c r="AA137" s="572">
        <f t="shared" si="21"/>
        <v>115</v>
      </c>
      <c r="AB137" s="493">
        <f>IFERROR(INDEX('[14]CN BC'!$M$10:$M$276,MATCH(B137,'[14]CN BC'!$H$10:$H$276,0)),"")</f>
        <v>0</v>
      </c>
      <c r="AC137" s="141" t="str">
        <f>VLOOKUP(B137,TH.T4!B135:AC465,28,FALSE)</f>
        <v>KHCB</v>
      </c>
      <c r="AD137" s="108"/>
      <c r="AE137" s="108"/>
      <c r="AF137" s="487"/>
    </row>
    <row r="138" spans="1:42" s="372" customFormat="1" ht="32.25" customHeight="1">
      <c r="A138" s="379">
        <f>_xlfn.AGGREGATE(4,7,A$22:A137)+1</f>
        <v>116</v>
      </c>
      <c r="B138" s="374" t="s">
        <v>1487</v>
      </c>
      <c r="C138" s="960" t="s">
        <v>917</v>
      </c>
      <c r="D138" s="434" t="s">
        <v>1707</v>
      </c>
      <c r="E138" s="423" t="s">
        <v>1312</v>
      </c>
      <c r="F138" s="81" t="str">
        <f>VLOOKUP(B138,TH.T4!B136:J466,9,FALSE)</f>
        <v>Giảng viên khoa KHCB</v>
      </c>
      <c r="G138" s="373">
        <v>3.99</v>
      </c>
      <c r="H138" s="367"/>
      <c r="I138" s="368">
        <f t="shared" si="26"/>
        <v>3.99</v>
      </c>
      <c r="J138" s="368"/>
      <c r="K138" s="369">
        <f t="shared" si="27"/>
        <v>3.99</v>
      </c>
      <c r="L138" s="362">
        <f t="shared" si="28"/>
        <v>7182000</v>
      </c>
      <c r="M138" s="366" t="str">
        <f>VLOOKUP(B138,'[13]Gui chi Quynh'!$B$11:$E$400,4,FALSE)</f>
        <v>A4</v>
      </c>
      <c r="N138" s="494">
        <f t="shared" si="17"/>
        <v>7182000</v>
      </c>
      <c r="O138" s="376">
        <v>22</v>
      </c>
      <c r="P138" s="440">
        <f>IFERROR(INDEX('[14]CN BC'!$J$10:$J$276,MATCH(B138,'[14]CN BC'!$H$10:$H$276,0)),"")</f>
        <v>22</v>
      </c>
      <c r="Q138" s="494">
        <f t="shared" si="18"/>
        <v>7182000</v>
      </c>
      <c r="R138" s="460"/>
      <c r="S138" s="362">
        <f t="shared" si="22"/>
        <v>0</v>
      </c>
      <c r="T138" s="370"/>
      <c r="U138" s="362">
        <f t="shared" si="19"/>
        <v>0</v>
      </c>
      <c r="V138" s="584">
        <f t="shared" si="20"/>
        <v>71820</v>
      </c>
      <c r="W138" s="371">
        <f t="shared" si="24"/>
        <v>7182000</v>
      </c>
      <c r="X138" s="977">
        <f t="shared" si="25"/>
        <v>3.99</v>
      </c>
      <c r="Y138" s="491">
        <v>1800000</v>
      </c>
      <c r="Z138" s="767">
        <f t="shared" si="23"/>
        <v>7182000</v>
      </c>
      <c r="AA138" s="572">
        <f t="shared" si="21"/>
        <v>116</v>
      </c>
      <c r="AB138" s="493">
        <f>IFERROR(INDEX('[14]CN BC'!$M$10:$M$276,MATCH(B138,'[14]CN BC'!$H$10:$H$276,0)),"")</f>
        <v>0</v>
      </c>
      <c r="AC138" s="141" t="str">
        <f>VLOOKUP(B138,TH.T4!B136:AC466,28,FALSE)</f>
        <v>KHCB</v>
      </c>
      <c r="AD138" s="108"/>
      <c r="AE138" s="108"/>
      <c r="AF138" s="487"/>
    </row>
    <row r="139" spans="1:42" s="372" customFormat="1" ht="30" customHeight="1">
      <c r="A139" s="379">
        <f>_xlfn.AGGREGATE(4,7,A$22:A138)+1</f>
        <v>117</v>
      </c>
      <c r="B139" s="374" t="s">
        <v>1488</v>
      </c>
      <c r="C139" s="960" t="s">
        <v>874</v>
      </c>
      <c r="D139" s="434" t="s">
        <v>1708</v>
      </c>
      <c r="E139" s="423" t="s">
        <v>374</v>
      </c>
      <c r="F139" s="81" t="str">
        <f>VLOOKUP(B139,TH.T4!B137:J467,9,FALSE)</f>
        <v>Giảng viên khoa KHCB</v>
      </c>
      <c r="G139" s="373">
        <v>3.66</v>
      </c>
      <c r="H139" s="367"/>
      <c r="I139" s="368">
        <f t="shared" si="26"/>
        <v>3.66</v>
      </c>
      <c r="J139" s="368"/>
      <c r="K139" s="369">
        <f t="shared" si="27"/>
        <v>3.66</v>
      </c>
      <c r="L139" s="362">
        <f t="shared" si="28"/>
        <v>6588000</v>
      </c>
      <c r="M139" s="366" t="str">
        <f>VLOOKUP(B139,'[13]Gui chi Quynh'!$B$11:$E$400,4,FALSE)</f>
        <v>A4</v>
      </c>
      <c r="N139" s="494">
        <f t="shared" si="17"/>
        <v>6588000</v>
      </c>
      <c r="O139" s="376">
        <v>22</v>
      </c>
      <c r="P139" s="440">
        <f>IFERROR(INDEX('[14]CN BC'!$J$10:$J$276,MATCH(B139,'[14]CN BC'!$H$10:$H$276,0)),"")</f>
        <v>22</v>
      </c>
      <c r="Q139" s="494">
        <f t="shared" si="18"/>
        <v>6588000</v>
      </c>
      <c r="R139" s="460"/>
      <c r="S139" s="362">
        <f t="shared" si="22"/>
        <v>0</v>
      </c>
      <c r="T139" s="370"/>
      <c r="U139" s="362">
        <f t="shared" si="19"/>
        <v>0</v>
      </c>
      <c r="V139" s="584">
        <f t="shared" si="20"/>
        <v>65880</v>
      </c>
      <c r="W139" s="371">
        <f t="shared" si="24"/>
        <v>6588000</v>
      </c>
      <c r="X139" s="977">
        <f t="shared" si="25"/>
        <v>3.66</v>
      </c>
      <c r="Y139" s="491">
        <v>1800000</v>
      </c>
      <c r="Z139" s="663">
        <f t="shared" si="23"/>
        <v>6588000</v>
      </c>
      <c r="AA139" s="568">
        <f t="shared" si="21"/>
        <v>117</v>
      </c>
      <c r="AB139" s="493">
        <f>IFERROR(INDEX('[14]CN BC'!$M$10:$M$276,MATCH(B139,'[14]CN BC'!$H$10:$H$276,0)),"")</f>
        <v>0</v>
      </c>
      <c r="AC139" s="141" t="str">
        <f>VLOOKUP(B139,TH.T4!B137:AC467,28,FALSE)</f>
        <v>KHCB</v>
      </c>
      <c r="AD139" s="108"/>
      <c r="AE139" s="108"/>
      <c r="AF139" s="155"/>
      <c r="AG139" s="108"/>
      <c r="AH139" s="108"/>
      <c r="AI139" s="108"/>
      <c r="AJ139" s="108"/>
      <c r="AK139" s="108"/>
      <c r="AL139" s="108"/>
    </row>
    <row r="140" spans="1:42" s="372" customFormat="1" ht="30" customHeight="1">
      <c r="A140" s="379">
        <f>_xlfn.AGGREGATE(4,7,A$22:A139)+1</f>
        <v>118</v>
      </c>
      <c r="B140" s="374" t="s">
        <v>1489</v>
      </c>
      <c r="C140" s="960" t="s">
        <v>1423</v>
      </c>
      <c r="D140" s="434" t="s">
        <v>1709</v>
      </c>
      <c r="E140" s="422" t="s">
        <v>1424</v>
      </c>
      <c r="F140" s="81" t="str">
        <f>VLOOKUP(B140,TH.T4!B138:J468,9,FALSE)</f>
        <v>Giảng viên khoa KHCB</v>
      </c>
      <c r="G140" s="373">
        <v>3.33</v>
      </c>
      <c r="H140" s="367"/>
      <c r="I140" s="445">
        <f t="shared" si="26"/>
        <v>3.33</v>
      </c>
      <c r="J140" s="368"/>
      <c r="K140" s="369">
        <f t="shared" si="27"/>
        <v>3.33</v>
      </c>
      <c r="L140" s="362">
        <f t="shared" si="28"/>
        <v>5994000</v>
      </c>
      <c r="M140" s="366" t="str">
        <f>VLOOKUP(B140,'[13]Gui chi Quynh'!$B$11:$E$400,4,FALSE)</f>
        <v>A3</v>
      </c>
      <c r="N140" s="494">
        <f t="shared" si="17"/>
        <v>7192800</v>
      </c>
      <c r="O140" s="376">
        <v>22</v>
      </c>
      <c r="P140" s="440">
        <f>IFERROR(INDEX('[14]CN BC'!$J$10:$J$276,MATCH(B140,'[14]CN BC'!$H$10:$H$276,0)),"")</f>
        <v>22</v>
      </c>
      <c r="Q140" s="494">
        <f t="shared" si="18"/>
        <v>7192800</v>
      </c>
      <c r="R140" s="460"/>
      <c r="S140" s="362">
        <f t="shared" si="22"/>
        <v>0</v>
      </c>
      <c r="T140" s="370"/>
      <c r="U140" s="362">
        <f t="shared" si="19"/>
        <v>0</v>
      </c>
      <c r="V140" s="584">
        <f t="shared" si="20"/>
        <v>59940</v>
      </c>
      <c r="W140" s="371">
        <f t="shared" si="24"/>
        <v>7192800</v>
      </c>
      <c r="X140" s="977">
        <f t="shared" si="25"/>
        <v>3.996</v>
      </c>
      <c r="Y140" s="491">
        <v>1800000</v>
      </c>
      <c r="Z140" s="663">
        <f t="shared" si="23"/>
        <v>7192800</v>
      </c>
      <c r="AA140" s="568">
        <f t="shared" si="21"/>
        <v>118</v>
      </c>
      <c r="AB140" s="493">
        <f>IFERROR(INDEX('[14]CN BC'!$M$10:$M$276,MATCH(B140,'[14]CN BC'!$H$10:$H$276,0)),"")</f>
        <v>0</v>
      </c>
      <c r="AC140" s="141" t="str">
        <f>VLOOKUP(B140,TH.T4!B138:AC468,28,FALSE)</f>
        <v>KHCB</v>
      </c>
      <c r="AD140" s="108"/>
      <c r="AE140" s="108"/>
      <c r="AF140" s="155"/>
      <c r="AG140" s="108"/>
      <c r="AH140" s="108"/>
      <c r="AI140" s="108"/>
      <c r="AJ140" s="108"/>
      <c r="AK140" s="108"/>
      <c r="AL140" s="108"/>
    </row>
    <row r="141" spans="1:42" s="372" customFormat="1" ht="42" customHeight="1">
      <c r="A141" s="379">
        <f>_xlfn.AGGREGATE(4,7,A$22:A140)+1</f>
        <v>119</v>
      </c>
      <c r="B141" s="374" t="s">
        <v>1490</v>
      </c>
      <c r="C141" s="960" t="s">
        <v>960</v>
      </c>
      <c r="D141" s="434" t="s">
        <v>1710</v>
      </c>
      <c r="E141" s="422" t="s">
        <v>1425</v>
      </c>
      <c r="F141" s="81" t="str">
        <f>VLOOKUP(B141,TH.T4!B139:J469,9,FALSE)</f>
        <v>Giảng viên khoa KHCB</v>
      </c>
      <c r="G141" s="373">
        <v>3.33</v>
      </c>
      <c r="H141" s="367"/>
      <c r="I141" s="445">
        <f t="shared" si="26"/>
        <v>3.33</v>
      </c>
      <c r="J141" s="368"/>
      <c r="K141" s="369">
        <f t="shared" si="27"/>
        <v>3.33</v>
      </c>
      <c r="L141" s="362">
        <f t="shared" si="28"/>
        <v>5994000</v>
      </c>
      <c r="M141" s="366" t="str">
        <f>VLOOKUP(B141,'[13]Gui chi Quynh'!$B$11:$E$400,4,FALSE)</f>
        <v>A4</v>
      </c>
      <c r="N141" s="494">
        <f t="shared" si="17"/>
        <v>5994000</v>
      </c>
      <c r="O141" s="376">
        <v>22</v>
      </c>
      <c r="P141" s="467">
        <f>IFERROR(INDEX('[14]CN BC'!$J$10:$J$276,MATCH(B141,'[14]CN BC'!$H$10:$H$276,0)),"")</f>
        <v>22</v>
      </c>
      <c r="Q141" s="494">
        <f t="shared" si="18"/>
        <v>5994000</v>
      </c>
      <c r="R141" s="460"/>
      <c r="S141" s="362">
        <f t="shared" si="22"/>
        <v>0</v>
      </c>
      <c r="T141" s="370"/>
      <c r="U141" s="362">
        <f t="shared" si="19"/>
        <v>0</v>
      </c>
      <c r="V141" s="362">
        <f t="shared" si="20"/>
        <v>59940</v>
      </c>
      <c r="W141" s="371">
        <f t="shared" si="24"/>
        <v>5994000</v>
      </c>
      <c r="X141" s="977">
        <f t="shared" si="25"/>
        <v>3.33</v>
      </c>
      <c r="Y141" s="491">
        <v>1800000</v>
      </c>
      <c r="Z141" s="663">
        <f t="shared" si="23"/>
        <v>5994000</v>
      </c>
      <c r="AA141" s="568">
        <f t="shared" si="21"/>
        <v>119</v>
      </c>
      <c r="AB141" s="551">
        <f>IFERROR(INDEX('[14]CN BC'!$M$10:$M$276,MATCH(B141,'[14]CN BC'!$H$10:$H$276,0)),"")</f>
        <v>0</v>
      </c>
      <c r="AC141" s="536" t="str">
        <f>VLOOKUP(B141,TH.T4!B139:AC469,28,FALSE)</f>
        <v>KHCB</v>
      </c>
      <c r="AF141" s="487"/>
    </row>
    <row r="142" spans="1:42" s="372" customFormat="1" ht="30" customHeight="1">
      <c r="A142" s="379">
        <f>_xlfn.AGGREGATE(4,7,A$22:A141)+1</f>
        <v>120</v>
      </c>
      <c r="B142" s="374" t="s">
        <v>1873</v>
      </c>
      <c r="C142" s="960" t="s">
        <v>889</v>
      </c>
      <c r="D142" s="406" t="s">
        <v>1711</v>
      </c>
      <c r="E142" s="423" t="s">
        <v>1322</v>
      </c>
      <c r="F142" s="81" t="str">
        <f>VLOOKUP(B142,TH.T4!B140:J470,9,FALSE)</f>
        <v>Giảng viên Khoa KHCB</v>
      </c>
      <c r="G142" s="373">
        <v>3.99</v>
      </c>
      <c r="H142" s="367"/>
      <c r="I142" s="368">
        <f t="shared" si="26"/>
        <v>3.99</v>
      </c>
      <c r="J142" s="368">
        <f>0.25</f>
        <v>0.25</v>
      </c>
      <c r="K142" s="369">
        <f t="shared" si="27"/>
        <v>4.24</v>
      </c>
      <c r="L142" s="362">
        <f t="shared" si="28"/>
        <v>7632000</v>
      </c>
      <c r="M142" s="366" t="str">
        <f>VLOOKUP(B142,'[13]Gui chi Quynh'!$B$11:$E$400,4,FALSE)</f>
        <v>A3</v>
      </c>
      <c r="N142" s="494">
        <f t="shared" si="17"/>
        <v>9158400</v>
      </c>
      <c r="O142" s="376">
        <v>22</v>
      </c>
      <c r="P142" s="440">
        <f>IFERROR(INDEX('[14]CN BC'!$J$10:$J$276,MATCH(B142,'[14]CN BC'!$H$10:$H$276,0)),"")</f>
        <v>22</v>
      </c>
      <c r="Q142" s="494">
        <f t="shared" si="18"/>
        <v>9158400</v>
      </c>
      <c r="R142" s="392"/>
      <c r="S142" s="362">
        <f t="shared" si="22"/>
        <v>0</v>
      </c>
      <c r="T142" s="370"/>
      <c r="U142" s="362">
        <f t="shared" si="19"/>
        <v>0</v>
      </c>
      <c r="V142" s="584">
        <f t="shared" si="20"/>
        <v>76320</v>
      </c>
      <c r="W142" s="371">
        <f t="shared" si="24"/>
        <v>9158400</v>
      </c>
      <c r="X142" s="977">
        <f t="shared" si="25"/>
        <v>5.0880000000000001</v>
      </c>
      <c r="Y142" s="491">
        <v>1800000</v>
      </c>
      <c r="Z142" s="663">
        <f t="shared" si="23"/>
        <v>9158400</v>
      </c>
      <c r="AA142" s="568">
        <f t="shared" si="21"/>
        <v>120</v>
      </c>
      <c r="AB142" s="493">
        <f>IFERROR(INDEX('[14]CN BC'!$M$10:$M$276,MATCH(B142,'[14]CN BC'!$H$10:$H$276,0)),"")</f>
        <v>0</v>
      </c>
      <c r="AC142" s="141" t="str">
        <f>VLOOKUP(B142,TH.T4!B140:AC470,28,FALSE)</f>
        <v>KHCB</v>
      </c>
      <c r="AD142" s="108"/>
      <c r="AE142" s="108"/>
      <c r="AF142" s="155"/>
      <c r="AG142" s="108"/>
      <c r="AH142" s="108"/>
      <c r="AI142" s="108"/>
      <c r="AJ142" s="108"/>
      <c r="AK142" s="108"/>
      <c r="AL142" s="108"/>
      <c r="AM142" s="108"/>
      <c r="AN142" s="108"/>
      <c r="AO142" s="108"/>
      <c r="AP142" s="108"/>
    </row>
    <row r="143" spans="1:42" s="372" customFormat="1" ht="30" customHeight="1">
      <c r="A143" s="379">
        <f>_xlfn.AGGREGATE(4,7,A$22:A142)+1</f>
        <v>121</v>
      </c>
      <c r="B143" s="374" t="s">
        <v>1491</v>
      </c>
      <c r="C143" s="960" t="s">
        <v>1206</v>
      </c>
      <c r="D143" s="434" t="s">
        <v>1712</v>
      </c>
      <c r="E143" s="423" t="s">
        <v>1323</v>
      </c>
      <c r="F143" s="81" t="str">
        <f>VLOOKUP(B143,TH.T4!B141:J471,9,FALSE)</f>
        <v>Giảng viên khoa KHCB</v>
      </c>
      <c r="G143" s="373">
        <v>4.32</v>
      </c>
      <c r="H143" s="367"/>
      <c r="I143" s="368">
        <f t="shared" si="26"/>
        <v>4.32</v>
      </c>
      <c r="J143" s="368"/>
      <c r="K143" s="369">
        <f t="shared" si="27"/>
        <v>4.32</v>
      </c>
      <c r="L143" s="362">
        <f t="shared" si="28"/>
        <v>7776000.0000000009</v>
      </c>
      <c r="M143" s="366" t="str">
        <f>VLOOKUP(B143,'[13]Gui chi Quynh'!$B$11:$E$400,4,FALSE)</f>
        <v>A3</v>
      </c>
      <c r="N143" s="494">
        <f t="shared" si="17"/>
        <v>9331200</v>
      </c>
      <c r="O143" s="376">
        <v>22</v>
      </c>
      <c r="P143" s="440">
        <f>IFERROR(INDEX('[14]CN BC'!$J$10:$J$276,MATCH(B143,'[14]CN BC'!$H$10:$H$276,0)),"")</f>
        <v>23</v>
      </c>
      <c r="Q143" s="494">
        <f t="shared" si="18"/>
        <v>9331200</v>
      </c>
      <c r="R143" s="460">
        <v>0</v>
      </c>
      <c r="S143" s="362">
        <f>R143*$H$19*0.8</f>
        <v>0</v>
      </c>
      <c r="T143" s="370"/>
      <c r="U143" s="362">
        <f t="shared" si="19"/>
        <v>0</v>
      </c>
      <c r="V143" s="584">
        <f t="shared" si="20"/>
        <v>77760</v>
      </c>
      <c r="W143" s="371">
        <f t="shared" si="24"/>
        <v>9331200</v>
      </c>
      <c r="X143" s="977">
        <f t="shared" si="25"/>
        <v>5.1840000000000002</v>
      </c>
      <c r="Y143" s="491">
        <v>1800000</v>
      </c>
      <c r="Z143" s="663">
        <f t="shared" si="23"/>
        <v>9331200</v>
      </c>
      <c r="AA143" s="568">
        <f t="shared" si="21"/>
        <v>121</v>
      </c>
      <c r="AB143" s="493" t="str">
        <f>IFERROR(INDEX('[14]CN BC'!$M$10:$M$276,MATCH(B143,'[14]CN BC'!$H$10:$H$276,0)),"")</f>
        <v>Cộng 1 ngày 26/5 hỗ trợ giải bóng đá</v>
      </c>
      <c r="AC143" s="141" t="str">
        <f>VLOOKUP(B143,TH.T4!B141:AC471,28,FALSE)</f>
        <v>KHCB</v>
      </c>
      <c r="AD143" s="108"/>
      <c r="AE143" s="108"/>
      <c r="AF143" s="155"/>
      <c r="AG143" s="108"/>
      <c r="AH143" s="108"/>
      <c r="AI143" s="108"/>
      <c r="AJ143" s="108"/>
      <c r="AK143" s="108"/>
      <c r="AL143" s="108"/>
    </row>
    <row r="144" spans="1:42" s="372" customFormat="1" ht="30" customHeight="1">
      <c r="A144" s="379">
        <f>_xlfn.AGGREGATE(4,7,A$22:A143)+1</f>
        <v>122</v>
      </c>
      <c r="B144" s="374" t="s">
        <v>845</v>
      </c>
      <c r="C144" s="960" t="s">
        <v>992</v>
      </c>
      <c r="D144" s="434" t="s">
        <v>1713</v>
      </c>
      <c r="E144" s="423" t="s">
        <v>1324</v>
      </c>
      <c r="F144" s="81" t="str">
        <f>VLOOKUP(B144,TH.T4!B142:J472,9,FALSE)</f>
        <v>Giảng viên khoa KHCB</v>
      </c>
      <c r="G144" s="373">
        <v>3.99</v>
      </c>
      <c r="H144" s="367"/>
      <c r="I144" s="368">
        <f t="shared" si="26"/>
        <v>3.99</v>
      </c>
      <c r="J144" s="368"/>
      <c r="K144" s="369">
        <f t="shared" si="27"/>
        <v>3.99</v>
      </c>
      <c r="L144" s="362">
        <f t="shared" si="28"/>
        <v>7182000</v>
      </c>
      <c r="M144" s="366" t="str">
        <f>VLOOKUP(B144,'[13]Gui chi Quynh'!$B$11:$E$400,4,FALSE)</f>
        <v>A2</v>
      </c>
      <c r="N144" s="494">
        <f t="shared" si="17"/>
        <v>10054800</v>
      </c>
      <c r="O144" s="376">
        <v>22</v>
      </c>
      <c r="P144" s="440">
        <f>IFERROR(INDEX('[14]CN BC'!$J$10:$J$276,MATCH(B144,'[14]CN BC'!$H$10:$H$276,0)),"")</f>
        <v>22</v>
      </c>
      <c r="Q144" s="494">
        <f t="shared" si="18"/>
        <v>10054800</v>
      </c>
      <c r="R144" s="392"/>
      <c r="S144" s="362">
        <f t="shared" ref="S144:S207" si="29">R144*$H$19*1</f>
        <v>0</v>
      </c>
      <c r="T144" s="370"/>
      <c r="U144" s="362">
        <f t="shared" si="19"/>
        <v>0</v>
      </c>
      <c r="V144" s="584">
        <f t="shared" si="20"/>
        <v>71820</v>
      </c>
      <c r="W144" s="371">
        <f t="shared" si="24"/>
        <v>10054800</v>
      </c>
      <c r="X144" s="977">
        <f t="shared" si="25"/>
        <v>5.5860000000000003</v>
      </c>
      <c r="Y144" s="491">
        <v>1800000</v>
      </c>
      <c r="Z144" s="663">
        <f t="shared" si="23"/>
        <v>10054800</v>
      </c>
      <c r="AA144" s="568">
        <f t="shared" si="21"/>
        <v>122</v>
      </c>
      <c r="AB144" s="493">
        <f>IFERROR(INDEX('[14]CN BC'!$M$10:$M$276,MATCH(B144,'[14]CN BC'!$H$10:$H$276,0)),"")</f>
        <v>0</v>
      </c>
      <c r="AC144" s="141" t="str">
        <f>VLOOKUP(B144,TH.T4!B142:AC472,28,FALSE)</f>
        <v>KHCB</v>
      </c>
      <c r="AD144" s="108"/>
      <c r="AE144" s="108"/>
      <c r="AF144" s="155"/>
      <c r="AG144" s="108"/>
      <c r="AH144" s="108"/>
      <c r="AI144" s="108"/>
      <c r="AJ144" s="108"/>
      <c r="AK144" s="108"/>
      <c r="AL144" s="108"/>
    </row>
    <row r="145" spans="1:42" s="372" customFormat="1" ht="31.5" customHeight="1">
      <c r="A145" s="379">
        <f>_xlfn.AGGREGATE(4,7,A$22:A144)+1</f>
        <v>123</v>
      </c>
      <c r="B145" s="374" t="s">
        <v>1492</v>
      </c>
      <c r="C145" s="960" t="s">
        <v>889</v>
      </c>
      <c r="D145" s="406" t="s">
        <v>1714</v>
      </c>
      <c r="E145" s="194" t="s">
        <v>1938</v>
      </c>
      <c r="F145" s="81" t="str">
        <f>VLOOKUP(B145,TH.T4!B143:J473,9,FALSE)</f>
        <v>Giảng viên khoa KHCB</v>
      </c>
      <c r="G145" s="373">
        <v>3.99</v>
      </c>
      <c r="H145" s="367"/>
      <c r="I145" s="368">
        <f t="shared" si="26"/>
        <v>3.99</v>
      </c>
      <c r="J145" s="368"/>
      <c r="K145" s="369">
        <f t="shared" si="27"/>
        <v>3.99</v>
      </c>
      <c r="L145" s="362">
        <f t="shared" si="28"/>
        <v>7182000</v>
      </c>
      <c r="M145" s="366" t="str">
        <f>VLOOKUP(B145,'[13]Gui chi Quynh'!$B$11:$E$400,4,FALSE)</f>
        <v>A2</v>
      </c>
      <c r="N145" s="494">
        <f t="shared" si="17"/>
        <v>10054800</v>
      </c>
      <c r="O145" s="376">
        <v>22</v>
      </c>
      <c r="P145" s="440">
        <f>IFERROR(INDEX('[14]CN BC'!$J$10:$J$276,MATCH(B145,'[14]CN BC'!$H$10:$H$276,0)),"")</f>
        <v>23</v>
      </c>
      <c r="Q145" s="494">
        <f t="shared" si="18"/>
        <v>10054800</v>
      </c>
      <c r="R145" s="392"/>
      <c r="S145" s="362">
        <f t="shared" si="29"/>
        <v>0</v>
      </c>
      <c r="T145" s="385"/>
      <c r="U145" s="362">
        <f t="shared" si="19"/>
        <v>0</v>
      </c>
      <c r="V145" s="584">
        <f t="shared" si="20"/>
        <v>71820</v>
      </c>
      <c r="W145" s="371">
        <f t="shared" si="24"/>
        <v>10054800</v>
      </c>
      <c r="X145" s="977">
        <f t="shared" si="25"/>
        <v>5.5860000000000003</v>
      </c>
      <c r="Y145" s="491">
        <v>1800000</v>
      </c>
      <c r="Z145" s="663">
        <f t="shared" si="23"/>
        <v>10054800</v>
      </c>
      <c r="AA145" s="568">
        <f t="shared" si="21"/>
        <v>123</v>
      </c>
      <c r="AB145" s="493" t="str">
        <f>IFERROR(INDEX('[14]CN BC'!$M$10:$M$276,MATCH(B145,'[14]CN BC'!$H$10:$H$276,0)),"")</f>
        <v>Cộng 1 ngày 26/5 hỗ trợ giải bóng đá</v>
      </c>
      <c r="AC145" s="141" t="str">
        <f>VLOOKUP(B145,TH.T4!B143:AC473,28,FALSE)</f>
        <v>KHCB</v>
      </c>
      <c r="AD145" s="108"/>
      <c r="AE145" s="108"/>
      <c r="AF145" s="155"/>
      <c r="AG145" s="108"/>
      <c r="AH145" s="108"/>
      <c r="AI145" s="108"/>
      <c r="AJ145" s="108"/>
      <c r="AK145" s="108"/>
      <c r="AL145" s="108"/>
      <c r="AM145" s="108"/>
      <c r="AN145" s="108"/>
      <c r="AO145" s="108"/>
      <c r="AP145" s="108"/>
    </row>
    <row r="146" spans="1:42" s="372" customFormat="1" ht="31.5" customHeight="1">
      <c r="A146" s="379">
        <f>_xlfn.AGGREGATE(4,7,A$22:A145)+1</f>
        <v>124</v>
      </c>
      <c r="B146" s="374" t="s">
        <v>1558</v>
      </c>
      <c r="C146" s="960"/>
      <c r="D146" s="434" t="s">
        <v>1715</v>
      </c>
      <c r="E146" s="423" t="s">
        <v>21</v>
      </c>
      <c r="F146" s="81" t="str">
        <f>VLOOKUP(B146,TH.T4!B144:J474,9,FALSE)</f>
        <v>Giảng viên khoa KHCB</v>
      </c>
      <c r="G146" s="373">
        <v>4.32</v>
      </c>
      <c r="H146" s="367"/>
      <c r="I146" s="368">
        <f t="shared" si="26"/>
        <v>4.32</v>
      </c>
      <c r="J146" s="368"/>
      <c r="K146" s="369">
        <f t="shared" si="27"/>
        <v>4.32</v>
      </c>
      <c r="L146" s="362">
        <f t="shared" si="28"/>
        <v>7776000.0000000009</v>
      </c>
      <c r="M146" s="366" t="str">
        <f>VLOOKUP(B146,'[13]Gui chi Quynh'!$B$11:$E$400,4,FALSE)</f>
        <v>A3</v>
      </c>
      <c r="N146" s="494">
        <f t="shared" si="17"/>
        <v>9331200</v>
      </c>
      <c r="O146" s="376">
        <v>22</v>
      </c>
      <c r="P146" s="440">
        <f>IFERROR(INDEX('[14]CN BC'!$J$10:$J$276,MATCH(B146,'[14]CN BC'!$H$10:$H$276,0)),"")</f>
        <v>23</v>
      </c>
      <c r="Q146" s="494">
        <f t="shared" si="18"/>
        <v>9331200</v>
      </c>
      <c r="R146" s="392"/>
      <c r="S146" s="362">
        <f t="shared" si="29"/>
        <v>0</v>
      </c>
      <c r="T146" s="370"/>
      <c r="U146" s="362">
        <f t="shared" si="19"/>
        <v>0</v>
      </c>
      <c r="V146" s="584">
        <f t="shared" si="20"/>
        <v>77760</v>
      </c>
      <c r="W146" s="371">
        <f t="shared" si="24"/>
        <v>9331200</v>
      </c>
      <c r="X146" s="977">
        <f t="shared" si="25"/>
        <v>5.1840000000000002</v>
      </c>
      <c r="Y146" s="491">
        <v>1800000</v>
      </c>
      <c r="Z146" s="663">
        <f t="shared" si="23"/>
        <v>9331200</v>
      </c>
      <c r="AA146" s="568">
        <f t="shared" si="21"/>
        <v>124</v>
      </c>
      <c r="AB146" s="493" t="str">
        <f>IFERROR(INDEX('[14]CN BC'!$M$10:$M$276,MATCH(B146,'[14]CN BC'!$H$10:$H$276,0)),"")</f>
        <v>Cộng 1 ngày 26/5 hỗ trợ giải bóng đá</v>
      </c>
      <c r="AC146" s="141" t="str">
        <f>VLOOKUP(B146,TH.T4!B144:AC474,28,FALSE)</f>
        <v>KHCB</v>
      </c>
      <c r="AD146" s="108"/>
      <c r="AE146" s="108"/>
      <c r="AF146" s="155"/>
      <c r="AG146" s="108"/>
      <c r="AH146" s="108"/>
      <c r="AI146" s="108"/>
      <c r="AJ146" s="108"/>
      <c r="AK146" s="108"/>
      <c r="AL146" s="108"/>
    </row>
    <row r="147" spans="1:42" s="372" customFormat="1" ht="31.5" customHeight="1">
      <c r="A147" s="379">
        <f>_xlfn.AGGREGATE(4,7,A$22:A146)+1</f>
        <v>125</v>
      </c>
      <c r="B147" s="374" t="s">
        <v>1493</v>
      </c>
      <c r="C147" s="960" t="s">
        <v>874</v>
      </c>
      <c r="D147" s="434" t="s">
        <v>1716</v>
      </c>
      <c r="E147" s="423" t="s">
        <v>1330</v>
      </c>
      <c r="F147" s="81" t="str">
        <f>VLOOKUP(B147,TH.T4!B145:J475,9,FALSE)</f>
        <v>Giảng viên khoa Ngoại ngữ</v>
      </c>
      <c r="G147" s="366">
        <v>4.6500000000000004</v>
      </c>
      <c r="H147" s="367"/>
      <c r="I147" s="368">
        <f t="shared" si="26"/>
        <v>4.6500000000000004</v>
      </c>
      <c r="J147" s="368"/>
      <c r="K147" s="369">
        <f t="shared" si="27"/>
        <v>4.6500000000000004</v>
      </c>
      <c r="L147" s="362">
        <f t="shared" si="28"/>
        <v>8370000.0000000009</v>
      </c>
      <c r="M147" s="366" t="str">
        <f>VLOOKUP(B147,'[13]Gui chi Quynh'!$B$11:$E$400,4,FALSE)</f>
        <v>A3</v>
      </c>
      <c r="N147" s="494">
        <f t="shared" si="17"/>
        <v>10044000</v>
      </c>
      <c r="O147" s="376">
        <v>22</v>
      </c>
      <c r="P147" s="440">
        <f>IFERROR(INDEX('[14]CN BC'!$J$10:$J$276,MATCH(B147,'[14]CN BC'!$H$10:$H$276,0)),"")</f>
        <v>22</v>
      </c>
      <c r="Q147" s="494">
        <f t="shared" si="18"/>
        <v>10044000</v>
      </c>
      <c r="R147" s="460"/>
      <c r="S147" s="362">
        <f t="shared" si="29"/>
        <v>0</v>
      </c>
      <c r="T147" s="370"/>
      <c r="U147" s="362">
        <f t="shared" si="19"/>
        <v>0</v>
      </c>
      <c r="V147" s="584">
        <f t="shared" si="20"/>
        <v>83700</v>
      </c>
      <c r="W147" s="371">
        <f t="shared" si="24"/>
        <v>10044000</v>
      </c>
      <c r="X147" s="977">
        <f t="shared" si="25"/>
        <v>5.58</v>
      </c>
      <c r="Y147" s="491">
        <v>1800000</v>
      </c>
      <c r="Z147" s="663">
        <f t="shared" si="23"/>
        <v>10044000</v>
      </c>
      <c r="AA147" s="568">
        <f t="shared" si="21"/>
        <v>125</v>
      </c>
      <c r="AB147" s="493">
        <f>IFERROR(INDEX('[14]CN BC'!$M$10:$M$276,MATCH(B147,'[14]CN BC'!$H$10:$H$276,0)),"")</f>
        <v>0</v>
      </c>
      <c r="AC147" s="141" t="str">
        <f>VLOOKUP(B147,TH.T4!B145:AC475,28,FALSE)</f>
        <v>NN</v>
      </c>
      <c r="AD147" s="108"/>
      <c r="AE147" s="108"/>
      <c r="AF147" s="155"/>
    </row>
    <row r="148" spans="1:42" s="372" customFormat="1" ht="31.5" customHeight="1">
      <c r="A148" s="379">
        <f>_xlfn.AGGREGATE(4,7,A$22:A147)+1</f>
        <v>126</v>
      </c>
      <c r="B148" s="374" t="s">
        <v>1874</v>
      </c>
      <c r="C148" s="960" t="s">
        <v>986</v>
      </c>
      <c r="D148" s="434" t="s">
        <v>1717</v>
      </c>
      <c r="E148" s="423" t="s">
        <v>1331</v>
      </c>
      <c r="F148" s="81" t="str">
        <f>VLOOKUP(B148,TH.T4!B146:J476,9,FALSE)</f>
        <v>Giảng viên khoa Ngoại ngữ</v>
      </c>
      <c r="G148" s="366">
        <v>4.6500000000000004</v>
      </c>
      <c r="H148" s="367"/>
      <c r="I148" s="368">
        <f t="shared" si="26"/>
        <v>4.6500000000000004</v>
      </c>
      <c r="J148" s="368"/>
      <c r="K148" s="369">
        <f t="shared" si="27"/>
        <v>4.6500000000000004</v>
      </c>
      <c r="L148" s="362">
        <f t="shared" si="28"/>
        <v>8370000.0000000009</v>
      </c>
      <c r="M148" s="366" t="str">
        <f>VLOOKUP(B148,'[13]Gui chi Quynh'!$B$11:$E$400,4,FALSE)</f>
        <v>A4</v>
      </c>
      <c r="N148" s="494">
        <f t="shared" si="17"/>
        <v>8370000.0000000009</v>
      </c>
      <c r="O148" s="376">
        <v>22</v>
      </c>
      <c r="P148" s="440">
        <f>IFERROR(INDEX('[14]CN BC'!$J$10:$J$276,MATCH(B148,'[14]CN BC'!$H$10:$H$276,0)),"")</f>
        <v>22</v>
      </c>
      <c r="Q148" s="494">
        <f t="shared" si="18"/>
        <v>8370000.0000000009</v>
      </c>
      <c r="R148" s="460"/>
      <c r="S148" s="362">
        <f t="shared" si="29"/>
        <v>0</v>
      </c>
      <c r="T148" s="370"/>
      <c r="U148" s="362">
        <f t="shared" si="19"/>
        <v>0</v>
      </c>
      <c r="V148" s="584">
        <f t="shared" si="20"/>
        <v>83700</v>
      </c>
      <c r="W148" s="371">
        <f t="shared" si="24"/>
        <v>8370000.0000000009</v>
      </c>
      <c r="X148" s="977">
        <f t="shared" si="25"/>
        <v>4.6500000000000004</v>
      </c>
      <c r="Y148" s="491">
        <v>1800000</v>
      </c>
      <c r="Z148" s="663">
        <f t="shared" si="23"/>
        <v>8370000.0000000009</v>
      </c>
      <c r="AA148" s="568">
        <f t="shared" si="21"/>
        <v>126</v>
      </c>
      <c r="AB148" s="493">
        <f>IFERROR(INDEX('[14]CN BC'!$M$10:$M$276,MATCH(B148,'[14]CN BC'!$H$10:$H$276,0)),"")</f>
        <v>0</v>
      </c>
      <c r="AC148" s="141" t="str">
        <f>VLOOKUP(B148,TH.T4!B146:AC476,28,FALSE)</f>
        <v>NN</v>
      </c>
      <c r="AD148" s="108"/>
      <c r="AE148" s="108"/>
      <c r="AF148" s="155"/>
      <c r="AG148" s="108"/>
      <c r="AH148" s="108"/>
      <c r="AI148" s="108"/>
      <c r="AJ148" s="108"/>
      <c r="AK148" s="108"/>
      <c r="AL148" s="108"/>
    </row>
    <row r="149" spans="1:42" s="372" customFormat="1" ht="31.5" customHeight="1">
      <c r="A149" s="379">
        <f>_xlfn.AGGREGATE(4,7,A$22:A148)+1</f>
        <v>127</v>
      </c>
      <c r="B149" s="374" t="s">
        <v>1875</v>
      </c>
      <c r="C149" s="960" t="s">
        <v>987</v>
      </c>
      <c r="D149" s="434" t="s">
        <v>1718</v>
      </c>
      <c r="E149" s="423" t="s">
        <v>1332</v>
      </c>
      <c r="F149" s="81" t="str">
        <f>VLOOKUP(B149,TH.T4!B147:J477,9,FALSE)</f>
        <v>Giảng viên khoa Ngoại ngữ</v>
      </c>
      <c r="G149" s="366">
        <v>4.6500000000000004</v>
      </c>
      <c r="H149" s="367"/>
      <c r="I149" s="368">
        <f t="shared" si="26"/>
        <v>4.6500000000000004</v>
      </c>
      <c r="J149" s="368"/>
      <c r="K149" s="369">
        <f t="shared" si="27"/>
        <v>4.6500000000000004</v>
      </c>
      <c r="L149" s="362">
        <f t="shared" si="28"/>
        <v>8370000.0000000009</v>
      </c>
      <c r="M149" s="366" t="str">
        <f>VLOOKUP(B149,'[13]Gui chi Quynh'!$B$11:$E$400,4,FALSE)</f>
        <v>A2</v>
      </c>
      <c r="N149" s="494">
        <f t="shared" si="17"/>
        <v>11718000</v>
      </c>
      <c r="O149" s="376">
        <v>22</v>
      </c>
      <c r="P149" s="440">
        <f>IFERROR(INDEX('[14]CN BC'!$J$10:$J$276,MATCH(B149,'[14]CN BC'!$H$10:$H$276,0)),"")</f>
        <v>22</v>
      </c>
      <c r="Q149" s="494">
        <f t="shared" si="18"/>
        <v>11718000</v>
      </c>
      <c r="R149" s="460"/>
      <c r="S149" s="362">
        <f t="shared" si="29"/>
        <v>0</v>
      </c>
      <c r="T149" s="370"/>
      <c r="U149" s="362">
        <f t="shared" si="19"/>
        <v>0</v>
      </c>
      <c r="V149" s="584">
        <f t="shared" si="20"/>
        <v>83700</v>
      </c>
      <c r="W149" s="371">
        <f t="shared" si="24"/>
        <v>11718000</v>
      </c>
      <c r="X149" s="977">
        <f t="shared" si="25"/>
        <v>6.51</v>
      </c>
      <c r="Y149" s="491">
        <v>1800000</v>
      </c>
      <c r="Z149" s="663">
        <f t="shared" si="23"/>
        <v>11718000</v>
      </c>
      <c r="AA149" s="568">
        <f t="shared" si="21"/>
        <v>127</v>
      </c>
      <c r="AB149" s="493">
        <f>IFERROR(INDEX('[14]CN BC'!$M$10:$M$276,MATCH(B149,'[14]CN BC'!$H$10:$H$276,0)),"")</f>
        <v>0</v>
      </c>
      <c r="AC149" s="141" t="str">
        <f>VLOOKUP(B149,TH.T4!B147:AC477,28,FALSE)</f>
        <v>NN</v>
      </c>
      <c r="AD149" s="108"/>
      <c r="AE149" s="108"/>
      <c r="AF149" s="155"/>
    </row>
    <row r="150" spans="1:42" s="372" customFormat="1" ht="31.5" customHeight="1">
      <c r="A150" s="379">
        <f>_xlfn.AGGREGATE(4,7,A$22:A149)+1</f>
        <v>128</v>
      </c>
      <c r="B150" s="374" t="s">
        <v>1494</v>
      </c>
      <c r="C150" s="960" t="s">
        <v>967</v>
      </c>
      <c r="D150" s="434" t="s">
        <v>1719</v>
      </c>
      <c r="E150" s="423" t="s">
        <v>1333</v>
      </c>
      <c r="F150" s="81" t="str">
        <f>VLOOKUP(B150,TH.T4!B148:J478,9,FALSE)</f>
        <v>Giảng viên khoa Ngoại ngữ</v>
      </c>
      <c r="G150" s="373">
        <v>3.99</v>
      </c>
      <c r="H150" s="367"/>
      <c r="I150" s="368">
        <f t="shared" si="26"/>
        <v>3.99</v>
      </c>
      <c r="J150" s="368"/>
      <c r="K150" s="369">
        <f t="shared" si="27"/>
        <v>3.99</v>
      </c>
      <c r="L150" s="362">
        <f t="shared" si="28"/>
        <v>7182000</v>
      </c>
      <c r="M150" s="366" t="str">
        <f>VLOOKUP(B150,'[13]Gui chi Quynh'!$B$11:$E$400,4,FALSE)</f>
        <v>A4</v>
      </c>
      <c r="N150" s="494">
        <f t="shared" si="17"/>
        <v>7182000</v>
      </c>
      <c r="O150" s="376">
        <v>22</v>
      </c>
      <c r="P150" s="440">
        <f>IFERROR(INDEX('[14]CN BC'!$J$10:$J$276,MATCH(B150,'[14]CN BC'!$H$10:$H$276,0)),"")</f>
        <v>22</v>
      </c>
      <c r="Q150" s="494">
        <f t="shared" si="18"/>
        <v>7182000</v>
      </c>
      <c r="R150" s="460"/>
      <c r="S150" s="362">
        <f t="shared" si="29"/>
        <v>0</v>
      </c>
      <c r="T150" s="370"/>
      <c r="U150" s="362">
        <f t="shared" si="19"/>
        <v>0</v>
      </c>
      <c r="V150" s="584">
        <f t="shared" si="20"/>
        <v>71820</v>
      </c>
      <c r="W150" s="371">
        <f t="shared" si="24"/>
        <v>7182000</v>
      </c>
      <c r="X150" s="977">
        <f t="shared" si="25"/>
        <v>3.99</v>
      </c>
      <c r="Y150" s="491">
        <v>1800000</v>
      </c>
      <c r="Z150" s="663">
        <f t="shared" si="23"/>
        <v>7182000</v>
      </c>
      <c r="AA150" s="568">
        <f t="shared" si="21"/>
        <v>128</v>
      </c>
      <c r="AB150" s="493">
        <f>IFERROR(INDEX('[14]CN BC'!$M$10:$M$276,MATCH(B150,'[14]CN BC'!$H$10:$H$276,0)),"")</f>
        <v>0</v>
      </c>
      <c r="AC150" s="141" t="str">
        <f>VLOOKUP(B150,TH.T4!B148:AC478,28,FALSE)</f>
        <v>NN</v>
      </c>
      <c r="AD150" s="108"/>
      <c r="AE150" s="108"/>
      <c r="AF150" s="155"/>
      <c r="AG150" s="108"/>
      <c r="AH150" s="108"/>
      <c r="AI150" s="108"/>
      <c r="AJ150" s="108"/>
      <c r="AK150" s="108"/>
      <c r="AL150" s="108"/>
    </row>
    <row r="151" spans="1:42" s="372" customFormat="1" ht="31.5" customHeight="1">
      <c r="A151" s="379">
        <f>_xlfn.AGGREGATE(4,7,A$22:A150)+1</f>
        <v>129</v>
      </c>
      <c r="B151" s="374" t="s">
        <v>1495</v>
      </c>
      <c r="C151" s="960" t="s">
        <v>1200</v>
      </c>
      <c r="D151" s="434" t="s">
        <v>1720</v>
      </c>
      <c r="E151" s="423" t="s">
        <v>1335</v>
      </c>
      <c r="F151" s="81" t="str">
        <f>VLOOKUP(B151,TH.T4!B149:J479,9,FALSE)</f>
        <v>Giảng viên khoa Ngoại ngữ</v>
      </c>
      <c r="G151" s="366">
        <v>4.9800000000000004</v>
      </c>
      <c r="H151" s="367"/>
      <c r="I151" s="368">
        <f t="shared" si="26"/>
        <v>4.9800000000000004</v>
      </c>
      <c r="J151" s="368"/>
      <c r="K151" s="369">
        <f t="shared" si="27"/>
        <v>4.9800000000000004</v>
      </c>
      <c r="L151" s="362">
        <f t="shared" si="28"/>
        <v>8964000</v>
      </c>
      <c r="M151" s="366" t="str">
        <f>VLOOKUP(B151,'[13]Gui chi Quynh'!$B$11:$E$400,4,FALSE)</f>
        <v>A3</v>
      </c>
      <c r="N151" s="494">
        <f t="shared" ref="N151:N214" si="30">IF(M151="A1",L151*1.6,IF(M151="A2",L151*1.4,IF(M151="A3",L151*1.2,IF(M151="A4",L151*1,IF(M151="B1",L151*0.7,IF(M151="B2",L151*0.5,IF(M151="C1",L151*0.3,IF(M151="C2",L151*0.2,0))))))))</f>
        <v>10756800</v>
      </c>
      <c r="O151" s="376">
        <v>22</v>
      </c>
      <c r="P151" s="440">
        <f>IFERROR(INDEX('[14]CN BC'!$J$10:$J$276,MATCH(B151,'[14]CN BC'!$H$10:$H$276,0)),"")</f>
        <v>22</v>
      </c>
      <c r="Q151" s="494">
        <f t="shared" ref="Q151" si="31">IF(P151&gt;=O151,N151,N151/O151*P151)</f>
        <v>10756800</v>
      </c>
      <c r="R151" s="460"/>
      <c r="S151" s="362">
        <f t="shared" si="29"/>
        <v>0</v>
      </c>
      <c r="T151" s="370"/>
      <c r="U151" s="362">
        <f t="shared" ref="U151" si="32">T151*$H$19*1</f>
        <v>0</v>
      </c>
      <c r="V151" s="584">
        <f t="shared" ref="V151:V214" si="33">IF(OR(M151="A DN",M151="KXL", M151=""),"0",ROUND(K151*0.01*$H$19+R151*1%*$H$19+T151*1%*$H$19,))</f>
        <v>89640</v>
      </c>
      <c r="W151" s="371">
        <f t="shared" si="24"/>
        <v>10756800</v>
      </c>
      <c r="X151" s="977">
        <f t="shared" si="25"/>
        <v>5.976</v>
      </c>
      <c r="Y151" s="491">
        <v>1800000</v>
      </c>
      <c r="Z151" s="663">
        <f t="shared" si="23"/>
        <v>10756800</v>
      </c>
      <c r="AA151" s="568">
        <f t="shared" ref="AA151:AA214" si="34">A151</f>
        <v>129</v>
      </c>
      <c r="AB151" s="493">
        <f>IFERROR(INDEX('[14]CN BC'!$M$10:$M$276,MATCH(B151,'[14]CN BC'!$H$10:$H$276,0)),"")</f>
        <v>0</v>
      </c>
      <c r="AC151" s="141" t="str">
        <f>VLOOKUP(B151,TH.T4!B149:AC479,28,FALSE)</f>
        <v>NN</v>
      </c>
      <c r="AD151" s="108"/>
      <c r="AE151" s="108"/>
      <c r="AF151" s="155"/>
      <c r="AG151" s="108"/>
      <c r="AH151" s="108"/>
      <c r="AI151" s="108"/>
      <c r="AJ151" s="108"/>
      <c r="AK151" s="108"/>
      <c r="AL151" s="108"/>
    </row>
    <row r="152" spans="1:42" s="372" customFormat="1" ht="31.5" customHeight="1">
      <c r="A152" s="379">
        <f>_xlfn.AGGREGATE(4,7,A$22:A151)+1</f>
        <v>130</v>
      </c>
      <c r="B152" s="374" t="s">
        <v>1876</v>
      </c>
      <c r="C152" s="960" t="s">
        <v>448</v>
      </c>
      <c r="D152" s="434" t="s">
        <v>1721</v>
      </c>
      <c r="E152" s="423" t="s">
        <v>504</v>
      </c>
      <c r="F152" s="81" t="str">
        <f>VLOOKUP(B152,TH.T4!B150:J480,9,FALSE)</f>
        <v>Giảng viên khoa Ngoại ngữ</v>
      </c>
      <c r="G152" s="373">
        <v>3.99</v>
      </c>
      <c r="H152" s="367"/>
      <c r="I152" s="368">
        <f t="shared" si="26"/>
        <v>3.99</v>
      </c>
      <c r="J152" s="368"/>
      <c r="K152" s="369">
        <f t="shared" si="27"/>
        <v>3.99</v>
      </c>
      <c r="L152" s="362">
        <f t="shared" si="28"/>
        <v>7182000</v>
      </c>
      <c r="M152" s="366" t="str">
        <f>VLOOKUP(B152,'[13]Gui chi Quynh'!$B$11:$E$400,4,FALSE)</f>
        <v>A3</v>
      </c>
      <c r="N152" s="494">
        <f t="shared" si="30"/>
        <v>8618400</v>
      </c>
      <c r="O152" s="376">
        <v>22</v>
      </c>
      <c r="P152" s="440">
        <f>IFERROR(INDEX('[14]CN BC'!$J$10:$J$276,MATCH(B152,'[14]CN BC'!$H$10:$H$276,0)),"")</f>
        <v>22</v>
      </c>
      <c r="Q152" s="494">
        <f>IF(P152&gt;=O152,N152,N152/O152*P152)</f>
        <v>8618400</v>
      </c>
      <c r="R152" s="460"/>
      <c r="S152" s="362">
        <f t="shared" si="29"/>
        <v>0</v>
      </c>
      <c r="T152" s="370"/>
      <c r="U152" s="362">
        <f>T152*$H$19*1</f>
        <v>0</v>
      </c>
      <c r="V152" s="584">
        <f t="shared" si="33"/>
        <v>71820</v>
      </c>
      <c r="W152" s="371">
        <f t="shared" si="24"/>
        <v>8618400</v>
      </c>
      <c r="X152" s="977">
        <f t="shared" si="25"/>
        <v>4.7880000000000003</v>
      </c>
      <c r="Y152" s="491">
        <v>1800000</v>
      </c>
      <c r="Z152" s="663">
        <f t="shared" ref="Z152:Z215" si="35">X152*Y152</f>
        <v>8618400</v>
      </c>
      <c r="AA152" s="568">
        <f t="shared" si="34"/>
        <v>130</v>
      </c>
      <c r="AB152" s="493">
        <f>IFERROR(INDEX('[14]CN BC'!$M$10:$M$276,MATCH(B152,'[14]CN BC'!$H$10:$H$276,0)),"")</f>
        <v>0</v>
      </c>
      <c r="AC152" s="141" t="str">
        <f>VLOOKUP(B152,TH.T4!B150:AC480,28,FALSE)</f>
        <v>NN</v>
      </c>
      <c r="AD152" s="108"/>
      <c r="AE152" s="108"/>
      <c r="AF152" s="155"/>
      <c r="AG152" s="108"/>
      <c r="AH152" s="108"/>
      <c r="AI152" s="108"/>
      <c r="AJ152" s="108"/>
      <c r="AK152" s="108"/>
      <c r="AL152" s="108"/>
    </row>
    <row r="153" spans="1:42" s="372" customFormat="1" ht="31.5" customHeight="1">
      <c r="A153" s="379">
        <f>_xlfn.AGGREGATE(4,7,A$22:A152)+1</f>
        <v>131</v>
      </c>
      <c r="B153" s="374" t="s">
        <v>1496</v>
      </c>
      <c r="C153" s="960" t="s">
        <v>883</v>
      </c>
      <c r="D153" s="434" t="s">
        <v>1722</v>
      </c>
      <c r="E153" s="422" t="s">
        <v>1589</v>
      </c>
      <c r="F153" s="81" t="str">
        <f>VLOOKUP(B153,TH.T4!B151:J481,9,FALSE)</f>
        <v>Giảng viên khoa Ngoại ngữ</v>
      </c>
      <c r="G153" s="373">
        <v>3.33</v>
      </c>
      <c r="H153" s="367"/>
      <c r="I153" s="445">
        <f t="shared" si="26"/>
        <v>3.33</v>
      </c>
      <c r="J153" s="368">
        <v>0.45</v>
      </c>
      <c r="K153" s="369">
        <f t="shared" si="27"/>
        <v>3.7800000000000002</v>
      </c>
      <c r="L153" s="362">
        <f t="shared" si="28"/>
        <v>6804000</v>
      </c>
      <c r="M153" s="366" t="str">
        <f>VLOOKUP(B153,'[13]Gui chi Quynh'!$B$11:$E$400,4,FALSE)</f>
        <v>A3</v>
      </c>
      <c r="N153" s="494">
        <f t="shared" si="30"/>
        <v>8164800</v>
      </c>
      <c r="O153" s="376">
        <v>22</v>
      </c>
      <c r="P153" s="440">
        <f>IFERROR(INDEX('[14]CN BC'!$J$10:$J$276,MATCH(B153,'[14]CN BC'!$H$10:$H$276,0)),"")</f>
        <v>22</v>
      </c>
      <c r="Q153" s="494">
        <f>IF(P153&gt;=O153,N153,N153/O153*P153)</f>
        <v>8164800</v>
      </c>
      <c r="R153" s="392"/>
      <c r="S153" s="362">
        <f t="shared" si="29"/>
        <v>0</v>
      </c>
      <c r="T153" s="370"/>
      <c r="U153" s="362">
        <f>T153*$H$19*1</f>
        <v>0</v>
      </c>
      <c r="V153" s="584">
        <f t="shared" si="33"/>
        <v>68040</v>
      </c>
      <c r="W153" s="371">
        <f t="shared" si="24"/>
        <v>8164800</v>
      </c>
      <c r="X153" s="977">
        <f t="shared" ref="X153:X216" si="36">W153/Y153</f>
        <v>4.5359999999999996</v>
      </c>
      <c r="Y153" s="491">
        <v>1800000</v>
      </c>
      <c r="Z153" s="663">
        <f t="shared" si="35"/>
        <v>8164799.9999999991</v>
      </c>
      <c r="AA153" s="568">
        <f t="shared" si="34"/>
        <v>131</v>
      </c>
      <c r="AB153" s="493">
        <f>IFERROR(INDEX('[14]CN BC'!$M$10:$M$276,MATCH(B153,'[14]CN BC'!$H$10:$H$276,0)),"")</f>
        <v>0</v>
      </c>
      <c r="AC153" s="141" t="str">
        <f>VLOOKUP(B153,TH.T4!B151:AC481,28,FALSE)</f>
        <v>NN</v>
      </c>
      <c r="AD153" s="108"/>
      <c r="AE153" s="108"/>
      <c r="AF153" s="155"/>
      <c r="AG153" s="108"/>
      <c r="AH153" s="108"/>
      <c r="AI153" s="108"/>
      <c r="AJ153" s="108"/>
      <c r="AK153" s="108"/>
      <c r="AL153" s="108"/>
    </row>
    <row r="154" spans="1:42" s="372" customFormat="1" ht="31.5" customHeight="1">
      <c r="A154" s="379">
        <f>_xlfn.AGGREGATE(4,7,A$22:A153)+1</f>
        <v>132</v>
      </c>
      <c r="B154" s="374" t="s">
        <v>1497</v>
      </c>
      <c r="C154" s="960" t="s">
        <v>1078</v>
      </c>
      <c r="D154" s="434" t="s">
        <v>1723</v>
      </c>
      <c r="E154" s="422" t="s">
        <v>1590</v>
      </c>
      <c r="F154" s="81" t="str">
        <f>VLOOKUP(B154,TH.T4!B152:J482,9,FALSE)</f>
        <v>Giảng viên khoa Ngoại ngữ</v>
      </c>
      <c r="G154" s="373">
        <v>3</v>
      </c>
      <c r="H154" s="367"/>
      <c r="I154" s="445">
        <f t="shared" si="26"/>
        <v>3</v>
      </c>
      <c r="J154" s="368"/>
      <c r="K154" s="369">
        <f t="shared" si="27"/>
        <v>3</v>
      </c>
      <c r="L154" s="362">
        <f t="shared" si="28"/>
        <v>5400000</v>
      </c>
      <c r="M154" s="366" t="str">
        <f>VLOOKUP(B154,'[13]Gui chi Quynh'!$B$11:$E$400,4,FALSE)</f>
        <v>A2</v>
      </c>
      <c r="N154" s="494">
        <f t="shared" si="30"/>
        <v>7559999.9999999991</v>
      </c>
      <c r="O154" s="376">
        <v>22</v>
      </c>
      <c r="P154" s="440">
        <f>IFERROR(INDEX('[14]CN BC'!$J$10:$J$276,MATCH(B154,'[14]CN BC'!$H$10:$H$276,0)),"")</f>
        <v>22</v>
      </c>
      <c r="Q154" s="494">
        <f t="shared" ref="Q154:Q217" si="37">IF(P154&gt;=O154,N154,N154/O154*P154)</f>
        <v>7559999.9999999991</v>
      </c>
      <c r="R154" s="460"/>
      <c r="S154" s="362">
        <f t="shared" si="29"/>
        <v>0</v>
      </c>
      <c r="T154" s="370"/>
      <c r="U154" s="362">
        <f>T154*$H$19*1</f>
        <v>0</v>
      </c>
      <c r="V154" s="584">
        <f t="shared" si="33"/>
        <v>54000</v>
      </c>
      <c r="W154" s="371">
        <f t="shared" ref="W154:W217" si="38">(Q154+S154+U154)</f>
        <v>7559999.9999999991</v>
      </c>
      <c r="X154" s="977">
        <f t="shared" si="36"/>
        <v>4.1999999999999993</v>
      </c>
      <c r="Y154" s="491">
        <v>1800000</v>
      </c>
      <c r="Z154" s="663">
        <f t="shared" si="35"/>
        <v>7559999.9999999991</v>
      </c>
      <c r="AA154" s="568">
        <f t="shared" si="34"/>
        <v>132</v>
      </c>
      <c r="AB154" s="493">
        <f>IFERROR(INDEX('[14]CN BC'!$M$10:$M$276,MATCH(B154,'[14]CN BC'!$H$10:$H$276,0)),"")</f>
        <v>0</v>
      </c>
      <c r="AC154" s="141" t="str">
        <f>VLOOKUP(B154,TH.T4!B152:AC482,28,FALSE)</f>
        <v>NN</v>
      </c>
      <c r="AD154" s="108"/>
      <c r="AE154" s="108"/>
      <c r="AF154" s="155"/>
      <c r="AG154" s="108"/>
      <c r="AH154" s="108"/>
      <c r="AI154" s="108"/>
      <c r="AJ154" s="108"/>
      <c r="AK154" s="108"/>
      <c r="AL154" s="108"/>
    </row>
    <row r="155" spans="1:42" s="372" customFormat="1" ht="31.5" customHeight="1">
      <c r="A155" s="379">
        <f>_xlfn.AGGREGATE(4,7,A$22:A154)+1</f>
        <v>133</v>
      </c>
      <c r="B155" s="374" t="s">
        <v>1929</v>
      </c>
      <c r="C155" s="960"/>
      <c r="D155" s="434" t="s">
        <v>1964</v>
      </c>
      <c r="E155" s="480" t="s">
        <v>1932</v>
      </c>
      <c r="F155" s="81" t="str">
        <f>VLOOKUP(B155,TH.T4!B153:J483,9,FALSE)</f>
        <v>Giảng viên khoa Ngoại ngữ</v>
      </c>
      <c r="G155" s="366">
        <v>2.34</v>
      </c>
      <c r="H155" s="367"/>
      <c r="I155" s="368">
        <f t="shared" si="26"/>
        <v>2.34</v>
      </c>
      <c r="J155" s="368"/>
      <c r="K155" s="369">
        <f t="shared" si="27"/>
        <v>2.34</v>
      </c>
      <c r="L155" s="362">
        <f t="shared" si="28"/>
        <v>4212000</v>
      </c>
      <c r="M155" s="366" t="str">
        <f>VLOOKUP(B155,'[13]Gui chi Quynh'!$B$11:$E$400,4,FALSE)</f>
        <v>A4</v>
      </c>
      <c r="N155" s="494">
        <f t="shared" si="30"/>
        <v>4212000</v>
      </c>
      <c r="O155" s="376">
        <v>22</v>
      </c>
      <c r="P155" s="440">
        <f>IFERROR(INDEX('[14]CN BC'!$J$10:$J$276,MATCH(B155,'[14]CN BC'!$H$10:$H$276,0)),"")</f>
        <v>22</v>
      </c>
      <c r="Q155" s="494">
        <f t="shared" si="37"/>
        <v>4212000</v>
      </c>
      <c r="R155" s="460"/>
      <c r="S155" s="362">
        <f t="shared" si="29"/>
        <v>0</v>
      </c>
      <c r="T155" s="370"/>
      <c r="U155" s="362">
        <f>T155*$H$19*1</f>
        <v>0</v>
      </c>
      <c r="V155" s="584">
        <f t="shared" si="33"/>
        <v>42120</v>
      </c>
      <c r="W155" s="371">
        <f t="shared" si="38"/>
        <v>4212000</v>
      </c>
      <c r="X155" s="977">
        <f t="shared" si="36"/>
        <v>2.34</v>
      </c>
      <c r="Y155" s="491">
        <v>1800000</v>
      </c>
      <c r="Z155" s="663">
        <f t="shared" si="35"/>
        <v>4212000</v>
      </c>
      <c r="AA155" s="568">
        <f t="shared" si="34"/>
        <v>133</v>
      </c>
      <c r="AB155" s="493">
        <f>IFERROR(INDEX('[14]CN BC'!$M$10:$M$276,MATCH(B155,'[14]CN BC'!$H$10:$H$276,0)),"")</f>
        <v>0</v>
      </c>
      <c r="AC155" s="141" t="str">
        <f>VLOOKUP(B155,TH.T4!B153:AC483,28,FALSE)</f>
        <v>NN</v>
      </c>
      <c r="AD155" s="108"/>
      <c r="AE155" s="108"/>
      <c r="AF155" s="155"/>
      <c r="AG155" s="108"/>
      <c r="AH155" s="108"/>
      <c r="AI155" s="108"/>
      <c r="AJ155" s="108"/>
      <c r="AK155" s="108"/>
      <c r="AL155" s="108"/>
    </row>
    <row r="156" spans="1:42" s="372" customFormat="1" ht="31.5" customHeight="1">
      <c r="A156" s="379">
        <f>_xlfn.AGGREGATE(4,7,A$22:A155)+1</f>
        <v>134</v>
      </c>
      <c r="B156" s="374" t="s">
        <v>1498</v>
      </c>
      <c r="C156" s="960" t="s">
        <v>958</v>
      </c>
      <c r="D156" s="434" t="s">
        <v>1724</v>
      </c>
      <c r="E156" s="422" t="s">
        <v>1591</v>
      </c>
      <c r="F156" s="81" t="str">
        <f>VLOOKUP(B156,TH.T4!B154:J484,9,FALSE)</f>
        <v>Giảng viên khoa Ngoại ngữ</v>
      </c>
      <c r="G156" s="373">
        <v>3</v>
      </c>
      <c r="H156" s="367"/>
      <c r="I156" s="445">
        <f t="shared" si="26"/>
        <v>3</v>
      </c>
      <c r="J156" s="368"/>
      <c r="K156" s="369">
        <f t="shared" si="27"/>
        <v>3</v>
      </c>
      <c r="L156" s="362">
        <f t="shared" si="28"/>
        <v>5400000</v>
      </c>
      <c r="M156" s="366" t="str">
        <f>VLOOKUP(B156,'[13]Gui chi Quynh'!$B$11:$E$400,4,FALSE)</f>
        <v>A3</v>
      </c>
      <c r="N156" s="494">
        <f t="shared" si="30"/>
        <v>6480000</v>
      </c>
      <c r="O156" s="376">
        <v>22</v>
      </c>
      <c r="P156" s="440">
        <f>IFERROR(INDEX('[14]CN BC'!$J$10:$J$276,MATCH(B156,'[14]CN BC'!$H$10:$H$276,0)),"")</f>
        <v>22</v>
      </c>
      <c r="Q156" s="494">
        <f t="shared" si="37"/>
        <v>6480000</v>
      </c>
      <c r="R156" s="460"/>
      <c r="S156" s="362">
        <f t="shared" si="29"/>
        <v>0</v>
      </c>
      <c r="T156" s="370"/>
      <c r="U156" s="362">
        <f t="shared" ref="U156:U219" si="39">T156*$H$19*1</f>
        <v>0</v>
      </c>
      <c r="V156" s="584">
        <f t="shared" si="33"/>
        <v>54000</v>
      </c>
      <c r="W156" s="371">
        <f t="shared" si="38"/>
        <v>6480000</v>
      </c>
      <c r="X156" s="977">
        <f t="shared" si="36"/>
        <v>3.6</v>
      </c>
      <c r="Y156" s="491">
        <v>1800000</v>
      </c>
      <c r="Z156" s="663">
        <f t="shared" si="35"/>
        <v>6480000</v>
      </c>
      <c r="AA156" s="568">
        <f t="shared" si="34"/>
        <v>134</v>
      </c>
      <c r="AB156" s="493">
        <f>IFERROR(INDEX('[14]CN BC'!$M$10:$M$276,MATCH(B156,'[14]CN BC'!$H$10:$H$276,0)),"")</f>
        <v>0</v>
      </c>
      <c r="AC156" s="141" t="str">
        <f>VLOOKUP(B156,TH.T4!B154:AC484,28,FALSE)</f>
        <v>NN</v>
      </c>
      <c r="AD156" s="108"/>
      <c r="AE156" s="108"/>
      <c r="AF156" s="487"/>
    </row>
    <row r="157" spans="1:42" s="372" customFormat="1" ht="30.75" customHeight="1">
      <c r="A157" s="379">
        <f>_xlfn.AGGREGATE(4,7,A$22:A156)+1</f>
        <v>135</v>
      </c>
      <c r="B157" s="374" t="s">
        <v>1925</v>
      </c>
      <c r="C157" s="960"/>
      <c r="D157" s="434" t="s">
        <v>1965</v>
      </c>
      <c r="E157" s="515" t="s">
        <v>1930</v>
      </c>
      <c r="F157" s="81" t="str">
        <f>VLOOKUP(B157,TH.T4!B155:J485,9,FALSE)</f>
        <v>Giảng viên khoa Ngoại ngữ</v>
      </c>
      <c r="G157" s="366">
        <v>2.67</v>
      </c>
      <c r="H157" s="367"/>
      <c r="I157" s="368">
        <f t="shared" si="26"/>
        <v>2.67</v>
      </c>
      <c r="J157" s="368"/>
      <c r="K157" s="369">
        <f t="shared" si="27"/>
        <v>2.67</v>
      </c>
      <c r="L157" s="362">
        <f t="shared" si="28"/>
        <v>4806000</v>
      </c>
      <c r="M157" s="366" t="str">
        <f>VLOOKUP(B157,'[13]Gui chi Quynh'!$B$11:$E$400,4,FALSE)</f>
        <v>A4</v>
      </c>
      <c r="N157" s="494">
        <f t="shared" si="30"/>
        <v>4806000</v>
      </c>
      <c r="O157" s="376">
        <v>22</v>
      </c>
      <c r="P157" s="440">
        <f>IFERROR(INDEX('[14]CN BC'!$J$10:$J$276,MATCH(B157,'[14]CN BC'!$H$10:$H$276,0)),"")</f>
        <v>22</v>
      </c>
      <c r="Q157" s="494">
        <f t="shared" si="37"/>
        <v>4806000</v>
      </c>
      <c r="R157" s="460"/>
      <c r="S157" s="362">
        <f t="shared" si="29"/>
        <v>0</v>
      </c>
      <c r="T157" s="370"/>
      <c r="U157" s="362">
        <f t="shared" si="39"/>
        <v>0</v>
      </c>
      <c r="V157" s="584">
        <f t="shared" si="33"/>
        <v>48060</v>
      </c>
      <c r="W157" s="371">
        <f t="shared" si="38"/>
        <v>4806000</v>
      </c>
      <c r="X157" s="977">
        <f t="shared" si="36"/>
        <v>2.67</v>
      </c>
      <c r="Y157" s="491">
        <v>1800000</v>
      </c>
      <c r="Z157" s="663">
        <f t="shared" si="35"/>
        <v>4806000</v>
      </c>
      <c r="AA157" s="568">
        <f t="shared" si="34"/>
        <v>135</v>
      </c>
      <c r="AB157" s="493">
        <f>IFERROR(INDEX('[14]CN BC'!$M$10:$M$276,MATCH(B157,'[14]CN BC'!$H$10:$H$276,0)),"")</f>
        <v>0</v>
      </c>
      <c r="AC157" s="141" t="str">
        <f>VLOOKUP(B157,TH.T4!B155:AC485,28,FALSE)</f>
        <v>NN</v>
      </c>
      <c r="AD157" s="108"/>
      <c r="AE157" s="108"/>
      <c r="AF157" s="487"/>
    </row>
    <row r="158" spans="1:42" s="372" customFormat="1" ht="30.75" customHeight="1">
      <c r="A158" s="660">
        <f>_xlfn.AGGREGATE(4,7,A$22:A157)+1</f>
        <v>136</v>
      </c>
      <c r="B158" s="964" t="s">
        <v>2018</v>
      </c>
      <c r="C158" s="965"/>
      <c r="D158" s="564"/>
      <c r="E158" s="565"/>
      <c r="F158" s="554" t="str">
        <f>VLOOKUP(B158,TH.T4!B156:J486,9,FALSE)</f>
        <v>Giảng viên khoa Ngoại ngữ</v>
      </c>
      <c r="G158" s="557">
        <v>1.9890000000000001</v>
      </c>
      <c r="H158" s="553"/>
      <c r="I158" s="554">
        <f t="shared" si="26"/>
        <v>1.9890000000000001</v>
      </c>
      <c r="J158" s="554"/>
      <c r="K158" s="555">
        <f t="shared" si="27"/>
        <v>1.9890000000000001</v>
      </c>
      <c r="L158" s="556">
        <f t="shared" si="28"/>
        <v>3580200</v>
      </c>
      <c r="M158" s="557" t="str">
        <f>VLOOKUP(B158,'[13]Gui chi Quynh'!$B$11:$E$400,4,FALSE)</f>
        <v>A DN</v>
      </c>
      <c r="N158" s="558">
        <f t="shared" si="30"/>
        <v>0</v>
      </c>
      <c r="O158" s="655">
        <v>22</v>
      </c>
      <c r="P158" s="559">
        <f>IFERROR(INDEX('[14]CN BC'!$J$10:$J$276,MATCH(B158,'[14]CN BC'!$H$10:$H$276,0)),"")</f>
        <v>0</v>
      </c>
      <c r="Q158" s="558">
        <f t="shared" si="37"/>
        <v>0</v>
      </c>
      <c r="R158" s="560"/>
      <c r="S158" s="556">
        <f t="shared" si="29"/>
        <v>0</v>
      </c>
      <c r="T158" s="561"/>
      <c r="U158" s="556">
        <f t="shared" si="39"/>
        <v>0</v>
      </c>
      <c r="V158" s="556" t="str">
        <f t="shared" si="33"/>
        <v>0</v>
      </c>
      <c r="W158" s="656">
        <f t="shared" si="38"/>
        <v>0</v>
      </c>
      <c r="X158" s="980">
        <f t="shared" si="36"/>
        <v>0</v>
      </c>
      <c r="Y158" s="844">
        <v>1800000</v>
      </c>
      <c r="Z158" s="703">
        <f t="shared" si="35"/>
        <v>0</v>
      </c>
      <c r="AA158" s="573">
        <f t="shared" si="34"/>
        <v>136</v>
      </c>
      <c r="AB158" s="562" t="str">
        <f>IFERROR(INDEX('[14]CN BC'!$M$10:$M$276,MATCH(B158,'[14]CN BC'!$H$10:$H$276,0)),"")</f>
        <v>Nghỉ hộ sản hưởng chế độ BHXH từ 9/3/2024</v>
      </c>
      <c r="AC158" s="141" t="str">
        <f>VLOOKUP(B158,TH.T4!B156:AC486,28,FALSE)</f>
        <v>NN</v>
      </c>
      <c r="AF158" s="487"/>
    </row>
    <row r="159" spans="1:42" s="372" customFormat="1" ht="30.75" customHeight="1">
      <c r="A159" s="379">
        <f>_xlfn.AGGREGATE(4,7,A$22:A158)+1</f>
        <v>137</v>
      </c>
      <c r="B159" s="374" t="s">
        <v>2024</v>
      </c>
      <c r="C159" s="960"/>
      <c r="D159" s="434"/>
      <c r="E159" s="515"/>
      <c r="F159" s="81" t="str">
        <f>VLOOKUP(B159,TH.T4!B157:J487,9,FALSE)</f>
        <v>Giảng viên khoa Ngoại ngữ</v>
      </c>
      <c r="G159" s="366">
        <v>1.9890000000000001</v>
      </c>
      <c r="H159" s="367"/>
      <c r="I159" s="368">
        <f t="shared" si="26"/>
        <v>1.9890000000000001</v>
      </c>
      <c r="J159" s="368"/>
      <c r="K159" s="369">
        <f t="shared" si="27"/>
        <v>1.9890000000000001</v>
      </c>
      <c r="L159" s="362">
        <f t="shared" si="28"/>
        <v>3580200</v>
      </c>
      <c r="M159" s="366" t="str">
        <f>VLOOKUP(B159,'[13]Gui chi Quynh'!$B$11:$E$400,4,FALSE)</f>
        <v>A3</v>
      </c>
      <c r="N159" s="494">
        <f t="shared" si="30"/>
        <v>4296240</v>
      </c>
      <c r="O159" s="376">
        <v>22</v>
      </c>
      <c r="P159" s="440">
        <f>IFERROR(INDEX('[14]CN BC'!$J$10:$J$276,MATCH(B159,'[14]CN BC'!$H$10:$H$276,0)),"")</f>
        <v>22</v>
      </c>
      <c r="Q159" s="494">
        <f t="shared" si="37"/>
        <v>4296240</v>
      </c>
      <c r="R159" s="460"/>
      <c r="S159" s="362">
        <f t="shared" si="29"/>
        <v>0</v>
      </c>
      <c r="T159" s="370"/>
      <c r="U159" s="362">
        <f t="shared" si="39"/>
        <v>0</v>
      </c>
      <c r="V159" s="362"/>
      <c r="W159" s="371">
        <f t="shared" si="38"/>
        <v>4296240</v>
      </c>
      <c r="X159" s="977">
        <f t="shared" si="36"/>
        <v>2.3868</v>
      </c>
      <c r="Y159" s="491">
        <v>1800000</v>
      </c>
      <c r="Z159" s="663">
        <f t="shared" si="35"/>
        <v>4296240</v>
      </c>
      <c r="AA159" s="568">
        <f t="shared" si="34"/>
        <v>137</v>
      </c>
      <c r="AB159" s="493">
        <f>IFERROR(INDEX('[14]CN BC'!$M$10:$M$276,MATCH(B159,'[14]CN BC'!$H$10:$H$276,0)),"")</f>
        <v>0</v>
      </c>
      <c r="AC159" s="141" t="str">
        <f>VLOOKUP(B159,TH.T4!B157:AC487,28,FALSE)</f>
        <v>NN</v>
      </c>
      <c r="AF159" s="487"/>
    </row>
    <row r="160" spans="1:42" s="372" customFormat="1" ht="30.75" customHeight="1">
      <c r="A160" s="379">
        <f>_xlfn.AGGREGATE(4,7,A$22:A159)+1</f>
        <v>138</v>
      </c>
      <c r="B160" s="374" t="s">
        <v>2006</v>
      </c>
      <c r="C160" s="960"/>
      <c r="D160" s="434"/>
      <c r="E160" s="515"/>
      <c r="F160" s="81" t="str">
        <f>VLOOKUP(B160,TH.T4!B158:J488,9,FALSE)</f>
        <v>Giảng viên khoa Ngoại ngữ</v>
      </c>
      <c r="G160" s="366">
        <v>1.9890000000000001</v>
      </c>
      <c r="H160" s="367"/>
      <c r="I160" s="368">
        <f t="shared" si="26"/>
        <v>1.9890000000000001</v>
      </c>
      <c r="J160" s="368"/>
      <c r="K160" s="369">
        <f t="shared" si="27"/>
        <v>1.9890000000000001</v>
      </c>
      <c r="L160" s="362">
        <f t="shared" si="28"/>
        <v>3580200</v>
      </c>
      <c r="M160" s="366" t="str">
        <f>VLOOKUP(B160,'[13]Gui chi Quynh'!$B$11:$E$400,4,FALSE)</f>
        <v>A3</v>
      </c>
      <c r="N160" s="494">
        <f t="shared" si="30"/>
        <v>4296240</v>
      </c>
      <c r="O160" s="376">
        <v>22</v>
      </c>
      <c r="P160" s="440">
        <f>IFERROR(INDEX('[14]CN BC'!$J$10:$J$276,MATCH(B160,'[14]CN BC'!$H$10:$H$276,0)),"")</f>
        <v>22</v>
      </c>
      <c r="Q160" s="494">
        <f t="shared" si="37"/>
        <v>4296240</v>
      </c>
      <c r="R160" s="460"/>
      <c r="S160" s="362">
        <f t="shared" si="29"/>
        <v>0</v>
      </c>
      <c r="T160" s="370"/>
      <c r="U160" s="362">
        <f t="shared" si="39"/>
        <v>0</v>
      </c>
      <c r="V160" s="362">
        <f t="shared" si="33"/>
        <v>35802</v>
      </c>
      <c r="W160" s="371">
        <f t="shared" si="38"/>
        <v>4296240</v>
      </c>
      <c r="X160" s="977">
        <f t="shared" si="36"/>
        <v>2.3868</v>
      </c>
      <c r="Y160" s="491">
        <v>1800000</v>
      </c>
      <c r="Z160" s="663">
        <f t="shared" si="35"/>
        <v>4296240</v>
      </c>
      <c r="AA160" s="568">
        <f t="shared" si="34"/>
        <v>138</v>
      </c>
      <c r="AB160" s="493">
        <f>IFERROR(INDEX('[14]CN BC'!$M$10:$M$276,MATCH(B160,'[14]CN BC'!$H$10:$H$276,0)),"")</f>
        <v>0</v>
      </c>
      <c r="AC160" s="141" t="str">
        <f>VLOOKUP(B160,TH.T4!B158:AC488,28,FALSE)</f>
        <v>NN</v>
      </c>
      <c r="AF160" s="487"/>
    </row>
    <row r="161" spans="1:42" s="372" customFormat="1" ht="30" customHeight="1">
      <c r="A161" s="379">
        <f>_xlfn.AGGREGATE(4,7,A$22:A160)+1</f>
        <v>139</v>
      </c>
      <c r="B161" s="374" t="s">
        <v>1499</v>
      </c>
      <c r="C161" s="966" t="s">
        <v>365</v>
      </c>
      <c r="D161" s="434" t="s">
        <v>1725</v>
      </c>
      <c r="E161" s="423" t="s">
        <v>378</v>
      </c>
      <c r="F161" s="81" t="str">
        <f>VLOOKUP(B161,TH.T4!B159:J489,9,FALSE)</f>
        <v>Phó Trưởng khoa LLCT</v>
      </c>
      <c r="G161" s="373">
        <v>3.99</v>
      </c>
      <c r="H161" s="526"/>
      <c r="I161" s="368">
        <f t="shared" si="26"/>
        <v>3.99</v>
      </c>
      <c r="J161" s="368">
        <v>0.35</v>
      </c>
      <c r="K161" s="369">
        <f t="shared" si="27"/>
        <v>4.34</v>
      </c>
      <c r="L161" s="362">
        <f t="shared" si="28"/>
        <v>7812000</v>
      </c>
      <c r="M161" s="366" t="str">
        <f>VLOOKUP(B161,'[13]Gui chi Quynh'!$B$11:$E$400,4,FALSE)</f>
        <v>A3</v>
      </c>
      <c r="N161" s="494">
        <f t="shared" si="30"/>
        <v>9374400</v>
      </c>
      <c r="O161" s="376">
        <v>22</v>
      </c>
      <c r="P161" s="440">
        <f>IFERROR(INDEX('[14]CN BC'!$J$10:$J$276,MATCH(B161,'[14]CN BC'!$H$10:$H$276,0)),"")</f>
        <v>22</v>
      </c>
      <c r="Q161" s="494">
        <f t="shared" si="37"/>
        <v>9374400</v>
      </c>
      <c r="R161" s="460"/>
      <c r="S161" s="362">
        <f t="shared" si="29"/>
        <v>0</v>
      </c>
      <c r="T161" s="370"/>
      <c r="U161" s="362">
        <f t="shared" si="39"/>
        <v>0</v>
      </c>
      <c r="V161" s="584">
        <f t="shared" si="33"/>
        <v>78120</v>
      </c>
      <c r="W161" s="371">
        <f t="shared" si="38"/>
        <v>9374400</v>
      </c>
      <c r="X161" s="977">
        <f t="shared" si="36"/>
        <v>5.2080000000000002</v>
      </c>
      <c r="Y161" s="491">
        <v>1800000</v>
      </c>
      <c r="Z161" s="663">
        <f t="shared" si="35"/>
        <v>9374400</v>
      </c>
      <c r="AA161" s="568">
        <f t="shared" si="34"/>
        <v>139</v>
      </c>
      <c r="AB161" s="493">
        <f>IFERROR(INDEX('[14]CN BC'!$M$10:$M$276,MATCH(B161,'[14]CN BC'!$H$10:$H$276,0)),"")</f>
        <v>0</v>
      </c>
      <c r="AC161" s="141" t="str">
        <f>VLOOKUP(B161,TH.T4!B159:AC489,28,FALSE)</f>
        <v>LLCT</v>
      </c>
      <c r="AD161" s="108"/>
      <c r="AE161" s="108"/>
      <c r="AF161" s="487"/>
    </row>
    <row r="162" spans="1:42" s="108" customFormat="1" ht="28.5" customHeight="1">
      <c r="A162" s="379">
        <f>_xlfn.AGGREGATE(4,7,A$22:A161)+1</f>
        <v>140</v>
      </c>
      <c r="B162" s="45" t="s">
        <v>843</v>
      </c>
      <c r="C162" s="961" t="s">
        <v>865</v>
      </c>
      <c r="D162" s="406" t="s">
        <v>1726</v>
      </c>
      <c r="E162" s="424" t="s">
        <v>1316</v>
      </c>
      <c r="F162" s="81" t="str">
        <f>VLOOKUP(B162,TH.T4!B160:J490,9,FALSE)</f>
        <v>Phó Trưởng khoa LLCT</v>
      </c>
      <c r="G162" s="83">
        <v>3.99</v>
      </c>
      <c r="H162" s="157"/>
      <c r="I162" s="368">
        <f t="shared" si="26"/>
        <v>3.99</v>
      </c>
      <c r="J162" s="81">
        <v>0.45</v>
      </c>
      <c r="K162" s="369">
        <f t="shared" si="27"/>
        <v>4.4400000000000004</v>
      </c>
      <c r="L162" s="362">
        <f t="shared" si="28"/>
        <v>7992000.0000000009</v>
      </c>
      <c r="M162" s="366" t="str">
        <f>VLOOKUP(B162,'[13]Gui chi Quynh'!$B$11:$E$400,4,FALSE)</f>
        <v>A1</v>
      </c>
      <c r="N162" s="494">
        <f t="shared" si="30"/>
        <v>12787200.000000002</v>
      </c>
      <c r="O162" s="376">
        <v>22</v>
      </c>
      <c r="P162" s="440">
        <f>IFERROR(INDEX('[14]CN BC'!$J$10:$J$276,MATCH(B162,'[14]CN BC'!$H$10:$H$276,0)),"")</f>
        <v>22</v>
      </c>
      <c r="Q162" s="494">
        <f t="shared" si="37"/>
        <v>12787200.000000002</v>
      </c>
      <c r="R162" s="392"/>
      <c r="S162" s="362">
        <f t="shared" si="29"/>
        <v>0</v>
      </c>
      <c r="T162" s="385"/>
      <c r="U162" s="362">
        <f t="shared" si="39"/>
        <v>0</v>
      </c>
      <c r="V162" s="584">
        <f t="shared" si="33"/>
        <v>79920</v>
      </c>
      <c r="W162" s="371">
        <f t="shared" si="38"/>
        <v>12787200.000000002</v>
      </c>
      <c r="X162" s="977">
        <f t="shared" si="36"/>
        <v>7.104000000000001</v>
      </c>
      <c r="Y162" s="491">
        <v>1800000</v>
      </c>
      <c r="Z162" s="663">
        <f t="shared" si="35"/>
        <v>12787200.000000002</v>
      </c>
      <c r="AA162" s="568">
        <f t="shared" si="34"/>
        <v>140</v>
      </c>
      <c r="AB162" s="493">
        <f>IFERROR(INDEX('[14]CN BC'!$M$10:$M$276,MATCH(B162,'[14]CN BC'!$H$10:$H$276,0)),"")</f>
        <v>0</v>
      </c>
      <c r="AC162" s="141" t="str">
        <f>VLOOKUP(B162,TH.T4!B160:AC490,28,FALSE)</f>
        <v>LLCT</v>
      </c>
      <c r="AF162" s="155"/>
    </row>
    <row r="163" spans="1:42" s="372" customFormat="1" ht="28.5" customHeight="1">
      <c r="A163" s="379">
        <f>_xlfn.AGGREGATE(4,7,A$22:A162)+1</f>
        <v>141</v>
      </c>
      <c r="B163" s="374" t="s">
        <v>846</v>
      </c>
      <c r="C163" s="960" t="s">
        <v>920</v>
      </c>
      <c r="D163" s="406" t="s">
        <v>1727</v>
      </c>
      <c r="E163" s="423" t="s">
        <v>1317</v>
      </c>
      <c r="F163" s="81" t="str">
        <f>VLOOKUP(B163,TH.T4!B161:J491,9,FALSE)</f>
        <v>Trưởng BM khoa LLCT</v>
      </c>
      <c r="G163" s="373">
        <v>3.99</v>
      </c>
      <c r="H163" s="367"/>
      <c r="I163" s="368">
        <f t="shared" si="26"/>
        <v>3.99</v>
      </c>
      <c r="J163" s="368">
        <v>0.25</v>
      </c>
      <c r="K163" s="369">
        <f t="shared" si="27"/>
        <v>4.24</v>
      </c>
      <c r="L163" s="362">
        <f t="shared" si="28"/>
        <v>7632000</v>
      </c>
      <c r="M163" s="366" t="str">
        <f>VLOOKUP(B163,'[13]Gui chi Quynh'!$B$11:$E$400,4,FALSE)</f>
        <v>A1</v>
      </c>
      <c r="N163" s="494">
        <f t="shared" si="30"/>
        <v>12211200</v>
      </c>
      <c r="O163" s="376">
        <v>22</v>
      </c>
      <c r="P163" s="440">
        <f>IFERROR(INDEX('[14]CN BC'!$J$10:$J$276,MATCH(B163,'[14]CN BC'!$H$10:$H$276,0)),"")</f>
        <v>22</v>
      </c>
      <c r="Q163" s="494">
        <f t="shared" si="37"/>
        <v>12211200</v>
      </c>
      <c r="R163" s="392"/>
      <c r="S163" s="362">
        <f t="shared" si="29"/>
        <v>0</v>
      </c>
      <c r="T163" s="370"/>
      <c r="U163" s="362">
        <f t="shared" si="39"/>
        <v>0</v>
      </c>
      <c r="V163" s="584">
        <f t="shared" si="33"/>
        <v>76320</v>
      </c>
      <c r="W163" s="371">
        <f t="shared" si="38"/>
        <v>12211200</v>
      </c>
      <c r="X163" s="977">
        <f t="shared" si="36"/>
        <v>6.7839999999999998</v>
      </c>
      <c r="Y163" s="491">
        <v>1800000</v>
      </c>
      <c r="Z163" s="663">
        <f t="shared" si="35"/>
        <v>12211200</v>
      </c>
      <c r="AA163" s="568">
        <f t="shared" si="34"/>
        <v>141</v>
      </c>
      <c r="AB163" s="493">
        <f>IFERROR(INDEX('[14]CN BC'!$M$10:$M$276,MATCH(B163,'[14]CN BC'!$H$10:$H$276,0)),"")</f>
        <v>0</v>
      </c>
      <c r="AC163" s="141" t="str">
        <f>VLOOKUP(B163,TH.T4!B161:AC491,28,FALSE)</f>
        <v>LLCT</v>
      </c>
      <c r="AD163" s="108"/>
      <c r="AE163" s="108"/>
      <c r="AF163" s="155"/>
      <c r="AG163" s="108"/>
      <c r="AH163" s="108"/>
      <c r="AI163" s="108"/>
      <c r="AJ163" s="108"/>
      <c r="AK163" s="108"/>
      <c r="AL163" s="108"/>
      <c r="AM163" s="108"/>
      <c r="AN163" s="108"/>
      <c r="AO163" s="108"/>
      <c r="AP163" s="108"/>
    </row>
    <row r="164" spans="1:42" s="372" customFormat="1" ht="33" customHeight="1">
      <c r="A164" s="379">
        <f>_xlfn.AGGREGATE(4,7,A$22:A163)+1</f>
        <v>142</v>
      </c>
      <c r="B164" s="374" t="s">
        <v>1500</v>
      </c>
      <c r="C164" s="960" t="s">
        <v>277</v>
      </c>
      <c r="D164" s="434" t="s">
        <v>1728</v>
      </c>
      <c r="E164" s="423" t="s">
        <v>377</v>
      </c>
      <c r="F164" s="81" t="str">
        <f>VLOOKUP(B164,TH.T4!B162:J492,9,FALSE)</f>
        <v>Giảng viên khoa LLCT</v>
      </c>
      <c r="G164" s="373">
        <v>3.99</v>
      </c>
      <c r="H164" s="367"/>
      <c r="I164" s="368">
        <f t="shared" si="26"/>
        <v>3.99</v>
      </c>
      <c r="J164" s="368"/>
      <c r="K164" s="369">
        <f t="shared" si="27"/>
        <v>3.99</v>
      </c>
      <c r="L164" s="362">
        <f t="shared" si="28"/>
        <v>7182000</v>
      </c>
      <c r="M164" s="366" t="str">
        <f>VLOOKUP(B164,'[13]Gui chi Quynh'!$B$11:$E$400,4,FALSE)</f>
        <v>A3</v>
      </c>
      <c r="N164" s="494">
        <f t="shared" si="30"/>
        <v>8618400</v>
      </c>
      <c r="O164" s="376">
        <v>22</v>
      </c>
      <c r="P164" s="440">
        <f>IFERROR(INDEX('[14]CN BC'!$J$10:$J$276,MATCH(B164,'[14]CN BC'!$H$10:$H$276,0)),"")</f>
        <v>22</v>
      </c>
      <c r="Q164" s="494">
        <f t="shared" si="37"/>
        <v>8618400</v>
      </c>
      <c r="R164" s="460"/>
      <c r="S164" s="362">
        <f t="shared" si="29"/>
        <v>0</v>
      </c>
      <c r="T164" s="370"/>
      <c r="U164" s="362">
        <f t="shared" si="39"/>
        <v>0</v>
      </c>
      <c r="V164" s="584">
        <f t="shared" si="33"/>
        <v>71820</v>
      </c>
      <c r="W164" s="371">
        <f t="shared" si="38"/>
        <v>8618400</v>
      </c>
      <c r="X164" s="977">
        <f t="shared" si="36"/>
        <v>4.7880000000000003</v>
      </c>
      <c r="Y164" s="491">
        <v>1800000</v>
      </c>
      <c r="Z164" s="663">
        <f t="shared" si="35"/>
        <v>8618400</v>
      </c>
      <c r="AA164" s="568">
        <f t="shared" si="34"/>
        <v>142</v>
      </c>
      <c r="AB164" s="493">
        <f>IFERROR(INDEX('[14]CN BC'!$M$10:$M$276,MATCH(B164,'[14]CN BC'!$H$10:$H$276,0)),"")</f>
        <v>0</v>
      </c>
      <c r="AC164" s="141" t="str">
        <f>VLOOKUP(B164,TH.T4!B162:AC492,28,FALSE)</f>
        <v>LLCT</v>
      </c>
      <c r="AF164" s="487"/>
    </row>
    <row r="165" spans="1:42" s="372" customFormat="1" ht="30.75" customHeight="1">
      <c r="A165" s="379">
        <f>_xlfn.AGGREGATE(4,7,A$22:A164)+1</f>
        <v>143</v>
      </c>
      <c r="B165" s="374" t="s">
        <v>1877</v>
      </c>
      <c r="C165" s="960" t="s">
        <v>973</v>
      </c>
      <c r="D165" s="434" t="s">
        <v>1729</v>
      </c>
      <c r="E165" s="423" t="s">
        <v>1320</v>
      </c>
      <c r="F165" s="81" t="str">
        <f>VLOOKUP(B165,TH.T4!B163:J493,9,FALSE)</f>
        <v>Giảng viên khoa LLCT</v>
      </c>
      <c r="G165" s="366">
        <v>4.6500000000000004</v>
      </c>
      <c r="H165" s="367"/>
      <c r="I165" s="368">
        <f t="shared" si="26"/>
        <v>4.6500000000000004</v>
      </c>
      <c r="J165" s="368"/>
      <c r="K165" s="369">
        <f t="shared" si="27"/>
        <v>4.6500000000000004</v>
      </c>
      <c r="L165" s="362">
        <f t="shared" si="28"/>
        <v>8370000.0000000009</v>
      </c>
      <c r="M165" s="366" t="str">
        <f>VLOOKUP(B165,'[13]Gui chi Quynh'!$B$11:$E$400,4,FALSE)</f>
        <v>A3</v>
      </c>
      <c r="N165" s="494">
        <f t="shared" si="30"/>
        <v>10044000</v>
      </c>
      <c r="O165" s="376">
        <v>22</v>
      </c>
      <c r="P165" s="440">
        <f>IFERROR(INDEX('[14]CN BC'!$J$10:$J$276,MATCH(B165,'[14]CN BC'!$H$10:$H$276,0)),"")</f>
        <v>22</v>
      </c>
      <c r="Q165" s="494">
        <f t="shared" si="37"/>
        <v>10044000</v>
      </c>
      <c r="R165" s="460"/>
      <c r="S165" s="362">
        <f t="shared" si="29"/>
        <v>0</v>
      </c>
      <c r="T165" s="370"/>
      <c r="U165" s="362">
        <f t="shared" si="39"/>
        <v>0</v>
      </c>
      <c r="V165" s="584">
        <f t="shared" si="33"/>
        <v>83700</v>
      </c>
      <c r="W165" s="371">
        <f t="shared" si="38"/>
        <v>10044000</v>
      </c>
      <c r="X165" s="977">
        <f t="shared" si="36"/>
        <v>5.58</v>
      </c>
      <c r="Y165" s="491">
        <v>1800000</v>
      </c>
      <c r="Z165" s="663">
        <f t="shared" si="35"/>
        <v>10044000</v>
      </c>
      <c r="AA165" s="568">
        <f t="shared" si="34"/>
        <v>143</v>
      </c>
      <c r="AB165" s="493">
        <f>IFERROR(INDEX('[14]CN BC'!$M$10:$M$276,MATCH(B165,'[14]CN BC'!$H$10:$H$276,0)),"")</f>
        <v>0</v>
      </c>
      <c r="AC165" s="141" t="str">
        <f>VLOOKUP(B165,TH.T4!B163:AC493,28,FALSE)</f>
        <v>LLCT</v>
      </c>
      <c r="AF165" s="487"/>
    </row>
    <row r="166" spans="1:42" s="372" customFormat="1" ht="28.5" customHeight="1">
      <c r="A166" s="379">
        <f>_xlfn.AGGREGATE(4,7,A$22:A165)+1</f>
        <v>144</v>
      </c>
      <c r="B166" s="374" t="s">
        <v>1501</v>
      </c>
      <c r="C166" s="960" t="s">
        <v>313</v>
      </c>
      <c r="D166" s="434" t="s">
        <v>1730</v>
      </c>
      <c r="E166" s="422" t="s">
        <v>314</v>
      </c>
      <c r="F166" s="81" t="str">
        <f>VLOOKUP(B166,TH.T4!B164:J494,9,FALSE)</f>
        <v>Giảng viên khoa LLCT</v>
      </c>
      <c r="G166" s="373">
        <v>3.66</v>
      </c>
      <c r="H166" s="367"/>
      <c r="I166" s="368">
        <f t="shared" si="26"/>
        <v>3.66</v>
      </c>
      <c r="J166" s="368"/>
      <c r="K166" s="369">
        <f t="shared" si="27"/>
        <v>3.66</v>
      </c>
      <c r="L166" s="362">
        <f t="shared" si="28"/>
        <v>6588000</v>
      </c>
      <c r="M166" s="366" t="str">
        <f>VLOOKUP(B166,'[13]Gui chi Quynh'!$B$11:$E$400,4,FALSE)</f>
        <v>A3</v>
      </c>
      <c r="N166" s="494">
        <f t="shared" si="30"/>
        <v>7905600</v>
      </c>
      <c r="O166" s="376">
        <v>22</v>
      </c>
      <c r="P166" s="440">
        <f>IFERROR(INDEX('[14]CN BC'!$J$10:$J$276,MATCH(B166,'[14]CN BC'!$H$10:$H$276,0)),"")</f>
        <v>22</v>
      </c>
      <c r="Q166" s="494">
        <f t="shared" si="37"/>
        <v>7905600</v>
      </c>
      <c r="R166" s="460"/>
      <c r="S166" s="362">
        <f t="shared" si="29"/>
        <v>0</v>
      </c>
      <c r="T166" s="370"/>
      <c r="U166" s="362">
        <f t="shared" si="39"/>
        <v>0</v>
      </c>
      <c r="V166" s="584">
        <f t="shared" si="33"/>
        <v>65880</v>
      </c>
      <c r="W166" s="371">
        <f t="shared" si="38"/>
        <v>7905600</v>
      </c>
      <c r="X166" s="977">
        <f t="shared" si="36"/>
        <v>4.3920000000000003</v>
      </c>
      <c r="Y166" s="491">
        <v>1800000</v>
      </c>
      <c r="Z166" s="663">
        <f t="shared" si="35"/>
        <v>7905600.0000000009</v>
      </c>
      <c r="AA166" s="568">
        <f t="shared" si="34"/>
        <v>144</v>
      </c>
      <c r="AB166" s="493">
        <f>IFERROR(INDEX('[14]CN BC'!$M$10:$M$276,MATCH(B166,'[14]CN BC'!$H$10:$H$276,0)),"")</f>
        <v>0</v>
      </c>
      <c r="AC166" s="141" t="str">
        <f>VLOOKUP(B166,TH.T4!B164:AC494,28,FALSE)</f>
        <v>LLCT</v>
      </c>
      <c r="AD166" s="108"/>
      <c r="AE166" s="108"/>
      <c r="AF166" s="155"/>
      <c r="AG166" s="108"/>
      <c r="AH166" s="108"/>
      <c r="AI166" s="108"/>
      <c r="AJ166" s="108"/>
      <c r="AK166" s="108"/>
      <c r="AL166" s="108"/>
    </row>
    <row r="167" spans="1:42" s="372" customFormat="1" ht="28.5" customHeight="1">
      <c r="A167" s="379">
        <f>_xlfn.AGGREGATE(4,7,A$22:A166)+1</f>
        <v>145</v>
      </c>
      <c r="B167" s="374" t="s">
        <v>1878</v>
      </c>
      <c r="C167" s="960" t="s">
        <v>970</v>
      </c>
      <c r="D167" s="434" t="s">
        <v>1731</v>
      </c>
      <c r="E167" s="423" t="s">
        <v>1314</v>
      </c>
      <c r="F167" s="81" t="str">
        <f>VLOOKUP(B167,TH.T4!B165:J495,9,FALSE)</f>
        <v>Giảng viên khoa LLCT</v>
      </c>
      <c r="G167" s="366">
        <v>4.32</v>
      </c>
      <c r="H167" s="367"/>
      <c r="I167" s="368">
        <f t="shared" si="26"/>
        <v>4.32</v>
      </c>
      <c r="J167" s="368"/>
      <c r="K167" s="369">
        <f t="shared" si="27"/>
        <v>4.32</v>
      </c>
      <c r="L167" s="362">
        <f t="shared" si="28"/>
        <v>7776000.0000000009</v>
      </c>
      <c r="M167" s="366" t="str">
        <f>VLOOKUP(B167,'[13]Gui chi Quynh'!$B$11:$E$400,4,FALSE)</f>
        <v>A4</v>
      </c>
      <c r="N167" s="494">
        <f t="shared" si="30"/>
        <v>7776000.0000000009</v>
      </c>
      <c r="O167" s="376">
        <v>22</v>
      </c>
      <c r="P167" s="440">
        <f>IFERROR(INDEX('[14]CN BC'!$J$10:$J$276,MATCH(B167,'[14]CN BC'!$H$10:$H$276,0)),"")</f>
        <v>22</v>
      </c>
      <c r="Q167" s="494">
        <f t="shared" si="37"/>
        <v>7776000.0000000009</v>
      </c>
      <c r="R167" s="460"/>
      <c r="S167" s="362">
        <f t="shared" si="29"/>
        <v>0</v>
      </c>
      <c r="T167" s="370"/>
      <c r="U167" s="362">
        <f t="shared" si="39"/>
        <v>0</v>
      </c>
      <c r="V167" s="584">
        <f t="shared" si="33"/>
        <v>77760</v>
      </c>
      <c r="W167" s="371">
        <f t="shared" si="38"/>
        <v>7776000.0000000009</v>
      </c>
      <c r="X167" s="977">
        <f t="shared" si="36"/>
        <v>4.32</v>
      </c>
      <c r="Y167" s="491">
        <v>1800000</v>
      </c>
      <c r="Z167" s="663">
        <f t="shared" si="35"/>
        <v>7776000.0000000009</v>
      </c>
      <c r="AA167" s="568">
        <f t="shared" si="34"/>
        <v>145</v>
      </c>
      <c r="AB167" s="493">
        <f>IFERROR(INDEX('[14]CN BC'!$M$10:$M$276,MATCH(B167,'[14]CN BC'!$H$10:$H$276,0)),"")</f>
        <v>0</v>
      </c>
      <c r="AC167" s="141" t="str">
        <f>VLOOKUP(B167,TH.T4!B165:AC495,28,FALSE)</f>
        <v>LLCT</v>
      </c>
      <c r="AD167" s="108"/>
      <c r="AE167" s="108"/>
      <c r="AF167" s="155"/>
      <c r="AG167" s="108"/>
      <c r="AH167" s="108"/>
      <c r="AI167" s="108"/>
      <c r="AJ167" s="108"/>
      <c r="AK167" s="108"/>
      <c r="AL167" s="108"/>
    </row>
    <row r="168" spans="1:42" s="372" customFormat="1" ht="28.5" customHeight="1">
      <c r="A168" s="379">
        <f>_xlfn.AGGREGATE(4,7,A$22:A167)+1</f>
        <v>146</v>
      </c>
      <c r="B168" s="374" t="s">
        <v>1879</v>
      </c>
      <c r="C168" s="960" t="s">
        <v>927</v>
      </c>
      <c r="D168" s="434" t="s">
        <v>1732</v>
      </c>
      <c r="E168" s="423" t="s">
        <v>1315</v>
      </c>
      <c r="F168" s="81" t="str">
        <f>VLOOKUP(B168,TH.T4!B166:J496,9,FALSE)</f>
        <v>Giảng viên khoa LLCT</v>
      </c>
      <c r="G168" s="373">
        <v>4.32</v>
      </c>
      <c r="H168" s="367"/>
      <c r="I168" s="368">
        <f t="shared" si="26"/>
        <v>4.32</v>
      </c>
      <c r="J168" s="368"/>
      <c r="K168" s="369">
        <f t="shared" si="27"/>
        <v>4.32</v>
      </c>
      <c r="L168" s="362">
        <f t="shared" si="28"/>
        <v>7776000.0000000009</v>
      </c>
      <c r="M168" s="366" t="str">
        <f>VLOOKUP(B168,'[13]Gui chi Quynh'!$B$11:$E$400,4,FALSE)</f>
        <v>A1</v>
      </c>
      <c r="N168" s="494">
        <f t="shared" si="30"/>
        <v>12441600.000000002</v>
      </c>
      <c r="O168" s="376">
        <v>22</v>
      </c>
      <c r="P168" s="440">
        <f>IFERROR(INDEX('[14]CN BC'!$J$10:$J$276,MATCH(B168,'[14]CN BC'!$H$10:$H$276,0)),"")</f>
        <v>22</v>
      </c>
      <c r="Q168" s="494">
        <f t="shared" si="37"/>
        <v>12441600.000000002</v>
      </c>
      <c r="R168" s="460"/>
      <c r="S168" s="362">
        <f t="shared" si="29"/>
        <v>0</v>
      </c>
      <c r="T168" s="370"/>
      <c r="U168" s="362">
        <f t="shared" si="39"/>
        <v>0</v>
      </c>
      <c r="V168" s="584">
        <f t="shared" si="33"/>
        <v>77760</v>
      </c>
      <c r="W168" s="371">
        <f t="shared" si="38"/>
        <v>12441600.000000002</v>
      </c>
      <c r="X168" s="977">
        <f t="shared" si="36"/>
        <v>6.9120000000000008</v>
      </c>
      <c r="Y168" s="491">
        <v>1800000</v>
      </c>
      <c r="Z168" s="663">
        <f t="shared" si="35"/>
        <v>12441600.000000002</v>
      </c>
      <c r="AA168" s="568">
        <f t="shared" si="34"/>
        <v>146</v>
      </c>
      <c r="AB168" s="493">
        <f>IFERROR(INDEX('[14]CN BC'!$M$10:$M$276,MATCH(B168,'[14]CN BC'!$H$10:$H$276,0)),"")</f>
        <v>0</v>
      </c>
      <c r="AC168" s="141" t="str">
        <f>VLOOKUP(B168,TH.T4!B166:AC496,28,FALSE)</f>
        <v>LLCT</v>
      </c>
      <c r="AD168" s="108"/>
      <c r="AE168" s="108"/>
      <c r="AF168" s="155"/>
      <c r="AG168" s="108"/>
      <c r="AH168" s="108"/>
      <c r="AI168" s="108"/>
      <c r="AJ168" s="108"/>
      <c r="AK168" s="108"/>
      <c r="AL168" s="108"/>
    </row>
    <row r="169" spans="1:42" s="372" customFormat="1" ht="28.5" customHeight="1">
      <c r="A169" s="379">
        <f>_xlfn.AGGREGATE(4,7,A$22:A168)+1</f>
        <v>147</v>
      </c>
      <c r="B169" s="374" t="s">
        <v>1502</v>
      </c>
      <c r="C169" s="960" t="s">
        <v>1205</v>
      </c>
      <c r="D169" s="434" t="s">
        <v>1733</v>
      </c>
      <c r="E169" s="423" t="s">
        <v>1318</v>
      </c>
      <c r="F169" s="81" t="str">
        <f>VLOOKUP(B169,TH.T4!B167:J497,9,FALSE)</f>
        <v>Trưởng BM khoa LLCT</v>
      </c>
      <c r="G169" s="373">
        <v>3.66</v>
      </c>
      <c r="H169" s="367"/>
      <c r="I169" s="368">
        <f t="shared" si="26"/>
        <v>3.66</v>
      </c>
      <c r="J169" s="368"/>
      <c r="K169" s="369">
        <f t="shared" si="27"/>
        <v>3.66</v>
      </c>
      <c r="L169" s="362">
        <f t="shared" si="28"/>
        <v>6588000</v>
      </c>
      <c r="M169" s="366" t="str">
        <f>VLOOKUP(B169,'[13]Gui chi Quynh'!$B$11:$E$400,4,FALSE)</f>
        <v>A2</v>
      </c>
      <c r="N169" s="494">
        <f t="shared" si="30"/>
        <v>9223200</v>
      </c>
      <c r="O169" s="376">
        <v>22</v>
      </c>
      <c r="P169" s="440">
        <f>IFERROR(INDEX('[14]CN BC'!$J$10:$J$276,MATCH(B169,'[14]CN BC'!$H$10:$H$276,0)),"")</f>
        <v>22</v>
      </c>
      <c r="Q169" s="494">
        <f t="shared" si="37"/>
        <v>9223200</v>
      </c>
      <c r="R169" s="460"/>
      <c r="S169" s="362">
        <f t="shared" si="29"/>
        <v>0</v>
      </c>
      <c r="T169" s="370"/>
      <c r="U169" s="362">
        <f t="shared" si="39"/>
        <v>0</v>
      </c>
      <c r="V169" s="584">
        <f t="shared" si="33"/>
        <v>65880</v>
      </c>
      <c r="W169" s="371">
        <f t="shared" si="38"/>
        <v>9223200</v>
      </c>
      <c r="X169" s="977">
        <f t="shared" si="36"/>
        <v>5.1239999999999997</v>
      </c>
      <c r="Y169" s="491">
        <v>1800000</v>
      </c>
      <c r="Z169" s="663">
        <f t="shared" si="35"/>
        <v>9223200</v>
      </c>
      <c r="AA169" s="568">
        <f t="shared" si="34"/>
        <v>147</v>
      </c>
      <c r="AB169" s="493">
        <f>IFERROR(INDEX('[14]CN BC'!$M$10:$M$276,MATCH(B169,'[14]CN BC'!$H$10:$H$276,0)),"")</f>
        <v>0</v>
      </c>
      <c r="AC169" s="141" t="str">
        <f>VLOOKUP(B169,TH.T4!B167:AC497,28,FALSE)</f>
        <v>LLCT</v>
      </c>
      <c r="AD169" s="108"/>
      <c r="AE169" s="108"/>
      <c r="AF169" s="155"/>
      <c r="AG169" s="108"/>
      <c r="AH169" s="108"/>
      <c r="AI169" s="108"/>
      <c r="AJ169" s="108"/>
      <c r="AK169" s="108"/>
      <c r="AL169" s="108"/>
    </row>
    <row r="170" spans="1:42" s="372" customFormat="1" ht="28.5" customHeight="1">
      <c r="A170" s="660">
        <f>_xlfn.AGGREGATE(4,7,A$22:A169)+1</f>
        <v>148</v>
      </c>
      <c r="B170" s="964" t="s">
        <v>1880</v>
      </c>
      <c r="C170" s="965" t="s">
        <v>1178</v>
      </c>
      <c r="D170" s="564" t="s">
        <v>1734</v>
      </c>
      <c r="E170" s="567" t="s">
        <v>375</v>
      </c>
      <c r="F170" s="554" t="str">
        <f>VLOOKUP(B170,TH.T4!B168:J498,9,FALSE)</f>
        <v>Giảng viên khoa LLCT</v>
      </c>
      <c r="G170" s="566">
        <v>3.66</v>
      </c>
      <c r="H170" s="553"/>
      <c r="I170" s="554">
        <f t="shared" si="26"/>
        <v>3.66</v>
      </c>
      <c r="J170" s="554"/>
      <c r="K170" s="555">
        <f t="shared" si="27"/>
        <v>3.66</v>
      </c>
      <c r="L170" s="556">
        <f t="shared" si="28"/>
        <v>6588000</v>
      </c>
      <c r="M170" s="557" t="str">
        <f>VLOOKUP(B170,'[13]Gui chi Quynh'!$B$11:$E$400,4,FALSE)</f>
        <v>A DN</v>
      </c>
      <c r="N170" s="558">
        <f t="shared" si="30"/>
        <v>0</v>
      </c>
      <c r="O170" s="655">
        <v>22</v>
      </c>
      <c r="P170" s="559">
        <f>IFERROR(INDEX('[14]CN BC'!$J$10:$J$276,MATCH(B170,'[14]CN BC'!$H$10:$H$276,0)),"")</f>
        <v>0</v>
      </c>
      <c r="Q170" s="558">
        <f t="shared" si="37"/>
        <v>0</v>
      </c>
      <c r="R170" s="560"/>
      <c r="S170" s="556">
        <f t="shared" si="29"/>
        <v>0</v>
      </c>
      <c r="T170" s="561"/>
      <c r="U170" s="556">
        <f t="shared" si="39"/>
        <v>0</v>
      </c>
      <c r="V170" s="556">
        <v>0</v>
      </c>
      <c r="W170" s="656">
        <f t="shared" si="38"/>
        <v>0</v>
      </c>
      <c r="X170" s="980">
        <f t="shared" si="36"/>
        <v>0</v>
      </c>
      <c r="Y170" s="844">
        <v>1800000</v>
      </c>
      <c r="Z170" s="703">
        <f t="shared" si="35"/>
        <v>0</v>
      </c>
      <c r="AA170" s="573">
        <f t="shared" si="34"/>
        <v>148</v>
      </c>
      <c r="AB170" s="562" t="str">
        <f>IFERROR(INDEX('[14]CN BC'!$M$10:$M$276,MATCH(B170,'[14]CN BC'!$H$10:$H$276,0)),"")</f>
        <v>Nghỉ hộ sản hưởng chế độ BHXH từ 12/12/2023</v>
      </c>
      <c r="AC170" s="141" t="str">
        <f>VLOOKUP(B170,TH.T4!B168:AC498,28,FALSE)</f>
        <v>LLCT</v>
      </c>
      <c r="AD170" s="108"/>
      <c r="AE170" s="108"/>
      <c r="AF170" s="155"/>
      <c r="AG170" s="108"/>
      <c r="AH170" s="108"/>
      <c r="AI170" s="108"/>
      <c r="AJ170" s="108"/>
      <c r="AK170" s="108"/>
      <c r="AL170" s="108"/>
    </row>
    <row r="171" spans="1:42" s="372" customFormat="1" ht="28.5" customHeight="1">
      <c r="A171" s="379">
        <f>_xlfn.AGGREGATE(4,7,A$22:A170)+1</f>
        <v>149</v>
      </c>
      <c r="B171" s="374" t="s">
        <v>1503</v>
      </c>
      <c r="C171" s="960" t="s">
        <v>276</v>
      </c>
      <c r="D171" s="434" t="s">
        <v>1735</v>
      </c>
      <c r="E171" s="423" t="s">
        <v>376</v>
      </c>
      <c r="F171" s="81" t="str">
        <f>VLOOKUP(B171,TH.T4!B169:J499,9,FALSE)</f>
        <v>Giảng viên khoa LLCT</v>
      </c>
      <c r="G171" s="373">
        <v>3.66</v>
      </c>
      <c r="H171" s="367"/>
      <c r="I171" s="368">
        <f t="shared" si="26"/>
        <v>3.66</v>
      </c>
      <c r="J171" s="368"/>
      <c r="K171" s="369">
        <f t="shared" si="27"/>
        <v>3.66</v>
      </c>
      <c r="L171" s="362">
        <f t="shared" si="28"/>
        <v>6588000</v>
      </c>
      <c r="M171" s="366" t="str">
        <f>VLOOKUP(B171,'[13]Gui chi Quynh'!$B$11:$E$400,4,FALSE)</f>
        <v>A1</v>
      </c>
      <c r="N171" s="494">
        <f t="shared" si="30"/>
        <v>10540800</v>
      </c>
      <c r="O171" s="376">
        <v>22</v>
      </c>
      <c r="P171" s="440">
        <f>IFERROR(INDEX('[14]CN BC'!$J$10:$J$276,MATCH(B171,'[14]CN BC'!$H$10:$H$276,0)),"")</f>
        <v>22</v>
      </c>
      <c r="Q171" s="494">
        <f t="shared" si="37"/>
        <v>10540800</v>
      </c>
      <c r="R171" s="460"/>
      <c r="S171" s="362">
        <f t="shared" si="29"/>
        <v>0</v>
      </c>
      <c r="T171" s="370"/>
      <c r="U171" s="362">
        <f t="shared" si="39"/>
        <v>0</v>
      </c>
      <c r="V171" s="584">
        <f t="shared" si="33"/>
        <v>65880</v>
      </c>
      <c r="W171" s="371">
        <f t="shared" si="38"/>
        <v>10540800</v>
      </c>
      <c r="X171" s="977">
        <f t="shared" si="36"/>
        <v>5.8559999999999999</v>
      </c>
      <c r="Y171" s="491">
        <v>1800000</v>
      </c>
      <c r="Z171" s="663">
        <f t="shared" si="35"/>
        <v>10540800</v>
      </c>
      <c r="AA171" s="568">
        <f t="shared" si="34"/>
        <v>149</v>
      </c>
      <c r="AB171" s="493">
        <f>IFERROR(INDEX('[14]CN BC'!$M$10:$M$276,MATCH(B171,'[14]CN BC'!$H$10:$H$276,0)),"")</f>
        <v>0</v>
      </c>
      <c r="AC171" s="141" t="str">
        <f>VLOOKUP(B171,TH.T4!B169:AC499,28,FALSE)</f>
        <v>LLCT</v>
      </c>
      <c r="AD171" s="108"/>
      <c r="AE171" s="108"/>
      <c r="AF171" s="155"/>
      <c r="AG171" s="108"/>
      <c r="AH171" s="108"/>
      <c r="AI171" s="108"/>
      <c r="AJ171" s="108"/>
      <c r="AK171" s="108"/>
      <c r="AL171" s="108"/>
    </row>
    <row r="172" spans="1:42" s="372" customFormat="1" ht="26.25" customHeight="1">
      <c r="A172" s="379">
        <f>_xlfn.AGGREGATE(4,7,A$22:A171)+1</f>
        <v>150</v>
      </c>
      <c r="B172" s="374" t="s">
        <v>1504</v>
      </c>
      <c r="C172" s="960" t="s">
        <v>1041</v>
      </c>
      <c r="D172" s="434" t="s">
        <v>1736</v>
      </c>
      <c r="E172" s="434" t="s">
        <v>503</v>
      </c>
      <c r="F172" s="81" t="str">
        <f>VLOOKUP(B172,TH.T4!B170:J500,9,FALSE)</f>
        <v>Giảng viên khoa LLCT</v>
      </c>
      <c r="G172" s="373">
        <v>4.32</v>
      </c>
      <c r="H172" s="367"/>
      <c r="I172" s="368">
        <f t="shared" si="26"/>
        <v>4.32</v>
      </c>
      <c r="J172" s="368"/>
      <c r="K172" s="369">
        <f t="shared" si="27"/>
        <v>4.32</v>
      </c>
      <c r="L172" s="362">
        <f t="shared" si="28"/>
        <v>7776000.0000000009</v>
      </c>
      <c r="M172" s="366" t="str">
        <f>VLOOKUP(B172,'[13]Gui chi Quynh'!$B$11:$E$400,4,FALSE)</f>
        <v>A3</v>
      </c>
      <c r="N172" s="494">
        <f t="shared" si="30"/>
        <v>9331200</v>
      </c>
      <c r="O172" s="376">
        <v>22</v>
      </c>
      <c r="P172" s="440">
        <f>IFERROR(INDEX('[14]CN BC'!$J$10:$J$276,MATCH(B172,'[14]CN BC'!$H$10:$H$276,0)),"")</f>
        <v>22</v>
      </c>
      <c r="Q172" s="494">
        <f t="shared" si="37"/>
        <v>9331200</v>
      </c>
      <c r="R172" s="460"/>
      <c r="S172" s="362">
        <f t="shared" si="29"/>
        <v>0</v>
      </c>
      <c r="T172" s="370"/>
      <c r="U172" s="362">
        <f t="shared" si="39"/>
        <v>0</v>
      </c>
      <c r="V172" s="584">
        <f t="shared" si="33"/>
        <v>77760</v>
      </c>
      <c r="W172" s="371">
        <f t="shared" si="38"/>
        <v>9331200</v>
      </c>
      <c r="X172" s="977">
        <f t="shared" si="36"/>
        <v>5.1840000000000002</v>
      </c>
      <c r="Y172" s="491">
        <v>1800000</v>
      </c>
      <c r="Z172" s="663">
        <f t="shared" si="35"/>
        <v>9331200</v>
      </c>
      <c r="AA172" s="568">
        <f t="shared" si="34"/>
        <v>150</v>
      </c>
      <c r="AB172" s="493">
        <f>IFERROR(INDEX('[14]CN BC'!$M$10:$M$276,MATCH(B172,'[14]CN BC'!$H$10:$H$276,0)),"")</f>
        <v>0</v>
      </c>
      <c r="AC172" s="141" t="str">
        <f>VLOOKUP(B172,TH.T4!B170:AC500,28,FALSE)</f>
        <v>LLCT</v>
      </c>
      <c r="AD172" s="108"/>
      <c r="AE172" s="108"/>
      <c r="AF172" s="155"/>
      <c r="AG172" s="108"/>
      <c r="AH172" s="108"/>
      <c r="AI172" s="108"/>
      <c r="AJ172" s="108"/>
      <c r="AK172" s="108"/>
      <c r="AL172" s="108"/>
    </row>
    <row r="173" spans="1:42" s="372" customFormat="1" ht="27" customHeight="1">
      <c r="A173" s="379">
        <f>_xlfn.AGGREGATE(4,7,A$22:A172)+1</f>
        <v>151</v>
      </c>
      <c r="B173" s="374" t="s">
        <v>1505</v>
      </c>
      <c r="C173" s="960" t="s">
        <v>920</v>
      </c>
      <c r="D173" s="434" t="s">
        <v>1737</v>
      </c>
      <c r="E173" s="422" t="s">
        <v>1592</v>
      </c>
      <c r="F173" s="81" t="str">
        <f>VLOOKUP(B173,TH.T4!B171:J501,9,FALSE)</f>
        <v>Giảng viên khoa LLCT</v>
      </c>
      <c r="G173" s="373">
        <v>3.33</v>
      </c>
      <c r="H173" s="367"/>
      <c r="I173" s="445">
        <f t="shared" si="26"/>
        <v>3.33</v>
      </c>
      <c r="J173" s="368"/>
      <c r="K173" s="369">
        <f t="shared" si="27"/>
        <v>3.33</v>
      </c>
      <c r="L173" s="362">
        <f t="shared" si="28"/>
        <v>5994000</v>
      </c>
      <c r="M173" s="366" t="str">
        <f>VLOOKUP(B173,'[13]Gui chi Quynh'!$B$11:$E$400,4,FALSE)</f>
        <v>A2</v>
      </c>
      <c r="N173" s="494">
        <f t="shared" si="30"/>
        <v>8391600</v>
      </c>
      <c r="O173" s="376">
        <v>22</v>
      </c>
      <c r="P173" s="440">
        <f>IFERROR(INDEX('[14]CN BC'!$J$10:$J$276,MATCH(B173,'[14]CN BC'!$H$10:$H$276,0)),"")</f>
        <v>22</v>
      </c>
      <c r="Q173" s="494">
        <f t="shared" si="37"/>
        <v>8391600</v>
      </c>
      <c r="R173" s="460"/>
      <c r="S173" s="362">
        <f t="shared" si="29"/>
        <v>0</v>
      </c>
      <c r="T173" s="370"/>
      <c r="U173" s="362">
        <f t="shared" si="39"/>
        <v>0</v>
      </c>
      <c r="V173" s="584">
        <f t="shared" si="33"/>
        <v>59940</v>
      </c>
      <c r="W173" s="371">
        <f t="shared" si="38"/>
        <v>8391600</v>
      </c>
      <c r="X173" s="977">
        <f t="shared" si="36"/>
        <v>4.6619999999999999</v>
      </c>
      <c r="Y173" s="491">
        <v>1800000</v>
      </c>
      <c r="Z173" s="663">
        <f t="shared" si="35"/>
        <v>8391600</v>
      </c>
      <c r="AA173" s="568">
        <f t="shared" si="34"/>
        <v>151</v>
      </c>
      <c r="AB173" s="493">
        <f>IFERROR(INDEX('[14]CN BC'!$M$10:$M$276,MATCH(B173,'[14]CN BC'!$H$10:$H$276,0)),"")</f>
        <v>0</v>
      </c>
      <c r="AC173" s="141" t="str">
        <f>VLOOKUP(B173,TH.T4!B171:AC501,28,FALSE)</f>
        <v>LLCT</v>
      </c>
      <c r="AD173" s="108"/>
      <c r="AE173" s="108"/>
      <c r="AF173" s="155"/>
      <c r="AG173" s="108"/>
      <c r="AH173" s="108"/>
      <c r="AI173" s="108"/>
      <c r="AJ173" s="108"/>
      <c r="AK173" s="108"/>
      <c r="AL173" s="108"/>
    </row>
    <row r="174" spans="1:42" s="372" customFormat="1" ht="28.15" customHeight="1">
      <c r="A174" s="379">
        <f>_xlfn.AGGREGATE(4,7,A$22:A173)+1</f>
        <v>152</v>
      </c>
      <c r="B174" s="374" t="s">
        <v>1881</v>
      </c>
      <c r="C174" s="960" t="s">
        <v>891</v>
      </c>
      <c r="D174" s="434" t="s">
        <v>1738</v>
      </c>
      <c r="E174" s="423" t="s">
        <v>379</v>
      </c>
      <c r="F174" s="81" t="str">
        <f>VLOOKUP(B174,TH.T4!B172:J502,9,FALSE)</f>
        <v>Giảng viên khoa LLCT</v>
      </c>
      <c r="G174" s="373">
        <v>3.66</v>
      </c>
      <c r="H174" s="367"/>
      <c r="I174" s="368">
        <f t="shared" si="26"/>
        <v>3.66</v>
      </c>
      <c r="J174" s="368"/>
      <c r="K174" s="369">
        <f t="shared" si="27"/>
        <v>3.66</v>
      </c>
      <c r="L174" s="362">
        <f t="shared" si="28"/>
        <v>6588000</v>
      </c>
      <c r="M174" s="366" t="str">
        <f>VLOOKUP(B174,'[13]Gui chi Quynh'!$B$11:$E$400,4,FALSE)</f>
        <v>A3</v>
      </c>
      <c r="N174" s="494">
        <f t="shared" si="30"/>
        <v>7905600</v>
      </c>
      <c r="O174" s="376">
        <v>22</v>
      </c>
      <c r="P174" s="440">
        <f>IFERROR(INDEX('[14]CN BC'!$J$10:$J$276,MATCH(B174,'[14]CN BC'!$H$10:$H$276,0)),"")</f>
        <v>22</v>
      </c>
      <c r="Q174" s="494">
        <f t="shared" si="37"/>
        <v>7905600</v>
      </c>
      <c r="R174" s="460">
        <v>0</v>
      </c>
      <c r="S174" s="362">
        <f t="shared" si="29"/>
        <v>0</v>
      </c>
      <c r="T174" s="370"/>
      <c r="U174" s="362">
        <f t="shared" si="39"/>
        <v>0</v>
      </c>
      <c r="V174" s="584">
        <f t="shared" si="33"/>
        <v>65880</v>
      </c>
      <c r="W174" s="371">
        <f t="shared" si="38"/>
        <v>7905600</v>
      </c>
      <c r="X174" s="977">
        <f t="shared" si="36"/>
        <v>4.3920000000000003</v>
      </c>
      <c r="Y174" s="491">
        <v>1800000</v>
      </c>
      <c r="Z174" s="663">
        <f t="shared" si="35"/>
        <v>7905600.0000000009</v>
      </c>
      <c r="AA174" s="568">
        <f t="shared" si="34"/>
        <v>152</v>
      </c>
      <c r="AB174" s="493">
        <f>IFERROR(INDEX('[14]CN BC'!$M$10:$M$276,MATCH(B174,'[14]CN BC'!$H$10:$H$276,0)),"")</f>
        <v>0</v>
      </c>
      <c r="AC174" s="141" t="str">
        <f>VLOOKUP(B174,TH.T4!B172:AC502,28,FALSE)</f>
        <v>LLCT</v>
      </c>
      <c r="AD174" s="108"/>
      <c r="AE174" s="108"/>
      <c r="AF174" s="155"/>
      <c r="AG174" s="108"/>
      <c r="AH174" s="108"/>
      <c r="AI174" s="108"/>
      <c r="AJ174" s="108"/>
      <c r="AK174" s="108"/>
      <c r="AL174" s="108"/>
    </row>
    <row r="175" spans="1:42" s="372" customFormat="1" ht="27.75" customHeight="1">
      <c r="A175" s="379">
        <f>_xlfn.AGGREGATE(4,7,A$22:A174)+1</f>
        <v>153</v>
      </c>
      <c r="B175" s="967" t="s">
        <v>1506</v>
      </c>
      <c r="C175" s="968" t="s">
        <v>1426</v>
      </c>
      <c r="D175" s="434" t="s">
        <v>1739</v>
      </c>
      <c r="E175" s="422" t="s">
        <v>1427</v>
      </c>
      <c r="F175" s="81" t="str">
        <f>VLOOKUP(B175,TH.T4!B173:J503,9,FALSE)</f>
        <v>Giảng viên khoa LLCT</v>
      </c>
      <c r="G175" s="373">
        <v>3.33</v>
      </c>
      <c r="H175" s="367"/>
      <c r="I175" s="445">
        <f t="shared" si="26"/>
        <v>3.33</v>
      </c>
      <c r="J175" s="368"/>
      <c r="K175" s="369">
        <f t="shared" si="27"/>
        <v>3.33</v>
      </c>
      <c r="L175" s="362">
        <f t="shared" si="28"/>
        <v>5994000</v>
      </c>
      <c r="M175" s="366" t="str">
        <f>VLOOKUP(B175,'[13]Gui chi Quynh'!$B$11:$E$400,4,FALSE)</f>
        <v>A4</v>
      </c>
      <c r="N175" s="494">
        <f t="shared" si="30"/>
        <v>5994000</v>
      </c>
      <c r="O175" s="376">
        <v>22</v>
      </c>
      <c r="P175" s="440">
        <f>IFERROR(INDEX('[14]CN BC'!$J$10:$J$276,MATCH(B175,'[14]CN BC'!$H$10:$H$276,0)),"")</f>
        <v>22</v>
      </c>
      <c r="Q175" s="494">
        <f t="shared" si="37"/>
        <v>5994000</v>
      </c>
      <c r="R175" s="460"/>
      <c r="S175" s="362">
        <f t="shared" si="29"/>
        <v>0</v>
      </c>
      <c r="T175" s="370"/>
      <c r="U175" s="362">
        <f t="shared" si="39"/>
        <v>0</v>
      </c>
      <c r="V175" s="584">
        <f t="shared" si="33"/>
        <v>59940</v>
      </c>
      <c r="W175" s="371">
        <f t="shared" si="38"/>
        <v>5994000</v>
      </c>
      <c r="X175" s="977">
        <f t="shared" si="36"/>
        <v>3.33</v>
      </c>
      <c r="Y175" s="491">
        <v>1800000</v>
      </c>
      <c r="Z175" s="663">
        <f t="shared" si="35"/>
        <v>5994000</v>
      </c>
      <c r="AA175" s="568">
        <f t="shared" si="34"/>
        <v>153</v>
      </c>
      <c r="AB175" s="493">
        <f>IFERROR(INDEX('[14]CN BC'!$M$10:$M$276,MATCH(B175,'[14]CN BC'!$H$10:$H$276,0)),"")</f>
        <v>0</v>
      </c>
      <c r="AC175" s="141" t="str">
        <f>VLOOKUP(B175,TH.T4!B173:AC503,28,FALSE)</f>
        <v>LLCT</v>
      </c>
      <c r="AD175" s="108"/>
      <c r="AE175" s="108"/>
      <c r="AF175" s="155"/>
    </row>
    <row r="176" spans="1:42" s="372" customFormat="1" ht="27" customHeight="1">
      <c r="A176" s="379">
        <f>_xlfn.AGGREGATE(4,7,A$22:A175)+1</f>
        <v>154</v>
      </c>
      <c r="B176" s="374" t="s">
        <v>1882</v>
      </c>
      <c r="C176" s="960" t="s">
        <v>947</v>
      </c>
      <c r="D176" s="434" t="s">
        <v>1741</v>
      </c>
      <c r="E176" s="423" t="s">
        <v>1341</v>
      </c>
      <c r="F176" s="81" t="str">
        <f>VLOOKUP(B176,TH.T4!B174:J504,9,FALSE)</f>
        <v>Giảng viên khoa CNTT</v>
      </c>
      <c r="G176" s="373">
        <v>4.32</v>
      </c>
      <c r="H176" s="367"/>
      <c r="I176" s="368">
        <f t="shared" si="26"/>
        <v>4.32</v>
      </c>
      <c r="J176" s="368"/>
      <c r="K176" s="369">
        <f t="shared" si="27"/>
        <v>4.32</v>
      </c>
      <c r="L176" s="362">
        <f t="shared" si="28"/>
        <v>7776000.0000000009</v>
      </c>
      <c r="M176" s="366" t="str">
        <f>VLOOKUP(B176,'[13]Gui chi Quynh'!$B$11:$E$400,4,FALSE)</f>
        <v>A4</v>
      </c>
      <c r="N176" s="494">
        <f t="shared" si="30"/>
        <v>7776000.0000000009</v>
      </c>
      <c r="O176" s="376">
        <v>22</v>
      </c>
      <c r="P176" s="440">
        <f>IFERROR(INDEX('[14]CN BC'!$J$10:$J$276,MATCH(B176,'[14]CN BC'!$H$10:$H$276,0)),"")</f>
        <v>22</v>
      </c>
      <c r="Q176" s="494">
        <f t="shared" si="37"/>
        <v>7776000.0000000009</v>
      </c>
      <c r="R176" s="460"/>
      <c r="S176" s="362">
        <f t="shared" si="29"/>
        <v>0</v>
      </c>
      <c r="T176" s="370"/>
      <c r="U176" s="362">
        <f t="shared" si="39"/>
        <v>0</v>
      </c>
      <c r="V176" s="584">
        <f t="shared" si="33"/>
        <v>77760</v>
      </c>
      <c r="W176" s="371">
        <f t="shared" si="38"/>
        <v>7776000.0000000009</v>
      </c>
      <c r="X176" s="977">
        <f t="shared" si="36"/>
        <v>4.32</v>
      </c>
      <c r="Y176" s="491">
        <v>1800000</v>
      </c>
      <c r="Z176" s="663">
        <f t="shared" si="35"/>
        <v>7776000.0000000009</v>
      </c>
      <c r="AA176" s="568">
        <f t="shared" si="34"/>
        <v>154</v>
      </c>
      <c r="AB176" s="493">
        <f>IFERROR(INDEX('[14]CN BC'!$M$10:$M$276,MATCH(B176,'[14]CN BC'!$H$10:$H$276,0)),"")</f>
        <v>0</v>
      </c>
      <c r="AC176" s="141" t="str">
        <f>VLOOKUP(B176,TH.T4!B174:AC504,28,FALSE)</f>
        <v>CNTT</v>
      </c>
      <c r="AD176" s="108"/>
      <c r="AE176" s="108"/>
      <c r="AF176" s="155"/>
    </row>
    <row r="177" spans="1:42" s="108" customFormat="1" ht="28.5" customHeight="1">
      <c r="A177" s="379">
        <f>_xlfn.AGGREGATE(4,7,A$22:A176)+1</f>
        <v>155</v>
      </c>
      <c r="B177" s="45" t="s">
        <v>1508</v>
      </c>
      <c r="C177" s="961" t="s">
        <v>1019</v>
      </c>
      <c r="D177" s="406" t="s">
        <v>1742</v>
      </c>
      <c r="E177" s="424" t="s">
        <v>1342</v>
      </c>
      <c r="F177" s="81" t="str">
        <f>VLOOKUP(B177,TH.T4!B175:J505,9,FALSE)</f>
        <v>Giảng viên khoa CNTT</v>
      </c>
      <c r="G177" s="83">
        <v>3.99</v>
      </c>
      <c r="H177" s="157"/>
      <c r="I177" s="368">
        <f t="shared" si="26"/>
        <v>3.99</v>
      </c>
      <c r="J177" s="81"/>
      <c r="K177" s="369">
        <f t="shared" si="27"/>
        <v>3.99</v>
      </c>
      <c r="L177" s="362">
        <f t="shared" si="28"/>
        <v>7182000</v>
      </c>
      <c r="M177" s="366" t="str">
        <f>VLOOKUP(B177,'[13]Gui chi Quynh'!$B$11:$E$400,4,FALSE)</f>
        <v>A4</v>
      </c>
      <c r="N177" s="494">
        <f t="shared" si="30"/>
        <v>7182000</v>
      </c>
      <c r="O177" s="376">
        <v>22</v>
      </c>
      <c r="P177" s="440">
        <f>IFERROR(INDEX('[14]CN BC'!$J$10:$J$276,MATCH(B177,'[14]CN BC'!$H$10:$H$276,0)),"")</f>
        <v>22</v>
      </c>
      <c r="Q177" s="494">
        <f t="shared" si="37"/>
        <v>7182000</v>
      </c>
      <c r="R177" s="392"/>
      <c r="S177" s="362">
        <f t="shared" si="29"/>
        <v>0</v>
      </c>
      <c r="T177" s="385"/>
      <c r="U177" s="362">
        <f t="shared" si="39"/>
        <v>0</v>
      </c>
      <c r="V177" s="584">
        <f t="shared" si="33"/>
        <v>71820</v>
      </c>
      <c r="W177" s="371">
        <f t="shared" si="38"/>
        <v>7182000</v>
      </c>
      <c r="X177" s="977">
        <f t="shared" si="36"/>
        <v>3.99</v>
      </c>
      <c r="Y177" s="491">
        <v>1800000</v>
      </c>
      <c r="Z177" s="663">
        <f t="shared" si="35"/>
        <v>7182000</v>
      </c>
      <c r="AA177" s="568">
        <f t="shared" si="34"/>
        <v>155</v>
      </c>
      <c r="AB177" s="493">
        <f>IFERROR(INDEX('[14]CN BC'!$M$10:$M$276,MATCH(B177,'[14]CN BC'!$H$10:$H$276,0)),"")</f>
        <v>0</v>
      </c>
      <c r="AC177" s="141" t="str">
        <f>VLOOKUP(B177,TH.T4!B175:AC505,28,FALSE)</f>
        <v>CNTT</v>
      </c>
      <c r="AF177" s="155"/>
    </row>
    <row r="178" spans="1:42" s="108" customFormat="1" ht="26.25" customHeight="1">
      <c r="A178" s="379">
        <f>_xlfn.AGGREGATE(4,7,A$22:A177)+1</f>
        <v>156</v>
      </c>
      <c r="B178" s="45" t="s">
        <v>1509</v>
      </c>
      <c r="C178" s="961" t="s">
        <v>1023</v>
      </c>
      <c r="D178" s="406" t="s">
        <v>1743</v>
      </c>
      <c r="E178" s="424" t="s">
        <v>1344</v>
      </c>
      <c r="F178" s="81" t="str">
        <f>VLOOKUP(B178,TH.T4!B176:J506,9,FALSE)</f>
        <v>Giảng viên khoa CNTT</v>
      </c>
      <c r="G178" s="10">
        <v>3.99</v>
      </c>
      <c r="H178" s="157"/>
      <c r="I178" s="368">
        <f t="shared" si="26"/>
        <v>3.99</v>
      </c>
      <c r="J178" s="81"/>
      <c r="K178" s="369">
        <f t="shared" si="27"/>
        <v>3.99</v>
      </c>
      <c r="L178" s="362">
        <f t="shared" si="28"/>
        <v>7182000</v>
      </c>
      <c r="M178" s="366" t="str">
        <f>VLOOKUP(B178,'[13]Gui chi Quynh'!$B$11:$E$400,4,FALSE)</f>
        <v>A4</v>
      </c>
      <c r="N178" s="494">
        <f t="shared" si="30"/>
        <v>7182000</v>
      </c>
      <c r="O178" s="376">
        <v>22</v>
      </c>
      <c r="P178" s="440">
        <f>IFERROR(INDEX('[14]CN BC'!$J$10:$J$276,MATCH(B178,'[14]CN BC'!$H$10:$H$276,0)),"")</f>
        <v>22</v>
      </c>
      <c r="Q178" s="494">
        <f t="shared" si="37"/>
        <v>7182000</v>
      </c>
      <c r="R178" s="392"/>
      <c r="S178" s="362">
        <f t="shared" si="29"/>
        <v>0</v>
      </c>
      <c r="T178" s="385"/>
      <c r="U178" s="362">
        <f t="shared" si="39"/>
        <v>0</v>
      </c>
      <c r="V178" s="584">
        <f t="shared" si="33"/>
        <v>71820</v>
      </c>
      <c r="W178" s="371">
        <f t="shared" si="38"/>
        <v>7182000</v>
      </c>
      <c r="X178" s="977">
        <f t="shared" si="36"/>
        <v>3.99</v>
      </c>
      <c r="Y178" s="491">
        <v>1800000</v>
      </c>
      <c r="Z178" s="663">
        <f t="shared" si="35"/>
        <v>7182000</v>
      </c>
      <c r="AA178" s="568">
        <f t="shared" si="34"/>
        <v>156</v>
      </c>
      <c r="AB178" s="493">
        <f>IFERROR(INDEX('[14]CN BC'!$M$10:$M$276,MATCH(B178,'[14]CN BC'!$H$10:$H$276,0)),"")</f>
        <v>0</v>
      </c>
      <c r="AC178" s="141" t="str">
        <f>VLOOKUP(B178,TH.T4!B176:AC506,28,FALSE)</f>
        <v>CNTT</v>
      </c>
      <c r="AF178" s="155"/>
    </row>
    <row r="179" spans="1:42" s="372" customFormat="1" ht="69.75" customHeight="1">
      <c r="A179" s="543">
        <f>_xlfn.AGGREGATE(4,7,A$22:A178)+1</f>
        <v>157</v>
      </c>
      <c r="B179" s="962" t="s">
        <v>1510</v>
      </c>
      <c r="C179" s="963" t="s">
        <v>891</v>
      </c>
      <c r="D179" s="576" t="s">
        <v>1744</v>
      </c>
      <c r="E179" s="577" t="s">
        <v>1347</v>
      </c>
      <c r="F179" s="472" t="str">
        <f>VLOOKUP(B179,TH.T4!B177:J507,9,FALSE)</f>
        <v>Giảng viên khoa CNTT</v>
      </c>
      <c r="G179" s="578">
        <v>3.66</v>
      </c>
      <c r="H179" s="528"/>
      <c r="I179" s="472">
        <f t="shared" si="26"/>
        <v>3.66</v>
      </c>
      <c r="J179" s="472"/>
      <c r="K179" s="529">
        <f t="shared" si="27"/>
        <v>3.66</v>
      </c>
      <c r="L179" s="530">
        <f t="shared" si="28"/>
        <v>6588000</v>
      </c>
      <c r="M179" s="548" t="str">
        <f>VLOOKUP(B179,'[13]Gui chi Quynh'!$B$11:$E$400,4,FALSE)</f>
        <v>B2</v>
      </c>
      <c r="N179" s="531">
        <f t="shared" si="30"/>
        <v>3294000</v>
      </c>
      <c r="O179" s="549">
        <v>22</v>
      </c>
      <c r="P179" s="532">
        <f>IFERROR(INDEX('[14]CN BC'!$J$10:$J$276,MATCH(B179,'[14]CN BC'!$H$10:$H$276,0)),"")</f>
        <v>22</v>
      </c>
      <c r="Q179" s="531">
        <f t="shared" si="37"/>
        <v>3294000</v>
      </c>
      <c r="R179" s="533"/>
      <c r="S179" s="530">
        <f t="shared" si="29"/>
        <v>0</v>
      </c>
      <c r="T179" s="534"/>
      <c r="U179" s="530">
        <f t="shared" si="39"/>
        <v>0</v>
      </c>
      <c r="V179" s="530">
        <f t="shared" si="33"/>
        <v>65880</v>
      </c>
      <c r="W179" s="547">
        <f t="shared" si="38"/>
        <v>3294000</v>
      </c>
      <c r="X179" s="979">
        <f t="shared" si="36"/>
        <v>1.83</v>
      </c>
      <c r="Y179" s="843">
        <v>1800000</v>
      </c>
      <c r="Z179" s="706">
        <f t="shared" si="35"/>
        <v>3294000</v>
      </c>
      <c r="AA179" s="571">
        <f t="shared" si="34"/>
        <v>157</v>
      </c>
      <c r="AB179" s="550" t="s">
        <v>2243</v>
      </c>
      <c r="AC179" s="141" t="str">
        <f>VLOOKUP(B179,TH.T4!B177:AC507,28,FALSE)</f>
        <v>CNTT</v>
      </c>
      <c r="AF179" s="487"/>
    </row>
    <row r="180" spans="1:42" s="372" customFormat="1" ht="27" customHeight="1">
      <c r="A180" s="379">
        <f>_xlfn.AGGREGATE(4,7,A$22:A179)+1</f>
        <v>158</v>
      </c>
      <c r="B180" s="967" t="s">
        <v>1511</v>
      </c>
      <c r="C180" s="960" t="s">
        <v>867</v>
      </c>
      <c r="D180" s="434" t="s">
        <v>1745</v>
      </c>
      <c r="E180" s="423" t="s">
        <v>1349</v>
      </c>
      <c r="F180" s="81" t="str">
        <f>VLOOKUP(B180,TH.T4!B178:J508,9,FALSE)</f>
        <v>Giảng viên khoa CNTT</v>
      </c>
      <c r="G180" s="373">
        <v>3.99</v>
      </c>
      <c r="H180" s="367"/>
      <c r="I180" s="368">
        <f t="shared" si="26"/>
        <v>3.99</v>
      </c>
      <c r="J180" s="368"/>
      <c r="K180" s="369">
        <f t="shared" si="27"/>
        <v>3.99</v>
      </c>
      <c r="L180" s="362">
        <f t="shared" si="28"/>
        <v>7182000</v>
      </c>
      <c r="M180" s="366" t="str">
        <f>VLOOKUP(B180,'[13]Gui chi Quynh'!$B$11:$E$400,4,FALSE)</f>
        <v>A3</v>
      </c>
      <c r="N180" s="494">
        <f t="shared" si="30"/>
        <v>8618400</v>
      </c>
      <c r="O180" s="376">
        <v>22</v>
      </c>
      <c r="P180" s="440">
        <f>IFERROR(INDEX('[14]CN BC'!$J$10:$J$276,MATCH(B180,'[14]CN BC'!$H$10:$H$276,0)),"")</f>
        <v>22</v>
      </c>
      <c r="Q180" s="494">
        <f t="shared" si="37"/>
        <v>8618400</v>
      </c>
      <c r="R180" s="392"/>
      <c r="S180" s="362">
        <f t="shared" si="29"/>
        <v>0</v>
      </c>
      <c r="T180" s="370"/>
      <c r="U180" s="362">
        <f t="shared" si="39"/>
        <v>0</v>
      </c>
      <c r="V180" s="584">
        <f t="shared" si="33"/>
        <v>71820</v>
      </c>
      <c r="W180" s="371">
        <f t="shared" si="38"/>
        <v>8618400</v>
      </c>
      <c r="X180" s="977">
        <f t="shared" si="36"/>
        <v>4.7880000000000003</v>
      </c>
      <c r="Y180" s="491">
        <v>1800000</v>
      </c>
      <c r="Z180" s="663">
        <f t="shared" si="35"/>
        <v>8618400</v>
      </c>
      <c r="AA180" s="568">
        <f t="shared" si="34"/>
        <v>158</v>
      </c>
      <c r="AB180" s="493">
        <f>IFERROR(INDEX('[14]CN BC'!$M$10:$M$276,MATCH(B180,'[14]CN BC'!$H$10:$H$276,0)),"")</f>
        <v>0</v>
      </c>
      <c r="AC180" s="141" t="str">
        <f>VLOOKUP(B180,TH.T4!B178:AC508,28,FALSE)</f>
        <v>CNTT</v>
      </c>
      <c r="AD180" s="108"/>
      <c r="AE180" s="108"/>
      <c r="AF180" s="155"/>
      <c r="AG180" s="108"/>
      <c r="AH180" s="108"/>
      <c r="AI180" s="108"/>
      <c r="AJ180" s="108"/>
      <c r="AK180" s="108"/>
      <c r="AL180" s="108"/>
    </row>
    <row r="181" spans="1:42" s="372" customFormat="1" ht="27" customHeight="1">
      <c r="A181" s="379">
        <f>_xlfn.AGGREGATE(4,7,A$22:A180)+1</f>
        <v>159</v>
      </c>
      <c r="B181" s="374" t="s">
        <v>1512</v>
      </c>
      <c r="C181" s="960" t="s">
        <v>1209</v>
      </c>
      <c r="D181" s="434" t="s">
        <v>1746</v>
      </c>
      <c r="E181" s="423" t="s">
        <v>1350</v>
      </c>
      <c r="F181" s="81" t="str">
        <f>VLOOKUP(B181,TH.T4!B179:J509,9,FALSE)</f>
        <v>Giảng viên khoa CNTT</v>
      </c>
      <c r="G181" s="373">
        <v>3.99</v>
      </c>
      <c r="H181" s="367"/>
      <c r="I181" s="368">
        <f t="shared" si="26"/>
        <v>3.99</v>
      </c>
      <c r="J181" s="368"/>
      <c r="K181" s="369">
        <f t="shared" si="27"/>
        <v>3.99</v>
      </c>
      <c r="L181" s="362">
        <f t="shared" si="28"/>
        <v>7182000</v>
      </c>
      <c r="M181" s="366" t="str">
        <f>VLOOKUP(B181,'[13]Gui chi Quynh'!$B$11:$E$400,4,FALSE)</f>
        <v>A4</v>
      </c>
      <c r="N181" s="494">
        <f t="shared" si="30"/>
        <v>7182000</v>
      </c>
      <c r="O181" s="376">
        <v>22</v>
      </c>
      <c r="P181" s="440">
        <f>IFERROR(INDEX('[14]CN BC'!$J$10:$J$276,MATCH(B181,'[14]CN BC'!$H$10:$H$276,0)),"")</f>
        <v>22</v>
      </c>
      <c r="Q181" s="494">
        <f t="shared" si="37"/>
        <v>7182000</v>
      </c>
      <c r="R181" s="460"/>
      <c r="S181" s="362">
        <f t="shared" si="29"/>
        <v>0</v>
      </c>
      <c r="T181" s="370"/>
      <c r="U181" s="362">
        <f t="shared" si="39"/>
        <v>0</v>
      </c>
      <c r="V181" s="584">
        <f t="shared" si="33"/>
        <v>71820</v>
      </c>
      <c r="W181" s="371">
        <f t="shared" si="38"/>
        <v>7182000</v>
      </c>
      <c r="X181" s="977">
        <f t="shared" si="36"/>
        <v>3.99</v>
      </c>
      <c r="Y181" s="491">
        <v>1800000</v>
      </c>
      <c r="Z181" s="663">
        <f t="shared" si="35"/>
        <v>7182000</v>
      </c>
      <c r="AA181" s="568">
        <f t="shared" si="34"/>
        <v>159</v>
      </c>
      <c r="AB181" s="493">
        <f>IFERROR(INDEX('[14]CN BC'!$M$10:$M$276,MATCH(B181,'[14]CN BC'!$H$10:$H$276,0)),"")</f>
        <v>0</v>
      </c>
      <c r="AC181" s="141" t="str">
        <f>VLOOKUP(B181,TH.T4!B179:AC509,28,FALSE)</f>
        <v>CNTT</v>
      </c>
      <c r="AD181" s="108"/>
      <c r="AE181" s="108"/>
      <c r="AF181" s="155"/>
      <c r="AG181" s="108"/>
      <c r="AH181" s="108"/>
      <c r="AI181" s="108"/>
      <c r="AJ181" s="108"/>
      <c r="AK181" s="108"/>
      <c r="AL181" s="108"/>
    </row>
    <row r="182" spans="1:42" s="108" customFormat="1" ht="27" customHeight="1">
      <c r="A182" s="379">
        <f>_xlfn.AGGREGATE(4,7,A$22:A181)+1</f>
        <v>160</v>
      </c>
      <c r="B182" s="45" t="s">
        <v>1513</v>
      </c>
      <c r="C182" s="961" t="s">
        <v>1211</v>
      </c>
      <c r="D182" s="406" t="s">
        <v>1747</v>
      </c>
      <c r="E182" s="424" t="s">
        <v>1353</v>
      </c>
      <c r="F182" s="81" t="str">
        <f>VLOOKUP(B182,TH.T4!B180:J510,9,FALSE)</f>
        <v>Trưởng BM khoa CNTT</v>
      </c>
      <c r="G182" s="83">
        <v>3.99</v>
      </c>
      <c r="H182" s="157"/>
      <c r="I182" s="368">
        <f t="shared" si="26"/>
        <v>3.99</v>
      </c>
      <c r="J182" s="514">
        <v>0.45</v>
      </c>
      <c r="K182" s="369">
        <f t="shared" si="27"/>
        <v>4.4400000000000004</v>
      </c>
      <c r="L182" s="362">
        <f t="shared" si="28"/>
        <v>7992000.0000000009</v>
      </c>
      <c r="M182" s="366" t="str">
        <f>VLOOKUP(B182,'[13]Gui chi Quynh'!$B$11:$E$400,4,FALSE)</f>
        <v>A3</v>
      </c>
      <c r="N182" s="494">
        <f t="shared" si="30"/>
        <v>9590400</v>
      </c>
      <c r="O182" s="376">
        <v>22</v>
      </c>
      <c r="P182" s="440">
        <f>IFERROR(INDEX('[14]CN BC'!$J$10:$J$276,MATCH(B182,'[14]CN BC'!$H$10:$H$276,0)),"")</f>
        <v>24</v>
      </c>
      <c r="Q182" s="494">
        <f t="shared" si="37"/>
        <v>9590400</v>
      </c>
      <c r="R182" s="392"/>
      <c r="S182" s="362">
        <f t="shared" si="29"/>
        <v>0</v>
      </c>
      <c r="T182" s="385"/>
      <c r="U182" s="362">
        <f t="shared" si="39"/>
        <v>0</v>
      </c>
      <c r="V182" s="584">
        <f t="shared" si="33"/>
        <v>79920</v>
      </c>
      <c r="W182" s="371">
        <f t="shared" si="38"/>
        <v>9590400</v>
      </c>
      <c r="X182" s="977">
        <f t="shared" si="36"/>
        <v>5.3280000000000003</v>
      </c>
      <c r="Y182" s="491">
        <v>1800000</v>
      </c>
      <c r="Z182" s="663">
        <f t="shared" si="35"/>
        <v>9590400</v>
      </c>
      <c r="AA182" s="568">
        <f t="shared" si="34"/>
        <v>160</v>
      </c>
      <c r="AB182" s="493" t="str">
        <f>IFERROR(INDEX('[14]CN BC'!$M$10:$M$276,MATCH(B182,'[14]CN BC'!$H$10:$H$276,0)),"")</f>
        <v>Cộng 2 ngày hỗ trợ thi đầu ra tin học + Anh văn</v>
      </c>
      <c r="AC182" s="141" t="str">
        <f>VLOOKUP(B182,TH.T4!B180:AC510,28,FALSE)</f>
        <v>CNTT</v>
      </c>
      <c r="AF182" s="155"/>
    </row>
    <row r="183" spans="1:42" s="372" customFormat="1" ht="30" customHeight="1">
      <c r="A183" s="379">
        <f>_xlfn.AGGREGATE(4,7,A$22:A182)+1</f>
        <v>161</v>
      </c>
      <c r="B183" s="374" t="s">
        <v>1514</v>
      </c>
      <c r="C183" s="960" t="s">
        <v>979</v>
      </c>
      <c r="D183" s="434" t="s">
        <v>1748</v>
      </c>
      <c r="E183" s="423" t="s">
        <v>1354</v>
      </c>
      <c r="F183" s="81" t="str">
        <f>VLOOKUP(B183,TH.T4!B181:J511,9,FALSE)</f>
        <v>Giảng viên khoa CNTT</v>
      </c>
      <c r="G183" s="373">
        <v>3.66</v>
      </c>
      <c r="H183" s="367"/>
      <c r="I183" s="368">
        <f t="shared" si="26"/>
        <v>3.66</v>
      </c>
      <c r="J183" s="368"/>
      <c r="K183" s="369">
        <f t="shared" si="27"/>
        <v>3.66</v>
      </c>
      <c r="L183" s="362">
        <f t="shared" si="28"/>
        <v>6588000</v>
      </c>
      <c r="M183" s="366" t="str">
        <f>VLOOKUP(B183,'[13]Gui chi Quynh'!$B$11:$E$400,4,FALSE)</f>
        <v>A4</v>
      </c>
      <c r="N183" s="494">
        <f t="shared" si="30"/>
        <v>6588000</v>
      </c>
      <c r="O183" s="376">
        <v>22</v>
      </c>
      <c r="P183" s="440">
        <f>IFERROR(INDEX('[14]CN BC'!$J$10:$J$276,MATCH(B183,'[14]CN BC'!$H$10:$H$276,0)),"")</f>
        <v>22</v>
      </c>
      <c r="Q183" s="494">
        <f t="shared" si="37"/>
        <v>6588000</v>
      </c>
      <c r="R183" s="460"/>
      <c r="S183" s="362">
        <f t="shared" si="29"/>
        <v>0</v>
      </c>
      <c r="T183" s="370"/>
      <c r="U183" s="362">
        <f t="shared" si="39"/>
        <v>0</v>
      </c>
      <c r="V183" s="584">
        <f t="shared" si="33"/>
        <v>65880</v>
      </c>
      <c r="W183" s="371">
        <f t="shared" si="38"/>
        <v>6588000</v>
      </c>
      <c r="X183" s="977">
        <f t="shared" si="36"/>
        <v>3.66</v>
      </c>
      <c r="Y183" s="491">
        <v>1800000</v>
      </c>
      <c r="Z183" s="663">
        <f t="shared" si="35"/>
        <v>6588000</v>
      </c>
      <c r="AA183" s="568">
        <f t="shared" si="34"/>
        <v>161</v>
      </c>
      <c r="AB183" s="493">
        <f>IFERROR(INDEX('[14]CN BC'!$M$10:$M$276,MATCH(B183,'[14]CN BC'!$H$10:$H$276,0)),"")</f>
        <v>0</v>
      </c>
      <c r="AC183" s="141" t="str">
        <f>VLOOKUP(B183,TH.T4!B181:AC511,28,FALSE)</f>
        <v>CNTT</v>
      </c>
      <c r="AD183" s="108"/>
      <c r="AE183" s="108"/>
      <c r="AF183" s="487"/>
    </row>
    <row r="184" spans="1:42" s="372" customFormat="1" ht="24.75" customHeight="1">
      <c r="A184" s="379">
        <f>_xlfn.AGGREGATE(4,7,A$22:A183)+1</f>
        <v>162</v>
      </c>
      <c r="B184" s="374" t="s">
        <v>1515</v>
      </c>
      <c r="C184" s="960" t="s">
        <v>1212</v>
      </c>
      <c r="D184" s="434" t="s">
        <v>1749</v>
      </c>
      <c r="E184" s="423" t="s">
        <v>1355</v>
      </c>
      <c r="F184" s="81" t="str">
        <f>VLOOKUP(B184,TH.T4!B182:J512,9,FALSE)</f>
        <v>Giảng viên khoa CNTT</v>
      </c>
      <c r="G184" s="373">
        <v>3.66</v>
      </c>
      <c r="H184" s="367"/>
      <c r="I184" s="368">
        <f t="shared" si="26"/>
        <v>3.66</v>
      </c>
      <c r="J184" s="368"/>
      <c r="K184" s="369">
        <f t="shared" si="27"/>
        <v>3.66</v>
      </c>
      <c r="L184" s="362">
        <f t="shared" si="28"/>
        <v>6588000</v>
      </c>
      <c r="M184" s="366" t="str">
        <f>VLOOKUP(B184,'[13]Gui chi Quynh'!$B$11:$E$400,4,FALSE)</f>
        <v>A4</v>
      </c>
      <c r="N184" s="494">
        <f t="shared" si="30"/>
        <v>6588000</v>
      </c>
      <c r="O184" s="376">
        <v>22</v>
      </c>
      <c r="P184" s="440">
        <f>IFERROR(INDEX('[14]CN BC'!$J$10:$J$276,MATCH(B184,'[14]CN BC'!$H$10:$H$276,0)),"")</f>
        <v>22</v>
      </c>
      <c r="Q184" s="494">
        <f t="shared" si="37"/>
        <v>6588000</v>
      </c>
      <c r="R184" s="392"/>
      <c r="S184" s="362">
        <f t="shared" si="29"/>
        <v>0</v>
      </c>
      <c r="T184" s="370"/>
      <c r="U184" s="362">
        <f t="shared" si="39"/>
        <v>0</v>
      </c>
      <c r="V184" s="584">
        <f t="shared" si="33"/>
        <v>65880</v>
      </c>
      <c r="W184" s="371">
        <f t="shared" si="38"/>
        <v>6588000</v>
      </c>
      <c r="X184" s="977">
        <f t="shared" si="36"/>
        <v>3.66</v>
      </c>
      <c r="Y184" s="491">
        <v>1800000</v>
      </c>
      <c r="Z184" s="663">
        <f t="shared" si="35"/>
        <v>6588000</v>
      </c>
      <c r="AA184" s="568">
        <f t="shared" si="34"/>
        <v>162</v>
      </c>
      <c r="AB184" s="493">
        <f>IFERROR(INDEX('[14]CN BC'!$M$10:$M$276,MATCH(B184,'[14]CN BC'!$H$10:$H$276,0)),"")</f>
        <v>0</v>
      </c>
      <c r="AC184" s="141" t="str">
        <f>VLOOKUP(B184,TH.T4!B182:AC512,28,FALSE)</f>
        <v>CNTT</v>
      </c>
      <c r="AD184" s="108"/>
      <c r="AE184" s="108"/>
      <c r="AF184" s="155"/>
      <c r="AG184" s="108"/>
      <c r="AH184" s="108"/>
      <c r="AI184" s="108"/>
      <c r="AJ184" s="108"/>
      <c r="AK184" s="108"/>
      <c r="AL184" s="108"/>
    </row>
    <row r="185" spans="1:42" s="108" customFormat="1" ht="24.75" customHeight="1">
      <c r="A185" s="379">
        <f>_xlfn.AGGREGATE(4,7,A$22:A184)+1</f>
        <v>163</v>
      </c>
      <c r="B185" s="45" t="s">
        <v>1516</v>
      </c>
      <c r="C185" s="961" t="s">
        <v>1213</v>
      </c>
      <c r="D185" s="406" t="s">
        <v>1750</v>
      </c>
      <c r="E185" s="424" t="s">
        <v>1356</v>
      </c>
      <c r="F185" s="81" t="str">
        <f>VLOOKUP(B185,TH.T4!B183:J513,9,FALSE)</f>
        <v>Giảng viên khoa CNTT</v>
      </c>
      <c r="G185" s="373">
        <v>3.66</v>
      </c>
      <c r="H185" s="157"/>
      <c r="I185" s="368">
        <f t="shared" ref="I185:I248" si="40">G185+(G185*H185)</f>
        <v>3.66</v>
      </c>
      <c r="J185" s="81"/>
      <c r="K185" s="369">
        <f t="shared" ref="K185:K248" si="41">I185+J185</f>
        <v>3.66</v>
      </c>
      <c r="L185" s="362">
        <f t="shared" ref="L185:L248" si="42">K185*$H$19</f>
        <v>6588000</v>
      </c>
      <c r="M185" s="366" t="str">
        <f>VLOOKUP(B185,'[13]Gui chi Quynh'!$B$11:$E$400,4,FALSE)</f>
        <v>A4</v>
      </c>
      <c r="N185" s="494">
        <f t="shared" si="30"/>
        <v>6588000</v>
      </c>
      <c r="O185" s="376">
        <v>22</v>
      </c>
      <c r="P185" s="440">
        <f>IFERROR(INDEX('[14]CN BC'!$J$10:$J$276,MATCH(B185,'[14]CN BC'!$H$10:$H$276,0)),"")</f>
        <v>22</v>
      </c>
      <c r="Q185" s="494">
        <f t="shared" si="37"/>
        <v>6588000</v>
      </c>
      <c r="R185" s="392"/>
      <c r="S185" s="362">
        <f t="shared" si="29"/>
        <v>0</v>
      </c>
      <c r="T185" s="385"/>
      <c r="U185" s="362">
        <f t="shared" si="39"/>
        <v>0</v>
      </c>
      <c r="V185" s="584">
        <f t="shared" si="33"/>
        <v>65880</v>
      </c>
      <c r="W185" s="371">
        <f t="shared" si="38"/>
        <v>6588000</v>
      </c>
      <c r="X185" s="977">
        <f t="shared" si="36"/>
        <v>3.66</v>
      </c>
      <c r="Y185" s="491">
        <v>1800000</v>
      </c>
      <c r="Z185" s="663">
        <f t="shared" si="35"/>
        <v>6588000</v>
      </c>
      <c r="AA185" s="568">
        <f t="shared" si="34"/>
        <v>163</v>
      </c>
      <c r="AB185" s="493">
        <f>IFERROR(INDEX('[14]CN BC'!$M$10:$M$276,MATCH(B185,'[14]CN BC'!$H$10:$H$276,0)),"")</f>
        <v>0</v>
      </c>
      <c r="AC185" s="141" t="str">
        <f>VLOOKUP(B185,TH.T4!B183:AC513,28,FALSE)</f>
        <v>CNTT</v>
      </c>
      <c r="AF185" s="155"/>
    </row>
    <row r="186" spans="1:42" s="108" customFormat="1" ht="26.25" customHeight="1">
      <c r="A186" s="379">
        <f>_xlfn.AGGREGATE(4,7,A$22:A185)+1</f>
        <v>164</v>
      </c>
      <c r="B186" s="45" t="s">
        <v>1883</v>
      </c>
      <c r="C186" s="961" t="s">
        <v>282</v>
      </c>
      <c r="D186" s="406" t="s">
        <v>1751</v>
      </c>
      <c r="E186" s="424" t="s">
        <v>381</v>
      </c>
      <c r="F186" s="81" t="str">
        <f>VLOOKUP(B186,TH.T4!B184:J514,9,FALSE)</f>
        <v>Phó Trưởng khoa CNTT</v>
      </c>
      <c r="G186" s="83">
        <v>3.99</v>
      </c>
      <c r="H186" s="157"/>
      <c r="I186" s="368">
        <f t="shared" si="40"/>
        <v>3.99</v>
      </c>
      <c r="J186" s="81">
        <v>0.35</v>
      </c>
      <c r="K186" s="369">
        <f t="shared" si="41"/>
        <v>4.34</v>
      </c>
      <c r="L186" s="362">
        <f t="shared" si="42"/>
        <v>7812000</v>
      </c>
      <c r="M186" s="366" t="str">
        <f>VLOOKUP(B186,'[13]Gui chi Quynh'!$B$11:$E$400,4,FALSE)</f>
        <v>A4</v>
      </c>
      <c r="N186" s="494">
        <f t="shared" si="30"/>
        <v>7812000</v>
      </c>
      <c r="O186" s="376">
        <v>22</v>
      </c>
      <c r="P186" s="440">
        <f>IFERROR(INDEX('[14]CN BC'!$J$10:$J$276,MATCH(B186,'[14]CN BC'!$H$10:$H$276,0)),"")</f>
        <v>22</v>
      </c>
      <c r="Q186" s="494">
        <f t="shared" si="37"/>
        <v>7812000</v>
      </c>
      <c r="R186" s="392"/>
      <c r="S186" s="362">
        <f t="shared" si="29"/>
        <v>0</v>
      </c>
      <c r="T186" s="385"/>
      <c r="U186" s="362">
        <f t="shared" si="39"/>
        <v>0</v>
      </c>
      <c r="V186" s="584">
        <f t="shared" si="33"/>
        <v>78120</v>
      </c>
      <c r="W186" s="371">
        <f t="shared" si="38"/>
        <v>7812000</v>
      </c>
      <c r="X186" s="977">
        <f t="shared" si="36"/>
        <v>4.34</v>
      </c>
      <c r="Y186" s="491">
        <v>1800000</v>
      </c>
      <c r="Z186" s="663">
        <f t="shared" si="35"/>
        <v>7812000</v>
      </c>
      <c r="AA186" s="568">
        <f t="shared" si="34"/>
        <v>164</v>
      </c>
      <c r="AB186" s="493">
        <f>IFERROR(INDEX('[14]CN BC'!$M$10:$M$276,MATCH(B186,'[14]CN BC'!$H$10:$H$276,0)),"")</f>
        <v>0</v>
      </c>
      <c r="AC186" s="141" t="str">
        <f>VLOOKUP(B186,TH.T4!B184:AC514,28,FALSE)</f>
        <v>CNTT</v>
      </c>
      <c r="AF186" s="155"/>
    </row>
    <row r="187" spans="1:42" s="372" customFormat="1" ht="23.25" customHeight="1">
      <c r="A187" s="379">
        <f>_xlfn.AGGREGATE(4,7,A$22:A186)+1</f>
        <v>165</v>
      </c>
      <c r="B187" s="374" t="s">
        <v>1833</v>
      </c>
      <c r="C187" s="960"/>
      <c r="D187" s="434" t="s">
        <v>1966</v>
      </c>
      <c r="E187" s="486">
        <v>1603215005649</v>
      </c>
      <c r="F187" s="81" t="str">
        <f>VLOOKUP(B187,TH.T4!B185:J515,9,FALSE)</f>
        <v>Giảng viên khoa CNTT</v>
      </c>
      <c r="G187" s="373">
        <v>3.66</v>
      </c>
      <c r="H187" s="367"/>
      <c r="I187" s="445">
        <f t="shared" si="40"/>
        <v>3.66</v>
      </c>
      <c r="J187" s="368"/>
      <c r="K187" s="369">
        <f t="shared" si="41"/>
        <v>3.66</v>
      </c>
      <c r="L187" s="362">
        <f t="shared" si="42"/>
        <v>6588000</v>
      </c>
      <c r="M187" s="366" t="str">
        <f>VLOOKUP(B187,'[13]Gui chi Quynh'!$B$11:$E$400,4,FALSE)</f>
        <v>A3</v>
      </c>
      <c r="N187" s="494">
        <f t="shared" si="30"/>
        <v>7905600</v>
      </c>
      <c r="O187" s="376">
        <v>22</v>
      </c>
      <c r="P187" s="440">
        <f>IFERROR(INDEX('[14]CN BC'!$J$10:$J$276,MATCH(B187,'[14]CN BC'!$H$10:$H$276,0)),"")</f>
        <v>22</v>
      </c>
      <c r="Q187" s="494">
        <f t="shared" si="37"/>
        <v>7905600</v>
      </c>
      <c r="R187" s="460"/>
      <c r="S187" s="362">
        <f t="shared" si="29"/>
        <v>0</v>
      </c>
      <c r="T187" s="370"/>
      <c r="U187" s="362">
        <f t="shared" si="39"/>
        <v>0</v>
      </c>
      <c r="V187" s="584">
        <f t="shared" si="33"/>
        <v>65880</v>
      </c>
      <c r="W187" s="371">
        <f t="shared" si="38"/>
        <v>7905600</v>
      </c>
      <c r="X187" s="977">
        <f t="shared" si="36"/>
        <v>4.3920000000000003</v>
      </c>
      <c r="Y187" s="491">
        <v>1800000</v>
      </c>
      <c r="Z187" s="663">
        <f t="shared" si="35"/>
        <v>7905600.0000000009</v>
      </c>
      <c r="AA187" s="568">
        <f t="shared" si="34"/>
        <v>165</v>
      </c>
      <c r="AB187" s="493">
        <f>IFERROR(INDEX('[14]CN BC'!$M$10:$M$276,MATCH(B187,'[14]CN BC'!$H$10:$H$276,0)),"")</f>
        <v>0</v>
      </c>
      <c r="AC187" s="141" t="str">
        <f>VLOOKUP(B187,TH.T4!B185:AC515,28,FALSE)</f>
        <v>CNTT</v>
      </c>
      <c r="AD187" s="108"/>
      <c r="AE187" s="108"/>
      <c r="AF187" s="155"/>
    </row>
    <row r="188" spans="1:42" s="372" customFormat="1" ht="29.25" customHeight="1">
      <c r="A188" s="379">
        <f>_xlfn.AGGREGATE(4,7,A$22:A187)+1</f>
        <v>166</v>
      </c>
      <c r="B188" s="374" t="s">
        <v>1884</v>
      </c>
      <c r="C188" s="960" t="s">
        <v>1175</v>
      </c>
      <c r="D188" s="406" t="s">
        <v>1752</v>
      </c>
      <c r="E188" s="423" t="s">
        <v>1345</v>
      </c>
      <c r="F188" s="81" t="str">
        <f>VLOOKUP(B188,TH.T4!B186:J516,9,FALSE)</f>
        <v>Giảng viên khoa CNTT</v>
      </c>
      <c r="G188" s="373">
        <v>3.99</v>
      </c>
      <c r="H188" s="367"/>
      <c r="I188" s="368">
        <f t="shared" si="40"/>
        <v>3.99</v>
      </c>
      <c r="J188" s="368">
        <v>0.25</v>
      </c>
      <c r="K188" s="369">
        <f t="shared" si="41"/>
        <v>4.24</v>
      </c>
      <c r="L188" s="362">
        <f t="shared" si="42"/>
        <v>7632000</v>
      </c>
      <c r="M188" s="366" t="str">
        <f>VLOOKUP(B188,'[13]Gui chi Quynh'!$B$11:$E$400,4,FALSE)</f>
        <v>A4</v>
      </c>
      <c r="N188" s="494">
        <f t="shared" si="30"/>
        <v>7632000</v>
      </c>
      <c r="O188" s="376">
        <v>22</v>
      </c>
      <c r="P188" s="440">
        <f>IFERROR(INDEX('[14]CN BC'!$J$10:$J$276,MATCH(B188,'[14]CN BC'!$H$10:$H$276,0)),"")</f>
        <v>22</v>
      </c>
      <c r="Q188" s="494">
        <f t="shared" si="37"/>
        <v>7632000</v>
      </c>
      <c r="R188" s="392"/>
      <c r="S188" s="362">
        <f t="shared" si="29"/>
        <v>0</v>
      </c>
      <c r="T188" s="370"/>
      <c r="U188" s="362">
        <f t="shared" si="39"/>
        <v>0</v>
      </c>
      <c r="V188" s="584">
        <f t="shared" si="33"/>
        <v>76320</v>
      </c>
      <c r="W188" s="371">
        <f t="shared" si="38"/>
        <v>7632000</v>
      </c>
      <c r="X188" s="977">
        <f t="shared" si="36"/>
        <v>4.24</v>
      </c>
      <c r="Y188" s="491">
        <v>1800000</v>
      </c>
      <c r="Z188" s="663">
        <f t="shared" si="35"/>
        <v>7632000</v>
      </c>
      <c r="AA188" s="568">
        <f t="shared" si="34"/>
        <v>166</v>
      </c>
      <c r="AB188" s="493">
        <f>IFERROR(INDEX('[14]CN BC'!$M$10:$M$276,MATCH(B188,'[14]CN BC'!$H$10:$H$276,0)),"")</f>
        <v>0</v>
      </c>
      <c r="AC188" s="141" t="str">
        <f>VLOOKUP(B188,TH.T4!B186:AC516,28,FALSE)</f>
        <v>CNTT</v>
      </c>
      <c r="AD188" s="108"/>
      <c r="AE188" s="108"/>
      <c r="AF188" s="155"/>
      <c r="AG188" s="108"/>
      <c r="AH188" s="108"/>
      <c r="AI188" s="108"/>
      <c r="AJ188" s="108"/>
      <c r="AK188" s="108"/>
      <c r="AL188" s="108"/>
      <c r="AM188" s="108"/>
      <c r="AN188" s="108"/>
      <c r="AO188" s="108"/>
      <c r="AP188" s="108"/>
    </row>
    <row r="189" spans="1:42" s="372" customFormat="1" ht="29.25" customHeight="1">
      <c r="A189" s="379">
        <f>_xlfn.AGGREGATE(4,7,A$22:A188)+1</f>
        <v>167</v>
      </c>
      <c r="B189" s="374" t="s">
        <v>1517</v>
      </c>
      <c r="C189" s="960" t="s">
        <v>731</v>
      </c>
      <c r="D189" s="434" t="s">
        <v>1753</v>
      </c>
      <c r="E189" s="426">
        <v>1603205286594</v>
      </c>
      <c r="F189" s="81" t="str">
        <f>VLOOKUP(B189,TH.T4!B187:J517,9,FALSE)</f>
        <v>Giảng viên khoa CNTT</v>
      </c>
      <c r="G189" s="373">
        <v>3.33</v>
      </c>
      <c r="H189" s="367"/>
      <c r="I189" s="445">
        <f t="shared" si="40"/>
        <v>3.33</v>
      </c>
      <c r="J189" s="368"/>
      <c r="K189" s="369">
        <f t="shared" si="41"/>
        <v>3.33</v>
      </c>
      <c r="L189" s="362">
        <f t="shared" si="42"/>
        <v>5994000</v>
      </c>
      <c r="M189" s="366" t="str">
        <f>VLOOKUP(B189,'[13]Gui chi Quynh'!$B$11:$E$400,4,FALSE)</f>
        <v>A4</v>
      </c>
      <c r="N189" s="494">
        <f t="shared" si="30"/>
        <v>5994000</v>
      </c>
      <c r="O189" s="376">
        <v>22</v>
      </c>
      <c r="P189" s="440">
        <f>IFERROR(INDEX('[14]CN BC'!$J$10:$J$276,MATCH(B189,'[14]CN BC'!$H$10:$H$276,0)),"")</f>
        <v>22</v>
      </c>
      <c r="Q189" s="494">
        <f t="shared" si="37"/>
        <v>5994000</v>
      </c>
      <c r="R189" s="460"/>
      <c r="S189" s="362">
        <f t="shared" si="29"/>
        <v>0</v>
      </c>
      <c r="T189" s="370"/>
      <c r="U189" s="362">
        <f t="shared" si="39"/>
        <v>0</v>
      </c>
      <c r="V189" s="584">
        <f t="shared" si="33"/>
        <v>59940</v>
      </c>
      <c r="W189" s="371">
        <f t="shared" si="38"/>
        <v>5994000</v>
      </c>
      <c r="X189" s="977">
        <f t="shared" si="36"/>
        <v>3.33</v>
      </c>
      <c r="Y189" s="491">
        <v>1800000</v>
      </c>
      <c r="Z189" s="663">
        <f t="shared" si="35"/>
        <v>5994000</v>
      </c>
      <c r="AA189" s="568">
        <f t="shared" si="34"/>
        <v>167</v>
      </c>
      <c r="AB189" s="493">
        <f>IFERROR(INDEX('[14]CN BC'!$M$10:$M$276,MATCH(B189,'[14]CN BC'!$H$10:$H$276,0)),"")</f>
        <v>0</v>
      </c>
      <c r="AC189" s="141" t="str">
        <f>VLOOKUP(B189,TH.T4!B187:AC517,28,FALSE)</f>
        <v>CNTT</v>
      </c>
      <c r="AD189" s="108"/>
      <c r="AE189" s="108"/>
      <c r="AF189" s="487"/>
    </row>
    <row r="190" spans="1:42" s="372" customFormat="1" ht="28.5" customHeight="1">
      <c r="A190" s="379">
        <f>_xlfn.AGGREGATE(4,7,A$22:A189)+1</f>
        <v>168</v>
      </c>
      <c r="B190" s="374" t="s">
        <v>1518</v>
      </c>
      <c r="C190" s="960" t="s">
        <v>1207</v>
      </c>
      <c r="D190" s="406" t="s">
        <v>1754</v>
      </c>
      <c r="E190" s="423" t="s">
        <v>1346</v>
      </c>
      <c r="F190" s="81" t="str">
        <f>VLOOKUP(B190,TH.T4!B188:J518,9,FALSE)</f>
        <v>Giảng viên khoa CNTT</v>
      </c>
      <c r="G190" s="366">
        <v>3.99</v>
      </c>
      <c r="H190" s="367"/>
      <c r="I190" s="368">
        <f t="shared" si="40"/>
        <v>3.99</v>
      </c>
      <c r="J190" s="368"/>
      <c r="K190" s="369">
        <f t="shared" si="41"/>
        <v>3.99</v>
      </c>
      <c r="L190" s="362">
        <f t="shared" si="42"/>
        <v>7182000</v>
      </c>
      <c r="M190" s="366" t="str">
        <f>VLOOKUP(B190,'[13]Gui chi Quynh'!$B$11:$E$400,4,FALSE)</f>
        <v>A4</v>
      </c>
      <c r="N190" s="494">
        <f t="shared" si="30"/>
        <v>7182000</v>
      </c>
      <c r="O190" s="376">
        <v>22</v>
      </c>
      <c r="P190" s="440">
        <f>IFERROR(INDEX('[14]CN BC'!$J$10:$J$276,MATCH(B190,'[14]CN BC'!$H$10:$H$276,0)),"")</f>
        <v>22</v>
      </c>
      <c r="Q190" s="494">
        <f t="shared" si="37"/>
        <v>7182000</v>
      </c>
      <c r="R190" s="392"/>
      <c r="S190" s="362">
        <f t="shared" si="29"/>
        <v>0</v>
      </c>
      <c r="T190" s="385"/>
      <c r="U190" s="362">
        <f t="shared" si="39"/>
        <v>0</v>
      </c>
      <c r="V190" s="584">
        <f t="shared" si="33"/>
        <v>71820</v>
      </c>
      <c r="W190" s="371">
        <f t="shared" si="38"/>
        <v>7182000</v>
      </c>
      <c r="X190" s="977">
        <f t="shared" si="36"/>
        <v>3.99</v>
      </c>
      <c r="Y190" s="491">
        <v>1800000</v>
      </c>
      <c r="Z190" s="663">
        <f t="shared" si="35"/>
        <v>7182000</v>
      </c>
      <c r="AA190" s="568">
        <f t="shared" si="34"/>
        <v>168</v>
      </c>
      <c r="AB190" s="493">
        <f>IFERROR(INDEX('[14]CN BC'!$M$10:$M$276,MATCH(B190,'[14]CN BC'!$H$10:$H$276,0)),"")</f>
        <v>0</v>
      </c>
      <c r="AC190" s="141" t="str">
        <f>VLOOKUP(B190,TH.T4!B188:AC518,28,FALSE)</f>
        <v>CNTT</v>
      </c>
      <c r="AD190" s="108"/>
      <c r="AE190" s="108"/>
      <c r="AF190" s="155"/>
      <c r="AG190" s="108"/>
      <c r="AH190" s="108"/>
      <c r="AI190" s="108"/>
      <c r="AJ190" s="108"/>
      <c r="AK190" s="108"/>
      <c r="AL190" s="108"/>
      <c r="AM190" s="108"/>
      <c r="AN190" s="108"/>
      <c r="AO190" s="108"/>
      <c r="AP190" s="108"/>
    </row>
    <row r="191" spans="1:42" s="372" customFormat="1" ht="28.5" customHeight="1">
      <c r="A191" s="379">
        <f>_xlfn.AGGREGATE(4,7,A$22:A190)+1</f>
        <v>169</v>
      </c>
      <c r="B191" s="374" t="s">
        <v>1519</v>
      </c>
      <c r="C191" s="960" t="s">
        <v>728</v>
      </c>
      <c r="D191" s="406" t="s">
        <v>1755</v>
      </c>
      <c r="E191" s="423" t="s">
        <v>771</v>
      </c>
      <c r="F191" s="81" t="str">
        <f>VLOOKUP(B191,TH.T4!B189:J519,9,FALSE)</f>
        <v>Giảng viên khoa CNTT</v>
      </c>
      <c r="G191" s="373">
        <v>3.66</v>
      </c>
      <c r="H191" s="367"/>
      <c r="I191" s="368">
        <f t="shared" si="40"/>
        <v>3.66</v>
      </c>
      <c r="J191" s="368"/>
      <c r="K191" s="369">
        <f t="shared" si="41"/>
        <v>3.66</v>
      </c>
      <c r="L191" s="362">
        <f t="shared" si="42"/>
        <v>6588000</v>
      </c>
      <c r="M191" s="366" t="str">
        <f>VLOOKUP(B191,'[13]Gui chi Quynh'!$B$11:$E$400,4,FALSE)</f>
        <v>A4</v>
      </c>
      <c r="N191" s="494">
        <f t="shared" si="30"/>
        <v>6588000</v>
      </c>
      <c r="O191" s="376">
        <v>22</v>
      </c>
      <c r="P191" s="440">
        <f>IFERROR(INDEX('[14]CN BC'!$J$10:$J$276,MATCH(B191,'[14]CN BC'!$H$10:$H$276,0)),"")</f>
        <v>22</v>
      </c>
      <c r="Q191" s="494">
        <f t="shared" si="37"/>
        <v>6588000</v>
      </c>
      <c r="R191" s="392"/>
      <c r="S191" s="362">
        <f t="shared" si="29"/>
        <v>0</v>
      </c>
      <c r="T191" s="385"/>
      <c r="U191" s="362">
        <f t="shared" si="39"/>
        <v>0</v>
      </c>
      <c r="V191" s="584">
        <f t="shared" si="33"/>
        <v>65880</v>
      </c>
      <c r="W191" s="371">
        <f t="shared" si="38"/>
        <v>6588000</v>
      </c>
      <c r="X191" s="977">
        <f t="shared" si="36"/>
        <v>3.66</v>
      </c>
      <c r="Y191" s="491">
        <v>1800000</v>
      </c>
      <c r="Z191" s="663">
        <f t="shared" si="35"/>
        <v>6588000</v>
      </c>
      <c r="AA191" s="568">
        <f t="shared" si="34"/>
        <v>169</v>
      </c>
      <c r="AB191" s="493">
        <f>IFERROR(INDEX('[14]CN BC'!$M$10:$M$276,MATCH(B191,'[14]CN BC'!$H$10:$H$276,0)),"")</f>
        <v>0</v>
      </c>
      <c r="AC191" s="141" t="str">
        <f>VLOOKUP(B191,TH.T4!B189:AC519,28,FALSE)</f>
        <v>CNTT</v>
      </c>
      <c r="AD191" s="108"/>
      <c r="AE191" s="108"/>
      <c r="AF191" s="155"/>
      <c r="AG191" s="108"/>
      <c r="AH191" s="108"/>
      <c r="AI191" s="108"/>
      <c r="AJ191" s="108"/>
      <c r="AK191" s="108"/>
      <c r="AL191" s="108"/>
      <c r="AM191" s="108"/>
      <c r="AN191" s="108"/>
      <c r="AO191" s="108"/>
      <c r="AP191" s="108"/>
    </row>
    <row r="192" spans="1:42" s="372" customFormat="1" ht="25.5" customHeight="1">
      <c r="A192" s="379">
        <f>_xlfn.AGGREGATE(4,7,A$22:A191)+1</f>
        <v>170</v>
      </c>
      <c r="B192" s="374" t="s">
        <v>1520</v>
      </c>
      <c r="C192" s="960" t="s">
        <v>876</v>
      </c>
      <c r="D192" s="434" t="s">
        <v>1756</v>
      </c>
      <c r="E192" s="365" t="s">
        <v>1593</v>
      </c>
      <c r="F192" s="81" t="str">
        <f>VLOOKUP(B192,TH.T4!B190:J520,9,FALSE)</f>
        <v>Giảng viên khoa CNTT</v>
      </c>
      <c r="G192" s="373">
        <v>3.99</v>
      </c>
      <c r="H192" s="367"/>
      <c r="I192" s="368">
        <f t="shared" si="40"/>
        <v>3.99</v>
      </c>
      <c r="J192" s="368">
        <v>0.25</v>
      </c>
      <c r="K192" s="369">
        <f t="shared" si="41"/>
        <v>4.24</v>
      </c>
      <c r="L192" s="362">
        <f t="shared" si="42"/>
        <v>7632000</v>
      </c>
      <c r="M192" s="366" t="str">
        <f>VLOOKUP(B192,'[13]Gui chi Quynh'!$B$11:$E$400,4,FALSE)</f>
        <v>A3</v>
      </c>
      <c r="N192" s="494">
        <f t="shared" si="30"/>
        <v>9158400</v>
      </c>
      <c r="O192" s="376">
        <v>22</v>
      </c>
      <c r="P192" s="440">
        <f>IFERROR(INDEX('[14]CN BC'!$J$10:$J$276,MATCH(B192,'[14]CN BC'!$H$10:$H$276,0)),"")</f>
        <v>22</v>
      </c>
      <c r="Q192" s="494">
        <f t="shared" si="37"/>
        <v>9158400</v>
      </c>
      <c r="R192" s="460"/>
      <c r="S192" s="362">
        <f t="shared" si="29"/>
        <v>0</v>
      </c>
      <c r="T192" s="370"/>
      <c r="U192" s="362">
        <f t="shared" si="39"/>
        <v>0</v>
      </c>
      <c r="V192" s="362">
        <f t="shared" si="33"/>
        <v>76320</v>
      </c>
      <c r="W192" s="371">
        <f t="shared" si="38"/>
        <v>9158400</v>
      </c>
      <c r="X192" s="977">
        <f t="shared" si="36"/>
        <v>5.0880000000000001</v>
      </c>
      <c r="Y192" s="491">
        <v>1800000</v>
      </c>
      <c r="Z192" s="663">
        <f t="shared" si="35"/>
        <v>9158400</v>
      </c>
      <c r="AA192" s="568">
        <f t="shared" si="34"/>
        <v>170</v>
      </c>
      <c r="AB192" s="493">
        <f>IFERROR(INDEX('[14]CN BC'!$M$10:$M$276,MATCH(B192,'[14]CN BC'!$H$10:$H$276,0)),"")</f>
        <v>0</v>
      </c>
      <c r="AC192" s="141" t="str">
        <f>VLOOKUP(B192,TH.T4!B190:AC520,28,FALSE)</f>
        <v>CNTT</v>
      </c>
      <c r="AF192" s="487"/>
    </row>
    <row r="193" spans="1:42" s="372" customFormat="1" ht="28.5" customHeight="1">
      <c r="A193" s="379">
        <f>_xlfn.AGGREGATE(4,7,A$22:A192)+1</f>
        <v>171</v>
      </c>
      <c r="B193" s="374" t="s">
        <v>1467</v>
      </c>
      <c r="C193" s="956" t="s">
        <v>1021</v>
      </c>
      <c r="D193" s="434" t="s">
        <v>1674</v>
      </c>
      <c r="E193" s="423" t="s">
        <v>1343</v>
      </c>
      <c r="F193" s="81" t="str">
        <f>VLOOKUP(B193,TH.T4!B191:J521,9,FALSE)</f>
        <v>Giảng viên khoa CNTT</v>
      </c>
      <c r="G193" s="366">
        <v>4.32</v>
      </c>
      <c r="H193" s="367"/>
      <c r="I193" s="368">
        <f>G193+(G193*H193)</f>
        <v>4.32</v>
      </c>
      <c r="J193" s="368"/>
      <c r="K193" s="369">
        <f>I193+J193</f>
        <v>4.32</v>
      </c>
      <c r="L193" s="362">
        <f>K193*$H$19</f>
        <v>7776000.0000000009</v>
      </c>
      <c r="M193" s="366" t="str">
        <f>VLOOKUP(B193,'[13]Gui chi Quynh'!$B$11:$E$400,4,FALSE)</f>
        <v>A4</v>
      </c>
      <c r="N193" s="494">
        <f t="shared" si="30"/>
        <v>7776000.0000000009</v>
      </c>
      <c r="O193" s="376">
        <v>22</v>
      </c>
      <c r="P193" s="440">
        <f>IFERROR(INDEX('[14]CN BC'!$J$10:$J$276,MATCH(B193,'[14]CN BC'!$H$10:$H$276,0)),"")</f>
        <v>22</v>
      </c>
      <c r="Q193" s="494">
        <f t="shared" si="37"/>
        <v>7776000.0000000009</v>
      </c>
      <c r="R193" s="460"/>
      <c r="S193" s="362">
        <f t="shared" si="29"/>
        <v>0</v>
      </c>
      <c r="T193" s="370"/>
      <c r="U193" s="362">
        <f t="shared" si="39"/>
        <v>0</v>
      </c>
      <c r="V193" s="584">
        <f>IF(OR(M193="A DN",M193="KXL", M193=""),"0",ROUND(K193*0.01*$H$19+R193*1%*$H$19+T193*1%*$H$19,))</f>
        <v>77760</v>
      </c>
      <c r="W193" s="371">
        <f t="shared" si="38"/>
        <v>7776000.0000000009</v>
      </c>
      <c r="X193" s="977">
        <f t="shared" si="36"/>
        <v>4.32</v>
      </c>
      <c r="Y193" s="491">
        <v>1800000</v>
      </c>
      <c r="Z193" s="663">
        <f t="shared" si="35"/>
        <v>7776000.0000000009</v>
      </c>
      <c r="AA193" s="568">
        <f t="shared" si="34"/>
        <v>171</v>
      </c>
      <c r="AB193" s="493">
        <f>IFERROR(INDEX('[14]CN BC'!$M$10:$M$276,MATCH(B193,'[14]CN BC'!$H$10:$H$276,0)),"")</f>
        <v>0</v>
      </c>
      <c r="AC193" s="141" t="str">
        <f>VLOOKUP(B193,TH.T4!B191:AC521,28,FALSE)</f>
        <v>CNTT</v>
      </c>
      <c r="AD193" s="108"/>
      <c r="AE193" s="108"/>
      <c r="AF193" s="155">
        <f>3.68*1490000*1.4</f>
        <v>7676479.9999999991</v>
      </c>
      <c r="AG193" s="108"/>
      <c r="AH193" s="108"/>
      <c r="AI193" s="108"/>
      <c r="AJ193" s="108"/>
      <c r="AK193" s="108"/>
      <c r="AL193" s="108"/>
    </row>
    <row r="194" spans="1:42" s="372" customFormat="1" ht="28.5" customHeight="1">
      <c r="A194" s="379">
        <f>_xlfn.AGGREGATE(4,7,A$22:A193)+1</f>
        <v>172</v>
      </c>
      <c r="B194" s="374" t="s">
        <v>2011</v>
      </c>
      <c r="C194" s="956"/>
      <c r="D194" s="434"/>
      <c r="E194" s="423"/>
      <c r="F194" s="81" t="str">
        <f>VLOOKUP(B194,TH.T4!B192:J522,9,FALSE)</f>
        <v>Giảng viên khoa CNTT</v>
      </c>
      <c r="G194" s="366">
        <v>2.2690000000000001</v>
      </c>
      <c r="H194" s="367"/>
      <c r="I194" s="368">
        <f>G194+(G194*H194)</f>
        <v>2.2690000000000001</v>
      </c>
      <c r="J194" s="368"/>
      <c r="K194" s="369">
        <f>I194+J194</f>
        <v>2.2690000000000001</v>
      </c>
      <c r="L194" s="362">
        <f>K194*$H$19</f>
        <v>4084200</v>
      </c>
      <c r="M194" s="366" t="str">
        <f>VLOOKUP(B194,'[13]Gui chi Quynh'!$B$11:$E$400,4,FALSE)</f>
        <v>A3</v>
      </c>
      <c r="N194" s="494">
        <f t="shared" si="30"/>
        <v>4901040</v>
      </c>
      <c r="O194" s="376">
        <v>22</v>
      </c>
      <c r="P194" s="440">
        <f>IFERROR(INDEX('[14]CN BC'!$J$10:$J$276,MATCH(B194,'[14]CN BC'!$H$10:$H$276,0)),"")</f>
        <v>22</v>
      </c>
      <c r="Q194" s="494">
        <f t="shared" si="37"/>
        <v>4901040</v>
      </c>
      <c r="R194" s="460"/>
      <c r="S194" s="362">
        <f t="shared" si="29"/>
        <v>0</v>
      </c>
      <c r="T194" s="370"/>
      <c r="U194" s="362">
        <f t="shared" si="39"/>
        <v>0</v>
      </c>
      <c r="V194" s="584">
        <f>IF(OR(M194="A DN",M194="KXL", M194=""),"0",ROUND(K194*0.01*$H$19+R194*1%*$H$19+T194*1%*$H$19,))</f>
        <v>40842</v>
      </c>
      <c r="W194" s="371">
        <f t="shared" si="38"/>
        <v>4901040</v>
      </c>
      <c r="X194" s="977">
        <f t="shared" si="36"/>
        <v>2.7227999999999999</v>
      </c>
      <c r="Y194" s="491">
        <v>1800000</v>
      </c>
      <c r="Z194" s="663">
        <f t="shared" si="35"/>
        <v>4901040</v>
      </c>
      <c r="AA194" s="568">
        <f t="shared" si="34"/>
        <v>172</v>
      </c>
      <c r="AB194" s="493">
        <f>IFERROR(INDEX('[14]CN BC'!$M$10:$M$276,MATCH(B194,'[14]CN BC'!$H$10:$H$276,0)),"")</f>
        <v>0</v>
      </c>
      <c r="AC194" s="141" t="str">
        <f>VLOOKUP(B194,TH.T4!B192:AC522,28,FALSE)</f>
        <v>CNTT</v>
      </c>
      <c r="AF194" s="487"/>
    </row>
    <row r="195" spans="1:42" s="372" customFormat="1" ht="28.5" customHeight="1">
      <c r="A195" s="379">
        <f>_xlfn.AGGREGATE(4,7,A$22:A194)+1</f>
        <v>173</v>
      </c>
      <c r="B195" s="374" t="s">
        <v>2017</v>
      </c>
      <c r="C195" s="956"/>
      <c r="D195" s="434"/>
      <c r="E195" s="423"/>
      <c r="F195" s="81" t="str">
        <f>VLOOKUP(B195,TH.T4!B193:J523,9,FALSE)</f>
        <v>Giảng viên khoa CNTT</v>
      </c>
      <c r="G195" s="366">
        <v>1.9890000000000001</v>
      </c>
      <c r="H195" s="367"/>
      <c r="I195" s="368">
        <f>G195+(G195*H195)</f>
        <v>1.9890000000000001</v>
      </c>
      <c r="J195" s="368"/>
      <c r="K195" s="369">
        <f>I195+J195</f>
        <v>1.9890000000000001</v>
      </c>
      <c r="L195" s="362">
        <f>K195*$H$19</f>
        <v>3580200</v>
      </c>
      <c r="M195" s="366" t="str">
        <f>VLOOKUP(B195,'[13]Gui chi Quynh'!$B$11:$E$400,4,FALSE)</f>
        <v>A2</v>
      </c>
      <c r="N195" s="494">
        <f t="shared" si="30"/>
        <v>5012280</v>
      </c>
      <c r="O195" s="376">
        <v>22</v>
      </c>
      <c r="P195" s="440">
        <f>IFERROR(INDEX('[14]CN BC'!$J$10:$J$276,MATCH(B195,'[14]CN BC'!$H$10:$H$276,0)),"")</f>
        <v>22</v>
      </c>
      <c r="Q195" s="494">
        <f t="shared" si="37"/>
        <v>5012280</v>
      </c>
      <c r="R195" s="460"/>
      <c r="S195" s="362">
        <f t="shared" si="29"/>
        <v>0</v>
      </c>
      <c r="T195" s="370"/>
      <c r="U195" s="362">
        <f t="shared" si="39"/>
        <v>0</v>
      </c>
      <c r="V195" s="584">
        <f>IF(OR(M195="A DN",M195="KXL", M195=""),"0",ROUND(K195*0.01*$H$19+R195*1%*$H$19+T195*1%*$H$19,))</f>
        <v>35802</v>
      </c>
      <c r="W195" s="371">
        <f t="shared" si="38"/>
        <v>5012280</v>
      </c>
      <c r="X195" s="977">
        <f t="shared" si="36"/>
        <v>2.7846000000000002</v>
      </c>
      <c r="Y195" s="491">
        <v>1800000</v>
      </c>
      <c r="Z195" s="663">
        <f t="shared" si="35"/>
        <v>5012280</v>
      </c>
      <c r="AA195" s="568">
        <f t="shared" si="34"/>
        <v>173</v>
      </c>
      <c r="AB195" s="493">
        <f>IFERROR(INDEX('[14]CN BC'!$M$10:$M$276,MATCH(B195,'[14]CN BC'!$H$10:$H$276,0)),"")</f>
        <v>0</v>
      </c>
      <c r="AC195" s="141" t="str">
        <f>VLOOKUP(B195,TH.T4!B193:AC523,28,FALSE)</f>
        <v>CNTT</v>
      </c>
      <c r="AF195" s="487"/>
    </row>
    <row r="196" spans="1:42" s="372" customFormat="1" ht="28.5" customHeight="1">
      <c r="A196" s="379">
        <f>_xlfn.AGGREGATE(4,7,A$22:A195)+1</f>
        <v>174</v>
      </c>
      <c r="B196" s="374" t="s">
        <v>1885</v>
      </c>
      <c r="C196" s="960" t="s">
        <v>1041</v>
      </c>
      <c r="D196" s="434" t="s">
        <v>1757</v>
      </c>
      <c r="E196" s="423" t="s">
        <v>1368</v>
      </c>
      <c r="F196" s="81" t="str">
        <f>VLOOKUP(B196,TH.T4!B194:J524,9,FALSE)</f>
        <v>Trưởng khoa Cơ khí</v>
      </c>
      <c r="G196" s="366">
        <v>4.6500000000000004</v>
      </c>
      <c r="H196" s="367"/>
      <c r="I196" s="368">
        <f t="shared" si="40"/>
        <v>4.6500000000000004</v>
      </c>
      <c r="J196" s="368">
        <v>0.45</v>
      </c>
      <c r="K196" s="369">
        <f t="shared" si="41"/>
        <v>5.1000000000000005</v>
      </c>
      <c r="L196" s="362">
        <f t="shared" si="42"/>
        <v>9180000.0000000019</v>
      </c>
      <c r="M196" s="366" t="str">
        <f>VLOOKUP(B196,'[13]Gui chi Quynh'!$B$11:$E$400,4,FALSE)</f>
        <v>A3</v>
      </c>
      <c r="N196" s="494">
        <f t="shared" si="30"/>
        <v>11016000.000000002</v>
      </c>
      <c r="O196" s="376">
        <v>22</v>
      </c>
      <c r="P196" s="440">
        <f>IFERROR(INDEX('[14]CN BC'!$J$10:$J$276,MATCH(B196,'[14]CN BC'!$H$10:$H$276,0)),"")</f>
        <v>26</v>
      </c>
      <c r="Q196" s="494">
        <f t="shared" si="37"/>
        <v>11016000.000000002</v>
      </c>
      <c r="R196" s="392"/>
      <c r="S196" s="362">
        <f t="shared" si="29"/>
        <v>0</v>
      </c>
      <c r="T196" s="370"/>
      <c r="U196" s="362">
        <f t="shared" si="39"/>
        <v>0</v>
      </c>
      <c r="V196" s="584">
        <f>IF(OR(M196="A DN",M196="KXL", M196=""),"0",ROUND(K196*0.01*$H$19+R196*1%*$H$19+T196*1%*$H$19,))</f>
        <v>91800</v>
      </c>
      <c r="W196" s="371">
        <f t="shared" si="38"/>
        <v>11016000.000000002</v>
      </c>
      <c r="X196" s="977">
        <f t="shared" si="36"/>
        <v>6.120000000000001</v>
      </c>
      <c r="Y196" s="491">
        <v>1800000</v>
      </c>
      <c r="Z196" s="663">
        <f t="shared" si="35"/>
        <v>11016000.000000002</v>
      </c>
      <c r="AA196" s="568">
        <f t="shared" si="34"/>
        <v>174</v>
      </c>
      <c r="AB196" s="493">
        <f>IFERROR(INDEX('[14]CN BC'!$M$10:$M$276,MATCH(B196,'[14]CN BC'!$H$10:$H$276,0)),"")</f>
        <v>0</v>
      </c>
      <c r="AC196" s="141" t="str">
        <f>VLOOKUP(B196,TH.T4!B194:AC524,28,FALSE)</f>
        <v>CK</v>
      </c>
      <c r="AD196" s="108"/>
      <c r="AE196" s="108"/>
      <c r="AF196" s="155"/>
      <c r="AG196" s="108"/>
      <c r="AH196" s="108"/>
      <c r="AI196" s="108"/>
      <c r="AJ196" s="108"/>
      <c r="AK196" s="108"/>
      <c r="AL196" s="108"/>
    </row>
    <row r="197" spans="1:42" s="108" customFormat="1" ht="26.25" customHeight="1">
      <c r="A197" s="379">
        <f>_xlfn.AGGREGATE(4,7,A$22:A196)+1</f>
        <v>175</v>
      </c>
      <c r="B197" s="45" t="s">
        <v>1886</v>
      </c>
      <c r="C197" s="961" t="s">
        <v>1032</v>
      </c>
      <c r="D197" s="406" t="s">
        <v>1758</v>
      </c>
      <c r="E197" s="424" t="s">
        <v>1363</v>
      </c>
      <c r="F197" s="81" t="str">
        <f>VLOOKUP(B197,TH.T4!B195:J525,9,FALSE)</f>
        <v>Giảng viên khoa Cơ khí</v>
      </c>
      <c r="G197" s="10">
        <v>4.9800000000000004</v>
      </c>
      <c r="H197" s="157">
        <v>7.0000000000000007E-2</v>
      </c>
      <c r="I197" s="368">
        <f t="shared" si="40"/>
        <v>5.3286000000000007</v>
      </c>
      <c r="J197" s="81"/>
      <c r="K197" s="369">
        <f t="shared" si="41"/>
        <v>5.3286000000000007</v>
      </c>
      <c r="L197" s="362">
        <f t="shared" si="42"/>
        <v>9591480.0000000019</v>
      </c>
      <c r="M197" s="366" t="str">
        <f>VLOOKUP(B197,'[13]Gui chi Quynh'!$B$11:$E$400,4,FALSE)</f>
        <v>A3</v>
      </c>
      <c r="N197" s="494">
        <f t="shared" si="30"/>
        <v>11509776.000000002</v>
      </c>
      <c r="O197" s="376">
        <v>22</v>
      </c>
      <c r="P197" s="440">
        <f>IFERROR(INDEX('[14]CN BC'!$J$10:$J$276,MATCH(B197,'[14]CN BC'!$H$10:$H$276,0)),"")</f>
        <v>22</v>
      </c>
      <c r="Q197" s="494">
        <f t="shared" si="37"/>
        <v>11509776.000000002</v>
      </c>
      <c r="R197" s="392"/>
      <c r="S197" s="362">
        <f t="shared" si="29"/>
        <v>0</v>
      </c>
      <c r="T197" s="385"/>
      <c r="U197" s="362">
        <f t="shared" si="39"/>
        <v>0</v>
      </c>
      <c r="V197" s="584">
        <f t="shared" si="33"/>
        <v>95915</v>
      </c>
      <c r="W197" s="371">
        <f t="shared" si="38"/>
        <v>11509776.000000002</v>
      </c>
      <c r="X197" s="977">
        <f t="shared" si="36"/>
        <v>6.3943200000000013</v>
      </c>
      <c r="Y197" s="491">
        <v>1800000</v>
      </c>
      <c r="Z197" s="663">
        <f t="shared" si="35"/>
        <v>11509776.000000002</v>
      </c>
      <c r="AA197" s="568">
        <f t="shared" si="34"/>
        <v>175</v>
      </c>
      <c r="AB197" s="493">
        <f>IFERROR(INDEX('[14]CN BC'!$M$10:$M$276,MATCH(B197,'[14]CN BC'!$H$10:$H$276,0)),"")</f>
        <v>0</v>
      </c>
      <c r="AC197" s="141" t="str">
        <f>VLOOKUP(B197,TH.T4!B195:AC525,28,FALSE)</f>
        <v>CK</v>
      </c>
      <c r="AF197" s="155"/>
    </row>
    <row r="198" spans="1:42" s="372" customFormat="1" ht="31.5" customHeight="1">
      <c r="A198" s="379">
        <f>_xlfn.AGGREGATE(4,7,A$22:A197)+1</f>
        <v>176</v>
      </c>
      <c r="B198" s="374" t="s">
        <v>1887</v>
      </c>
      <c r="C198" s="960" t="s">
        <v>884</v>
      </c>
      <c r="D198" s="434" t="s">
        <v>1759</v>
      </c>
      <c r="E198" s="423" t="s">
        <v>1364</v>
      </c>
      <c r="F198" s="81" t="str">
        <f>VLOOKUP(B198,TH.T4!B196:J526,9,FALSE)</f>
        <v>Giảng viên khoa Cơ khí</v>
      </c>
      <c r="G198" s="366">
        <v>4.9800000000000004</v>
      </c>
      <c r="H198" s="367">
        <v>7.0000000000000007E-2</v>
      </c>
      <c r="I198" s="368">
        <f t="shared" si="40"/>
        <v>5.3286000000000007</v>
      </c>
      <c r="J198" s="368"/>
      <c r="K198" s="369">
        <f t="shared" si="41"/>
        <v>5.3286000000000007</v>
      </c>
      <c r="L198" s="362">
        <f t="shared" si="42"/>
        <v>9591480.0000000019</v>
      </c>
      <c r="M198" s="366" t="str">
        <f>VLOOKUP(B198,'[13]Gui chi Quynh'!$B$11:$E$400,4,FALSE)</f>
        <v>A1</v>
      </c>
      <c r="N198" s="494">
        <f t="shared" si="30"/>
        <v>15346368.000000004</v>
      </c>
      <c r="O198" s="376">
        <v>22</v>
      </c>
      <c r="P198" s="440">
        <f>IFERROR(INDEX('[14]CN BC'!$J$10:$J$276,MATCH(B198,'[14]CN BC'!$H$10:$H$276,0)),"")</f>
        <v>22</v>
      </c>
      <c r="Q198" s="494">
        <f t="shared" si="37"/>
        <v>15346368.000000004</v>
      </c>
      <c r="R198" s="392"/>
      <c r="S198" s="362">
        <f t="shared" si="29"/>
        <v>0</v>
      </c>
      <c r="T198" s="370"/>
      <c r="U198" s="362">
        <f t="shared" si="39"/>
        <v>0</v>
      </c>
      <c r="V198" s="584">
        <f t="shared" si="33"/>
        <v>95915</v>
      </c>
      <c r="W198" s="371">
        <f t="shared" si="38"/>
        <v>15346368.000000004</v>
      </c>
      <c r="X198" s="977">
        <f t="shared" si="36"/>
        <v>8.5257600000000018</v>
      </c>
      <c r="Y198" s="491">
        <v>1800000</v>
      </c>
      <c r="Z198" s="663">
        <f t="shared" si="35"/>
        <v>15346368.000000004</v>
      </c>
      <c r="AA198" s="568">
        <f t="shared" si="34"/>
        <v>176</v>
      </c>
      <c r="AB198" s="493">
        <f>IFERROR(INDEX('[14]CN BC'!$M$10:$M$276,MATCH(B198,'[14]CN BC'!$H$10:$H$276,0)),"")</f>
        <v>0</v>
      </c>
      <c r="AC198" s="141" t="str">
        <f>VLOOKUP(B198,TH.T4!B196:AC526,28,FALSE)</f>
        <v>CK</v>
      </c>
      <c r="AD198" s="108"/>
      <c r="AE198" s="108"/>
      <c r="AF198" s="155"/>
      <c r="AG198" s="108"/>
      <c r="AH198" s="108"/>
      <c r="AI198" s="108"/>
      <c r="AJ198" s="108"/>
      <c r="AK198" s="108"/>
      <c r="AL198" s="108"/>
    </row>
    <row r="199" spans="1:42" s="372" customFormat="1" ht="25.5" customHeight="1">
      <c r="A199" s="379">
        <f>_xlfn.AGGREGATE(4,7,A$22:A198)+1</f>
        <v>177</v>
      </c>
      <c r="B199" s="374" t="s">
        <v>1888</v>
      </c>
      <c r="C199" s="960" t="s">
        <v>1043</v>
      </c>
      <c r="D199" s="434" t="s">
        <v>1760</v>
      </c>
      <c r="E199" s="423" t="s">
        <v>1369</v>
      </c>
      <c r="F199" s="81" t="str">
        <f>VLOOKUP(B199,TH.T4!B197:J527,9,FALSE)</f>
        <v>Giảng viên khoa Cơ khí</v>
      </c>
      <c r="G199" s="366">
        <v>4.32</v>
      </c>
      <c r="H199" s="367"/>
      <c r="I199" s="368">
        <f t="shared" si="40"/>
        <v>4.32</v>
      </c>
      <c r="J199" s="368"/>
      <c r="K199" s="369">
        <f t="shared" si="41"/>
        <v>4.32</v>
      </c>
      <c r="L199" s="362">
        <f t="shared" si="42"/>
        <v>7776000.0000000009</v>
      </c>
      <c r="M199" s="366" t="str">
        <f>VLOOKUP(B199,'[13]Gui chi Quynh'!$B$11:$E$400,4,FALSE)</f>
        <v>A4</v>
      </c>
      <c r="N199" s="494">
        <f t="shared" si="30"/>
        <v>7776000.0000000009</v>
      </c>
      <c r="O199" s="376">
        <v>22</v>
      </c>
      <c r="P199" s="440">
        <f>IFERROR(INDEX('[14]CN BC'!$J$10:$J$276,MATCH(B199,'[14]CN BC'!$H$10:$H$276,0)),"")</f>
        <v>22</v>
      </c>
      <c r="Q199" s="494">
        <f t="shared" si="37"/>
        <v>7776000.0000000009</v>
      </c>
      <c r="R199" s="460"/>
      <c r="S199" s="362">
        <f t="shared" si="29"/>
        <v>0</v>
      </c>
      <c r="T199" s="370"/>
      <c r="U199" s="362">
        <f t="shared" si="39"/>
        <v>0</v>
      </c>
      <c r="V199" s="584">
        <f t="shared" si="33"/>
        <v>77760</v>
      </c>
      <c r="W199" s="371">
        <f t="shared" si="38"/>
        <v>7776000.0000000009</v>
      </c>
      <c r="X199" s="977">
        <f t="shared" si="36"/>
        <v>4.32</v>
      </c>
      <c r="Y199" s="491">
        <v>1800000</v>
      </c>
      <c r="Z199" s="663">
        <f t="shared" si="35"/>
        <v>7776000.0000000009</v>
      </c>
      <c r="AA199" s="568">
        <f t="shared" si="34"/>
        <v>177</v>
      </c>
      <c r="AB199" s="493">
        <f>IFERROR(INDEX('[14]CN BC'!$M$10:$M$276,MATCH(B199,'[14]CN BC'!$H$10:$H$276,0)),"")</f>
        <v>0</v>
      </c>
      <c r="AC199" s="141" t="str">
        <f>VLOOKUP(B199,TH.T4!B197:AC527,28,FALSE)</f>
        <v>CK</v>
      </c>
      <c r="AD199" s="108"/>
      <c r="AE199" s="108"/>
      <c r="AF199" s="155"/>
      <c r="AG199" s="108"/>
      <c r="AH199" s="108"/>
      <c r="AI199" s="108"/>
      <c r="AJ199" s="108"/>
      <c r="AK199" s="108"/>
      <c r="AL199" s="108"/>
    </row>
    <row r="200" spans="1:42" s="372" customFormat="1" ht="25.5" customHeight="1">
      <c r="A200" s="379">
        <f>_xlfn.AGGREGATE(4,7,A$22:A199)+1</f>
        <v>178</v>
      </c>
      <c r="B200" s="374" t="s">
        <v>1889</v>
      </c>
      <c r="C200" s="960" t="s">
        <v>1028</v>
      </c>
      <c r="D200" s="434" t="s">
        <v>1761</v>
      </c>
      <c r="E200" s="423" t="s">
        <v>42</v>
      </c>
      <c r="F200" s="81" t="str">
        <f>VLOOKUP(B200,TH.T4!B198:J528,9,FALSE)</f>
        <v>Giảng viên khoa Cơ khí</v>
      </c>
      <c r="G200" s="366">
        <v>4.9800000000000004</v>
      </c>
      <c r="H200" s="367">
        <v>0.15</v>
      </c>
      <c r="I200" s="368">
        <f t="shared" si="40"/>
        <v>5.7270000000000003</v>
      </c>
      <c r="J200" s="368"/>
      <c r="K200" s="369">
        <f t="shared" si="41"/>
        <v>5.7270000000000003</v>
      </c>
      <c r="L200" s="362">
        <f t="shared" si="42"/>
        <v>10308600</v>
      </c>
      <c r="M200" s="366" t="str">
        <f>VLOOKUP(B200,'[13]Gui chi Quynh'!$B$11:$E$400,4,FALSE)</f>
        <v>A4</v>
      </c>
      <c r="N200" s="494">
        <f t="shared" si="30"/>
        <v>10308600</v>
      </c>
      <c r="O200" s="376">
        <v>22</v>
      </c>
      <c r="P200" s="440">
        <f>IFERROR(INDEX('[14]CN BC'!$J$10:$J$276,MATCH(B200,'[14]CN BC'!$H$10:$H$276,0)),"")</f>
        <v>22</v>
      </c>
      <c r="Q200" s="494">
        <f t="shared" si="37"/>
        <v>10308600</v>
      </c>
      <c r="R200" s="460"/>
      <c r="S200" s="362">
        <f t="shared" si="29"/>
        <v>0</v>
      </c>
      <c r="T200" s="370"/>
      <c r="U200" s="362">
        <f t="shared" si="39"/>
        <v>0</v>
      </c>
      <c r="V200" s="584">
        <f t="shared" si="33"/>
        <v>103086</v>
      </c>
      <c r="W200" s="371">
        <f t="shared" si="38"/>
        <v>10308600</v>
      </c>
      <c r="X200" s="977">
        <f t="shared" si="36"/>
        <v>5.7270000000000003</v>
      </c>
      <c r="Y200" s="491">
        <v>1800000</v>
      </c>
      <c r="Z200" s="663">
        <f t="shared" si="35"/>
        <v>10308600</v>
      </c>
      <c r="AA200" s="568">
        <f t="shared" si="34"/>
        <v>178</v>
      </c>
      <c r="AB200" s="493">
        <f>IFERROR(INDEX('[14]CN BC'!$M$10:$M$276,MATCH(B200,'[14]CN BC'!$H$10:$H$276,0)),"")</f>
        <v>0</v>
      </c>
      <c r="AC200" s="141" t="str">
        <f>VLOOKUP(B200,TH.T4!B198:AC528,28,FALSE)</f>
        <v>CK</v>
      </c>
      <c r="AD200" s="108"/>
      <c r="AE200" s="108"/>
      <c r="AF200" s="155"/>
      <c r="AG200" s="108"/>
      <c r="AH200" s="108"/>
      <c r="AI200" s="108"/>
      <c r="AJ200" s="108"/>
      <c r="AK200" s="108"/>
      <c r="AL200" s="108"/>
    </row>
    <row r="201" spans="1:42" s="372" customFormat="1" ht="25.5" customHeight="1">
      <c r="A201" s="379">
        <f>_xlfn.AGGREGATE(4,7,A$22:A200)+1</f>
        <v>179</v>
      </c>
      <c r="B201" s="374" t="s">
        <v>1890</v>
      </c>
      <c r="C201" s="960" t="s">
        <v>1039</v>
      </c>
      <c r="D201" s="434" t="s">
        <v>1762</v>
      </c>
      <c r="E201" s="423" t="s">
        <v>1367</v>
      </c>
      <c r="F201" s="81" t="str">
        <f>VLOOKUP(B201,TH.T4!B199:J529,9,FALSE)</f>
        <v>Giảng viên khoa Cơ khí</v>
      </c>
      <c r="G201" s="366">
        <v>4.6500000000000004</v>
      </c>
      <c r="H201" s="367"/>
      <c r="I201" s="368">
        <f t="shared" si="40"/>
        <v>4.6500000000000004</v>
      </c>
      <c r="J201" s="368">
        <f>0.25</f>
        <v>0.25</v>
      </c>
      <c r="K201" s="369">
        <f t="shared" si="41"/>
        <v>4.9000000000000004</v>
      </c>
      <c r="L201" s="362">
        <f t="shared" si="42"/>
        <v>8820000</v>
      </c>
      <c r="M201" s="366" t="str">
        <f>VLOOKUP(B201,'[13]Gui chi Quynh'!$B$11:$E$400,4,FALSE)</f>
        <v>A2</v>
      </c>
      <c r="N201" s="494">
        <f t="shared" si="30"/>
        <v>12348000</v>
      </c>
      <c r="O201" s="376">
        <v>22</v>
      </c>
      <c r="P201" s="440">
        <f>IFERROR(INDEX('[14]CN BC'!$J$10:$J$276,MATCH(B201,'[14]CN BC'!$H$10:$H$276,0)),"")</f>
        <v>22</v>
      </c>
      <c r="Q201" s="494">
        <f t="shared" si="37"/>
        <v>12348000</v>
      </c>
      <c r="R201" s="460"/>
      <c r="S201" s="362">
        <f t="shared" si="29"/>
        <v>0</v>
      </c>
      <c r="T201" s="370"/>
      <c r="U201" s="362">
        <f t="shared" si="39"/>
        <v>0</v>
      </c>
      <c r="V201" s="584">
        <f t="shared" si="33"/>
        <v>88200</v>
      </c>
      <c r="W201" s="371">
        <f t="shared" si="38"/>
        <v>12348000</v>
      </c>
      <c r="X201" s="977">
        <f t="shared" si="36"/>
        <v>6.86</v>
      </c>
      <c r="Y201" s="491">
        <v>1800000</v>
      </c>
      <c r="Z201" s="663">
        <f t="shared" si="35"/>
        <v>12348000</v>
      </c>
      <c r="AA201" s="568">
        <f t="shared" si="34"/>
        <v>179</v>
      </c>
      <c r="AB201" s="493">
        <f>IFERROR(INDEX('[14]CN BC'!$M$10:$M$276,MATCH(B201,'[14]CN BC'!$H$10:$H$276,0)),"")</f>
        <v>0</v>
      </c>
      <c r="AC201" s="141" t="str">
        <f>VLOOKUP(B201,TH.T4!B199:AC529,28,FALSE)</f>
        <v>CK</v>
      </c>
      <c r="AD201" s="108"/>
      <c r="AE201" s="108"/>
      <c r="AF201" s="155"/>
      <c r="AG201" s="108"/>
      <c r="AH201" s="108"/>
      <c r="AI201" s="108"/>
      <c r="AJ201" s="108"/>
      <c r="AK201" s="108"/>
      <c r="AL201" s="108"/>
    </row>
    <row r="202" spans="1:42" s="372" customFormat="1" ht="25.5" customHeight="1">
      <c r="A202" s="379">
        <f>_xlfn.AGGREGATE(4,7,A$22:A201)+1</f>
        <v>180</v>
      </c>
      <c r="B202" s="374" t="s">
        <v>1891</v>
      </c>
      <c r="C202" s="960" t="s">
        <v>1000</v>
      </c>
      <c r="D202" s="434" t="s">
        <v>1763</v>
      </c>
      <c r="E202" s="423" t="s">
        <v>1377</v>
      </c>
      <c r="F202" s="81" t="str">
        <f>VLOOKUP(B202,TH.T4!B200:J530,9,FALSE)</f>
        <v>Giảng viên khoa Cơ khí</v>
      </c>
      <c r="G202" s="366">
        <v>4.9800000000000004</v>
      </c>
      <c r="H202" s="367">
        <v>0.06</v>
      </c>
      <c r="I202" s="368">
        <f t="shared" si="40"/>
        <v>5.2788000000000004</v>
      </c>
      <c r="J202" s="368">
        <v>0.25</v>
      </c>
      <c r="K202" s="369">
        <f t="shared" si="41"/>
        <v>5.5288000000000004</v>
      </c>
      <c r="L202" s="362">
        <f t="shared" si="42"/>
        <v>9951840</v>
      </c>
      <c r="M202" s="366" t="str">
        <f>VLOOKUP(B202,'[13]Gui chi Quynh'!$B$11:$E$400,4,FALSE)</f>
        <v>A3</v>
      </c>
      <c r="N202" s="494">
        <f t="shared" si="30"/>
        <v>11942208</v>
      </c>
      <c r="O202" s="376">
        <v>22</v>
      </c>
      <c r="P202" s="440">
        <f>IFERROR(INDEX('[14]CN BC'!$J$10:$J$276,MATCH(B202,'[14]CN BC'!$H$10:$H$276,0)),"")</f>
        <v>22</v>
      </c>
      <c r="Q202" s="494">
        <f t="shared" si="37"/>
        <v>11942208</v>
      </c>
      <c r="R202" s="392"/>
      <c r="S202" s="362">
        <f t="shared" si="29"/>
        <v>0</v>
      </c>
      <c r="T202" s="370"/>
      <c r="U202" s="362">
        <f t="shared" si="39"/>
        <v>0</v>
      </c>
      <c r="V202" s="584">
        <f t="shared" si="33"/>
        <v>99518</v>
      </c>
      <c r="W202" s="371">
        <f t="shared" si="38"/>
        <v>11942208</v>
      </c>
      <c r="X202" s="977">
        <f t="shared" si="36"/>
        <v>6.6345599999999996</v>
      </c>
      <c r="Y202" s="491">
        <v>1800000</v>
      </c>
      <c r="Z202" s="663">
        <f t="shared" si="35"/>
        <v>11942208</v>
      </c>
      <c r="AA202" s="568">
        <f t="shared" si="34"/>
        <v>180</v>
      </c>
      <c r="AB202" s="493">
        <f>IFERROR(INDEX('[14]CN BC'!$M$10:$M$276,MATCH(B202,'[14]CN BC'!$H$10:$H$276,0)),"")</f>
        <v>0</v>
      </c>
      <c r="AC202" s="141" t="str">
        <f>VLOOKUP(B202,TH.T4!B200:AC530,28,FALSE)</f>
        <v>CK</v>
      </c>
      <c r="AD202" s="108"/>
      <c r="AE202" s="108"/>
      <c r="AF202" s="155"/>
      <c r="AG202" s="108"/>
      <c r="AH202" s="108"/>
      <c r="AI202" s="108"/>
      <c r="AJ202" s="108"/>
      <c r="AK202" s="108"/>
      <c r="AL202" s="108"/>
    </row>
    <row r="203" spans="1:42" s="372" customFormat="1" ht="25.5" customHeight="1">
      <c r="A203" s="379">
        <f>_xlfn.AGGREGATE(4,7,A$22:A202)+1</f>
        <v>181</v>
      </c>
      <c r="B203" s="374" t="s">
        <v>1525</v>
      </c>
      <c r="C203" s="960" t="s">
        <v>1009</v>
      </c>
      <c r="D203" s="434" t="s">
        <v>1764</v>
      </c>
      <c r="E203" s="423" t="s">
        <v>1372</v>
      </c>
      <c r="F203" s="81" t="str">
        <f>VLOOKUP(B203,TH.T4!B201:J531,9,FALSE)</f>
        <v>Giảng viên khoa Cơ khí</v>
      </c>
      <c r="G203" s="373">
        <v>3.99</v>
      </c>
      <c r="H203" s="367"/>
      <c r="I203" s="368">
        <f t="shared" si="40"/>
        <v>3.99</v>
      </c>
      <c r="J203" s="368"/>
      <c r="K203" s="369">
        <f t="shared" si="41"/>
        <v>3.99</v>
      </c>
      <c r="L203" s="362">
        <f t="shared" si="42"/>
        <v>7182000</v>
      </c>
      <c r="M203" s="366" t="str">
        <f>VLOOKUP(B203,'[13]Gui chi Quynh'!$B$11:$E$400,4,FALSE)</f>
        <v>A3</v>
      </c>
      <c r="N203" s="494">
        <f t="shared" si="30"/>
        <v>8618400</v>
      </c>
      <c r="O203" s="376">
        <v>22</v>
      </c>
      <c r="P203" s="440">
        <f>IFERROR(INDEX('[14]CN BC'!$J$10:$J$276,MATCH(B203,'[14]CN BC'!$H$10:$H$276,0)),"")</f>
        <v>22</v>
      </c>
      <c r="Q203" s="494">
        <f t="shared" si="37"/>
        <v>8618400</v>
      </c>
      <c r="R203" s="460"/>
      <c r="S203" s="362">
        <f t="shared" si="29"/>
        <v>0</v>
      </c>
      <c r="T203" s="370"/>
      <c r="U203" s="362">
        <f t="shared" si="39"/>
        <v>0</v>
      </c>
      <c r="V203" s="584">
        <f t="shared" si="33"/>
        <v>71820</v>
      </c>
      <c r="W203" s="371">
        <f t="shared" si="38"/>
        <v>8618400</v>
      </c>
      <c r="X203" s="977">
        <f t="shared" si="36"/>
        <v>4.7880000000000003</v>
      </c>
      <c r="Y203" s="491">
        <v>1800000</v>
      </c>
      <c r="Z203" s="663">
        <f t="shared" si="35"/>
        <v>8618400</v>
      </c>
      <c r="AA203" s="568">
        <f t="shared" si="34"/>
        <v>181</v>
      </c>
      <c r="AB203" s="493">
        <f>IFERROR(INDEX('[14]CN BC'!$M$10:$M$276,MATCH(B203,'[14]CN BC'!$H$10:$H$276,0)),"")</f>
        <v>0</v>
      </c>
      <c r="AC203" s="141" t="str">
        <f>VLOOKUP(B203,TH.T4!B201:AC531,28,FALSE)</f>
        <v>CK</v>
      </c>
      <c r="AD203" s="471"/>
      <c r="AE203" s="108"/>
      <c r="AF203" s="155"/>
      <c r="AG203" s="108"/>
      <c r="AH203" s="108"/>
      <c r="AI203" s="108"/>
      <c r="AJ203" s="108"/>
      <c r="AK203" s="108"/>
      <c r="AL203" s="108"/>
    </row>
    <row r="204" spans="1:42" s="372" customFormat="1" ht="25.5" customHeight="1">
      <c r="A204" s="379">
        <f>_xlfn.AGGREGATE(4,7,A$22:A203)+1</f>
        <v>182</v>
      </c>
      <c r="B204" s="374" t="s">
        <v>1892</v>
      </c>
      <c r="C204" s="960" t="s">
        <v>920</v>
      </c>
      <c r="D204" s="406" t="s">
        <v>1765</v>
      </c>
      <c r="E204" s="423" t="s">
        <v>1374</v>
      </c>
      <c r="F204" s="81" t="str">
        <f>VLOOKUP(B204,TH.T4!B202:J532,9,FALSE)</f>
        <v>Giảng viên khoa Cơ khí</v>
      </c>
      <c r="G204" s="366">
        <v>4.9800000000000004</v>
      </c>
      <c r="H204" s="367">
        <v>0.05</v>
      </c>
      <c r="I204" s="368">
        <f t="shared" si="40"/>
        <v>5.2290000000000001</v>
      </c>
      <c r="J204" s="368"/>
      <c r="K204" s="369">
        <f t="shared" si="41"/>
        <v>5.2290000000000001</v>
      </c>
      <c r="L204" s="362">
        <f t="shared" si="42"/>
        <v>9412200</v>
      </c>
      <c r="M204" s="366" t="str">
        <f>VLOOKUP(B204,'[13]Gui chi Quynh'!$B$11:$E$400,4,FALSE)</f>
        <v>A4</v>
      </c>
      <c r="N204" s="494">
        <f t="shared" si="30"/>
        <v>9412200</v>
      </c>
      <c r="O204" s="376">
        <v>22</v>
      </c>
      <c r="P204" s="440">
        <f>IFERROR(INDEX('[14]CN BC'!$J$10:$J$276,MATCH(B204,'[14]CN BC'!$H$10:$H$276,0)),"")</f>
        <v>22</v>
      </c>
      <c r="Q204" s="494">
        <f t="shared" si="37"/>
        <v>9412200</v>
      </c>
      <c r="R204" s="392"/>
      <c r="S204" s="362">
        <f t="shared" si="29"/>
        <v>0</v>
      </c>
      <c r="T204" s="370"/>
      <c r="U204" s="362">
        <f t="shared" si="39"/>
        <v>0</v>
      </c>
      <c r="V204" s="584">
        <f t="shared" si="33"/>
        <v>94122</v>
      </c>
      <c r="W204" s="371">
        <f t="shared" si="38"/>
        <v>9412200</v>
      </c>
      <c r="X204" s="977">
        <f t="shared" si="36"/>
        <v>5.2290000000000001</v>
      </c>
      <c r="Y204" s="491">
        <v>1800000</v>
      </c>
      <c r="Z204" s="663">
        <f t="shared" si="35"/>
        <v>9412200</v>
      </c>
      <c r="AA204" s="568">
        <f t="shared" si="34"/>
        <v>182</v>
      </c>
      <c r="AB204" s="493">
        <f>IFERROR(INDEX('[14]CN BC'!$M$10:$M$276,MATCH(B204,'[14]CN BC'!$H$10:$H$276,0)),"")</f>
        <v>0</v>
      </c>
      <c r="AC204" s="141" t="str">
        <f>VLOOKUP(B204,TH.T4!B202:AC532,28,FALSE)</f>
        <v>CK</v>
      </c>
      <c r="AD204" s="108"/>
      <c r="AE204" s="108"/>
      <c r="AF204" s="155"/>
      <c r="AG204" s="108"/>
      <c r="AH204" s="108"/>
      <c r="AI204" s="108"/>
      <c r="AJ204" s="108"/>
      <c r="AK204" s="108"/>
      <c r="AL204" s="108"/>
      <c r="AM204" s="108"/>
      <c r="AN204" s="108"/>
      <c r="AO204" s="108"/>
      <c r="AP204" s="108"/>
    </row>
    <row r="205" spans="1:42" s="372" customFormat="1" ht="25.5" customHeight="1">
      <c r="A205" s="379">
        <f>_xlfn.AGGREGATE(4,7,A$22:A204)+1</f>
        <v>183</v>
      </c>
      <c r="B205" s="374" t="s">
        <v>1526</v>
      </c>
      <c r="C205" s="960" t="s">
        <v>1214</v>
      </c>
      <c r="D205" s="434" t="s">
        <v>1766</v>
      </c>
      <c r="E205" s="194" t="s">
        <v>1939</v>
      </c>
      <c r="F205" s="81" t="str">
        <f>VLOOKUP(B205,TH.T4!B203:J533,9,FALSE)</f>
        <v>Phó Trưởng khoa Cơ khí</v>
      </c>
      <c r="G205" s="373">
        <v>3.66</v>
      </c>
      <c r="H205" s="367"/>
      <c r="I205" s="368">
        <f t="shared" si="40"/>
        <v>3.66</v>
      </c>
      <c r="J205" s="368">
        <v>0.35</v>
      </c>
      <c r="K205" s="369">
        <f t="shared" si="41"/>
        <v>4.01</v>
      </c>
      <c r="L205" s="362">
        <f t="shared" si="42"/>
        <v>7218000</v>
      </c>
      <c r="M205" s="366" t="str">
        <f>VLOOKUP(B205,'[13]Gui chi Quynh'!$B$11:$E$400,4,FALSE)</f>
        <v>A3</v>
      </c>
      <c r="N205" s="494">
        <f t="shared" si="30"/>
        <v>8661600</v>
      </c>
      <c r="O205" s="376">
        <v>22</v>
      </c>
      <c r="P205" s="440">
        <f>IFERROR(INDEX('[14]CN BC'!$J$10:$J$276,MATCH(B205,'[14]CN BC'!$H$10:$H$276,0)),"")</f>
        <v>22</v>
      </c>
      <c r="Q205" s="494">
        <f t="shared" si="37"/>
        <v>8661600</v>
      </c>
      <c r="R205" s="460"/>
      <c r="S205" s="362">
        <f t="shared" si="29"/>
        <v>0</v>
      </c>
      <c r="T205" s="370"/>
      <c r="U205" s="362">
        <f t="shared" si="39"/>
        <v>0</v>
      </c>
      <c r="V205" s="584">
        <f t="shared" si="33"/>
        <v>72180</v>
      </c>
      <c r="W205" s="371">
        <f t="shared" si="38"/>
        <v>8661600</v>
      </c>
      <c r="X205" s="977">
        <f t="shared" si="36"/>
        <v>4.8120000000000003</v>
      </c>
      <c r="Y205" s="491">
        <v>1800000</v>
      </c>
      <c r="Z205" s="663">
        <f t="shared" si="35"/>
        <v>8661600</v>
      </c>
      <c r="AA205" s="568">
        <f t="shared" si="34"/>
        <v>183</v>
      </c>
      <c r="AB205" s="493">
        <f>IFERROR(INDEX('[14]CN BC'!$M$10:$M$276,MATCH(B205,'[14]CN BC'!$H$10:$H$276,0)),"")</f>
        <v>0</v>
      </c>
      <c r="AC205" s="141" t="str">
        <f>VLOOKUP(B205,TH.T4!B203:AC533,28,FALSE)</f>
        <v>CK</v>
      </c>
      <c r="AD205" s="108"/>
      <c r="AE205" s="108"/>
      <c r="AF205" s="155"/>
      <c r="AG205" s="108"/>
      <c r="AH205" s="108"/>
      <c r="AI205" s="108"/>
      <c r="AJ205" s="108"/>
      <c r="AK205" s="108"/>
      <c r="AL205" s="108"/>
    </row>
    <row r="206" spans="1:42" s="372" customFormat="1" ht="26.25" customHeight="1">
      <c r="A206" s="379">
        <f>_xlfn.AGGREGATE(4,7,A$22:A205)+1</f>
        <v>184</v>
      </c>
      <c r="B206" s="374" t="s">
        <v>1527</v>
      </c>
      <c r="C206" s="960" t="s">
        <v>1009</v>
      </c>
      <c r="D206" s="434" t="s">
        <v>1767</v>
      </c>
      <c r="E206" s="423" t="s">
        <v>1379</v>
      </c>
      <c r="F206" s="81" t="str">
        <f>VLOOKUP(B206,TH.T4!B204:J534,9,FALSE)</f>
        <v>Giảng viên khoa Cơ khí</v>
      </c>
      <c r="G206" s="373">
        <v>3.66</v>
      </c>
      <c r="H206" s="367"/>
      <c r="I206" s="368">
        <f t="shared" si="40"/>
        <v>3.66</v>
      </c>
      <c r="J206" s="368"/>
      <c r="K206" s="369">
        <f t="shared" si="41"/>
        <v>3.66</v>
      </c>
      <c r="L206" s="362">
        <f t="shared" si="42"/>
        <v>6588000</v>
      </c>
      <c r="M206" s="366" t="str">
        <f>VLOOKUP(B206,'[13]Gui chi Quynh'!$B$11:$E$400,4,FALSE)</f>
        <v>A3</v>
      </c>
      <c r="N206" s="494">
        <f t="shared" si="30"/>
        <v>7905600</v>
      </c>
      <c r="O206" s="376">
        <v>22</v>
      </c>
      <c r="P206" s="440">
        <f>IFERROR(INDEX('[14]CN BC'!$J$10:$J$276,MATCH(B206,'[14]CN BC'!$H$10:$H$276,0)),"")</f>
        <v>22</v>
      </c>
      <c r="Q206" s="494">
        <f t="shared" si="37"/>
        <v>7905600</v>
      </c>
      <c r="R206" s="460"/>
      <c r="S206" s="362">
        <f t="shared" si="29"/>
        <v>0</v>
      </c>
      <c r="T206" s="370"/>
      <c r="U206" s="362">
        <f t="shared" si="39"/>
        <v>0</v>
      </c>
      <c r="V206" s="584">
        <f t="shared" si="33"/>
        <v>65880</v>
      </c>
      <c r="W206" s="371">
        <f t="shared" si="38"/>
        <v>7905600</v>
      </c>
      <c r="X206" s="977">
        <f t="shared" si="36"/>
        <v>4.3920000000000003</v>
      </c>
      <c r="Y206" s="491">
        <v>1800000</v>
      </c>
      <c r="Z206" s="663">
        <f t="shared" si="35"/>
        <v>7905600.0000000009</v>
      </c>
      <c r="AA206" s="568">
        <f t="shared" si="34"/>
        <v>184</v>
      </c>
      <c r="AB206" s="493">
        <f>IFERROR(INDEX('[14]CN BC'!$M$10:$M$276,MATCH(B206,'[14]CN BC'!$H$10:$H$276,0)),"")</f>
        <v>0</v>
      </c>
      <c r="AC206" s="141" t="str">
        <f>VLOOKUP(B206,TH.T4!B204:AC534,28,FALSE)</f>
        <v>CK</v>
      </c>
      <c r="AD206" s="108"/>
      <c r="AE206" s="108"/>
      <c r="AF206" s="487"/>
    </row>
    <row r="207" spans="1:42" s="372" customFormat="1" ht="27.75" customHeight="1">
      <c r="A207" s="379">
        <f>_xlfn.AGGREGATE(4,7,A$22:A206)+1</f>
        <v>185</v>
      </c>
      <c r="B207" s="374" t="s">
        <v>1893</v>
      </c>
      <c r="C207" s="960" t="s">
        <v>891</v>
      </c>
      <c r="D207" s="434" t="s">
        <v>1768</v>
      </c>
      <c r="E207" s="423" t="s">
        <v>387</v>
      </c>
      <c r="F207" s="81" t="str">
        <f>VLOOKUP(B207,TH.T4!B205:J535,9,FALSE)</f>
        <v>Giảng viên khoa Cơ khí</v>
      </c>
      <c r="G207" s="373">
        <v>3.66</v>
      </c>
      <c r="H207" s="367"/>
      <c r="I207" s="368">
        <f t="shared" si="40"/>
        <v>3.66</v>
      </c>
      <c r="J207" s="368"/>
      <c r="K207" s="369">
        <f t="shared" si="41"/>
        <v>3.66</v>
      </c>
      <c r="L207" s="362">
        <f t="shared" si="42"/>
        <v>6588000</v>
      </c>
      <c r="M207" s="366" t="str">
        <f>VLOOKUP(B207,'[13]Gui chi Quynh'!$B$11:$E$400,4,FALSE)</f>
        <v>A2</v>
      </c>
      <c r="N207" s="494">
        <f t="shared" si="30"/>
        <v>9223200</v>
      </c>
      <c r="O207" s="376">
        <v>22</v>
      </c>
      <c r="P207" s="440">
        <f>IFERROR(INDEX('[14]CN BC'!$J$10:$J$276,MATCH(B207,'[14]CN BC'!$H$10:$H$276,0)),"")</f>
        <v>22</v>
      </c>
      <c r="Q207" s="494">
        <f t="shared" si="37"/>
        <v>9223200</v>
      </c>
      <c r="R207" s="392"/>
      <c r="S207" s="362">
        <f t="shared" si="29"/>
        <v>0</v>
      </c>
      <c r="T207" s="370"/>
      <c r="U207" s="362">
        <f t="shared" si="39"/>
        <v>0</v>
      </c>
      <c r="V207" s="584">
        <f t="shared" si="33"/>
        <v>65880</v>
      </c>
      <c r="W207" s="371">
        <f t="shared" si="38"/>
        <v>9223200</v>
      </c>
      <c r="X207" s="977">
        <f t="shared" si="36"/>
        <v>5.1239999999999997</v>
      </c>
      <c r="Y207" s="491">
        <v>1800000</v>
      </c>
      <c r="Z207" s="663">
        <f t="shared" si="35"/>
        <v>9223200</v>
      </c>
      <c r="AA207" s="568">
        <f t="shared" si="34"/>
        <v>185</v>
      </c>
      <c r="AB207" s="493">
        <f>IFERROR(INDEX('[14]CN BC'!$M$10:$M$276,MATCH(B207,'[14]CN BC'!$H$10:$H$276,0)),"")</f>
        <v>0</v>
      </c>
      <c r="AC207" s="141" t="str">
        <f>VLOOKUP(B207,TH.T4!B205:AC535,28,FALSE)</f>
        <v>CK</v>
      </c>
      <c r="AD207" s="108"/>
      <c r="AE207" s="108"/>
      <c r="AF207" s="155"/>
      <c r="AG207" s="108"/>
      <c r="AH207" s="108"/>
      <c r="AI207" s="108"/>
      <c r="AJ207" s="108"/>
      <c r="AK207" s="108"/>
      <c r="AL207" s="108"/>
    </row>
    <row r="208" spans="1:42" s="372" customFormat="1" ht="27.75" customHeight="1">
      <c r="A208" s="379">
        <f>_xlfn.AGGREGATE(4,7,A$22:A207)+1</f>
        <v>186</v>
      </c>
      <c r="B208" s="374" t="s">
        <v>1894</v>
      </c>
      <c r="C208" s="960" t="s">
        <v>880</v>
      </c>
      <c r="D208" s="434" t="s">
        <v>1769</v>
      </c>
      <c r="E208" s="423" t="s">
        <v>388</v>
      </c>
      <c r="F208" s="81" t="str">
        <f>VLOOKUP(B208,TH.T4!B206:J536,9,FALSE)</f>
        <v>Giảng viên khoa Cơ khí</v>
      </c>
      <c r="G208" s="373">
        <v>3.66</v>
      </c>
      <c r="H208" s="367"/>
      <c r="I208" s="368">
        <f t="shared" si="40"/>
        <v>3.66</v>
      </c>
      <c r="J208" s="368"/>
      <c r="K208" s="369">
        <f t="shared" si="41"/>
        <v>3.66</v>
      </c>
      <c r="L208" s="362">
        <f t="shared" si="42"/>
        <v>6588000</v>
      </c>
      <c r="M208" s="366" t="str">
        <f>VLOOKUP(B208,'[13]Gui chi Quynh'!$B$11:$E$400,4,FALSE)</f>
        <v>A4</v>
      </c>
      <c r="N208" s="494">
        <f t="shared" si="30"/>
        <v>6588000</v>
      </c>
      <c r="O208" s="376">
        <v>22</v>
      </c>
      <c r="P208" s="440">
        <f>IFERROR(INDEX('[14]CN BC'!$J$10:$J$276,MATCH(B208,'[14]CN BC'!$H$10:$H$276,0)),"")</f>
        <v>22</v>
      </c>
      <c r="Q208" s="494">
        <f t="shared" si="37"/>
        <v>6588000</v>
      </c>
      <c r="R208" s="460"/>
      <c r="S208" s="362">
        <f t="shared" ref="S208:S272" si="43">R208*$H$19*1</f>
        <v>0</v>
      </c>
      <c r="T208" s="370"/>
      <c r="U208" s="362">
        <f t="shared" si="39"/>
        <v>0</v>
      </c>
      <c r="V208" s="584">
        <f t="shared" si="33"/>
        <v>65880</v>
      </c>
      <c r="W208" s="371">
        <f t="shared" si="38"/>
        <v>6588000</v>
      </c>
      <c r="X208" s="977">
        <f t="shared" si="36"/>
        <v>3.66</v>
      </c>
      <c r="Y208" s="491">
        <v>1800000</v>
      </c>
      <c r="Z208" s="663">
        <f t="shared" si="35"/>
        <v>6588000</v>
      </c>
      <c r="AA208" s="568">
        <f t="shared" si="34"/>
        <v>186</v>
      </c>
      <c r="AB208" s="493">
        <f>IFERROR(INDEX('[14]CN BC'!$M$10:$M$276,MATCH(B208,'[14]CN BC'!$H$10:$H$276,0)),"")</f>
        <v>0</v>
      </c>
      <c r="AC208" s="945" t="str">
        <f>VLOOKUP(B208,TH.T4!B206:AC536,28,FALSE)</f>
        <v>CK</v>
      </c>
      <c r="AD208" s="108"/>
      <c r="AE208" s="108"/>
      <c r="AF208" s="155"/>
      <c r="AG208" s="108"/>
      <c r="AH208" s="108"/>
      <c r="AI208" s="108"/>
      <c r="AJ208" s="108"/>
      <c r="AK208" s="108"/>
      <c r="AL208" s="108"/>
    </row>
    <row r="209" spans="1:42" s="372" customFormat="1" ht="32.25" customHeight="1">
      <c r="A209" s="379">
        <f>_xlfn.AGGREGATE(4,7,A$22:A208)+1</f>
        <v>187</v>
      </c>
      <c r="B209" s="374" t="s">
        <v>2023</v>
      </c>
      <c r="C209" s="969" t="s">
        <v>364</v>
      </c>
      <c r="D209" s="434" t="s">
        <v>1770</v>
      </c>
      <c r="E209" s="423" t="s">
        <v>386</v>
      </c>
      <c r="F209" s="81" t="str">
        <f>VLOOKUP(B209,TH.T4!B207:J537,9,FALSE)</f>
        <v>Giảng viên khoa Cơ khí</v>
      </c>
      <c r="G209" s="373">
        <v>3.66</v>
      </c>
      <c r="H209" s="367"/>
      <c r="I209" s="368">
        <f t="shared" si="40"/>
        <v>3.66</v>
      </c>
      <c r="J209" s="368"/>
      <c r="K209" s="369">
        <f t="shared" si="41"/>
        <v>3.66</v>
      </c>
      <c r="L209" s="362">
        <f t="shared" si="42"/>
        <v>6588000</v>
      </c>
      <c r="M209" s="366" t="str">
        <f>VLOOKUP(B209,'[13]Gui chi Quynh'!$B$11:$E$400,4,FALSE)</f>
        <v>A4</v>
      </c>
      <c r="N209" s="494">
        <f t="shared" si="30"/>
        <v>6588000</v>
      </c>
      <c r="O209" s="376">
        <v>22</v>
      </c>
      <c r="P209" s="440">
        <f>IFERROR(INDEX('[14]CN BC'!$J$10:$J$276,MATCH(B209,'[14]CN BC'!$H$10:$H$276,0)),"")</f>
        <v>22</v>
      </c>
      <c r="Q209" s="494">
        <f t="shared" si="37"/>
        <v>6588000</v>
      </c>
      <c r="R209" s="460"/>
      <c r="S209" s="362">
        <f t="shared" si="43"/>
        <v>0</v>
      </c>
      <c r="T209" s="370"/>
      <c r="U209" s="362">
        <f t="shared" si="39"/>
        <v>0</v>
      </c>
      <c r="V209" s="362">
        <f t="shared" si="33"/>
        <v>65880</v>
      </c>
      <c r="W209" s="371">
        <f t="shared" si="38"/>
        <v>6588000</v>
      </c>
      <c r="X209" s="977">
        <f t="shared" si="36"/>
        <v>3.66</v>
      </c>
      <c r="Y209" s="491">
        <v>1800000</v>
      </c>
      <c r="Z209" s="663">
        <f t="shared" si="35"/>
        <v>6588000</v>
      </c>
      <c r="AA209" s="568">
        <f t="shared" si="34"/>
        <v>187</v>
      </c>
      <c r="AB209" s="493">
        <f>IFERROR(INDEX('[14]CN BC'!$M$10:$M$276,MATCH(B209,'[14]CN BC'!$H$10:$H$276,0)),"")</f>
        <v>0</v>
      </c>
      <c r="AC209" s="945" t="str">
        <f>VLOOKUP(B209,TH.T4!B207:AC537,28,FALSE)</f>
        <v>CK</v>
      </c>
      <c r="AF209" s="487"/>
    </row>
    <row r="210" spans="1:42" s="372" customFormat="1" ht="27.75" customHeight="1">
      <c r="A210" s="379">
        <f>_xlfn.AGGREGATE(4,7,A$22:A209)+1</f>
        <v>188</v>
      </c>
      <c r="B210" s="374" t="s">
        <v>1528</v>
      </c>
      <c r="C210" s="960" t="s">
        <v>455</v>
      </c>
      <c r="D210" s="406" t="s">
        <v>1771</v>
      </c>
      <c r="E210" s="423" t="s">
        <v>456</v>
      </c>
      <c r="F210" s="81" t="str">
        <f>VLOOKUP(B210,TH.T4!B208:J538,9,FALSE)</f>
        <v>Giảng viên khoa Cơ khí</v>
      </c>
      <c r="G210" s="373">
        <v>3.66</v>
      </c>
      <c r="H210" s="367"/>
      <c r="I210" s="445">
        <f t="shared" si="40"/>
        <v>3.66</v>
      </c>
      <c r="J210" s="368"/>
      <c r="K210" s="369">
        <f t="shared" si="41"/>
        <v>3.66</v>
      </c>
      <c r="L210" s="362">
        <f t="shared" si="42"/>
        <v>6588000</v>
      </c>
      <c r="M210" s="366" t="str">
        <f>VLOOKUP(B210,'[13]Gui chi Quynh'!$B$11:$E$400,4,FALSE)</f>
        <v>A4</v>
      </c>
      <c r="N210" s="494">
        <f t="shared" si="30"/>
        <v>6588000</v>
      </c>
      <c r="O210" s="376">
        <v>22</v>
      </c>
      <c r="P210" s="440">
        <f>IFERROR(INDEX('[14]CN BC'!$J$10:$J$276,MATCH(B210,'[14]CN BC'!$H$10:$H$276,0)),"")</f>
        <v>22</v>
      </c>
      <c r="Q210" s="494">
        <f t="shared" si="37"/>
        <v>6588000</v>
      </c>
      <c r="R210" s="392"/>
      <c r="S210" s="362">
        <f t="shared" si="43"/>
        <v>0</v>
      </c>
      <c r="T210" s="370"/>
      <c r="U210" s="362">
        <f t="shared" si="39"/>
        <v>0</v>
      </c>
      <c r="V210" s="584">
        <f t="shared" si="33"/>
        <v>65880</v>
      </c>
      <c r="W210" s="371">
        <f t="shared" si="38"/>
        <v>6588000</v>
      </c>
      <c r="X210" s="977">
        <f t="shared" si="36"/>
        <v>3.66</v>
      </c>
      <c r="Y210" s="491">
        <v>1800000</v>
      </c>
      <c r="Z210" s="663">
        <f t="shared" si="35"/>
        <v>6588000</v>
      </c>
      <c r="AA210" s="568">
        <f t="shared" si="34"/>
        <v>188</v>
      </c>
      <c r="AB210" s="493">
        <f>IFERROR(INDEX('[14]CN BC'!$M$10:$M$276,MATCH(B210,'[14]CN BC'!$H$10:$H$276,0)),"")</f>
        <v>0</v>
      </c>
      <c r="AC210" s="945" t="str">
        <f>VLOOKUP(B210,TH.T4!B208:AC538,28,FALSE)</f>
        <v>CK</v>
      </c>
      <c r="AD210" s="108"/>
      <c r="AE210" s="108"/>
      <c r="AF210" s="155"/>
      <c r="AG210" s="108"/>
      <c r="AH210" s="108"/>
      <c r="AI210" s="108"/>
      <c r="AJ210" s="108"/>
      <c r="AK210" s="108"/>
      <c r="AL210" s="108"/>
      <c r="AM210" s="108"/>
      <c r="AN210" s="108"/>
      <c r="AO210" s="108"/>
      <c r="AP210" s="108"/>
    </row>
    <row r="211" spans="1:42" s="372" customFormat="1" ht="24" customHeight="1">
      <c r="A211" s="379">
        <f>_xlfn.AGGREGATE(4,7,A$22:A210)+1</f>
        <v>189</v>
      </c>
      <c r="B211" s="374" t="s">
        <v>1529</v>
      </c>
      <c r="C211" s="960" t="s">
        <v>876</v>
      </c>
      <c r="D211" s="406" t="s">
        <v>1772</v>
      </c>
      <c r="E211" s="423" t="s">
        <v>743</v>
      </c>
      <c r="F211" s="81" t="str">
        <f>VLOOKUP(B211,TH.T4!B209:J539,9,FALSE)</f>
        <v>Giảng viên - Trưởng BM khoa Cơ khí</v>
      </c>
      <c r="G211" s="373">
        <v>3.33</v>
      </c>
      <c r="H211" s="367"/>
      <c r="I211" s="445">
        <f t="shared" si="40"/>
        <v>3.33</v>
      </c>
      <c r="J211" s="368">
        <v>0.25</v>
      </c>
      <c r="K211" s="369">
        <f t="shared" si="41"/>
        <v>3.58</v>
      </c>
      <c r="L211" s="362">
        <f t="shared" si="42"/>
        <v>6444000</v>
      </c>
      <c r="M211" s="366" t="str">
        <f>VLOOKUP(B211,'[13]Gui chi Quynh'!$B$11:$E$400,4,FALSE)</f>
        <v>A3</v>
      </c>
      <c r="N211" s="494">
        <f t="shared" si="30"/>
        <v>7732800</v>
      </c>
      <c r="O211" s="376">
        <v>22</v>
      </c>
      <c r="P211" s="440">
        <f>IFERROR(INDEX('[14]CN BC'!$J$10:$J$276,MATCH(B211,'[14]CN BC'!$H$10:$H$276,0)),"")</f>
        <v>22</v>
      </c>
      <c r="Q211" s="494">
        <f t="shared" si="37"/>
        <v>7732800</v>
      </c>
      <c r="R211" s="392"/>
      <c r="S211" s="362">
        <f t="shared" si="43"/>
        <v>0</v>
      </c>
      <c r="T211" s="385"/>
      <c r="U211" s="362">
        <f t="shared" si="39"/>
        <v>0</v>
      </c>
      <c r="V211" s="584">
        <f t="shared" si="33"/>
        <v>64440</v>
      </c>
      <c r="W211" s="371">
        <f t="shared" si="38"/>
        <v>7732800</v>
      </c>
      <c r="X211" s="977">
        <f t="shared" si="36"/>
        <v>4.2960000000000003</v>
      </c>
      <c r="Y211" s="491">
        <v>1800000</v>
      </c>
      <c r="Z211" s="663">
        <f t="shared" si="35"/>
        <v>7732800.0000000009</v>
      </c>
      <c r="AA211" s="568">
        <f t="shared" si="34"/>
        <v>189</v>
      </c>
      <c r="AB211" s="493">
        <f>IFERROR(INDEX('[14]CN BC'!$M$10:$M$276,MATCH(B211,'[14]CN BC'!$H$10:$H$276,0)),"")</f>
        <v>0</v>
      </c>
      <c r="AC211" s="945" t="str">
        <f>VLOOKUP(B211,TH.T4!B209:AC539,28,FALSE)</f>
        <v>CK</v>
      </c>
      <c r="AD211" s="108"/>
      <c r="AE211" s="108"/>
      <c r="AF211" s="155"/>
      <c r="AG211" s="108"/>
      <c r="AH211" s="108"/>
      <c r="AI211" s="108"/>
      <c r="AJ211" s="108"/>
      <c r="AK211" s="108"/>
      <c r="AL211" s="108"/>
      <c r="AM211" s="108"/>
      <c r="AN211" s="108"/>
      <c r="AO211" s="108"/>
      <c r="AP211" s="108"/>
    </row>
    <row r="212" spans="1:42" s="372" customFormat="1" ht="30" customHeight="1">
      <c r="A212" s="379">
        <f>_xlfn.AGGREGATE(4,7,A$22:A211)+1</f>
        <v>190</v>
      </c>
      <c r="B212" s="374" t="s">
        <v>1530</v>
      </c>
      <c r="C212" s="960" t="s">
        <v>886</v>
      </c>
      <c r="D212" s="434" t="s">
        <v>1773</v>
      </c>
      <c r="E212" s="430">
        <v>1603205357641</v>
      </c>
      <c r="F212" s="81" t="str">
        <f>VLOOKUP(B212,TH.T4!B210:J540,9,FALSE)</f>
        <v>Giảng viên khoa Cơ khí</v>
      </c>
      <c r="G212" s="373">
        <v>3.66</v>
      </c>
      <c r="H212" s="367"/>
      <c r="I212" s="368">
        <f t="shared" si="40"/>
        <v>3.66</v>
      </c>
      <c r="J212" s="368"/>
      <c r="K212" s="369">
        <f t="shared" si="41"/>
        <v>3.66</v>
      </c>
      <c r="L212" s="362">
        <f t="shared" si="42"/>
        <v>6588000</v>
      </c>
      <c r="M212" s="366" t="str">
        <f>VLOOKUP(B212,'[13]Gui chi Quynh'!$B$11:$E$400,4,FALSE)</f>
        <v>A4</v>
      </c>
      <c r="N212" s="494">
        <f t="shared" si="30"/>
        <v>6588000</v>
      </c>
      <c r="O212" s="376">
        <v>22</v>
      </c>
      <c r="P212" s="440">
        <f>IFERROR(INDEX('[14]CN BC'!$J$10:$J$276,MATCH(B212,'[14]CN BC'!$H$10:$H$276,0)),"")</f>
        <v>22</v>
      </c>
      <c r="Q212" s="494">
        <f t="shared" si="37"/>
        <v>6588000</v>
      </c>
      <c r="R212" s="460"/>
      <c r="S212" s="362">
        <f t="shared" si="43"/>
        <v>0</v>
      </c>
      <c r="T212" s="370"/>
      <c r="U212" s="362">
        <f t="shared" si="39"/>
        <v>0</v>
      </c>
      <c r="V212" s="584">
        <f t="shared" si="33"/>
        <v>65880</v>
      </c>
      <c r="W212" s="371">
        <f t="shared" si="38"/>
        <v>6588000</v>
      </c>
      <c r="X212" s="977">
        <f t="shared" si="36"/>
        <v>3.66</v>
      </c>
      <c r="Y212" s="491">
        <v>1800000</v>
      </c>
      <c r="Z212" s="663">
        <f t="shared" si="35"/>
        <v>6588000</v>
      </c>
      <c r="AA212" s="568">
        <f t="shared" si="34"/>
        <v>190</v>
      </c>
      <c r="AB212" s="493">
        <f>IFERROR(INDEX('[14]CN BC'!$M$10:$M$276,MATCH(B212,'[14]CN BC'!$H$10:$H$276,0)),"")</f>
        <v>0</v>
      </c>
      <c r="AC212" s="945" t="str">
        <f>VLOOKUP(B212,TH.T4!B210:AC540,28,FALSE)</f>
        <v>CK</v>
      </c>
      <c r="AD212" s="541"/>
      <c r="AF212" s="487"/>
    </row>
    <row r="213" spans="1:42" s="372" customFormat="1" ht="25.9" customHeight="1">
      <c r="A213" s="379">
        <f>_xlfn.AGGREGATE(4,7,A$22:A212)+1</f>
        <v>191</v>
      </c>
      <c r="B213" s="374" t="s">
        <v>1531</v>
      </c>
      <c r="C213" s="960" t="s">
        <v>746</v>
      </c>
      <c r="D213" s="406" t="s">
        <v>1774</v>
      </c>
      <c r="E213" s="430">
        <v>1603205357120</v>
      </c>
      <c r="F213" s="81" t="str">
        <f>VLOOKUP(B213,TH.T4!B211:J541,9,FALSE)</f>
        <v>Giảng viên khoa Cơ khí</v>
      </c>
      <c r="G213" s="373">
        <v>3.33</v>
      </c>
      <c r="H213" s="367"/>
      <c r="I213" s="445">
        <f t="shared" si="40"/>
        <v>3.33</v>
      </c>
      <c r="J213" s="368"/>
      <c r="K213" s="369">
        <f t="shared" si="41"/>
        <v>3.33</v>
      </c>
      <c r="L213" s="362">
        <f t="shared" si="42"/>
        <v>5994000</v>
      </c>
      <c r="M213" s="366" t="str">
        <f>VLOOKUP(B213,'[13]Gui chi Quynh'!$B$11:$E$400,4,FALSE)</f>
        <v>A2</v>
      </c>
      <c r="N213" s="494">
        <f t="shared" si="30"/>
        <v>8391600</v>
      </c>
      <c r="O213" s="376">
        <v>22</v>
      </c>
      <c r="P213" s="440">
        <f>IFERROR(INDEX('[14]CN BC'!$J$10:$J$276,MATCH(B213,'[14]CN BC'!$H$10:$H$276,0)),"")</f>
        <v>22</v>
      </c>
      <c r="Q213" s="494">
        <f t="shared" si="37"/>
        <v>8391600</v>
      </c>
      <c r="R213" s="392"/>
      <c r="S213" s="362">
        <f t="shared" si="43"/>
        <v>0</v>
      </c>
      <c r="T213" s="370"/>
      <c r="U213" s="362">
        <f t="shared" si="39"/>
        <v>0</v>
      </c>
      <c r="V213" s="584">
        <f t="shared" si="33"/>
        <v>59940</v>
      </c>
      <c r="W213" s="371">
        <f t="shared" si="38"/>
        <v>8391600</v>
      </c>
      <c r="X213" s="977">
        <f t="shared" si="36"/>
        <v>4.6619999999999999</v>
      </c>
      <c r="Y213" s="491">
        <v>1800000</v>
      </c>
      <c r="Z213" s="663">
        <f t="shared" si="35"/>
        <v>8391600</v>
      </c>
      <c r="AA213" s="568">
        <f t="shared" si="34"/>
        <v>191</v>
      </c>
      <c r="AB213" s="493">
        <f>IFERROR(INDEX('[14]CN BC'!$M$10:$M$276,MATCH(B213,'[14]CN BC'!$H$10:$H$276,0)),"")</f>
        <v>0</v>
      </c>
      <c r="AC213" s="945" t="str">
        <f>VLOOKUP(B213,TH.T4!B211:AC541,28,FALSE)</f>
        <v>CK</v>
      </c>
      <c r="AD213" s="108"/>
      <c r="AE213" s="108"/>
      <c r="AF213" s="155"/>
      <c r="AG213" s="108"/>
      <c r="AH213" s="108"/>
      <c r="AI213" s="108"/>
      <c r="AJ213" s="108"/>
      <c r="AK213" s="108"/>
      <c r="AL213" s="108"/>
      <c r="AM213" s="108"/>
      <c r="AN213" s="108"/>
      <c r="AO213" s="108"/>
      <c r="AP213" s="108"/>
    </row>
    <row r="214" spans="1:42" s="372" customFormat="1" ht="32.25" customHeight="1">
      <c r="A214" s="379">
        <f>_xlfn.AGGREGATE(4,7,A$22:A213)+1</f>
        <v>192</v>
      </c>
      <c r="B214" s="374" t="s">
        <v>1895</v>
      </c>
      <c r="C214" s="960" t="s">
        <v>905</v>
      </c>
      <c r="D214" s="434" t="s">
        <v>1775</v>
      </c>
      <c r="E214" s="423" t="s">
        <v>1261</v>
      </c>
      <c r="F214" s="81" t="str">
        <f>VLOOKUP(B214,TH.T4!B212:J542,9,FALSE)</f>
        <v>Giảng viên khoa Cơ khí</v>
      </c>
      <c r="G214" s="366">
        <v>4.9800000000000004</v>
      </c>
      <c r="H214" s="367">
        <v>7.0000000000000007E-2</v>
      </c>
      <c r="I214" s="368">
        <f t="shared" si="40"/>
        <v>5.3286000000000007</v>
      </c>
      <c r="J214" s="368"/>
      <c r="K214" s="369">
        <f t="shared" si="41"/>
        <v>5.3286000000000007</v>
      </c>
      <c r="L214" s="362">
        <f t="shared" si="42"/>
        <v>9591480.0000000019</v>
      </c>
      <c r="M214" s="366" t="str">
        <f>VLOOKUP(B214,'[13]Gui chi Quynh'!$B$11:$E$400,4,FALSE)</f>
        <v>A3</v>
      </c>
      <c r="N214" s="494">
        <f t="shared" si="30"/>
        <v>11509776.000000002</v>
      </c>
      <c r="O214" s="376">
        <v>22</v>
      </c>
      <c r="P214" s="440">
        <f>IFERROR(INDEX('[14]CN BC'!$J$10:$J$276,MATCH(B214,'[14]CN BC'!$H$10:$H$276,0)),"")</f>
        <v>22</v>
      </c>
      <c r="Q214" s="494">
        <f t="shared" si="37"/>
        <v>11509776.000000002</v>
      </c>
      <c r="R214" s="392"/>
      <c r="S214" s="362">
        <f t="shared" si="43"/>
        <v>0</v>
      </c>
      <c r="T214" s="370"/>
      <c r="U214" s="362">
        <f t="shared" si="39"/>
        <v>0</v>
      </c>
      <c r="V214" s="584">
        <f t="shared" si="33"/>
        <v>95915</v>
      </c>
      <c r="W214" s="371">
        <f t="shared" si="38"/>
        <v>11509776.000000002</v>
      </c>
      <c r="X214" s="977">
        <f t="shared" si="36"/>
        <v>6.3943200000000013</v>
      </c>
      <c r="Y214" s="491">
        <v>1800000</v>
      </c>
      <c r="Z214" s="663">
        <f t="shared" si="35"/>
        <v>11509776.000000002</v>
      </c>
      <c r="AA214" s="568">
        <f t="shared" si="34"/>
        <v>192</v>
      </c>
      <c r="AB214" s="493">
        <f>IFERROR(INDEX('[14]CN BC'!$M$10:$M$276,MATCH(B214,'[14]CN BC'!$H$10:$H$276,0)),"")</f>
        <v>0</v>
      </c>
      <c r="AC214" s="945" t="str">
        <f>VLOOKUP(B214,TH.T4!B212:AC542,28,FALSE)</f>
        <v>CK</v>
      </c>
      <c r="AD214" s="524"/>
      <c r="AE214" s="108"/>
      <c r="AF214" s="155"/>
      <c r="AG214" s="108"/>
      <c r="AH214" s="108"/>
      <c r="AI214" s="108"/>
      <c r="AJ214" s="108"/>
      <c r="AK214" s="108"/>
      <c r="AL214" s="108"/>
    </row>
    <row r="215" spans="1:42" s="372" customFormat="1" ht="25.5" customHeight="1">
      <c r="A215" s="379">
        <f>_xlfn.AGGREGATE(4,7,A$22:A214)+1</f>
        <v>193</v>
      </c>
      <c r="B215" s="374" t="s">
        <v>1896</v>
      </c>
      <c r="C215" s="960" t="s">
        <v>1035</v>
      </c>
      <c r="D215" s="434" t="s">
        <v>1776</v>
      </c>
      <c r="E215" s="423" t="s">
        <v>1365</v>
      </c>
      <c r="F215" s="81" t="str">
        <f>VLOOKUP(B215,TH.T4!B213:J543,9,FALSE)</f>
        <v>Giảng viên khoa Cơ khí</v>
      </c>
      <c r="G215" s="366">
        <v>4.9800000000000004</v>
      </c>
      <c r="H215" s="367">
        <v>0.11</v>
      </c>
      <c r="I215" s="368">
        <f t="shared" si="40"/>
        <v>5.5278000000000009</v>
      </c>
      <c r="J215" s="368"/>
      <c r="K215" s="369">
        <f t="shared" si="41"/>
        <v>5.5278000000000009</v>
      </c>
      <c r="L215" s="362">
        <f t="shared" si="42"/>
        <v>9950040.0000000019</v>
      </c>
      <c r="M215" s="366" t="str">
        <f>VLOOKUP(B215,'[13]Gui chi Quynh'!$B$11:$E$400,4,FALSE)</f>
        <v>A4</v>
      </c>
      <c r="N215" s="494">
        <f t="shared" ref="N215:N278" si="44">IF(M215="A1",L215*1.6,IF(M215="A2",L215*1.4,IF(M215="A3",L215*1.2,IF(M215="A4",L215*1,IF(M215="B1",L215*0.7,IF(M215="B2",L215*0.5,IF(M215="C1",L215*0.3,IF(M215="C2",L215*0.2,0))))))))</f>
        <v>9950040.0000000019</v>
      </c>
      <c r="O215" s="376">
        <v>22</v>
      </c>
      <c r="P215" s="440">
        <f>IFERROR(INDEX('[14]CN BC'!$J$10:$J$276,MATCH(B215,'[14]CN BC'!$H$10:$H$276,0)),"")</f>
        <v>22</v>
      </c>
      <c r="Q215" s="494">
        <f t="shared" si="37"/>
        <v>9950040.0000000019</v>
      </c>
      <c r="R215" s="485"/>
      <c r="S215" s="362">
        <f>R215*$H$19*0.8</f>
        <v>0</v>
      </c>
      <c r="T215" s="370"/>
      <c r="U215" s="362">
        <f t="shared" si="39"/>
        <v>0</v>
      </c>
      <c r="V215" s="584">
        <f t="shared" ref="V215:V287" si="45">IF(OR(M215="A DN",M215="KXL", M215=""),"0",ROUND(K215*0.01*$H$19+R215*1%*$H$19+T215*1%*$H$19,))</f>
        <v>99500</v>
      </c>
      <c r="W215" s="371">
        <f t="shared" si="38"/>
        <v>9950040.0000000019</v>
      </c>
      <c r="X215" s="977">
        <f t="shared" si="36"/>
        <v>5.5278000000000009</v>
      </c>
      <c r="Y215" s="491">
        <v>1800000</v>
      </c>
      <c r="Z215" s="663">
        <f t="shared" si="35"/>
        <v>9950040.0000000019</v>
      </c>
      <c r="AA215" s="568">
        <f t="shared" ref="AA215:AA285" si="46">A215</f>
        <v>193</v>
      </c>
      <c r="AB215" s="493">
        <f>IFERROR(INDEX('[14]CN BC'!$M$10:$M$276,MATCH(B215,'[14]CN BC'!$H$10:$H$276,0)),"")</f>
        <v>0</v>
      </c>
      <c r="AC215" s="945" t="str">
        <f>VLOOKUP(B215,TH.T4!B213:AC543,28,FALSE)</f>
        <v>CK</v>
      </c>
      <c r="AD215" s="108"/>
      <c r="AE215" s="108"/>
      <c r="AF215" s="155"/>
      <c r="AG215" s="108"/>
      <c r="AH215" s="108"/>
      <c r="AI215" s="108"/>
      <c r="AJ215" s="108"/>
      <c r="AK215" s="108"/>
      <c r="AL215" s="108"/>
    </row>
    <row r="216" spans="1:42" s="372" customFormat="1" ht="29.25" customHeight="1">
      <c r="A216" s="379">
        <f>_xlfn.AGGREGATE(4,7,A$22:A215)+1</f>
        <v>194</v>
      </c>
      <c r="B216" s="374" t="s">
        <v>1532</v>
      </c>
      <c r="C216" s="960" t="s">
        <v>884</v>
      </c>
      <c r="D216" s="406" t="s">
        <v>1777</v>
      </c>
      <c r="E216" s="422" t="s">
        <v>1594</v>
      </c>
      <c r="F216" s="81" t="str">
        <f>VLOOKUP(B216,TH.T4!B214:J544,9,FALSE)</f>
        <v>Giảng viên khoa Cơ khí</v>
      </c>
      <c r="G216" s="373">
        <v>3.33</v>
      </c>
      <c r="H216" s="367"/>
      <c r="I216" s="445">
        <f t="shared" si="40"/>
        <v>3.33</v>
      </c>
      <c r="J216" s="368"/>
      <c r="K216" s="369">
        <f t="shared" si="41"/>
        <v>3.33</v>
      </c>
      <c r="L216" s="362">
        <f t="shared" si="42"/>
        <v>5994000</v>
      </c>
      <c r="M216" s="366" t="str">
        <f>VLOOKUP(B216,'[13]Gui chi Quynh'!$B$11:$E$400,4,FALSE)</f>
        <v>A3</v>
      </c>
      <c r="N216" s="494">
        <f t="shared" si="44"/>
        <v>7192800</v>
      </c>
      <c r="O216" s="376">
        <v>22</v>
      </c>
      <c r="P216" s="440">
        <f>IFERROR(INDEX('[14]CN BC'!$J$10:$J$276,MATCH(B216,'[14]CN BC'!$H$10:$H$276,0)),"")</f>
        <v>22</v>
      </c>
      <c r="Q216" s="494">
        <f t="shared" si="37"/>
        <v>7192800</v>
      </c>
      <c r="R216" s="455"/>
      <c r="S216" s="362">
        <f t="shared" si="43"/>
        <v>0</v>
      </c>
      <c r="T216" s="370"/>
      <c r="U216" s="362">
        <f t="shared" si="39"/>
        <v>0</v>
      </c>
      <c r="V216" s="584">
        <f t="shared" si="45"/>
        <v>59940</v>
      </c>
      <c r="W216" s="371">
        <f t="shared" si="38"/>
        <v>7192800</v>
      </c>
      <c r="X216" s="977">
        <f t="shared" si="36"/>
        <v>3.996</v>
      </c>
      <c r="Y216" s="491">
        <v>1800000</v>
      </c>
      <c r="Z216" s="663">
        <f t="shared" ref="Z216:Z279" si="47">X216*Y216</f>
        <v>7192800</v>
      </c>
      <c r="AA216" s="568">
        <f t="shared" si="46"/>
        <v>194</v>
      </c>
      <c r="AB216" s="493">
        <f>IFERROR(INDEX('[14]CN BC'!$M$10:$M$276,MATCH(B216,'[14]CN BC'!$H$10:$H$276,0)),"")</f>
        <v>0</v>
      </c>
      <c r="AC216" s="945" t="str">
        <f>VLOOKUP(B216,TH.T4!B214:AC544,28,FALSE)</f>
        <v>CK</v>
      </c>
      <c r="AD216" s="108"/>
      <c r="AE216" s="108"/>
      <c r="AF216" s="155"/>
      <c r="AG216" s="108"/>
      <c r="AH216" s="108"/>
      <c r="AI216" s="108"/>
      <c r="AJ216" s="108"/>
      <c r="AK216" s="108"/>
      <c r="AL216" s="108"/>
      <c r="AM216" s="108"/>
      <c r="AN216" s="108"/>
      <c r="AO216" s="108"/>
      <c r="AP216" s="108"/>
    </row>
    <row r="217" spans="1:42" s="372" customFormat="1" ht="25.5" customHeight="1">
      <c r="A217" s="379">
        <f>_xlfn.AGGREGATE(4,7,A$22:A216)+1</f>
        <v>195</v>
      </c>
      <c r="B217" s="374" t="s">
        <v>1608</v>
      </c>
      <c r="C217" s="956" t="s">
        <v>1011</v>
      </c>
      <c r="D217" s="482" t="s">
        <v>1968</v>
      </c>
      <c r="E217" s="102">
        <v>1603215003955</v>
      </c>
      <c r="F217" s="81" t="str">
        <f>VLOOKUP(B217,TH.T4!B215:J545,9,FALSE)</f>
        <v>Giảng viên khoa Cơ khí</v>
      </c>
      <c r="G217" s="373">
        <v>3</v>
      </c>
      <c r="H217" s="378"/>
      <c r="I217" s="445">
        <f t="shared" si="40"/>
        <v>3</v>
      </c>
      <c r="J217" s="368"/>
      <c r="K217" s="369">
        <f t="shared" si="41"/>
        <v>3</v>
      </c>
      <c r="L217" s="362">
        <f t="shared" si="42"/>
        <v>5400000</v>
      </c>
      <c r="M217" s="366" t="str">
        <f>VLOOKUP(B217,'[13]Gui chi Quynh'!$B$11:$E$400,4,FALSE)</f>
        <v>A2</v>
      </c>
      <c r="N217" s="494">
        <f t="shared" si="44"/>
        <v>7559999.9999999991</v>
      </c>
      <c r="O217" s="376">
        <v>22</v>
      </c>
      <c r="P217" s="440">
        <f>IFERROR(INDEX('[14]CN BC'!$J$10:$J$276,MATCH(B217,'[14]CN BC'!$H$10:$H$276,0)),"")</f>
        <v>22</v>
      </c>
      <c r="Q217" s="494">
        <f t="shared" si="37"/>
        <v>7559999.9999999991</v>
      </c>
      <c r="R217" s="460"/>
      <c r="S217" s="362">
        <f t="shared" si="43"/>
        <v>0</v>
      </c>
      <c r="T217" s="370"/>
      <c r="U217" s="362">
        <f t="shared" si="39"/>
        <v>0</v>
      </c>
      <c r="V217" s="584">
        <f t="shared" si="45"/>
        <v>54000</v>
      </c>
      <c r="W217" s="371">
        <f t="shared" si="38"/>
        <v>7559999.9999999991</v>
      </c>
      <c r="X217" s="977">
        <f t="shared" ref="X217:X280" si="48">W217/Y217</f>
        <v>4.1999999999999993</v>
      </c>
      <c r="Y217" s="491">
        <v>1800000</v>
      </c>
      <c r="Z217" s="663">
        <f t="shared" si="47"/>
        <v>7559999.9999999991</v>
      </c>
      <c r="AA217" s="568">
        <f t="shared" si="46"/>
        <v>195</v>
      </c>
      <c r="AB217" s="493">
        <f>IFERROR(INDEX('[14]CN BC'!$M$10:$M$276,MATCH(B217,'[14]CN BC'!$H$10:$H$276,0)),"")</f>
        <v>0</v>
      </c>
      <c r="AC217" s="945" t="str">
        <f>VLOOKUP(B217,TH.T4!B215:AC545,28,FALSE)</f>
        <v>CK</v>
      </c>
      <c r="AD217" s="108"/>
      <c r="AE217" s="108"/>
      <c r="AF217" s="155"/>
      <c r="AG217" s="108"/>
      <c r="AH217" s="108"/>
      <c r="AI217" s="108"/>
      <c r="AJ217" s="108"/>
      <c r="AK217" s="108"/>
      <c r="AL217" s="108"/>
    </row>
    <row r="218" spans="1:42" s="372" customFormat="1" ht="24.75" customHeight="1">
      <c r="A218" s="379">
        <f>_xlfn.AGGREGATE(4,7,A$22:A217)+1</f>
        <v>196</v>
      </c>
      <c r="B218" s="374" t="s">
        <v>1835</v>
      </c>
      <c r="C218" s="956"/>
      <c r="D218" s="434" t="s">
        <v>1970</v>
      </c>
      <c r="E218" s="477" t="s">
        <v>1969</v>
      </c>
      <c r="F218" s="81" t="str">
        <f>VLOOKUP(B218,TH.T4!B216:J546,9,FALSE)</f>
        <v>Giảng viên khoa Cơ khí</v>
      </c>
      <c r="G218" s="373">
        <v>3</v>
      </c>
      <c r="H218" s="378"/>
      <c r="I218" s="368">
        <f t="shared" si="40"/>
        <v>3</v>
      </c>
      <c r="J218" s="368"/>
      <c r="K218" s="369">
        <f t="shared" si="41"/>
        <v>3</v>
      </c>
      <c r="L218" s="362">
        <f t="shared" si="42"/>
        <v>5400000</v>
      </c>
      <c r="M218" s="366" t="str">
        <f>VLOOKUP(B218,'[13]Gui chi Quynh'!$B$11:$E$400,4,FALSE)</f>
        <v>A2</v>
      </c>
      <c r="N218" s="494">
        <f t="shared" si="44"/>
        <v>7559999.9999999991</v>
      </c>
      <c r="O218" s="376">
        <v>22</v>
      </c>
      <c r="P218" s="440">
        <f>IFERROR(INDEX('[14]CN BC'!$J$10:$J$276,MATCH(B218,'[14]CN BC'!$H$10:$H$276,0)),"")</f>
        <v>22</v>
      </c>
      <c r="Q218" s="494">
        <f t="shared" ref="Q218:Q283" si="49">IF(P218&gt;=O218,N218,N218/O218*P218)</f>
        <v>7559999.9999999991</v>
      </c>
      <c r="R218" s="392"/>
      <c r="S218" s="362">
        <f t="shared" si="43"/>
        <v>0</v>
      </c>
      <c r="T218" s="370"/>
      <c r="U218" s="362">
        <f t="shared" si="39"/>
        <v>0</v>
      </c>
      <c r="V218" s="584">
        <f t="shared" si="45"/>
        <v>54000</v>
      </c>
      <c r="W218" s="371">
        <f t="shared" ref="W218:W281" si="50">(Q218+S218+U218)</f>
        <v>7559999.9999999991</v>
      </c>
      <c r="X218" s="977">
        <f t="shared" si="48"/>
        <v>4.1999999999999993</v>
      </c>
      <c r="Y218" s="491">
        <v>1800000</v>
      </c>
      <c r="Z218" s="663">
        <f t="shared" si="47"/>
        <v>7559999.9999999991</v>
      </c>
      <c r="AA218" s="568">
        <f t="shared" si="46"/>
        <v>196</v>
      </c>
      <c r="AB218" s="493">
        <f>IFERROR(INDEX('[14]CN BC'!$M$10:$M$276,MATCH(B218,'[14]CN BC'!$H$10:$H$276,0)),"")</f>
        <v>0</v>
      </c>
      <c r="AC218" s="945" t="str">
        <f>VLOOKUP(B218,TH.T4!B216:AC546,28,FALSE)</f>
        <v>CK</v>
      </c>
      <c r="AD218" s="108"/>
      <c r="AE218" s="108"/>
      <c r="AF218" s="155"/>
      <c r="AG218" s="108"/>
      <c r="AH218" s="108"/>
      <c r="AI218" s="108"/>
      <c r="AJ218" s="108"/>
      <c r="AK218" s="108"/>
      <c r="AL218" s="108"/>
    </row>
    <row r="219" spans="1:42" s="372" customFormat="1" ht="29.25" customHeight="1">
      <c r="A219" s="379">
        <f>_xlfn.AGGREGATE(4,7,A$22:A218)+1</f>
        <v>197</v>
      </c>
      <c r="B219" s="374" t="s">
        <v>1897</v>
      </c>
      <c r="C219" s="956" t="s">
        <v>868</v>
      </c>
      <c r="D219" s="434" t="s">
        <v>1670</v>
      </c>
      <c r="E219" s="423" t="s">
        <v>1286</v>
      </c>
      <c r="F219" s="81" t="str">
        <f>VLOOKUP(B219,TH.T4!B217:J547,9,FALSE)</f>
        <v>Giảng viên khoa Cơ khí</v>
      </c>
      <c r="G219" s="366">
        <v>4.9800000000000004</v>
      </c>
      <c r="H219" s="367">
        <v>0.12</v>
      </c>
      <c r="I219" s="368">
        <f t="shared" si="40"/>
        <v>5.5776000000000003</v>
      </c>
      <c r="J219" s="368"/>
      <c r="K219" s="369">
        <f t="shared" si="41"/>
        <v>5.5776000000000003</v>
      </c>
      <c r="L219" s="362">
        <f t="shared" si="42"/>
        <v>10039680</v>
      </c>
      <c r="M219" s="366" t="str">
        <f>VLOOKUP(B219,'[13]Gui chi Quynh'!$B$11:$E$400,4,FALSE)</f>
        <v>A4</v>
      </c>
      <c r="N219" s="494">
        <f t="shared" si="44"/>
        <v>10039680</v>
      </c>
      <c r="O219" s="376">
        <v>22</v>
      </c>
      <c r="P219" s="440">
        <f>IFERROR(INDEX('[14]CN BC'!$J$10:$J$276,MATCH(B219,'[14]CN BC'!$H$10:$H$276,0)),"")</f>
        <v>22</v>
      </c>
      <c r="Q219" s="494">
        <f t="shared" si="49"/>
        <v>10039680</v>
      </c>
      <c r="R219" s="460"/>
      <c r="S219" s="362">
        <f>R219*$H$19*0.8</f>
        <v>0</v>
      </c>
      <c r="T219" s="370"/>
      <c r="U219" s="362">
        <f t="shared" si="39"/>
        <v>0</v>
      </c>
      <c r="V219" s="584">
        <f t="shared" si="45"/>
        <v>100397</v>
      </c>
      <c r="W219" s="371">
        <f t="shared" si="50"/>
        <v>10039680</v>
      </c>
      <c r="X219" s="977">
        <f t="shared" si="48"/>
        <v>5.5776000000000003</v>
      </c>
      <c r="Y219" s="491">
        <v>1800000</v>
      </c>
      <c r="Z219" s="663">
        <f t="shared" si="47"/>
        <v>10039680</v>
      </c>
      <c r="AA219" s="568">
        <f t="shared" si="46"/>
        <v>197</v>
      </c>
      <c r="AB219" s="493">
        <f>IFERROR(INDEX('[14]CN BC'!$M$10:$M$276,MATCH(B219,'[14]CN BC'!$H$10:$H$276,0)),"")</f>
        <v>0</v>
      </c>
      <c r="AC219" s="945" t="str">
        <f>VLOOKUP(B219,TH.T4!B217:AC547,28,FALSE)</f>
        <v>CK</v>
      </c>
      <c r="AF219" s="487"/>
    </row>
    <row r="220" spans="1:42" s="372" customFormat="1" ht="25.5" customHeight="1">
      <c r="A220" s="379">
        <f>_xlfn.AGGREGATE(4,7,A$22:A219)+1</f>
        <v>198</v>
      </c>
      <c r="B220" s="374" t="s">
        <v>1840</v>
      </c>
      <c r="C220" s="956"/>
      <c r="D220" s="434" t="s">
        <v>1971</v>
      </c>
      <c r="E220" s="102">
        <v>1603205596180</v>
      </c>
      <c r="F220" s="81" t="str">
        <f>VLOOKUP(B220,TH.T4!B218:J548,9,FALSE)</f>
        <v>Giảng viên khoa Cơ khí</v>
      </c>
      <c r="G220" s="366">
        <v>2.67</v>
      </c>
      <c r="H220" s="367"/>
      <c r="I220" s="368">
        <f t="shared" si="40"/>
        <v>2.67</v>
      </c>
      <c r="J220" s="368"/>
      <c r="K220" s="369">
        <f t="shared" si="41"/>
        <v>2.67</v>
      </c>
      <c r="L220" s="362">
        <f t="shared" si="42"/>
        <v>4806000</v>
      </c>
      <c r="M220" s="366" t="str">
        <f>VLOOKUP(B220,'[13]Gui chi Quynh'!$B$11:$E$400,4,FALSE)</f>
        <v>A2</v>
      </c>
      <c r="N220" s="494">
        <f t="shared" si="44"/>
        <v>6728400</v>
      </c>
      <c r="O220" s="376">
        <v>22</v>
      </c>
      <c r="P220" s="440">
        <f>IFERROR(INDEX('[14]CN BC'!$J$10:$J$276,MATCH(B220,'[14]CN BC'!$H$10:$H$276,0)),"")</f>
        <v>22</v>
      </c>
      <c r="Q220" s="494">
        <f t="shared" si="49"/>
        <v>6728400</v>
      </c>
      <c r="R220" s="392"/>
      <c r="S220" s="362">
        <f t="shared" si="43"/>
        <v>0</v>
      </c>
      <c r="T220" s="370"/>
      <c r="U220" s="362">
        <f t="shared" ref="U220:U285" si="51">T220*$H$19*1</f>
        <v>0</v>
      </c>
      <c r="V220" s="584">
        <f t="shared" si="45"/>
        <v>48060</v>
      </c>
      <c r="W220" s="371">
        <f t="shared" si="50"/>
        <v>6728400</v>
      </c>
      <c r="X220" s="977">
        <f t="shared" si="48"/>
        <v>3.738</v>
      </c>
      <c r="Y220" s="491">
        <v>1800000</v>
      </c>
      <c r="Z220" s="663">
        <f t="shared" si="47"/>
        <v>6728400</v>
      </c>
      <c r="AA220" s="568">
        <f t="shared" si="46"/>
        <v>198</v>
      </c>
      <c r="AB220" s="493">
        <f>IFERROR(INDEX('[14]CN BC'!$M$10:$M$276,MATCH(B220,'[14]CN BC'!$H$10:$H$276,0)),"")</f>
        <v>0</v>
      </c>
      <c r="AC220" s="945" t="str">
        <f>VLOOKUP(B220,TH.T4!B218:AC548,28,FALSE)</f>
        <v>CK</v>
      </c>
      <c r="AD220" s="108"/>
      <c r="AE220" s="108"/>
      <c r="AF220" s="155"/>
      <c r="AG220" s="108"/>
      <c r="AH220" s="108"/>
      <c r="AI220" s="108"/>
      <c r="AJ220" s="108"/>
      <c r="AK220" s="108"/>
      <c r="AL220" s="108"/>
    </row>
    <row r="221" spans="1:42" s="372" customFormat="1" ht="24.75" customHeight="1">
      <c r="A221" s="379">
        <f>_xlfn.AGGREGATE(4,7,A$22:A220)+1</f>
        <v>199</v>
      </c>
      <c r="B221" s="374" t="s">
        <v>1943</v>
      </c>
      <c r="C221" s="956"/>
      <c r="D221" s="434" t="s">
        <v>1972</v>
      </c>
      <c r="E221" s="423"/>
      <c r="F221" s="81" t="str">
        <f>VLOOKUP(B221,TH.T4!B219:J549,9,FALSE)</f>
        <v>Giảng viên khoa Cơ khí</v>
      </c>
      <c r="G221" s="373">
        <v>3</v>
      </c>
      <c r="H221" s="367"/>
      <c r="I221" s="368">
        <f t="shared" si="40"/>
        <v>3</v>
      </c>
      <c r="J221" s="368"/>
      <c r="K221" s="369">
        <f t="shared" si="41"/>
        <v>3</v>
      </c>
      <c r="L221" s="362">
        <f t="shared" si="42"/>
        <v>5400000</v>
      </c>
      <c r="M221" s="366" t="str">
        <f>VLOOKUP(B221,'[13]Gui chi Quynh'!$B$11:$E$400,4,FALSE)</f>
        <v>A2</v>
      </c>
      <c r="N221" s="494">
        <f t="shared" si="44"/>
        <v>7559999.9999999991</v>
      </c>
      <c r="O221" s="376">
        <v>22</v>
      </c>
      <c r="P221" s="440">
        <f>IFERROR(INDEX('[14]CN BC'!$J$10:$J$276,MATCH(B221,'[14]CN BC'!$H$10:$H$276,0)),"")</f>
        <v>22</v>
      </c>
      <c r="Q221" s="494">
        <f t="shared" si="49"/>
        <v>7559999.9999999991</v>
      </c>
      <c r="R221" s="460"/>
      <c r="S221" s="362">
        <f t="shared" si="43"/>
        <v>0</v>
      </c>
      <c r="T221" s="370"/>
      <c r="U221" s="362">
        <f t="shared" si="51"/>
        <v>0</v>
      </c>
      <c r="V221" s="584">
        <f t="shared" si="45"/>
        <v>54000</v>
      </c>
      <c r="W221" s="371">
        <f t="shared" si="50"/>
        <v>7559999.9999999991</v>
      </c>
      <c r="X221" s="977">
        <f t="shared" si="48"/>
        <v>4.1999999999999993</v>
      </c>
      <c r="Y221" s="491">
        <v>1800000</v>
      </c>
      <c r="Z221" s="663">
        <f t="shared" si="47"/>
        <v>7559999.9999999991</v>
      </c>
      <c r="AA221" s="568">
        <f t="shared" si="46"/>
        <v>199</v>
      </c>
      <c r="AB221" s="493">
        <f>IFERROR(INDEX('[14]CN BC'!$M$10:$M$276,MATCH(B221,'[14]CN BC'!$H$10:$H$276,0)),"")</f>
        <v>0</v>
      </c>
      <c r="AC221" s="945" t="str">
        <f>VLOOKUP(B221,TH.T4!B219:AC549,28,FALSE)</f>
        <v>CK</v>
      </c>
      <c r="AD221" s="108"/>
      <c r="AE221" s="108"/>
      <c r="AF221" s="487"/>
    </row>
    <row r="222" spans="1:42" s="372" customFormat="1" ht="36" customHeight="1">
      <c r="A222" s="379">
        <f>_xlfn.AGGREGATE(4,7,A$22:A221)+1</f>
        <v>200</v>
      </c>
      <c r="B222" s="374" t="s">
        <v>1994</v>
      </c>
      <c r="C222" s="956"/>
      <c r="D222" s="434"/>
      <c r="E222" s="423"/>
      <c r="F222" s="81" t="str">
        <f>VLOOKUP(B222,TH.T4!B220:J550,9,FALSE)</f>
        <v>Giảng viên khoa Cơ khí</v>
      </c>
      <c r="G222" s="366">
        <v>4.32</v>
      </c>
      <c r="H222" s="367"/>
      <c r="I222" s="368">
        <f t="shared" si="40"/>
        <v>4.32</v>
      </c>
      <c r="J222" s="368"/>
      <c r="K222" s="369">
        <f t="shared" si="41"/>
        <v>4.32</v>
      </c>
      <c r="L222" s="362">
        <f t="shared" si="42"/>
        <v>7776000.0000000009</v>
      </c>
      <c r="M222" s="366" t="str">
        <f>VLOOKUP(B222,'[13]Gui chi Quynh'!$B$11:$E$400,4,FALSE)</f>
        <v>A4</v>
      </c>
      <c r="N222" s="494">
        <f t="shared" si="44"/>
        <v>7776000.0000000009</v>
      </c>
      <c r="O222" s="376">
        <v>22</v>
      </c>
      <c r="P222" s="440">
        <f>IFERROR(INDEX('[14]CN BC'!$J$10:$J$276,MATCH(B222,'[14]CN BC'!$H$10:$H$276,0)),"")</f>
        <v>22</v>
      </c>
      <c r="Q222" s="494">
        <f t="shared" si="49"/>
        <v>7776000.0000000009</v>
      </c>
      <c r="R222" s="460"/>
      <c r="S222" s="362">
        <f t="shared" si="43"/>
        <v>0</v>
      </c>
      <c r="T222" s="370"/>
      <c r="U222" s="362">
        <f t="shared" si="51"/>
        <v>0</v>
      </c>
      <c r="V222" s="584">
        <f t="shared" si="45"/>
        <v>77760</v>
      </c>
      <c r="W222" s="371">
        <f t="shared" si="50"/>
        <v>7776000.0000000009</v>
      </c>
      <c r="X222" s="977">
        <f t="shared" si="48"/>
        <v>4.32</v>
      </c>
      <c r="Y222" s="491">
        <v>1800000</v>
      </c>
      <c r="Z222" s="663">
        <f t="shared" si="47"/>
        <v>7776000.0000000009</v>
      </c>
      <c r="AA222" s="568">
        <f t="shared" si="46"/>
        <v>200</v>
      </c>
      <c r="AB222" s="493">
        <f>IFERROR(INDEX('[14]CN BC'!$M$10:$M$276,MATCH(B222,'[14]CN BC'!$H$10:$H$276,0)),"")</f>
        <v>0</v>
      </c>
      <c r="AC222" s="945" t="str">
        <f>VLOOKUP(B222,TH.T4!B220:AC550,28,FALSE)</f>
        <v>CK</v>
      </c>
      <c r="AD222" s="108"/>
      <c r="AE222" s="108"/>
      <c r="AF222" s="155"/>
      <c r="AG222" s="108"/>
      <c r="AH222" s="108"/>
      <c r="AI222" s="108"/>
      <c r="AJ222" s="108"/>
      <c r="AK222" s="108"/>
      <c r="AL222" s="108"/>
    </row>
    <row r="223" spans="1:42" s="372" customFormat="1" ht="25.5" customHeight="1">
      <c r="A223" s="379">
        <f>_xlfn.AGGREGATE(4,7,A$22:A222)+1</f>
        <v>201</v>
      </c>
      <c r="B223" s="374" t="s">
        <v>2000</v>
      </c>
      <c r="C223" s="956"/>
      <c r="D223" s="434"/>
      <c r="E223" s="423"/>
      <c r="F223" s="81" t="str">
        <f>VLOOKUP(B223,TH.T4!B221:J551,9,FALSE)</f>
        <v>Giảng viên khoa Cơ khí</v>
      </c>
      <c r="G223" s="366">
        <v>2.67</v>
      </c>
      <c r="H223" s="367"/>
      <c r="I223" s="368">
        <f t="shared" si="40"/>
        <v>2.67</v>
      </c>
      <c r="J223" s="368"/>
      <c r="K223" s="369">
        <f t="shared" si="41"/>
        <v>2.67</v>
      </c>
      <c r="L223" s="362">
        <f t="shared" si="42"/>
        <v>4806000</v>
      </c>
      <c r="M223" s="366" t="str">
        <f>VLOOKUP(B223,'[13]Gui chi Quynh'!$B$11:$E$400,4,FALSE)</f>
        <v>A4</v>
      </c>
      <c r="N223" s="494">
        <f t="shared" si="44"/>
        <v>4806000</v>
      </c>
      <c r="O223" s="376">
        <v>22</v>
      </c>
      <c r="P223" s="440">
        <f>IFERROR(INDEX('[14]CN BC'!$J$10:$J$276,MATCH(B223,'[14]CN BC'!$H$10:$H$276,0)),"")</f>
        <v>22</v>
      </c>
      <c r="Q223" s="494">
        <f t="shared" si="49"/>
        <v>4806000</v>
      </c>
      <c r="R223" s="460"/>
      <c r="S223" s="362">
        <f>R223*$H$19*1.2</f>
        <v>0</v>
      </c>
      <c r="T223" s="370"/>
      <c r="U223" s="362">
        <f t="shared" si="51"/>
        <v>0</v>
      </c>
      <c r="V223" s="584">
        <f t="shared" si="45"/>
        <v>48060</v>
      </c>
      <c r="W223" s="371">
        <f t="shared" si="50"/>
        <v>4806000</v>
      </c>
      <c r="X223" s="977">
        <f t="shared" si="48"/>
        <v>2.67</v>
      </c>
      <c r="Y223" s="491">
        <v>1800000</v>
      </c>
      <c r="Z223" s="663">
        <f t="shared" si="47"/>
        <v>4806000</v>
      </c>
      <c r="AA223" s="568">
        <f>A223</f>
        <v>201</v>
      </c>
      <c r="AB223" s="493">
        <f>IFERROR(INDEX('[14]CN BC'!$M$10:$M$276,MATCH(B223,'[14]CN BC'!$H$10:$H$276,0)),"")</f>
        <v>0</v>
      </c>
      <c r="AC223" s="945" t="str">
        <f>VLOOKUP(B223,TH.T4!B221:AC551,28,FALSE)</f>
        <v>CK</v>
      </c>
      <c r="AD223" s="108"/>
      <c r="AE223" s="108"/>
      <c r="AF223" s="487"/>
    </row>
    <row r="224" spans="1:42" s="372" customFormat="1" ht="27" customHeight="1">
      <c r="A224" s="379">
        <f>_xlfn.AGGREGATE(4,7,A$22:A223)+1</f>
        <v>202</v>
      </c>
      <c r="B224" s="374" t="s">
        <v>1855</v>
      </c>
      <c r="C224" s="956" t="s">
        <v>939</v>
      </c>
      <c r="D224" s="434" t="s">
        <v>1651</v>
      </c>
      <c r="E224" s="423" t="s">
        <v>1292</v>
      </c>
      <c r="F224" s="81" t="str">
        <f>VLOOKUP(B224,TH.T4!B222:J552,9,FALSE)</f>
        <v>Giảng viên khoa Cơ khí</v>
      </c>
      <c r="G224" s="366">
        <v>4.9800000000000004</v>
      </c>
      <c r="H224" s="367">
        <v>7.0000000000000007E-2</v>
      </c>
      <c r="I224" s="368">
        <f>G224+(G224*H224)</f>
        <v>5.3286000000000007</v>
      </c>
      <c r="J224" s="368">
        <v>0.35</v>
      </c>
      <c r="K224" s="369">
        <f>I224+J224</f>
        <v>5.6786000000000003</v>
      </c>
      <c r="L224" s="362">
        <f>K224*$H$19</f>
        <v>10221480</v>
      </c>
      <c r="M224" s="366" t="str">
        <f>VLOOKUP(B224,'[13]Gui chi Quynh'!$B$11:$E$400,4,FALSE)</f>
        <v>A3</v>
      </c>
      <c r="N224" s="494">
        <f>IF(M224="A1",L224*1.6,IF(M224="A2",L224*1.4,IF(M224="A3",L224*1.2,IF(M224="A4",L224*1,IF(M224="B1",L224*0.7,IF(M224="B2",L224*0.5,IF(M224="C1",L224*0.3,IF(M224="C2",L224*0.2,0))))))))</f>
        <v>12265776</v>
      </c>
      <c r="O224" s="376">
        <v>22</v>
      </c>
      <c r="P224" s="440">
        <f>IFERROR(INDEX('[14]CN BC'!$J$10:$J$276,MATCH(B224,'[14]CN BC'!$H$10:$H$276,0)),"")</f>
        <v>22</v>
      </c>
      <c r="Q224" s="494">
        <f>IF(P224&gt;=O224,N224,N224/O224*P224)</f>
        <v>12265776</v>
      </c>
      <c r="R224" s="460"/>
      <c r="S224" s="362">
        <f>R224*$H$19*1</f>
        <v>0</v>
      </c>
      <c r="T224" s="370"/>
      <c r="U224" s="362">
        <f>T224*$H$19*1</f>
        <v>0</v>
      </c>
      <c r="V224" s="584">
        <f>IF(OR(M224="A DN",M224="KXL", M224=""),"0",ROUND(K224*0.01*$H$19+R224*1%*$H$19+T224*1%*$H$19,))</f>
        <v>102215</v>
      </c>
      <c r="W224" s="371">
        <f>(Q224+S224+U224)</f>
        <v>12265776</v>
      </c>
      <c r="X224" s="977">
        <f t="shared" si="48"/>
        <v>6.8143200000000004</v>
      </c>
      <c r="Y224" s="491">
        <v>1800000</v>
      </c>
      <c r="Z224" s="663">
        <f t="shared" si="47"/>
        <v>12265776</v>
      </c>
      <c r="AA224" s="568">
        <f>A224</f>
        <v>202</v>
      </c>
      <c r="AB224" s="493">
        <f>IFERROR(INDEX('[14]CN BC'!$M$10:$M$276,MATCH(B224,'[14]CN BC'!$H$10:$H$276,0)),"")</f>
        <v>0</v>
      </c>
      <c r="AC224" s="945" t="str">
        <f>VLOOKUP(B224,TH.T4!B222:AC552,28,FALSE)</f>
        <v>CK</v>
      </c>
      <c r="AD224" s="108"/>
      <c r="AE224" s="108"/>
      <c r="AF224" s="155"/>
    </row>
    <row r="225" spans="1:42" s="108" customFormat="1" ht="32.25" customHeight="1">
      <c r="A225" s="379">
        <f>_xlfn.AGGREGATE(4,7,A$22:A224)+1</f>
        <v>203</v>
      </c>
      <c r="B225" s="45" t="s">
        <v>1898</v>
      </c>
      <c r="C225" s="961" t="s">
        <v>1019</v>
      </c>
      <c r="D225" s="406" t="s">
        <v>1781</v>
      </c>
      <c r="E225" s="424" t="s">
        <v>1386</v>
      </c>
      <c r="F225" s="81" t="str">
        <f>VLOOKUP(B225,TH.T4!B223:J553,9,FALSE)</f>
        <v>Trưởng khoa Điện - Điện tử</v>
      </c>
      <c r="G225" s="10">
        <v>4.6500000000000004</v>
      </c>
      <c r="H225" s="157"/>
      <c r="I225" s="368">
        <f t="shared" si="40"/>
        <v>4.6500000000000004</v>
      </c>
      <c r="J225" s="368">
        <v>0.45</v>
      </c>
      <c r="K225" s="369">
        <f t="shared" si="41"/>
        <v>5.1000000000000005</v>
      </c>
      <c r="L225" s="362">
        <f t="shared" si="42"/>
        <v>9180000.0000000019</v>
      </c>
      <c r="M225" s="366" t="str">
        <f>VLOOKUP(B225,'[13]Gui chi Quynh'!$B$11:$E$400,4,FALSE)</f>
        <v>A1</v>
      </c>
      <c r="N225" s="494">
        <f t="shared" si="44"/>
        <v>14688000.000000004</v>
      </c>
      <c r="O225" s="376">
        <v>22</v>
      </c>
      <c r="P225" s="440">
        <f>IFERROR(INDEX('[14]CN BC'!$J$10:$J$276,MATCH(B225,'[14]CN BC'!$H$10:$H$276,0)),"")</f>
        <v>22</v>
      </c>
      <c r="Q225" s="494">
        <f t="shared" si="49"/>
        <v>14688000.000000004</v>
      </c>
      <c r="R225" s="392"/>
      <c r="S225" s="362">
        <f>R225*$H$19*1</f>
        <v>0</v>
      </c>
      <c r="T225" s="385"/>
      <c r="U225" s="362">
        <f t="shared" si="51"/>
        <v>0</v>
      </c>
      <c r="V225" s="584">
        <f t="shared" si="45"/>
        <v>91800</v>
      </c>
      <c r="W225" s="371">
        <f t="shared" si="50"/>
        <v>14688000.000000004</v>
      </c>
      <c r="X225" s="977">
        <f t="shared" si="48"/>
        <v>8.1600000000000019</v>
      </c>
      <c r="Y225" s="491">
        <v>1800000</v>
      </c>
      <c r="Z225" s="663">
        <f t="shared" si="47"/>
        <v>14688000.000000004</v>
      </c>
      <c r="AA225" s="568">
        <f t="shared" si="46"/>
        <v>203</v>
      </c>
      <c r="AB225" s="493">
        <f>IFERROR(INDEX('[14]CN BC'!$M$10:$M$276,MATCH(B225,'[14]CN BC'!$H$10:$H$276,0)),"")</f>
        <v>0</v>
      </c>
      <c r="AC225" s="141" t="str">
        <f>VLOOKUP(B225,TH.T4!B223:AC553,28,FALSE)</f>
        <v>Đ-ĐT</v>
      </c>
      <c r="AF225" s="155"/>
    </row>
    <row r="226" spans="1:42" s="372" customFormat="1" ht="32.25" customHeight="1">
      <c r="A226" s="379">
        <f>_xlfn.AGGREGATE(4,7,A$22:A225)+1</f>
        <v>204</v>
      </c>
      <c r="B226" s="374" t="s">
        <v>526</v>
      </c>
      <c r="C226" s="956" t="s">
        <v>1060</v>
      </c>
      <c r="D226" s="406" t="s">
        <v>1646</v>
      </c>
      <c r="E226" s="423" t="s">
        <v>1398</v>
      </c>
      <c r="F226" s="81" t="str">
        <f>VLOOKUP(B226,TH.T4!B224:J554,9,FALSE)</f>
        <v>Phó Trưởng khoa Điện - Điện tử</v>
      </c>
      <c r="G226" s="366">
        <v>4.9800000000000004</v>
      </c>
      <c r="H226" s="367">
        <v>0.16</v>
      </c>
      <c r="I226" s="368">
        <f t="shared" si="40"/>
        <v>5.7768000000000006</v>
      </c>
      <c r="J226" s="368">
        <f>0.35</f>
        <v>0.35</v>
      </c>
      <c r="K226" s="369">
        <f t="shared" si="41"/>
        <v>6.1268000000000002</v>
      </c>
      <c r="L226" s="362">
        <f t="shared" si="42"/>
        <v>11028240</v>
      </c>
      <c r="M226" s="366" t="str">
        <f>VLOOKUP(B226,'[13]Gui chi Quynh'!$B$11:$E$400,4,FALSE)</f>
        <v>A1</v>
      </c>
      <c r="N226" s="494">
        <f t="shared" si="44"/>
        <v>17645184</v>
      </c>
      <c r="O226" s="376">
        <v>22</v>
      </c>
      <c r="P226" s="440">
        <f>IFERROR(INDEX('[14]CN BC'!$J$10:$J$276,MATCH(B226,'[14]CN BC'!$H$10:$H$276,0)),"")</f>
        <v>22</v>
      </c>
      <c r="Q226" s="494">
        <f t="shared" si="49"/>
        <v>17645184</v>
      </c>
      <c r="R226" s="392"/>
      <c r="S226" s="362">
        <f>R226*$H$19*1</f>
        <v>0</v>
      </c>
      <c r="T226" s="385"/>
      <c r="U226" s="362">
        <f t="shared" si="51"/>
        <v>0</v>
      </c>
      <c r="V226" s="584">
        <f>IF(OR(M226="A DN",M226="KXL", M226=""),"0",ROUND(K226*0.01*$H$19+R226*1%*$H$19+T226*1%*$H$19,))</f>
        <v>110282</v>
      </c>
      <c r="W226" s="371">
        <f t="shared" si="50"/>
        <v>17645184</v>
      </c>
      <c r="X226" s="977">
        <f t="shared" si="48"/>
        <v>9.80288</v>
      </c>
      <c r="Y226" s="491">
        <v>1800000</v>
      </c>
      <c r="Z226" s="663">
        <f t="shared" si="47"/>
        <v>17645184</v>
      </c>
      <c r="AA226" s="568">
        <f t="shared" si="46"/>
        <v>204</v>
      </c>
      <c r="AB226" s="493">
        <f>IFERROR(INDEX('[14]CN BC'!$M$10:$M$276,MATCH(B226,'[14]CN BC'!$H$10:$H$276,0)),"")</f>
        <v>0</v>
      </c>
      <c r="AC226" s="141" t="str">
        <f>VLOOKUP(B226,TH.T4!B224:AC554,28,FALSE)</f>
        <v>Đ-ĐT</v>
      </c>
      <c r="AD226" s="108"/>
      <c r="AE226" s="108"/>
      <c r="AF226" s="155"/>
      <c r="AG226" s="108"/>
      <c r="AH226" s="108"/>
      <c r="AI226" s="108"/>
      <c r="AJ226" s="108"/>
      <c r="AK226" s="108"/>
      <c r="AL226" s="108"/>
      <c r="AM226" s="108"/>
      <c r="AN226" s="108"/>
      <c r="AO226" s="108"/>
      <c r="AP226" s="108"/>
    </row>
    <row r="227" spans="1:42" s="108" customFormat="1" ht="32.25" customHeight="1">
      <c r="A227" s="379">
        <f>_xlfn.AGGREGATE(4,7,A$22:A226)+1</f>
        <v>205</v>
      </c>
      <c r="B227" s="45" t="s">
        <v>1899</v>
      </c>
      <c r="C227" s="970" t="s">
        <v>1046</v>
      </c>
      <c r="D227" s="406" t="s">
        <v>1778</v>
      </c>
      <c r="E227" s="433" t="s">
        <v>1381</v>
      </c>
      <c r="F227" s="81" t="str">
        <f>VLOOKUP(B227,TH.T4!B225:J555,9,FALSE)</f>
        <v>Giảng viên khoa Điện - Điện tử</v>
      </c>
      <c r="G227" s="366">
        <v>4.9800000000000004</v>
      </c>
      <c r="H227" s="367">
        <v>0.06</v>
      </c>
      <c r="I227" s="368">
        <f t="shared" si="40"/>
        <v>5.2788000000000004</v>
      </c>
      <c r="J227" s="368"/>
      <c r="K227" s="369">
        <f t="shared" si="41"/>
        <v>5.2788000000000004</v>
      </c>
      <c r="L227" s="362">
        <f t="shared" si="42"/>
        <v>9501840</v>
      </c>
      <c r="M227" s="366" t="str">
        <f>VLOOKUP(B227,'[13]Gui chi Quynh'!$B$11:$E$400,4,FALSE)</f>
        <v>A3</v>
      </c>
      <c r="N227" s="494">
        <f t="shared" si="44"/>
        <v>11402208</v>
      </c>
      <c r="O227" s="376">
        <v>22</v>
      </c>
      <c r="P227" s="440">
        <f>IFERROR(INDEX('[14]CN BC'!$J$10:$J$276,MATCH(B227,'[14]CN BC'!$H$10:$H$276,0)),"")</f>
        <v>22</v>
      </c>
      <c r="Q227" s="494">
        <f t="shared" si="49"/>
        <v>11402208</v>
      </c>
      <c r="R227" s="392"/>
      <c r="S227" s="362">
        <f t="shared" si="43"/>
        <v>0</v>
      </c>
      <c r="T227" s="404"/>
      <c r="U227" s="362">
        <f t="shared" si="51"/>
        <v>0</v>
      </c>
      <c r="V227" s="584">
        <f t="shared" si="45"/>
        <v>95018</v>
      </c>
      <c r="W227" s="371">
        <f t="shared" si="50"/>
        <v>11402208</v>
      </c>
      <c r="X227" s="977">
        <f t="shared" si="48"/>
        <v>6.3345599999999997</v>
      </c>
      <c r="Y227" s="491">
        <v>1800000</v>
      </c>
      <c r="Z227" s="663">
        <f t="shared" si="47"/>
        <v>11402208</v>
      </c>
      <c r="AA227" s="568">
        <f t="shared" si="46"/>
        <v>205</v>
      </c>
      <c r="AB227" s="493">
        <f>IFERROR(INDEX('[14]CN BC'!$M$10:$M$276,MATCH(B227,'[14]CN BC'!$H$10:$H$276,0)),"")</f>
        <v>0</v>
      </c>
      <c r="AC227" s="141" t="str">
        <f>VLOOKUP(B227,TH.T4!B225:AC555,28,FALSE)</f>
        <v>Đ-ĐT</v>
      </c>
      <c r="AF227" s="155"/>
    </row>
    <row r="228" spans="1:42" s="372" customFormat="1" ht="32.25" customHeight="1">
      <c r="A228" s="379">
        <f>_xlfn.AGGREGATE(4,7,A$22:A227)+1</f>
        <v>206</v>
      </c>
      <c r="B228" s="374" t="s">
        <v>461</v>
      </c>
      <c r="C228" s="960" t="s">
        <v>1185</v>
      </c>
      <c r="D228" s="434" t="s">
        <v>1779</v>
      </c>
      <c r="E228" s="423" t="s">
        <v>1384</v>
      </c>
      <c r="F228" s="81" t="str">
        <f>VLOOKUP(B228,TH.T4!B226:J556,9,FALSE)</f>
        <v>Giảng viên khoa Điện - Điện tử</v>
      </c>
      <c r="G228" s="366">
        <v>4.9800000000000004</v>
      </c>
      <c r="H228" s="367">
        <v>0.06</v>
      </c>
      <c r="I228" s="368">
        <f t="shared" si="40"/>
        <v>5.2788000000000004</v>
      </c>
      <c r="J228" s="368"/>
      <c r="K228" s="369">
        <f t="shared" si="41"/>
        <v>5.2788000000000004</v>
      </c>
      <c r="L228" s="362">
        <f t="shared" si="42"/>
        <v>9501840</v>
      </c>
      <c r="M228" s="366" t="str">
        <f>VLOOKUP(B228,'[13]Gui chi Quynh'!$B$11:$E$400,4,FALSE)</f>
        <v>A3</v>
      </c>
      <c r="N228" s="494">
        <f t="shared" si="44"/>
        <v>11402208</v>
      </c>
      <c r="O228" s="376">
        <v>22</v>
      </c>
      <c r="P228" s="440">
        <f>IFERROR(INDEX('[14]CN BC'!$J$10:$J$276,MATCH(B228,'[14]CN BC'!$H$10:$H$276,0)),"")</f>
        <v>22</v>
      </c>
      <c r="Q228" s="494">
        <f t="shared" si="49"/>
        <v>11402208</v>
      </c>
      <c r="R228" s="460"/>
      <c r="S228" s="362">
        <f t="shared" si="43"/>
        <v>0</v>
      </c>
      <c r="T228" s="370"/>
      <c r="U228" s="362">
        <f t="shared" si="51"/>
        <v>0</v>
      </c>
      <c r="V228" s="584">
        <f t="shared" si="45"/>
        <v>95018</v>
      </c>
      <c r="W228" s="371">
        <f t="shared" si="50"/>
        <v>11402208</v>
      </c>
      <c r="X228" s="977">
        <f t="shared" si="48"/>
        <v>6.3345599999999997</v>
      </c>
      <c r="Y228" s="491">
        <v>1800000</v>
      </c>
      <c r="Z228" s="663">
        <f t="shared" si="47"/>
        <v>11402208</v>
      </c>
      <c r="AA228" s="568">
        <f t="shared" si="46"/>
        <v>206</v>
      </c>
      <c r="AB228" s="493">
        <f>IFERROR(INDEX('[14]CN BC'!$M$10:$M$276,MATCH(B228,'[14]CN BC'!$H$10:$H$276,0)),"")</f>
        <v>0</v>
      </c>
      <c r="AC228" s="141" t="str">
        <f>VLOOKUP(B228,TH.T4!B226:AC556,28,FALSE)</f>
        <v>Đ-ĐT</v>
      </c>
      <c r="AF228" s="487"/>
    </row>
    <row r="229" spans="1:42" s="108" customFormat="1" ht="32.25" customHeight="1">
      <c r="A229" s="379">
        <f>_xlfn.AGGREGATE(4,7,A$22:A228)+1</f>
        <v>207</v>
      </c>
      <c r="B229" s="45" t="s">
        <v>1900</v>
      </c>
      <c r="C229" s="961" t="s">
        <v>1049</v>
      </c>
      <c r="D229" s="406" t="s">
        <v>1780</v>
      </c>
      <c r="E229" s="424" t="s">
        <v>1385</v>
      </c>
      <c r="F229" s="81" t="str">
        <f>VLOOKUP(B229,TH.T4!B227:J557,9,FALSE)</f>
        <v>Giảng viên khoa Điện - Điện tử</v>
      </c>
      <c r="G229" s="10">
        <v>4.6500000000000004</v>
      </c>
      <c r="H229" s="157"/>
      <c r="I229" s="368">
        <f t="shared" si="40"/>
        <v>4.6500000000000004</v>
      </c>
      <c r="J229" s="368"/>
      <c r="K229" s="369">
        <f t="shared" si="41"/>
        <v>4.6500000000000004</v>
      </c>
      <c r="L229" s="362">
        <f t="shared" si="42"/>
        <v>8370000.0000000009</v>
      </c>
      <c r="M229" s="366" t="str">
        <f>VLOOKUP(B229,'[13]Gui chi Quynh'!$B$11:$E$400,4,FALSE)</f>
        <v>A3</v>
      </c>
      <c r="N229" s="494">
        <f t="shared" si="44"/>
        <v>10044000</v>
      </c>
      <c r="O229" s="376">
        <v>22</v>
      </c>
      <c r="P229" s="440">
        <f>IFERROR(INDEX('[14]CN BC'!$J$10:$J$276,MATCH(B229,'[14]CN BC'!$H$10:$H$276,0)),"")</f>
        <v>22</v>
      </c>
      <c r="Q229" s="494">
        <f t="shared" si="49"/>
        <v>10044000</v>
      </c>
      <c r="R229" s="392"/>
      <c r="S229" s="362">
        <f t="shared" si="43"/>
        <v>0</v>
      </c>
      <c r="T229" s="385"/>
      <c r="U229" s="362">
        <f t="shared" si="51"/>
        <v>0</v>
      </c>
      <c r="V229" s="584">
        <f t="shared" si="45"/>
        <v>83700</v>
      </c>
      <c r="W229" s="371">
        <f t="shared" si="50"/>
        <v>10044000</v>
      </c>
      <c r="X229" s="977">
        <f t="shared" si="48"/>
        <v>5.58</v>
      </c>
      <c r="Y229" s="491">
        <v>1800000</v>
      </c>
      <c r="Z229" s="663">
        <f t="shared" si="47"/>
        <v>10044000</v>
      </c>
      <c r="AA229" s="568">
        <f t="shared" si="46"/>
        <v>207</v>
      </c>
      <c r="AB229" s="493">
        <f>IFERROR(INDEX('[14]CN BC'!$M$10:$M$276,MATCH(B229,'[14]CN BC'!$H$10:$H$276,0)),"")</f>
        <v>0</v>
      </c>
      <c r="AC229" s="141" t="str">
        <f>VLOOKUP(B229,TH.T4!B227:AC557,28,FALSE)</f>
        <v>Đ-ĐT</v>
      </c>
      <c r="AF229" s="155"/>
    </row>
    <row r="230" spans="1:42" s="108" customFormat="1" ht="32.25" customHeight="1">
      <c r="A230" s="379">
        <f>_xlfn.AGGREGATE(4,7,A$22:A229)+1</f>
        <v>208</v>
      </c>
      <c r="B230" s="45" t="s">
        <v>1901</v>
      </c>
      <c r="C230" s="961" t="s">
        <v>1051</v>
      </c>
      <c r="D230" s="406" t="s">
        <v>1782</v>
      </c>
      <c r="E230" s="424" t="s">
        <v>1387</v>
      </c>
      <c r="F230" s="81" t="str">
        <f>VLOOKUP(B230,TH.T4!B228:J558,9,FALSE)</f>
        <v>Giảng viên khoa Điện - Điện tử</v>
      </c>
      <c r="G230" s="10">
        <v>4.32</v>
      </c>
      <c r="H230" s="157"/>
      <c r="I230" s="368">
        <f t="shared" si="40"/>
        <v>4.32</v>
      </c>
      <c r="J230" s="81"/>
      <c r="K230" s="369">
        <f t="shared" si="41"/>
        <v>4.32</v>
      </c>
      <c r="L230" s="362">
        <f t="shared" si="42"/>
        <v>7776000.0000000009</v>
      </c>
      <c r="M230" s="366" t="str">
        <f>VLOOKUP(B230,'[13]Gui chi Quynh'!$B$11:$E$400,4,FALSE)</f>
        <v>A3</v>
      </c>
      <c r="N230" s="494">
        <f t="shared" si="44"/>
        <v>9331200</v>
      </c>
      <c r="O230" s="376">
        <v>22</v>
      </c>
      <c r="P230" s="440">
        <f>IFERROR(INDEX('[14]CN BC'!$J$10:$J$276,MATCH(B230,'[14]CN BC'!$H$10:$H$276,0)),"")</f>
        <v>22</v>
      </c>
      <c r="Q230" s="494">
        <f t="shared" si="49"/>
        <v>9331200</v>
      </c>
      <c r="R230" s="392"/>
      <c r="S230" s="362">
        <f t="shared" si="43"/>
        <v>0</v>
      </c>
      <c r="T230" s="385"/>
      <c r="U230" s="362">
        <f t="shared" si="51"/>
        <v>0</v>
      </c>
      <c r="V230" s="584">
        <f t="shared" si="45"/>
        <v>77760</v>
      </c>
      <c r="W230" s="371">
        <f t="shared" si="50"/>
        <v>9331200</v>
      </c>
      <c r="X230" s="977">
        <f t="shared" si="48"/>
        <v>5.1840000000000002</v>
      </c>
      <c r="Y230" s="491">
        <v>1800000</v>
      </c>
      <c r="Z230" s="663">
        <f t="shared" si="47"/>
        <v>9331200</v>
      </c>
      <c r="AA230" s="568">
        <f t="shared" si="46"/>
        <v>208</v>
      </c>
      <c r="AB230" s="493">
        <f>IFERROR(INDEX('[14]CN BC'!$M$10:$M$276,MATCH(B230,'[14]CN BC'!$H$10:$H$276,0)),"")</f>
        <v>0</v>
      </c>
      <c r="AC230" s="141" t="str">
        <f>VLOOKUP(B230,TH.T4!B228:AC558,28,FALSE)</f>
        <v>Đ-ĐT</v>
      </c>
      <c r="AF230" s="155"/>
    </row>
    <row r="231" spans="1:42" s="108" customFormat="1" ht="32.25" customHeight="1">
      <c r="A231" s="379">
        <f>_xlfn.AGGREGATE(4,7,A$22:A230)+1</f>
        <v>209</v>
      </c>
      <c r="B231" s="45" t="s">
        <v>1534</v>
      </c>
      <c r="C231" s="961" t="s">
        <v>1053</v>
      </c>
      <c r="D231" s="406" t="s">
        <v>1783</v>
      </c>
      <c r="E231" s="424" t="s">
        <v>1388</v>
      </c>
      <c r="F231" s="81" t="str">
        <f>VLOOKUP(B231,TH.T4!B229:J559,9,FALSE)</f>
        <v>Giảng viên khoa
Điện - Điện tử</v>
      </c>
      <c r="G231" s="10">
        <v>4.32</v>
      </c>
      <c r="H231" s="157"/>
      <c r="I231" s="368">
        <f t="shared" si="40"/>
        <v>4.32</v>
      </c>
      <c r="J231" s="81"/>
      <c r="K231" s="369">
        <f t="shared" si="41"/>
        <v>4.32</v>
      </c>
      <c r="L231" s="362">
        <f t="shared" si="42"/>
        <v>7776000.0000000009</v>
      </c>
      <c r="M231" s="366" t="str">
        <f>VLOOKUP(B231,'[13]Gui chi Quynh'!$B$11:$E$400,4,FALSE)</f>
        <v>A3</v>
      </c>
      <c r="N231" s="494">
        <f t="shared" si="44"/>
        <v>9331200</v>
      </c>
      <c r="O231" s="376">
        <v>22</v>
      </c>
      <c r="P231" s="440">
        <f>IFERROR(INDEX('[14]CN BC'!$J$10:$J$276,MATCH(B231,'[14]CN BC'!$H$10:$H$276,0)),"")</f>
        <v>22</v>
      </c>
      <c r="Q231" s="494">
        <f t="shared" si="49"/>
        <v>9331200</v>
      </c>
      <c r="R231" s="392"/>
      <c r="S231" s="362">
        <f t="shared" si="43"/>
        <v>0</v>
      </c>
      <c r="T231" s="385"/>
      <c r="U231" s="362">
        <f t="shared" si="51"/>
        <v>0</v>
      </c>
      <c r="V231" s="584">
        <f t="shared" si="45"/>
        <v>77760</v>
      </c>
      <c r="W231" s="371">
        <f t="shared" si="50"/>
        <v>9331200</v>
      </c>
      <c r="X231" s="977">
        <f t="shared" si="48"/>
        <v>5.1840000000000002</v>
      </c>
      <c r="Y231" s="491">
        <v>1800000</v>
      </c>
      <c r="Z231" s="663">
        <f t="shared" si="47"/>
        <v>9331200</v>
      </c>
      <c r="AA231" s="568">
        <f t="shared" si="46"/>
        <v>209</v>
      </c>
      <c r="AB231" s="493">
        <f>IFERROR(INDEX('[14]CN BC'!$M$10:$M$276,MATCH(B231,'[14]CN BC'!$H$10:$H$276,0)),"")</f>
        <v>0</v>
      </c>
      <c r="AC231" s="141" t="str">
        <f>VLOOKUP(B231,TH.T4!B229:AC559,28,FALSE)</f>
        <v>Đ-ĐT</v>
      </c>
      <c r="AF231" s="155"/>
    </row>
    <row r="232" spans="1:42" s="372" customFormat="1" ht="32.25" customHeight="1">
      <c r="A232" s="379">
        <f>_xlfn.AGGREGATE(4,7,A$22:A231)+1</f>
        <v>210</v>
      </c>
      <c r="B232" s="374" t="s">
        <v>1535</v>
      </c>
      <c r="C232" s="960" t="s">
        <v>986</v>
      </c>
      <c r="D232" s="434" t="s">
        <v>1784</v>
      </c>
      <c r="E232" s="422" t="s">
        <v>1595</v>
      </c>
      <c r="F232" s="81" t="str">
        <f>VLOOKUP(B232,TH.T4!B230:J560,9,FALSE)</f>
        <v>Trưởng BM Cơ điện tử và Tự động hóa</v>
      </c>
      <c r="G232" s="373">
        <v>3.33</v>
      </c>
      <c r="H232" s="367"/>
      <c r="I232" s="445">
        <f t="shared" si="40"/>
        <v>3.33</v>
      </c>
      <c r="J232" s="368">
        <v>0.25</v>
      </c>
      <c r="K232" s="369">
        <f t="shared" si="41"/>
        <v>3.58</v>
      </c>
      <c r="L232" s="362">
        <f t="shared" si="42"/>
        <v>6444000</v>
      </c>
      <c r="M232" s="366" t="str">
        <f>VLOOKUP(B232,'[13]Gui chi Quynh'!$B$11:$E$400,4,FALSE)</f>
        <v>A2</v>
      </c>
      <c r="N232" s="494">
        <f t="shared" si="44"/>
        <v>9021600</v>
      </c>
      <c r="O232" s="376">
        <v>22</v>
      </c>
      <c r="P232" s="440">
        <f>IFERROR(INDEX('[14]CN BC'!$J$10:$J$276,MATCH(B232,'[14]CN BC'!$H$10:$H$276,0)),"")</f>
        <v>22</v>
      </c>
      <c r="Q232" s="494">
        <f t="shared" si="49"/>
        <v>9021600</v>
      </c>
      <c r="R232" s="460"/>
      <c r="S232" s="362">
        <f t="shared" si="43"/>
        <v>0</v>
      </c>
      <c r="T232" s="370"/>
      <c r="U232" s="362">
        <f t="shared" si="51"/>
        <v>0</v>
      </c>
      <c r="V232" s="584">
        <f t="shared" si="45"/>
        <v>64440</v>
      </c>
      <c r="W232" s="371">
        <f t="shared" si="50"/>
        <v>9021600</v>
      </c>
      <c r="X232" s="977">
        <f t="shared" si="48"/>
        <v>5.0119999999999996</v>
      </c>
      <c r="Y232" s="491">
        <v>1800000</v>
      </c>
      <c r="Z232" s="663">
        <f t="shared" si="47"/>
        <v>9021600</v>
      </c>
      <c r="AA232" s="568">
        <f t="shared" si="46"/>
        <v>210</v>
      </c>
      <c r="AB232" s="493">
        <f>IFERROR(INDEX('[14]CN BC'!$M$10:$M$276,MATCH(B232,'[14]CN BC'!$H$10:$H$276,0)),"")</f>
        <v>0</v>
      </c>
      <c r="AC232" s="141" t="str">
        <f>VLOOKUP(B232,TH.T4!B230:AC560,28,FALSE)</f>
        <v>Đ-ĐT</v>
      </c>
      <c r="AD232" s="108"/>
      <c r="AE232" s="108"/>
      <c r="AF232" s="155"/>
      <c r="AG232" s="108"/>
      <c r="AH232" s="108"/>
      <c r="AI232" s="108"/>
      <c r="AJ232" s="108"/>
      <c r="AK232" s="108"/>
      <c r="AL232" s="108"/>
    </row>
    <row r="233" spans="1:42" s="372" customFormat="1" ht="32.25" customHeight="1">
      <c r="A233" s="379">
        <f>_xlfn.AGGREGATE(4,7,A$22:A232)+1</f>
        <v>211</v>
      </c>
      <c r="B233" s="967" t="s">
        <v>1903</v>
      </c>
      <c r="C233" s="960" t="s">
        <v>1058</v>
      </c>
      <c r="D233" s="434" t="s">
        <v>1786</v>
      </c>
      <c r="E233" s="423" t="s">
        <v>1392</v>
      </c>
      <c r="F233" s="81" t="str">
        <f>VLOOKUP(B233,TH.T4!B231:J561,9,FALSE)</f>
        <v>Giảng viên khoa Điện - Điện tử</v>
      </c>
      <c r="G233" s="373">
        <v>4.32</v>
      </c>
      <c r="H233" s="367"/>
      <c r="I233" s="368">
        <f t="shared" si="40"/>
        <v>4.32</v>
      </c>
      <c r="J233" s="368"/>
      <c r="K233" s="369">
        <f t="shared" si="41"/>
        <v>4.32</v>
      </c>
      <c r="L233" s="362">
        <f t="shared" si="42"/>
        <v>7776000.0000000009</v>
      </c>
      <c r="M233" s="366" t="str">
        <f>VLOOKUP(B233,'[13]Gui chi Quynh'!$B$11:$E$400,4,FALSE)</f>
        <v>A3</v>
      </c>
      <c r="N233" s="494">
        <f t="shared" si="44"/>
        <v>9331200</v>
      </c>
      <c r="O233" s="376">
        <v>22</v>
      </c>
      <c r="P233" s="440">
        <f>IFERROR(INDEX('[14]CN BC'!$J$10:$J$276,MATCH(B233,'[14]CN BC'!$H$10:$H$276,0)),"")</f>
        <v>22</v>
      </c>
      <c r="Q233" s="494">
        <f t="shared" si="49"/>
        <v>9331200</v>
      </c>
      <c r="R233" s="460"/>
      <c r="S233" s="362">
        <f t="shared" si="43"/>
        <v>0</v>
      </c>
      <c r="T233" s="370"/>
      <c r="U233" s="362">
        <f t="shared" si="51"/>
        <v>0</v>
      </c>
      <c r="V233" s="584">
        <f t="shared" si="45"/>
        <v>77760</v>
      </c>
      <c r="W233" s="371">
        <f t="shared" si="50"/>
        <v>9331200</v>
      </c>
      <c r="X233" s="977">
        <f t="shared" si="48"/>
        <v>5.1840000000000002</v>
      </c>
      <c r="Y233" s="491">
        <v>1800000</v>
      </c>
      <c r="Z233" s="663">
        <f t="shared" si="47"/>
        <v>9331200</v>
      </c>
      <c r="AA233" s="568">
        <f t="shared" si="46"/>
        <v>211</v>
      </c>
      <c r="AB233" s="493">
        <f>IFERROR(INDEX('[14]CN BC'!$M$10:$M$276,MATCH(B233,'[14]CN BC'!$H$10:$H$276,0)),"")</f>
        <v>0</v>
      </c>
      <c r="AC233" s="141" t="str">
        <f>VLOOKUP(B233,TH.T4!B231:AC561,28,FALSE)</f>
        <v>Đ-ĐT</v>
      </c>
      <c r="AD233" s="471"/>
      <c r="AE233" s="108"/>
      <c r="AF233" s="155"/>
      <c r="AG233" s="108"/>
      <c r="AH233" s="108"/>
      <c r="AI233" s="108"/>
      <c r="AJ233" s="108"/>
      <c r="AK233" s="108"/>
      <c r="AL233" s="108"/>
    </row>
    <row r="234" spans="1:42" s="372" customFormat="1" ht="32.25" customHeight="1">
      <c r="A234" s="379">
        <f>_xlfn.AGGREGATE(4,7,A$22:A233)+1</f>
        <v>212</v>
      </c>
      <c r="B234" s="374" t="s">
        <v>1904</v>
      </c>
      <c r="C234" s="960" t="s">
        <v>885</v>
      </c>
      <c r="D234" s="406" t="s">
        <v>1787</v>
      </c>
      <c r="E234" s="423" t="s">
        <v>1396</v>
      </c>
      <c r="F234" s="81" t="str">
        <f>VLOOKUP(B234,TH.T4!B232:J562,9,FALSE)</f>
        <v>Giảng viên khoa Điện - Điện tử</v>
      </c>
      <c r="G234" s="366">
        <v>4.6500000000000004</v>
      </c>
      <c r="H234" s="367"/>
      <c r="I234" s="368">
        <f t="shared" si="40"/>
        <v>4.6500000000000004</v>
      </c>
      <c r="J234" s="368"/>
      <c r="K234" s="369">
        <f t="shared" si="41"/>
        <v>4.6500000000000004</v>
      </c>
      <c r="L234" s="362">
        <f t="shared" si="42"/>
        <v>8370000.0000000009</v>
      </c>
      <c r="M234" s="366" t="str">
        <f>VLOOKUP(B234,'[13]Gui chi Quynh'!$B$11:$E$400,4,FALSE)</f>
        <v>A3</v>
      </c>
      <c r="N234" s="494">
        <f t="shared" si="44"/>
        <v>10044000</v>
      </c>
      <c r="O234" s="376">
        <v>22</v>
      </c>
      <c r="P234" s="440">
        <f>IFERROR(INDEX('[14]CN BC'!$J$10:$J$276,MATCH(B234,'[14]CN BC'!$H$10:$H$276,0)),"")</f>
        <v>22</v>
      </c>
      <c r="Q234" s="494">
        <f t="shared" si="49"/>
        <v>10044000</v>
      </c>
      <c r="R234" s="392"/>
      <c r="S234" s="362">
        <f t="shared" si="43"/>
        <v>0</v>
      </c>
      <c r="T234" s="385"/>
      <c r="U234" s="362">
        <f t="shared" si="51"/>
        <v>0</v>
      </c>
      <c r="V234" s="584">
        <f t="shared" si="45"/>
        <v>83700</v>
      </c>
      <c r="W234" s="371">
        <f t="shared" si="50"/>
        <v>10044000</v>
      </c>
      <c r="X234" s="977">
        <f t="shared" si="48"/>
        <v>5.58</v>
      </c>
      <c r="Y234" s="491">
        <v>1800000</v>
      </c>
      <c r="Z234" s="663">
        <f t="shared" si="47"/>
        <v>10044000</v>
      </c>
      <c r="AA234" s="568">
        <f t="shared" si="46"/>
        <v>212</v>
      </c>
      <c r="AB234" s="493">
        <f>IFERROR(INDEX('[14]CN BC'!$M$10:$M$276,MATCH(B234,'[14]CN BC'!$H$10:$H$276,0)),"")</f>
        <v>0</v>
      </c>
      <c r="AC234" s="141" t="str">
        <f>VLOOKUP(B234,TH.T4!B232:AC562,28,FALSE)</f>
        <v>Đ-ĐT</v>
      </c>
      <c r="AD234" s="108"/>
      <c r="AE234" s="108"/>
      <c r="AF234" s="155"/>
      <c r="AG234" s="108"/>
      <c r="AH234" s="108"/>
      <c r="AI234" s="108"/>
      <c r="AJ234" s="108"/>
      <c r="AK234" s="108"/>
      <c r="AL234" s="108"/>
      <c r="AM234" s="108"/>
      <c r="AN234" s="108"/>
      <c r="AO234" s="108"/>
      <c r="AP234" s="108"/>
    </row>
    <row r="235" spans="1:42" s="372" customFormat="1" ht="32.25" customHeight="1">
      <c r="A235" s="379">
        <f>_xlfn.AGGREGATE(4,7,A$22:A234)+1</f>
        <v>213</v>
      </c>
      <c r="B235" s="374" t="s">
        <v>1536</v>
      </c>
      <c r="C235" s="960" t="s">
        <v>947</v>
      </c>
      <c r="D235" s="434" t="s">
        <v>1788</v>
      </c>
      <c r="E235" s="423" t="s">
        <v>389</v>
      </c>
      <c r="F235" s="81" t="str">
        <f>VLOOKUP(B235,TH.T4!B233:J563,9,FALSE)</f>
        <v>Giảng viên khoa
Điện - Điện tử</v>
      </c>
      <c r="G235" s="373">
        <v>3.66</v>
      </c>
      <c r="H235" s="367"/>
      <c r="I235" s="368">
        <f t="shared" si="40"/>
        <v>3.66</v>
      </c>
      <c r="J235" s="368"/>
      <c r="K235" s="369">
        <f t="shared" si="41"/>
        <v>3.66</v>
      </c>
      <c r="L235" s="362">
        <f t="shared" si="42"/>
        <v>6588000</v>
      </c>
      <c r="M235" s="366" t="str">
        <f>VLOOKUP(B235,'[13]Gui chi Quynh'!$B$11:$E$400,4,FALSE)</f>
        <v>A3</v>
      </c>
      <c r="N235" s="494">
        <f t="shared" si="44"/>
        <v>7905600</v>
      </c>
      <c r="O235" s="376">
        <v>22</v>
      </c>
      <c r="P235" s="440">
        <f>IFERROR(INDEX('[14]CN BC'!$J$10:$J$276,MATCH(B235,'[14]CN BC'!$H$10:$H$276,0)),"")</f>
        <v>22</v>
      </c>
      <c r="Q235" s="494">
        <f t="shared" si="49"/>
        <v>7905600</v>
      </c>
      <c r="R235" s="460"/>
      <c r="S235" s="362">
        <f t="shared" si="43"/>
        <v>0</v>
      </c>
      <c r="T235" s="370"/>
      <c r="U235" s="362">
        <f t="shared" si="51"/>
        <v>0</v>
      </c>
      <c r="V235" s="584">
        <f t="shared" si="45"/>
        <v>65880</v>
      </c>
      <c r="W235" s="371">
        <f t="shared" si="50"/>
        <v>7905600</v>
      </c>
      <c r="X235" s="977">
        <f t="shared" si="48"/>
        <v>4.3920000000000003</v>
      </c>
      <c r="Y235" s="491">
        <v>1800000</v>
      </c>
      <c r="Z235" s="663">
        <f t="shared" si="47"/>
        <v>7905600.0000000009</v>
      </c>
      <c r="AA235" s="568">
        <f t="shared" si="46"/>
        <v>213</v>
      </c>
      <c r="AB235" s="493">
        <f>IFERROR(INDEX('[14]CN BC'!$M$10:$M$276,MATCH(B235,'[14]CN BC'!$H$10:$H$276,0)),"")</f>
        <v>0</v>
      </c>
      <c r="AC235" s="141" t="str">
        <f>VLOOKUP(B235,TH.T4!B233:AC563,28,FALSE)</f>
        <v>Đ-ĐT</v>
      </c>
      <c r="AD235" s="108"/>
      <c r="AE235" s="108"/>
      <c r="AF235" s="155"/>
      <c r="AG235" s="108"/>
      <c r="AH235" s="108"/>
      <c r="AI235" s="108"/>
      <c r="AJ235" s="108"/>
      <c r="AK235" s="108"/>
      <c r="AL235" s="108"/>
    </row>
    <row r="236" spans="1:42" s="372" customFormat="1" ht="32.25" customHeight="1">
      <c r="A236" s="379">
        <f>_xlfn.AGGREGATE(4,7,A$22:A235)+1</f>
        <v>214</v>
      </c>
      <c r="B236" s="374" t="s">
        <v>1537</v>
      </c>
      <c r="C236" s="960" t="s">
        <v>1199</v>
      </c>
      <c r="D236" s="406" t="s">
        <v>1789</v>
      </c>
      <c r="E236" s="423" t="s">
        <v>1334</v>
      </c>
      <c r="F236" s="81" t="str">
        <f>VLOOKUP(B236,TH.T4!B234:J564,9,FALSE)</f>
        <v>Giảng viên khoa
Điện - Điện tử</v>
      </c>
      <c r="G236" s="373">
        <v>3.99</v>
      </c>
      <c r="H236" s="367"/>
      <c r="I236" s="368">
        <f t="shared" si="40"/>
        <v>3.99</v>
      </c>
      <c r="J236" s="368"/>
      <c r="K236" s="369">
        <f t="shared" si="41"/>
        <v>3.99</v>
      </c>
      <c r="L236" s="362">
        <f t="shared" si="42"/>
        <v>7182000</v>
      </c>
      <c r="M236" s="366" t="str">
        <f>VLOOKUP(B236,'[13]Gui chi Quynh'!$B$11:$E$400,4,FALSE)</f>
        <v>A3</v>
      </c>
      <c r="N236" s="494">
        <f t="shared" si="44"/>
        <v>8618400</v>
      </c>
      <c r="O236" s="376">
        <v>22</v>
      </c>
      <c r="P236" s="440">
        <f>IFERROR(INDEX('[14]CN BC'!$J$10:$J$276,MATCH(B236,'[14]CN BC'!$H$10:$H$276,0)),"")</f>
        <v>22</v>
      </c>
      <c r="Q236" s="494">
        <f t="shared" si="49"/>
        <v>8618400</v>
      </c>
      <c r="R236" s="392"/>
      <c r="S236" s="362">
        <f t="shared" si="43"/>
        <v>0</v>
      </c>
      <c r="T236" s="370"/>
      <c r="U236" s="362">
        <f t="shared" si="51"/>
        <v>0</v>
      </c>
      <c r="V236" s="584">
        <f t="shared" si="45"/>
        <v>71820</v>
      </c>
      <c r="W236" s="371">
        <f t="shared" si="50"/>
        <v>8618400</v>
      </c>
      <c r="X236" s="977">
        <f t="shared" si="48"/>
        <v>4.7880000000000003</v>
      </c>
      <c r="Y236" s="491">
        <v>1800000</v>
      </c>
      <c r="Z236" s="663">
        <f t="shared" si="47"/>
        <v>8618400</v>
      </c>
      <c r="AA236" s="568">
        <f t="shared" si="46"/>
        <v>214</v>
      </c>
      <c r="AB236" s="493">
        <f>IFERROR(INDEX('[14]CN BC'!$M$10:$M$276,MATCH(B236,'[14]CN BC'!$H$10:$H$276,0)),"")</f>
        <v>0</v>
      </c>
      <c r="AC236" s="141" t="str">
        <f>VLOOKUP(B236,TH.T4!B234:AC564,28,FALSE)</f>
        <v>Đ-ĐT</v>
      </c>
      <c r="AD236" s="108"/>
      <c r="AE236" s="108"/>
      <c r="AF236" s="155"/>
      <c r="AG236" s="108"/>
      <c r="AH236" s="108"/>
      <c r="AI236" s="108"/>
      <c r="AJ236" s="108"/>
      <c r="AK236" s="108"/>
      <c r="AL236" s="108"/>
      <c r="AM236" s="108"/>
      <c r="AN236" s="108"/>
      <c r="AO236" s="108"/>
      <c r="AP236" s="108"/>
    </row>
    <row r="237" spans="1:42" s="372" customFormat="1" ht="32.25" customHeight="1">
      <c r="A237" s="379">
        <f>_xlfn.AGGREGATE(4,7,A$22:A236)+1</f>
        <v>215</v>
      </c>
      <c r="B237" s="374" t="s">
        <v>1905</v>
      </c>
      <c r="C237" s="960" t="s">
        <v>1207</v>
      </c>
      <c r="D237" s="406" t="s">
        <v>1790</v>
      </c>
      <c r="E237" s="428" t="s">
        <v>463</v>
      </c>
      <c r="F237" s="81" t="str">
        <f>VLOOKUP(B237,TH.T4!B235:J565,9,FALSE)</f>
        <v>Giảng viên khoa Điện - Điện tử</v>
      </c>
      <c r="G237" s="373">
        <v>3.66</v>
      </c>
      <c r="H237" s="367"/>
      <c r="I237" s="445">
        <f t="shared" si="40"/>
        <v>3.66</v>
      </c>
      <c r="J237" s="368"/>
      <c r="K237" s="369">
        <f t="shared" si="41"/>
        <v>3.66</v>
      </c>
      <c r="L237" s="362">
        <f t="shared" si="42"/>
        <v>6588000</v>
      </c>
      <c r="M237" s="366" t="str">
        <f>VLOOKUP(B237,'[13]Gui chi Quynh'!$B$11:$E$400,4,FALSE)</f>
        <v>A3</v>
      </c>
      <c r="N237" s="494">
        <f t="shared" si="44"/>
        <v>7905600</v>
      </c>
      <c r="O237" s="376">
        <v>22</v>
      </c>
      <c r="P237" s="440">
        <f>IFERROR(INDEX('[14]CN BC'!$J$10:$J$276,MATCH(B237,'[14]CN BC'!$H$10:$H$276,0)),"")</f>
        <v>22</v>
      </c>
      <c r="Q237" s="494">
        <f t="shared" si="49"/>
        <v>7905600</v>
      </c>
      <c r="R237" s="392"/>
      <c r="S237" s="362">
        <f t="shared" si="43"/>
        <v>0</v>
      </c>
      <c r="T237" s="385"/>
      <c r="U237" s="362">
        <f t="shared" si="51"/>
        <v>0</v>
      </c>
      <c r="V237" s="584">
        <f t="shared" si="45"/>
        <v>65880</v>
      </c>
      <c r="W237" s="371">
        <f t="shared" si="50"/>
        <v>7905600</v>
      </c>
      <c r="X237" s="977">
        <f t="shared" si="48"/>
        <v>4.3920000000000003</v>
      </c>
      <c r="Y237" s="491">
        <v>1800000</v>
      </c>
      <c r="Z237" s="663">
        <f t="shared" si="47"/>
        <v>7905600.0000000009</v>
      </c>
      <c r="AA237" s="568">
        <f t="shared" si="46"/>
        <v>215</v>
      </c>
      <c r="AB237" s="493">
        <f>IFERROR(INDEX('[14]CN BC'!$M$10:$M$276,MATCH(B237,'[14]CN BC'!$H$10:$H$276,0)),"")</f>
        <v>0</v>
      </c>
      <c r="AC237" s="141" t="str">
        <f>VLOOKUP(B237,TH.T4!B235:AC565,28,FALSE)</f>
        <v>Đ-ĐT</v>
      </c>
      <c r="AD237" s="108"/>
      <c r="AE237" s="108"/>
      <c r="AF237" s="155"/>
      <c r="AG237" s="108"/>
      <c r="AH237" s="108"/>
      <c r="AI237" s="108"/>
      <c r="AJ237" s="108"/>
      <c r="AK237" s="108"/>
      <c r="AL237" s="108"/>
      <c r="AM237" s="108"/>
      <c r="AN237" s="108"/>
      <c r="AO237" s="108"/>
      <c r="AP237" s="108"/>
    </row>
    <row r="238" spans="1:42" s="372" customFormat="1" ht="32.25" customHeight="1">
      <c r="A238" s="379">
        <f>_xlfn.AGGREGATE(4,7,A$22:A237)+1</f>
        <v>216</v>
      </c>
      <c r="B238" s="374" t="s">
        <v>1538</v>
      </c>
      <c r="C238" s="960" t="s">
        <v>1019</v>
      </c>
      <c r="D238" s="406" t="s">
        <v>1791</v>
      </c>
      <c r="E238" s="428" t="s">
        <v>510</v>
      </c>
      <c r="F238" s="81" t="str">
        <f>VLOOKUP(B238,TH.T4!B236:J566,9,FALSE)</f>
        <v>Giảng viên khoa
Điện - Điện tử</v>
      </c>
      <c r="G238" s="373">
        <v>3.66</v>
      </c>
      <c r="H238" s="367"/>
      <c r="I238" s="368">
        <f t="shared" si="40"/>
        <v>3.66</v>
      </c>
      <c r="J238" s="368"/>
      <c r="K238" s="369">
        <f t="shared" si="41"/>
        <v>3.66</v>
      </c>
      <c r="L238" s="362">
        <f t="shared" si="42"/>
        <v>6588000</v>
      </c>
      <c r="M238" s="366" t="str">
        <f>VLOOKUP(B238,'[13]Gui chi Quynh'!$B$11:$E$400,4,FALSE)</f>
        <v>A1</v>
      </c>
      <c r="N238" s="494">
        <f t="shared" si="44"/>
        <v>10540800</v>
      </c>
      <c r="O238" s="376">
        <v>22</v>
      </c>
      <c r="P238" s="440">
        <f>IFERROR(INDEX('[14]CN BC'!$J$10:$J$276,MATCH(B238,'[14]CN BC'!$H$10:$H$276,0)),"")</f>
        <v>22</v>
      </c>
      <c r="Q238" s="494">
        <f t="shared" si="49"/>
        <v>10540800</v>
      </c>
      <c r="R238" s="392"/>
      <c r="S238" s="362">
        <f t="shared" si="43"/>
        <v>0</v>
      </c>
      <c r="T238" s="385"/>
      <c r="U238" s="362">
        <f t="shared" si="51"/>
        <v>0</v>
      </c>
      <c r="V238" s="584">
        <f t="shared" si="45"/>
        <v>65880</v>
      </c>
      <c r="W238" s="371">
        <f t="shared" si="50"/>
        <v>10540800</v>
      </c>
      <c r="X238" s="977">
        <f t="shared" si="48"/>
        <v>5.8559999999999999</v>
      </c>
      <c r="Y238" s="491">
        <v>1800000</v>
      </c>
      <c r="Z238" s="663">
        <f t="shared" si="47"/>
        <v>10540800</v>
      </c>
      <c r="AA238" s="568">
        <f t="shared" si="46"/>
        <v>216</v>
      </c>
      <c r="AB238" s="493">
        <f>IFERROR(INDEX('[14]CN BC'!$M$10:$M$276,MATCH(B238,'[14]CN BC'!$H$10:$H$276,0)),"")</f>
        <v>0</v>
      </c>
      <c r="AC238" s="141" t="str">
        <f>VLOOKUP(B238,TH.T4!B236:AC566,28,FALSE)</f>
        <v>Đ-ĐT</v>
      </c>
      <c r="AD238" s="108"/>
      <c r="AE238" s="108"/>
      <c r="AF238" s="155"/>
      <c r="AG238" s="108"/>
      <c r="AH238" s="108"/>
      <c r="AI238" s="108"/>
      <c r="AJ238" s="108"/>
      <c r="AK238" s="108"/>
      <c r="AL238" s="108"/>
      <c r="AM238" s="108"/>
      <c r="AN238" s="108"/>
      <c r="AO238" s="108"/>
      <c r="AP238" s="108"/>
    </row>
    <row r="239" spans="1:42" s="372" customFormat="1" ht="32.25" customHeight="1">
      <c r="A239" s="379">
        <f>_xlfn.AGGREGATE(4,7,A$22:A238)+1</f>
        <v>217</v>
      </c>
      <c r="B239" s="374" t="s">
        <v>1906</v>
      </c>
      <c r="C239" s="960" t="s">
        <v>917</v>
      </c>
      <c r="D239" s="434" t="s">
        <v>1792</v>
      </c>
      <c r="E239" s="423" t="s">
        <v>1399</v>
      </c>
      <c r="F239" s="81" t="str">
        <f>VLOOKUP(B239,TH.T4!B237:J567,9,FALSE)</f>
        <v>Giảng viên khoa Điện - Điện tử</v>
      </c>
      <c r="G239" s="366">
        <v>4.9800000000000004</v>
      </c>
      <c r="H239" s="367">
        <v>0.09</v>
      </c>
      <c r="I239" s="368">
        <f t="shared" si="40"/>
        <v>5.4282000000000004</v>
      </c>
      <c r="J239" s="368">
        <v>0.35</v>
      </c>
      <c r="K239" s="369">
        <f t="shared" si="41"/>
        <v>5.7782</v>
      </c>
      <c r="L239" s="362">
        <f t="shared" si="42"/>
        <v>10400760</v>
      </c>
      <c r="M239" s="366" t="str">
        <f>VLOOKUP(B239,'[13]Gui chi Quynh'!$B$11:$E$400,4,FALSE)</f>
        <v>A2</v>
      </c>
      <c r="N239" s="494">
        <f t="shared" si="44"/>
        <v>14561064</v>
      </c>
      <c r="O239" s="376">
        <v>22</v>
      </c>
      <c r="P239" s="440">
        <f>IFERROR(INDEX('[14]CN BC'!$J$10:$J$276,MATCH(B239,'[14]CN BC'!$H$10:$H$276,0)),"")</f>
        <v>22</v>
      </c>
      <c r="Q239" s="494">
        <f t="shared" si="49"/>
        <v>14561064</v>
      </c>
      <c r="R239" s="460"/>
      <c r="S239" s="362">
        <f t="shared" si="43"/>
        <v>0</v>
      </c>
      <c r="T239" s="370"/>
      <c r="U239" s="362">
        <f t="shared" si="51"/>
        <v>0</v>
      </c>
      <c r="V239" s="584">
        <f t="shared" si="45"/>
        <v>104008</v>
      </c>
      <c r="W239" s="371">
        <f t="shared" si="50"/>
        <v>14561064</v>
      </c>
      <c r="X239" s="977">
        <f t="shared" si="48"/>
        <v>8.08948</v>
      </c>
      <c r="Y239" s="491">
        <v>1800000</v>
      </c>
      <c r="Z239" s="663">
        <f t="shared" si="47"/>
        <v>14561064</v>
      </c>
      <c r="AA239" s="568">
        <f t="shared" si="46"/>
        <v>217</v>
      </c>
      <c r="AB239" s="493">
        <f>IFERROR(INDEX('[14]CN BC'!$M$10:$M$276,MATCH(B239,'[14]CN BC'!$H$10:$H$276,0)),"")</f>
        <v>0</v>
      </c>
      <c r="AC239" s="141" t="str">
        <f>VLOOKUP(B239,TH.T4!B237:AC567,28,FALSE)</f>
        <v>Đ-ĐT</v>
      </c>
      <c r="AD239" s="108"/>
      <c r="AE239" s="108"/>
      <c r="AF239" s="155"/>
      <c r="AG239" s="108"/>
      <c r="AH239" s="108"/>
      <c r="AI239" s="108"/>
      <c r="AJ239" s="108"/>
      <c r="AK239" s="108"/>
      <c r="AL239" s="108"/>
    </row>
    <row r="240" spans="1:42" s="372" customFormat="1" ht="32.25" customHeight="1">
      <c r="A240" s="379">
        <f>_xlfn.AGGREGATE(4,7,A$22:A239)+1</f>
        <v>218</v>
      </c>
      <c r="B240" s="374" t="s">
        <v>1907</v>
      </c>
      <c r="C240" s="960" t="s">
        <v>878</v>
      </c>
      <c r="D240" s="434" t="s">
        <v>1793</v>
      </c>
      <c r="E240" s="423" t="s">
        <v>1400</v>
      </c>
      <c r="F240" s="81" t="str">
        <f>VLOOKUP(B240,TH.T4!B238:J568,9,FALSE)</f>
        <v>Giảng viên khoa Điện - Điện tử</v>
      </c>
      <c r="G240" s="366">
        <v>4.9800000000000004</v>
      </c>
      <c r="H240" s="367">
        <v>0.12</v>
      </c>
      <c r="I240" s="368">
        <f t="shared" si="40"/>
        <v>5.5776000000000003</v>
      </c>
      <c r="J240" s="368"/>
      <c r="K240" s="369">
        <f t="shared" si="41"/>
        <v>5.5776000000000003</v>
      </c>
      <c r="L240" s="362">
        <f t="shared" si="42"/>
        <v>10039680</v>
      </c>
      <c r="M240" s="366" t="str">
        <f>VLOOKUP(B240,'[13]Gui chi Quynh'!$B$11:$E$400,4,FALSE)</f>
        <v>A4</v>
      </c>
      <c r="N240" s="494">
        <f t="shared" si="44"/>
        <v>10039680</v>
      </c>
      <c r="O240" s="376">
        <v>22</v>
      </c>
      <c r="P240" s="440">
        <f>IFERROR(INDEX('[14]CN BC'!$J$10:$J$276,MATCH(B240,'[14]CN BC'!$H$10:$H$276,0)),"")</f>
        <v>22</v>
      </c>
      <c r="Q240" s="494">
        <f t="shared" si="49"/>
        <v>10039680</v>
      </c>
      <c r="R240" s="460"/>
      <c r="S240" s="362">
        <f t="shared" si="43"/>
        <v>0</v>
      </c>
      <c r="T240" s="370"/>
      <c r="U240" s="362">
        <f t="shared" si="51"/>
        <v>0</v>
      </c>
      <c r="V240" s="584">
        <f t="shared" si="45"/>
        <v>100397</v>
      </c>
      <c r="W240" s="371">
        <f t="shared" si="50"/>
        <v>10039680</v>
      </c>
      <c r="X240" s="977">
        <f t="shared" si="48"/>
        <v>5.5776000000000003</v>
      </c>
      <c r="Y240" s="491">
        <v>1800000</v>
      </c>
      <c r="Z240" s="663">
        <f t="shared" si="47"/>
        <v>10039680</v>
      </c>
      <c r="AA240" s="568">
        <f t="shared" si="46"/>
        <v>218</v>
      </c>
      <c r="AB240" s="493">
        <f>IFERROR(INDEX('[14]CN BC'!$M$10:$M$276,MATCH(B240,'[14]CN BC'!$H$10:$H$276,0)),"")</f>
        <v>0</v>
      </c>
      <c r="AC240" s="141" t="str">
        <f>VLOOKUP(B240,TH.T4!B238:AC568,28,FALSE)</f>
        <v>Đ-ĐT</v>
      </c>
      <c r="AD240" s="108"/>
      <c r="AE240" s="108"/>
      <c r="AF240" s="155"/>
    </row>
    <row r="241" spans="1:42" s="372" customFormat="1" ht="32.25" customHeight="1">
      <c r="A241" s="379">
        <f>_xlfn.AGGREGATE(4,7,A$22:A240)+1</f>
        <v>219</v>
      </c>
      <c r="B241" s="374" t="s">
        <v>1908</v>
      </c>
      <c r="C241" s="960" t="s">
        <v>1064</v>
      </c>
      <c r="D241" s="434" t="s">
        <v>1794</v>
      </c>
      <c r="E241" s="423" t="s">
        <v>1401</v>
      </c>
      <c r="F241" s="81" t="str">
        <f>VLOOKUP(B241,TH.T4!B239:J569,9,FALSE)</f>
        <v>Giảng viên khoa Điện - Điện tử</v>
      </c>
      <c r="G241" s="366">
        <v>4.9800000000000004</v>
      </c>
      <c r="H241" s="367">
        <v>0.09</v>
      </c>
      <c r="I241" s="368">
        <f t="shared" si="40"/>
        <v>5.4282000000000004</v>
      </c>
      <c r="J241" s="368"/>
      <c r="K241" s="369">
        <f t="shared" si="41"/>
        <v>5.4282000000000004</v>
      </c>
      <c r="L241" s="362">
        <f t="shared" si="42"/>
        <v>9770760</v>
      </c>
      <c r="M241" s="366" t="str">
        <f>VLOOKUP(B241,'[13]Gui chi Quynh'!$B$11:$E$400,4,FALSE)</f>
        <v>A3</v>
      </c>
      <c r="N241" s="494">
        <f t="shared" si="44"/>
        <v>11724912</v>
      </c>
      <c r="O241" s="376">
        <v>22</v>
      </c>
      <c r="P241" s="440">
        <f>IFERROR(INDEX('[14]CN BC'!$J$10:$J$276,MATCH(B241,'[14]CN BC'!$H$10:$H$276,0)),"")</f>
        <v>22</v>
      </c>
      <c r="Q241" s="494">
        <f t="shared" si="49"/>
        <v>11724912</v>
      </c>
      <c r="R241" s="460"/>
      <c r="S241" s="362">
        <f t="shared" si="43"/>
        <v>0</v>
      </c>
      <c r="T241" s="370"/>
      <c r="U241" s="362">
        <f t="shared" si="51"/>
        <v>0</v>
      </c>
      <c r="V241" s="584">
        <f t="shared" si="45"/>
        <v>97708</v>
      </c>
      <c r="W241" s="371">
        <f t="shared" si="50"/>
        <v>11724912</v>
      </c>
      <c r="X241" s="977">
        <f t="shared" si="48"/>
        <v>6.5138400000000001</v>
      </c>
      <c r="Y241" s="491">
        <v>1800000</v>
      </c>
      <c r="Z241" s="663">
        <f t="shared" si="47"/>
        <v>11724912</v>
      </c>
      <c r="AA241" s="568">
        <f t="shared" si="46"/>
        <v>219</v>
      </c>
      <c r="AB241" s="493">
        <f>IFERROR(INDEX('[14]CN BC'!$M$10:$M$276,MATCH(B241,'[14]CN BC'!$H$10:$H$276,0)),"")</f>
        <v>0</v>
      </c>
      <c r="AC241" s="141" t="str">
        <f>VLOOKUP(B241,TH.T4!B239:AC569,28,FALSE)</f>
        <v>Đ-ĐT</v>
      </c>
      <c r="AD241" s="108"/>
      <c r="AE241" s="108"/>
      <c r="AF241" s="155"/>
      <c r="AG241" s="108"/>
      <c r="AH241" s="108"/>
      <c r="AI241" s="108"/>
      <c r="AJ241" s="108"/>
      <c r="AK241" s="108"/>
      <c r="AL241" s="108"/>
    </row>
    <row r="242" spans="1:42" s="108" customFormat="1" ht="32.25" customHeight="1">
      <c r="A242" s="379">
        <f>_xlfn.AGGREGATE(4,7,A$22:A241)+1</f>
        <v>220</v>
      </c>
      <c r="B242" s="45" t="s">
        <v>1909</v>
      </c>
      <c r="C242" s="971" t="s">
        <v>1069</v>
      </c>
      <c r="D242" s="407" t="s">
        <v>1795</v>
      </c>
      <c r="E242" s="425" t="s">
        <v>1404</v>
      </c>
      <c r="F242" s="81" t="str">
        <f>VLOOKUP(B242,TH.T4!B240:J570,9,FALSE)</f>
        <v>Giảng viên khoa Điện - Điện tử</v>
      </c>
      <c r="G242" s="366">
        <v>4.32</v>
      </c>
      <c r="H242" s="468"/>
      <c r="I242" s="368">
        <f t="shared" si="40"/>
        <v>4.32</v>
      </c>
      <c r="J242" s="368"/>
      <c r="K242" s="369">
        <f t="shared" si="41"/>
        <v>4.32</v>
      </c>
      <c r="L242" s="362">
        <f t="shared" si="42"/>
        <v>7776000.0000000009</v>
      </c>
      <c r="M242" s="366" t="str">
        <f>VLOOKUP(B242,'[13]Gui chi Quynh'!$B$11:$E$400,4,FALSE)</f>
        <v>A4</v>
      </c>
      <c r="N242" s="494">
        <f t="shared" si="44"/>
        <v>7776000.0000000009</v>
      </c>
      <c r="O242" s="376">
        <v>22</v>
      </c>
      <c r="P242" s="440">
        <f>IFERROR(INDEX('[14]CN BC'!$J$10:$J$276,MATCH(B242,'[14]CN BC'!$H$10:$H$276,0)),"")</f>
        <v>22</v>
      </c>
      <c r="Q242" s="494">
        <f t="shared" si="49"/>
        <v>7776000.0000000009</v>
      </c>
      <c r="R242" s="392"/>
      <c r="S242" s="362">
        <f t="shared" si="43"/>
        <v>0</v>
      </c>
      <c r="T242" s="408"/>
      <c r="U242" s="362">
        <f t="shared" si="51"/>
        <v>0</v>
      </c>
      <c r="V242" s="584">
        <f t="shared" si="45"/>
        <v>77760</v>
      </c>
      <c r="W242" s="371">
        <f t="shared" si="50"/>
        <v>7776000.0000000009</v>
      </c>
      <c r="X242" s="977">
        <f t="shared" si="48"/>
        <v>4.32</v>
      </c>
      <c r="Y242" s="491">
        <v>1800000</v>
      </c>
      <c r="Z242" s="663">
        <f t="shared" si="47"/>
        <v>7776000.0000000009</v>
      </c>
      <c r="AA242" s="568">
        <f t="shared" si="46"/>
        <v>220</v>
      </c>
      <c r="AB242" s="493">
        <f>IFERROR(INDEX('[14]CN BC'!$M$10:$M$276,MATCH(B242,'[14]CN BC'!$H$10:$H$276,0)),"")</f>
        <v>0</v>
      </c>
      <c r="AC242" s="141" t="str">
        <f>VLOOKUP(B242,TH.T4!B240:AC570,28,FALSE)</f>
        <v>Đ-ĐT</v>
      </c>
      <c r="AF242" s="155"/>
    </row>
    <row r="243" spans="1:42" s="108" customFormat="1" ht="32.25" customHeight="1">
      <c r="A243" s="379">
        <f>_xlfn.AGGREGATE(4,7,A$22:A242)+1</f>
        <v>221</v>
      </c>
      <c r="B243" s="45" t="s">
        <v>1539</v>
      </c>
      <c r="C243" s="961" t="s">
        <v>910</v>
      </c>
      <c r="D243" s="406" t="s">
        <v>1796</v>
      </c>
      <c r="E243" s="424" t="s">
        <v>1405</v>
      </c>
      <c r="F243" s="81" t="str">
        <f>VLOOKUP(B243,TH.T4!B241:J571,9,FALSE)</f>
        <v>Giảng viên khoa
Điện - Điện tử</v>
      </c>
      <c r="G243" s="10">
        <v>4.32</v>
      </c>
      <c r="H243" s="157"/>
      <c r="I243" s="368">
        <f t="shared" si="40"/>
        <v>4.32</v>
      </c>
      <c r="J243" s="368"/>
      <c r="K243" s="369">
        <f t="shared" si="41"/>
        <v>4.32</v>
      </c>
      <c r="L243" s="362">
        <f t="shared" si="42"/>
        <v>7776000.0000000009</v>
      </c>
      <c r="M243" s="366" t="str">
        <f>VLOOKUP(B243,'[13]Gui chi Quynh'!$B$11:$E$400,4,FALSE)</f>
        <v>A3</v>
      </c>
      <c r="N243" s="494">
        <f t="shared" si="44"/>
        <v>9331200</v>
      </c>
      <c r="O243" s="376">
        <v>22</v>
      </c>
      <c r="P243" s="440">
        <f>IFERROR(INDEX('[14]CN BC'!$J$10:$J$276,MATCH(B243,'[14]CN BC'!$H$10:$H$276,0)),"")</f>
        <v>22</v>
      </c>
      <c r="Q243" s="494">
        <f t="shared" si="49"/>
        <v>9331200</v>
      </c>
      <c r="R243" s="392"/>
      <c r="S243" s="362">
        <f t="shared" si="43"/>
        <v>0</v>
      </c>
      <c r="T243" s="385"/>
      <c r="U243" s="362">
        <f t="shared" si="51"/>
        <v>0</v>
      </c>
      <c r="V243" s="584">
        <f t="shared" si="45"/>
        <v>77760</v>
      </c>
      <c r="W243" s="371">
        <f t="shared" si="50"/>
        <v>9331200</v>
      </c>
      <c r="X243" s="977">
        <f t="shared" si="48"/>
        <v>5.1840000000000002</v>
      </c>
      <c r="Y243" s="491">
        <v>1800000</v>
      </c>
      <c r="Z243" s="663">
        <f t="shared" si="47"/>
        <v>9331200</v>
      </c>
      <c r="AA243" s="568">
        <f t="shared" si="46"/>
        <v>221</v>
      </c>
      <c r="AB243" s="493">
        <f>IFERROR(INDEX('[14]CN BC'!$M$10:$M$276,MATCH(B243,'[14]CN BC'!$H$10:$H$276,0)),"")</f>
        <v>0</v>
      </c>
      <c r="AC243" s="141" t="str">
        <f>VLOOKUP(B243,TH.T4!B241:AC571,28,FALSE)</f>
        <v>Đ-ĐT</v>
      </c>
      <c r="AF243" s="155"/>
    </row>
    <row r="244" spans="1:42" s="372" customFormat="1" ht="32.25" customHeight="1">
      <c r="A244" s="379">
        <f>_xlfn.AGGREGATE(4,7,A$22:A243)+1</f>
        <v>222</v>
      </c>
      <c r="B244" s="374" t="s">
        <v>1910</v>
      </c>
      <c r="C244" s="960" t="s">
        <v>1072</v>
      </c>
      <c r="D244" s="406" t="s">
        <v>1797</v>
      </c>
      <c r="E244" s="423" t="s">
        <v>1406</v>
      </c>
      <c r="F244" s="81" t="str">
        <f>VLOOKUP(B244,TH.T4!B242:J572,9,FALSE)</f>
        <v>Giảng viên khoa Điện - Điện tử</v>
      </c>
      <c r="G244" s="366">
        <v>4.6500000000000004</v>
      </c>
      <c r="H244" s="367"/>
      <c r="I244" s="368">
        <f t="shared" si="40"/>
        <v>4.6500000000000004</v>
      </c>
      <c r="J244" s="368"/>
      <c r="K244" s="369">
        <f t="shared" si="41"/>
        <v>4.6500000000000004</v>
      </c>
      <c r="L244" s="362">
        <f t="shared" si="42"/>
        <v>8370000.0000000009</v>
      </c>
      <c r="M244" s="366" t="str">
        <f>VLOOKUP(B244,'[13]Gui chi Quynh'!$B$11:$E$400,4,FALSE)</f>
        <v>A3</v>
      </c>
      <c r="N244" s="494">
        <f t="shared" si="44"/>
        <v>10044000</v>
      </c>
      <c r="O244" s="376">
        <v>22</v>
      </c>
      <c r="P244" s="440">
        <f>IFERROR(INDEX('[14]CN BC'!$J$10:$J$276,MATCH(B244,'[14]CN BC'!$H$10:$H$276,0)),"")</f>
        <v>22</v>
      </c>
      <c r="Q244" s="494">
        <f t="shared" si="49"/>
        <v>10044000</v>
      </c>
      <c r="R244" s="392"/>
      <c r="S244" s="362">
        <f t="shared" si="43"/>
        <v>0</v>
      </c>
      <c r="T244" s="385"/>
      <c r="U244" s="362">
        <f t="shared" si="51"/>
        <v>0</v>
      </c>
      <c r="V244" s="584">
        <f t="shared" si="45"/>
        <v>83700</v>
      </c>
      <c r="W244" s="371">
        <f t="shared" si="50"/>
        <v>10044000</v>
      </c>
      <c r="X244" s="977">
        <f t="shared" si="48"/>
        <v>5.58</v>
      </c>
      <c r="Y244" s="491">
        <v>1800000</v>
      </c>
      <c r="Z244" s="663">
        <f t="shared" si="47"/>
        <v>10044000</v>
      </c>
      <c r="AA244" s="568">
        <f t="shared" si="46"/>
        <v>222</v>
      </c>
      <c r="AB244" s="493">
        <f>IFERROR(INDEX('[14]CN BC'!$M$10:$M$276,MATCH(B244,'[14]CN BC'!$H$10:$H$276,0)),"")</f>
        <v>0</v>
      </c>
      <c r="AC244" s="141" t="str">
        <f>VLOOKUP(B244,TH.T4!B242:AC572,28,FALSE)</f>
        <v>Đ-ĐT</v>
      </c>
      <c r="AD244" s="108"/>
      <c r="AE244" s="108"/>
      <c r="AF244" s="155"/>
      <c r="AG244" s="108"/>
      <c r="AH244" s="108"/>
      <c r="AI244" s="108"/>
      <c r="AJ244" s="108"/>
      <c r="AK244" s="108"/>
      <c r="AL244" s="108"/>
      <c r="AM244" s="108"/>
      <c r="AN244" s="108"/>
      <c r="AO244" s="108"/>
      <c r="AP244" s="108"/>
    </row>
    <row r="245" spans="1:42" s="372" customFormat="1" ht="32.25" customHeight="1">
      <c r="A245" s="379">
        <f>_xlfn.AGGREGATE(4,7,A$22:A244)+1</f>
        <v>223</v>
      </c>
      <c r="B245" s="374" t="s">
        <v>1911</v>
      </c>
      <c r="C245" s="960" t="s">
        <v>873</v>
      </c>
      <c r="D245" s="434" t="s">
        <v>1798</v>
      </c>
      <c r="E245" s="423" t="s">
        <v>1407</v>
      </c>
      <c r="F245" s="81" t="str">
        <f>VLOOKUP(B245,TH.T4!B243:J573,9,FALSE)</f>
        <v>Giảng viên khoa Điện - Điện tử</v>
      </c>
      <c r="G245" s="366">
        <v>4.6500000000000004</v>
      </c>
      <c r="H245" s="367"/>
      <c r="I245" s="368">
        <f t="shared" si="40"/>
        <v>4.6500000000000004</v>
      </c>
      <c r="J245" s="368"/>
      <c r="K245" s="369">
        <f t="shared" si="41"/>
        <v>4.6500000000000004</v>
      </c>
      <c r="L245" s="362">
        <f t="shared" si="42"/>
        <v>8370000.0000000009</v>
      </c>
      <c r="M245" s="366" t="str">
        <f>VLOOKUP(B245,'[13]Gui chi Quynh'!$B$11:$E$400,4,FALSE)</f>
        <v>A3</v>
      </c>
      <c r="N245" s="494">
        <f t="shared" si="44"/>
        <v>10044000</v>
      </c>
      <c r="O245" s="376">
        <v>22</v>
      </c>
      <c r="P245" s="440">
        <f>IFERROR(INDEX('[14]CN BC'!$J$10:$J$276,MATCH(B245,'[14]CN BC'!$H$10:$H$276,0)),"")</f>
        <v>22</v>
      </c>
      <c r="Q245" s="494">
        <f t="shared" si="49"/>
        <v>10044000</v>
      </c>
      <c r="R245" s="392"/>
      <c r="S245" s="362">
        <f t="shared" si="43"/>
        <v>0</v>
      </c>
      <c r="T245" s="370"/>
      <c r="U245" s="362">
        <f t="shared" si="51"/>
        <v>0</v>
      </c>
      <c r="V245" s="584">
        <f t="shared" si="45"/>
        <v>83700</v>
      </c>
      <c r="W245" s="371">
        <f t="shared" si="50"/>
        <v>10044000</v>
      </c>
      <c r="X245" s="977">
        <f t="shared" si="48"/>
        <v>5.58</v>
      </c>
      <c r="Y245" s="491">
        <v>1800000</v>
      </c>
      <c r="Z245" s="663">
        <f t="shared" si="47"/>
        <v>10044000</v>
      </c>
      <c r="AA245" s="568">
        <f t="shared" si="46"/>
        <v>223</v>
      </c>
      <c r="AB245" s="493">
        <f>IFERROR(INDEX('[14]CN BC'!$M$10:$M$276,MATCH(B245,'[14]CN BC'!$H$10:$H$276,0)),"")</f>
        <v>0</v>
      </c>
      <c r="AC245" s="141" t="str">
        <f>VLOOKUP(B245,TH.T4!B243:AC573,28,FALSE)</f>
        <v>Đ-ĐT</v>
      </c>
      <c r="AD245" s="108"/>
      <c r="AE245" s="108"/>
      <c r="AF245" s="155"/>
      <c r="AG245" s="108"/>
      <c r="AH245" s="108"/>
      <c r="AI245" s="108"/>
      <c r="AJ245" s="108"/>
      <c r="AK245" s="108"/>
      <c r="AL245" s="108"/>
    </row>
    <row r="246" spans="1:42" s="108" customFormat="1" ht="32.25" customHeight="1">
      <c r="A246" s="379">
        <f>_xlfn.AGGREGATE(4,7,A$22:A245)+1</f>
        <v>224</v>
      </c>
      <c r="B246" s="45" t="s">
        <v>1912</v>
      </c>
      <c r="C246" s="961" t="s">
        <v>867</v>
      </c>
      <c r="D246" s="406" t="s">
        <v>1799</v>
      </c>
      <c r="E246" s="424" t="s">
        <v>1409</v>
      </c>
      <c r="F246" s="81" t="str">
        <f>VLOOKUP(B246,TH.T4!B244:J574,9,FALSE)</f>
        <v>Giảng viên khoa Điện - Điện tử</v>
      </c>
      <c r="G246" s="10">
        <v>4.6500000000000004</v>
      </c>
      <c r="H246" s="157"/>
      <c r="I246" s="368">
        <f t="shared" si="40"/>
        <v>4.6500000000000004</v>
      </c>
      <c r="J246" s="81"/>
      <c r="K246" s="369">
        <f t="shared" si="41"/>
        <v>4.6500000000000004</v>
      </c>
      <c r="L246" s="362">
        <f t="shared" si="42"/>
        <v>8370000.0000000009</v>
      </c>
      <c r="M246" s="366" t="str">
        <f>VLOOKUP(B246,'[13]Gui chi Quynh'!$B$11:$E$400,4,FALSE)</f>
        <v>A3</v>
      </c>
      <c r="N246" s="494">
        <f t="shared" si="44"/>
        <v>10044000</v>
      </c>
      <c r="O246" s="376">
        <v>22</v>
      </c>
      <c r="P246" s="440">
        <f>IFERROR(INDEX('[14]CN BC'!$J$10:$J$276,MATCH(B246,'[14]CN BC'!$H$10:$H$276,0)),"")</f>
        <v>22</v>
      </c>
      <c r="Q246" s="494">
        <f t="shared" si="49"/>
        <v>10044000</v>
      </c>
      <c r="R246" s="392"/>
      <c r="S246" s="362">
        <f t="shared" si="43"/>
        <v>0</v>
      </c>
      <c r="T246" s="385"/>
      <c r="U246" s="362">
        <f t="shared" si="51"/>
        <v>0</v>
      </c>
      <c r="V246" s="584">
        <f t="shared" si="45"/>
        <v>83700</v>
      </c>
      <c r="W246" s="371">
        <f t="shared" si="50"/>
        <v>10044000</v>
      </c>
      <c r="X246" s="977">
        <f t="shared" si="48"/>
        <v>5.58</v>
      </c>
      <c r="Y246" s="491">
        <v>1800000</v>
      </c>
      <c r="Z246" s="663">
        <f t="shared" si="47"/>
        <v>10044000</v>
      </c>
      <c r="AA246" s="568">
        <f t="shared" si="46"/>
        <v>224</v>
      </c>
      <c r="AB246" s="493">
        <f>IFERROR(INDEX('[14]CN BC'!$M$10:$M$276,MATCH(B246,'[14]CN BC'!$H$10:$H$276,0)),"")</f>
        <v>0</v>
      </c>
      <c r="AC246" s="141" t="str">
        <f>VLOOKUP(B246,TH.T4!B244:AC574,28,FALSE)</f>
        <v>Đ-ĐT</v>
      </c>
      <c r="AF246" s="155"/>
    </row>
    <row r="247" spans="1:42" s="108" customFormat="1" ht="32.25" customHeight="1">
      <c r="A247" s="379">
        <f>_xlfn.AGGREGATE(4,7,A$22:A246)+1</f>
        <v>225</v>
      </c>
      <c r="B247" s="45" t="s">
        <v>1913</v>
      </c>
      <c r="C247" s="961" t="s">
        <v>1078</v>
      </c>
      <c r="D247" s="406" t="s">
        <v>1800</v>
      </c>
      <c r="E247" s="424" t="s">
        <v>1410</v>
      </c>
      <c r="F247" s="81" t="str">
        <f>VLOOKUP(B247,TH.T4!B245:J575,9,FALSE)</f>
        <v>Giảng viên khoa Điện - Điện tử</v>
      </c>
      <c r="G247" s="10">
        <v>4.6500000000000004</v>
      </c>
      <c r="H247" s="157"/>
      <c r="I247" s="368">
        <f t="shared" si="40"/>
        <v>4.6500000000000004</v>
      </c>
      <c r="J247" s="81"/>
      <c r="K247" s="369">
        <f t="shared" si="41"/>
        <v>4.6500000000000004</v>
      </c>
      <c r="L247" s="362">
        <f t="shared" si="42"/>
        <v>8370000.0000000009</v>
      </c>
      <c r="M247" s="366" t="str">
        <f>VLOOKUP(B247,'[13]Gui chi Quynh'!$B$11:$E$400,4,FALSE)</f>
        <v>A4</v>
      </c>
      <c r="N247" s="494">
        <f t="shared" si="44"/>
        <v>8370000.0000000009</v>
      </c>
      <c r="O247" s="376">
        <v>22</v>
      </c>
      <c r="P247" s="440">
        <f>IFERROR(INDEX('[14]CN BC'!$J$10:$J$276,MATCH(B247,'[14]CN BC'!$H$10:$H$276,0)),"")</f>
        <v>22</v>
      </c>
      <c r="Q247" s="494">
        <f t="shared" si="49"/>
        <v>8370000.0000000009</v>
      </c>
      <c r="R247" s="392"/>
      <c r="S247" s="362">
        <f t="shared" si="43"/>
        <v>0</v>
      </c>
      <c r="T247" s="385"/>
      <c r="U247" s="362">
        <f t="shared" si="51"/>
        <v>0</v>
      </c>
      <c r="V247" s="584">
        <f t="shared" si="45"/>
        <v>83700</v>
      </c>
      <c r="W247" s="371">
        <f t="shared" si="50"/>
        <v>8370000.0000000009</v>
      </c>
      <c r="X247" s="977">
        <f t="shared" si="48"/>
        <v>4.6500000000000004</v>
      </c>
      <c r="Y247" s="491">
        <v>1800000</v>
      </c>
      <c r="Z247" s="663">
        <f t="shared" si="47"/>
        <v>8370000.0000000009</v>
      </c>
      <c r="AA247" s="568">
        <f t="shared" si="46"/>
        <v>225</v>
      </c>
      <c r="AB247" s="493">
        <f>IFERROR(INDEX('[14]CN BC'!$M$10:$M$276,MATCH(B247,'[14]CN BC'!$H$10:$H$276,0)),"")</f>
        <v>0</v>
      </c>
      <c r="AC247" s="141" t="str">
        <f>VLOOKUP(B247,TH.T4!B245:AC575,28,FALSE)</f>
        <v>Đ-ĐT</v>
      </c>
      <c r="AF247" s="155"/>
    </row>
    <row r="248" spans="1:42" s="108" customFormat="1" ht="32.25" customHeight="1">
      <c r="A248" s="379">
        <f>_xlfn.AGGREGATE(4,7,A$22:A247)+1</f>
        <v>226</v>
      </c>
      <c r="B248" s="45" t="s">
        <v>1540</v>
      </c>
      <c r="C248" s="961" t="s">
        <v>1019</v>
      </c>
      <c r="D248" s="406" t="s">
        <v>1801</v>
      </c>
      <c r="E248" s="424" t="s">
        <v>1412</v>
      </c>
      <c r="F248" s="81" t="str">
        <f>VLOOKUP(B248,TH.T4!B246:J576,9,FALSE)</f>
        <v>Giảng viên khoa
Điện - Điện tử</v>
      </c>
      <c r="G248" s="10">
        <v>3.99</v>
      </c>
      <c r="H248" s="157"/>
      <c r="I248" s="368">
        <f t="shared" si="40"/>
        <v>3.99</v>
      </c>
      <c r="J248" s="81"/>
      <c r="K248" s="369">
        <f t="shared" si="41"/>
        <v>3.99</v>
      </c>
      <c r="L248" s="362">
        <f t="shared" si="42"/>
        <v>7182000</v>
      </c>
      <c r="M248" s="366" t="str">
        <f>VLOOKUP(B248,'[13]Gui chi Quynh'!$B$11:$E$400,4,FALSE)</f>
        <v>A2</v>
      </c>
      <c r="N248" s="494">
        <f t="shared" si="44"/>
        <v>10054800</v>
      </c>
      <c r="O248" s="376">
        <v>22</v>
      </c>
      <c r="P248" s="440">
        <f>IFERROR(INDEX('[14]CN BC'!$J$10:$J$276,MATCH(B248,'[14]CN BC'!$H$10:$H$276,0)),"")</f>
        <v>22</v>
      </c>
      <c r="Q248" s="494">
        <f t="shared" si="49"/>
        <v>10054800</v>
      </c>
      <c r="R248" s="392"/>
      <c r="S248" s="362">
        <f t="shared" si="43"/>
        <v>0</v>
      </c>
      <c r="T248" s="385"/>
      <c r="U248" s="362">
        <f t="shared" si="51"/>
        <v>0</v>
      </c>
      <c r="V248" s="584">
        <f t="shared" si="45"/>
        <v>71820</v>
      </c>
      <c r="W248" s="371">
        <f t="shared" si="50"/>
        <v>10054800</v>
      </c>
      <c r="X248" s="977">
        <f t="shared" si="48"/>
        <v>5.5860000000000003</v>
      </c>
      <c r="Y248" s="491">
        <v>1800000</v>
      </c>
      <c r="Z248" s="663">
        <f t="shared" si="47"/>
        <v>10054800</v>
      </c>
      <c r="AA248" s="568">
        <f t="shared" si="46"/>
        <v>226</v>
      </c>
      <c r="AB248" s="493">
        <f>IFERROR(INDEX('[14]CN BC'!$M$10:$M$276,MATCH(B248,'[14]CN BC'!$H$10:$H$276,0)),"")</f>
        <v>0</v>
      </c>
      <c r="AC248" s="141" t="str">
        <f>VLOOKUP(B248,TH.T4!B246:AC576,28,FALSE)</f>
        <v>Đ-ĐT</v>
      </c>
      <c r="AF248" s="155"/>
    </row>
    <row r="249" spans="1:42" s="372" customFormat="1" ht="32.25" customHeight="1">
      <c r="A249" s="379">
        <f>_xlfn.AGGREGATE(4,7,A$22:A248)+1</f>
        <v>227</v>
      </c>
      <c r="B249" s="374" t="s">
        <v>1609</v>
      </c>
      <c r="C249" s="960" t="s">
        <v>876</v>
      </c>
      <c r="D249" s="434" t="s">
        <v>1973</v>
      </c>
      <c r="E249" s="426" t="s">
        <v>1611</v>
      </c>
      <c r="F249" s="81" t="str">
        <f>VLOOKUP(B249,TH.T4!B247:J577,9,FALSE)</f>
        <v>Giảng viên khoa
Điện - Điện tử</v>
      </c>
      <c r="G249" s="373">
        <v>3.33</v>
      </c>
      <c r="H249" s="367"/>
      <c r="I249" s="445">
        <f t="shared" ref="I249:I288" si="52">G249+(G249*H249)</f>
        <v>3.33</v>
      </c>
      <c r="J249" s="368"/>
      <c r="K249" s="369">
        <f t="shared" ref="K249:K288" si="53">I249+J249</f>
        <v>3.33</v>
      </c>
      <c r="L249" s="362">
        <f t="shared" ref="L249:L288" si="54">K249*$H$19</f>
        <v>5994000</v>
      </c>
      <c r="M249" s="366" t="str">
        <f>VLOOKUP(B249,'[13]Gui chi Quynh'!$B$11:$E$400,4,FALSE)</f>
        <v>A3</v>
      </c>
      <c r="N249" s="494">
        <f t="shared" si="44"/>
        <v>7192800</v>
      </c>
      <c r="O249" s="376">
        <v>22</v>
      </c>
      <c r="P249" s="440">
        <f>IFERROR(INDEX('[14]CN BC'!$J$10:$J$276,MATCH(B249,'[14]CN BC'!$H$10:$H$276,0)),"")</f>
        <v>22</v>
      </c>
      <c r="Q249" s="494">
        <f t="shared" si="49"/>
        <v>7192800</v>
      </c>
      <c r="R249" s="460"/>
      <c r="S249" s="362">
        <f t="shared" si="43"/>
        <v>0</v>
      </c>
      <c r="T249" s="370"/>
      <c r="U249" s="362">
        <f t="shared" si="51"/>
        <v>0</v>
      </c>
      <c r="V249" s="584">
        <f t="shared" si="45"/>
        <v>59940</v>
      </c>
      <c r="W249" s="371">
        <f t="shared" si="50"/>
        <v>7192800</v>
      </c>
      <c r="X249" s="977">
        <f t="shared" si="48"/>
        <v>3.996</v>
      </c>
      <c r="Y249" s="491">
        <v>1800000</v>
      </c>
      <c r="Z249" s="663">
        <f t="shared" si="47"/>
        <v>7192800</v>
      </c>
      <c r="AA249" s="568">
        <f t="shared" si="46"/>
        <v>227</v>
      </c>
      <c r="AB249" s="493">
        <f>IFERROR(INDEX('[14]CN BC'!$M$10:$M$276,MATCH(B249,'[14]CN BC'!$H$10:$H$276,0)),"")</f>
        <v>0</v>
      </c>
      <c r="AC249" s="141" t="str">
        <f>VLOOKUP(B249,TH.T4!B247:AC577,28,FALSE)</f>
        <v>Đ-ĐT</v>
      </c>
      <c r="AD249" s="108"/>
      <c r="AE249" s="108"/>
      <c r="AF249" s="155"/>
      <c r="AG249" s="108"/>
      <c r="AH249" s="108"/>
      <c r="AI249" s="108"/>
      <c r="AJ249" s="108"/>
      <c r="AK249" s="108"/>
      <c r="AL249" s="108"/>
    </row>
    <row r="250" spans="1:42" s="372" customFormat="1" ht="32.25" customHeight="1">
      <c r="A250" s="379">
        <f>_xlfn.AGGREGATE(4,7,A$22:A249)+1</f>
        <v>228</v>
      </c>
      <c r="B250" s="374" t="s">
        <v>1610</v>
      </c>
      <c r="C250" s="960" t="s">
        <v>885</v>
      </c>
      <c r="D250" s="434" t="s">
        <v>1974</v>
      </c>
      <c r="E250" s="426" t="s">
        <v>1612</v>
      </c>
      <c r="F250" s="81" t="str">
        <f>VLOOKUP(B250,TH.T4!B248:J578,9,FALSE)</f>
        <v>Giảng viên khoa
Điện - Điện tử</v>
      </c>
      <c r="G250" s="366">
        <v>2.67</v>
      </c>
      <c r="H250" s="367"/>
      <c r="I250" s="368">
        <f t="shared" si="52"/>
        <v>2.67</v>
      </c>
      <c r="J250" s="368">
        <v>0.25</v>
      </c>
      <c r="K250" s="369">
        <f t="shared" si="53"/>
        <v>2.92</v>
      </c>
      <c r="L250" s="362">
        <f t="shared" si="54"/>
        <v>5256000</v>
      </c>
      <c r="M250" s="366" t="str">
        <f>VLOOKUP(B250,'[13]Gui chi Quynh'!$B$11:$E$400,4,FALSE)</f>
        <v>A3</v>
      </c>
      <c r="N250" s="494">
        <f t="shared" si="44"/>
        <v>6307200</v>
      </c>
      <c r="O250" s="376">
        <v>22</v>
      </c>
      <c r="P250" s="440">
        <f>IFERROR(INDEX('[14]CN BC'!$J$10:$J$276,MATCH(B250,'[14]CN BC'!$H$10:$H$276,0)),"")</f>
        <v>22</v>
      </c>
      <c r="Q250" s="494">
        <f t="shared" si="49"/>
        <v>6307200</v>
      </c>
      <c r="R250" s="460"/>
      <c r="S250" s="362">
        <f t="shared" si="43"/>
        <v>0</v>
      </c>
      <c r="T250" s="370"/>
      <c r="U250" s="362">
        <f t="shared" si="51"/>
        <v>0</v>
      </c>
      <c r="V250" s="584">
        <f t="shared" si="45"/>
        <v>52560</v>
      </c>
      <c r="W250" s="371">
        <f t="shared" si="50"/>
        <v>6307200</v>
      </c>
      <c r="X250" s="977">
        <f t="shared" si="48"/>
        <v>3.504</v>
      </c>
      <c r="Y250" s="491">
        <v>1800000</v>
      </c>
      <c r="Z250" s="663">
        <f t="shared" si="47"/>
        <v>6307200</v>
      </c>
      <c r="AA250" s="568">
        <f t="shared" si="46"/>
        <v>228</v>
      </c>
      <c r="AB250" s="493">
        <f>IFERROR(INDEX('[14]CN BC'!$M$10:$M$276,MATCH(B250,'[14]CN BC'!$H$10:$H$276,0)),"")</f>
        <v>0</v>
      </c>
      <c r="AC250" s="141" t="str">
        <f>VLOOKUP(B250,TH.T4!B248:AC578,28,FALSE)</f>
        <v>Đ-ĐT</v>
      </c>
      <c r="AD250" s="108"/>
      <c r="AE250" s="108"/>
      <c r="AF250" s="155"/>
      <c r="AG250" s="108"/>
      <c r="AH250" s="108"/>
      <c r="AI250" s="108"/>
      <c r="AJ250" s="108"/>
      <c r="AK250" s="108"/>
      <c r="AL250" s="108"/>
    </row>
    <row r="251" spans="1:42" s="372" customFormat="1" ht="32.25" customHeight="1">
      <c r="A251" s="379">
        <f>_xlfn.AGGREGATE(4,7,A$22:A250)+1</f>
        <v>229</v>
      </c>
      <c r="B251" s="967" t="s">
        <v>1838</v>
      </c>
      <c r="C251" s="960"/>
      <c r="D251" s="434" t="s">
        <v>1975</v>
      </c>
      <c r="E251" s="102">
        <v>1603205590132</v>
      </c>
      <c r="F251" s="81" t="str">
        <f>VLOOKUP(B251,TH.T4!B249:J579,9,FALSE)</f>
        <v>Giảng viên khoa
Điện - Điện tử</v>
      </c>
      <c r="G251" s="366">
        <v>2.67</v>
      </c>
      <c r="H251" s="367"/>
      <c r="I251" s="368">
        <f t="shared" si="52"/>
        <v>2.67</v>
      </c>
      <c r="J251" s="368">
        <v>0.25</v>
      </c>
      <c r="K251" s="369">
        <f t="shared" si="53"/>
        <v>2.92</v>
      </c>
      <c r="L251" s="362">
        <f t="shared" si="54"/>
        <v>5256000</v>
      </c>
      <c r="M251" s="366" t="str">
        <f>VLOOKUP(B251,'[13]Gui chi Quynh'!$B$11:$E$400,4,FALSE)</f>
        <v>A3</v>
      </c>
      <c r="N251" s="494">
        <f t="shared" si="44"/>
        <v>6307200</v>
      </c>
      <c r="O251" s="376">
        <v>22</v>
      </c>
      <c r="P251" s="440">
        <f>IFERROR(INDEX('[14]CN BC'!$J$10:$J$276,MATCH(B251,'[14]CN BC'!$H$10:$H$276,0)),"")</f>
        <v>22</v>
      </c>
      <c r="Q251" s="494">
        <f t="shared" si="49"/>
        <v>6307200</v>
      </c>
      <c r="R251" s="392"/>
      <c r="S251" s="362">
        <f t="shared" si="43"/>
        <v>0</v>
      </c>
      <c r="T251" s="370"/>
      <c r="U251" s="362">
        <f t="shared" si="51"/>
        <v>0</v>
      </c>
      <c r="V251" s="584">
        <f t="shared" si="45"/>
        <v>52560</v>
      </c>
      <c r="W251" s="371">
        <f t="shared" si="50"/>
        <v>6307200</v>
      </c>
      <c r="X251" s="977">
        <f t="shared" si="48"/>
        <v>3.504</v>
      </c>
      <c r="Y251" s="491">
        <v>1800000</v>
      </c>
      <c r="Z251" s="663">
        <f t="shared" si="47"/>
        <v>6307200</v>
      </c>
      <c r="AA251" s="568">
        <f t="shared" si="46"/>
        <v>229</v>
      </c>
      <c r="AB251" s="493">
        <f>IFERROR(INDEX('[14]CN BC'!$M$10:$M$276,MATCH(B251,'[14]CN BC'!$H$10:$H$276,0)),"")</f>
        <v>0</v>
      </c>
      <c r="AC251" s="141" t="str">
        <f>VLOOKUP(B251,TH.T4!B249:AC579,28,FALSE)</f>
        <v>Đ-ĐT</v>
      </c>
      <c r="AD251" s="108"/>
      <c r="AE251" s="108"/>
      <c r="AF251" s="155"/>
      <c r="AG251" s="108"/>
      <c r="AH251" s="108"/>
      <c r="AI251" s="108"/>
      <c r="AJ251" s="108"/>
      <c r="AK251" s="108"/>
      <c r="AL251" s="108"/>
    </row>
    <row r="252" spans="1:42" s="372" customFormat="1" ht="32.25" customHeight="1">
      <c r="A252" s="379">
        <f>_xlfn.AGGREGATE(4,7,A$22:A251)+1</f>
        <v>230</v>
      </c>
      <c r="B252" s="967" t="s">
        <v>1993</v>
      </c>
      <c r="C252" s="960"/>
      <c r="D252" s="434"/>
      <c r="E252" s="486"/>
      <c r="F252" s="81" t="str">
        <f>VLOOKUP(B252,TH.T4!B250:J580,9,FALSE)</f>
        <v>Giảng viên khoa Điện - Điện tử</v>
      </c>
      <c r="G252" s="366">
        <v>3.99</v>
      </c>
      <c r="H252" s="367"/>
      <c r="I252" s="368">
        <f t="shared" si="52"/>
        <v>3.99</v>
      </c>
      <c r="J252" s="368"/>
      <c r="K252" s="369">
        <f t="shared" si="53"/>
        <v>3.99</v>
      </c>
      <c r="L252" s="362">
        <f t="shared" si="54"/>
        <v>7182000</v>
      </c>
      <c r="M252" s="366" t="str">
        <f>VLOOKUP(B252,'[13]Gui chi Quynh'!$B$11:$E$400,4,FALSE)</f>
        <v>A3</v>
      </c>
      <c r="N252" s="494">
        <f t="shared" si="44"/>
        <v>8618400</v>
      </c>
      <c r="O252" s="376">
        <v>22</v>
      </c>
      <c r="P252" s="440">
        <f>IFERROR(INDEX('[14]CN BC'!$J$10:$J$276,MATCH(B252,'[14]CN BC'!$H$10:$H$276,0)),"")</f>
        <v>22</v>
      </c>
      <c r="Q252" s="494">
        <f t="shared" si="49"/>
        <v>8618400</v>
      </c>
      <c r="R252" s="460"/>
      <c r="S252" s="362">
        <f t="shared" si="43"/>
        <v>0</v>
      </c>
      <c r="T252" s="370"/>
      <c r="U252" s="362">
        <f t="shared" si="51"/>
        <v>0</v>
      </c>
      <c r="V252" s="584">
        <f t="shared" si="45"/>
        <v>71820</v>
      </c>
      <c r="W252" s="371">
        <f t="shared" si="50"/>
        <v>8618400</v>
      </c>
      <c r="X252" s="977">
        <f t="shared" si="48"/>
        <v>4.7880000000000003</v>
      </c>
      <c r="Y252" s="491">
        <v>1800000</v>
      </c>
      <c r="Z252" s="663">
        <f t="shared" si="47"/>
        <v>8618400</v>
      </c>
      <c r="AA252" s="568">
        <f t="shared" si="46"/>
        <v>230</v>
      </c>
      <c r="AB252" s="493">
        <f>IFERROR(INDEX('[14]CN BC'!$M$10:$M$276,MATCH(B252,'[14]CN BC'!$H$10:$H$276,0)),"")</f>
        <v>0</v>
      </c>
      <c r="AC252" s="141" t="str">
        <f>VLOOKUP(B252,TH.T4!B250:AC580,28,FALSE)</f>
        <v>Đ-ĐT</v>
      </c>
      <c r="AD252" s="108"/>
      <c r="AE252" s="108"/>
      <c r="AF252" s="155"/>
      <c r="AG252" s="108"/>
      <c r="AH252" s="108"/>
      <c r="AI252" s="108"/>
      <c r="AJ252" s="108"/>
      <c r="AK252" s="108"/>
      <c r="AL252" s="108"/>
    </row>
    <row r="253" spans="1:42" s="372" customFormat="1" ht="32.25" customHeight="1">
      <c r="A253" s="379">
        <f>_xlfn.AGGREGATE(4,7,A$22:A252)+1</f>
        <v>231</v>
      </c>
      <c r="B253" s="967" t="s">
        <v>2002</v>
      </c>
      <c r="C253" s="960"/>
      <c r="D253" s="434"/>
      <c r="E253" s="486"/>
      <c r="F253" s="81" t="str">
        <f>VLOOKUP(B253,TH.T4!B251:J581,9,FALSE)</f>
        <v>Giảng viên khoa Điện - Điện tử</v>
      </c>
      <c r="G253" s="366">
        <v>2.67</v>
      </c>
      <c r="H253" s="367"/>
      <c r="I253" s="368">
        <f t="shared" si="52"/>
        <v>2.67</v>
      </c>
      <c r="J253" s="368"/>
      <c r="K253" s="369">
        <f t="shared" si="53"/>
        <v>2.67</v>
      </c>
      <c r="L253" s="362">
        <f t="shared" si="54"/>
        <v>4806000</v>
      </c>
      <c r="M253" s="366" t="str">
        <f>VLOOKUP(B253,'[13]Gui chi Quynh'!$B$11:$E$400,4,FALSE)</f>
        <v>A3</v>
      </c>
      <c r="N253" s="494">
        <f t="shared" si="44"/>
        <v>5767200</v>
      </c>
      <c r="O253" s="376">
        <v>22</v>
      </c>
      <c r="P253" s="440">
        <f>IFERROR(INDEX('[14]CN BC'!$J$10:$J$276,MATCH(B253,'[14]CN BC'!$H$10:$H$276,0)),"")</f>
        <v>22</v>
      </c>
      <c r="Q253" s="494">
        <f t="shared" si="49"/>
        <v>5767200</v>
      </c>
      <c r="R253" s="460"/>
      <c r="S253" s="362">
        <f t="shared" si="43"/>
        <v>0</v>
      </c>
      <c r="T253" s="370"/>
      <c r="U253" s="362">
        <f t="shared" si="51"/>
        <v>0</v>
      </c>
      <c r="V253" s="584">
        <f t="shared" si="45"/>
        <v>48060</v>
      </c>
      <c r="W253" s="371">
        <f t="shared" si="50"/>
        <v>5767200</v>
      </c>
      <c r="X253" s="977">
        <f t="shared" si="48"/>
        <v>3.2040000000000002</v>
      </c>
      <c r="Y253" s="491">
        <v>1800000</v>
      </c>
      <c r="Z253" s="663">
        <f t="shared" si="47"/>
        <v>5767200</v>
      </c>
      <c r="AA253" s="568">
        <f t="shared" si="46"/>
        <v>231</v>
      </c>
      <c r="AB253" s="493">
        <f>IFERROR(INDEX('[14]CN BC'!$M$10:$M$276,MATCH(B253,'[14]CN BC'!$H$10:$H$276,0)),"")</f>
        <v>0</v>
      </c>
      <c r="AC253" s="141" t="str">
        <f>VLOOKUP(B253,TH.T4!B251:AC581,28,FALSE)</f>
        <v>Đ-ĐT</v>
      </c>
      <c r="AF253" s="487"/>
    </row>
    <row r="254" spans="1:42" s="372" customFormat="1" ht="32.25" customHeight="1">
      <c r="A254" s="379">
        <f>_xlfn.AGGREGATE(4,7,A$22:A253)+1</f>
        <v>232</v>
      </c>
      <c r="B254" s="967" t="s">
        <v>2004</v>
      </c>
      <c r="C254" s="960"/>
      <c r="D254" s="434"/>
      <c r="E254" s="486"/>
      <c r="F254" s="81" t="str">
        <f>VLOOKUP(B254,TH.T4!B252:J582,9,FALSE)</f>
        <v>Giảng viên khoa Điện - Điện tử</v>
      </c>
      <c r="G254" s="366">
        <v>2.34</v>
      </c>
      <c r="H254" s="367"/>
      <c r="I254" s="368">
        <f t="shared" si="52"/>
        <v>2.34</v>
      </c>
      <c r="J254" s="368"/>
      <c r="K254" s="369">
        <f t="shared" si="53"/>
        <v>2.34</v>
      </c>
      <c r="L254" s="362">
        <f t="shared" si="54"/>
        <v>4212000</v>
      </c>
      <c r="M254" s="366" t="str">
        <f>VLOOKUP(B254,'[13]Gui chi Quynh'!$B$11:$E$400,4,FALSE)</f>
        <v>A1</v>
      </c>
      <c r="N254" s="494">
        <f t="shared" si="44"/>
        <v>6739200</v>
      </c>
      <c r="O254" s="376">
        <v>22</v>
      </c>
      <c r="P254" s="440">
        <f>IFERROR(INDEX('[14]CN BC'!$J$10:$J$276,MATCH(B254,'[14]CN BC'!$H$10:$H$276,0)),"")</f>
        <v>22</v>
      </c>
      <c r="Q254" s="494">
        <f t="shared" si="49"/>
        <v>6739200</v>
      </c>
      <c r="R254" s="460"/>
      <c r="S254" s="362">
        <f t="shared" si="43"/>
        <v>0</v>
      </c>
      <c r="T254" s="370"/>
      <c r="U254" s="362">
        <f t="shared" si="51"/>
        <v>0</v>
      </c>
      <c r="V254" s="584">
        <f t="shared" si="45"/>
        <v>42120</v>
      </c>
      <c r="W254" s="371">
        <f t="shared" si="50"/>
        <v>6739200</v>
      </c>
      <c r="X254" s="977">
        <f t="shared" si="48"/>
        <v>3.7440000000000002</v>
      </c>
      <c r="Y254" s="491">
        <v>1800000</v>
      </c>
      <c r="Z254" s="663">
        <f t="shared" si="47"/>
        <v>6739200</v>
      </c>
      <c r="AA254" s="568">
        <f t="shared" si="46"/>
        <v>232</v>
      </c>
      <c r="AB254" s="493">
        <f>IFERROR(INDEX('[14]CN BC'!$M$10:$M$276,MATCH(B254,'[14]CN BC'!$H$10:$H$276,0)),"")</f>
        <v>0</v>
      </c>
      <c r="AC254" s="141" t="str">
        <f>VLOOKUP(B254,TH.T4!B252:AC582,28,FALSE)</f>
        <v>Đ-ĐT</v>
      </c>
      <c r="AF254" s="487"/>
    </row>
    <row r="255" spans="1:42" s="372" customFormat="1" ht="32.25" customHeight="1">
      <c r="A255" s="379">
        <f>_xlfn.AGGREGATE(4,7,A$22:A254)+1</f>
        <v>233</v>
      </c>
      <c r="B255" s="374" t="s">
        <v>1914</v>
      </c>
      <c r="C255" s="960" t="s">
        <v>876</v>
      </c>
      <c r="D255" s="434" t="s">
        <v>1803</v>
      </c>
      <c r="E255" s="423" t="s">
        <v>0</v>
      </c>
      <c r="F255" s="81" t="str">
        <f>VLOOKUP(B255,TH.T4!B253:J583,9,FALSE)</f>
        <v>Trưởng khoa Động lực</v>
      </c>
      <c r="G255" s="366">
        <v>4.6500000000000004</v>
      </c>
      <c r="H255" s="367"/>
      <c r="I255" s="368">
        <f t="shared" si="52"/>
        <v>4.6500000000000004</v>
      </c>
      <c r="J255" s="368">
        <v>0.45</v>
      </c>
      <c r="K255" s="369">
        <f t="shared" si="53"/>
        <v>5.1000000000000005</v>
      </c>
      <c r="L255" s="362">
        <f t="shared" si="54"/>
        <v>9180000.0000000019</v>
      </c>
      <c r="M255" s="366" t="str">
        <f>VLOOKUP(B255,'[13]Gui chi Quynh'!$B$11:$E$400,4,FALSE)</f>
        <v>A4</v>
      </c>
      <c r="N255" s="494">
        <f t="shared" si="44"/>
        <v>9180000.0000000019</v>
      </c>
      <c r="O255" s="376">
        <v>22</v>
      </c>
      <c r="P255" s="440">
        <f>IFERROR(INDEX('[14]CN BC'!$J$10:$J$276,MATCH(B255,'[14]CN BC'!$H$10:$H$276,0)),"")</f>
        <v>22</v>
      </c>
      <c r="Q255" s="494">
        <f t="shared" si="49"/>
        <v>9180000.0000000019</v>
      </c>
      <c r="R255" s="460"/>
      <c r="S255" s="362">
        <f t="shared" si="43"/>
        <v>0</v>
      </c>
      <c r="T255" s="370"/>
      <c r="U255" s="362">
        <f t="shared" si="51"/>
        <v>0</v>
      </c>
      <c r="V255" s="584">
        <f t="shared" si="45"/>
        <v>91800</v>
      </c>
      <c r="W255" s="371">
        <f t="shared" si="50"/>
        <v>9180000.0000000019</v>
      </c>
      <c r="X255" s="977">
        <f t="shared" si="48"/>
        <v>5.1000000000000014</v>
      </c>
      <c r="Y255" s="491">
        <v>1800000</v>
      </c>
      <c r="Z255" s="663">
        <f t="shared" si="47"/>
        <v>9180000.0000000019</v>
      </c>
      <c r="AA255" s="568">
        <f t="shared" si="46"/>
        <v>233</v>
      </c>
      <c r="AB255" s="493">
        <f>IFERROR(INDEX('[14]CN BC'!$M$10:$M$276,MATCH(B255,'[14]CN BC'!$H$10:$H$276,0)),"")</f>
        <v>0</v>
      </c>
      <c r="AC255" s="141" t="str">
        <f>VLOOKUP(B255,TH.T4!B253:AC583,28,FALSE)</f>
        <v>ĐL</v>
      </c>
      <c r="AD255" s="471"/>
      <c r="AE255" s="108"/>
      <c r="AF255" s="155"/>
      <c r="AG255" s="108"/>
      <c r="AH255" s="108"/>
      <c r="AI255" s="108"/>
      <c r="AJ255" s="108"/>
      <c r="AK255" s="108"/>
      <c r="AL255" s="108"/>
    </row>
    <row r="256" spans="1:42" s="372" customFormat="1" ht="32.25" customHeight="1">
      <c r="A256" s="379">
        <f>_xlfn.AGGREGATE(4,7,A$22:A255)+1</f>
        <v>234</v>
      </c>
      <c r="B256" s="374" t="s">
        <v>1915</v>
      </c>
      <c r="C256" s="960" t="s">
        <v>1087</v>
      </c>
      <c r="D256" s="434" t="s">
        <v>1804</v>
      </c>
      <c r="E256" s="423" t="s">
        <v>1420</v>
      </c>
      <c r="F256" s="81" t="str">
        <f>VLOOKUP(B256,TH.T4!B254:J584,9,FALSE)</f>
        <v>Phó Trưởng khoa
 Động lực</v>
      </c>
      <c r="G256" s="366">
        <v>4.9800000000000004</v>
      </c>
      <c r="H256" s="367"/>
      <c r="I256" s="368">
        <f t="shared" si="52"/>
        <v>4.9800000000000004</v>
      </c>
      <c r="J256" s="368">
        <v>0.35</v>
      </c>
      <c r="K256" s="369">
        <f t="shared" si="53"/>
        <v>5.33</v>
      </c>
      <c r="L256" s="362">
        <f t="shared" si="54"/>
        <v>9594000</v>
      </c>
      <c r="M256" s="366" t="str">
        <f>VLOOKUP(B256,'[13]Gui chi Quynh'!$B$11:$E$400,4,FALSE)</f>
        <v>A3</v>
      </c>
      <c r="N256" s="494">
        <f t="shared" si="44"/>
        <v>11512800</v>
      </c>
      <c r="O256" s="376">
        <v>22</v>
      </c>
      <c r="P256" s="440">
        <f>IFERROR(INDEX('[14]CN BC'!$J$10:$J$276,MATCH(B256,'[14]CN BC'!$H$10:$H$276,0)),"")</f>
        <v>22</v>
      </c>
      <c r="Q256" s="494">
        <f t="shared" si="49"/>
        <v>11512800</v>
      </c>
      <c r="R256" s="460"/>
      <c r="S256" s="362">
        <f t="shared" si="43"/>
        <v>0</v>
      </c>
      <c r="T256" s="370"/>
      <c r="U256" s="362">
        <f t="shared" si="51"/>
        <v>0</v>
      </c>
      <c r="V256" s="584">
        <f t="shared" si="45"/>
        <v>95940</v>
      </c>
      <c r="W256" s="371">
        <f t="shared" si="50"/>
        <v>11512800</v>
      </c>
      <c r="X256" s="977">
        <f t="shared" si="48"/>
        <v>6.3959999999999999</v>
      </c>
      <c r="Y256" s="491">
        <v>1800000</v>
      </c>
      <c r="Z256" s="663">
        <f t="shared" si="47"/>
        <v>11512800</v>
      </c>
      <c r="AA256" s="568">
        <f t="shared" si="46"/>
        <v>234</v>
      </c>
      <c r="AB256" s="493">
        <f>IFERROR(INDEX('[14]CN BC'!$M$10:$M$276,MATCH(B256,'[14]CN BC'!$H$10:$H$276,0)),"")</f>
        <v>0</v>
      </c>
      <c r="AC256" s="141" t="str">
        <f>VLOOKUP(B256,TH.T4!B254:AC584,28,FALSE)</f>
        <v>ĐL</v>
      </c>
      <c r="AD256" s="108"/>
      <c r="AE256" s="108"/>
      <c r="AF256" s="155"/>
      <c r="AG256" s="108"/>
      <c r="AH256" s="108"/>
      <c r="AI256" s="108"/>
      <c r="AJ256" s="108"/>
      <c r="AK256" s="108"/>
      <c r="AL256" s="108"/>
    </row>
    <row r="257" spans="1:38" s="372" customFormat="1" ht="32.25" customHeight="1">
      <c r="A257" s="379">
        <f>_xlfn.AGGREGATE(4,7,A$22:A256)+1</f>
        <v>235</v>
      </c>
      <c r="B257" s="374" t="s">
        <v>1916</v>
      </c>
      <c r="C257" s="960" t="s">
        <v>1090</v>
      </c>
      <c r="D257" s="434" t="s">
        <v>1805</v>
      </c>
      <c r="E257" s="423" t="s">
        <v>1</v>
      </c>
      <c r="F257" s="81" t="str">
        <f>VLOOKUP(B257,TH.T4!B255:J585,9,FALSE)</f>
        <v>Giảng viên khoa Động lực</v>
      </c>
      <c r="G257" s="366">
        <v>4.32</v>
      </c>
      <c r="H257" s="367"/>
      <c r="I257" s="368">
        <f t="shared" si="52"/>
        <v>4.32</v>
      </c>
      <c r="J257" s="368">
        <v>0.25</v>
      </c>
      <c r="K257" s="369">
        <f t="shared" si="53"/>
        <v>4.57</v>
      </c>
      <c r="L257" s="362">
        <f t="shared" si="54"/>
        <v>8226000.0000000009</v>
      </c>
      <c r="M257" s="366" t="str">
        <f>VLOOKUP(B257,'[13]Gui chi Quynh'!$B$11:$E$400,4,FALSE)</f>
        <v>A4</v>
      </c>
      <c r="N257" s="494">
        <f t="shared" si="44"/>
        <v>8226000.0000000009</v>
      </c>
      <c r="O257" s="376">
        <v>22</v>
      </c>
      <c r="P257" s="440">
        <f>IFERROR(INDEX('[14]CN BC'!$J$10:$J$276,MATCH(B257,'[14]CN BC'!$H$10:$H$276,0)),"")</f>
        <v>22</v>
      </c>
      <c r="Q257" s="494">
        <f t="shared" si="49"/>
        <v>8226000.0000000009</v>
      </c>
      <c r="R257" s="460"/>
      <c r="S257" s="362">
        <f t="shared" si="43"/>
        <v>0</v>
      </c>
      <c r="T257" s="370"/>
      <c r="U257" s="362">
        <f t="shared" si="51"/>
        <v>0</v>
      </c>
      <c r="V257" s="584">
        <f t="shared" si="45"/>
        <v>82260</v>
      </c>
      <c r="W257" s="371">
        <f t="shared" si="50"/>
        <v>8226000.0000000009</v>
      </c>
      <c r="X257" s="977">
        <f t="shared" si="48"/>
        <v>4.57</v>
      </c>
      <c r="Y257" s="491">
        <v>1800000</v>
      </c>
      <c r="Z257" s="663">
        <f t="shared" si="47"/>
        <v>8226000.0000000009</v>
      </c>
      <c r="AA257" s="568">
        <f t="shared" si="46"/>
        <v>235</v>
      </c>
      <c r="AB257" s="493">
        <f>IFERROR(INDEX('[14]CN BC'!$M$10:$M$276,MATCH(B257,'[14]CN BC'!$H$10:$H$276,0)),"")</f>
        <v>0</v>
      </c>
      <c r="AC257" s="141" t="str">
        <f>VLOOKUP(B257,TH.T4!B255:AC585,28,FALSE)</f>
        <v>ĐL</v>
      </c>
      <c r="AD257" s="108"/>
      <c r="AE257" s="108"/>
      <c r="AF257" s="155"/>
      <c r="AG257" s="108"/>
      <c r="AH257" s="108"/>
      <c r="AI257" s="108"/>
      <c r="AJ257" s="108"/>
      <c r="AK257" s="108"/>
      <c r="AL257" s="108"/>
    </row>
    <row r="258" spans="1:38" s="372" customFormat="1" ht="32.25" customHeight="1">
      <c r="A258" s="379">
        <f>_xlfn.AGGREGATE(4,7,A$22:A257)+1</f>
        <v>236</v>
      </c>
      <c r="B258" s="374" t="s">
        <v>1542</v>
      </c>
      <c r="C258" s="960" t="s">
        <v>970</v>
      </c>
      <c r="D258" s="434" t="s">
        <v>1806</v>
      </c>
      <c r="E258" s="423" t="s">
        <v>3</v>
      </c>
      <c r="F258" s="81" t="str">
        <f>VLOOKUP(B258,TH.T4!B256:J586,9,FALSE)</f>
        <v>Giảng viên - Trưởng BM khoa Động lực</v>
      </c>
      <c r="G258" s="373">
        <v>3.99</v>
      </c>
      <c r="H258" s="367"/>
      <c r="I258" s="368">
        <f t="shared" si="52"/>
        <v>3.99</v>
      </c>
      <c r="J258" s="368"/>
      <c r="K258" s="369">
        <f t="shared" si="53"/>
        <v>3.99</v>
      </c>
      <c r="L258" s="362">
        <f t="shared" si="54"/>
        <v>7182000</v>
      </c>
      <c r="M258" s="366" t="str">
        <f>VLOOKUP(B258,'[13]Gui chi Quynh'!$B$11:$E$400,4,FALSE)</f>
        <v>A4</v>
      </c>
      <c r="N258" s="494">
        <f t="shared" si="44"/>
        <v>7182000</v>
      </c>
      <c r="O258" s="376">
        <v>22</v>
      </c>
      <c r="P258" s="440">
        <f>IFERROR(INDEX('[14]CN BC'!$J$10:$J$276,MATCH(B258,'[14]CN BC'!$H$10:$H$276,0)),"")</f>
        <v>22</v>
      </c>
      <c r="Q258" s="494">
        <f t="shared" si="49"/>
        <v>7182000</v>
      </c>
      <c r="R258" s="460"/>
      <c r="S258" s="362">
        <f t="shared" si="43"/>
        <v>0</v>
      </c>
      <c r="T258" s="370"/>
      <c r="U258" s="362">
        <f t="shared" si="51"/>
        <v>0</v>
      </c>
      <c r="V258" s="584">
        <f t="shared" si="45"/>
        <v>71820</v>
      </c>
      <c r="W258" s="371">
        <f t="shared" si="50"/>
        <v>7182000</v>
      </c>
      <c r="X258" s="977">
        <f t="shared" si="48"/>
        <v>3.99</v>
      </c>
      <c r="Y258" s="491">
        <v>1800000</v>
      </c>
      <c r="Z258" s="663">
        <f t="shared" si="47"/>
        <v>7182000</v>
      </c>
      <c r="AA258" s="568">
        <f t="shared" si="46"/>
        <v>236</v>
      </c>
      <c r="AB258" s="493">
        <f>IFERROR(INDEX('[14]CN BC'!$M$10:$M$276,MATCH(B258,'[14]CN BC'!$H$10:$H$276,0)),"")</f>
        <v>0</v>
      </c>
      <c r="AC258" s="141" t="str">
        <f>VLOOKUP(B258,TH.T4!B256:AC586,28,FALSE)</f>
        <v>ĐL</v>
      </c>
      <c r="AD258" s="108"/>
      <c r="AE258" s="108"/>
      <c r="AF258" s="155"/>
      <c r="AG258" s="108"/>
      <c r="AH258" s="108"/>
      <c r="AI258" s="108"/>
      <c r="AJ258" s="108"/>
      <c r="AK258" s="108"/>
      <c r="AL258" s="108"/>
    </row>
    <row r="259" spans="1:38" s="372" customFormat="1" ht="32.25" customHeight="1">
      <c r="A259" s="379">
        <f>_xlfn.AGGREGATE(4,7,A$22:A258)+1</f>
        <v>237</v>
      </c>
      <c r="B259" s="374" t="s">
        <v>1543</v>
      </c>
      <c r="C259" s="960" t="s">
        <v>1215</v>
      </c>
      <c r="D259" s="434" t="s">
        <v>1807</v>
      </c>
      <c r="E259" s="423" t="s">
        <v>4</v>
      </c>
      <c r="F259" s="81" t="str">
        <f>VLOOKUP(B259,TH.T4!B257:J587,9,FALSE)</f>
        <v>Giảng viên - Trưởng BM khoa Động lực</v>
      </c>
      <c r="G259" s="373">
        <v>3.99</v>
      </c>
      <c r="H259" s="367"/>
      <c r="I259" s="368">
        <f t="shared" si="52"/>
        <v>3.99</v>
      </c>
      <c r="J259" s="368">
        <v>0.25</v>
      </c>
      <c r="K259" s="369">
        <f t="shared" si="53"/>
        <v>4.24</v>
      </c>
      <c r="L259" s="362">
        <f t="shared" si="54"/>
        <v>7632000</v>
      </c>
      <c r="M259" s="366" t="str">
        <f>VLOOKUP(B259,'[13]Gui chi Quynh'!$B$11:$E$400,4,FALSE)</f>
        <v>A4</v>
      </c>
      <c r="N259" s="494">
        <f t="shared" si="44"/>
        <v>7632000</v>
      </c>
      <c r="O259" s="376">
        <v>22</v>
      </c>
      <c r="P259" s="440">
        <f>IFERROR(INDEX('[14]CN BC'!$J$10:$J$276,MATCH(B259,'[14]CN BC'!$H$10:$H$276,0)),"")</f>
        <v>22</v>
      </c>
      <c r="Q259" s="494">
        <f t="shared" si="49"/>
        <v>7632000</v>
      </c>
      <c r="R259" s="460"/>
      <c r="S259" s="362">
        <f t="shared" si="43"/>
        <v>0</v>
      </c>
      <c r="T259" s="370"/>
      <c r="U259" s="362">
        <f t="shared" si="51"/>
        <v>0</v>
      </c>
      <c r="V259" s="584">
        <f t="shared" si="45"/>
        <v>76320</v>
      </c>
      <c r="W259" s="371">
        <f t="shared" si="50"/>
        <v>7632000</v>
      </c>
      <c r="X259" s="977">
        <f t="shared" si="48"/>
        <v>4.24</v>
      </c>
      <c r="Y259" s="491">
        <v>1800000</v>
      </c>
      <c r="Z259" s="663">
        <f t="shared" si="47"/>
        <v>7632000</v>
      </c>
      <c r="AA259" s="568">
        <f t="shared" si="46"/>
        <v>237</v>
      </c>
      <c r="AB259" s="493">
        <f>IFERROR(INDEX('[14]CN BC'!$M$10:$M$276,MATCH(B259,'[14]CN BC'!$H$10:$H$276,0)),"")</f>
        <v>0</v>
      </c>
      <c r="AC259" s="141" t="str">
        <f>VLOOKUP(B259,TH.T4!B257:AC587,28,FALSE)</f>
        <v>ĐL</v>
      </c>
      <c r="AD259" s="108"/>
      <c r="AE259" s="108"/>
      <c r="AF259" s="155"/>
      <c r="AG259" s="108"/>
      <c r="AH259" s="108"/>
      <c r="AI259" s="108"/>
      <c r="AJ259" s="108"/>
      <c r="AK259" s="108"/>
      <c r="AL259" s="108"/>
    </row>
    <row r="260" spans="1:38" s="372" customFormat="1" ht="23.25" customHeight="1">
      <c r="A260" s="379">
        <f>_xlfn.AGGREGATE(4,7,A$22:A259)+1</f>
        <v>238</v>
      </c>
      <c r="B260" s="374" t="s">
        <v>1544</v>
      </c>
      <c r="C260" s="960" t="s">
        <v>878</v>
      </c>
      <c r="D260" s="434" t="s">
        <v>1808</v>
      </c>
      <c r="E260" s="423" t="s">
        <v>5</v>
      </c>
      <c r="F260" s="81" t="str">
        <f>VLOOKUP(B260,TH.T4!B258:J588,9,FALSE)</f>
        <v>Giảng viên khoa Động lực</v>
      </c>
      <c r="G260" s="373">
        <v>3.66</v>
      </c>
      <c r="H260" s="367"/>
      <c r="I260" s="368">
        <f t="shared" si="52"/>
        <v>3.66</v>
      </c>
      <c r="J260" s="368"/>
      <c r="K260" s="369">
        <f t="shared" si="53"/>
        <v>3.66</v>
      </c>
      <c r="L260" s="362">
        <f t="shared" si="54"/>
        <v>6588000</v>
      </c>
      <c r="M260" s="366" t="str">
        <f>VLOOKUP(B260,'[13]Gui chi Quynh'!$B$11:$E$400,4,FALSE)</f>
        <v>A4</v>
      </c>
      <c r="N260" s="494">
        <f t="shared" si="44"/>
        <v>6588000</v>
      </c>
      <c r="O260" s="376">
        <v>22</v>
      </c>
      <c r="P260" s="440">
        <f>IFERROR(INDEX('[14]CN BC'!$J$10:$J$276,MATCH(B260,'[14]CN BC'!$H$10:$H$276,0)),"")</f>
        <v>22</v>
      </c>
      <c r="Q260" s="494">
        <f t="shared" si="49"/>
        <v>6588000</v>
      </c>
      <c r="R260" s="460"/>
      <c r="S260" s="362">
        <f t="shared" si="43"/>
        <v>0</v>
      </c>
      <c r="T260" s="370"/>
      <c r="U260" s="362">
        <f t="shared" si="51"/>
        <v>0</v>
      </c>
      <c r="V260" s="584">
        <f t="shared" si="45"/>
        <v>65880</v>
      </c>
      <c r="W260" s="371">
        <f t="shared" si="50"/>
        <v>6588000</v>
      </c>
      <c r="X260" s="977">
        <f t="shared" si="48"/>
        <v>3.66</v>
      </c>
      <c r="Y260" s="491">
        <v>1800000</v>
      </c>
      <c r="Z260" s="663">
        <f t="shared" si="47"/>
        <v>6588000</v>
      </c>
      <c r="AA260" s="568">
        <f t="shared" si="46"/>
        <v>238</v>
      </c>
      <c r="AB260" s="493">
        <f>IFERROR(INDEX('[14]CN BC'!$M$10:$M$276,MATCH(B260,'[14]CN BC'!$H$10:$H$276,0)),"")</f>
        <v>0</v>
      </c>
      <c r="AC260" s="141" t="str">
        <f>VLOOKUP(B260,TH.T4!B258:AC588,28,FALSE)</f>
        <v>ĐL</v>
      </c>
      <c r="AF260" s="487"/>
    </row>
    <row r="261" spans="1:38" s="372" customFormat="1" ht="27.75" customHeight="1">
      <c r="A261" s="379">
        <f>_xlfn.AGGREGATE(4,7,A$22:A260)+1</f>
        <v>239</v>
      </c>
      <c r="B261" s="374" t="s">
        <v>1917</v>
      </c>
      <c r="C261" s="960" t="s">
        <v>1212</v>
      </c>
      <c r="D261" s="434" t="s">
        <v>1809</v>
      </c>
      <c r="E261" s="423" t="s">
        <v>394</v>
      </c>
      <c r="F261" s="81" t="str">
        <f>VLOOKUP(B261,TH.T4!B259:J589,9,FALSE)</f>
        <v>Giảng viên khoa Động lực</v>
      </c>
      <c r="G261" s="373">
        <v>3.66</v>
      </c>
      <c r="H261" s="367"/>
      <c r="I261" s="368">
        <f t="shared" si="52"/>
        <v>3.66</v>
      </c>
      <c r="J261" s="368"/>
      <c r="K261" s="369">
        <f t="shared" si="53"/>
        <v>3.66</v>
      </c>
      <c r="L261" s="362">
        <f t="shared" si="54"/>
        <v>6588000</v>
      </c>
      <c r="M261" s="366" t="str">
        <f>VLOOKUP(B261,'[13]Gui chi Quynh'!$B$11:$E$400,4,FALSE)</f>
        <v>A4</v>
      </c>
      <c r="N261" s="494">
        <f t="shared" si="44"/>
        <v>6588000</v>
      </c>
      <c r="O261" s="376">
        <v>22</v>
      </c>
      <c r="P261" s="440">
        <f>IFERROR(INDEX('[14]CN BC'!$J$10:$J$276,MATCH(B261,'[14]CN BC'!$H$10:$H$276,0)),"")</f>
        <v>22</v>
      </c>
      <c r="Q261" s="494">
        <f t="shared" si="49"/>
        <v>6588000</v>
      </c>
      <c r="R261" s="460"/>
      <c r="S261" s="362">
        <f t="shared" si="43"/>
        <v>0</v>
      </c>
      <c r="T261" s="370"/>
      <c r="U261" s="362">
        <f t="shared" si="51"/>
        <v>0</v>
      </c>
      <c r="V261" s="584">
        <f t="shared" si="45"/>
        <v>65880</v>
      </c>
      <c r="W261" s="371">
        <f t="shared" si="50"/>
        <v>6588000</v>
      </c>
      <c r="X261" s="977">
        <f t="shared" si="48"/>
        <v>3.66</v>
      </c>
      <c r="Y261" s="491">
        <v>1800000</v>
      </c>
      <c r="Z261" s="663">
        <f t="shared" si="47"/>
        <v>6588000</v>
      </c>
      <c r="AA261" s="568">
        <f t="shared" si="46"/>
        <v>239</v>
      </c>
      <c r="AB261" s="493">
        <f>IFERROR(INDEX('[14]CN BC'!$M$10:$M$276,MATCH(B261,'[14]CN BC'!$H$10:$H$276,0)),"")</f>
        <v>0</v>
      </c>
      <c r="AC261" s="141" t="str">
        <f>VLOOKUP(B261,TH.T4!B259:AC589,28,FALSE)</f>
        <v>ĐL</v>
      </c>
      <c r="AD261" s="108"/>
      <c r="AE261" s="108"/>
      <c r="AF261" s="155"/>
      <c r="AG261" s="108"/>
      <c r="AH261" s="108"/>
      <c r="AI261" s="108"/>
      <c r="AJ261" s="108"/>
      <c r="AK261" s="108"/>
      <c r="AL261" s="108"/>
    </row>
    <row r="262" spans="1:38" s="372" customFormat="1" ht="26.25" customHeight="1">
      <c r="A262" s="379">
        <f>_xlfn.AGGREGATE(4,7,A$22:A261)+1</f>
        <v>240</v>
      </c>
      <c r="B262" s="967" t="s">
        <v>1918</v>
      </c>
      <c r="C262" s="972" t="s">
        <v>868</v>
      </c>
      <c r="D262" s="434" t="s">
        <v>1810</v>
      </c>
      <c r="E262" s="423" t="s">
        <v>393</v>
      </c>
      <c r="F262" s="81" t="str">
        <f>VLOOKUP(B262,TH.T4!B260:J590,9,FALSE)</f>
        <v>Giảng viên khoa Động lực</v>
      </c>
      <c r="G262" s="373">
        <v>3.99</v>
      </c>
      <c r="H262" s="367"/>
      <c r="I262" s="368">
        <f t="shared" si="52"/>
        <v>3.99</v>
      </c>
      <c r="J262" s="368"/>
      <c r="K262" s="369">
        <f t="shared" si="53"/>
        <v>3.99</v>
      </c>
      <c r="L262" s="362">
        <f t="shared" si="54"/>
        <v>7182000</v>
      </c>
      <c r="M262" s="366" t="str">
        <f>VLOOKUP(B262,'[13]Gui chi Quynh'!$B$11:$E$400,4,FALSE)</f>
        <v>A4</v>
      </c>
      <c r="N262" s="494">
        <f t="shared" si="44"/>
        <v>7182000</v>
      </c>
      <c r="O262" s="376">
        <v>22</v>
      </c>
      <c r="P262" s="440">
        <f>IFERROR(INDEX('[14]CN BC'!$J$10:$J$276,MATCH(B262,'[14]CN BC'!$H$10:$H$276,0)),"")</f>
        <v>22</v>
      </c>
      <c r="Q262" s="494">
        <f t="shared" si="49"/>
        <v>7182000</v>
      </c>
      <c r="R262" s="460"/>
      <c r="S262" s="362">
        <f t="shared" si="43"/>
        <v>0</v>
      </c>
      <c r="T262" s="370"/>
      <c r="U262" s="362">
        <f t="shared" si="51"/>
        <v>0</v>
      </c>
      <c r="V262" s="584">
        <f t="shared" si="45"/>
        <v>71820</v>
      </c>
      <c r="W262" s="371">
        <f t="shared" si="50"/>
        <v>7182000</v>
      </c>
      <c r="X262" s="977">
        <f t="shared" si="48"/>
        <v>3.99</v>
      </c>
      <c r="Y262" s="491">
        <v>1800000</v>
      </c>
      <c r="Z262" s="663">
        <f t="shared" si="47"/>
        <v>7182000</v>
      </c>
      <c r="AA262" s="568">
        <f t="shared" si="46"/>
        <v>240</v>
      </c>
      <c r="AB262" s="493">
        <f>IFERROR(INDEX('[14]CN BC'!$M$10:$M$276,MATCH(B262,'[14]CN BC'!$H$10:$H$276,0)),"")</f>
        <v>0</v>
      </c>
      <c r="AC262" s="141" t="str">
        <f>VLOOKUP(B262,TH.T4!B260:AC590,28,FALSE)</f>
        <v>ĐL</v>
      </c>
      <c r="AF262" s="487"/>
    </row>
    <row r="263" spans="1:38" s="372" customFormat="1" ht="27.75" customHeight="1">
      <c r="A263" s="379">
        <f>_xlfn.AGGREGATE(4,7,A$22:A262)+1</f>
        <v>241</v>
      </c>
      <c r="B263" s="374" t="s">
        <v>1545</v>
      </c>
      <c r="C263" s="960" t="s">
        <v>1218</v>
      </c>
      <c r="D263" s="434" t="s">
        <v>1811</v>
      </c>
      <c r="E263" s="423" t="s">
        <v>395</v>
      </c>
      <c r="F263" s="81" t="str">
        <f>VLOOKUP(B263,TH.T4!B261:J591,9,FALSE)</f>
        <v>Giảng viên khoa Động lực</v>
      </c>
      <c r="G263" s="373">
        <v>3.66</v>
      </c>
      <c r="H263" s="367"/>
      <c r="I263" s="368">
        <f t="shared" si="52"/>
        <v>3.66</v>
      </c>
      <c r="J263" s="368"/>
      <c r="K263" s="369">
        <f t="shared" si="53"/>
        <v>3.66</v>
      </c>
      <c r="L263" s="362">
        <f t="shared" si="54"/>
        <v>6588000</v>
      </c>
      <c r="M263" s="366" t="str">
        <f>VLOOKUP(B263,'[13]Gui chi Quynh'!$B$11:$E$400,4,FALSE)</f>
        <v>A4</v>
      </c>
      <c r="N263" s="494">
        <f t="shared" si="44"/>
        <v>6588000</v>
      </c>
      <c r="O263" s="376">
        <v>22</v>
      </c>
      <c r="P263" s="440">
        <f>IFERROR(INDEX('[14]CN BC'!$J$10:$J$276,MATCH(B263,'[14]CN BC'!$H$10:$H$276,0)),"")</f>
        <v>22</v>
      </c>
      <c r="Q263" s="494">
        <f t="shared" si="49"/>
        <v>6588000</v>
      </c>
      <c r="R263" s="460"/>
      <c r="S263" s="362">
        <f t="shared" si="43"/>
        <v>0</v>
      </c>
      <c r="T263" s="370"/>
      <c r="U263" s="362">
        <f t="shared" si="51"/>
        <v>0</v>
      </c>
      <c r="V263" s="584">
        <f t="shared" si="45"/>
        <v>65880</v>
      </c>
      <c r="W263" s="371">
        <f t="shared" si="50"/>
        <v>6588000</v>
      </c>
      <c r="X263" s="977">
        <f t="shared" si="48"/>
        <v>3.66</v>
      </c>
      <c r="Y263" s="491">
        <v>1800000</v>
      </c>
      <c r="Z263" s="663">
        <f t="shared" si="47"/>
        <v>6588000</v>
      </c>
      <c r="AA263" s="568">
        <f t="shared" si="46"/>
        <v>241</v>
      </c>
      <c r="AB263" s="493">
        <f>IFERROR(INDEX('[14]CN BC'!$M$10:$M$276,MATCH(B263,'[14]CN BC'!$H$10:$H$276,0)),"")</f>
        <v>0</v>
      </c>
      <c r="AC263" s="141" t="str">
        <f>VLOOKUP(B263,TH.T4!B261:AC591,28,FALSE)</f>
        <v>ĐL</v>
      </c>
      <c r="AF263" s="487"/>
    </row>
    <row r="264" spans="1:38" s="372" customFormat="1" ht="27.75" customHeight="1">
      <c r="A264" s="379">
        <f>_xlfn.AGGREGATE(4,7,A$22:A263)+1</f>
        <v>242</v>
      </c>
      <c r="B264" s="374" t="s">
        <v>1546</v>
      </c>
      <c r="C264" s="960" t="s">
        <v>469</v>
      </c>
      <c r="D264" s="434" t="s">
        <v>1812</v>
      </c>
      <c r="E264" s="423" t="s">
        <v>473</v>
      </c>
      <c r="F264" s="81" t="str">
        <f>VLOOKUP(B264,TH.T4!B262:J592,9,FALSE)</f>
        <v>Giảng viên khoa Động lực</v>
      </c>
      <c r="G264" s="373">
        <v>3.66</v>
      </c>
      <c r="H264" s="367"/>
      <c r="I264" s="368">
        <f t="shared" si="52"/>
        <v>3.66</v>
      </c>
      <c r="J264" s="368"/>
      <c r="K264" s="369">
        <f t="shared" si="53"/>
        <v>3.66</v>
      </c>
      <c r="L264" s="362">
        <f t="shared" si="54"/>
        <v>6588000</v>
      </c>
      <c r="M264" s="366" t="str">
        <f>VLOOKUP(B264,'[13]Gui chi Quynh'!$B$11:$E$400,4,FALSE)</f>
        <v>A4</v>
      </c>
      <c r="N264" s="494">
        <f t="shared" si="44"/>
        <v>6588000</v>
      </c>
      <c r="O264" s="376">
        <v>22</v>
      </c>
      <c r="P264" s="440">
        <f>IFERROR(INDEX('[14]CN BC'!$J$10:$J$276,MATCH(B264,'[14]CN BC'!$H$10:$H$276,0)),"")</f>
        <v>22</v>
      </c>
      <c r="Q264" s="494">
        <f t="shared" si="49"/>
        <v>6588000</v>
      </c>
      <c r="R264" s="460"/>
      <c r="S264" s="362">
        <f t="shared" si="43"/>
        <v>0</v>
      </c>
      <c r="T264" s="370"/>
      <c r="U264" s="362">
        <f t="shared" si="51"/>
        <v>0</v>
      </c>
      <c r="V264" s="584">
        <f t="shared" si="45"/>
        <v>65880</v>
      </c>
      <c r="W264" s="371">
        <f t="shared" si="50"/>
        <v>6588000</v>
      </c>
      <c r="X264" s="977">
        <f t="shared" si="48"/>
        <v>3.66</v>
      </c>
      <c r="Y264" s="491">
        <v>1800000</v>
      </c>
      <c r="Z264" s="663">
        <f t="shared" si="47"/>
        <v>6588000</v>
      </c>
      <c r="AA264" s="568">
        <f t="shared" si="46"/>
        <v>242</v>
      </c>
      <c r="AB264" s="493">
        <f>IFERROR(INDEX('[14]CN BC'!$M$10:$M$276,MATCH(B264,'[14]CN BC'!$H$10:$H$276,0)),"")</f>
        <v>0</v>
      </c>
      <c r="AC264" s="141" t="str">
        <f>VLOOKUP(B264,TH.T4!B262:AC592,28,FALSE)</f>
        <v>ĐL</v>
      </c>
      <c r="AD264" s="471"/>
      <c r="AE264" s="108"/>
      <c r="AF264" s="155"/>
      <c r="AG264" s="108"/>
      <c r="AH264" s="108"/>
      <c r="AI264" s="108"/>
      <c r="AJ264" s="108"/>
      <c r="AK264" s="108"/>
      <c r="AL264" s="108"/>
    </row>
    <row r="265" spans="1:38" s="372" customFormat="1" ht="25.5" customHeight="1">
      <c r="A265" s="379">
        <f>_xlfn.AGGREGATE(4,7,A$22:A264)+1</f>
        <v>243</v>
      </c>
      <c r="B265" s="374" t="s">
        <v>1547</v>
      </c>
      <c r="C265" s="960" t="s">
        <v>1196</v>
      </c>
      <c r="D265" s="434" t="s">
        <v>1813</v>
      </c>
      <c r="E265" s="365" t="s">
        <v>490</v>
      </c>
      <c r="F265" s="81" t="str">
        <f>VLOOKUP(B265,TH.T4!B263:J593,9,FALSE)</f>
        <v>Giảng viên khoa Động lực</v>
      </c>
      <c r="G265" s="373">
        <v>3.66</v>
      </c>
      <c r="H265" s="367"/>
      <c r="I265" s="445">
        <f t="shared" si="52"/>
        <v>3.66</v>
      </c>
      <c r="J265" s="368"/>
      <c r="K265" s="369">
        <f t="shared" si="53"/>
        <v>3.66</v>
      </c>
      <c r="L265" s="362">
        <f t="shared" si="54"/>
        <v>6588000</v>
      </c>
      <c r="M265" s="366" t="str">
        <f>VLOOKUP(B265,'[13]Gui chi Quynh'!$B$11:$E$400,4,FALSE)</f>
        <v>A4</v>
      </c>
      <c r="N265" s="494">
        <f t="shared" si="44"/>
        <v>6588000</v>
      </c>
      <c r="O265" s="376">
        <v>22</v>
      </c>
      <c r="P265" s="440">
        <f>IFERROR(INDEX('[14]CN BC'!$J$10:$J$276,MATCH(B265,'[14]CN BC'!$H$10:$H$276,0)),"")</f>
        <v>22</v>
      </c>
      <c r="Q265" s="494">
        <f t="shared" si="49"/>
        <v>6588000</v>
      </c>
      <c r="R265" s="460"/>
      <c r="S265" s="362">
        <f t="shared" si="43"/>
        <v>0</v>
      </c>
      <c r="T265" s="370"/>
      <c r="U265" s="362">
        <f t="shared" si="51"/>
        <v>0</v>
      </c>
      <c r="V265" s="584">
        <f t="shared" si="45"/>
        <v>65880</v>
      </c>
      <c r="W265" s="371">
        <f t="shared" si="50"/>
        <v>6588000</v>
      </c>
      <c r="X265" s="977">
        <f t="shared" si="48"/>
        <v>3.66</v>
      </c>
      <c r="Y265" s="491">
        <v>1800000</v>
      </c>
      <c r="Z265" s="663">
        <f t="shared" si="47"/>
        <v>6588000</v>
      </c>
      <c r="AA265" s="568">
        <f t="shared" si="46"/>
        <v>243</v>
      </c>
      <c r="AB265" s="493">
        <f>IFERROR(INDEX('[14]CN BC'!$M$10:$M$276,MATCH(B265,'[14]CN BC'!$H$10:$H$276,0)),"")</f>
        <v>0</v>
      </c>
      <c r="AC265" s="141" t="str">
        <f>VLOOKUP(B265,TH.T4!B263:AC593,28,FALSE)</f>
        <v>ĐL</v>
      </c>
      <c r="AD265" s="108"/>
      <c r="AE265" s="108"/>
      <c r="AF265" s="155"/>
      <c r="AG265" s="108"/>
      <c r="AH265" s="108"/>
      <c r="AI265" s="108"/>
      <c r="AJ265" s="108"/>
      <c r="AK265" s="108"/>
      <c r="AL265" s="108"/>
    </row>
    <row r="266" spans="1:38" s="372" customFormat="1" ht="23.25" customHeight="1">
      <c r="A266" s="379">
        <f>_xlfn.AGGREGATE(4,7,A$22:A265)+1</f>
        <v>244</v>
      </c>
      <c r="B266" s="374" t="s">
        <v>1919</v>
      </c>
      <c r="C266" s="960" t="s">
        <v>755</v>
      </c>
      <c r="D266" s="434" t="s">
        <v>1814</v>
      </c>
      <c r="E266" s="423" t="s">
        <v>750</v>
      </c>
      <c r="F266" s="81" t="str">
        <f>VLOOKUP(B266,TH.T4!B264:J594,9,FALSE)</f>
        <v>Giảng viên khoa Động lực</v>
      </c>
      <c r="G266" s="373">
        <v>3.66</v>
      </c>
      <c r="H266" s="367"/>
      <c r="I266" s="445">
        <f t="shared" si="52"/>
        <v>3.66</v>
      </c>
      <c r="J266" s="368"/>
      <c r="K266" s="369">
        <f t="shared" si="53"/>
        <v>3.66</v>
      </c>
      <c r="L266" s="362">
        <f t="shared" si="54"/>
        <v>6588000</v>
      </c>
      <c r="M266" s="366" t="str">
        <f>VLOOKUP(B266,'[13]Gui chi Quynh'!$B$11:$E$400,4,FALSE)</f>
        <v>A4</v>
      </c>
      <c r="N266" s="494">
        <f t="shared" si="44"/>
        <v>6588000</v>
      </c>
      <c r="O266" s="376">
        <v>22</v>
      </c>
      <c r="P266" s="440">
        <f>IFERROR(INDEX('[14]CN BC'!$J$10:$J$276,MATCH(B266,'[14]CN BC'!$H$10:$H$276,0)),"")</f>
        <v>22</v>
      </c>
      <c r="Q266" s="494">
        <f t="shared" si="49"/>
        <v>6588000</v>
      </c>
      <c r="R266" s="392"/>
      <c r="S266" s="362">
        <f t="shared" si="43"/>
        <v>0</v>
      </c>
      <c r="T266" s="370"/>
      <c r="U266" s="362">
        <f t="shared" si="51"/>
        <v>0</v>
      </c>
      <c r="V266" s="584">
        <f t="shared" si="45"/>
        <v>65880</v>
      </c>
      <c r="W266" s="371">
        <f t="shared" si="50"/>
        <v>6588000</v>
      </c>
      <c r="X266" s="977">
        <f t="shared" si="48"/>
        <v>3.66</v>
      </c>
      <c r="Y266" s="491">
        <v>1800000</v>
      </c>
      <c r="Z266" s="663">
        <f t="shared" si="47"/>
        <v>6588000</v>
      </c>
      <c r="AA266" s="568">
        <f t="shared" si="46"/>
        <v>244</v>
      </c>
      <c r="AB266" s="493">
        <f>IFERROR(INDEX('[14]CN BC'!$M$10:$M$276,MATCH(B266,'[14]CN BC'!$H$10:$H$276,0)),"")</f>
        <v>0</v>
      </c>
      <c r="AC266" s="141" t="str">
        <f>VLOOKUP(B266,TH.T4!B264:AC594,28,FALSE)</f>
        <v>ĐL</v>
      </c>
      <c r="AD266" s="108"/>
      <c r="AE266" s="108"/>
      <c r="AF266" s="155"/>
      <c r="AG266" s="108"/>
      <c r="AH266" s="108"/>
      <c r="AI266" s="108"/>
      <c r="AJ266" s="108"/>
      <c r="AK266" s="108"/>
      <c r="AL266" s="108"/>
    </row>
    <row r="267" spans="1:38" s="372" customFormat="1" ht="25.5" customHeight="1">
      <c r="A267" s="379">
        <f>_xlfn.AGGREGATE(4,7,A$22:A266)+1</f>
        <v>245</v>
      </c>
      <c r="B267" s="374" t="s">
        <v>1548</v>
      </c>
      <c r="C267" s="960" t="s">
        <v>889</v>
      </c>
      <c r="D267" s="434" t="s">
        <v>1815</v>
      </c>
      <c r="E267" s="423" t="s">
        <v>752</v>
      </c>
      <c r="F267" s="81" t="str">
        <f>VLOOKUP(B267,TH.T4!B265:J595,9,FALSE)</f>
        <v>Giảng viên khoa Động lực</v>
      </c>
      <c r="G267" s="373">
        <v>3.66</v>
      </c>
      <c r="H267" s="367"/>
      <c r="I267" s="445">
        <f t="shared" si="52"/>
        <v>3.66</v>
      </c>
      <c r="J267" s="368"/>
      <c r="K267" s="369">
        <f t="shared" si="53"/>
        <v>3.66</v>
      </c>
      <c r="L267" s="362">
        <f t="shared" si="54"/>
        <v>6588000</v>
      </c>
      <c r="M267" s="366" t="str">
        <f>VLOOKUP(B267,'[13]Gui chi Quynh'!$B$11:$E$400,4,FALSE)</f>
        <v>A4</v>
      </c>
      <c r="N267" s="494">
        <f t="shared" si="44"/>
        <v>6588000</v>
      </c>
      <c r="O267" s="376">
        <v>22</v>
      </c>
      <c r="P267" s="440">
        <f>IFERROR(INDEX('[14]CN BC'!$J$10:$J$276,MATCH(B267,'[14]CN BC'!$H$10:$H$276,0)),"")</f>
        <v>22</v>
      </c>
      <c r="Q267" s="494">
        <f t="shared" si="49"/>
        <v>6588000</v>
      </c>
      <c r="R267" s="460"/>
      <c r="S267" s="362">
        <f t="shared" si="43"/>
        <v>0</v>
      </c>
      <c r="T267" s="370"/>
      <c r="U267" s="362">
        <f t="shared" si="51"/>
        <v>0</v>
      </c>
      <c r="V267" s="584">
        <f t="shared" si="45"/>
        <v>65880</v>
      </c>
      <c r="W267" s="371">
        <f t="shared" si="50"/>
        <v>6588000</v>
      </c>
      <c r="X267" s="977">
        <f t="shared" si="48"/>
        <v>3.66</v>
      </c>
      <c r="Y267" s="491">
        <v>1800000</v>
      </c>
      <c r="Z267" s="663">
        <f t="shared" si="47"/>
        <v>6588000</v>
      </c>
      <c r="AA267" s="568">
        <f t="shared" si="46"/>
        <v>245</v>
      </c>
      <c r="AB267" s="493">
        <f>IFERROR(INDEX('[14]CN BC'!$M$10:$M$276,MATCH(B267,'[14]CN BC'!$H$10:$H$276,0)),"")</f>
        <v>0</v>
      </c>
      <c r="AC267" s="141" t="str">
        <f>VLOOKUP(B267,TH.T4!B265:AC595,28,FALSE)</f>
        <v>ĐL</v>
      </c>
      <c r="AF267" s="487"/>
    </row>
    <row r="268" spans="1:38" s="372" customFormat="1" ht="25.5" customHeight="1">
      <c r="A268" s="379">
        <f>_xlfn.AGGREGATE(4,7,A$22:A267)+1</f>
        <v>246</v>
      </c>
      <c r="B268" s="374" t="s">
        <v>1549</v>
      </c>
      <c r="C268" s="960" t="s">
        <v>1428</v>
      </c>
      <c r="D268" s="434" t="s">
        <v>1816</v>
      </c>
      <c r="E268" s="422" t="s">
        <v>1429</v>
      </c>
      <c r="F268" s="81" t="str">
        <f>VLOOKUP(B268,TH.T4!B266:J596,9,FALSE)</f>
        <v>Giảng viên khoa Động lực</v>
      </c>
      <c r="G268" s="463">
        <v>3.33</v>
      </c>
      <c r="H268" s="367"/>
      <c r="I268" s="445">
        <f t="shared" si="52"/>
        <v>3.33</v>
      </c>
      <c r="J268" s="368">
        <v>0.25</v>
      </c>
      <c r="K268" s="369">
        <f t="shared" si="53"/>
        <v>3.58</v>
      </c>
      <c r="L268" s="362">
        <f t="shared" si="54"/>
        <v>6444000</v>
      </c>
      <c r="M268" s="366" t="str">
        <f>VLOOKUP(B268,'[13]Gui chi Quynh'!$B$11:$E$400,4,FALSE)</f>
        <v>A4</v>
      </c>
      <c r="N268" s="494">
        <f t="shared" si="44"/>
        <v>6444000</v>
      </c>
      <c r="O268" s="376">
        <v>22</v>
      </c>
      <c r="P268" s="440">
        <f>IFERROR(INDEX('[14]CN BC'!$J$10:$J$276,MATCH(B268,'[14]CN BC'!$H$10:$H$276,0)),"")</f>
        <v>22</v>
      </c>
      <c r="Q268" s="494">
        <f t="shared" si="49"/>
        <v>6444000</v>
      </c>
      <c r="R268" s="460"/>
      <c r="S268" s="362">
        <f t="shared" si="43"/>
        <v>0</v>
      </c>
      <c r="T268" s="370"/>
      <c r="U268" s="362">
        <f t="shared" si="51"/>
        <v>0</v>
      </c>
      <c r="V268" s="584">
        <f t="shared" si="45"/>
        <v>64440</v>
      </c>
      <c r="W268" s="371">
        <f t="shared" si="50"/>
        <v>6444000</v>
      </c>
      <c r="X268" s="977">
        <f t="shared" si="48"/>
        <v>3.58</v>
      </c>
      <c r="Y268" s="491">
        <v>1800000</v>
      </c>
      <c r="Z268" s="663">
        <f t="shared" si="47"/>
        <v>6444000</v>
      </c>
      <c r="AA268" s="568">
        <f t="shared" si="46"/>
        <v>246</v>
      </c>
      <c r="AB268" s="493">
        <f>IFERROR(INDEX('[14]CN BC'!$M$10:$M$276,MATCH(B268,'[14]CN BC'!$H$10:$H$276,0)),"")</f>
        <v>0</v>
      </c>
      <c r="AC268" s="141" t="str">
        <f>VLOOKUP(B268,TH.T4!B266:AC596,28,FALSE)</f>
        <v>ĐL</v>
      </c>
      <c r="AD268" s="108"/>
      <c r="AE268" s="108"/>
      <c r="AF268" s="155"/>
      <c r="AG268" s="108"/>
      <c r="AH268" s="108"/>
      <c r="AI268" s="108"/>
      <c r="AJ268" s="108"/>
      <c r="AK268" s="108"/>
      <c r="AL268" s="108"/>
    </row>
    <row r="269" spans="1:38" s="372" customFormat="1" ht="25.5" customHeight="1">
      <c r="A269" s="379">
        <f>_xlfn.AGGREGATE(4,7,A$22:A268)+1</f>
        <v>247</v>
      </c>
      <c r="B269" s="374" t="s">
        <v>1550</v>
      </c>
      <c r="C269" s="960" t="s">
        <v>1428</v>
      </c>
      <c r="D269" s="434" t="s">
        <v>1817</v>
      </c>
      <c r="E269" s="422" t="s">
        <v>1430</v>
      </c>
      <c r="F269" s="81" t="str">
        <f>VLOOKUP(B269,TH.T4!B267:J597,9,FALSE)</f>
        <v>Giảng viên khoa Động lực</v>
      </c>
      <c r="G269" s="463">
        <v>3.33</v>
      </c>
      <c r="H269" s="367"/>
      <c r="I269" s="445">
        <f t="shared" si="52"/>
        <v>3.33</v>
      </c>
      <c r="J269" s="368"/>
      <c r="K269" s="369">
        <f t="shared" si="53"/>
        <v>3.33</v>
      </c>
      <c r="L269" s="362">
        <f t="shared" si="54"/>
        <v>5994000</v>
      </c>
      <c r="M269" s="366" t="str">
        <f>VLOOKUP(B269,'[13]Gui chi Quynh'!$B$11:$E$400,4,FALSE)</f>
        <v>A4</v>
      </c>
      <c r="N269" s="494">
        <f t="shared" si="44"/>
        <v>5994000</v>
      </c>
      <c r="O269" s="376">
        <v>22</v>
      </c>
      <c r="P269" s="440">
        <f>IFERROR(INDEX('[14]CN BC'!$J$10:$J$276,MATCH(B269,'[14]CN BC'!$H$10:$H$276,0)),"")</f>
        <v>22</v>
      </c>
      <c r="Q269" s="494">
        <f t="shared" si="49"/>
        <v>5994000</v>
      </c>
      <c r="R269" s="392"/>
      <c r="S269" s="362">
        <f t="shared" si="43"/>
        <v>0</v>
      </c>
      <c r="T269" s="370"/>
      <c r="U269" s="362">
        <f t="shared" si="51"/>
        <v>0</v>
      </c>
      <c r="V269" s="584">
        <f t="shared" si="45"/>
        <v>59940</v>
      </c>
      <c r="W269" s="371">
        <f t="shared" si="50"/>
        <v>5994000</v>
      </c>
      <c r="X269" s="977">
        <f t="shared" si="48"/>
        <v>3.33</v>
      </c>
      <c r="Y269" s="491">
        <v>1800000</v>
      </c>
      <c r="Z269" s="663">
        <f t="shared" si="47"/>
        <v>5994000</v>
      </c>
      <c r="AA269" s="568">
        <f t="shared" si="46"/>
        <v>247</v>
      </c>
      <c r="AB269" s="493">
        <f>IFERROR(INDEX('[14]CN BC'!$M$10:$M$276,MATCH(B269,'[14]CN BC'!$H$10:$H$276,0)),"")</f>
        <v>0</v>
      </c>
      <c r="AC269" s="141" t="str">
        <f>VLOOKUP(B269,TH.T4!B267:AC597,28,FALSE)</f>
        <v>ĐL</v>
      </c>
      <c r="AD269" s="471"/>
      <c r="AE269" s="108"/>
      <c r="AF269" s="155"/>
      <c r="AG269" s="108"/>
      <c r="AH269" s="108"/>
      <c r="AI269" s="108"/>
      <c r="AJ269" s="108"/>
      <c r="AK269" s="108"/>
      <c r="AL269" s="108"/>
    </row>
    <row r="270" spans="1:38" s="372" customFormat="1" ht="25.5" customHeight="1">
      <c r="A270" s="379">
        <f>_xlfn.AGGREGATE(4,7,A$22:A269)+1</f>
        <v>248</v>
      </c>
      <c r="B270" s="374" t="s">
        <v>1836</v>
      </c>
      <c r="C270" s="960"/>
      <c r="D270" s="434" t="s">
        <v>1976</v>
      </c>
      <c r="E270" s="481" t="s">
        <v>1977</v>
      </c>
      <c r="F270" s="81" t="str">
        <f>VLOOKUP(B270,TH.T4!B268:J598,9,FALSE)</f>
        <v>Giảng viên khoa Động lực</v>
      </c>
      <c r="G270" s="365">
        <v>2.67</v>
      </c>
      <c r="H270" s="367"/>
      <c r="I270" s="368">
        <f t="shared" si="52"/>
        <v>2.67</v>
      </c>
      <c r="J270" s="368"/>
      <c r="K270" s="369">
        <f t="shared" si="53"/>
        <v>2.67</v>
      </c>
      <c r="L270" s="362">
        <f t="shared" si="54"/>
        <v>4806000</v>
      </c>
      <c r="M270" s="366" t="str">
        <f>VLOOKUP(B270,'[13]Gui chi Quynh'!$B$11:$E$400,4,FALSE)</f>
        <v>A4</v>
      </c>
      <c r="N270" s="494">
        <f t="shared" si="44"/>
        <v>4806000</v>
      </c>
      <c r="O270" s="376">
        <v>22</v>
      </c>
      <c r="P270" s="440">
        <f>IFERROR(INDEX('[14]CN BC'!$J$10:$J$276,MATCH(B270,'[14]CN BC'!$H$10:$H$276,0)),"")</f>
        <v>22</v>
      </c>
      <c r="Q270" s="494">
        <f t="shared" si="49"/>
        <v>4806000</v>
      </c>
      <c r="R270" s="460"/>
      <c r="S270" s="362">
        <f t="shared" si="43"/>
        <v>0</v>
      </c>
      <c r="T270" s="370"/>
      <c r="U270" s="362">
        <f t="shared" si="51"/>
        <v>0</v>
      </c>
      <c r="V270" s="584">
        <f t="shared" si="45"/>
        <v>48060</v>
      </c>
      <c r="W270" s="371">
        <f t="shared" si="50"/>
        <v>4806000</v>
      </c>
      <c r="X270" s="977">
        <f t="shared" si="48"/>
        <v>2.67</v>
      </c>
      <c r="Y270" s="491">
        <v>1800000</v>
      </c>
      <c r="Z270" s="663">
        <f t="shared" si="47"/>
        <v>4806000</v>
      </c>
      <c r="AA270" s="568">
        <f t="shared" si="46"/>
        <v>248</v>
      </c>
      <c r="AB270" s="493">
        <f>IFERROR(INDEX('[14]CN BC'!$M$10:$M$276,MATCH(B270,'[14]CN BC'!$H$10:$H$276,0)),"")</f>
        <v>0</v>
      </c>
      <c r="AC270" s="141" t="str">
        <f>VLOOKUP(B270,TH.T4!B268:AC598,28,FALSE)</f>
        <v>ĐL</v>
      </c>
      <c r="AD270" s="471"/>
      <c r="AE270" s="108"/>
      <c r="AF270" s="155"/>
      <c r="AG270" s="108"/>
      <c r="AH270" s="108"/>
      <c r="AI270" s="108"/>
      <c r="AJ270" s="108"/>
      <c r="AK270" s="108"/>
      <c r="AL270" s="108"/>
    </row>
    <row r="271" spans="1:38" s="372" customFormat="1" ht="25.5" customHeight="1">
      <c r="A271" s="379">
        <f>_xlfn.AGGREGATE(4,7,A$22:A270)+1</f>
        <v>249</v>
      </c>
      <c r="B271" s="374" t="s">
        <v>1837</v>
      </c>
      <c r="C271" s="960"/>
      <c r="D271" s="434" t="s">
        <v>1978</v>
      </c>
      <c r="E271" s="481" t="s">
        <v>1979</v>
      </c>
      <c r="F271" s="81" t="str">
        <f>VLOOKUP(B271,TH.T4!B269:J599,9,FALSE)</f>
        <v>Giảng viên khoa Động lực</v>
      </c>
      <c r="G271" s="365">
        <v>2.67</v>
      </c>
      <c r="H271" s="367"/>
      <c r="I271" s="368">
        <f t="shared" si="52"/>
        <v>2.67</v>
      </c>
      <c r="J271" s="368"/>
      <c r="K271" s="369">
        <f t="shared" si="53"/>
        <v>2.67</v>
      </c>
      <c r="L271" s="362">
        <f t="shared" si="54"/>
        <v>4806000</v>
      </c>
      <c r="M271" s="366" t="str">
        <f>VLOOKUP(B271,'[13]Gui chi Quynh'!$B$11:$E$400,4,FALSE)</f>
        <v>A4</v>
      </c>
      <c r="N271" s="494">
        <f t="shared" si="44"/>
        <v>4806000</v>
      </c>
      <c r="O271" s="376">
        <v>22</v>
      </c>
      <c r="P271" s="440">
        <f>IFERROR(INDEX('[14]CN BC'!$J$10:$J$276,MATCH(B271,'[14]CN BC'!$H$10:$H$276,0)),"")</f>
        <v>22</v>
      </c>
      <c r="Q271" s="494">
        <f t="shared" si="49"/>
        <v>4806000</v>
      </c>
      <c r="R271" s="392"/>
      <c r="S271" s="362">
        <f t="shared" si="43"/>
        <v>0</v>
      </c>
      <c r="T271" s="370"/>
      <c r="U271" s="362">
        <f t="shared" si="51"/>
        <v>0</v>
      </c>
      <c r="V271" s="584">
        <f t="shared" si="45"/>
        <v>48060</v>
      </c>
      <c r="W271" s="371">
        <f t="shared" si="50"/>
        <v>4806000</v>
      </c>
      <c r="X271" s="977">
        <f t="shared" si="48"/>
        <v>2.67</v>
      </c>
      <c r="Y271" s="491">
        <v>1800000</v>
      </c>
      <c r="Z271" s="663">
        <f t="shared" si="47"/>
        <v>4806000</v>
      </c>
      <c r="AA271" s="568">
        <f t="shared" si="46"/>
        <v>249</v>
      </c>
      <c r="AB271" s="493">
        <f>IFERROR(INDEX('[14]CN BC'!$M$10:$M$276,MATCH(B271,'[14]CN BC'!$H$10:$H$276,0)),"")</f>
        <v>0</v>
      </c>
      <c r="AC271" s="141" t="str">
        <f>VLOOKUP(B271,TH.T4!B269:AC599,28,FALSE)</f>
        <v>ĐL</v>
      </c>
      <c r="AD271" s="471"/>
      <c r="AE271" s="108"/>
      <c r="AF271" s="155"/>
      <c r="AG271" s="108"/>
      <c r="AH271" s="108"/>
      <c r="AI271" s="108"/>
      <c r="AJ271" s="108"/>
      <c r="AK271" s="108"/>
      <c r="AL271" s="108"/>
    </row>
    <row r="272" spans="1:38" s="372" customFormat="1" ht="25.5" customHeight="1">
      <c r="A272" s="379">
        <f>_xlfn.AGGREGATE(4,7,A$22:A271)+1</f>
        <v>250</v>
      </c>
      <c r="B272" s="967" t="s">
        <v>1839</v>
      </c>
      <c r="C272" s="960"/>
      <c r="D272" s="434" t="s">
        <v>1980</v>
      </c>
      <c r="E272" s="481" t="s">
        <v>1981</v>
      </c>
      <c r="F272" s="81" t="str">
        <f>VLOOKUP(B272,TH.T4!B270:J600,9,FALSE)</f>
        <v>Giảng viên khoa Động lực</v>
      </c>
      <c r="G272" s="463">
        <v>3</v>
      </c>
      <c r="H272" s="367"/>
      <c r="I272" s="368">
        <f t="shared" si="52"/>
        <v>3</v>
      </c>
      <c r="J272" s="368"/>
      <c r="K272" s="369">
        <f t="shared" si="53"/>
        <v>3</v>
      </c>
      <c r="L272" s="362">
        <f t="shared" si="54"/>
        <v>5400000</v>
      </c>
      <c r="M272" s="366" t="str">
        <f>VLOOKUP(B272,'[13]Gui chi Quynh'!$B$11:$E$400,4,FALSE)</f>
        <v>A4</v>
      </c>
      <c r="N272" s="494">
        <f t="shared" si="44"/>
        <v>5400000</v>
      </c>
      <c r="O272" s="376">
        <v>22</v>
      </c>
      <c r="P272" s="440">
        <f>IFERROR(INDEX('[14]CN BC'!$J$10:$J$276,MATCH(B272,'[14]CN BC'!$H$10:$H$276,0)),"")</f>
        <v>22</v>
      </c>
      <c r="Q272" s="494">
        <f t="shared" si="49"/>
        <v>5400000</v>
      </c>
      <c r="R272" s="392"/>
      <c r="S272" s="362">
        <f t="shared" si="43"/>
        <v>0</v>
      </c>
      <c r="T272" s="370"/>
      <c r="U272" s="362">
        <f t="shared" si="51"/>
        <v>0</v>
      </c>
      <c r="V272" s="584">
        <f t="shared" si="45"/>
        <v>54000</v>
      </c>
      <c r="W272" s="371">
        <f t="shared" si="50"/>
        <v>5400000</v>
      </c>
      <c r="X272" s="977">
        <f t="shared" si="48"/>
        <v>3</v>
      </c>
      <c r="Y272" s="491">
        <v>1800000</v>
      </c>
      <c r="Z272" s="663">
        <f t="shared" si="47"/>
        <v>5400000</v>
      </c>
      <c r="AA272" s="568">
        <f t="shared" si="46"/>
        <v>250</v>
      </c>
      <c r="AB272" s="493">
        <f>IFERROR(INDEX('[14]CN BC'!$M$10:$M$276,MATCH(B272,'[14]CN BC'!$H$10:$H$276,0)),"")</f>
        <v>0</v>
      </c>
      <c r="AC272" s="141" t="str">
        <f>VLOOKUP(B272,TH.T4!B270:AC600,28,FALSE)</f>
        <v>ĐL</v>
      </c>
      <c r="AD272" s="471"/>
      <c r="AE272" s="108"/>
      <c r="AF272" s="155"/>
      <c r="AG272" s="108"/>
      <c r="AH272" s="108"/>
      <c r="AI272" s="108"/>
      <c r="AJ272" s="108"/>
      <c r="AK272" s="108"/>
      <c r="AL272" s="108"/>
    </row>
    <row r="273" spans="1:42" s="372" customFormat="1" ht="25.5" customHeight="1">
      <c r="A273" s="379">
        <f>_xlfn.AGGREGATE(4,7,A$22:A272)+1</f>
        <v>251</v>
      </c>
      <c r="B273" s="967" t="s">
        <v>1844</v>
      </c>
      <c r="C273" s="960"/>
      <c r="D273" s="434" t="s">
        <v>1982</v>
      </c>
      <c r="E273" s="481" t="s">
        <v>1983</v>
      </c>
      <c r="F273" s="81" t="str">
        <f>VLOOKUP(B273,TH.T4!B271:J601,9,FALSE)</f>
        <v>Giảng viên khoa Động lực</v>
      </c>
      <c r="G273" s="463">
        <v>3.66</v>
      </c>
      <c r="H273" s="367"/>
      <c r="I273" s="368">
        <f t="shared" si="52"/>
        <v>3.66</v>
      </c>
      <c r="J273" s="368"/>
      <c r="K273" s="369">
        <f t="shared" si="53"/>
        <v>3.66</v>
      </c>
      <c r="L273" s="362">
        <f t="shared" si="54"/>
        <v>6588000</v>
      </c>
      <c r="M273" s="366" t="str">
        <f>VLOOKUP(B273,'[13]Gui chi Quynh'!$B$11:$E$400,4,FALSE)</f>
        <v>A4</v>
      </c>
      <c r="N273" s="494">
        <f t="shared" si="44"/>
        <v>6588000</v>
      </c>
      <c r="O273" s="376">
        <v>22</v>
      </c>
      <c r="P273" s="440">
        <f>IFERROR(INDEX('[14]CN BC'!$J$10:$J$276,MATCH(B273,'[14]CN BC'!$H$10:$H$276,0)),"")</f>
        <v>22</v>
      </c>
      <c r="Q273" s="494">
        <f t="shared" si="49"/>
        <v>6588000</v>
      </c>
      <c r="R273" s="460"/>
      <c r="S273" s="362">
        <f t="shared" ref="S273:S288" si="55">R273*$H$19*1</f>
        <v>0</v>
      </c>
      <c r="T273" s="370"/>
      <c r="U273" s="362">
        <f t="shared" si="51"/>
        <v>0</v>
      </c>
      <c r="V273" s="584">
        <f t="shared" si="45"/>
        <v>65880</v>
      </c>
      <c r="W273" s="371">
        <f t="shared" si="50"/>
        <v>6588000</v>
      </c>
      <c r="X273" s="977">
        <f t="shared" si="48"/>
        <v>3.66</v>
      </c>
      <c r="Y273" s="491">
        <v>1800000</v>
      </c>
      <c r="Z273" s="663">
        <f t="shared" si="47"/>
        <v>6588000</v>
      </c>
      <c r="AA273" s="568">
        <f t="shared" si="46"/>
        <v>251</v>
      </c>
      <c r="AB273" s="493">
        <f>IFERROR(INDEX('[14]CN BC'!$M$10:$M$276,MATCH(B273,'[14]CN BC'!$H$10:$H$276,0)),"")</f>
        <v>0</v>
      </c>
      <c r="AC273" s="141" t="str">
        <f>VLOOKUP(B273,TH.T4!B271:AC601,28,FALSE)</f>
        <v>ĐL</v>
      </c>
      <c r="AD273" s="471"/>
      <c r="AE273" s="108"/>
      <c r="AF273" s="155"/>
      <c r="AG273" s="108"/>
      <c r="AH273" s="108"/>
      <c r="AI273" s="108"/>
      <c r="AJ273" s="108"/>
      <c r="AK273" s="108"/>
      <c r="AL273" s="108"/>
    </row>
    <row r="274" spans="1:42" s="372" customFormat="1" ht="24" customHeight="1">
      <c r="A274" s="379">
        <f>_xlfn.AGGREGATE(4,7,A$22:A273)+1</f>
        <v>252</v>
      </c>
      <c r="B274" s="967" t="s">
        <v>1926</v>
      </c>
      <c r="C274" s="960"/>
      <c r="D274" s="434" t="s">
        <v>1984</v>
      </c>
      <c r="E274" s="477" t="s">
        <v>1985</v>
      </c>
      <c r="F274" s="81" t="str">
        <f>VLOOKUP(B274,TH.T4!B272:J602,9,FALSE)</f>
        <v>Giảng viên khoa Động lực</v>
      </c>
      <c r="G274" s="473">
        <v>2.67</v>
      </c>
      <c r="H274" s="367"/>
      <c r="I274" s="368">
        <f t="shared" si="52"/>
        <v>2.67</v>
      </c>
      <c r="J274" s="368"/>
      <c r="K274" s="369">
        <f t="shared" si="53"/>
        <v>2.67</v>
      </c>
      <c r="L274" s="362">
        <f t="shared" si="54"/>
        <v>4806000</v>
      </c>
      <c r="M274" s="366" t="str">
        <f>VLOOKUP(B274,'[13]Gui chi Quynh'!$B$11:$E$400,4,FALSE)</f>
        <v>A4</v>
      </c>
      <c r="N274" s="494">
        <f t="shared" si="44"/>
        <v>4806000</v>
      </c>
      <c r="O274" s="376">
        <v>22</v>
      </c>
      <c r="P274" s="440">
        <f>IFERROR(INDEX('[14]CN BC'!$J$10:$J$276,MATCH(B274,'[14]CN BC'!$H$10:$H$276,0)),"")</f>
        <v>22</v>
      </c>
      <c r="Q274" s="494">
        <f t="shared" si="49"/>
        <v>4806000</v>
      </c>
      <c r="R274" s="460"/>
      <c r="S274" s="362">
        <f t="shared" si="55"/>
        <v>0</v>
      </c>
      <c r="T274" s="370"/>
      <c r="U274" s="362">
        <f t="shared" si="51"/>
        <v>0</v>
      </c>
      <c r="V274" s="584">
        <f t="shared" si="45"/>
        <v>48060</v>
      </c>
      <c r="W274" s="371">
        <f t="shared" si="50"/>
        <v>4806000</v>
      </c>
      <c r="X274" s="977">
        <f t="shared" si="48"/>
        <v>2.67</v>
      </c>
      <c r="Y274" s="491">
        <v>1800000</v>
      </c>
      <c r="Z274" s="663">
        <f t="shared" si="47"/>
        <v>4806000</v>
      </c>
      <c r="AA274" s="568">
        <f t="shared" si="46"/>
        <v>252</v>
      </c>
      <c r="AB274" s="493">
        <f>IFERROR(INDEX('[14]CN BC'!$M$10:$M$276,MATCH(B274,'[14]CN BC'!$H$10:$H$276,0)),"")</f>
        <v>0</v>
      </c>
      <c r="AC274" s="141" t="str">
        <f>VLOOKUP(B274,TH.T4!B272:AC602,28,FALSE)</f>
        <v>ĐL</v>
      </c>
      <c r="AD274" s="471"/>
      <c r="AE274" s="108"/>
      <c r="AF274" s="155"/>
      <c r="AG274" s="108"/>
      <c r="AH274" s="108"/>
      <c r="AI274" s="108"/>
      <c r="AJ274" s="108"/>
      <c r="AK274" s="108"/>
      <c r="AL274" s="108"/>
    </row>
    <row r="275" spans="1:42" s="372" customFormat="1" ht="24" customHeight="1">
      <c r="A275" s="379">
        <f>_xlfn.AGGREGATE(4,7,A$22:A274)+1</f>
        <v>253</v>
      </c>
      <c r="B275" s="967" t="s">
        <v>1941</v>
      </c>
      <c r="C275" s="960"/>
      <c r="D275" s="434" t="s">
        <v>1989</v>
      </c>
      <c r="E275" s="477" t="s">
        <v>1988</v>
      </c>
      <c r="F275" s="81" t="str">
        <f>VLOOKUP(B275,TH.T4!B273:J603,9,FALSE)</f>
        <v>Giảng viên khoa Động lực</v>
      </c>
      <c r="G275" s="473">
        <v>2.34</v>
      </c>
      <c r="H275" s="367"/>
      <c r="I275" s="368">
        <f t="shared" si="52"/>
        <v>2.34</v>
      </c>
      <c r="J275" s="368"/>
      <c r="K275" s="369">
        <f t="shared" si="53"/>
        <v>2.34</v>
      </c>
      <c r="L275" s="362">
        <f t="shared" si="54"/>
        <v>4212000</v>
      </c>
      <c r="M275" s="366" t="str">
        <f>VLOOKUP(B275,'[13]Gui chi Quynh'!$B$11:$E$400,4,FALSE)</f>
        <v>A4</v>
      </c>
      <c r="N275" s="494">
        <f t="shared" si="44"/>
        <v>4212000</v>
      </c>
      <c r="O275" s="376">
        <v>22</v>
      </c>
      <c r="P275" s="440">
        <f>IFERROR(INDEX('[14]CN BC'!$J$10:$J$276,MATCH(B275,'[14]CN BC'!$H$10:$H$276,0)),"")</f>
        <v>22</v>
      </c>
      <c r="Q275" s="494">
        <f t="shared" si="49"/>
        <v>4212000</v>
      </c>
      <c r="R275" s="460"/>
      <c r="S275" s="362">
        <f t="shared" si="55"/>
        <v>0</v>
      </c>
      <c r="T275" s="370"/>
      <c r="U275" s="362">
        <f t="shared" si="51"/>
        <v>0</v>
      </c>
      <c r="V275" s="584">
        <f t="shared" si="45"/>
        <v>42120</v>
      </c>
      <c r="W275" s="371">
        <f t="shared" si="50"/>
        <v>4212000</v>
      </c>
      <c r="X275" s="977">
        <f t="shared" si="48"/>
        <v>2.34</v>
      </c>
      <c r="Y275" s="491">
        <v>1800000</v>
      </c>
      <c r="Z275" s="663">
        <f t="shared" si="47"/>
        <v>4212000</v>
      </c>
      <c r="AA275" s="568">
        <f t="shared" si="46"/>
        <v>253</v>
      </c>
      <c r="AB275" s="493">
        <f>IFERROR(INDEX('[14]CN BC'!$M$10:$M$276,MATCH(B275,'[14]CN BC'!$H$10:$H$276,0)),"")</f>
        <v>0</v>
      </c>
      <c r="AC275" s="141" t="str">
        <f>VLOOKUP(B275,TH.T4!B274:AC604,28,FALSE)</f>
        <v>ĐL</v>
      </c>
      <c r="AD275" s="471"/>
      <c r="AE275" s="108"/>
      <c r="AF275" s="155"/>
      <c r="AG275" s="108"/>
      <c r="AH275" s="108"/>
      <c r="AI275" s="108"/>
      <c r="AJ275" s="108"/>
      <c r="AK275" s="108"/>
      <c r="AL275" s="108"/>
    </row>
    <row r="276" spans="1:42" s="372" customFormat="1" ht="24" customHeight="1">
      <c r="A276" s="379">
        <f>_xlfn.AGGREGATE(4,7,A$22:A275)+1</f>
        <v>254</v>
      </c>
      <c r="B276" s="967" t="s">
        <v>1942</v>
      </c>
      <c r="C276" s="960"/>
      <c r="D276" s="434" t="s">
        <v>1990</v>
      </c>
      <c r="E276" s="422"/>
      <c r="F276" s="81" t="str">
        <f>VLOOKUP(B276,TH.T4!B274:J604,9,FALSE)</f>
        <v>Giảng viên khoa Động lực</v>
      </c>
      <c r="G276" s="473">
        <v>2.34</v>
      </c>
      <c r="H276" s="367"/>
      <c r="I276" s="368">
        <f t="shared" si="52"/>
        <v>2.34</v>
      </c>
      <c r="J276" s="368"/>
      <c r="K276" s="369">
        <f t="shared" si="53"/>
        <v>2.34</v>
      </c>
      <c r="L276" s="362">
        <f t="shared" si="54"/>
        <v>4212000</v>
      </c>
      <c r="M276" s="366" t="str">
        <f>VLOOKUP(B276,'[13]Gui chi Quynh'!$B$11:$E$400,4,FALSE)</f>
        <v>A4</v>
      </c>
      <c r="N276" s="494">
        <f t="shared" si="44"/>
        <v>4212000</v>
      </c>
      <c r="O276" s="376">
        <v>22</v>
      </c>
      <c r="P276" s="440">
        <f>IFERROR(INDEX('[14]CN BC'!$J$10:$J$276,MATCH(B276,'[14]CN BC'!$H$10:$H$276,0)),"")</f>
        <v>22</v>
      </c>
      <c r="Q276" s="494">
        <f t="shared" si="49"/>
        <v>4212000</v>
      </c>
      <c r="R276" s="460"/>
      <c r="S276" s="362">
        <f t="shared" si="55"/>
        <v>0</v>
      </c>
      <c r="T276" s="370"/>
      <c r="U276" s="362">
        <f t="shared" si="51"/>
        <v>0</v>
      </c>
      <c r="V276" s="584">
        <f t="shared" si="45"/>
        <v>42120</v>
      </c>
      <c r="W276" s="371">
        <f t="shared" si="50"/>
        <v>4212000</v>
      </c>
      <c r="X276" s="977">
        <f t="shared" si="48"/>
        <v>2.34</v>
      </c>
      <c r="Y276" s="491">
        <v>1800000</v>
      </c>
      <c r="Z276" s="663">
        <f t="shared" si="47"/>
        <v>4212000</v>
      </c>
      <c r="AA276" s="568">
        <f t="shared" si="46"/>
        <v>254</v>
      </c>
      <c r="AB276" s="493">
        <f>IFERROR(INDEX('[14]CN BC'!$M$10:$M$276,MATCH(B276,'[14]CN BC'!$H$10:$H$276,0)),"")</f>
        <v>0</v>
      </c>
      <c r="AC276" s="141" t="str">
        <f>VLOOKUP(B276,TH.T4!B275:AC605,28,FALSE)</f>
        <v>ĐL</v>
      </c>
      <c r="AD276" s="471"/>
      <c r="AE276" s="108"/>
      <c r="AF276" s="155"/>
      <c r="AG276" s="108"/>
      <c r="AH276" s="108"/>
      <c r="AI276" s="108"/>
      <c r="AJ276" s="108"/>
      <c r="AK276" s="108"/>
      <c r="AL276" s="108"/>
    </row>
    <row r="277" spans="1:42" s="372" customFormat="1" ht="24" customHeight="1">
      <c r="A277" s="379">
        <f>_xlfn.AGGREGATE(4,7,A$22:A276)+1</f>
        <v>255</v>
      </c>
      <c r="B277" s="967" t="s">
        <v>1945</v>
      </c>
      <c r="C277" s="960"/>
      <c r="D277" s="379" t="s">
        <v>1948</v>
      </c>
      <c r="E277" s="422" t="s">
        <v>1949</v>
      </c>
      <c r="F277" s="81" t="str">
        <f>VLOOKUP(B277,TH.T4!B275:J605,9,FALSE)</f>
        <v>Giảng viên khoa Động lực</v>
      </c>
      <c r="G277" s="473">
        <v>3.66</v>
      </c>
      <c r="H277" s="367"/>
      <c r="I277" s="445">
        <f t="shared" si="52"/>
        <v>3.66</v>
      </c>
      <c r="J277" s="368"/>
      <c r="K277" s="369">
        <f t="shared" si="53"/>
        <v>3.66</v>
      </c>
      <c r="L277" s="362">
        <f t="shared" si="54"/>
        <v>6588000</v>
      </c>
      <c r="M277" s="366" t="str">
        <f>VLOOKUP(B277,'[13]Gui chi Quynh'!$B$11:$E$400,4,FALSE)</f>
        <v>A4</v>
      </c>
      <c r="N277" s="494">
        <f t="shared" si="44"/>
        <v>6588000</v>
      </c>
      <c r="O277" s="376">
        <v>22</v>
      </c>
      <c r="P277" s="440">
        <f>IFERROR(INDEX('[14]CN BC'!$J$10:$J$276,MATCH(B277,'[14]CN BC'!$H$10:$H$276,0)),"")</f>
        <v>22</v>
      </c>
      <c r="Q277" s="494">
        <f t="shared" si="49"/>
        <v>6588000</v>
      </c>
      <c r="R277" s="460"/>
      <c r="S277" s="362">
        <f t="shared" si="55"/>
        <v>0</v>
      </c>
      <c r="T277" s="370"/>
      <c r="U277" s="362">
        <f t="shared" si="51"/>
        <v>0</v>
      </c>
      <c r="V277" s="584">
        <f t="shared" si="45"/>
        <v>65880</v>
      </c>
      <c r="W277" s="371">
        <f t="shared" si="50"/>
        <v>6588000</v>
      </c>
      <c r="X277" s="977">
        <f t="shared" si="48"/>
        <v>3.66</v>
      </c>
      <c r="Y277" s="491">
        <v>1800000</v>
      </c>
      <c r="Z277" s="663">
        <f t="shared" si="47"/>
        <v>6588000</v>
      </c>
      <c r="AA277" s="568">
        <f t="shared" si="46"/>
        <v>255</v>
      </c>
      <c r="AB277" s="493">
        <f>IFERROR(INDEX('[14]CN BC'!$M$10:$M$276,MATCH(B277,'[14]CN BC'!$H$10:$H$276,0)),"")</f>
        <v>0</v>
      </c>
      <c r="AC277" s="141" t="str">
        <f>VLOOKUP(B277,TH.T4!B276:AC606,28,FALSE)</f>
        <v>ĐL</v>
      </c>
      <c r="AD277" s="471"/>
      <c r="AE277" s="108"/>
      <c r="AF277" s="487"/>
    </row>
    <row r="278" spans="1:42" s="372" customFormat="1" ht="24" customHeight="1">
      <c r="A278" s="379">
        <f>_xlfn.AGGREGATE(4,7,A$22:A277)+1</f>
        <v>256</v>
      </c>
      <c r="B278" s="967" t="s">
        <v>2003</v>
      </c>
      <c r="C278" s="960"/>
      <c r="D278" s="379"/>
      <c r="E278" s="422"/>
      <c r="F278" s="81" t="str">
        <f>VLOOKUP(B278,TH.T4!B276:J606,9,FALSE)</f>
        <v>Giảng viên khoa Động lực</v>
      </c>
      <c r="G278" s="463">
        <v>3.33</v>
      </c>
      <c r="H278" s="367"/>
      <c r="I278" s="445">
        <f t="shared" si="52"/>
        <v>3.33</v>
      </c>
      <c r="J278" s="368"/>
      <c r="K278" s="369">
        <f t="shared" si="53"/>
        <v>3.33</v>
      </c>
      <c r="L278" s="362">
        <f t="shared" si="54"/>
        <v>5994000</v>
      </c>
      <c r="M278" s="366" t="str">
        <f>VLOOKUP(B278,'[13]Gui chi Quynh'!$B$11:$E$400,4,FALSE)</f>
        <v>A4</v>
      </c>
      <c r="N278" s="494">
        <f t="shared" si="44"/>
        <v>5994000</v>
      </c>
      <c r="O278" s="376">
        <v>22</v>
      </c>
      <c r="P278" s="440">
        <f>IFERROR(INDEX('[14]CN BC'!$J$10:$J$276,MATCH(B278,'[14]CN BC'!$H$10:$H$276,0)),"")</f>
        <v>22</v>
      </c>
      <c r="Q278" s="494">
        <f t="shared" si="49"/>
        <v>5994000</v>
      </c>
      <c r="R278" s="460"/>
      <c r="S278" s="362">
        <f t="shared" si="55"/>
        <v>0</v>
      </c>
      <c r="T278" s="370"/>
      <c r="U278" s="362">
        <f t="shared" si="51"/>
        <v>0</v>
      </c>
      <c r="V278" s="584">
        <f t="shared" si="45"/>
        <v>59940</v>
      </c>
      <c r="W278" s="371">
        <f t="shared" si="50"/>
        <v>5994000</v>
      </c>
      <c r="X278" s="977">
        <f t="shared" si="48"/>
        <v>3.33</v>
      </c>
      <c r="Y278" s="491">
        <v>1800000</v>
      </c>
      <c r="Z278" s="663">
        <f t="shared" si="47"/>
        <v>5994000</v>
      </c>
      <c r="AA278" s="568">
        <f t="shared" si="46"/>
        <v>256</v>
      </c>
      <c r="AB278" s="493">
        <f>IFERROR(INDEX('[14]CN BC'!$M$10:$M$276,MATCH(B278,'[14]CN BC'!$H$10:$H$276,0)),"")</f>
        <v>0</v>
      </c>
      <c r="AC278" s="141" t="str">
        <f>VLOOKUP(B278,TH.T4!B277:AC607,28,FALSE)</f>
        <v>ĐL</v>
      </c>
      <c r="AD278" s="471"/>
      <c r="AE278" s="108"/>
      <c r="AF278" s="487"/>
    </row>
    <row r="279" spans="1:42" s="372" customFormat="1" ht="24" customHeight="1">
      <c r="A279" s="379">
        <f>_xlfn.AGGREGATE(4,7,A$22:A278)+1</f>
        <v>257</v>
      </c>
      <c r="B279" s="967" t="s">
        <v>2010</v>
      </c>
      <c r="C279" s="960"/>
      <c r="D279" s="379"/>
      <c r="E279" s="422"/>
      <c r="F279" s="81" t="str">
        <f>VLOOKUP(B279,TH.T4!B277:J607,9,FALSE)</f>
        <v>Giảng viên khoa Động lực</v>
      </c>
      <c r="G279" s="463">
        <v>1.9890000000000001</v>
      </c>
      <c r="H279" s="367"/>
      <c r="I279" s="445">
        <f t="shared" si="52"/>
        <v>1.9890000000000001</v>
      </c>
      <c r="J279" s="368"/>
      <c r="K279" s="369">
        <f t="shared" si="53"/>
        <v>1.9890000000000001</v>
      </c>
      <c r="L279" s="362">
        <f t="shared" si="54"/>
        <v>3580200</v>
      </c>
      <c r="M279" s="366" t="str">
        <f>VLOOKUP(B279,'[13]Gui chi Quynh'!$B$11:$E$400,4,FALSE)</f>
        <v>A4</v>
      </c>
      <c r="N279" s="494">
        <f t="shared" ref="N279:N288" si="56">IF(M279="A1",L279*1.6,IF(M279="A2",L279*1.4,IF(M279="A3",L279*1.2,IF(M279="A4",L279*1,IF(M279="B1",L279*0.7,IF(M279="B2",L279*0.5,IF(M279="C1",L279*0.3,IF(M279="C2",L279*0.2,0))))))))</f>
        <v>3580200</v>
      </c>
      <c r="O279" s="376">
        <v>22</v>
      </c>
      <c r="P279" s="440">
        <f>IFERROR(INDEX('[14]CN BC'!$J$10:$J$276,MATCH(B279,'[14]CN BC'!$H$10:$H$276,0)),"")</f>
        <v>22</v>
      </c>
      <c r="Q279" s="494">
        <f t="shared" si="49"/>
        <v>3580200</v>
      </c>
      <c r="R279" s="460"/>
      <c r="S279" s="362">
        <f t="shared" si="55"/>
        <v>0</v>
      </c>
      <c r="T279" s="370"/>
      <c r="U279" s="362">
        <f t="shared" si="51"/>
        <v>0</v>
      </c>
      <c r="V279" s="584">
        <f t="shared" si="45"/>
        <v>35802</v>
      </c>
      <c r="W279" s="371">
        <f t="shared" si="50"/>
        <v>3580200</v>
      </c>
      <c r="X279" s="977">
        <f t="shared" si="48"/>
        <v>1.9890000000000001</v>
      </c>
      <c r="Y279" s="491">
        <v>1800000</v>
      </c>
      <c r="Z279" s="663">
        <f t="shared" si="47"/>
        <v>3580200</v>
      </c>
      <c r="AA279" s="568">
        <f t="shared" si="46"/>
        <v>257</v>
      </c>
      <c r="AB279" s="493">
        <f>IFERROR(INDEX('[14]CN BC'!$M$10:$M$276,MATCH(B279,'[14]CN BC'!$H$10:$H$276,0)),"")</f>
        <v>0</v>
      </c>
      <c r="AC279" s="141" t="str">
        <f>VLOOKUP(B279,TH.T4!B278:AC608,28,FALSE)</f>
        <v>ĐL</v>
      </c>
      <c r="AD279" s="541"/>
      <c r="AF279" s="487"/>
    </row>
    <row r="280" spans="1:42" s="372" customFormat="1" ht="30" customHeight="1">
      <c r="A280" s="379">
        <f>_xlfn.AGGREGATE(4,7,A$22:A279)+1</f>
        <v>258</v>
      </c>
      <c r="B280" s="374" t="s">
        <v>1554</v>
      </c>
      <c r="C280" s="960" t="s">
        <v>1197</v>
      </c>
      <c r="D280" s="434" t="s">
        <v>1818</v>
      </c>
      <c r="E280" s="435" t="s">
        <v>1570</v>
      </c>
      <c r="F280" s="81" t="str">
        <f>VLOOKUP(B280,TH.T4!B278:J608,9,FALSE)</f>
        <v>Giảng viên khoa Xây dựng - Nhiệt lạnh</v>
      </c>
      <c r="G280" s="373">
        <v>3.66</v>
      </c>
      <c r="H280" s="367"/>
      <c r="I280" s="445">
        <f t="shared" si="52"/>
        <v>3.66</v>
      </c>
      <c r="J280" s="447">
        <v>0.45</v>
      </c>
      <c r="K280" s="369">
        <f t="shared" si="53"/>
        <v>4.1100000000000003</v>
      </c>
      <c r="L280" s="362">
        <f t="shared" si="54"/>
        <v>7398000.0000000009</v>
      </c>
      <c r="M280" s="366" t="str">
        <f>VLOOKUP(B280,'[13]Gui chi Quynh'!$B$11:$E$400,4,FALSE)</f>
        <v>A4</v>
      </c>
      <c r="N280" s="494">
        <f t="shared" si="56"/>
        <v>7398000.0000000009</v>
      </c>
      <c r="O280" s="376">
        <v>22</v>
      </c>
      <c r="P280" s="440">
        <f>IFERROR(INDEX('[14]CN BC'!$J$10:$J$276,MATCH(B280,'[14]CN BC'!$H$10:$H$276,0)),"")</f>
        <v>22</v>
      </c>
      <c r="Q280" s="494">
        <f t="shared" si="49"/>
        <v>7398000.0000000009</v>
      </c>
      <c r="R280" s="460"/>
      <c r="S280" s="362">
        <f t="shared" si="55"/>
        <v>0</v>
      </c>
      <c r="T280" s="370"/>
      <c r="U280" s="362">
        <f t="shared" si="51"/>
        <v>0</v>
      </c>
      <c r="V280" s="584">
        <f t="shared" si="45"/>
        <v>73980</v>
      </c>
      <c r="W280" s="371">
        <f t="shared" si="50"/>
        <v>7398000.0000000009</v>
      </c>
      <c r="X280" s="977">
        <f t="shared" si="48"/>
        <v>4.1100000000000003</v>
      </c>
      <c r="Y280" s="491">
        <v>1800000</v>
      </c>
      <c r="Z280" s="663">
        <f t="shared" ref="Z280:Z343" si="57">X280*Y280</f>
        <v>7398000.0000000009</v>
      </c>
      <c r="AA280" s="568">
        <f t="shared" si="46"/>
        <v>258</v>
      </c>
      <c r="AB280" s="493">
        <f>IFERROR(INDEX('[14]CN BC'!$M$10:$M$276,MATCH(B280,'[14]CN BC'!$H$10:$H$276,0)),"")</f>
        <v>0</v>
      </c>
      <c r="AC280" s="141" t="str">
        <f>VLOOKUP(B280,TH.T4!B279:AC609,28,FALSE)</f>
        <v>XD-NL</v>
      </c>
      <c r="AD280" s="108"/>
      <c r="AE280" s="108"/>
      <c r="AF280" s="155"/>
      <c r="AG280" s="108"/>
      <c r="AH280" s="108"/>
      <c r="AI280" s="108"/>
      <c r="AJ280" s="108"/>
      <c r="AK280" s="108"/>
      <c r="AL280" s="108"/>
    </row>
    <row r="281" spans="1:42" s="372" customFormat="1" ht="30" customHeight="1">
      <c r="A281" s="379">
        <f>_xlfn.AGGREGATE(4,7,A$22:A280)+1</f>
        <v>259</v>
      </c>
      <c r="B281" s="374" t="s">
        <v>1920</v>
      </c>
      <c r="C281" s="960" t="s">
        <v>1051</v>
      </c>
      <c r="D281" s="434" t="s">
        <v>1819</v>
      </c>
      <c r="E281" s="423" t="s">
        <v>1414</v>
      </c>
      <c r="F281" s="81" t="str">
        <f>VLOOKUP(B281,TH.T4!B279:J609,9,FALSE)</f>
        <v>Giảng viên khoa Xây dựng - Nhiệt lạnh</v>
      </c>
      <c r="G281" s="366">
        <v>4.6500000000000004</v>
      </c>
      <c r="H281" s="367"/>
      <c r="I281" s="368">
        <f t="shared" si="52"/>
        <v>4.6500000000000004</v>
      </c>
      <c r="J281" s="472">
        <v>0.25</v>
      </c>
      <c r="K281" s="369">
        <f t="shared" si="53"/>
        <v>4.9000000000000004</v>
      </c>
      <c r="L281" s="362">
        <f t="shared" si="54"/>
        <v>8820000</v>
      </c>
      <c r="M281" s="366" t="str">
        <f>VLOOKUP(B281,'[13]Gui chi Quynh'!$B$11:$E$400,4,FALSE)</f>
        <v>A4</v>
      </c>
      <c r="N281" s="494">
        <f t="shared" si="56"/>
        <v>8820000</v>
      </c>
      <c r="O281" s="376">
        <v>22</v>
      </c>
      <c r="P281" s="440">
        <f>IFERROR(INDEX('[14]CN BC'!$J$10:$J$276,MATCH(B281,'[14]CN BC'!$H$10:$H$276,0)),"")</f>
        <v>22</v>
      </c>
      <c r="Q281" s="494">
        <f t="shared" si="49"/>
        <v>8820000</v>
      </c>
      <c r="R281" s="460"/>
      <c r="S281" s="362">
        <f t="shared" si="55"/>
        <v>0</v>
      </c>
      <c r="T281" s="370"/>
      <c r="U281" s="362">
        <f t="shared" si="51"/>
        <v>0</v>
      </c>
      <c r="V281" s="584">
        <f t="shared" si="45"/>
        <v>88200</v>
      </c>
      <c r="W281" s="371">
        <f t="shared" si="50"/>
        <v>8820000</v>
      </c>
      <c r="X281" s="977">
        <f t="shared" ref="X281:X344" si="58">W281/Y281</f>
        <v>4.9000000000000004</v>
      </c>
      <c r="Y281" s="491">
        <v>1800000</v>
      </c>
      <c r="Z281" s="663">
        <f t="shared" si="57"/>
        <v>8820000</v>
      </c>
      <c r="AA281" s="568">
        <f t="shared" si="46"/>
        <v>259</v>
      </c>
      <c r="AB281" s="493">
        <f>IFERROR(INDEX('[14]CN BC'!$M$10:$M$276,MATCH(B281,'[14]CN BC'!$H$10:$H$276,0)),"")</f>
        <v>0</v>
      </c>
      <c r="AC281" s="141" t="str">
        <f>VLOOKUP(B281,TH.T4!B280:AC610,28,FALSE)</f>
        <v>XD-NL</v>
      </c>
      <c r="AD281" s="108"/>
      <c r="AE281" s="108"/>
      <c r="AF281" s="155"/>
      <c r="AG281" s="108"/>
      <c r="AH281" s="108"/>
      <c r="AI281" s="108"/>
      <c r="AJ281" s="108"/>
      <c r="AK281" s="108"/>
      <c r="AL281" s="108"/>
    </row>
    <row r="282" spans="1:42" s="372" customFormat="1" ht="30" customHeight="1">
      <c r="A282" s="379">
        <f>_xlfn.AGGREGATE(4,7,A$22:A281)+1</f>
        <v>260</v>
      </c>
      <c r="B282" s="374" t="s">
        <v>1921</v>
      </c>
      <c r="C282" s="960" t="s">
        <v>1083</v>
      </c>
      <c r="D282" s="406" t="s">
        <v>1820</v>
      </c>
      <c r="E282" s="423" t="s">
        <v>1415</v>
      </c>
      <c r="F282" s="81" t="str">
        <f>VLOOKUP(B282,TH.T4!B280:J610,9,FALSE)</f>
        <v>Giảng viên khoa Xây dựng - Nhiệt lạnh</v>
      </c>
      <c r="G282" s="366">
        <v>4.6500000000000004</v>
      </c>
      <c r="H282" s="367"/>
      <c r="I282" s="368">
        <f t="shared" si="52"/>
        <v>4.6500000000000004</v>
      </c>
      <c r="J282" s="395">
        <v>0.25</v>
      </c>
      <c r="K282" s="369">
        <f t="shared" si="53"/>
        <v>4.9000000000000004</v>
      </c>
      <c r="L282" s="362">
        <f t="shared" si="54"/>
        <v>8820000</v>
      </c>
      <c r="M282" s="366" t="str">
        <f>VLOOKUP(B282,'[13]Gui chi Quynh'!$B$11:$E$400,4,FALSE)</f>
        <v>A4</v>
      </c>
      <c r="N282" s="494">
        <f t="shared" si="56"/>
        <v>8820000</v>
      </c>
      <c r="O282" s="376">
        <v>22</v>
      </c>
      <c r="P282" s="440">
        <f>IFERROR(INDEX('[14]CN BC'!$J$10:$J$276,MATCH(B282,'[14]CN BC'!$H$10:$H$276,0)),"")</f>
        <v>22</v>
      </c>
      <c r="Q282" s="494">
        <f t="shared" si="49"/>
        <v>8820000</v>
      </c>
      <c r="R282" s="392"/>
      <c r="S282" s="362">
        <f t="shared" si="55"/>
        <v>0</v>
      </c>
      <c r="T282" s="385"/>
      <c r="U282" s="362">
        <f t="shared" si="51"/>
        <v>0</v>
      </c>
      <c r="V282" s="584">
        <f t="shared" si="45"/>
        <v>88200</v>
      </c>
      <c r="W282" s="371">
        <f t="shared" ref="W282:W288" si="59">(Q282+S282+U282)</f>
        <v>8820000</v>
      </c>
      <c r="X282" s="977">
        <f t="shared" si="58"/>
        <v>4.9000000000000004</v>
      </c>
      <c r="Y282" s="491">
        <v>1800000</v>
      </c>
      <c r="Z282" s="663">
        <f t="shared" si="57"/>
        <v>8820000</v>
      </c>
      <c r="AA282" s="568">
        <f t="shared" si="46"/>
        <v>260</v>
      </c>
      <c r="AB282" s="493">
        <f>IFERROR(INDEX('[14]CN BC'!$M$10:$M$276,MATCH(B282,'[14]CN BC'!$H$10:$H$276,0)),"")</f>
        <v>0</v>
      </c>
      <c r="AC282" s="141" t="str">
        <f>VLOOKUP(B282,TH.T4!B281:AC611,28,FALSE)</f>
        <v>XD-NL</v>
      </c>
      <c r="AD282" s="108"/>
      <c r="AE282" s="108"/>
      <c r="AF282" s="155"/>
      <c r="AG282" s="108"/>
      <c r="AH282" s="108"/>
      <c r="AI282" s="108"/>
      <c r="AJ282" s="108"/>
      <c r="AK282" s="108"/>
      <c r="AL282" s="108"/>
      <c r="AM282" s="108"/>
      <c r="AN282" s="108"/>
      <c r="AO282" s="108"/>
      <c r="AP282" s="108"/>
    </row>
    <row r="283" spans="1:42" s="372" customFormat="1" ht="30" customHeight="1">
      <c r="A283" s="379">
        <f>_xlfn.AGGREGATE(4,7,A$22:A282)+1</f>
        <v>261</v>
      </c>
      <c r="B283" s="374" t="s">
        <v>1922</v>
      </c>
      <c r="C283" s="960" t="s">
        <v>863</v>
      </c>
      <c r="D283" s="434" t="s">
        <v>1821</v>
      </c>
      <c r="E283" s="423" t="s">
        <v>392</v>
      </c>
      <c r="F283" s="81" t="str">
        <f>VLOOKUP(B283,TH.T4!B281:J611,9,FALSE)</f>
        <v>Giảng viên khoa Xây dựng - Nhiệt lạnh</v>
      </c>
      <c r="G283" s="373">
        <v>3.66</v>
      </c>
      <c r="H283" s="367"/>
      <c r="I283" s="368">
        <f t="shared" si="52"/>
        <v>3.66</v>
      </c>
      <c r="J283" s="368"/>
      <c r="K283" s="369">
        <f t="shared" si="53"/>
        <v>3.66</v>
      </c>
      <c r="L283" s="362">
        <f t="shared" si="54"/>
        <v>6588000</v>
      </c>
      <c r="M283" s="366" t="str">
        <f>VLOOKUP(B283,'[13]Gui chi Quynh'!$B$11:$E$400,4,FALSE)</f>
        <v>A4</v>
      </c>
      <c r="N283" s="494">
        <f t="shared" si="56"/>
        <v>6588000</v>
      </c>
      <c r="O283" s="376">
        <v>22</v>
      </c>
      <c r="P283" s="440">
        <f>IFERROR(INDEX('[14]CN BC'!$J$10:$J$276,MATCH(B283,'[14]CN BC'!$H$10:$H$276,0)),"")</f>
        <v>22</v>
      </c>
      <c r="Q283" s="494">
        <f t="shared" si="49"/>
        <v>6588000</v>
      </c>
      <c r="R283" s="460"/>
      <c r="S283" s="362">
        <f t="shared" si="55"/>
        <v>0</v>
      </c>
      <c r="T283" s="370"/>
      <c r="U283" s="362">
        <f t="shared" si="51"/>
        <v>0</v>
      </c>
      <c r="V283" s="362">
        <f t="shared" si="45"/>
        <v>65880</v>
      </c>
      <c r="W283" s="371">
        <f t="shared" si="59"/>
        <v>6588000</v>
      </c>
      <c r="X283" s="977">
        <f t="shared" si="58"/>
        <v>3.66</v>
      </c>
      <c r="Y283" s="491">
        <v>1800000</v>
      </c>
      <c r="Z283" s="663">
        <f t="shared" si="57"/>
        <v>6588000</v>
      </c>
      <c r="AA283" s="568">
        <f t="shared" si="46"/>
        <v>261</v>
      </c>
      <c r="AB283" s="493">
        <f>IFERROR(INDEX('[14]CN BC'!$M$10:$M$276,MATCH(B283,'[14]CN BC'!$H$10:$H$276,0)),"")</f>
        <v>0</v>
      </c>
      <c r="AC283" s="141" t="str">
        <f>VLOOKUP(B283,TH.T4!B282:AC612,28,FALSE)</f>
        <v>XD-NL</v>
      </c>
      <c r="AF283" s="487"/>
    </row>
    <row r="284" spans="1:42" s="372" customFormat="1" ht="30" customHeight="1">
      <c r="A284" s="379">
        <f>_xlfn.AGGREGATE(4,7,A$22:A283)+1</f>
        <v>262</v>
      </c>
      <c r="B284" s="374" t="s">
        <v>1923</v>
      </c>
      <c r="C284" s="960" t="s">
        <v>1013</v>
      </c>
      <c r="D284" s="434" t="s">
        <v>1822</v>
      </c>
      <c r="E284" s="428" t="s">
        <v>511</v>
      </c>
      <c r="F284" s="81" t="str">
        <f>VLOOKUP(B284,TH.T4!B282:J612,9,FALSE)</f>
        <v>Giảng viên khoa Xây dựng - Nhiệt lạnh</v>
      </c>
      <c r="G284" s="373">
        <v>3.66</v>
      </c>
      <c r="H284" s="367"/>
      <c r="I284" s="445">
        <f t="shared" si="52"/>
        <v>3.66</v>
      </c>
      <c r="J284" s="368"/>
      <c r="K284" s="369">
        <f t="shared" si="53"/>
        <v>3.66</v>
      </c>
      <c r="L284" s="362">
        <f t="shared" si="54"/>
        <v>6588000</v>
      </c>
      <c r="M284" s="366" t="str">
        <f>VLOOKUP(B284,'[13]Gui chi Quynh'!$B$11:$E$400,4,FALSE)</f>
        <v>A4</v>
      </c>
      <c r="N284" s="494">
        <f t="shared" si="56"/>
        <v>6588000</v>
      </c>
      <c r="O284" s="376">
        <v>22</v>
      </c>
      <c r="P284" s="440">
        <f>IFERROR(INDEX('[14]CN BC'!$J$10:$J$276,MATCH(B284,'[14]CN BC'!$H$10:$H$276,0)),"")</f>
        <v>22</v>
      </c>
      <c r="Q284" s="494">
        <f>IF(P284&gt;=O284,N284,N284/O284*P284)</f>
        <v>6588000</v>
      </c>
      <c r="R284" s="460"/>
      <c r="S284" s="362">
        <f t="shared" si="55"/>
        <v>0</v>
      </c>
      <c r="T284" s="370"/>
      <c r="U284" s="362">
        <f t="shared" si="51"/>
        <v>0</v>
      </c>
      <c r="V284" s="584">
        <f t="shared" si="45"/>
        <v>65880</v>
      </c>
      <c r="W284" s="371">
        <f t="shared" si="59"/>
        <v>6588000</v>
      </c>
      <c r="X284" s="977">
        <f t="shared" si="58"/>
        <v>3.66</v>
      </c>
      <c r="Y284" s="491">
        <v>1800000</v>
      </c>
      <c r="Z284" s="663">
        <f t="shared" si="57"/>
        <v>6588000</v>
      </c>
      <c r="AA284" s="568">
        <f t="shared" si="46"/>
        <v>262</v>
      </c>
      <c r="AB284" s="493">
        <f>IFERROR(INDEX('[14]CN BC'!$M$10:$M$276,MATCH(B284,'[14]CN BC'!$H$10:$H$276,0)),"")</f>
        <v>0</v>
      </c>
      <c r="AC284" s="141" t="str">
        <f>VLOOKUP(B284,TH.T4!B283:AC613,28,FALSE)</f>
        <v>XD-NL</v>
      </c>
      <c r="AD284" s="108"/>
      <c r="AE284" s="108"/>
      <c r="AF284" s="487"/>
    </row>
    <row r="285" spans="1:42" s="372" customFormat="1" ht="30" customHeight="1">
      <c r="A285" s="379">
        <f>_xlfn.AGGREGATE(4,7,A$22:A284)+1</f>
        <v>263</v>
      </c>
      <c r="B285" s="374" t="s">
        <v>1552</v>
      </c>
      <c r="C285" s="960" t="s">
        <v>981</v>
      </c>
      <c r="D285" s="434" t="s">
        <v>1823</v>
      </c>
      <c r="E285" s="423" t="s">
        <v>1418</v>
      </c>
      <c r="F285" s="81" t="str">
        <f>VLOOKUP(B285,TH.T4!B283:J613,9,FALSE)</f>
        <v>Giảng viên khoa Xây dựng - Nhiệt lạnh</v>
      </c>
      <c r="G285" s="366">
        <v>4.32</v>
      </c>
      <c r="H285" s="367"/>
      <c r="I285" s="368">
        <f t="shared" si="52"/>
        <v>4.32</v>
      </c>
      <c r="J285" s="368"/>
      <c r="K285" s="369">
        <f t="shared" si="53"/>
        <v>4.32</v>
      </c>
      <c r="L285" s="362">
        <f t="shared" si="54"/>
        <v>7776000.0000000009</v>
      </c>
      <c r="M285" s="366" t="str">
        <f>VLOOKUP(B285,'[13]Gui chi Quynh'!$B$11:$E$400,4,FALSE)</f>
        <v>A4</v>
      </c>
      <c r="N285" s="494">
        <f t="shared" si="56"/>
        <v>7776000.0000000009</v>
      </c>
      <c r="O285" s="376">
        <v>22</v>
      </c>
      <c r="P285" s="440">
        <f>IFERROR(INDEX('[14]CN BC'!$J$10:$J$276,MATCH(B285,'[14]CN BC'!$H$10:$H$276,0)),"")</f>
        <v>22</v>
      </c>
      <c r="Q285" s="494">
        <f>IF(P285&gt;=O285,N285,N285/O285*P285)</f>
        <v>7776000.0000000009</v>
      </c>
      <c r="R285" s="460"/>
      <c r="S285" s="362">
        <f t="shared" si="55"/>
        <v>0</v>
      </c>
      <c r="T285" s="370"/>
      <c r="U285" s="362">
        <f t="shared" si="51"/>
        <v>0</v>
      </c>
      <c r="V285" s="584">
        <f t="shared" si="45"/>
        <v>77760</v>
      </c>
      <c r="W285" s="371">
        <f t="shared" si="59"/>
        <v>7776000.0000000009</v>
      </c>
      <c r="X285" s="977">
        <f t="shared" si="58"/>
        <v>4.32</v>
      </c>
      <c r="Y285" s="491">
        <v>1800000</v>
      </c>
      <c r="Z285" s="663">
        <f t="shared" si="57"/>
        <v>7776000.0000000009</v>
      </c>
      <c r="AA285" s="568">
        <f t="shared" si="46"/>
        <v>263</v>
      </c>
      <c r="AB285" s="493">
        <f>IFERROR(INDEX('[14]CN BC'!$M$10:$M$276,MATCH(B285,'[14]CN BC'!$H$10:$H$276,0)),"")</f>
        <v>0</v>
      </c>
      <c r="AC285" s="141" t="str">
        <f>VLOOKUP(B285,TH.T4!B284:AC614,28,FALSE)</f>
        <v>XD-NL</v>
      </c>
      <c r="AD285" s="108"/>
      <c r="AE285" s="108"/>
      <c r="AF285" s="487"/>
    </row>
    <row r="286" spans="1:42" s="372" customFormat="1" ht="30" customHeight="1">
      <c r="A286" s="379">
        <f>_xlfn.AGGREGATE(4,7,A$22:A285)+1</f>
        <v>264</v>
      </c>
      <c r="B286" s="374" t="s">
        <v>1940</v>
      </c>
      <c r="C286" s="960"/>
      <c r="D286" s="434" t="s">
        <v>1991</v>
      </c>
      <c r="E286" s="423" t="s">
        <v>1992</v>
      </c>
      <c r="F286" s="81" t="str">
        <f>VLOOKUP(B286,TH.T4!B284:J614,9,FALSE)</f>
        <v>Giảng viên khoa Xây dựng - Nhiệt lạnh</v>
      </c>
      <c r="G286" s="373">
        <v>3.33</v>
      </c>
      <c r="H286" s="367"/>
      <c r="I286" s="445">
        <f t="shared" si="52"/>
        <v>3.33</v>
      </c>
      <c r="J286" s="368"/>
      <c r="K286" s="369">
        <f t="shared" si="53"/>
        <v>3.33</v>
      </c>
      <c r="L286" s="362">
        <f t="shared" si="54"/>
        <v>5994000</v>
      </c>
      <c r="M286" s="366" t="str">
        <f>VLOOKUP(B286,'[13]Gui chi Quynh'!$B$11:$E$400,4,FALSE)</f>
        <v>A4</v>
      </c>
      <c r="N286" s="494">
        <f t="shared" si="56"/>
        <v>5994000</v>
      </c>
      <c r="O286" s="376">
        <v>22</v>
      </c>
      <c r="P286" s="440">
        <f>IFERROR(INDEX('[14]CN BC'!$J$10:$J$276,MATCH(B286,'[14]CN BC'!$H$10:$H$276,0)),"")</f>
        <v>22</v>
      </c>
      <c r="Q286" s="494">
        <f>IF(P286&gt;=O286,N286,N286/O286*P286)</f>
        <v>5994000</v>
      </c>
      <c r="R286" s="460"/>
      <c r="S286" s="362">
        <f t="shared" si="55"/>
        <v>0</v>
      </c>
      <c r="T286" s="370"/>
      <c r="U286" s="362">
        <f>T286*$H$19*1</f>
        <v>0</v>
      </c>
      <c r="V286" s="584">
        <f t="shared" si="45"/>
        <v>59940</v>
      </c>
      <c r="W286" s="371">
        <f t="shared" si="59"/>
        <v>5994000</v>
      </c>
      <c r="X286" s="977">
        <f t="shared" si="58"/>
        <v>3.33</v>
      </c>
      <c r="Y286" s="491">
        <v>1800000</v>
      </c>
      <c r="Z286" s="663">
        <f t="shared" si="57"/>
        <v>5994000</v>
      </c>
      <c r="AA286" s="568">
        <f t="shared" ref="AA286:AA349" si="60">A286</f>
        <v>264</v>
      </c>
      <c r="AB286" s="493">
        <f>IFERROR(INDEX('[14]CN BC'!$M$10:$M$276,MATCH(B286,'[14]CN BC'!$H$10:$H$276,0)),"")</f>
        <v>0</v>
      </c>
      <c r="AC286" s="141" t="str">
        <f>VLOOKUP(B286,TH.T4!B285:AC615,28,FALSE)</f>
        <v>XD-NL</v>
      </c>
      <c r="AD286" s="108"/>
      <c r="AE286" s="108"/>
      <c r="AF286" s="155"/>
      <c r="AG286" s="108"/>
      <c r="AH286" s="108"/>
      <c r="AI286" s="108"/>
      <c r="AJ286" s="108"/>
      <c r="AK286" s="108"/>
      <c r="AL286" s="108"/>
    </row>
    <row r="287" spans="1:42" s="108" customFormat="1" ht="30" customHeight="1">
      <c r="A287" s="379">
        <f>_xlfn.AGGREGATE(4,7,A$22:A286)+1</f>
        <v>265</v>
      </c>
      <c r="B287" s="45" t="s">
        <v>1553</v>
      </c>
      <c r="C287" s="970" t="s">
        <v>501</v>
      </c>
      <c r="D287" s="406" t="s">
        <v>1824</v>
      </c>
      <c r="E287" s="436">
        <v>1603205246186</v>
      </c>
      <c r="F287" s="81" t="str">
        <f>VLOOKUP(B287,TH.T4!B285:J615,9,FALSE)</f>
        <v>Giảng viên khoa Xây dựng - Nhiệt lạnh</v>
      </c>
      <c r="G287" s="366">
        <v>4.9800000000000004</v>
      </c>
      <c r="H287" s="367"/>
      <c r="I287" s="368">
        <f t="shared" si="52"/>
        <v>4.9800000000000004</v>
      </c>
      <c r="J287" s="368"/>
      <c r="K287" s="369">
        <f t="shared" si="53"/>
        <v>4.9800000000000004</v>
      </c>
      <c r="L287" s="362">
        <f t="shared" si="54"/>
        <v>8964000</v>
      </c>
      <c r="M287" s="366" t="str">
        <f>VLOOKUP(B287,'[13]Gui chi Quynh'!$B$11:$E$400,4,FALSE)</f>
        <v>A4</v>
      </c>
      <c r="N287" s="494">
        <f t="shared" si="56"/>
        <v>8964000</v>
      </c>
      <c r="O287" s="376">
        <v>22</v>
      </c>
      <c r="P287" s="440">
        <f>IFERROR(INDEX('[14]CN BC'!$J$10:$J$276,MATCH(B287,'[14]CN BC'!$H$10:$H$276,0)),"")</f>
        <v>22</v>
      </c>
      <c r="Q287" s="494">
        <f>IF(P287&gt;=O287,N287,N287/O287*P287)</f>
        <v>8964000</v>
      </c>
      <c r="R287" s="392"/>
      <c r="S287" s="362">
        <f t="shared" si="55"/>
        <v>0</v>
      </c>
      <c r="T287" s="404"/>
      <c r="U287" s="362">
        <f>T287*$H$19*1</f>
        <v>0</v>
      </c>
      <c r="V287" s="584">
        <f t="shared" si="45"/>
        <v>89640</v>
      </c>
      <c r="W287" s="371">
        <f t="shared" si="59"/>
        <v>8964000</v>
      </c>
      <c r="X287" s="977">
        <f t="shared" si="58"/>
        <v>4.9800000000000004</v>
      </c>
      <c r="Y287" s="491">
        <v>1800000</v>
      </c>
      <c r="Z287" s="663">
        <f t="shared" si="57"/>
        <v>8964000</v>
      </c>
      <c r="AA287" s="568">
        <f t="shared" si="60"/>
        <v>265</v>
      </c>
      <c r="AB287" s="493">
        <f>IFERROR(INDEX('[14]CN BC'!$M$10:$M$276,MATCH(B287,'[14]CN BC'!$H$10:$H$276,0)),"")</f>
        <v>0</v>
      </c>
      <c r="AC287" s="141" t="str">
        <f>VLOOKUP(B287,TH.T4!B286:AC616,28,FALSE)</f>
        <v>XD-NL</v>
      </c>
      <c r="AF287" s="155"/>
    </row>
    <row r="288" spans="1:42" s="372" customFormat="1" ht="30" customHeight="1">
      <c r="A288" s="379">
        <f>_xlfn.AGGREGATE(4,7,A$22:A287)+1</f>
        <v>266</v>
      </c>
      <c r="B288" s="374" t="s">
        <v>1560</v>
      </c>
      <c r="C288" s="960"/>
      <c r="D288" s="406" t="s">
        <v>1825</v>
      </c>
      <c r="E288" s="429">
        <v>1603215002692</v>
      </c>
      <c r="F288" s="81" t="str">
        <f>VLOOKUP(B288,TH.T4!B286:J616,9,FALSE)</f>
        <v>Phó Trưởng khoa Xây dựng - Nhiệt lạnh</v>
      </c>
      <c r="G288" s="373">
        <v>3.33</v>
      </c>
      <c r="H288" s="367"/>
      <c r="I288" s="445">
        <f t="shared" si="52"/>
        <v>3.33</v>
      </c>
      <c r="J288" s="368">
        <v>0.35</v>
      </c>
      <c r="K288" s="369">
        <f t="shared" si="53"/>
        <v>3.68</v>
      </c>
      <c r="L288" s="362">
        <f t="shared" si="54"/>
        <v>6624000</v>
      </c>
      <c r="M288" s="366" t="str">
        <f>VLOOKUP(B288,'[13]Gui chi Quynh'!$B$11:$E$400,4,FALSE)</f>
        <v>A3</v>
      </c>
      <c r="N288" s="494">
        <f t="shared" si="56"/>
        <v>7948800</v>
      </c>
      <c r="O288" s="376">
        <v>22</v>
      </c>
      <c r="P288" s="440">
        <f>IFERROR(INDEX('[14]CN BC'!$J$10:$J$276,MATCH(B288,'[14]CN BC'!$H$10:$H$276,0)),"")</f>
        <v>22</v>
      </c>
      <c r="Q288" s="494">
        <f>IF(P288&gt;=O288,N288,N288/O288*P288)</f>
        <v>7948800</v>
      </c>
      <c r="R288" s="392"/>
      <c r="S288" s="362">
        <f t="shared" si="55"/>
        <v>0</v>
      </c>
      <c r="T288" s="385"/>
      <c r="U288" s="362">
        <f>T288*$H$19*1</f>
        <v>0</v>
      </c>
      <c r="V288" s="584">
        <f t="shared" ref="V288" si="61">IF(OR(M288="A DN",M288="KXL", M288=""),"0",ROUND(K288*0.01*$H$19+R288*1%*$H$19+T288*1%*$H$19,))</f>
        <v>66240</v>
      </c>
      <c r="W288" s="371">
        <f t="shared" si="59"/>
        <v>7948800</v>
      </c>
      <c r="X288" s="977">
        <f t="shared" si="58"/>
        <v>4.4160000000000004</v>
      </c>
      <c r="Y288" s="491">
        <v>1800000</v>
      </c>
      <c r="Z288" s="663">
        <f t="shared" si="57"/>
        <v>7948800.0000000009</v>
      </c>
      <c r="AA288" s="568">
        <f t="shared" si="60"/>
        <v>266</v>
      </c>
      <c r="AB288" s="493">
        <f>IFERROR(INDEX('[14]CN BC'!$M$10:$M$276,MATCH(B288,'[14]CN BC'!$H$10:$H$276,0)),"")</f>
        <v>0</v>
      </c>
      <c r="AC288" s="141" t="str">
        <f>VLOOKUP(B288,TH.T4!B287:AC617,28,FALSE)</f>
        <v>XD-NL</v>
      </c>
      <c r="AD288" s="108"/>
      <c r="AE288" s="108"/>
      <c r="AF288" s="155"/>
      <c r="AG288" s="108"/>
      <c r="AH288" s="108"/>
      <c r="AI288" s="108"/>
      <c r="AJ288" s="108"/>
      <c r="AK288" s="108"/>
      <c r="AL288" s="108"/>
      <c r="AM288" s="108"/>
      <c r="AN288" s="108"/>
      <c r="AO288" s="108"/>
      <c r="AP288" s="108"/>
    </row>
    <row r="289" spans="1:52" s="372" customFormat="1" ht="30.75" customHeight="1">
      <c r="A289" s="30">
        <f>_xlfn.AGGREGATE(4,7,A$22:A288)+1</f>
        <v>267</v>
      </c>
      <c r="B289" s="957" t="s">
        <v>2029</v>
      </c>
      <c r="C289" s="957" t="s">
        <v>1106</v>
      </c>
      <c r="D289" s="418" t="s">
        <v>2030</v>
      </c>
      <c r="E289" s="604">
        <v>1603205359393</v>
      </c>
      <c r="F289" s="81" t="str">
        <f>VLOOKUP(B289,TH.T4!B287:J617,9,FALSE)</f>
        <v xml:space="preserve">NV Bảo vệ </v>
      </c>
      <c r="G289" s="604"/>
      <c r="H289" s="604"/>
      <c r="I289" s="368" t="s">
        <v>2031</v>
      </c>
      <c r="J289" s="605">
        <v>6914491</v>
      </c>
      <c r="K289" s="466">
        <f t="shared" ref="K289:K352" si="62">IF(I289="D.03",J289*30%,J289*70%)</f>
        <v>2074347.2999999998</v>
      </c>
      <c r="L289" s="606" t="str">
        <f>VLOOKUP(B289,'[13]Gui chi Quynh'!$B$11:$E$400,4,FALSE)</f>
        <v>A4</v>
      </c>
      <c r="M289" s="466">
        <f>ROUND(IF(AND(L289="A1",K289*1.6),K289*1.6,IF(AND(L289="A2",K289*1.4),K289*1.4,IF(AND(L289="A3",K289*1.2),K289*1.2,IF(AND(L289="A4",K289*1),K289*1,IF(AND(L289="B1",K289*0.7),K289*0.7,IF(AND(L289="B2",K289*0.5),K289*0.5,IF(AND(L289="C1",K289*0.3),K289*0.3,0))))))),)</f>
        <v>2074347</v>
      </c>
      <c r="N289" s="606">
        <v>26</v>
      </c>
      <c r="O289" s="607">
        <f>IFERROR(INDEX('[14]CN HĐ'!$J$10:$J$72,MATCH(B289,'[14]CN HĐ'!$H$10:$H$74,0)),"")</f>
        <v>24</v>
      </c>
      <c r="P289" s="608" t="e">
        <f>IF(M289&gt;#REF!,M289,#REF!)</f>
        <v>#REF!</v>
      </c>
      <c r="Q289" s="466">
        <f t="shared" ref="Q289:Q352" si="63">ROUND(IF(O289&gt;=N289,M289,M289/N289*O289),)</f>
        <v>1914782</v>
      </c>
      <c r="R289" s="609"/>
      <c r="S289" s="466">
        <v>0</v>
      </c>
      <c r="T289" s="610"/>
      <c r="U289" s="466">
        <v>0</v>
      </c>
      <c r="V289" s="647">
        <f t="shared" ref="V289:V352" si="64">J289*1%</f>
        <v>69144.91</v>
      </c>
      <c r="W289" s="611">
        <f>(Q289+S289+U289)</f>
        <v>1914782</v>
      </c>
      <c r="X289" s="977">
        <f t="shared" si="58"/>
        <v>1.0637677777777779</v>
      </c>
      <c r="Y289" s="491">
        <v>1800000</v>
      </c>
      <c r="Z289" s="663">
        <f t="shared" si="57"/>
        <v>1914782.0000000002</v>
      </c>
      <c r="AA289" s="612">
        <f t="shared" si="60"/>
        <v>267</v>
      </c>
      <c r="AB289" s="613" t="str">
        <f>IFERROR(INDEX('[14]CN HĐ'!$M$10:$M$73,MATCH(B289,'[14]CN HĐ'!$H$10:$H$73,0)),"")</f>
        <v>Trừ 2 ngày nghỉ phép 15+28/5</v>
      </c>
      <c r="AC289" s="108" t="str">
        <f>VLOOKUP(B289,TH.T4!B287:AC617,28,FALSE)</f>
        <v>TCHC</v>
      </c>
      <c r="AD289" s="155"/>
      <c r="AE289" s="155"/>
      <c r="AF289" s="155"/>
      <c r="AG289" s="108"/>
      <c r="AH289" s="108"/>
      <c r="AI289" s="108"/>
      <c r="AJ289" s="108"/>
      <c r="AK289" s="108"/>
      <c r="AL289" s="108"/>
      <c r="AM289" s="108"/>
      <c r="AN289" s="108"/>
      <c r="AO289" s="108"/>
      <c r="AP289" s="108"/>
      <c r="AQ289" s="108"/>
      <c r="AR289" s="108"/>
      <c r="AS289" s="108"/>
      <c r="AT289" s="108"/>
      <c r="AU289" s="108"/>
      <c r="AV289" s="108"/>
      <c r="AW289" s="108"/>
      <c r="AX289" s="108"/>
      <c r="AY289" s="108"/>
      <c r="AZ289" s="108"/>
    </row>
    <row r="290" spans="1:52" s="372" customFormat="1" ht="30" customHeight="1">
      <c r="A290" s="30">
        <f>_xlfn.AGGREGATE(4,7,A$22:A289)+1</f>
        <v>268</v>
      </c>
      <c r="B290" s="957" t="s">
        <v>2032</v>
      </c>
      <c r="C290" s="957" t="s">
        <v>868</v>
      </c>
      <c r="D290" s="418" t="s">
        <v>2033</v>
      </c>
      <c r="E290" s="604" t="s">
        <v>2034</v>
      </c>
      <c r="F290" s="81" t="str">
        <f>VLOOKUP(B290,TH.T4!B288:J618,9,FALSE)</f>
        <v>NV Bảo vệ</v>
      </c>
      <c r="G290" s="604"/>
      <c r="H290" s="604"/>
      <c r="I290" s="368" t="s">
        <v>2031</v>
      </c>
      <c r="J290" s="605">
        <v>5417685</v>
      </c>
      <c r="K290" s="466">
        <f t="shared" si="62"/>
        <v>1625305.5</v>
      </c>
      <c r="L290" s="606" t="str">
        <f>VLOOKUP(B290,'[13]Gui chi Quynh'!$B$11:$E$400,4,FALSE)</f>
        <v>A4</v>
      </c>
      <c r="M290" s="466">
        <f>ROUND(IF(AND(L290="A1",K290*1.6),K290*1.6,IF(AND(L290="A2",K290*1.4),K290*1.4,IF(AND(L290="A3",K290*1.2),K290*1.2,IF(AND(L290="A4",K290*1),K290*1,IF(AND(L290="B1",K290*0.7),K290*0.7,IF(AND(L290="B2",K290*0.5),K290*0.5,IF(AND(L290="C1",K290*0.3),K290*0.3,0))))))),)</f>
        <v>1625306</v>
      </c>
      <c r="N290" s="606">
        <v>26</v>
      </c>
      <c r="O290" s="607">
        <f>IFERROR(INDEX('[14]CN HĐ'!$J$10:$J$72,MATCH(B290,'[14]CN HĐ'!$H$10:$H$74,0)),"")</f>
        <v>24</v>
      </c>
      <c r="P290" s="608" t="e">
        <f>IF(M290&gt;#REF!,M290,#REF!)</f>
        <v>#REF!</v>
      </c>
      <c r="Q290" s="466">
        <f t="shared" si="63"/>
        <v>1500282</v>
      </c>
      <c r="R290" s="609"/>
      <c r="S290" s="466">
        <v>0</v>
      </c>
      <c r="T290" s="610"/>
      <c r="U290" s="466">
        <v>0</v>
      </c>
      <c r="V290" s="647">
        <f t="shared" si="64"/>
        <v>54176.85</v>
      </c>
      <c r="W290" s="611">
        <f t="shared" ref="W290:W352" si="65">(Q290+S290+U290)</f>
        <v>1500282</v>
      </c>
      <c r="X290" s="977">
        <f t="shared" si="58"/>
        <v>0.83348999999999995</v>
      </c>
      <c r="Y290" s="491">
        <v>1800000</v>
      </c>
      <c r="Z290" s="663">
        <f t="shared" si="57"/>
        <v>1500282</v>
      </c>
      <c r="AA290" s="612">
        <f t="shared" si="60"/>
        <v>268</v>
      </c>
      <c r="AB290" s="613" t="str">
        <f>IFERROR(INDEX('[14]CN HĐ'!$M$10:$M$73,MATCH(B290,'[14]CN HĐ'!$H$10:$H$73,0)),"")</f>
        <v>Trừ 2 ngày nghỉ phép 7+22/5</v>
      </c>
      <c r="AC290" s="108" t="str">
        <f>VLOOKUP(B290,TH.T4!B288:AC618,28,FALSE)</f>
        <v>TCHC</v>
      </c>
      <c r="AD290" s="155"/>
      <c r="AE290" s="155"/>
      <c r="AF290" s="155"/>
      <c r="AG290" s="108"/>
      <c r="AH290" s="108"/>
      <c r="AI290" s="108"/>
      <c r="AJ290" s="108"/>
      <c r="AK290" s="108"/>
      <c r="AL290" s="108"/>
      <c r="AM290" s="108"/>
      <c r="AN290" s="108"/>
      <c r="AO290" s="108"/>
      <c r="AP290" s="108"/>
      <c r="AQ290" s="108"/>
      <c r="AR290" s="108"/>
      <c r="AS290" s="108"/>
      <c r="AT290" s="108"/>
      <c r="AU290" s="108"/>
      <c r="AV290" s="108"/>
      <c r="AW290" s="108"/>
      <c r="AX290" s="108"/>
      <c r="AY290" s="108"/>
      <c r="AZ290" s="108"/>
    </row>
    <row r="291" spans="1:52" s="372" customFormat="1" ht="27" customHeight="1">
      <c r="A291" s="30">
        <f>_xlfn.AGGREGATE(4,7,A$22:A290)+1</f>
        <v>269</v>
      </c>
      <c r="B291" s="957" t="s">
        <v>2035</v>
      </c>
      <c r="C291" s="957"/>
      <c r="D291" s="418"/>
      <c r="E291" s="604" t="s">
        <v>2036</v>
      </c>
      <c r="F291" s="81" t="str">
        <f>VLOOKUP(B291,TH.T4!B289:J619,9,FALSE)</f>
        <v>NV Bảo vệ</v>
      </c>
      <c r="G291" s="604"/>
      <c r="H291" s="604"/>
      <c r="I291" s="368" t="s">
        <v>2031</v>
      </c>
      <c r="J291" s="605">
        <v>5159700</v>
      </c>
      <c r="K291" s="466">
        <f t="shared" si="62"/>
        <v>1547910</v>
      </c>
      <c r="L291" s="606" t="str">
        <f>VLOOKUP(B291,'[13]Gui chi Quynh'!$B$11:$E$400,4,FALSE)</f>
        <v>A4</v>
      </c>
      <c r="M291" s="466">
        <f>ROUND(IF(AND(L291="A1",K291*1.6),K291*1.6,IF(AND(L291="A2",K291*1.4),K291*1.4,IF(AND(L291="A3",K291*1.2),K291*1.2,IF(AND(L291="A4",K291*1),K291*1,IF(AND(L291="B1",K291*0.7),K291*0.7,IF(AND(L291="B2",K291*0.5),K291*0.5,IF(AND(L291="C1",K291*0.3),K291*0.3,0))))))),)</f>
        <v>1547910</v>
      </c>
      <c r="N291" s="606">
        <v>26</v>
      </c>
      <c r="O291" s="607">
        <f>IFERROR(INDEX('[14]CN HĐ'!$J$10:$J$72,MATCH(B291,'[14]CN HĐ'!$H$10:$H$74,0)),"")</f>
        <v>24</v>
      </c>
      <c r="P291" s="608" t="e">
        <f>IF(M291&gt;#REF!,M291,#REF!)</f>
        <v>#REF!</v>
      </c>
      <c r="Q291" s="466">
        <f t="shared" si="63"/>
        <v>1428840</v>
      </c>
      <c r="R291" s="609"/>
      <c r="S291" s="466">
        <v>0</v>
      </c>
      <c r="T291" s="610"/>
      <c r="U291" s="466">
        <v>0</v>
      </c>
      <c r="V291" s="647">
        <f t="shared" si="64"/>
        <v>51597</v>
      </c>
      <c r="W291" s="611">
        <f t="shared" si="65"/>
        <v>1428840</v>
      </c>
      <c r="X291" s="977">
        <f t="shared" si="58"/>
        <v>0.79379999999999995</v>
      </c>
      <c r="Y291" s="491">
        <v>1800000</v>
      </c>
      <c r="Z291" s="663">
        <f t="shared" si="57"/>
        <v>1428840</v>
      </c>
      <c r="AA291" s="612">
        <f>A291</f>
        <v>269</v>
      </c>
      <c r="AB291" s="613" t="str">
        <f>IFERROR(INDEX('[14]CN HĐ'!$M$10:$M$73,MATCH(B291,'[14]CN HĐ'!$H$10:$H$73,0)),"")</f>
        <v>Trừ 2 ngày nghỉ phép 8+27/5</v>
      </c>
      <c r="AC291" s="108" t="str">
        <f>VLOOKUP(B291,TH.T4!B289:AC619,28,FALSE)</f>
        <v>TCHC</v>
      </c>
      <c r="AD291" s="487"/>
      <c r="AE291" s="487"/>
      <c r="AF291" s="487"/>
    </row>
    <row r="292" spans="1:52" s="372" customFormat="1" ht="27" customHeight="1">
      <c r="A292" s="30">
        <f>_xlfn.AGGREGATE(4,7,A$22:A291)+1</f>
        <v>270</v>
      </c>
      <c r="B292" s="957" t="s">
        <v>2037</v>
      </c>
      <c r="C292" s="957"/>
      <c r="D292" s="418"/>
      <c r="E292" s="614">
        <v>1603215005626</v>
      </c>
      <c r="F292" s="81" t="str">
        <f>VLOOKUP(B292,TH.T4!B290:J620,9,FALSE)</f>
        <v>NV Bảo vệ</v>
      </c>
      <c r="G292" s="614"/>
      <c r="H292" s="614"/>
      <c r="I292" s="368" t="s">
        <v>2038</v>
      </c>
      <c r="J292" s="605">
        <v>5007600</v>
      </c>
      <c r="K292" s="466">
        <f t="shared" si="62"/>
        <v>3505320</v>
      </c>
      <c r="L292" s="606" t="str">
        <f>VLOOKUP(B292,'[13]Gui chi Quynh'!$B$11:$E$400,4,FALSE)</f>
        <v>A4</v>
      </c>
      <c r="M292" s="466">
        <f t="shared" ref="M292:M352" si="66">ROUND(IF(AND(L292="A1",K292*1.6),K292*1.6,IF(AND(L292="A2",K292*1.4),K292*1.4,IF(AND(L292="A3",K292*1.2),K292*1.2,IF(AND(L292="A4",K292*1),K292*1,IF(AND(L292="B1",K292*0.7),K292*0.7,IF(AND(L292="B2",K292*0.5),K292*0.5,IF(AND(L292="C1",K292*0.3),K292*0.3,0))))))),)</f>
        <v>3505320</v>
      </c>
      <c r="N292" s="606">
        <v>26</v>
      </c>
      <c r="O292" s="607">
        <f>IFERROR(INDEX('[14]CN HĐ'!$J$10:$J$72,MATCH(B292,'[14]CN HĐ'!$H$10:$H$74,0)),"")</f>
        <v>26</v>
      </c>
      <c r="P292" s="608" t="e">
        <f>IF(M292&gt;#REF!,M292,#REF!)</f>
        <v>#REF!</v>
      </c>
      <c r="Q292" s="466">
        <f t="shared" si="63"/>
        <v>3505320</v>
      </c>
      <c r="R292" s="609"/>
      <c r="S292" s="466">
        <v>0</v>
      </c>
      <c r="T292" s="610"/>
      <c r="U292" s="466">
        <v>0</v>
      </c>
      <c r="V292" s="647">
        <f t="shared" si="64"/>
        <v>50076</v>
      </c>
      <c r="W292" s="611">
        <f t="shared" si="65"/>
        <v>3505320</v>
      </c>
      <c r="X292" s="977">
        <f t="shared" si="58"/>
        <v>1.9474</v>
      </c>
      <c r="Y292" s="491">
        <v>1800000</v>
      </c>
      <c r="Z292" s="663">
        <f t="shared" si="57"/>
        <v>3505320</v>
      </c>
      <c r="AA292" s="612">
        <f t="shared" si="60"/>
        <v>270</v>
      </c>
      <c r="AB292" s="613">
        <f>IFERROR(INDEX('[14]CN HĐ'!$M$10:$M$73,MATCH(B292,'[14]CN HĐ'!$H$10:$H$73,0)),"")</f>
        <v>0</v>
      </c>
      <c r="AC292" s="108" t="s">
        <v>2219</v>
      </c>
      <c r="AD292" s="155"/>
      <c r="AE292" s="155"/>
      <c r="AF292" s="155"/>
      <c r="AG292" s="108"/>
      <c r="AH292" s="108"/>
      <c r="AI292" s="108"/>
      <c r="AJ292" s="108"/>
      <c r="AK292" s="108"/>
      <c r="AL292" s="108"/>
      <c r="AM292" s="108"/>
      <c r="AN292" s="108"/>
      <c r="AO292" s="108"/>
      <c r="AP292" s="108"/>
      <c r="AQ292" s="108"/>
      <c r="AR292" s="108"/>
      <c r="AS292" s="108"/>
      <c r="AT292" s="108"/>
      <c r="AU292" s="108"/>
      <c r="AV292" s="108"/>
      <c r="AW292" s="108"/>
      <c r="AX292" s="108"/>
      <c r="AY292" s="108"/>
      <c r="AZ292" s="108"/>
    </row>
    <row r="293" spans="1:52" s="372" customFormat="1" ht="27" customHeight="1">
      <c r="A293" s="30">
        <f>_xlfn.AGGREGATE(4,7,A$22:A292)+1</f>
        <v>271</v>
      </c>
      <c r="B293" s="374" t="s">
        <v>2039</v>
      </c>
      <c r="C293" s="956"/>
      <c r="D293" s="434" t="s">
        <v>2040</v>
      </c>
      <c r="E293" s="604">
        <v>1603205287913</v>
      </c>
      <c r="F293" s="81" t="str">
        <f>VLOOKUP(B293,TH.T4!B291:J621,9,FALSE)</f>
        <v xml:space="preserve">NV Bảo vệ </v>
      </c>
      <c r="G293" s="604"/>
      <c r="H293" s="604"/>
      <c r="I293" s="368" t="s">
        <v>2031</v>
      </c>
      <c r="J293" s="605">
        <v>7206216</v>
      </c>
      <c r="K293" s="466">
        <f t="shared" si="62"/>
        <v>2161864.7999999998</v>
      </c>
      <c r="L293" s="606" t="str">
        <f>VLOOKUP(B293,'[13]Gui chi Quynh'!$B$11:$E$400,4,FALSE)</f>
        <v>A3</v>
      </c>
      <c r="M293" s="466">
        <f t="shared" si="66"/>
        <v>2594238</v>
      </c>
      <c r="N293" s="606">
        <v>26</v>
      </c>
      <c r="O293" s="607">
        <f>IFERROR(INDEX('[14]CN HĐ'!$J$10:$J$72,MATCH(B293,'[14]CN HĐ'!$H$10:$H$74,0)),"")</f>
        <v>27</v>
      </c>
      <c r="P293" s="608" t="e">
        <f>IF(M293&gt;#REF!,M293,#REF!)</f>
        <v>#REF!</v>
      </c>
      <c r="Q293" s="466">
        <f t="shared" si="63"/>
        <v>2594238</v>
      </c>
      <c r="R293" s="609"/>
      <c r="S293" s="466">
        <v>0</v>
      </c>
      <c r="T293" s="610"/>
      <c r="U293" s="466">
        <v>0</v>
      </c>
      <c r="V293" s="647">
        <f t="shared" si="64"/>
        <v>72062.16</v>
      </c>
      <c r="W293" s="611">
        <f t="shared" si="65"/>
        <v>2594238</v>
      </c>
      <c r="X293" s="977">
        <f t="shared" si="58"/>
        <v>1.4412433333333334</v>
      </c>
      <c r="Y293" s="491">
        <v>1800000</v>
      </c>
      <c r="Z293" s="663">
        <f t="shared" si="57"/>
        <v>2594238</v>
      </c>
      <c r="AA293" s="612">
        <f t="shared" si="60"/>
        <v>271</v>
      </c>
      <c r="AB293" s="613">
        <f>IFERROR(INDEX('[14]CN HĐ'!$M$10:$M$73,MATCH(B293,'[14]CN HĐ'!$H$10:$H$73,0)),"")</f>
        <v>0</v>
      </c>
      <c r="AC293" s="108" t="str">
        <f>VLOOKUP(B293,TH.T4!B291:AC621,28,FALSE)</f>
        <v>TCHC</v>
      </c>
      <c r="AD293" s="465"/>
      <c r="AE293" s="108"/>
      <c r="AF293" s="108"/>
      <c r="AG293" s="108"/>
      <c r="AH293" s="108"/>
      <c r="AI293" s="108"/>
      <c r="AJ293" s="108"/>
      <c r="AK293" s="108"/>
      <c r="AL293" s="108"/>
      <c r="AM293" s="108"/>
      <c r="AN293" s="108"/>
      <c r="AO293" s="108"/>
      <c r="AP293" s="108"/>
      <c r="AQ293" s="108"/>
      <c r="AR293" s="108"/>
      <c r="AS293" s="108"/>
      <c r="AT293" s="108"/>
      <c r="AU293" s="108"/>
      <c r="AV293" s="108"/>
      <c r="AW293" s="108"/>
      <c r="AX293" s="108"/>
      <c r="AY293" s="108"/>
      <c r="AZ293" s="108"/>
    </row>
    <row r="294" spans="1:52" s="372" customFormat="1" ht="27" customHeight="1">
      <c r="A294" s="30">
        <f>_xlfn.AGGREGATE(4,7,A$22:A293)+1</f>
        <v>272</v>
      </c>
      <c r="B294" s="374" t="s">
        <v>2041</v>
      </c>
      <c r="C294" s="956"/>
      <c r="D294" s="434"/>
      <c r="E294" s="614">
        <v>1603205447217</v>
      </c>
      <c r="F294" s="81" t="str">
        <f>VLOOKUP(B294,TH.T4!B292:J622,9,FALSE)</f>
        <v>Nhân viên bảo vệ</v>
      </c>
      <c r="G294" s="614"/>
      <c r="H294" s="614"/>
      <c r="I294" s="81" t="s">
        <v>2042</v>
      </c>
      <c r="J294" s="605">
        <v>6134525</v>
      </c>
      <c r="K294" s="466">
        <f t="shared" si="62"/>
        <v>4294167.5</v>
      </c>
      <c r="L294" s="606" t="str">
        <f>VLOOKUP(B294,'[13]Gui chi Quynh'!$B$11:$E$400,4,FALSE)</f>
        <v>A2</v>
      </c>
      <c r="M294" s="466">
        <f t="shared" si="66"/>
        <v>6011835</v>
      </c>
      <c r="N294" s="606">
        <v>26</v>
      </c>
      <c r="O294" s="607">
        <f>IFERROR(INDEX('[14]CN HĐ'!$J$10:$J$72,MATCH(B294,'[14]CN HĐ'!$H$10:$H$74,0)),"")</f>
        <v>26</v>
      </c>
      <c r="P294" s="608" t="e">
        <f>IF(M294&gt;#REF!,M294,#REF!)</f>
        <v>#REF!</v>
      </c>
      <c r="Q294" s="466">
        <f t="shared" si="63"/>
        <v>6011835</v>
      </c>
      <c r="R294" s="609"/>
      <c r="S294" s="466">
        <v>0</v>
      </c>
      <c r="T294" s="610"/>
      <c r="U294" s="466">
        <v>0</v>
      </c>
      <c r="V294" s="647">
        <f t="shared" si="64"/>
        <v>61345.25</v>
      </c>
      <c r="W294" s="611">
        <f t="shared" si="65"/>
        <v>6011835</v>
      </c>
      <c r="X294" s="977">
        <f t="shared" si="58"/>
        <v>3.3399083333333333</v>
      </c>
      <c r="Y294" s="491">
        <v>1800000</v>
      </c>
      <c r="Z294" s="663">
        <f t="shared" si="57"/>
        <v>6011835</v>
      </c>
      <c r="AA294" s="612">
        <f t="shared" si="60"/>
        <v>272</v>
      </c>
      <c r="AB294" s="613">
        <f>IFERROR(INDEX('[14]CN HĐ'!$M$10:$M$73,MATCH(B294,'[14]CN HĐ'!$H$10:$H$73,0)),"")</f>
        <v>0</v>
      </c>
      <c r="AC294" s="108" t="str">
        <f>VLOOKUP(B294,TH.T4!B292:AC622,28,FALSE)</f>
        <v>TCHC</v>
      </c>
      <c r="AD294" s="155"/>
      <c r="AE294" s="108"/>
      <c r="AF294" s="108"/>
      <c r="AG294" s="108"/>
      <c r="AH294" s="108"/>
      <c r="AI294" s="108"/>
      <c r="AJ294" s="108"/>
      <c r="AK294" s="108"/>
      <c r="AL294" s="108"/>
      <c r="AM294" s="108"/>
      <c r="AN294" s="108"/>
      <c r="AO294" s="108"/>
      <c r="AP294" s="108"/>
      <c r="AQ294" s="108"/>
      <c r="AR294" s="108"/>
      <c r="AS294" s="108"/>
      <c r="AT294" s="108"/>
      <c r="AU294" s="108"/>
      <c r="AV294" s="108"/>
      <c r="AW294" s="108"/>
      <c r="AX294" s="108"/>
      <c r="AY294" s="108"/>
      <c r="AZ294" s="108"/>
    </row>
    <row r="295" spans="1:52" s="372" customFormat="1" ht="32.25" customHeight="1">
      <c r="A295" s="30">
        <f>_xlfn.AGGREGATE(4,7,A$22:A294)+1</f>
        <v>273</v>
      </c>
      <c r="B295" s="374" t="s">
        <v>2043</v>
      </c>
      <c r="C295" s="956"/>
      <c r="D295" s="434" t="s">
        <v>2044</v>
      </c>
      <c r="E295" s="615" t="s">
        <v>2045</v>
      </c>
      <c r="F295" s="81" t="str">
        <f>VLOOKUP(B295,TH.T4!B293:J623,9,FALSE)</f>
        <v xml:space="preserve">NV Bảo vệ </v>
      </c>
      <c r="G295" s="615"/>
      <c r="H295" s="615"/>
      <c r="I295" s="81" t="s">
        <v>2031</v>
      </c>
      <c r="J295" s="605">
        <v>7623227</v>
      </c>
      <c r="K295" s="466">
        <f t="shared" si="62"/>
        <v>2286968.1</v>
      </c>
      <c r="L295" s="606" t="str">
        <f>VLOOKUP(B295,'[13]Gui chi Quynh'!$B$11:$E$400,4,FALSE)</f>
        <v>A4</v>
      </c>
      <c r="M295" s="466">
        <f t="shared" si="66"/>
        <v>2286968</v>
      </c>
      <c r="N295" s="606">
        <v>26</v>
      </c>
      <c r="O295" s="607">
        <f>IFERROR(INDEX('[14]CN HĐ'!$J$10:$J$72,MATCH(B295,'[14]CN HĐ'!$H$10:$H$74,0)),"")</f>
        <v>23</v>
      </c>
      <c r="P295" s="608" t="e">
        <f>IF(M295&gt;#REF!,M295,#REF!)</f>
        <v>#REF!</v>
      </c>
      <c r="Q295" s="466">
        <f t="shared" si="63"/>
        <v>2023087</v>
      </c>
      <c r="R295" s="609"/>
      <c r="S295" s="466">
        <v>0</v>
      </c>
      <c r="T295" s="610"/>
      <c r="U295" s="466">
        <v>0</v>
      </c>
      <c r="V295" s="647">
        <f t="shared" si="64"/>
        <v>76232.27</v>
      </c>
      <c r="W295" s="611">
        <f t="shared" si="65"/>
        <v>2023087</v>
      </c>
      <c r="X295" s="977">
        <f t="shared" si="58"/>
        <v>1.1239372222222221</v>
      </c>
      <c r="Y295" s="491">
        <v>1800000</v>
      </c>
      <c r="Z295" s="663">
        <f t="shared" si="57"/>
        <v>2023086.9999999998</v>
      </c>
      <c r="AA295" s="612">
        <f t="shared" si="60"/>
        <v>273</v>
      </c>
      <c r="AB295" s="613" t="str">
        <f>IFERROR(INDEX('[14]CN HĐ'!$M$10:$M$73,MATCH(B295,'[14]CN HĐ'!$H$10:$H$73,0)),"")</f>
        <v>Trừ 3 ngày nghỉ phép 18+30+31/5</v>
      </c>
      <c r="AC295" s="108" t="str">
        <f>VLOOKUP(B295,TH.T4!B293:AC623,28,FALSE)</f>
        <v>TCHC</v>
      </c>
      <c r="AD295" s="155"/>
      <c r="AE295" s="108"/>
      <c r="AF295" s="108"/>
      <c r="AG295" s="108"/>
      <c r="AH295" s="108"/>
      <c r="AI295" s="108"/>
      <c r="AJ295" s="108"/>
      <c r="AK295" s="108"/>
      <c r="AL295" s="108"/>
      <c r="AM295" s="108"/>
      <c r="AN295" s="108"/>
      <c r="AO295" s="108"/>
      <c r="AP295" s="108"/>
      <c r="AQ295" s="108"/>
      <c r="AR295" s="108"/>
      <c r="AS295" s="108"/>
      <c r="AT295" s="108"/>
      <c r="AU295" s="108"/>
      <c r="AV295" s="108"/>
      <c r="AW295" s="108"/>
      <c r="AX295" s="108"/>
      <c r="AY295" s="108"/>
      <c r="AZ295" s="108"/>
    </row>
    <row r="296" spans="1:52" s="372" customFormat="1" ht="27" customHeight="1">
      <c r="A296" s="30">
        <f>_xlfn.AGGREGATE(4,7,A$22:A295)+1</f>
        <v>274</v>
      </c>
      <c r="B296" s="374" t="s">
        <v>2046</v>
      </c>
      <c r="C296" s="956"/>
      <c r="D296" s="406" t="s">
        <v>2047</v>
      </c>
      <c r="E296" s="604" t="s">
        <v>2048</v>
      </c>
      <c r="F296" s="81" t="str">
        <f>VLOOKUP(B296,TH.T4!B294:J624,9,FALSE)</f>
        <v>NV Bảo vệ</v>
      </c>
      <c r="G296" s="604"/>
      <c r="H296" s="604"/>
      <c r="I296" s="81" t="s">
        <v>2031</v>
      </c>
      <c r="J296" s="605">
        <v>5972998</v>
      </c>
      <c r="K296" s="466">
        <f t="shared" si="62"/>
        <v>1791899.4</v>
      </c>
      <c r="L296" s="606" t="str">
        <f>VLOOKUP(B296,'[13]Gui chi Quynh'!$B$11:$E$400,4,FALSE)</f>
        <v>A4</v>
      </c>
      <c r="M296" s="466">
        <f t="shared" si="66"/>
        <v>1791899</v>
      </c>
      <c r="N296" s="606">
        <v>26</v>
      </c>
      <c r="O296" s="607">
        <f>IFERROR(INDEX('[14]CN HĐ'!$J$10:$J$72,MATCH(B296,'[14]CN HĐ'!$H$10:$H$74,0)),"")</f>
        <v>26</v>
      </c>
      <c r="P296" s="608" t="e">
        <f>IF(M296&gt;#REF!,M296,#REF!)</f>
        <v>#REF!</v>
      </c>
      <c r="Q296" s="466">
        <f t="shared" si="63"/>
        <v>1791899</v>
      </c>
      <c r="R296" s="609"/>
      <c r="S296" s="466">
        <v>0</v>
      </c>
      <c r="T296" s="610"/>
      <c r="U296" s="466">
        <v>0</v>
      </c>
      <c r="V296" s="647">
        <f t="shared" si="64"/>
        <v>59729.98</v>
      </c>
      <c r="W296" s="611">
        <f t="shared" si="65"/>
        <v>1791899</v>
      </c>
      <c r="X296" s="977">
        <f t="shared" si="58"/>
        <v>0.99549944444444449</v>
      </c>
      <c r="Y296" s="491">
        <v>1800000</v>
      </c>
      <c r="Z296" s="663">
        <f t="shared" si="57"/>
        <v>1791899</v>
      </c>
      <c r="AA296" s="612">
        <f t="shared" si="60"/>
        <v>274</v>
      </c>
      <c r="AB296" s="613">
        <f>IFERROR(INDEX('[14]CN HĐ'!$M$10:$M$73,MATCH(B296,'[14]CN HĐ'!$H$10:$H$73,0)),"")</f>
        <v>0</v>
      </c>
      <c r="AC296" s="108" t="str">
        <f>VLOOKUP(B296,TH.T4!B294:AC624,28,FALSE)</f>
        <v>TCHC</v>
      </c>
      <c r="AD296" s="155"/>
      <c r="AE296" s="108"/>
      <c r="AF296" s="108"/>
      <c r="AG296" s="108"/>
      <c r="AH296" s="108"/>
      <c r="AI296" s="108"/>
      <c r="AJ296" s="108"/>
      <c r="AK296" s="108"/>
      <c r="AL296" s="108"/>
      <c r="AM296" s="108"/>
      <c r="AN296" s="108"/>
      <c r="AO296" s="108"/>
      <c r="AP296" s="108"/>
      <c r="AQ296" s="108"/>
      <c r="AR296" s="108"/>
      <c r="AS296" s="108"/>
      <c r="AT296" s="108"/>
      <c r="AU296" s="108"/>
      <c r="AV296" s="108"/>
      <c r="AW296" s="108"/>
      <c r="AX296" s="108"/>
      <c r="AY296" s="108"/>
      <c r="AZ296" s="108"/>
    </row>
    <row r="297" spans="1:52" s="372" customFormat="1" ht="30" customHeight="1">
      <c r="A297" s="30">
        <f>_xlfn.AGGREGATE(4,7,A$22:A296)+1</f>
        <v>275</v>
      </c>
      <c r="B297" s="374" t="s">
        <v>2049</v>
      </c>
      <c r="C297" s="956"/>
      <c r="D297" s="434" t="s">
        <v>2050</v>
      </c>
      <c r="E297" s="604" t="s">
        <v>2051</v>
      </c>
      <c r="F297" s="81" t="str">
        <f>VLOOKUP(B297,TH.T4!B295:J625,9,FALSE)</f>
        <v>NV Bảo vệ</v>
      </c>
      <c r="G297" s="604"/>
      <c r="H297" s="604"/>
      <c r="I297" s="368" t="s">
        <v>2031</v>
      </c>
      <c r="J297" s="605">
        <v>5972998</v>
      </c>
      <c r="K297" s="466">
        <f t="shared" si="62"/>
        <v>1791899.4</v>
      </c>
      <c r="L297" s="606" t="str">
        <f>VLOOKUP(B297,'[13]Gui chi Quynh'!$B$11:$E$400,4,FALSE)</f>
        <v>A2</v>
      </c>
      <c r="M297" s="466">
        <f t="shared" si="66"/>
        <v>2508659</v>
      </c>
      <c r="N297" s="606">
        <v>26</v>
      </c>
      <c r="O297" s="607">
        <f>IFERROR(INDEX('[14]CN HĐ'!$J$10:$J$72,MATCH(B297,'[14]CN HĐ'!$H$10:$H$74,0)),"")</f>
        <v>25</v>
      </c>
      <c r="P297" s="608" t="e">
        <f>IF(M297&gt;#REF!,M297,#REF!)</f>
        <v>#REF!</v>
      </c>
      <c r="Q297" s="466">
        <f t="shared" si="63"/>
        <v>2412172</v>
      </c>
      <c r="R297" s="609"/>
      <c r="S297" s="466">
        <v>0</v>
      </c>
      <c r="T297" s="610"/>
      <c r="U297" s="466">
        <v>0</v>
      </c>
      <c r="V297" s="647">
        <f t="shared" si="64"/>
        <v>59729.98</v>
      </c>
      <c r="W297" s="611">
        <f t="shared" si="65"/>
        <v>2412172</v>
      </c>
      <c r="X297" s="977">
        <f t="shared" si="58"/>
        <v>1.3400955555555556</v>
      </c>
      <c r="Y297" s="491">
        <v>1800000</v>
      </c>
      <c r="Z297" s="663">
        <f t="shared" si="57"/>
        <v>2412172</v>
      </c>
      <c r="AA297" s="612">
        <f t="shared" si="60"/>
        <v>275</v>
      </c>
      <c r="AB297" s="613" t="str">
        <f>IFERROR(INDEX('[14]CN HĐ'!$M$10:$M$73,MATCH(B297,'[14]CN HĐ'!$H$10:$H$73,0)),"")</f>
        <v>Trừ 1 ngày nghỉ phép 31/5</v>
      </c>
      <c r="AC297" s="108" t="str">
        <f>VLOOKUP(B297,TH.T4!B295:AC625,28,FALSE)</f>
        <v>TCHC</v>
      </c>
      <c r="AD297" s="487"/>
    </row>
    <row r="298" spans="1:52" s="372" customFormat="1" ht="29.25" customHeight="1">
      <c r="A298" s="379">
        <f>_xlfn.AGGREGATE(4,7,A$22:A297)+1</f>
        <v>276</v>
      </c>
      <c r="B298" s="374" t="s">
        <v>2052</v>
      </c>
      <c r="C298" s="956"/>
      <c r="D298" s="434"/>
      <c r="E298" s="604"/>
      <c r="F298" s="81" t="str">
        <f>VLOOKUP(B298,TH.T4!B296:J626,9,FALSE)</f>
        <v>NV Bảo vệ</v>
      </c>
      <c r="G298" s="604"/>
      <c r="H298" s="604"/>
      <c r="I298" s="368" t="s">
        <v>2042</v>
      </c>
      <c r="J298" s="605">
        <v>5733201</v>
      </c>
      <c r="K298" s="466">
        <f t="shared" si="62"/>
        <v>4013240.6999999997</v>
      </c>
      <c r="L298" s="606" t="str">
        <f>VLOOKUP(B298,'[13]Gui chi Quynh'!$B$11:$E$400,4,FALSE)</f>
        <v>A3</v>
      </c>
      <c r="M298" s="466">
        <f t="shared" si="66"/>
        <v>4815889</v>
      </c>
      <c r="N298" s="606">
        <v>26</v>
      </c>
      <c r="O298" s="607">
        <f>IFERROR(INDEX('[14]CN HĐ'!$J$10:$J$72,MATCH(B298,'[14]CN HĐ'!$H$10:$H$74,0)),"")</f>
        <v>27</v>
      </c>
      <c r="P298" s="608" t="e">
        <f>IF(M298&gt;#REF!,M298,#REF!)</f>
        <v>#REF!</v>
      </c>
      <c r="Q298" s="466">
        <f t="shared" si="63"/>
        <v>4815889</v>
      </c>
      <c r="R298" s="609"/>
      <c r="S298" s="466">
        <v>0</v>
      </c>
      <c r="T298" s="610"/>
      <c r="U298" s="466">
        <v>0</v>
      </c>
      <c r="V298" s="466">
        <f t="shared" si="64"/>
        <v>57332.01</v>
      </c>
      <c r="W298" s="611">
        <f t="shared" si="65"/>
        <v>4815889</v>
      </c>
      <c r="X298" s="977">
        <f t="shared" si="58"/>
        <v>2.6754938888888891</v>
      </c>
      <c r="Y298" s="491">
        <v>1800000</v>
      </c>
      <c r="Z298" s="663">
        <f t="shared" si="57"/>
        <v>4815889</v>
      </c>
      <c r="AA298" s="612">
        <f t="shared" si="60"/>
        <v>276</v>
      </c>
      <c r="AB298" s="613" t="str">
        <f>IFERROR(INDEX('[14]CN HĐ'!$M$10:$M$73,MATCH(B298,'[14]CN HĐ'!$H$10:$H$73,0)),"")</f>
        <v>Cộng 1 ngày trực tăng cường 17/5</v>
      </c>
      <c r="AC298" s="108" t="str">
        <f>VLOOKUP(B298,TH.T4!B296:AC626,28,FALSE)</f>
        <v>TCHC</v>
      </c>
      <c r="AD298" s="591"/>
    </row>
    <row r="299" spans="1:52" s="372" customFormat="1" ht="32.25" customHeight="1">
      <c r="A299" s="30">
        <f>_xlfn.AGGREGATE(4,7,A$22:A298)+1</f>
        <v>277</v>
      </c>
      <c r="B299" s="374" t="s">
        <v>2053</v>
      </c>
      <c r="C299" s="956"/>
      <c r="D299" s="434"/>
      <c r="E299" s="604"/>
      <c r="F299" s="81" t="str">
        <f>VLOOKUP(B299,TH.T4!B297:J627,9,FALSE)</f>
        <v>NV Bảo vệ</v>
      </c>
      <c r="G299" s="604"/>
      <c r="H299" s="604"/>
      <c r="I299" s="368" t="s">
        <v>2031</v>
      </c>
      <c r="J299" s="605">
        <v>4680000</v>
      </c>
      <c r="K299" s="466">
        <f t="shared" si="62"/>
        <v>1404000</v>
      </c>
      <c r="L299" s="606" t="str">
        <f>VLOOKUP(B299,'[13]Gui chi Quynh'!$B$11:$E$400,4,FALSE)</f>
        <v>A4</v>
      </c>
      <c r="M299" s="466">
        <f t="shared" si="66"/>
        <v>1404000</v>
      </c>
      <c r="N299" s="606">
        <v>26</v>
      </c>
      <c r="O299" s="607">
        <f>IFERROR(INDEX('[14]CN HĐ'!$J$10:$J$72,MATCH(B299,'[14]CN HĐ'!$H$10:$H$74,0)),"")</f>
        <v>25</v>
      </c>
      <c r="P299" s="608"/>
      <c r="Q299" s="466">
        <f t="shared" si="63"/>
        <v>1350000</v>
      </c>
      <c r="R299" s="609"/>
      <c r="S299" s="466">
        <v>0</v>
      </c>
      <c r="T299" s="610"/>
      <c r="U299" s="466">
        <v>0</v>
      </c>
      <c r="V299" s="647">
        <f t="shared" si="64"/>
        <v>46800</v>
      </c>
      <c r="W299" s="611">
        <f t="shared" si="65"/>
        <v>1350000</v>
      </c>
      <c r="X299" s="977">
        <f t="shared" si="58"/>
        <v>0.75</v>
      </c>
      <c r="Y299" s="491">
        <v>1800000</v>
      </c>
      <c r="Z299" s="663">
        <f t="shared" si="57"/>
        <v>1350000</v>
      </c>
      <c r="AA299" s="612">
        <f t="shared" si="60"/>
        <v>277</v>
      </c>
      <c r="AB299" s="613" t="str">
        <f>IFERROR(INDEX('[14]CN HĐ'!$M$10:$M$73,MATCH(B299,'[14]CN HĐ'!$H$10:$H$73,0)),"")</f>
        <v>Trừ 1 ngày nghỉ phép 9/5</v>
      </c>
      <c r="AC299" s="108" t="str">
        <f>VLOOKUP(B299,TH.T4!B297:AC627,28,FALSE)</f>
        <v>TCHC</v>
      </c>
      <c r="AD299" s="465"/>
      <c r="AE299" s="108"/>
      <c r="AF299" s="108"/>
      <c r="AG299" s="108"/>
      <c r="AH299" s="108"/>
      <c r="AI299" s="108"/>
      <c r="AJ299" s="108"/>
      <c r="AK299" s="108"/>
      <c r="AL299" s="108"/>
      <c r="AM299" s="108"/>
      <c r="AN299" s="108"/>
      <c r="AO299" s="108"/>
      <c r="AP299" s="108"/>
      <c r="AQ299" s="108"/>
      <c r="AR299" s="108"/>
      <c r="AS299" s="108"/>
      <c r="AT299" s="108"/>
      <c r="AU299" s="108"/>
      <c r="AV299" s="108"/>
      <c r="AW299" s="108"/>
      <c r="AX299" s="108"/>
      <c r="AY299" s="108"/>
      <c r="AZ299" s="108"/>
    </row>
    <row r="300" spans="1:52" s="372" customFormat="1" ht="27" customHeight="1">
      <c r="A300" s="30">
        <f>_xlfn.AGGREGATE(4,7,A$22:A299)+1</f>
        <v>278</v>
      </c>
      <c r="B300" s="374" t="s">
        <v>2054</v>
      </c>
      <c r="C300" s="956"/>
      <c r="D300" s="434"/>
      <c r="E300" s="614">
        <v>1603205639357</v>
      </c>
      <c r="F300" s="81" t="str">
        <f>VLOOKUP(B300,TH.T4!B298:J628,9,FALSE)</f>
        <v>NV Lái xe</v>
      </c>
      <c r="G300" s="614"/>
      <c r="H300" s="614"/>
      <c r="I300" s="368" t="s">
        <v>2038</v>
      </c>
      <c r="J300" s="605">
        <v>5257980</v>
      </c>
      <c r="K300" s="466">
        <f t="shared" si="62"/>
        <v>3680585.9999999995</v>
      </c>
      <c r="L300" s="606" t="str">
        <f>VLOOKUP(B300,'[13]Gui chi Quynh'!$B$11:$E$400,4,FALSE)</f>
        <v>A2</v>
      </c>
      <c r="M300" s="466">
        <f t="shared" si="66"/>
        <v>5152820</v>
      </c>
      <c r="N300" s="606">
        <v>26</v>
      </c>
      <c r="O300" s="607">
        <f>IFERROR(INDEX('[14]CN HĐ'!$J$10:$J$72,MATCH(B300,'[14]CN HĐ'!$H$10:$H$74,0)),"")</f>
        <v>27</v>
      </c>
      <c r="P300" s="608" t="e">
        <f>IF(M300&gt;#REF!,M300,#REF!)</f>
        <v>#REF!</v>
      </c>
      <c r="Q300" s="466">
        <f t="shared" si="63"/>
        <v>5152820</v>
      </c>
      <c r="R300" s="609"/>
      <c r="S300" s="466">
        <v>0</v>
      </c>
      <c r="T300" s="610"/>
      <c r="U300" s="466">
        <v>0</v>
      </c>
      <c r="V300" s="647">
        <f t="shared" si="64"/>
        <v>52579.8</v>
      </c>
      <c r="W300" s="611">
        <f t="shared" si="65"/>
        <v>5152820</v>
      </c>
      <c r="X300" s="977">
        <f t="shared" si="58"/>
        <v>2.8626777777777779</v>
      </c>
      <c r="Y300" s="491">
        <v>1800000</v>
      </c>
      <c r="Z300" s="663">
        <f t="shared" si="57"/>
        <v>5152820</v>
      </c>
      <c r="AA300" s="612">
        <f t="shared" si="60"/>
        <v>278</v>
      </c>
      <c r="AB300" s="613">
        <f>IFERROR(INDEX('[14]CN HĐ'!$M$10:$M$73,MATCH(B300,'[14]CN HĐ'!$H$10:$H$73,0)),"")</f>
        <v>0</v>
      </c>
      <c r="AC300" s="108" t="str">
        <f>VLOOKUP(B300,TH.T4!B298:AC628,28,FALSE)</f>
        <v>TCHC</v>
      </c>
      <c r="AD300" s="155"/>
      <c r="AE300" s="108"/>
      <c r="AF300" s="108"/>
      <c r="AG300" s="108"/>
      <c r="AH300" s="108"/>
      <c r="AI300" s="108"/>
      <c r="AJ300" s="108"/>
      <c r="AK300" s="108"/>
      <c r="AL300" s="108"/>
      <c r="AM300" s="108"/>
      <c r="AN300" s="108"/>
      <c r="AO300" s="108"/>
      <c r="AP300" s="108"/>
      <c r="AQ300" s="108"/>
      <c r="AR300" s="108"/>
      <c r="AS300" s="108"/>
      <c r="AT300" s="108"/>
      <c r="AU300" s="108"/>
      <c r="AV300" s="108"/>
      <c r="AW300" s="108"/>
      <c r="AX300" s="108"/>
      <c r="AY300" s="108"/>
      <c r="AZ300" s="108"/>
    </row>
    <row r="301" spans="1:52" s="372" customFormat="1" ht="31.5" customHeight="1">
      <c r="A301" s="30">
        <f>_xlfn.AGGREGATE(4,7,A$22:A300)+1</f>
        <v>279</v>
      </c>
      <c r="B301" s="374" t="s">
        <v>2055</v>
      </c>
      <c r="C301" s="956"/>
      <c r="D301" s="434"/>
      <c r="E301" s="615">
        <v>1603205641829</v>
      </c>
      <c r="F301" s="81" t="str">
        <f>VLOOKUP(B301,TH.T4!B299:J629,9,FALSE)</f>
        <v>NV Phuc vụ Phòng TC - HC - TH</v>
      </c>
      <c r="G301" s="615"/>
      <c r="H301" s="615"/>
      <c r="I301" s="368" t="s">
        <v>2031</v>
      </c>
      <c r="J301" s="605">
        <v>5159700</v>
      </c>
      <c r="K301" s="466">
        <f t="shared" si="62"/>
        <v>1547910</v>
      </c>
      <c r="L301" s="606" t="str">
        <f>VLOOKUP(B301,'[13]Gui chi Quynh'!$B$11:$E$400,4,FALSE)</f>
        <v>A2</v>
      </c>
      <c r="M301" s="466">
        <f t="shared" si="66"/>
        <v>2167074</v>
      </c>
      <c r="N301" s="606">
        <v>26</v>
      </c>
      <c r="O301" s="607">
        <f>IFERROR(INDEX('[14]CN HĐ'!$J$10:$J$72,MATCH(B301,'[14]CN HĐ'!$H$10:$H$74,0)),"")</f>
        <v>26</v>
      </c>
      <c r="P301" s="608" t="e">
        <f>IF(M301&gt;#REF!,M301,#REF!)</f>
        <v>#REF!</v>
      </c>
      <c r="Q301" s="466">
        <f t="shared" si="63"/>
        <v>2167074</v>
      </c>
      <c r="R301" s="609"/>
      <c r="S301" s="466">
        <v>0</v>
      </c>
      <c r="T301" s="610"/>
      <c r="U301" s="466">
        <v>0</v>
      </c>
      <c r="V301" s="647">
        <f t="shared" si="64"/>
        <v>51597</v>
      </c>
      <c r="W301" s="611">
        <f t="shared" si="65"/>
        <v>2167074</v>
      </c>
      <c r="X301" s="977">
        <f t="shared" si="58"/>
        <v>1.2039299999999999</v>
      </c>
      <c r="Y301" s="491">
        <v>1800000</v>
      </c>
      <c r="Z301" s="663">
        <f t="shared" si="57"/>
        <v>2167074</v>
      </c>
      <c r="AA301" s="612">
        <f t="shared" si="60"/>
        <v>279</v>
      </c>
      <c r="AB301" s="613">
        <f>IFERROR(INDEX('[14]CN HĐ'!$M$10:$M$73,MATCH(B301,'[14]CN HĐ'!$H$10:$H$73,0)),"")</f>
        <v>0</v>
      </c>
      <c r="AC301" s="108" t="str">
        <f>VLOOKUP(B301,TH.T4!B299:AC629,28,FALSE)</f>
        <v>TCHC</v>
      </c>
      <c r="AD301" s="155"/>
      <c r="AE301" s="108"/>
      <c r="AF301" s="108"/>
      <c r="AG301" s="108"/>
      <c r="AH301" s="108"/>
      <c r="AI301" s="108"/>
      <c r="AJ301" s="108"/>
      <c r="AK301" s="108"/>
      <c r="AL301" s="108"/>
      <c r="AM301" s="108"/>
      <c r="AN301" s="108"/>
      <c r="AO301" s="108"/>
      <c r="AP301" s="108"/>
      <c r="AQ301" s="108"/>
      <c r="AR301" s="108"/>
      <c r="AS301" s="108"/>
      <c r="AT301" s="108"/>
    </row>
    <row r="302" spans="1:52" s="372" customFormat="1" ht="38.25">
      <c r="A302" s="543">
        <f>_xlfn.AGGREGATE(4,7,A$22:A301)+1</f>
        <v>280</v>
      </c>
      <c r="B302" s="962" t="s">
        <v>2056</v>
      </c>
      <c r="C302" s="973"/>
      <c r="D302" s="576"/>
      <c r="E302" s="648"/>
      <c r="F302" s="472" t="str">
        <f>VLOOKUP(B302,TH.T4!B300:J630,9,FALSE)</f>
        <v>Nhân viên phòng Thanh tra GD - Công tác SV</v>
      </c>
      <c r="G302" s="648"/>
      <c r="H302" s="648"/>
      <c r="I302" s="472" t="s">
        <v>2042</v>
      </c>
      <c r="J302" s="627">
        <v>5733201</v>
      </c>
      <c r="K302" s="628">
        <f t="shared" si="62"/>
        <v>4013240.6999999997</v>
      </c>
      <c r="L302" s="629" t="str">
        <f>VLOOKUP(B302,'[13]Gui chi Quynh'!$B$11:$E$400,4,FALSE)</f>
        <v>B1</v>
      </c>
      <c r="M302" s="628">
        <f t="shared" si="66"/>
        <v>2809268</v>
      </c>
      <c r="N302" s="629">
        <v>26</v>
      </c>
      <c r="O302" s="630">
        <f>IFERROR(INDEX('[14]CN HĐ'!$J$10:$J$72,MATCH(B302,'[14]CN HĐ'!$H$10:$H$74,0)),"")</f>
        <v>24</v>
      </c>
      <c r="P302" s="631"/>
      <c r="Q302" s="628">
        <f t="shared" si="63"/>
        <v>2593170</v>
      </c>
      <c r="R302" s="632"/>
      <c r="S302" s="628">
        <v>0</v>
      </c>
      <c r="T302" s="633"/>
      <c r="U302" s="628">
        <v>0</v>
      </c>
      <c r="V302" s="628">
        <f t="shared" si="64"/>
        <v>57332.01</v>
      </c>
      <c r="W302" s="952">
        <f t="shared" si="65"/>
        <v>2593170</v>
      </c>
      <c r="X302" s="979">
        <f t="shared" si="58"/>
        <v>1.44065</v>
      </c>
      <c r="Y302" s="843">
        <v>1800000</v>
      </c>
      <c r="Z302" s="706">
        <f t="shared" si="57"/>
        <v>2593170</v>
      </c>
      <c r="AA302" s="634">
        <f t="shared" si="60"/>
        <v>280</v>
      </c>
      <c r="AB302" s="635" t="s">
        <v>2247</v>
      </c>
      <c r="AC302" s="108" t="str">
        <f>VLOOKUP(B302,TH.T4!B300:AC630,28,FALSE)</f>
        <v>TTrGD</v>
      </c>
      <c r="AD302" s="487"/>
    </row>
    <row r="303" spans="1:52" s="372" customFormat="1" ht="30.75" customHeight="1">
      <c r="A303" s="30">
        <f>_xlfn.AGGREGATE(4,7,A$22:A302)+1</f>
        <v>281</v>
      </c>
      <c r="B303" s="374" t="s">
        <v>2057</v>
      </c>
      <c r="C303" s="956"/>
      <c r="D303" s="434" t="s">
        <v>2058</v>
      </c>
      <c r="E303" s="615" t="s">
        <v>1256</v>
      </c>
      <c r="F303" s="81" t="str">
        <f>VLOOKUP(B303,TH.T4!B301:J631,9,FALSE)</f>
        <v>NV Phòng Tổ chức - Hành chính - Tổng hợp</v>
      </c>
      <c r="G303" s="615"/>
      <c r="H303" s="615"/>
      <c r="I303" s="368" t="s">
        <v>2038</v>
      </c>
      <c r="J303" s="605">
        <v>8992930</v>
      </c>
      <c r="K303" s="466">
        <f t="shared" si="62"/>
        <v>6295051</v>
      </c>
      <c r="L303" s="606" t="str">
        <f>VLOOKUP(B303,'[13]Gui chi Quynh'!$B$11:$E$400,4,FALSE)</f>
        <v>A3</v>
      </c>
      <c r="M303" s="466">
        <f t="shared" si="66"/>
        <v>7554061</v>
      </c>
      <c r="N303" s="606">
        <v>26</v>
      </c>
      <c r="O303" s="607">
        <f>IFERROR(INDEX('[14]CN HĐ'!$J$10:$J$72,MATCH(B303,'[14]CN HĐ'!$H$10:$H$74,0)),"")</f>
        <v>24</v>
      </c>
      <c r="P303" s="608"/>
      <c r="Q303" s="466">
        <f t="shared" si="63"/>
        <v>6972979</v>
      </c>
      <c r="R303" s="609"/>
      <c r="S303" s="466">
        <v>0</v>
      </c>
      <c r="T303" s="610"/>
      <c r="U303" s="466">
        <v>0</v>
      </c>
      <c r="V303" s="647">
        <f t="shared" si="64"/>
        <v>89929.3</v>
      </c>
      <c r="W303" s="611">
        <f t="shared" si="65"/>
        <v>6972979</v>
      </c>
      <c r="X303" s="977">
        <f t="shared" si="58"/>
        <v>3.8738772222222222</v>
      </c>
      <c r="Y303" s="491">
        <v>1800000</v>
      </c>
      <c r="Z303" s="663">
        <f t="shared" si="57"/>
        <v>6972979</v>
      </c>
      <c r="AA303" s="612">
        <f t="shared" si="60"/>
        <v>281</v>
      </c>
      <c r="AB303" s="613" t="str">
        <f>IFERROR(INDEX('[14]CN HĐ'!$M$10:$M$73,MATCH(B303,'[14]CN HĐ'!$H$10:$H$73,0)),"")</f>
        <v>Trừ 2 ngày nghỉ phép 18+20/5</v>
      </c>
      <c r="AC303" s="108" t="str">
        <f>VLOOKUP(B303,TH.T4!B301:AC631,28,FALSE)</f>
        <v>TCHC</v>
      </c>
      <c r="AD303" s="155"/>
      <c r="AE303" s="108"/>
      <c r="AF303" s="108"/>
      <c r="AG303" s="108"/>
      <c r="AH303" s="108"/>
      <c r="AI303" s="108"/>
      <c r="AJ303" s="108"/>
      <c r="AK303" s="108"/>
      <c r="AL303" s="108"/>
      <c r="AM303" s="108"/>
      <c r="AN303" s="108"/>
      <c r="AO303" s="108"/>
      <c r="AP303" s="108"/>
      <c r="AQ303" s="108"/>
      <c r="AR303" s="108"/>
      <c r="AS303" s="108"/>
      <c r="AT303" s="108"/>
      <c r="AU303" s="108"/>
      <c r="AV303" s="108"/>
      <c r="AW303" s="108"/>
      <c r="AX303" s="108"/>
      <c r="AY303" s="108"/>
      <c r="AZ303" s="108"/>
    </row>
    <row r="304" spans="1:52" s="372" customFormat="1" ht="30.75" customHeight="1">
      <c r="A304" s="30">
        <f>_xlfn.AGGREGATE(4,7,A$22:A303)+1</f>
        <v>282</v>
      </c>
      <c r="B304" s="374" t="s">
        <v>2059</v>
      </c>
      <c r="C304" s="956"/>
      <c r="D304" s="434"/>
      <c r="E304" s="615"/>
      <c r="F304" s="81" t="str">
        <f>VLOOKUP(B304,TH.T4!B302:J632,9,FALSE)</f>
        <v>Nhân viên bảo vệ</v>
      </c>
      <c r="G304" s="615"/>
      <c r="H304" s="615"/>
      <c r="I304" s="368" t="s">
        <v>2031</v>
      </c>
      <c r="J304" s="605">
        <v>4680000</v>
      </c>
      <c r="K304" s="466">
        <f t="shared" si="62"/>
        <v>1404000</v>
      </c>
      <c r="L304" s="606" t="str">
        <f>VLOOKUP(B304,'[13]Gui chi Quynh'!$B$11:$E$400,4,FALSE)</f>
        <v>A3</v>
      </c>
      <c r="M304" s="466">
        <f t="shared" si="66"/>
        <v>1684800</v>
      </c>
      <c r="N304" s="606">
        <v>26</v>
      </c>
      <c r="O304" s="607">
        <f>IFERROR(INDEX('[14]CN HĐ'!$J$10:$J$72,MATCH(B304,'[14]CN HĐ'!$H$10:$H$74,0)),"")</f>
        <v>25</v>
      </c>
      <c r="P304" s="608"/>
      <c r="Q304" s="466">
        <f t="shared" si="63"/>
        <v>1620000</v>
      </c>
      <c r="R304" s="609"/>
      <c r="S304" s="466">
        <v>0</v>
      </c>
      <c r="T304" s="610"/>
      <c r="U304" s="466">
        <v>0</v>
      </c>
      <c r="V304" s="647">
        <f t="shared" si="64"/>
        <v>46800</v>
      </c>
      <c r="W304" s="611">
        <f t="shared" si="65"/>
        <v>1620000</v>
      </c>
      <c r="X304" s="977">
        <f t="shared" si="58"/>
        <v>0.9</v>
      </c>
      <c r="Y304" s="491">
        <v>1800000</v>
      </c>
      <c r="Z304" s="663">
        <f t="shared" si="57"/>
        <v>1620000</v>
      </c>
      <c r="AA304" s="612">
        <f t="shared" si="60"/>
        <v>282</v>
      </c>
      <c r="AB304" s="613" t="str">
        <f>IFERROR(INDEX('[14]CN HĐ'!$M$10:$M$73,MATCH(B304,'[14]CN HĐ'!$H$10:$H$73,0)),"")</f>
        <v>Trừ 1 ngày nghỉ phép 13/5</v>
      </c>
      <c r="AC304" s="108" t="str">
        <f>VLOOKUP(B304,TH.T4!B302:AC632,28,FALSE)</f>
        <v>TCHC</v>
      </c>
      <c r="AD304" s="487"/>
    </row>
    <row r="305" spans="1:52" s="372" customFormat="1" ht="30" customHeight="1">
      <c r="A305" s="30">
        <f>_xlfn.AGGREGATE(4,7,A$22:A304)+1</f>
        <v>283</v>
      </c>
      <c r="B305" s="374" t="s">
        <v>2060</v>
      </c>
      <c r="C305" s="956"/>
      <c r="D305" s="434" t="s">
        <v>2061</v>
      </c>
      <c r="E305" s="615" t="s">
        <v>1275</v>
      </c>
      <c r="F305" s="81" t="str">
        <f>VLOOKUP(B305,TH.T4!B303:J633,9,FALSE)</f>
        <v>NV Phòng Tổ chức - Hành chính - Tổng hợp</v>
      </c>
      <c r="G305" s="615"/>
      <c r="H305" s="615"/>
      <c r="I305" s="81" t="s">
        <v>2042</v>
      </c>
      <c r="J305" s="605">
        <v>8041111</v>
      </c>
      <c r="K305" s="466">
        <f t="shared" si="62"/>
        <v>5628777.6999999993</v>
      </c>
      <c r="L305" s="606" t="str">
        <f>VLOOKUP(B305,'[13]Gui chi Quynh'!$B$11:$E$400,4,FALSE)</f>
        <v>A2</v>
      </c>
      <c r="M305" s="466">
        <f t="shared" si="66"/>
        <v>7880289</v>
      </c>
      <c r="N305" s="606">
        <v>26</v>
      </c>
      <c r="O305" s="607">
        <f>IFERROR(INDEX('[14]CN HĐ'!$J$10:$J$72,MATCH(B305,'[14]CN HĐ'!$H$10:$H$74,0)),"")</f>
        <v>24.5</v>
      </c>
      <c r="P305" s="608"/>
      <c r="Q305" s="466">
        <f t="shared" si="63"/>
        <v>7425657</v>
      </c>
      <c r="R305" s="609"/>
      <c r="S305" s="466">
        <v>0</v>
      </c>
      <c r="T305" s="610"/>
      <c r="U305" s="466">
        <v>0</v>
      </c>
      <c r="V305" s="647">
        <f t="shared" si="64"/>
        <v>80411.11</v>
      </c>
      <c r="W305" s="611">
        <f t="shared" si="65"/>
        <v>7425657</v>
      </c>
      <c r="X305" s="977">
        <f t="shared" si="58"/>
        <v>4.1253650000000004</v>
      </c>
      <c r="Y305" s="491">
        <v>1800000</v>
      </c>
      <c r="Z305" s="663">
        <f t="shared" si="57"/>
        <v>7425657.0000000009</v>
      </c>
      <c r="AA305" s="612">
        <f t="shared" si="60"/>
        <v>283</v>
      </c>
      <c r="AB305" s="613" t="str">
        <f>IFERROR(INDEX('[14]CN HĐ'!$M$10:$M$73,MATCH(B305,'[14]CN HĐ'!$H$10:$H$73,0)),"")</f>
        <v>Trừ 1 ngày nghỉ phép 18/5</v>
      </c>
      <c r="AC305" s="108" t="str">
        <f>VLOOKUP(B305,TH.T4!B303:AC633,28,FALSE)</f>
        <v>TCHC</v>
      </c>
      <c r="AD305" s="155"/>
      <c r="AE305" s="108"/>
      <c r="AF305" s="108"/>
      <c r="AG305" s="108"/>
      <c r="AH305" s="108"/>
      <c r="AI305" s="108"/>
      <c r="AJ305" s="108"/>
      <c r="AK305" s="108"/>
      <c r="AL305" s="108"/>
      <c r="AM305" s="108"/>
      <c r="AN305" s="108"/>
      <c r="AO305" s="108"/>
      <c r="AP305" s="108"/>
      <c r="AQ305" s="108"/>
      <c r="AR305" s="108"/>
      <c r="AS305" s="108"/>
      <c r="AT305" s="108"/>
      <c r="AU305" s="108"/>
      <c r="AV305" s="108"/>
      <c r="AW305" s="108"/>
      <c r="AX305" s="108"/>
      <c r="AY305" s="108"/>
      <c r="AZ305" s="108"/>
    </row>
    <row r="306" spans="1:52" s="372" customFormat="1" ht="27.75" customHeight="1">
      <c r="A306" s="30">
        <f>_xlfn.AGGREGATE(4,7,A$22:A305)+1</f>
        <v>284</v>
      </c>
      <c r="B306" s="957" t="s">
        <v>2062</v>
      </c>
      <c r="C306" s="957" t="s">
        <v>874</v>
      </c>
      <c r="D306" s="418" t="s">
        <v>2063</v>
      </c>
      <c r="E306" s="615" t="s">
        <v>2064</v>
      </c>
      <c r="F306" s="81" t="str">
        <f>VLOOKUP(B306,TH.T4!B304:J634,9,FALSE)</f>
        <v>NV P. QT 
Dịch vụ</v>
      </c>
      <c r="G306" s="615"/>
      <c r="H306" s="615"/>
      <c r="I306" s="368" t="s">
        <v>2042</v>
      </c>
      <c r="J306" s="605">
        <v>7023418</v>
      </c>
      <c r="K306" s="466">
        <f t="shared" si="62"/>
        <v>4916392.5999999996</v>
      </c>
      <c r="L306" s="606" t="str">
        <f>VLOOKUP(B306,'[13]Gui chi Quynh'!$B$11:$E$400,4,FALSE)</f>
        <v>A1</v>
      </c>
      <c r="M306" s="466">
        <f t="shared" si="66"/>
        <v>7866228</v>
      </c>
      <c r="N306" s="606">
        <v>26</v>
      </c>
      <c r="O306" s="607">
        <f>IFERROR(INDEX('[14]CN HĐ'!$J$10:$J$72,MATCH(B306,'[14]CN HĐ'!$H$10:$H$74,0)),"")</f>
        <v>26</v>
      </c>
      <c r="P306" s="608" t="e">
        <f>IF(M306&gt;#REF!,M306,#REF!)</f>
        <v>#REF!</v>
      </c>
      <c r="Q306" s="466">
        <f t="shared" si="63"/>
        <v>7866228</v>
      </c>
      <c r="R306" s="609"/>
      <c r="S306" s="466">
        <v>0</v>
      </c>
      <c r="T306" s="610"/>
      <c r="U306" s="466">
        <v>0</v>
      </c>
      <c r="V306" s="647">
        <f t="shared" si="64"/>
        <v>70234.180000000008</v>
      </c>
      <c r="W306" s="611">
        <f t="shared" si="65"/>
        <v>7866228</v>
      </c>
      <c r="X306" s="977">
        <f t="shared" si="58"/>
        <v>4.3701266666666667</v>
      </c>
      <c r="Y306" s="491">
        <v>1800000</v>
      </c>
      <c r="Z306" s="663">
        <f t="shared" si="57"/>
        <v>7866228</v>
      </c>
      <c r="AA306" s="612">
        <f t="shared" si="60"/>
        <v>284</v>
      </c>
      <c r="AB306" s="613">
        <f>IFERROR(INDEX('[14]CN HĐ'!$M$10:$M$73,MATCH(B306,'[14]CN HĐ'!$H$10:$H$73,0)),"")</f>
        <v>0</v>
      </c>
      <c r="AC306" s="108" t="str">
        <f>VLOOKUP(B306,TH.T4!B304:AC634,28,FALSE)</f>
        <v>QTDV</v>
      </c>
      <c r="AD306" s="108"/>
      <c r="AE306" s="108"/>
      <c r="AF306" s="108"/>
      <c r="AG306" s="108"/>
      <c r="AH306" s="108"/>
      <c r="AI306" s="108"/>
      <c r="AJ306" s="108"/>
      <c r="AK306" s="108"/>
      <c r="AL306" s="108"/>
      <c r="AM306" s="108"/>
      <c r="AN306" s="108"/>
      <c r="AO306" s="108"/>
      <c r="AP306" s="108"/>
      <c r="AQ306" s="108"/>
      <c r="AR306" s="108"/>
      <c r="AS306" s="108"/>
      <c r="AT306" s="108"/>
      <c r="AU306" s="108"/>
      <c r="AV306" s="108"/>
      <c r="AW306" s="108"/>
      <c r="AX306" s="108"/>
      <c r="AY306" s="108"/>
      <c r="AZ306" s="108"/>
    </row>
    <row r="307" spans="1:52" s="372" customFormat="1" ht="28.5" customHeight="1">
      <c r="A307" s="30">
        <f>_xlfn.AGGREGATE(4,7,A$22:A306)+1</f>
        <v>285</v>
      </c>
      <c r="B307" s="957" t="s">
        <v>2065</v>
      </c>
      <c r="C307" s="957" t="s">
        <v>921</v>
      </c>
      <c r="D307" s="418" t="s">
        <v>2066</v>
      </c>
      <c r="E307" s="615">
        <v>1603205186060</v>
      </c>
      <c r="F307" s="81" t="str">
        <f>VLOOKUP(B307,TH.T4!B305:J635,9,FALSE)</f>
        <v>NV Phòng Quản trị - Dịch vụ</v>
      </c>
      <c r="G307" s="615"/>
      <c r="H307" s="615"/>
      <c r="I307" s="368" t="s">
        <v>2038</v>
      </c>
      <c r="J307" s="605">
        <v>6391108</v>
      </c>
      <c r="K307" s="466">
        <f t="shared" si="62"/>
        <v>4473775.5999999996</v>
      </c>
      <c r="L307" s="606" t="str">
        <f>VLOOKUP(B307,'[13]Gui chi Quynh'!$B$11:$E$400,4,FALSE)</f>
        <v>A3</v>
      </c>
      <c r="M307" s="466">
        <f t="shared" si="66"/>
        <v>5368531</v>
      </c>
      <c r="N307" s="606">
        <v>26</v>
      </c>
      <c r="O307" s="607">
        <f>IFERROR(INDEX('[14]CN HĐ'!$J$10:$J$72,MATCH(B307,'[14]CN HĐ'!$H$10:$H$74,0)),"")</f>
        <v>26</v>
      </c>
      <c r="P307" s="608" t="e">
        <f>IF(M307&gt;#REF!,M307,#REF!)</f>
        <v>#REF!</v>
      </c>
      <c r="Q307" s="466">
        <f t="shared" si="63"/>
        <v>5368531</v>
      </c>
      <c r="R307" s="609"/>
      <c r="S307" s="466">
        <v>0</v>
      </c>
      <c r="T307" s="610"/>
      <c r="U307" s="466">
        <v>0</v>
      </c>
      <c r="V307" s="647">
        <f t="shared" si="64"/>
        <v>63911.08</v>
      </c>
      <c r="W307" s="611">
        <f t="shared" si="65"/>
        <v>5368531</v>
      </c>
      <c r="X307" s="977">
        <f t="shared" si="58"/>
        <v>2.982517222222222</v>
      </c>
      <c r="Y307" s="491">
        <v>1800000</v>
      </c>
      <c r="Z307" s="663">
        <f t="shared" si="57"/>
        <v>5368531</v>
      </c>
      <c r="AA307" s="612">
        <f t="shared" si="60"/>
        <v>285</v>
      </c>
      <c r="AB307" s="613">
        <f>IFERROR(INDEX('[14]CN HĐ'!$M$10:$M$73,MATCH(B307,'[14]CN HĐ'!$H$10:$H$73,0)),"")</f>
        <v>0</v>
      </c>
      <c r="AC307" s="108" t="str">
        <f>VLOOKUP(B307,TH.T4!B305:AC635,28,FALSE)</f>
        <v>QTDV</v>
      </c>
      <c r="AD307" s="108"/>
      <c r="AE307" s="108"/>
      <c r="AF307" s="108"/>
      <c r="AG307" s="108"/>
      <c r="AH307" s="108"/>
      <c r="AI307" s="108"/>
      <c r="AJ307" s="108"/>
      <c r="AK307" s="108"/>
      <c r="AL307" s="108"/>
      <c r="AM307" s="108"/>
      <c r="AN307" s="108"/>
      <c r="AO307" s="108"/>
      <c r="AP307" s="108"/>
      <c r="AQ307" s="108"/>
      <c r="AR307" s="108"/>
      <c r="AS307" s="108"/>
      <c r="AT307" s="108"/>
      <c r="AU307" s="108"/>
      <c r="AV307" s="108"/>
      <c r="AW307" s="108"/>
      <c r="AX307" s="108"/>
      <c r="AY307" s="108"/>
      <c r="AZ307" s="108"/>
    </row>
    <row r="308" spans="1:52" s="372" customFormat="1" ht="29.25" customHeight="1">
      <c r="A308" s="30">
        <f>_xlfn.AGGREGATE(4,7,A$22:A307)+1</f>
        <v>286</v>
      </c>
      <c r="B308" s="957" t="s">
        <v>2067</v>
      </c>
      <c r="C308" s="957" t="s">
        <v>882</v>
      </c>
      <c r="D308" s="418" t="s">
        <v>2068</v>
      </c>
      <c r="E308" s="615">
        <v>1603205327532</v>
      </c>
      <c r="F308" s="81" t="str">
        <f>VLOOKUP(B308,TH.T4!B306:J636,9,FALSE)</f>
        <v>NV bảo trì</v>
      </c>
      <c r="G308" s="615"/>
      <c r="H308" s="615"/>
      <c r="I308" s="368" t="s">
        <v>2042</v>
      </c>
      <c r="J308" s="605">
        <v>8041111</v>
      </c>
      <c r="K308" s="466">
        <f t="shared" si="62"/>
        <v>5628777.6999999993</v>
      </c>
      <c r="L308" s="606" t="str">
        <f>VLOOKUP(B308,'[13]Gui chi Quynh'!$B$11:$E$400,4,FALSE)</f>
        <v>A2</v>
      </c>
      <c r="M308" s="466">
        <f t="shared" si="66"/>
        <v>7880289</v>
      </c>
      <c r="N308" s="606">
        <v>26</v>
      </c>
      <c r="O308" s="607">
        <f>IFERROR(INDEX('[14]CN HĐ'!$J$10:$J$72,MATCH(B308,'[14]CN HĐ'!$H$10:$H$74,0)),"")</f>
        <v>28</v>
      </c>
      <c r="P308" s="608" t="e">
        <f>IF(M308&gt;#REF!,M308,#REF!)</f>
        <v>#REF!</v>
      </c>
      <c r="Q308" s="466">
        <f t="shared" si="63"/>
        <v>7880289</v>
      </c>
      <c r="R308" s="609"/>
      <c r="S308" s="466">
        <v>0</v>
      </c>
      <c r="T308" s="610"/>
      <c r="U308" s="466">
        <v>0</v>
      </c>
      <c r="V308" s="647">
        <f t="shared" si="64"/>
        <v>80411.11</v>
      </c>
      <c r="W308" s="611">
        <f t="shared" si="65"/>
        <v>7880289</v>
      </c>
      <c r="X308" s="977">
        <f t="shared" si="58"/>
        <v>4.3779383333333337</v>
      </c>
      <c r="Y308" s="491">
        <v>1800000</v>
      </c>
      <c r="Z308" s="663">
        <f t="shared" si="57"/>
        <v>7880289.0000000009</v>
      </c>
      <c r="AA308" s="612">
        <f t="shared" si="60"/>
        <v>286</v>
      </c>
      <c r="AB308" s="613">
        <f>IFERROR(INDEX('[14]CN HĐ'!$M$10:$M$73,MATCH(B308,'[14]CN HĐ'!$H$10:$H$73,0)),"")</f>
        <v>0</v>
      </c>
      <c r="AC308" s="108" t="str">
        <f>VLOOKUP(B308,TH.T4!B306:AC636,28,FALSE)</f>
        <v>TTĐT</v>
      </c>
      <c r="AD308" s="108"/>
      <c r="AE308" s="108"/>
      <c r="AF308" s="108"/>
      <c r="AG308" s="108"/>
      <c r="AH308" s="108"/>
      <c r="AI308" s="108"/>
      <c r="AJ308" s="108"/>
      <c r="AK308" s="108"/>
      <c r="AL308" s="108"/>
      <c r="AM308" s="108"/>
      <c r="AN308" s="108"/>
      <c r="AO308" s="108"/>
      <c r="AP308" s="108"/>
      <c r="AQ308" s="108"/>
      <c r="AR308" s="108"/>
      <c r="AS308" s="108"/>
      <c r="AT308" s="108"/>
      <c r="AU308" s="108"/>
      <c r="AV308" s="108"/>
      <c r="AW308" s="108"/>
      <c r="AX308" s="108"/>
      <c r="AY308" s="108"/>
      <c r="AZ308" s="108"/>
    </row>
    <row r="309" spans="1:52" s="372" customFormat="1" ht="29.25" customHeight="1">
      <c r="A309" s="30">
        <f>_xlfn.AGGREGATE(4,7,A$22:A308)+1</f>
        <v>287</v>
      </c>
      <c r="B309" s="957" t="s">
        <v>2069</v>
      </c>
      <c r="C309" s="957" t="s">
        <v>2070</v>
      </c>
      <c r="D309" s="418" t="s">
        <v>2071</v>
      </c>
      <c r="E309" s="604" t="s">
        <v>2072</v>
      </c>
      <c r="F309" s="81" t="str">
        <f>VLOOKUP(B309,TH.T4!B307:J637,9,FALSE)</f>
        <v>NV P. QT 
Dịch vụ</v>
      </c>
      <c r="G309" s="604"/>
      <c r="H309" s="604"/>
      <c r="I309" s="368" t="s">
        <v>2038</v>
      </c>
      <c r="J309" s="605">
        <v>5520879</v>
      </c>
      <c r="K309" s="466">
        <f t="shared" si="62"/>
        <v>3864615.3</v>
      </c>
      <c r="L309" s="606" t="str">
        <f>VLOOKUP(B309,'[13]Gui chi Quynh'!$B$11:$E$400,4,FALSE)</f>
        <v>A3</v>
      </c>
      <c r="M309" s="466">
        <f t="shared" si="66"/>
        <v>4637538</v>
      </c>
      <c r="N309" s="606">
        <v>26</v>
      </c>
      <c r="O309" s="607">
        <v>25</v>
      </c>
      <c r="P309" s="608" t="e">
        <f>IF(M309&gt;#REF!,M309,#REF!)</f>
        <v>#REF!</v>
      </c>
      <c r="Q309" s="466">
        <f t="shared" si="63"/>
        <v>4459171</v>
      </c>
      <c r="R309" s="609"/>
      <c r="S309" s="466">
        <v>0</v>
      </c>
      <c r="T309" s="610"/>
      <c r="U309" s="466">
        <v>0</v>
      </c>
      <c r="V309" s="647">
        <f t="shared" si="64"/>
        <v>55208.79</v>
      </c>
      <c r="W309" s="611">
        <f t="shared" si="65"/>
        <v>4459171</v>
      </c>
      <c r="X309" s="977">
        <f t="shared" si="58"/>
        <v>2.4773172222222222</v>
      </c>
      <c r="Y309" s="491">
        <v>1800000</v>
      </c>
      <c r="Z309" s="663">
        <f t="shared" si="57"/>
        <v>4459171</v>
      </c>
      <c r="AA309" s="612">
        <f t="shared" si="60"/>
        <v>287</v>
      </c>
      <c r="AB309" s="613" t="s">
        <v>2244</v>
      </c>
      <c r="AC309" s="108" t="str">
        <f>VLOOKUP(B309,TH.T4!B307:AC637,28,FALSE)</f>
        <v>QTDV</v>
      </c>
      <c r="AD309" s="108"/>
      <c r="AE309" s="108"/>
      <c r="AF309" s="108"/>
      <c r="AG309" s="108"/>
      <c r="AH309" s="108"/>
      <c r="AI309" s="108"/>
      <c r="AJ309" s="108"/>
      <c r="AK309" s="108"/>
      <c r="AL309" s="108"/>
      <c r="AM309" s="108"/>
      <c r="AN309" s="108"/>
      <c r="AO309" s="108"/>
      <c r="AP309" s="108"/>
      <c r="AQ309" s="108"/>
      <c r="AR309" s="108"/>
      <c r="AS309" s="108"/>
      <c r="AT309" s="108"/>
      <c r="AU309" s="108"/>
      <c r="AV309" s="108"/>
      <c r="AW309" s="108"/>
      <c r="AX309" s="108"/>
      <c r="AY309" s="108"/>
      <c r="AZ309" s="108"/>
    </row>
    <row r="310" spans="1:52" s="372" customFormat="1" ht="29.25" customHeight="1">
      <c r="A310" s="30">
        <f>_xlfn.AGGREGATE(4,7,A$22:A309)+1</f>
        <v>288</v>
      </c>
      <c r="B310" s="374" t="s">
        <v>2073</v>
      </c>
      <c r="C310" s="956" t="s">
        <v>1171</v>
      </c>
      <c r="D310" s="434" t="s">
        <v>2074</v>
      </c>
      <c r="E310" s="620" t="s">
        <v>1266</v>
      </c>
      <c r="F310" s="81" t="str">
        <f>VLOOKUP(B310,TH.T4!B308:J638,9,FALSE)</f>
        <v>NV P. QT 
Dịch vụ</v>
      </c>
      <c r="G310" s="620"/>
      <c r="H310" s="620"/>
      <c r="I310" s="368" t="s">
        <v>2038</v>
      </c>
      <c r="J310" s="605">
        <v>6086769</v>
      </c>
      <c r="K310" s="466">
        <f t="shared" si="62"/>
        <v>4260738.3</v>
      </c>
      <c r="L310" s="606" t="str">
        <f>VLOOKUP(B310,'[13]Gui chi Quynh'!$B$11:$E$400,4,FALSE)</f>
        <v>A3</v>
      </c>
      <c r="M310" s="466">
        <f t="shared" si="66"/>
        <v>5112886</v>
      </c>
      <c r="N310" s="606">
        <v>26</v>
      </c>
      <c r="O310" s="607">
        <f>IFERROR(INDEX('[14]CN HĐ'!$J$10:$J$72,MATCH(B310,'[14]CN HĐ'!$H$10:$H$74,0)),"")</f>
        <v>26</v>
      </c>
      <c r="P310" s="608" t="e">
        <f>IF(M310&gt;#REF!,M310,#REF!)</f>
        <v>#REF!</v>
      </c>
      <c r="Q310" s="466">
        <f t="shared" si="63"/>
        <v>5112886</v>
      </c>
      <c r="R310" s="609"/>
      <c r="S310" s="466">
        <v>0</v>
      </c>
      <c r="T310" s="621"/>
      <c r="U310" s="466">
        <v>0</v>
      </c>
      <c r="V310" s="647">
        <f t="shared" si="64"/>
        <v>60867.69</v>
      </c>
      <c r="W310" s="611">
        <f t="shared" si="65"/>
        <v>5112886</v>
      </c>
      <c r="X310" s="977">
        <f t="shared" si="58"/>
        <v>2.8404922222222222</v>
      </c>
      <c r="Y310" s="491">
        <v>1800000</v>
      </c>
      <c r="Z310" s="663">
        <f t="shared" si="57"/>
        <v>5112886</v>
      </c>
      <c r="AA310" s="612">
        <f t="shared" si="60"/>
        <v>288</v>
      </c>
      <c r="AB310" s="613">
        <f>IFERROR(INDEX('[14]CN HĐ'!$M$10:$M$73,MATCH(B310,'[14]CN HĐ'!$H$10:$H$73,0)),"")</f>
        <v>0</v>
      </c>
      <c r="AC310" s="108" t="str">
        <f>VLOOKUP(B310,TH.T4!B308:AC638,28,FALSE)</f>
        <v>QTDV</v>
      </c>
      <c r="AD310" s="155"/>
      <c r="AE310" s="108"/>
      <c r="AF310" s="108"/>
      <c r="AG310" s="108"/>
      <c r="AH310" s="108"/>
      <c r="AI310" s="108"/>
      <c r="AJ310" s="108"/>
      <c r="AK310" s="108"/>
      <c r="AL310" s="108"/>
      <c r="AM310" s="108"/>
      <c r="AN310" s="108"/>
      <c r="AO310" s="108"/>
      <c r="AP310" s="108"/>
      <c r="AQ310" s="108"/>
      <c r="AR310" s="108"/>
      <c r="AS310" s="108"/>
      <c r="AT310" s="108"/>
      <c r="AU310" s="108"/>
      <c r="AV310" s="108"/>
      <c r="AW310" s="108"/>
      <c r="AX310" s="108"/>
      <c r="AY310" s="108"/>
      <c r="AZ310" s="108"/>
    </row>
    <row r="311" spans="1:52" s="372" customFormat="1" ht="29.25" customHeight="1">
      <c r="A311" s="30">
        <f>_xlfn.AGGREGATE(4,7,A$22:A310)+1</f>
        <v>289</v>
      </c>
      <c r="B311" s="374" t="s">
        <v>2075</v>
      </c>
      <c r="C311" s="956"/>
      <c r="D311" s="434" t="s">
        <v>2076</v>
      </c>
      <c r="E311" s="615">
        <v>1603205185856</v>
      </c>
      <c r="F311" s="81" t="str">
        <f>VLOOKUP(B311,TH.T4!B309:J639,9,FALSE)</f>
        <v>NV Phục vụ</v>
      </c>
      <c r="G311" s="615"/>
      <c r="H311" s="615"/>
      <c r="I311" s="368" t="s">
        <v>2031</v>
      </c>
      <c r="J311" s="605">
        <v>8004388</v>
      </c>
      <c r="K311" s="466">
        <f t="shared" si="62"/>
        <v>2401316.4</v>
      </c>
      <c r="L311" s="606" t="str">
        <f>VLOOKUP(B311,'[13]Gui chi Quynh'!$B$11:$E$400,4,FALSE)</f>
        <v>A3</v>
      </c>
      <c r="M311" s="466">
        <f t="shared" si="66"/>
        <v>2881580</v>
      </c>
      <c r="N311" s="606">
        <v>26</v>
      </c>
      <c r="O311" s="607">
        <f>IFERROR(INDEX('[14]CN HĐ'!$J$10:$J$72,MATCH(B311,'[14]CN HĐ'!$H$10:$H$74,0)),"")</f>
        <v>26</v>
      </c>
      <c r="P311" s="608" t="e">
        <f>IF(M311&gt;#REF!,M311,#REF!)</f>
        <v>#REF!</v>
      </c>
      <c r="Q311" s="466">
        <f t="shared" si="63"/>
        <v>2881580</v>
      </c>
      <c r="R311" s="609"/>
      <c r="S311" s="466">
        <v>0</v>
      </c>
      <c r="T311" s="610"/>
      <c r="U311" s="466">
        <v>0</v>
      </c>
      <c r="V311" s="647">
        <f t="shared" si="64"/>
        <v>80043.88</v>
      </c>
      <c r="W311" s="611">
        <f t="shared" si="65"/>
        <v>2881580</v>
      </c>
      <c r="X311" s="977">
        <f t="shared" si="58"/>
        <v>1.6008777777777778</v>
      </c>
      <c r="Y311" s="491">
        <v>1800000</v>
      </c>
      <c r="Z311" s="663">
        <f t="shared" si="57"/>
        <v>2881580</v>
      </c>
      <c r="AA311" s="612">
        <f t="shared" si="60"/>
        <v>289</v>
      </c>
      <c r="AB311" s="613">
        <f>IFERROR(INDEX('[14]CN HĐ'!$M$10:$M$73,MATCH(B311,'[14]CN HĐ'!$H$10:$H$73,0)),"")</f>
        <v>0</v>
      </c>
      <c r="AC311" s="108" t="str">
        <f>VLOOKUP(B311,TH.T4!B309:AC639,28,FALSE)</f>
        <v>QTDV</v>
      </c>
      <c r="AD311" s="155"/>
      <c r="AE311" s="108"/>
      <c r="AF311" s="108"/>
      <c r="AG311" s="108"/>
      <c r="AH311" s="108"/>
      <c r="AI311" s="108"/>
      <c r="AJ311" s="108"/>
      <c r="AK311" s="108"/>
      <c r="AL311" s="108"/>
      <c r="AM311" s="108"/>
      <c r="AN311" s="108"/>
      <c r="AO311" s="108"/>
      <c r="AP311" s="108"/>
      <c r="AQ311" s="108"/>
      <c r="AR311" s="108"/>
      <c r="AS311" s="108"/>
      <c r="AT311" s="108"/>
      <c r="AU311" s="108"/>
      <c r="AV311" s="108"/>
      <c r="AW311" s="108"/>
      <c r="AX311" s="108"/>
      <c r="AY311" s="108"/>
      <c r="AZ311" s="108"/>
    </row>
    <row r="312" spans="1:52" s="372" customFormat="1" ht="29.25" customHeight="1">
      <c r="A312" s="379">
        <f>_xlfn.AGGREGATE(4,7,A$22:A311)+1</f>
        <v>290</v>
      </c>
      <c r="B312" s="374" t="s">
        <v>2077</v>
      </c>
      <c r="C312" s="956"/>
      <c r="D312" s="434" t="s">
        <v>2078</v>
      </c>
      <c r="E312" s="604" t="s">
        <v>2079</v>
      </c>
      <c r="F312" s="81" t="str">
        <f>VLOOKUP(B312,TH.T4!B310:J640,9,FALSE)</f>
        <v>NV Phục vụ</v>
      </c>
      <c r="G312" s="604"/>
      <c r="H312" s="604"/>
      <c r="I312" s="368" t="s">
        <v>2031</v>
      </c>
      <c r="J312" s="605">
        <v>5159700</v>
      </c>
      <c r="K312" s="466">
        <f t="shared" si="62"/>
        <v>1547910</v>
      </c>
      <c r="L312" s="606" t="str">
        <f>VLOOKUP(B312,'[13]Gui chi Quynh'!$B$11:$E$400,4,FALSE)</f>
        <v>A3</v>
      </c>
      <c r="M312" s="466">
        <f t="shared" si="66"/>
        <v>1857492</v>
      </c>
      <c r="N312" s="606">
        <v>26</v>
      </c>
      <c r="O312" s="607">
        <f>IFERROR(INDEX('[14]CN HĐ'!$J$10:$J$72,MATCH(B312,'[14]CN HĐ'!$H$10:$H$74,0)),"")</f>
        <v>25</v>
      </c>
      <c r="P312" s="608" t="e">
        <f>IF(M312&gt;#REF!,M312,#REF!)</f>
        <v>#REF!</v>
      </c>
      <c r="Q312" s="466">
        <f t="shared" si="63"/>
        <v>1786050</v>
      </c>
      <c r="R312" s="609"/>
      <c r="S312" s="466">
        <v>0</v>
      </c>
      <c r="T312" s="610"/>
      <c r="U312" s="466">
        <v>0</v>
      </c>
      <c r="V312" s="466">
        <f t="shared" si="64"/>
        <v>51597</v>
      </c>
      <c r="W312" s="611">
        <f t="shared" si="65"/>
        <v>1786050</v>
      </c>
      <c r="X312" s="977">
        <f t="shared" si="58"/>
        <v>0.99224999999999997</v>
      </c>
      <c r="Y312" s="491">
        <v>1800000</v>
      </c>
      <c r="Z312" s="663">
        <f t="shared" si="57"/>
        <v>1786050</v>
      </c>
      <c r="AA312" s="612">
        <f t="shared" si="60"/>
        <v>290</v>
      </c>
      <c r="AB312" s="613" t="str">
        <f>IFERROR(INDEX('[14]CN HĐ'!$M$10:$M$73,MATCH(B312,'[14]CN HĐ'!$H$10:$H$73,0)),"")</f>
        <v>Trừ 1 ngày nghỉ phép 20/5</v>
      </c>
      <c r="AC312" s="108" t="str">
        <f>VLOOKUP(B312,TH.T4!B310:AC640,28,FALSE)</f>
        <v>QTDV</v>
      </c>
      <c r="AD312" s="487"/>
    </row>
    <row r="313" spans="1:52" s="372" customFormat="1" ht="29.25" customHeight="1">
      <c r="A313" s="30">
        <f>_xlfn.AGGREGATE(4,7,A$22:A312)+1</f>
        <v>291</v>
      </c>
      <c r="B313" s="374" t="s">
        <v>2080</v>
      </c>
      <c r="C313" s="956"/>
      <c r="D313" s="434"/>
      <c r="E313" s="622" t="s">
        <v>2081</v>
      </c>
      <c r="F313" s="81" t="str">
        <f>VLOOKUP(B313,TH.T4!B311:J641,9,FALSE)</f>
        <v>NV Phục vụ</v>
      </c>
      <c r="G313" s="622"/>
      <c r="H313" s="622"/>
      <c r="I313" s="368" t="s">
        <v>2031</v>
      </c>
      <c r="J313" s="605">
        <v>4914000</v>
      </c>
      <c r="K313" s="466">
        <f t="shared" si="62"/>
        <v>1474200</v>
      </c>
      <c r="L313" s="606" t="str">
        <f>VLOOKUP(B313,'[13]Gui chi Quynh'!$B$11:$E$400,4,FALSE)</f>
        <v>A3</v>
      </c>
      <c r="M313" s="466">
        <f t="shared" si="66"/>
        <v>1769040</v>
      </c>
      <c r="N313" s="606">
        <v>26</v>
      </c>
      <c r="O313" s="607">
        <f>IFERROR(INDEX('[14]CN HĐ'!$J$10:$J$72,MATCH(B313,'[14]CN HĐ'!$H$10:$H$74,0)),"")</f>
        <v>26</v>
      </c>
      <c r="P313" s="608" t="e">
        <f>IF(M313&gt;#REF!,M313,#REF!)</f>
        <v>#REF!</v>
      </c>
      <c r="Q313" s="466">
        <f t="shared" si="63"/>
        <v>1769040</v>
      </c>
      <c r="R313" s="609"/>
      <c r="S313" s="466">
        <v>0</v>
      </c>
      <c r="T313" s="610"/>
      <c r="U313" s="466">
        <v>0</v>
      </c>
      <c r="V313" s="647">
        <f t="shared" si="64"/>
        <v>49140</v>
      </c>
      <c r="W313" s="611">
        <f t="shared" si="65"/>
        <v>1769040</v>
      </c>
      <c r="X313" s="977">
        <f t="shared" si="58"/>
        <v>0.98280000000000001</v>
      </c>
      <c r="Y313" s="491">
        <v>1800000</v>
      </c>
      <c r="Z313" s="663">
        <f t="shared" si="57"/>
        <v>1769040</v>
      </c>
      <c r="AA313" s="612">
        <f t="shared" si="60"/>
        <v>291</v>
      </c>
      <c r="AB313" s="613">
        <f>IFERROR(INDEX('[14]CN HĐ'!$M$10:$M$73,MATCH(B313,'[14]CN HĐ'!$H$10:$H$73,0)),"")</f>
        <v>0</v>
      </c>
      <c r="AC313" s="108" t="str">
        <f>VLOOKUP(B313,TH.T4!B311:AC641,28,FALSE)</f>
        <v>QTDV</v>
      </c>
      <c r="AD313" s="155"/>
      <c r="AE313" s="108"/>
      <c r="AF313" s="108"/>
      <c r="AG313" s="108"/>
      <c r="AH313" s="108"/>
      <c r="AI313" s="108"/>
      <c r="AJ313" s="108"/>
      <c r="AK313" s="108"/>
      <c r="AL313" s="108"/>
      <c r="AM313" s="108"/>
      <c r="AN313" s="108"/>
      <c r="AO313" s="108"/>
      <c r="AP313" s="108"/>
      <c r="AQ313" s="108"/>
      <c r="AR313" s="108"/>
      <c r="AS313" s="108"/>
      <c r="AT313" s="108"/>
      <c r="AU313" s="108"/>
      <c r="AV313" s="108"/>
      <c r="AW313" s="108"/>
      <c r="AX313" s="108"/>
      <c r="AY313" s="108"/>
      <c r="AZ313" s="108"/>
    </row>
    <row r="314" spans="1:52" s="372" customFormat="1" ht="29.25" customHeight="1">
      <c r="A314" s="30">
        <f>_xlfn.AGGREGATE(4,7,A$22:A313)+1</f>
        <v>292</v>
      </c>
      <c r="B314" s="374" t="s">
        <v>2082</v>
      </c>
      <c r="C314" s="956"/>
      <c r="D314" s="434"/>
      <c r="E314" s="623" t="s">
        <v>2083</v>
      </c>
      <c r="F314" s="81" t="str">
        <f>VLOOKUP(B314,TH.T4!B312:J642,9,FALSE)</f>
        <v>NV Phục vụ</v>
      </c>
      <c r="G314" s="623"/>
      <c r="H314" s="623"/>
      <c r="I314" s="368" t="s">
        <v>2031</v>
      </c>
      <c r="J314" s="605">
        <v>4914000</v>
      </c>
      <c r="K314" s="466">
        <f t="shared" si="62"/>
        <v>1474200</v>
      </c>
      <c r="L314" s="606" t="str">
        <f>VLOOKUP(B314,'[13]Gui chi Quynh'!$B$11:$E$400,4,FALSE)</f>
        <v>A3</v>
      </c>
      <c r="M314" s="466">
        <f t="shared" si="66"/>
        <v>1769040</v>
      </c>
      <c r="N314" s="606">
        <v>26</v>
      </c>
      <c r="O314" s="607">
        <f>IFERROR(INDEX('[14]CN HĐ'!$J$10:$J$72,MATCH(B314,'[14]CN HĐ'!$H$10:$H$74,0)),"")</f>
        <v>26</v>
      </c>
      <c r="P314" s="608" t="e">
        <f>IF(M314&gt;#REF!,M314,#REF!)</f>
        <v>#REF!</v>
      </c>
      <c r="Q314" s="466">
        <f t="shared" si="63"/>
        <v>1769040</v>
      </c>
      <c r="R314" s="609"/>
      <c r="S314" s="466">
        <v>0</v>
      </c>
      <c r="T314" s="610"/>
      <c r="U314" s="466">
        <v>0</v>
      </c>
      <c r="V314" s="647">
        <f t="shared" si="64"/>
        <v>49140</v>
      </c>
      <c r="W314" s="611">
        <f t="shared" si="65"/>
        <v>1769040</v>
      </c>
      <c r="X314" s="977">
        <f t="shared" si="58"/>
        <v>0.98280000000000001</v>
      </c>
      <c r="Y314" s="491">
        <v>1800000</v>
      </c>
      <c r="Z314" s="663">
        <f t="shared" si="57"/>
        <v>1769040</v>
      </c>
      <c r="AA314" s="612">
        <f t="shared" si="60"/>
        <v>292</v>
      </c>
      <c r="AB314" s="613">
        <f>IFERROR(INDEX('[14]CN HĐ'!$M$10:$M$73,MATCH(B314,'[14]CN HĐ'!$H$10:$H$73,0)),"")</f>
        <v>0</v>
      </c>
      <c r="AC314" s="108" t="str">
        <f>VLOOKUP(B314,TH.T4!B312:AC642,28,FALSE)</f>
        <v>QTDV</v>
      </c>
      <c r="AD314" s="155"/>
      <c r="AE314" s="108"/>
      <c r="AF314" s="108"/>
      <c r="AG314" s="108"/>
      <c r="AH314" s="108"/>
      <c r="AI314" s="108"/>
      <c r="AJ314" s="108"/>
      <c r="AK314" s="108"/>
      <c r="AL314" s="108"/>
      <c r="AM314" s="108"/>
      <c r="AN314" s="108"/>
      <c r="AO314" s="108"/>
      <c r="AP314" s="108"/>
      <c r="AQ314" s="108"/>
      <c r="AR314" s="108"/>
      <c r="AS314" s="108"/>
      <c r="AT314" s="108"/>
      <c r="AU314" s="108"/>
      <c r="AV314" s="108"/>
      <c r="AW314" s="108"/>
      <c r="AX314" s="108"/>
      <c r="AY314" s="108"/>
      <c r="AZ314" s="108"/>
    </row>
    <row r="315" spans="1:52" s="372" customFormat="1" ht="29.25" customHeight="1">
      <c r="A315" s="30">
        <f>_xlfn.AGGREGATE(4,7,A$22:A314)+1</f>
        <v>293</v>
      </c>
      <c r="B315" s="374" t="s">
        <v>2084</v>
      </c>
      <c r="C315" s="956"/>
      <c r="D315" s="434"/>
      <c r="E315" s="623" t="s">
        <v>2085</v>
      </c>
      <c r="F315" s="81" t="str">
        <f>VLOOKUP(B315,TH.T4!B313:J643,9,FALSE)</f>
        <v>NV Phục vụ</v>
      </c>
      <c r="G315" s="623"/>
      <c r="H315" s="623"/>
      <c r="I315" s="368" t="s">
        <v>2031</v>
      </c>
      <c r="J315" s="605">
        <v>4914000</v>
      </c>
      <c r="K315" s="466">
        <f t="shared" si="62"/>
        <v>1474200</v>
      </c>
      <c r="L315" s="606" t="str">
        <f>VLOOKUP(B315,'[13]Gui chi Quynh'!$B$11:$E$400,4,FALSE)</f>
        <v>A3</v>
      </c>
      <c r="M315" s="466">
        <f t="shared" si="66"/>
        <v>1769040</v>
      </c>
      <c r="N315" s="606">
        <v>26</v>
      </c>
      <c r="O315" s="607">
        <f>IFERROR(INDEX('[14]CN HĐ'!$J$10:$J$72,MATCH(B315,'[14]CN HĐ'!$H$10:$H$74,0)),"")</f>
        <v>26</v>
      </c>
      <c r="P315" s="608" t="e">
        <f>IF(M315&gt;#REF!,M315,#REF!)</f>
        <v>#REF!</v>
      </c>
      <c r="Q315" s="466">
        <f t="shared" si="63"/>
        <v>1769040</v>
      </c>
      <c r="R315" s="609"/>
      <c r="S315" s="466">
        <v>0</v>
      </c>
      <c r="T315" s="610"/>
      <c r="U315" s="466">
        <v>0</v>
      </c>
      <c r="V315" s="647">
        <f t="shared" si="64"/>
        <v>49140</v>
      </c>
      <c r="W315" s="611">
        <f t="shared" si="65"/>
        <v>1769040</v>
      </c>
      <c r="X315" s="977">
        <f t="shared" si="58"/>
        <v>0.98280000000000001</v>
      </c>
      <c r="Y315" s="491">
        <v>1800000</v>
      </c>
      <c r="Z315" s="663">
        <f t="shared" si="57"/>
        <v>1769040</v>
      </c>
      <c r="AA315" s="612">
        <f t="shared" si="60"/>
        <v>293</v>
      </c>
      <c r="AB315" s="613">
        <f>IFERROR(INDEX('[14]CN HĐ'!$M$10:$M$73,MATCH(B315,'[14]CN HĐ'!$H$10:$H$73,0)),"")</f>
        <v>0</v>
      </c>
      <c r="AC315" s="108" t="str">
        <f>VLOOKUP(B315,TH.T4!B313:AC643,28,FALSE)</f>
        <v>QTDV</v>
      </c>
      <c r="AD315" s="155"/>
      <c r="AE315" s="108"/>
      <c r="AF315" s="108"/>
      <c r="AG315" s="108"/>
      <c r="AH315" s="108"/>
      <c r="AI315" s="108"/>
      <c r="AJ315" s="108"/>
      <c r="AK315" s="108"/>
      <c r="AL315" s="108"/>
      <c r="AM315" s="108"/>
      <c r="AN315" s="108"/>
      <c r="AO315" s="108"/>
      <c r="AP315" s="108"/>
      <c r="AQ315" s="108"/>
      <c r="AR315" s="108"/>
      <c r="AS315" s="108"/>
      <c r="AT315" s="108"/>
      <c r="AU315" s="108"/>
      <c r="AV315" s="108"/>
      <c r="AW315" s="108"/>
      <c r="AX315" s="108"/>
      <c r="AY315" s="108"/>
      <c r="AZ315" s="108"/>
    </row>
    <row r="316" spans="1:52" s="372" customFormat="1" ht="29.25" customHeight="1">
      <c r="A316" s="30">
        <f>_xlfn.AGGREGATE(4,7,A$22:A315)+1</f>
        <v>294</v>
      </c>
      <c r="B316" s="374" t="s">
        <v>2086</v>
      </c>
      <c r="C316" s="956"/>
      <c r="D316" s="434"/>
      <c r="E316" s="623"/>
      <c r="F316" s="81" t="str">
        <f>VLOOKUP(B316,TH.T4!B314:J644,9,FALSE)</f>
        <v>Nhân viên phòng Quản trị - Dịch vụ</v>
      </c>
      <c r="G316" s="623"/>
      <c r="H316" s="623"/>
      <c r="I316" s="368" t="s">
        <v>2031</v>
      </c>
      <c r="J316" s="605">
        <v>4914000</v>
      </c>
      <c r="K316" s="466">
        <f t="shared" si="62"/>
        <v>1474200</v>
      </c>
      <c r="L316" s="606" t="str">
        <f>VLOOKUP(B316,'[13]Gui chi Quynh'!$B$11:$E$400,4,FALSE)</f>
        <v>A4</v>
      </c>
      <c r="M316" s="466">
        <f t="shared" si="66"/>
        <v>1474200</v>
      </c>
      <c r="N316" s="606">
        <v>26</v>
      </c>
      <c r="O316" s="607">
        <f>IFERROR(INDEX('[14]CN HĐ'!$J$10:$J$72,MATCH(B316,'[14]CN HĐ'!$H$10:$H$74,0)),"")</f>
        <v>26</v>
      </c>
      <c r="P316" s="608"/>
      <c r="Q316" s="466">
        <f t="shared" si="63"/>
        <v>1474200</v>
      </c>
      <c r="R316" s="609"/>
      <c r="S316" s="466">
        <v>0</v>
      </c>
      <c r="T316" s="610"/>
      <c r="U316" s="466">
        <v>0</v>
      </c>
      <c r="V316" s="647">
        <f t="shared" si="64"/>
        <v>49140</v>
      </c>
      <c r="W316" s="611">
        <f t="shared" si="65"/>
        <v>1474200</v>
      </c>
      <c r="X316" s="977">
        <f t="shared" si="58"/>
        <v>0.81899999999999995</v>
      </c>
      <c r="Y316" s="491">
        <v>1800000</v>
      </c>
      <c r="Z316" s="663">
        <f t="shared" si="57"/>
        <v>1474200</v>
      </c>
      <c r="AA316" s="612">
        <f t="shared" si="60"/>
        <v>294</v>
      </c>
      <c r="AB316" s="613">
        <f>IFERROR(INDEX('[14]CN HĐ'!$M$10:$M$73,MATCH(B316,'[14]CN HĐ'!$H$10:$H$73,0)),"")</f>
        <v>0</v>
      </c>
      <c r="AC316" s="108" t="str">
        <f>VLOOKUP(B316,TH.T4!B314:AC644,28,FALSE)</f>
        <v>QTDV</v>
      </c>
      <c r="AD316" s="155"/>
      <c r="AE316" s="108"/>
      <c r="AF316" s="108"/>
      <c r="AG316" s="108"/>
      <c r="AH316" s="108"/>
      <c r="AI316" s="108"/>
      <c r="AJ316" s="108"/>
      <c r="AK316" s="108"/>
      <c r="AL316" s="108"/>
      <c r="AM316" s="108"/>
      <c r="AN316" s="108"/>
      <c r="AO316" s="108"/>
      <c r="AP316" s="108"/>
      <c r="AQ316" s="108"/>
      <c r="AR316" s="108"/>
      <c r="AS316" s="108"/>
      <c r="AT316" s="108"/>
      <c r="AU316" s="108"/>
      <c r="AV316" s="108"/>
      <c r="AW316" s="108"/>
      <c r="AX316" s="108"/>
      <c r="AY316" s="108"/>
      <c r="AZ316" s="108"/>
    </row>
    <row r="317" spans="1:52" s="372" customFormat="1" ht="29.25" customHeight="1">
      <c r="A317" s="30">
        <f>_xlfn.AGGREGATE(4,7,A$22:A316)+1</f>
        <v>295</v>
      </c>
      <c r="B317" s="374" t="s">
        <v>2087</v>
      </c>
      <c r="C317" s="956"/>
      <c r="D317" s="434"/>
      <c r="E317" s="623"/>
      <c r="F317" s="81" t="str">
        <f>VLOOKUP(B317,TH.T4!B315:J645,9,FALSE)</f>
        <v>Nhân viên phòng Quản trị - Dịch vụ</v>
      </c>
      <c r="G317" s="623"/>
      <c r="H317" s="623"/>
      <c r="I317" s="368" t="s">
        <v>2031</v>
      </c>
      <c r="J317" s="605">
        <v>4914000</v>
      </c>
      <c r="K317" s="466">
        <f t="shared" si="62"/>
        <v>1474200</v>
      </c>
      <c r="L317" s="606" t="str">
        <f>VLOOKUP(B317,'[13]Gui chi Quynh'!$B$11:$E$400,4,FALSE)</f>
        <v>A4</v>
      </c>
      <c r="M317" s="466">
        <f t="shared" si="66"/>
        <v>1474200</v>
      </c>
      <c r="N317" s="606">
        <v>26</v>
      </c>
      <c r="O317" s="607">
        <f>IFERROR(INDEX('[14]CN HĐ'!$J$10:$J$72,MATCH(B317,'[14]CN HĐ'!$H$10:$H$74,0)),"")</f>
        <v>26</v>
      </c>
      <c r="P317" s="608"/>
      <c r="Q317" s="466">
        <f t="shared" si="63"/>
        <v>1474200</v>
      </c>
      <c r="R317" s="609"/>
      <c r="S317" s="466">
        <v>0</v>
      </c>
      <c r="T317" s="610"/>
      <c r="U317" s="466">
        <v>0</v>
      </c>
      <c r="V317" s="647">
        <f t="shared" si="64"/>
        <v>49140</v>
      </c>
      <c r="W317" s="611">
        <f t="shared" si="65"/>
        <v>1474200</v>
      </c>
      <c r="X317" s="977">
        <f t="shared" si="58"/>
        <v>0.81899999999999995</v>
      </c>
      <c r="Y317" s="491">
        <v>1800000</v>
      </c>
      <c r="Z317" s="663">
        <f t="shared" si="57"/>
        <v>1474200</v>
      </c>
      <c r="AA317" s="612">
        <f t="shared" si="60"/>
        <v>295</v>
      </c>
      <c r="AB317" s="613">
        <f>IFERROR(INDEX('[14]CN HĐ'!$M$10:$M$73,MATCH(B317,'[14]CN HĐ'!$H$10:$H$73,0)),"")</f>
        <v>0</v>
      </c>
      <c r="AC317" s="108" t="str">
        <f>VLOOKUP(B317,TH.T4!B315:AC645,28,FALSE)</f>
        <v>QTDV</v>
      </c>
      <c r="AD317" s="155"/>
      <c r="AE317" s="108"/>
      <c r="AF317" s="108"/>
      <c r="AG317" s="108"/>
      <c r="AH317" s="108"/>
      <c r="AI317" s="108"/>
      <c r="AJ317" s="108"/>
      <c r="AK317" s="108"/>
      <c r="AL317" s="108"/>
      <c r="AM317" s="108"/>
      <c r="AN317" s="108"/>
      <c r="AO317" s="108"/>
      <c r="AP317" s="108"/>
      <c r="AQ317" s="108"/>
      <c r="AR317" s="108"/>
      <c r="AS317" s="108"/>
      <c r="AT317" s="108"/>
      <c r="AU317" s="108"/>
      <c r="AV317" s="108"/>
      <c r="AW317" s="108"/>
      <c r="AX317" s="108"/>
      <c r="AY317" s="108"/>
      <c r="AZ317" s="108"/>
    </row>
    <row r="318" spans="1:52" s="372" customFormat="1" ht="29.25" customHeight="1">
      <c r="A318" s="543">
        <f>_xlfn.AGGREGATE(4,7,A$22:A317)+1</f>
        <v>296</v>
      </c>
      <c r="B318" s="962" t="s">
        <v>2245</v>
      </c>
      <c r="C318" s="973"/>
      <c r="D318" s="576"/>
      <c r="E318" s="951"/>
      <c r="F318" s="472" t="s">
        <v>2242</v>
      </c>
      <c r="G318" s="951"/>
      <c r="H318" s="951"/>
      <c r="I318" s="472" t="s">
        <v>2038</v>
      </c>
      <c r="J318" s="627">
        <v>5007600</v>
      </c>
      <c r="K318" s="628">
        <f t="shared" si="62"/>
        <v>3505320</v>
      </c>
      <c r="L318" s="629" t="str">
        <f>VLOOKUP(B318,'[13]Gui chi Quynh'!$B$11:$E$400,4,FALSE)</f>
        <v>A2</v>
      </c>
      <c r="M318" s="628">
        <f t="shared" si="66"/>
        <v>4907448</v>
      </c>
      <c r="N318" s="629">
        <v>26</v>
      </c>
      <c r="O318" s="630">
        <f>IFERROR(INDEX('[14]CN HĐ'!$J$10:$J$72,MATCH(B318,'[14]CN HĐ'!$H$10:$H$74,0)),"")</f>
        <v>26</v>
      </c>
      <c r="P318" s="631"/>
      <c r="Q318" s="628">
        <f t="shared" si="63"/>
        <v>4907448</v>
      </c>
      <c r="R318" s="632"/>
      <c r="S318" s="628">
        <v>0</v>
      </c>
      <c r="T318" s="633"/>
      <c r="U318" s="628">
        <v>0</v>
      </c>
      <c r="V318" s="628">
        <f t="shared" si="64"/>
        <v>50076</v>
      </c>
      <c r="W318" s="952">
        <f t="shared" si="65"/>
        <v>4907448</v>
      </c>
      <c r="X318" s="979">
        <f t="shared" si="58"/>
        <v>2.7263600000000001</v>
      </c>
      <c r="Y318" s="843">
        <v>1800000</v>
      </c>
      <c r="Z318" s="706">
        <f t="shared" si="57"/>
        <v>4907448</v>
      </c>
      <c r="AA318" s="634">
        <f t="shared" si="60"/>
        <v>296</v>
      </c>
      <c r="AB318" s="635" t="s">
        <v>2246</v>
      </c>
      <c r="AC318" s="108" t="s">
        <v>2219</v>
      </c>
      <c r="AD318" s="155"/>
      <c r="AE318" s="108"/>
      <c r="AF318" s="108"/>
      <c r="AG318" s="108"/>
      <c r="AH318" s="108"/>
      <c r="AI318" s="108"/>
      <c r="AJ318" s="108"/>
      <c r="AK318" s="108"/>
      <c r="AL318" s="108"/>
      <c r="AM318" s="108"/>
      <c r="AN318" s="108"/>
      <c r="AO318" s="108"/>
      <c r="AP318" s="108"/>
      <c r="AQ318" s="108"/>
      <c r="AR318" s="108"/>
      <c r="AS318" s="108"/>
      <c r="AT318" s="108"/>
      <c r="AU318" s="108"/>
      <c r="AV318" s="108"/>
      <c r="AW318" s="108"/>
      <c r="AX318" s="108"/>
      <c r="AY318" s="108"/>
      <c r="AZ318" s="108"/>
    </row>
    <row r="319" spans="1:52" s="372" customFormat="1" ht="29.25" customHeight="1">
      <c r="A319" s="30">
        <f>_xlfn.AGGREGATE(4,7,A$22:A318)+1</f>
        <v>297</v>
      </c>
      <c r="B319" s="374" t="s">
        <v>2088</v>
      </c>
      <c r="C319" s="956"/>
      <c r="D319" s="434"/>
      <c r="E319" s="623"/>
      <c r="F319" s="81" t="str">
        <f>VLOOKUP(B319,TH.T4!B317:J647,9,FALSE)</f>
        <v>Nhân viên phòng Quản trị - Dịch vụ</v>
      </c>
      <c r="G319" s="623"/>
      <c r="H319" s="623"/>
      <c r="I319" s="368" t="s">
        <v>2031</v>
      </c>
      <c r="J319" s="605">
        <v>4680000</v>
      </c>
      <c r="K319" s="466">
        <f t="shared" si="62"/>
        <v>1404000</v>
      </c>
      <c r="L319" s="606" t="str">
        <f>VLOOKUP(B319,'[13]Gui chi Quynh'!$B$11:$E$400,4,FALSE)</f>
        <v>A3</v>
      </c>
      <c r="M319" s="466">
        <f t="shared" si="66"/>
        <v>1684800</v>
      </c>
      <c r="N319" s="606">
        <v>26</v>
      </c>
      <c r="O319" s="607">
        <f>IFERROR(INDEX('[14]CN HĐ'!$J$10:$J$72,MATCH(B319,'[14]CN HĐ'!$H$10:$H$74,0)),"")</f>
        <v>26</v>
      </c>
      <c r="P319" s="608"/>
      <c r="Q319" s="466">
        <f t="shared" si="63"/>
        <v>1684800</v>
      </c>
      <c r="R319" s="609"/>
      <c r="S319" s="466">
        <v>0</v>
      </c>
      <c r="T319" s="610"/>
      <c r="U319" s="466">
        <v>0</v>
      </c>
      <c r="V319" s="647">
        <f t="shared" si="64"/>
        <v>46800</v>
      </c>
      <c r="W319" s="611">
        <f t="shared" si="65"/>
        <v>1684800</v>
      </c>
      <c r="X319" s="977">
        <f t="shared" si="58"/>
        <v>0.93600000000000005</v>
      </c>
      <c r="Y319" s="491">
        <v>1800000</v>
      </c>
      <c r="Z319" s="663">
        <f t="shared" si="57"/>
        <v>1684800</v>
      </c>
      <c r="AA319" s="612">
        <f t="shared" si="60"/>
        <v>297</v>
      </c>
      <c r="AB319" s="613">
        <f>IFERROR(INDEX('[14]CN HĐ'!$M$10:$M$73,MATCH(B319,'[14]CN HĐ'!$H$10:$H$73,0)),"")</f>
        <v>0</v>
      </c>
      <c r="AC319" s="108" t="str">
        <f>VLOOKUP(B319,TH.T4!B316:AC646,28,FALSE)</f>
        <v>QTDV</v>
      </c>
      <c r="AD319" s="155"/>
      <c r="AE319" s="108"/>
      <c r="AF319" s="108"/>
      <c r="AG319" s="108"/>
      <c r="AH319" s="108"/>
      <c r="AI319" s="108"/>
      <c r="AJ319" s="108"/>
      <c r="AK319" s="108"/>
      <c r="AL319" s="108"/>
      <c r="AM319" s="108"/>
      <c r="AN319" s="108"/>
      <c r="AO319" s="108"/>
      <c r="AP319" s="108"/>
      <c r="AQ319" s="108"/>
      <c r="AR319" s="108"/>
      <c r="AS319" s="108"/>
      <c r="AT319" s="108"/>
      <c r="AU319" s="108"/>
      <c r="AV319" s="108"/>
      <c r="AW319" s="108"/>
      <c r="AX319" s="108"/>
      <c r="AY319" s="108"/>
      <c r="AZ319" s="108"/>
    </row>
    <row r="320" spans="1:52" s="372" customFormat="1" ht="29.25" customHeight="1">
      <c r="A320" s="379">
        <f>_xlfn.AGGREGATE(4,7,A$22:A319)+1</f>
        <v>298</v>
      </c>
      <c r="B320" s="957" t="s">
        <v>2089</v>
      </c>
      <c r="C320" s="957" t="s">
        <v>307</v>
      </c>
      <c r="D320" s="418" t="s">
        <v>2090</v>
      </c>
      <c r="E320" s="615">
        <v>1603205194204</v>
      </c>
      <c r="F320" s="81" t="str">
        <f>VLOOKUP(B320,TH.T4!B318:J648,9,FALSE)</f>
        <v>Nhân viên Y tế</v>
      </c>
      <c r="G320" s="615"/>
      <c r="H320" s="615"/>
      <c r="I320" s="368" t="s">
        <v>2038</v>
      </c>
      <c r="J320" s="605">
        <v>7046196</v>
      </c>
      <c r="K320" s="466">
        <f t="shared" si="62"/>
        <v>4932337.1999999993</v>
      </c>
      <c r="L320" s="606" t="str">
        <f>VLOOKUP(B320,'[13]Gui chi Quynh'!$B$11:$E$400,4,FALSE)</f>
        <v>A2</v>
      </c>
      <c r="M320" s="466">
        <f t="shared" si="66"/>
        <v>6905272</v>
      </c>
      <c r="N320" s="606">
        <v>26</v>
      </c>
      <c r="O320" s="607">
        <f>IFERROR(INDEX('[14]CN HĐ'!$J$10:$J$72,MATCH(B320,'[14]CN HĐ'!$H$10:$H$74,0)),"")</f>
        <v>26</v>
      </c>
      <c r="P320" s="608" t="e">
        <f>IF(M320&gt;#REF!,M320,#REF!)</f>
        <v>#REF!</v>
      </c>
      <c r="Q320" s="466">
        <f t="shared" si="63"/>
        <v>6905272</v>
      </c>
      <c r="R320" s="609"/>
      <c r="S320" s="466">
        <v>0</v>
      </c>
      <c r="T320" s="610"/>
      <c r="U320" s="466">
        <v>0</v>
      </c>
      <c r="V320" s="466">
        <f t="shared" si="64"/>
        <v>70461.960000000006</v>
      </c>
      <c r="W320" s="611">
        <f t="shared" si="65"/>
        <v>6905272</v>
      </c>
      <c r="X320" s="977">
        <f t="shared" si="58"/>
        <v>3.836262222222222</v>
      </c>
      <c r="Y320" s="491">
        <v>1800000</v>
      </c>
      <c r="Z320" s="663">
        <f t="shared" si="57"/>
        <v>6905272</v>
      </c>
      <c r="AA320" s="612">
        <f t="shared" si="60"/>
        <v>298</v>
      </c>
      <c r="AB320" s="613">
        <f>IFERROR(INDEX('[14]CN HĐ'!$M$10:$M$73,MATCH(B320,'[14]CN HĐ'!$H$10:$H$73,0)),"")</f>
        <v>0</v>
      </c>
      <c r="AC320" s="108" t="str">
        <f>VLOOKUP(B320,TH.T4!B317:AC647,28,FALSE)</f>
        <v>TTYT</v>
      </c>
    </row>
    <row r="321" spans="1:69" s="372" customFormat="1" ht="29.25" customHeight="1">
      <c r="A321" s="30">
        <f>_xlfn.AGGREGATE(4,7,A$22:A320)+1</f>
        <v>299</v>
      </c>
      <c r="B321" s="957" t="s">
        <v>2091</v>
      </c>
      <c r="C321" s="957"/>
      <c r="D321" s="418"/>
      <c r="E321" s="615"/>
      <c r="F321" s="81" t="str">
        <f>VLOOKUP(B321,TH.T4!B319:J649,9,FALSE)</f>
        <v>Nhân viên Ký túc xá</v>
      </c>
      <c r="G321" s="615"/>
      <c r="H321" s="615"/>
      <c r="I321" s="368" t="s">
        <v>2031</v>
      </c>
      <c r="J321" s="605">
        <v>4914000</v>
      </c>
      <c r="K321" s="466">
        <f t="shared" si="62"/>
        <v>1474200</v>
      </c>
      <c r="L321" s="606" t="str">
        <f>VLOOKUP(B321,'[13]Gui chi Quynh'!$B$11:$E$400,4,FALSE)</f>
        <v>A4</v>
      </c>
      <c r="M321" s="466">
        <f t="shared" si="66"/>
        <v>1474200</v>
      </c>
      <c r="N321" s="606">
        <v>26</v>
      </c>
      <c r="O321" s="607">
        <f>IFERROR(INDEX('[14]CN HĐ'!$J$10:$J$72,MATCH(B321,'[14]CN HĐ'!$H$10:$H$74,0)),"")</f>
        <v>24</v>
      </c>
      <c r="P321" s="608"/>
      <c r="Q321" s="466">
        <f t="shared" si="63"/>
        <v>1360800</v>
      </c>
      <c r="R321" s="609"/>
      <c r="S321" s="466">
        <v>0</v>
      </c>
      <c r="T321" s="610"/>
      <c r="U321" s="466">
        <v>0</v>
      </c>
      <c r="V321" s="647">
        <f t="shared" si="64"/>
        <v>49140</v>
      </c>
      <c r="W321" s="611">
        <f t="shared" si="65"/>
        <v>1360800</v>
      </c>
      <c r="X321" s="977">
        <f t="shared" si="58"/>
        <v>0.75600000000000001</v>
      </c>
      <c r="Y321" s="491">
        <v>1800000</v>
      </c>
      <c r="Z321" s="663">
        <f t="shared" si="57"/>
        <v>1360800</v>
      </c>
      <c r="AA321" s="612">
        <f t="shared" si="60"/>
        <v>299</v>
      </c>
      <c r="AB321" s="613" t="str">
        <f>IFERROR(INDEX('[14]CN HĐ'!$M$10:$M$73,MATCH(B321,'[14]CN HĐ'!$H$10:$H$73,0)),"")</f>
        <v>Trừ 1 ngày nghỉ phép 10/5</v>
      </c>
      <c r="AC321" s="108" t="str">
        <f>VLOOKUP(B321,TH.T4!B318:AC648,28,FALSE)</f>
        <v>QTDV</v>
      </c>
      <c r="AD321" s="108"/>
      <c r="AE321" s="108"/>
      <c r="AF321" s="108"/>
      <c r="AG321" s="108"/>
      <c r="AH321" s="108"/>
      <c r="AI321" s="108"/>
      <c r="AJ321" s="108"/>
      <c r="AK321" s="108"/>
      <c r="AL321" s="108"/>
      <c r="AM321" s="108"/>
      <c r="AN321" s="108"/>
      <c r="AO321" s="108"/>
      <c r="AP321" s="108"/>
      <c r="AQ321" s="108"/>
      <c r="AR321" s="108"/>
      <c r="AS321" s="108"/>
      <c r="AT321" s="108"/>
    </row>
    <row r="322" spans="1:69" s="372" customFormat="1" ht="29.25" customHeight="1">
      <c r="A322" s="30">
        <f>_xlfn.AGGREGATE(4,7,A$22:A321)+1</f>
        <v>300</v>
      </c>
      <c r="B322" s="974" t="s">
        <v>2092</v>
      </c>
      <c r="C322" s="974"/>
      <c r="D322" s="418"/>
      <c r="E322" s="614" t="s">
        <v>2093</v>
      </c>
      <c r="F322" s="81" t="str">
        <f>VLOOKUP(B322,TH.T4!B320:J650,9,FALSE)</f>
        <v>Nhân viên</v>
      </c>
      <c r="G322" s="614"/>
      <c r="H322" s="614"/>
      <c r="I322" s="368" t="s">
        <v>2042</v>
      </c>
      <c r="J322" s="605">
        <v>12518663</v>
      </c>
      <c r="K322" s="466">
        <f t="shared" si="62"/>
        <v>8763064.0999999996</v>
      </c>
      <c r="L322" s="606" t="str">
        <f>VLOOKUP(B322,'[13]Gui chi Quynh'!$B$11:$E$400,4,FALSE)</f>
        <v>A1</v>
      </c>
      <c r="M322" s="466">
        <f t="shared" si="66"/>
        <v>14020903</v>
      </c>
      <c r="N322" s="606">
        <v>26</v>
      </c>
      <c r="O322" s="607">
        <f>IFERROR(INDEX('[14]CN HĐ'!$J$10:$J$72,MATCH(B322,'[14]CN HĐ'!$H$10:$H$74,0)),"")</f>
        <v>30</v>
      </c>
      <c r="P322" s="608" t="e">
        <f>IF(M322&gt;#REF!,M322,#REF!)</f>
        <v>#REF!</v>
      </c>
      <c r="Q322" s="466">
        <f t="shared" si="63"/>
        <v>14020903</v>
      </c>
      <c r="R322" s="609"/>
      <c r="S322" s="466">
        <v>0</v>
      </c>
      <c r="T322" s="626"/>
      <c r="U322" s="466">
        <v>0</v>
      </c>
      <c r="V322" s="647">
        <f t="shared" si="64"/>
        <v>125186.63</v>
      </c>
      <c r="W322" s="611">
        <f t="shared" si="65"/>
        <v>14020903</v>
      </c>
      <c r="X322" s="977">
        <f t="shared" si="58"/>
        <v>7.7893905555555554</v>
      </c>
      <c r="Y322" s="491">
        <v>1800000</v>
      </c>
      <c r="Z322" s="663">
        <f t="shared" si="57"/>
        <v>14020903</v>
      </c>
      <c r="AA322" s="612">
        <f t="shared" si="60"/>
        <v>300</v>
      </c>
      <c r="AB322" s="613">
        <f>IFERROR(INDEX('[14]CN HĐ'!$M$10:$M$73,MATCH(B322,'[14]CN HĐ'!$H$10:$H$73,0)),"")</f>
        <v>0</v>
      </c>
      <c r="AC322" s="108" t="str">
        <f>VLOOKUP(B322,TH.T4!B319:AC649,28,FALSE)</f>
        <v>TTĐT</v>
      </c>
      <c r="AD322" s="108"/>
      <c r="AE322" s="108"/>
      <c r="AF322" s="108"/>
      <c r="AG322" s="108"/>
      <c r="AH322" s="108"/>
      <c r="AI322" s="108"/>
      <c r="AJ322" s="108"/>
      <c r="AK322" s="108"/>
      <c r="AL322" s="108"/>
      <c r="AM322" s="108"/>
      <c r="AN322" s="108"/>
      <c r="AO322" s="108"/>
      <c r="AP322" s="108"/>
      <c r="AQ322" s="108"/>
      <c r="AR322" s="108"/>
      <c r="AS322" s="108"/>
      <c r="AT322" s="108"/>
      <c r="AU322" s="108"/>
      <c r="AV322" s="108"/>
      <c r="AW322" s="108"/>
      <c r="AX322" s="108"/>
      <c r="AY322" s="108"/>
      <c r="AZ322" s="108"/>
      <c r="BA322" s="108"/>
      <c r="BB322" s="108"/>
      <c r="BC322" s="108"/>
      <c r="BD322" s="108"/>
      <c r="BE322" s="108"/>
      <c r="BF322" s="108"/>
      <c r="BG322" s="108"/>
      <c r="BH322" s="108"/>
      <c r="BI322" s="108"/>
      <c r="BJ322" s="108"/>
      <c r="BK322" s="108"/>
      <c r="BL322" s="108"/>
      <c r="BM322" s="108"/>
      <c r="BN322" s="108"/>
      <c r="BO322" s="108"/>
      <c r="BP322" s="108"/>
      <c r="BQ322" s="108"/>
    </row>
    <row r="323" spans="1:69" s="372" customFormat="1" ht="29.25" customHeight="1">
      <c r="A323" s="30">
        <f>_xlfn.AGGREGATE(4,7,A$22:A322)+1</f>
        <v>301</v>
      </c>
      <c r="B323" s="957" t="s">
        <v>2094</v>
      </c>
      <c r="C323" s="957" t="s">
        <v>1602</v>
      </c>
      <c r="D323" s="418" t="s">
        <v>2095</v>
      </c>
      <c r="E323" s="604">
        <v>1603205341982</v>
      </c>
      <c r="F323" s="81" t="str">
        <f>VLOOKUP(B323,TH.T4!B321:J651,9,FALSE)</f>
        <v>NV Kế toán</v>
      </c>
      <c r="G323" s="604"/>
      <c r="H323" s="604"/>
      <c r="I323" s="368" t="s">
        <v>2042</v>
      </c>
      <c r="J323" s="605">
        <v>7515057</v>
      </c>
      <c r="K323" s="466">
        <f t="shared" si="62"/>
        <v>5260539.8999999994</v>
      </c>
      <c r="L323" s="606" t="str">
        <f>VLOOKUP(B323,'[13]Gui chi Quynh'!$B$11:$E$400,4,FALSE)</f>
        <v>A3</v>
      </c>
      <c r="M323" s="466">
        <f t="shared" si="66"/>
        <v>6312648</v>
      </c>
      <c r="N323" s="606">
        <v>26</v>
      </c>
      <c r="O323" s="607">
        <f>IFERROR(INDEX('[14]CN HĐ'!$J$10:$J$72,MATCH(B323,'[14]CN HĐ'!$H$10:$H$74,0)),"")</f>
        <v>26</v>
      </c>
      <c r="P323" s="608" t="e">
        <f>IF(M323&gt;#REF!,M323,#REF!)</f>
        <v>#REF!</v>
      </c>
      <c r="Q323" s="466">
        <f t="shared" si="63"/>
        <v>6312648</v>
      </c>
      <c r="R323" s="609"/>
      <c r="S323" s="466">
        <v>0</v>
      </c>
      <c r="T323" s="466" t="e">
        <f>S323*#REF!*0.5</f>
        <v>#REF!</v>
      </c>
      <c r="U323" s="466">
        <v>0</v>
      </c>
      <c r="V323" s="647">
        <f t="shared" si="64"/>
        <v>75150.570000000007</v>
      </c>
      <c r="W323" s="611">
        <f t="shared" si="65"/>
        <v>6312648</v>
      </c>
      <c r="X323" s="977">
        <f t="shared" si="58"/>
        <v>3.5070266666666665</v>
      </c>
      <c r="Y323" s="491">
        <v>1800000</v>
      </c>
      <c r="Z323" s="663">
        <f t="shared" si="57"/>
        <v>6312648</v>
      </c>
      <c r="AA323" s="612">
        <f t="shared" si="60"/>
        <v>301</v>
      </c>
      <c r="AB323" s="613">
        <f>IFERROR(INDEX('[14]CN HĐ'!$M$10:$M$73,MATCH(B323,'[14]CN HĐ'!$H$10:$H$73,0)),"")</f>
        <v>0</v>
      </c>
      <c r="AC323" s="108" t="str">
        <f>VLOOKUP(B323,TH.T4!B320:AC650,28,FALSE)</f>
        <v>KHTC</v>
      </c>
      <c r="AD323" s="108"/>
      <c r="AE323" s="108"/>
      <c r="AF323" s="108"/>
      <c r="AG323" s="108"/>
      <c r="AH323" s="108"/>
      <c r="AI323" s="108"/>
      <c r="AJ323" s="108"/>
      <c r="AK323" s="108"/>
      <c r="AL323" s="108"/>
      <c r="AM323" s="108"/>
      <c r="AN323" s="108"/>
      <c r="AO323" s="108"/>
      <c r="AP323" s="108"/>
      <c r="AQ323" s="108"/>
      <c r="AR323" s="108"/>
      <c r="AS323" s="108"/>
      <c r="AT323" s="108"/>
      <c r="AU323" s="108"/>
      <c r="AV323" s="108"/>
      <c r="AW323" s="108"/>
      <c r="AX323" s="108"/>
      <c r="AY323" s="108"/>
      <c r="AZ323" s="108"/>
    </row>
    <row r="324" spans="1:69" s="372" customFormat="1" ht="29.25" customHeight="1">
      <c r="A324" s="30">
        <f>_xlfn.AGGREGATE(4,7,A$22:A323)+1</f>
        <v>302</v>
      </c>
      <c r="B324" s="957" t="s">
        <v>2096</v>
      </c>
      <c r="C324" s="957"/>
      <c r="D324" s="418"/>
      <c r="E324" s="622" t="s">
        <v>2097</v>
      </c>
      <c r="F324" s="81" t="str">
        <f>VLOOKUP(B324,TH.T4!B322:J652,9,FALSE)</f>
        <v>NV Kế toán</v>
      </c>
      <c r="G324" s="622"/>
      <c r="H324" s="622"/>
      <c r="I324" s="368" t="s">
        <v>2042</v>
      </c>
      <c r="J324" s="605">
        <v>5733201</v>
      </c>
      <c r="K324" s="466">
        <f t="shared" si="62"/>
        <v>4013240.6999999997</v>
      </c>
      <c r="L324" s="606" t="str">
        <f>VLOOKUP(B324,'[13]Gui chi Quynh'!$B$11:$E$400,4,FALSE)</f>
        <v>A2</v>
      </c>
      <c r="M324" s="466">
        <f t="shared" si="66"/>
        <v>5618537</v>
      </c>
      <c r="N324" s="606">
        <v>26</v>
      </c>
      <c r="O324" s="607">
        <f>IFERROR(INDEX('[14]CN HĐ'!$J$10:$J$72,MATCH(B324,'[14]CN HĐ'!$H$10:$H$74,0)),"")</f>
        <v>26</v>
      </c>
      <c r="P324" s="608" t="e">
        <f>IF(M324&gt;#REF!,M324,#REF!)</f>
        <v>#REF!</v>
      </c>
      <c r="Q324" s="466">
        <f t="shared" si="63"/>
        <v>5618537</v>
      </c>
      <c r="R324" s="609"/>
      <c r="S324" s="466">
        <v>0</v>
      </c>
      <c r="T324" s="466"/>
      <c r="U324" s="466">
        <v>0</v>
      </c>
      <c r="V324" s="647">
        <f t="shared" si="64"/>
        <v>57332.01</v>
      </c>
      <c r="W324" s="611">
        <f t="shared" si="65"/>
        <v>5618537</v>
      </c>
      <c r="X324" s="977">
        <f t="shared" si="58"/>
        <v>3.1214094444444442</v>
      </c>
      <c r="Y324" s="491">
        <v>1800000</v>
      </c>
      <c r="Z324" s="663">
        <f t="shared" si="57"/>
        <v>5618537</v>
      </c>
      <c r="AA324" s="612">
        <f t="shared" si="60"/>
        <v>302</v>
      </c>
      <c r="AB324" s="613">
        <f>IFERROR(INDEX('[14]CN HĐ'!$M$10:$M$73,MATCH(B324,'[14]CN HĐ'!$H$10:$H$73,0)),"")</f>
        <v>0</v>
      </c>
      <c r="AC324" s="108" t="str">
        <f>VLOOKUP(B324,TH.T4!B321:AC651,28,FALSE)</f>
        <v>KHTC</v>
      </c>
      <c r="AD324" s="108"/>
      <c r="AE324" s="108"/>
      <c r="AF324" s="108"/>
      <c r="AG324" s="108"/>
      <c r="AH324" s="108"/>
      <c r="AI324" s="108"/>
      <c r="AJ324" s="108"/>
      <c r="AK324" s="108"/>
      <c r="AL324" s="108"/>
      <c r="AM324" s="108"/>
      <c r="AN324" s="108"/>
      <c r="AO324" s="108"/>
      <c r="AP324" s="108"/>
      <c r="AQ324" s="108"/>
      <c r="AR324" s="108"/>
      <c r="AS324" s="108"/>
      <c r="AT324" s="108"/>
      <c r="AU324" s="108"/>
      <c r="AV324" s="108"/>
      <c r="AW324" s="108"/>
      <c r="AX324" s="108"/>
      <c r="AY324" s="108"/>
      <c r="AZ324" s="108"/>
    </row>
    <row r="325" spans="1:69" s="372" customFormat="1" ht="29.25" customHeight="1">
      <c r="A325" s="30">
        <f>_xlfn.AGGREGATE(4,7,A$22:A324)+1</f>
        <v>303</v>
      </c>
      <c r="B325" s="957" t="s">
        <v>2098</v>
      </c>
      <c r="C325" s="957"/>
      <c r="D325" s="418"/>
      <c r="E325" s="615"/>
      <c r="F325" s="81" t="str">
        <f>VLOOKUP(B325,TH.T4!B323:J653,9,FALSE)</f>
        <v>NV Kế toán</v>
      </c>
      <c r="G325" s="615"/>
      <c r="H325" s="615"/>
      <c r="I325" s="368" t="s">
        <v>2042</v>
      </c>
      <c r="J325" s="605">
        <v>5733201</v>
      </c>
      <c r="K325" s="466">
        <f t="shared" si="62"/>
        <v>4013240.6999999997</v>
      </c>
      <c r="L325" s="606" t="str">
        <f>VLOOKUP(B325,'[13]Gui chi Quynh'!$B$11:$E$400,4,FALSE)</f>
        <v>A2</v>
      </c>
      <c r="M325" s="466">
        <f t="shared" si="66"/>
        <v>5618537</v>
      </c>
      <c r="N325" s="606">
        <v>26</v>
      </c>
      <c r="O325" s="607">
        <f>IFERROR(INDEX('[14]CN HĐ'!$J$10:$J$72,MATCH(B325,'[14]CN HĐ'!$H$10:$H$74,0)),"")</f>
        <v>26</v>
      </c>
      <c r="P325" s="608"/>
      <c r="Q325" s="466">
        <f t="shared" si="63"/>
        <v>5618537</v>
      </c>
      <c r="R325" s="609"/>
      <c r="S325" s="466">
        <v>0</v>
      </c>
      <c r="T325" s="466"/>
      <c r="U325" s="466">
        <v>0</v>
      </c>
      <c r="V325" s="647">
        <f t="shared" si="64"/>
        <v>57332.01</v>
      </c>
      <c r="W325" s="611">
        <f t="shared" si="65"/>
        <v>5618537</v>
      </c>
      <c r="X325" s="977">
        <f t="shared" si="58"/>
        <v>3.1214094444444442</v>
      </c>
      <c r="Y325" s="491">
        <v>1800000</v>
      </c>
      <c r="Z325" s="663">
        <f t="shared" si="57"/>
        <v>5618537</v>
      </c>
      <c r="AA325" s="612">
        <f t="shared" si="60"/>
        <v>303</v>
      </c>
      <c r="AB325" s="613">
        <f>IFERROR(INDEX('[14]CN HĐ'!$M$10:$M$73,MATCH(B325,'[14]CN HĐ'!$H$10:$H$73,0)),"")</f>
        <v>0</v>
      </c>
      <c r="AC325" s="108" t="str">
        <f>VLOOKUP(B325,TH.T4!B322:AC652,28,FALSE)</f>
        <v>KHTC</v>
      </c>
      <c r="AD325" s="108"/>
      <c r="AE325" s="108"/>
      <c r="AF325" s="108"/>
      <c r="AG325" s="108"/>
      <c r="AH325" s="108"/>
      <c r="AI325" s="108"/>
      <c r="AJ325" s="108"/>
      <c r="AK325" s="108"/>
      <c r="AL325" s="108"/>
      <c r="AM325" s="108"/>
      <c r="AN325" s="108"/>
      <c r="AO325" s="108"/>
      <c r="AP325" s="108"/>
      <c r="AQ325" s="108"/>
      <c r="AR325" s="108"/>
      <c r="AS325" s="108"/>
      <c r="AT325" s="108"/>
      <c r="AU325" s="108"/>
      <c r="AV325" s="108"/>
      <c r="AW325" s="108"/>
      <c r="AX325" s="108"/>
      <c r="AY325" s="108"/>
      <c r="AZ325" s="108"/>
    </row>
    <row r="326" spans="1:69" s="372" customFormat="1" ht="29.25" customHeight="1">
      <c r="A326" s="30">
        <f>_xlfn.AGGREGATE(4,7,A$22:A325)+1</f>
        <v>304</v>
      </c>
      <c r="B326" s="957" t="s">
        <v>2099</v>
      </c>
      <c r="C326" s="957"/>
      <c r="D326" s="418"/>
      <c r="E326" s="615"/>
      <c r="F326" s="81" t="str">
        <f>VLOOKUP(B326,TH.T4!B324:J654,9,FALSE)</f>
        <v>NV Kế toán</v>
      </c>
      <c r="G326" s="615"/>
      <c r="H326" s="615"/>
      <c r="I326" s="368" t="s">
        <v>2042</v>
      </c>
      <c r="J326" s="605">
        <v>5358132</v>
      </c>
      <c r="K326" s="466">
        <f t="shared" si="62"/>
        <v>3750692.4</v>
      </c>
      <c r="L326" s="606" t="str">
        <f>VLOOKUP(B326,'[13]Gui chi Quynh'!$B$11:$E$400,4,FALSE)</f>
        <v>A2</v>
      </c>
      <c r="M326" s="466">
        <f t="shared" si="66"/>
        <v>5250969</v>
      </c>
      <c r="N326" s="606">
        <v>26</v>
      </c>
      <c r="O326" s="607">
        <f>IFERROR(INDEX('[14]CN HĐ'!$J$10:$J$72,MATCH(B326,'[14]CN HĐ'!$H$10:$H$74,0)),"")</f>
        <v>26</v>
      </c>
      <c r="P326" s="608"/>
      <c r="Q326" s="466">
        <f t="shared" si="63"/>
        <v>5250969</v>
      </c>
      <c r="R326" s="609"/>
      <c r="S326" s="466">
        <v>0</v>
      </c>
      <c r="T326" s="466"/>
      <c r="U326" s="466">
        <v>0</v>
      </c>
      <c r="V326" s="647">
        <f t="shared" si="64"/>
        <v>53581.32</v>
      </c>
      <c r="W326" s="611">
        <f t="shared" si="65"/>
        <v>5250969</v>
      </c>
      <c r="X326" s="977">
        <f t="shared" si="58"/>
        <v>2.917205</v>
      </c>
      <c r="Y326" s="491">
        <v>1800000</v>
      </c>
      <c r="Z326" s="663">
        <f t="shared" si="57"/>
        <v>5250969</v>
      </c>
      <c r="AA326" s="612">
        <f t="shared" si="60"/>
        <v>304</v>
      </c>
      <c r="AB326" s="613">
        <f>IFERROR(INDEX('[14]CN HĐ'!$M$10:$M$73,MATCH(B326,'[14]CN HĐ'!$H$10:$H$73,0)),"")</f>
        <v>0</v>
      </c>
      <c r="AC326" s="108" t="str">
        <f>VLOOKUP(B326,TH.T4!B323:AC653,28,FALSE)</f>
        <v>KHTC</v>
      </c>
      <c r="AD326" s="108"/>
      <c r="AE326" s="108"/>
      <c r="AF326" s="108"/>
      <c r="AG326" s="108"/>
      <c r="AH326" s="108"/>
      <c r="AI326" s="108"/>
      <c r="AJ326" s="108"/>
      <c r="AK326" s="108"/>
      <c r="AL326" s="108"/>
      <c r="AM326" s="108"/>
      <c r="AN326" s="108"/>
      <c r="AO326" s="108"/>
      <c r="AP326" s="108"/>
      <c r="AQ326" s="108"/>
      <c r="AR326" s="108"/>
      <c r="AS326" s="108"/>
      <c r="AT326" s="108"/>
    </row>
    <row r="327" spans="1:69" s="372" customFormat="1" ht="29.25" customHeight="1">
      <c r="A327" s="30">
        <f>_xlfn.AGGREGATE(4,7,A$22:A326)+1</f>
        <v>305</v>
      </c>
      <c r="B327" s="974" t="s">
        <v>2100</v>
      </c>
      <c r="C327" s="974" t="s">
        <v>1053</v>
      </c>
      <c r="D327" s="418" t="s">
        <v>2101</v>
      </c>
      <c r="E327" s="614">
        <v>1603205399011</v>
      </c>
      <c r="F327" s="81" t="str">
        <f>VLOOKUP(B327,TH.T4!B325:J655,9,FALSE)</f>
        <v>Nhân viên</v>
      </c>
      <c r="G327" s="614"/>
      <c r="H327" s="614"/>
      <c r="I327" s="81" t="s">
        <v>2042</v>
      </c>
      <c r="J327" s="605">
        <v>8041111</v>
      </c>
      <c r="K327" s="466">
        <f t="shared" si="62"/>
        <v>5628777.6999999993</v>
      </c>
      <c r="L327" s="606" t="str">
        <f>VLOOKUP(B327,'[13]Gui chi Quynh'!$B$11:$E$400,4,FALSE)</f>
        <v>A4</v>
      </c>
      <c r="M327" s="466">
        <f t="shared" si="66"/>
        <v>5628778</v>
      </c>
      <c r="N327" s="606">
        <v>26</v>
      </c>
      <c r="O327" s="607">
        <f>IFERROR(INDEX('[14]CN HĐ'!$J$10:$J$72,MATCH(B327,'[14]CN HĐ'!$H$10:$H$74,0)),"")</f>
        <v>26</v>
      </c>
      <c r="P327" s="608" t="e">
        <f>IF(M327&gt;#REF!,M327,#REF!)</f>
        <v>#REF!</v>
      </c>
      <c r="Q327" s="466">
        <f t="shared" si="63"/>
        <v>5628778</v>
      </c>
      <c r="R327" s="609"/>
      <c r="S327" s="466">
        <v>0</v>
      </c>
      <c r="T327" s="626"/>
      <c r="U327" s="466">
        <v>0</v>
      </c>
      <c r="V327" s="647">
        <f t="shared" si="64"/>
        <v>80411.11</v>
      </c>
      <c r="W327" s="611">
        <f t="shared" si="65"/>
        <v>5628778</v>
      </c>
      <c r="X327" s="977">
        <f t="shared" si="58"/>
        <v>3.1270988888888889</v>
      </c>
      <c r="Y327" s="491">
        <v>1800000</v>
      </c>
      <c r="Z327" s="663">
        <f t="shared" si="57"/>
        <v>5628778</v>
      </c>
      <c r="AA327" s="612">
        <f t="shared" si="60"/>
        <v>305</v>
      </c>
      <c r="AB327" s="613">
        <f>IFERROR(INDEX('[14]CN HĐ'!$M$10:$M$73,MATCH(B327,'[14]CN HĐ'!$H$10:$H$73,0)),"")</f>
        <v>0</v>
      </c>
      <c r="AC327" s="108" t="str">
        <f>VLOOKUP(B327,TH.T4!B324:AC654,28,FALSE)</f>
        <v>TTrGD</v>
      </c>
      <c r="AD327" s="108"/>
      <c r="AE327" s="108"/>
      <c r="AF327" s="108"/>
      <c r="AG327" s="108"/>
      <c r="AH327" s="108"/>
      <c r="AI327" s="108"/>
      <c r="AJ327" s="108"/>
      <c r="AK327" s="108"/>
      <c r="AL327" s="108"/>
      <c r="AM327" s="108"/>
      <c r="AN327" s="108"/>
      <c r="AO327" s="108"/>
      <c r="AP327" s="108"/>
      <c r="AQ327" s="108"/>
      <c r="AR327" s="108"/>
      <c r="AS327" s="108"/>
      <c r="AT327" s="108"/>
      <c r="AU327" s="108"/>
      <c r="AV327" s="108"/>
      <c r="AW327" s="108"/>
      <c r="AX327" s="108"/>
      <c r="AY327" s="108"/>
      <c r="AZ327" s="108"/>
      <c r="BA327" s="108"/>
      <c r="BB327" s="108"/>
      <c r="BC327" s="108"/>
      <c r="BD327" s="108"/>
      <c r="BE327" s="108"/>
      <c r="BF327" s="108"/>
      <c r="BG327" s="108"/>
      <c r="BH327" s="108"/>
      <c r="BI327" s="108"/>
      <c r="BJ327" s="108"/>
      <c r="BK327" s="108"/>
      <c r="BL327" s="108"/>
      <c r="BM327" s="108"/>
      <c r="BN327" s="108"/>
      <c r="BO327" s="108"/>
      <c r="BP327" s="108"/>
      <c r="BQ327" s="108"/>
    </row>
    <row r="328" spans="1:69" s="372" customFormat="1" ht="29.25" customHeight="1">
      <c r="A328" s="30">
        <f>_xlfn.AGGREGATE(4,7,A$22:A327)+1</f>
        <v>306</v>
      </c>
      <c r="B328" s="957" t="s">
        <v>2102</v>
      </c>
      <c r="C328" s="957" t="s">
        <v>2103</v>
      </c>
      <c r="D328" s="418" t="s">
        <v>2104</v>
      </c>
      <c r="E328" s="604" t="s">
        <v>2105</v>
      </c>
      <c r="F328" s="81" t="str">
        <f>VLOOKUP(B328,TH.T4!B326:J656,9,FALSE)</f>
        <v>NV Phòng Quản trị - Dịch vụ</v>
      </c>
      <c r="G328" s="604"/>
      <c r="H328" s="604"/>
      <c r="I328" s="368" t="s">
        <v>2038</v>
      </c>
      <c r="J328" s="605">
        <v>6086769</v>
      </c>
      <c r="K328" s="466">
        <f t="shared" si="62"/>
        <v>4260738.3</v>
      </c>
      <c r="L328" s="606" t="str">
        <f>VLOOKUP(B328,'[13]Gui chi Quynh'!$B$11:$E$400,4,FALSE)</f>
        <v>A3</v>
      </c>
      <c r="M328" s="466">
        <f t="shared" si="66"/>
        <v>5112886</v>
      </c>
      <c r="N328" s="606">
        <v>26</v>
      </c>
      <c r="O328" s="607">
        <f>IFERROR(INDEX('[14]CN HĐ'!$J$10:$J$72,MATCH(B328,'[14]CN HĐ'!$H$10:$H$74,0)),"")</f>
        <v>25</v>
      </c>
      <c r="P328" s="608" t="e">
        <f>IF(M328&gt;#REF!,M328,#REF!)</f>
        <v>#REF!</v>
      </c>
      <c r="Q328" s="466">
        <f t="shared" si="63"/>
        <v>4916237</v>
      </c>
      <c r="R328" s="609"/>
      <c r="S328" s="466">
        <v>0</v>
      </c>
      <c r="T328" s="610"/>
      <c r="U328" s="466">
        <v>0</v>
      </c>
      <c r="V328" s="647">
        <f t="shared" si="64"/>
        <v>60867.69</v>
      </c>
      <c r="W328" s="611">
        <f t="shared" si="65"/>
        <v>4916237</v>
      </c>
      <c r="X328" s="977">
        <f t="shared" si="58"/>
        <v>2.7312427777777777</v>
      </c>
      <c r="Y328" s="491">
        <v>1800000</v>
      </c>
      <c r="Z328" s="663">
        <f t="shared" si="57"/>
        <v>4916237</v>
      </c>
      <c r="AA328" s="612">
        <f t="shared" si="60"/>
        <v>306</v>
      </c>
      <c r="AB328" s="613" t="str">
        <f>IFERROR(INDEX('[14]CN HĐ'!$M$10:$M$73,MATCH(B328,'[14]CN HĐ'!$H$10:$H$73,0)),"")</f>
        <v>Trừ 1 ngày nghỉ phép 22/5</v>
      </c>
      <c r="AC328" s="108" t="str">
        <f>VLOOKUP(B328,TH.T4!B325:AC655,28,FALSE)</f>
        <v>QTDV</v>
      </c>
      <c r="AD328" s="108"/>
      <c r="AE328" s="108"/>
      <c r="AF328" s="108"/>
      <c r="AG328" s="108"/>
      <c r="AH328" s="108"/>
      <c r="AI328" s="108"/>
      <c r="AJ328" s="108"/>
      <c r="AK328" s="108"/>
      <c r="AL328" s="108"/>
      <c r="AM328" s="108"/>
      <c r="AN328" s="108"/>
      <c r="AO328" s="108"/>
      <c r="AP328" s="108"/>
      <c r="AQ328" s="108"/>
      <c r="AR328" s="108"/>
      <c r="AS328" s="108"/>
      <c r="AT328" s="108"/>
      <c r="AU328" s="108"/>
      <c r="AV328" s="108"/>
      <c r="AW328" s="108"/>
      <c r="AX328" s="108"/>
      <c r="AY328" s="108"/>
      <c r="AZ328" s="108"/>
    </row>
    <row r="329" spans="1:69" s="372" customFormat="1" ht="33.75" customHeight="1">
      <c r="A329" s="30">
        <f>_xlfn.AGGREGATE(4,7,A$22:A328)+1</f>
        <v>307</v>
      </c>
      <c r="B329" s="957" t="s">
        <v>2106</v>
      </c>
      <c r="C329" s="957" t="s">
        <v>891</v>
      </c>
      <c r="D329" s="418" t="s">
        <v>2107</v>
      </c>
      <c r="E329" s="615">
        <v>1603205192034</v>
      </c>
      <c r="F329" s="81" t="str">
        <f>VLOOKUP(B329,TH.T4!B327:J657,9,FALSE)</f>
        <v>Nhân viên phòng Thanh tra GD - Quan hệ DN</v>
      </c>
      <c r="G329" s="615"/>
      <c r="H329" s="615"/>
      <c r="I329" s="368" t="s">
        <v>2038</v>
      </c>
      <c r="J329" s="605">
        <v>6086769</v>
      </c>
      <c r="K329" s="466">
        <f t="shared" si="62"/>
        <v>4260738.3</v>
      </c>
      <c r="L329" s="606" t="str">
        <f>VLOOKUP(B329,'[13]Gui chi Quynh'!$B$11:$E$400,4,FALSE)</f>
        <v>A3</v>
      </c>
      <c r="M329" s="466">
        <f t="shared" si="66"/>
        <v>5112886</v>
      </c>
      <c r="N329" s="606">
        <v>26</v>
      </c>
      <c r="O329" s="607">
        <f>IFERROR(INDEX('[14]CN HĐ'!$J$10:$J$72,MATCH(B329,'[14]CN HĐ'!$H$10:$H$74,0)),"")</f>
        <v>27</v>
      </c>
      <c r="P329" s="608" t="e">
        <f>IF(M329&gt;#REF!,M329,#REF!)</f>
        <v>#REF!</v>
      </c>
      <c r="Q329" s="466">
        <f t="shared" si="63"/>
        <v>5112886</v>
      </c>
      <c r="R329" s="609"/>
      <c r="S329" s="466">
        <v>0</v>
      </c>
      <c r="T329" s="610"/>
      <c r="U329" s="466">
        <v>0</v>
      </c>
      <c r="V329" s="647">
        <f t="shared" si="64"/>
        <v>60867.69</v>
      </c>
      <c r="W329" s="611">
        <f t="shared" si="65"/>
        <v>5112886</v>
      </c>
      <c r="X329" s="977">
        <f t="shared" si="58"/>
        <v>2.8404922222222222</v>
      </c>
      <c r="Y329" s="491">
        <v>1800000</v>
      </c>
      <c r="Z329" s="663">
        <f t="shared" si="57"/>
        <v>5112886</v>
      </c>
      <c r="AA329" s="612">
        <f t="shared" si="60"/>
        <v>307</v>
      </c>
      <c r="AB329" s="613">
        <f>IFERROR(INDEX('[14]CN HĐ'!$M$10:$M$73,MATCH(B329,'[14]CN HĐ'!$H$10:$H$73,0)),"")</f>
        <v>0</v>
      </c>
      <c r="AC329" s="108" t="str">
        <f>VLOOKUP(B329,TH.T4!B326:AC656,28,FALSE)</f>
        <v>TTrGD</v>
      </c>
      <c r="AD329" s="108"/>
      <c r="AE329" s="108"/>
      <c r="AF329" s="108"/>
      <c r="AG329" s="108"/>
      <c r="AH329" s="108"/>
      <c r="AI329" s="108"/>
      <c r="AJ329" s="108"/>
      <c r="AK329" s="108"/>
      <c r="AL329" s="108"/>
      <c r="AM329" s="108"/>
      <c r="AN329" s="108"/>
      <c r="AO329" s="108"/>
      <c r="AP329" s="108"/>
      <c r="AQ329" s="108"/>
      <c r="AR329" s="108"/>
      <c r="AS329" s="108"/>
      <c r="AT329" s="108"/>
      <c r="AU329" s="108"/>
      <c r="AV329" s="108"/>
      <c r="AW329" s="108"/>
      <c r="AX329" s="108"/>
      <c r="AY329" s="108"/>
      <c r="AZ329" s="108"/>
    </row>
    <row r="330" spans="1:69" s="372" customFormat="1" ht="33.75" customHeight="1">
      <c r="A330" s="30">
        <f>_xlfn.AGGREGATE(4,7,A$22:A329)+1</f>
        <v>308</v>
      </c>
      <c r="B330" s="957" t="s">
        <v>2108</v>
      </c>
      <c r="C330" s="957"/>
      <c r="D330" s="418"/>
      <c r="E330" s="615"/>
      <c r="F330" s="81" t="str">
        <f>VLOOKUP(B330,TH.T4!B328:J658,9,FALSE)</f>
        <v>Nhân viên phòng Thanh tra GD - Quan hệ DN</v>
      </c>
      <c r="G330" s="615"/>
      <c r="H330" s="615"/>
      <c r="I330" s="368" t="s">
        <v>2042</v>
      </c>
      <c r="J330" s="605">
        <v>5733201</v>
      </c>
      <c r="K330" s="466">
        <f t="shared" si="62"/>
        <v>4013240.6999999997</v>
      </c>
      <c r="L330" s="606" t="str">
        <f>VLOOKUP(B330,'[13]Gui chi Quynh'!$B$11:$E$400,4,FALSE)</f>
        <v>A2</v>
      </c>
      <c r="M330" s="466">
        <f t="shared" si="66"/>
        <v>5618537</v>
      </c>
      <c r="N330" s="606">
        <v>26</v>
      </c>
      <c r="O330" s="607">
        <f>IFERROR(INDEX('[14]CN HĐ'!$J$10:$J$72,MATCH(B330,'[14]CN HĐ'!$H$10:$H$74,0)),"")</f>
        <v>26</v>
      </c>
      <c r="P330" s="608" t="e">
        <f>IF(M330&gt;#REF!,M330,#REF!)</f>
        <v>#REF!</v>
      </c>
      <c r="Q330" s="466">
        <f t="shared" si="63"/>
        <v>5618537</v>
      </c>
      <c r="R330" s="609"/>
      <c r="S330" s="466">
        <v>0</v>
      </c>
      <c r="T330" s="610"/>
      <c r="U330" s="466">
        <v>0</v>
      </c>
      <c r="V330" s="647">
        <f t="shared" si="64"/>
        <v>57332.01</v>
      </c>
      <c r="W330" s="611">
        <f t="shared" si="65"/>
        <v>5618537</v>
      </c>
      <c r="X330" s="977">
        <f t="shared" si="58"/>
        <v>3.1214094444444442</v>
      </c>
      <c r="Y330" s="491">
        <v>1800000</v>
      </c>
      <c r="Z330" s="663">
        <f t="shared" si="57"/>
        <v>5618537</v>
      </c>
      <c r="AA330" s="612">
        <f t="shared" si="60"/>
        <v>308</v>
      </c>
      <c r="AB330" s="613">
        <f>IFERROR(INDEX('[14]CN HĐ'!$M$10:$M$73,MATCH(B330,'[14]CN HĐ'!$H$10:$H$73,0)),"")</f>
        <v>0</v>
      </c>
      <c r="AC330" s="108" t="str">
        <f>VLOOKUP(B330,TH.T4!B327:AC657,28,FALSE)</f>
        <v>TTrGD</v>
      </c>
      <c r="AD330" s="108"/>
      <c r="AE330" s="108"/>
      <c r="AF330" s="108"/>
      <c r="AG330" s="108"/>
      <c r="AH330" s="108"/>
      <c r="AI330" s="108"/>
      <c r="AJ330" s="108"/>
      <c r="AK330" s="108"/>
      <c r="AL330" s="108"/>
      <c r="AM330" s="108"/>
      <c r="AN330" s="108"/>
      <c r="AO330" s="108"/>
      <c r="AP330" s="108"/>
      <c r="AQ330" s="108"/>
      <c r="AR330" s="108"/>
      <c r="AS330" s="108"/>
      <c r="AT330" s="108"/>
      <c r="AU330" s="108"/>
      <c r="AV330" s="108"/>
      <c r="AW330" s="108"/>
      <c r="AX330" s="108"/>
      <c r="AY330" s="108"/>
      <c r="AZ330" s="108"/>
    </row>
    <row r="331" spans="1:69" s="372" customFormat="1" ht="33.75" customHeight="1">
      <c r="A331" s="379">
        <f>_xlfn.AGGREGATE(4,7,A$22:A330)+1</f>
        <v>309</v>
      </c>
      <c r="B331" s="957" t="s">
        <v>2109</v>
      </c>
      <c r="C331" s="957"/>
      <c r="D331" s="418"/>
      <c r="E331" s="615"/>
      <c r="F331" s="81" t="str">
        <f>VLOOKUP(B331,TH.T4!B329:J659,9,FALSE)</f>
        <v>Nhân viên phòng Thanh tra GD - Quan hệ DN</v>
      </c>
      <c r="G331" s="615"/>
      <c r="H331" s="615"/>
      <c r="I331" s="368" t="s">
        <v>2038</v>
      </c>
      <c r="J331" s="605">
        <v>5257980</v>
      </c>
      <c r="K331" s="466">
        <f t="shared" si="62"/>
        <v>3680585.9999999995</v>
      </c>
      <c r="L331" s="606" t="str">
        <f>VLOOKUP(B331,'[13]Gui chi Quynh'!$B$11:$E$400,4,FALSE)</f>
        <v>A3</v>
      </c>
      <c r="M331" s="466">
        <f t="shared" si="66"/>
        <v>4416703</v>
      </c>
      <c r="N331" s="606">
        <v>26</v>
      </c>
      <c r="O331" s="607">
        <f>IFERROR(INDEX('[14]CN HĐ'!$J$10:$J$72,MATCH(B331,'[14]CN HĐ'!$H$10:$H$74,0)),"")</f>
        <v>26</v>
      </c>
      <c r="P331" s="608"/>
      <c r="Q331" s="466">
        <f t="shared" si="63"/>
        <v>4416703</v>
      </c>
      <c r="R331" s="609"/>
      <c r="S331" s="466">
        <v>0</v>
      </c>
      <c r="T331" s="610"/>
      <c r="U331" s="466">
        <v>0</v>
      </c>
      <c r="V331" s="466">
        <f t="shared" si="64"/>
        <v>52579.8</v>
      </c>
      <c r="W331" s="611">
        <f t="shared" si="65"/>
        <v>4416703</v>
      </c>
      <c r="X331" s="977">
        <f t="shared" si="58"/>
        <v>2.4537238888888888</v>
      </c>
      <c r="Y331" s="491">
        <v>1800000</v>
      </c>
      <c r="Z331" s="663">
        <f t="shared" si="57"/>
        <v>4416703</v>
      </c>
      <c r="AA331" s="612">
        <f t="shared" si="60"/>
        <v>309</v>
      </c>
      <c r="AB331" s="613">
        <f>IFERROR(INDEX('[14]CN HĐ'!$M$10:$M$73,MATCH(B331,'[14]CN HĐ'!$H$10:$H$73,0)),"")</f>
        <v>0</v>
      </c>
      <c r="AC331" s="108" t="str">
        <f>VLOOKUP(B331,TH.T4!B328:AC658,28,FALSE)</f>
        <v>TTrGD</v>
      </c>
    </row>
    <row r="332" spans="1:69" s="372" customFormat="1" ht="33.75" customHeight="1">
      <c r="A332" s="379">
        <f>_xlfn.AGGREGATE(4,7,A$22:A331)+1</f>
        <v>310</v>
      </c>
      <c r="B332" s="957" t="s">
        <v>2110</v>
      </c>
      <c r="C332" s="957" t="s">
        <v>2111</v>
      </c>
      <c r="D332" s="418" t="s">
        <v>2112</v>
      </c>
      <c r="E332" s="615">
        <v>1603205355935</v>
      </c>
      <c r="F332" s="81" t="str">
        <f>VLOOKUP(B332,TH.T4!B330:J660,9,FALSE)</f>
        <v>Nhân viên phòng Quản trị - Dịch vụ</v>
      </c>
      <c r="G332" s="615"/>
      <c r="H332" s="615"/>
      <c r="I332" s="368" t="s">
        <v>2038</v>
      </c>
      <c r="J332" s="605">
        <v>5520879</v>
      </c>
      <c r="K332" s="466">
        <f t="shared" si="62"/>
        <v>3864615.3</v>
      </c>
      <c r="L332" s="606" t="str">
        <f>VLOOKUP(B332,'[13]Gui chi Quynh'!$B$11:$E$400,4,FALSE)</f>
        <v>A4</v>
      </c>
      <c r="M332" s="466">
        <f t="shared" si="66"/>
        <v>3864615</v>
      </c>
      <c r="N332" s="606">
        <v>26</v>
      </c>
      <c r="O332" s="607">
        <f>IFERROR(INDEX('[14]CN HĐ'!$J$10:$J$72,MATCH(B332,'[14]CN HĐ'!$H$10:$H$74,0)),"")</f>
        <v>26</v>
      </c>
      <c r="P332" s="608" t="e">
        <f>IF(M332&gt;#REF!,M332,#REF!)</f>
        <v>#REF!</v>
      </c>
      <c r="Q332" s="466">
        <f t="shared" si="63"/>
        <v>3864615</v>
      </c>
      <c r="R332" s="609"/>
      <c r="S332" s="466">
        <v>0</v>
      </c>
      <c r="T332" s="610"/>
      <c r="U332" s="466">
        <v>0</v>
      </c>
      <c r="V332" s="466">
        <f t="shared" si="64"/>
        <v>55208.79</v>
      </c>
      <c r="W332" s="611">
        <f t="shared" si="65"/>
        <v>3864615</v>
      </c>
      <c r="X332" s="977">
        <f t="shared" si="58"/>
        <v>2.1470083333333334</v>
      </c>
      <c r="Y332" s="491">
        <v>1800000</v>
      </c>
      <c r="Z332" s="663">
        <f t="shared" si="57"/>
        <v>3864615</v>
      </c>
      <c r="AA332" s="612">
        <f t="shared" si="60"/>
        <v>310</v>
      </c>
      <c r="AB332" s="613">
        <f>IFERROR(INDEX('[14]CN HĐ'!$M$10:$M$73,MATCH(B332,'[14]CN HĐ'!$H$10:$H$73,0)),"")</f>
        <v>0</v>
      </c>
      <c r="AC332" s="108" t="str">
        <f>VLOOKUP(B332,TH.T4!B329:AC659,28,FALSE)</f>
        <v>QTDV</v>
      </c>
    </row>
    <row r="333" spans="1:69" s="372" customFormat="1" ht="33.75" customHeight="1">
      <c r="A333" s="30">
        <f>_xlfn.AGGREGATE(4,7,A$22:A332)+1</f>
        <v>311</v>
      </c>
      <c r="B333" s="957" t="s">
        <v>2113</v>
      </c>
      <c r="C333" s="957"/>
      <c r="D333" s="418"/>
      <c r="E333" s="604">
        <v>1603205639363</v>
      </c>
      <c r="F333" s="81" t="str">
        <f>VLOOKUP(B333,TH.T4!B331:J661,9,FALSE)</f>
        <v>Nhân viên phòng Thanh tra GD - Quan hệ DN</v>
      </c>
      <c r="G333" s="604"/>
      <c r="H333" s="604"/>
      <c r="I333" s="368" t="s">
        <v>2042</v>
      </c>
      <c r="J333" s="605">
        <v>5733201</v>
      </c>
      <c r="K333" s="466">
        <f t="shared" si="62"/>
        <v>4013240.6999999997</v>
      </c>
      <c r="L333" s="606" t="str">
        <f>VLOOKUP(B333,'[13]Gui chi Quynh'!$B$11:$E$400,4,FALSE)</f>
        <v>A4</v>
      </c>
      <c r="M333" s="466">
        <f t="shared" si="66"/>
        <v>4013241</v>
      </c>
      <c r="N333" s="606">
        <v>26</v>
      </c>
      <c r="O333" s="607">
        <f>IFERROR(INDEX('[14]CN HĐ'!$J$10:$J$72,MATCH(B333,'[14]CN HĐ'!$H$10:$H$74,0)),"")</f>
        <v>26</v>
      </c>
      <c r="P333" s="608" t="e">
        <f>IF(M333&gt;#REF!,M333,#REF!)</f>
        <v>#REF!</v>
      </c>
      <c r="Q333" s="466">
        <f t="shared" si="63"/>
        <v>4013241</v>
      </c>
      <c r="R333" s="609"/>
      <c r="S333" s="466">
        <v>0</v>
      </c>
      <c r="T333" s="610"/>
      <c r="U333" s="466">
        <v>0</v>
      </c>
      <c r="V333" s="647">
        <f t="shared" si="64"/>
        <v>57332.01</v>
      </c>
      <c r="W333" s="611">
        <f t="shared" si="65"/>
        <v>4013241</v>
      </c>
      <c r="X333" s="977">
        <f t="shared" si="58"/>
        <v>2.2295783333333334</v>
      </c>
      <c r="Y333" s="491">
        <v>1800000</v>
      </c>
      <c r="Z333" s="663">
        <f t="shared" si="57"/>
        <v>4013241</v>
      </c>
      <c r="AA333" s="612">
        <f t="shared" si="60"/>
        <v>311</v>
      </c>
      <c r="AB333" s="613">
        <f>IFERROR(INDEX('[14]CN HĐ'!$M$10:$M$73,MATCH(B333,'[14]CN HĐ'!$H$10:$H$73,0)),"")</f>
        <v>0</v>
      </c>
      <c r="AC333" s="108" t="str">
        <f>VLOOKUP(B333,TH.T4!B330:AC660,28,FALSE)</f>
        <v>TTrGD</v>
      </c>
    </row>
    <row r="334" spans="1:69" s="372" customFormat="1" ht="33.75" customHeight="1">
      <c r="A334" s="30">
        <f>_xlfn.AGGREGATE(4,7,A$22:A333)+1</f>
        <v>312</v>
      </c>
      <c r="B334" s="957" t="s">
        <v>2114</v>
      </c>
      <c r="C334" s="957" t="s">
        <v>2115</v>
      </c>
      <c r="D334" s="418" t="s">
        <v>2116</v>
      </c>
      <c r="E334" s="604">
        <v>1603205324898</v>
      </c>
      <c r="F334" s="81" t="str">
        <f>VLOOKUP(B334,TH.T4!B332:J662,9,FALSE)</f>
        <v>Nhân viên phòng KHCN &amp; HTQT</v>
      </c>
      <c r="G334" s="604"/>
      <c r="H334" s="604"/>
      <c r="I334" s="368" t="s">
        <v>2042</v>
      </c>
      <c r="J334" s="605">
        <v>7515057</v>
      </c>
      <c r="K334" s="466">
        <f t="shared" si="62"/>
        <v>5260539.8999999994</v>
      </c>
      <c r="L334" s="606" t="str">
        <f>VLOOKUP(B334,'[13]Gui chi Quynh'!$B$11:$E$400,4,FALSE)</f>
        <v>A2</v>
      </c>
      <c r="M334" s="466">
        <f t="shared" si="66"/>
        <v>7364756</v>
      </c>
      <c r="N334" s="606">
        <v>26</v>
      </c>
      <c r="O334" s="607">
        <f>IFERROR(INDEX('[14]CN HĐ'!$J$10:$J$72,MATCH(B334,'[14]CN HĐ'!$H$10:$H$74,0)),"")</f>
        <v>25</v>
      </c>
      <c r="P334" s="608" t="e">
        <f>IF(M334&gt;#REF!,M334,#REF!)</f>
        <v>#REF!</v>
      </c>
      <c r="Q334" s="466">
        <f t="shared" si="63"/>
        <v>7081496</v>
      </c>
      <c r="R334" s="609"/>
      <c r="S334" s="466">
        <v>0</v>
      </c>
      <c r="T334" s="610"/>
      <c r="U334" s="466">
        <v>0</v>
      </c>
      <c r="V334" s="647">
        <f t="shared" si="64"/>
        <v>75150.570000000007</v>
      </c>
      <c r="W334" s="611">
        <f t="shared" si="65"/>
        <v>7081496</v>
      </c>
      <c r="X334" s="977">
        <f t="shared" si="58"/>
        <v>3.9341644444444444</v>
      </c>
      <c r="Y334" s="491">
        <v>1800000</v>
      </c>
      <c r="Z334" s="663">
        <f t="shared" si="57"/>
        <v>7081496</v>
      </c>
      <c r="AA334" s="612">
        <f t="shared" si="60"/>
        <v>312</v>
      </c>
      <c r="AB334" s="613" t="str">
        <f>IFERROR(INDEX('[14]CN HĐ'!$M$10:$M$73,MATCH(B334,'[14]CN HĐ'!$H$10:$H$73,0)),"")</f>
        <v>Trừ 1 ngày nghỉ phép 13/5</v>
      </c>
      <c r="AC334" s="108" t="str">
        <f>VLOOKUP(B334,TH.T4!B331:AC661,28,FALSE)</f>
        <v>QLKH</v>
      </c>
    </row>
    <row r="335" spans="1:69" s="372" customFormat="1" ht="33.75" customHeight="1">
      <c r="A335" s="30">
        <f>_xlfn.AGGREGATE(4,7,A$22:A334)+1</f>
        <v>313</v>
      </c>
      <c r="B335" s="957" t="s">
        <v>2117</v>
      </c>
      <c r="C335" s="957"/>
      <c r="D335" s="418"/>
      <c r="E335" s="614" t="s">
        <v>2118</v>
      </c>
      <c r="F335" s="81" t="str">
        <f>VLOOKUP(B335,TH.T4!B333:J663,9,FALSE)</f>
        <v>Nhân viên phòng KHCN &amp; HTQT</v>
      </c>
      <c r="G335" s="614"/>
      <c r="H335" s="614"/>
      <c r="I335" s="368" t="s">
        <v>2042</v>
      </c>
      <c r="J335" s="605">
        <v>5733201</v>
      </c>
      <c r="K335" s="466">
        <f t="shared" si="62"/>
        <v>4013240.6999999997</v>
      </c>
      <c r="L335" s="606" t="str">
        <f>VLOOKUP(B335,'[13]Gui chi Quynh'!$B$11:$E$400,4,FALSE)</f>
        <v>A4</v>
      </c>
      <c r="M335" s="466">
        <f t="shared" si="66"/>
        <v>4013241</v>
      </c>
      <c r="N335" s="606">
        <v>26</v>
      </c>
      <c r="O335" s="607">
        <f>IFERROR(INDEX('[14]CN HĐ'!$J$10:$J$72,MATCH(B335,'[14]CN HĐ'!$H$10:$H$74,0)),"")</f>
        <v>26</v>
      </c>
      <c r="P335" s="608" t="e">
        <f>IF(M335&gt;#REF!,M335,#REF!)</f>
        <v>#REF!</v>
      </c>
      <c r="Q335" s="466">
        <f t="shared" si="63"/>
        <v>4013241</v>
      </c>
      <c r="R335" s="609"/>
      <c r="S335" s="466">
        <v>0</v>
      </c>
      <c r="T335" s="610"/>
      <c r="U335" s="466">
        <v>0</v>
      </c>
      <c r="V335" s="647">
        <f t="shared" si="64"/>
        <v>57332.01</v>
      </c>
      <c r="W335" s="611">
        <f t="shared" si="65"/>
        <v>4013241</v>
      </c>
      <c r="X335" s="977">
        <f t="shared" si="58"/>
        <v>2.2295783333333334</v>
      </c>
      <c r="Y335" s="491">
        <v>1800000</v>
      </c>
      <c r="Z335" s="663">
        <f t="shared" si="57"/>
        <v>4013241</v>
      </c>
      <c r="AA335" s="612">
        <f t="shared" si="60"/>
        <v>313</v>
      </c>
      <c r="AB335" s="613">
        <f>IFERROR(INDEX('[14]CN HĐ'!$M$10:$M$73,MATCH(B335,'[14]CN HĐ'!$H$10:$H$73,0)),"")</f>
        <v>0</v>
      </c>
      <c r="AC335" s="108" t="str">
        <f>VLOOKUP(B335,TH.T4!B332:AC662,28,FALSE)</f>
        <v>QLKH</v>
      </c>
      <c r="AD335" s="108"/>
      <c r="AE335" s="108"/>
      <c r="AF335" s="108"/>
      <c r="AG335" s="108"/>
      <c r="AH335" s="108"/>
      <c r="AI335" s="108"/>
      <c r="AJ335" s="108"/>
      <c r="AK335" s="108"/>
      <c r="AL335" s="108"/>
      <c r="AM335" s="108"/>
      <c r="AN335" s="108"/>
      <c r="AO335" s="108"/>
      <c r="AP335" s="108"/>
      <c r="AQ335" s="108"/>
      <c r="AR335" s="108"/>
      <c r="AS335" s="108"/>
      <c r="AT335" s="108"/>
      <c r="AU335" s="108"/>
      <c r="AV335" s="108"/>
      <c r="AW335" s="108"/>
      <c r="AX335" s="108"/>
      <c r="AY335" s="108"/>
      <c r="AZ335" s="108"/>
    </row>
    <row r="336" spans="1:69" s="372" customFormat="1" ht="33.75" customHeight="1">
      <c r="A336" s="30">
        <f>_xlfn.AGGREGATE(4,7,A$22:A335)+1</f>
        <v>314</v>
      </c>
      <c r="B336" s="957" t="s">
        <v>2119</v>
      </c>
      <c r="C336" s="957" t="s">
        <v>2120</v>
      </c>
      <c r="D336" s="418" t="s">
        <v>2121</v>
      </c>
      <c r="E336" s="604" t="s">
        <v>2122</v>
      </c>
      <c r="F336" s="81" t="str">
        <f>VLOOKUP(B336,TH.T4!B334:J664,9,FALSE)</f>
        <v>Nhân viên phòng Thanh tra GD - Quan hệ DN</v>
      </c>
      <c r="G336" s="604"/>
      <c r="H336" s="604"/>
      <c r="I336" s="81" t="s">
        <v>2042</v>
      </c>
      <c r="J336" s="605">
        <v>5733201</v>
      </c>
      <c r="K336" s="466">
        <f t="shared" si="62"/>
        <v>4013240.6999999997</v>
      </c>
      <c r="L336" s="606" t="str">
        <f>VLOOKUP(B336,'[13]Gui chi Quynh'!$B$11:$E$400,4,FALSE)</f>
        <v>A4</v>
      </c>
      <c r="M336" s="466">
        <f t="shared" si="66"/>
        <v>4013241</v>
      </c>
      <c r="N336" s="606">
        <v>26</v>
      </c>
      <c r="O336" s="607">
        <f>IFERROR(INDEX('[14]CN HĐ'!$J$10:$J$72,MATCH(B336,'[14]CN HĐ'!$H$10:$H$74,0)),"")</f>
        <v>26</v>
      </c>
      <c r="P336" s="608" t="e">
        <f>IF(M336&gt;#REF!,M336,#REF!)</f>
        <v>#REF!</v>
      </c>
      <c r="Q336" s="466">
        <f t="shared" si="63"/>
        <v>4013241</v>
      </c>
      <c r="R336" s="609"/>
      <c r="S336" s="466">
        <v>0</v>
      </c>
      <c r="T336" s="610"/>
      <c r="U336" s="466">
        <v>0</v>
      </c>
      <c r="V336" s="647">
        <f t="shared" si="64"/>
        <v>57332.01</v>
      </c>
      <c r="W336" s="611">
        <f t="shared" si="65"/>
        <v>4013241</v>
      </c>
      <c r="X336" s="977">
        <f t="shared" si="58"/>
        <v>2.2295783333333334</v>
      </c>
      <c r="Y336" s="491">
        <v>1800000</v>
      </c>
      <c r="Z336" s="663">
        <f t="shared" si="57"/>
        <v>4013241</v>
      </c>
      <c r="AA336" s="612">
        <f t="shared" si="60"/>
        <v>314</v>
      </c>
      <c r="AB336" s="613">
        <f>IFERROR(INDEX('[14]CN HĐ'!$M$10:$M$73,MATCH(B336,'[14]CN HĐ'!$H$10:$H$73,0)),"")</f>
        <v>0</v>
      </c>
      <c r="AC336" s="108" t="str">
        <f>VLOOKUP(B336,TH.T4!B333:AC663,28,FALSE)</f>
        <v>TTrGD</v>
      </c>
      <c r="AD336" s="108"/>
      <c r="AE336" s="108"/>
      <c r="AF336" s="108"/>
      <c r="AG336" s="108"/>
      <c r="AH336" s="108"/>
      <c r="AI336" s="108"/>
      <c r="AJ336" s="108"/>
      <c r="AK336" s="108"/>
      <c r="AL336" s="108"/>
      <c r="AM336" s="108"/>
      <c r="AN336" s="108"/>
      <c r="AO336" s="108"/>
      <c r="AP336" s="108"/>
      <c r="AQ336" s="108"/>
      <c r="AR336" s="108"/>
      <c r="AS336" s="108"/>
      <c r="AT336" s="108"/>
      <c r="AU336" s="108"/>
      <c r="AV336" s="108"/>
      <c r="AW336" s="108"/>
      <c r="AX336" s="108"/>
      <c r="AY336" s="108"/>
      <c r="AZ336" s="108"/>
    </row>
    <row r="337" spans="1:52" s="372" customFormat="1" ht="33.75" customHeight="1">
      <c r="A337" s="30">
        <f>_xlfn.AGGREGATE(4,7,A$22:A336)+1</f>
        <v>315</v>
      </c>
      <c r="B337" s="957" t="s">
        <v>2123</v>
      </c>
      <c r="C337" s="957" t="s">
        <v>1103</v>
      </c>
      <c r="D337" s="418" t="s">
        <v>2124</v>
      </c>
      <c r="E337" s="604">
        <v>1603205327079</v>
      </c>
      <c r="F337" s="81" t="str">
        <f>VLOOKUP(B337,TH.T4!B335:J665,9,FALSE)</f>
        <v>Nhân viên phòng Thanh tra GD - Quan hệ DN</v>
      </c>
      <c r="G337" s="604"/>
      <c r="H337" s="604"/>
      <c r="I337" s="368" t="s">
        <v>2038</v>
      </c>
      <c r="J337" s="605">
        <v>6391108</v>
      </c>
      <c r="K337" s="466">
        <f t="shared" si="62"/>
        <v>4473775.5999999996</v>
      </c>
      <c r="L337" s="606" t="str">
        <f>VLOOKUP(B337,'[13]Gui chi Quynh'!$B$11:$E$400,4,FALSE)</f>
        <v>A4</v>
      </c>
      <c r="M337" s="466">
        <f t="shared" si="66"/>
        <v>4473776</v>
      </c>
      <c r="N337" s="606">
        <v>26</v>
      </c>
      <c r="O337" s="607">
        <f>IFERROR(INDEX('[14]CN HĐ'!$J$10:$J$72,MATCH(B337,'[14]CN HĐ'!$H$10:$H$74,0)),"")</f>
        <v>25</v>
      </c>
      <c r="P337" s="608" t="e">
        <f>IF(M337&gt;#REF!,M337,#REF!)</f>
        <v>#REF!</v>
      </c>
      <c r="Q337" s="466">
        <f t="shared" si="63"/>
        <v>4301708</v>
      </c>
      <c r="R337" s="609"/>
      <c r="S337" s="466">
        <v>0</v>
      </c>
      <c r="T337" s="610"/>
      <c r="U337" s="466">
        <v>0</v>
      </c>
      <c r="V337" s="647">
        <f t="shared" si="64"/>
        <v>63911.08</v>
      </c>
      <c r="W337" s="611">
        <f t="shared" si="65"/>
        <v>4301708</v>
      </c>
      <c r="X337" s="977">
        <f t="shared" si="58"/>
        <v>2.3898377777777777</v>
      </c>
      <c r="Y337" s="491">
        <v>1800000</v>
      </c>
      <c r="Z337" s="663">
        <f t="shared" si="57"/>
        <v>4301708</v>
      </c>
      <c r="AA337" s="612">
        <f t="shared" si="60"/>
        <v>315</v>
      </c>
      <c r="AB337" s="613" t="str">
        <f>IFERROR(INDEX('[14]CN HĐ'!$M$10:$M$73,MATCH(B337,'[14]CN HĐ'!$H$10:$H$73,0)),"")</f>
        <v>Trừ 1 ngày nghỉ phép 2/5</v>
      </c>
      <c r="AC337" s="108" t="str">
        <f>VLOOKUP(B337,TH.T4!B334:AC664,28,FALSE)</f>
        <v>TTrGD</v>
      </c>
    </row>
    <row r="338" spans="1:52" s="372" customFormat="1" ht="33.75" customHeight="1">
      <c r="A338" s="30">
        <f>_xlfn.AGGREGATE(4,7,A$22:A337)+1</f>
        <v>316</v>
      </c>
      <c r="B338" s="957" t="s">
        <v>2125</v>
      </c>
      <c r="C338" s="957" t="s">
        <v>1431</v>
      </c>
      <c r="D338" s="418" t="s">
        <v>2126</v>
      </c>
      <c r="E338" s="604" t="s">
        <v>2127</v>
      </c>
      <c r="F338" s="81" t="str">
        <f>VLOOKUP(B338,TH.T4!B336:J666,9,FALSE)</f>
        <v>NV Phòng Tuyển sinh - Đào tạo</v>
      </c>
      <c r="G338" s="604"/>
      <c r="H338" s="604"/>
      <c r="I338" s="368" t="s">
        <v>2042</v>
      </c>
      <c r="J338" s="605">
        <v>6563942</v>
      </c>
      <c r="K338" s="466">
        <f t="shared" si="62"/>
        <v>4594759.3999999994</v>
      </c>
      <c r="L338" s="606" t="str">
        <f>VLOOKUP(B338,'[13]Gui chi Quynh'!$B$11:$E$400,4,FALSE)</f>
        <v>A2</v>
      </c>
      <c r="M338" s="466">
        <f t="shared" si="66"/>
        <v>6432663</v>
      </c>
      <c r="N338" s="606">
        <v>26</v>
      </c>
      <c r="O338" s="607">
        <f>IFERROR(INDEX('[14]CN HĐ'!$J$10:$J$72,MATCH(B338,'[14]CN HĐ'!$H$10:$H$74,0)),"")</f>
        <v>27</v>
      </c>
      <c r="P338" s="608" t="e">
        <f>IF(M338&gt;#REF!,M338,#REF!)</f>
        <v>#REF!</v>
      </c>
      <c r="Q338" s="466">
        <f>ROUND(IF(O338&gt;=N338,M338,M338/N338*O338),)</f>
        <v>6432663</v>
      </c>
      <c r="R338" s="609"/>
      <c r="S338" s="466">
        <v>0</v>
      </c>
      <c r="T338" s="610"/>
      <c r="U338" s="466">
        <v>0</v>
      </c>
      <c r="V338" s="647">
        <f t="shared" si="64"/>
        <v>65639.42</v>
      </c>
      <c r="W338" s="611">
        <f t="shared" si="65"/>
        <v>6432663</v>
      </c>
      <c r="X338" s="977">
        <f t="shared" si="58"/>
        <v>3.5737016666666666</v>
      </c>
      <c r="Y338" s="491">
        <v>1800000</v>
      </c>
      <c r="Z338" s="663">
        <f t="shared" si="57"/>
        <v>6432663</v>
      </c>
      <c r="AA338" s="612">
        <f t="shared" si="60"/>
        <v>316</v>
      </c>
      <c r="AB338" s="613">
        <f>IFERROR(INDEX('[14]CN HĐ'!$M$10:$M$73,MATCH(B338,'[14]CN HĐ'!$H$10:$H$73,0)),"")</f>
        <v>0</v>
      </c>
      <c r="AC338" s="108" t="str">
        <f>VLOOKUP(B338,TH.T4!B335:AC665,28,FALSE)</f>
        <v>TSĐT</v>
      </c>
      <c r="AD338" s="108"/>
      <c r="AE338" s="108"/>
      <c r="AF338" s="108"/>
      <c r="AG338" s="108"/>
      <c r="AH338" s="108"/>
      <c r="AI338" s="108"/>
      <c r="AJ338" s="108"/>
      <c r="AK338" s="108"/>
      <c r="AL338" s="108"/>
      <c r="AM338" s="108"/>
      <c r="AN338" s="108"/>
      <c r="AO338" s="108"/>
      <c r="AP338" s="108"/>
      <c r="AQ338" s="108"/>
      <c r="AR338" s="108"/>
      <c r="AS338" s="108"/>
      <c r="AT338" s="108"/>
      <c r="AU338" s="108"/>
      <c r="AV338" s="108"/>
      <c r="AW338" s="108"/>
      <c r="AX338" s="108"/>
      <c r="AY338" s="108"/>
      <c r="AZ338" s="108"/>
    </row>
    <row r="339" spans="1:52" s="372" customFormat="1" ht="30" customHeight="1">
      <c r="A339" s="30">
        <f>_xlfn.AGGREGATE(4,7,A$22:A338)+1</f>
        <v>317</v>
      </c>
      <c r="B339" s="957" t="s">
        <v>2128</v>
      </c>
      <c r="C339" s="957" t="s">
        <v>1064</v>
      </c>
      <c r="D339" s="418" t="s">
        <v>2129</v>
      </c>
      <c r="E339" s="604" t="s">
        <v>2130</v>
      </c>
      <c r="F339" s="81" t="str">
        <f>VLOOKUP(B339,TH.T4!B337:J667,9,FALSE)</f>
        <v>NV phòng TS - Đào tạo</v>
      </c>
      <c r="G339" s="604"/>
      <c r="H339" s="604"/>
      <c r="I339" s="368" t="s">
        <v>2042</v>
      </c>
      <c r="J339" s="605">
        <v>5733201</v>
      </c>
      <c r="K339" s="466">
        <f t="shared" si="62"/>
        <v>4013240.6999999997</v>
      </c>
      <c r="L339" s="606" t="str">
        <f>VLOOKUP(B339,'[13]Gui chi Quynh'!$B$11:$E$400,4,FALSE)</f>
        <v>A3</v>
      </c>
      <c r="M339" s="466">
        <f t="shared" si="66"/>
        <v>4815889</v>
      </c>
      <c r="N339" s="606">
        <v>26</v>
      </c>
      <c r="O339" s="607">
        <f>IFERROR(INDEX('[14]CN HĐ'!$J$10:$J$72,MATCH(B339,'[14]CN HĐ'!$H$10:$H$74,0)),"")</f>
        <v>25</v>
      </c>
      <c r="P339" s="608" t="e">
        <f>IF(M339&gt;#REF!,M339,#REF!)</f>
        <v>#REF!</v>
      </c>
      <c r="Q339" s="466">
        <f t="shared" si="63"/>
        <v>4630663</v>
      </c>
      <c r="R339" s="609"/>
      <c r="S339" s="466">
        <v>0</v>
      </c>
      <c r="T339" s="610"/>
      <c r="U339" s="466">
        <v>0</v>
      </c>
      <c r="V339" s="647">
        <f t="shared" si="64"/>
        <v>57332.01</v>
      </c>
      <c r="W339" s="611">
        <f t="shared" si="65"/>
        <v>4630663</v>
      </c>
      <c r="X339" s="977">
        <f t="shared" si="58"/>
        <v>2.5725905555555557</v>
      </c>
      <c r="Y339" s="491">
        <v>1800000</v>
      </c>
      <c r="Z339" s="663">
        <f t="shared" si="57"/>
        <v>4630663</v>
      </c>
      <c r="AA339" s="612">
        <f t="shared" si="60"/>
        <v>317</v>
      </c>
      <c r="AB339" s="613">
        <f>IFERROR(INDEX('[14]CN HĐ'!$M$10:$M$73,MATCH(B339,'[14]CN HĐ'!$H$10:$H$73,0)),"")</f>
        <v>0</v>
      </c>
      <c r="AC339" s="108" t="str">
        <f>VLOOKUP(B339,TH.T4!B336:AC666,28,FALSE)</f>
        <v>TSĐT</v>
      </c>
      <c r="AD339" s="108"/>
      <c r="AE339" s="108"/>
      <c r="AF339" s="108"/>
      <c r="AG339" s="108"/>
      <c r="AH339" s="108"/>
      <c r="AI339" s="108"/>
      <c r="AJ339" s="108"/>
      <c r="AK339" s="108"/>
      <c r="AL339" s="108"/>
      <c r="AM339" s="108"/>
      <c r="AN339" s="108"/>
      <c r="AO339" s="108"/>
      <c r="AP339" s="108"/>
      <c r="AQ339" s="108"/>
      <c r="AR339" s="108"/>
      <c r="AS339" s="108"/>
      <c r="AT339" s="108"/>
      <c r="AU339" s="108"/>
      <c r="AV339" s="108"/>
      <c r="AW339" s="108"/>
      <c r="AX339" s="108"/>
      <c r="AY339" s="108"/>
      <c r="AZ339" s="108"/>
    </row>
    <row r="340" spans="1:52" s="372" customFormat="1" ht="27" customHeight="1">
      <c r="A340" s="30">
        <f>_xlfn.AGGREGATE(4,7,A$22:A339)+1</f>
        <v>318</v>
      </c>
      <c r="B340" s="957" t="s">
        <v>2131</v>
      </c>
      <c r="C340" s="957"/>
      <c r="D340" s="418" t="s">
        <v>2132</v>
      </c>
      <c r="E340" s="604" t="s">
        <v>2133</v>
      </c>
      <c r="F340" s="81" t="str">
        <f>VLOOKUP(B340,TH.T4!B338:J668,9,FALSE)</f>
        <v>NV phòng TS - Đào tạo</v>
      </c>
      <c r="G340" s="604"/>
      <c r="H340" s="604"/>
      <c r="I340" s="368" t="s">
        <v>2042</v>
      </c>
      <c r="J340" s="605">
        <v>7515057</v>
      </c>
      <c r="K340" s="466">
        <f t="shared" si="62"/>
        <v>5260539.8999999994</v>
      </c>
      <c r="L340" s="606" t="str">
        <f>VLOOKUP(B340,'[13]Gui chi Quynh'!$B$11:$E$400,4,FALSE)</f>
        <v>A2</v>
      </c>
      <c r="M340" s="466">
        <f t="shared" si="66"/>
        <v>7364756</v>
      </c>
      <c r="N340" s="606">
        <v>26</v>
      </c>
      <c r="O340" s="607">
        <f>IFERROR(INDEX('[14]CN HĐ'!$J$10:$J$72,MATCH(B340,'[14]CN HĐ'!$H$10:$H$74,0)),"")</f>
        <v>26</v>
      </c>
      <c r="P340" s="608" t="e">
        <f>IF(M340&gt;#REF!,M340,#REF!)</f>
        <v>#REF!</v>
      </c>
      <c r="Q340" s="466">
        <f t="shared" si="63"/>
        <v>7364756</v>
      </c>
      <c r="R340" s="609"/>
      <c r="S340" s="466">
        <v>0</v>
      </c>
      <c r="T340" s="610"/>
      <c r="U340" s="466">
        <v>0</v>
      </c>
      <c r="V340" s="647">
        <f t="shared" si="64"/>
        <v>75150.570000000007</v>
      </c>
      <c r="W340" s="611">
        <f t="shared" si="65"/>
        <v>7364756</v>
      </c>
      <c r="X340" s="977">
        <f t="shared" si="58"/>
        <v>4.0915311111111112</v>
      </c>
      <c r="Y340" s="491">
        <v>1800000</v>
      </c>
      <c r="Z340" s="663">
        <f t="shared" si="57"/>
        <v>7364756</v>
      </c>
      <c r="AA340" s="612">
        <f t="shared" si="60"/>
        <v>318</v>
      </c>
      <c r="AB340" s="613">
        <f>IFERROR(INDEX('[14]CN HĐ'!$M$10:$M$73,MATCH(B340,'[14]CN HĐ'!$H$10:$H$73,0)),"")</f>
        <v>0</v>
      </c>
      <c r="AC340" s="108" t="str">
        <f>VLOOKUP(B340,TH.T4!B337:AC667,28,FALSE)</f>
        <v>TSĐT</v>
      </c>
      <c r="AD340" s="108"/>
      <c r="AE340" s="108"/>
      <c r="AF340" s="108"/>
      <c r="AG340" s="108"/>
      <c r="AH340" s="108"/>
      <c r="AI340" s="108"/>
      <c r="AJ340" s="108"/>
      <c r="AK340" s="108"/>
      <c r="AL340" s="108"/>
      <c r="AM340" s="108"/>
      <c r="AN340" s="108"/>
      <c r="AO340" s="108"/>
      <c r="AP340" s="108"/>
      <c r="AQ340" s="108"/>
      <c r="AR340" s="108"/>
      <c r="AS340" s="108"/>
      <c r="AT340" s="108"/>
      <c r="AU340" s="108"/>
      <c r="AV340" s="108"/>
      <c r="AW340" s="108"/>
      <c r="AX340" s="108"/>
      <c r="AY340" s="108"/>
      <c r="AZ340" s="108"/>
    </row>
    <row r="341" spans="1:52" s="372" customFormat="1" ht="29.25" customHeight="1">
      <c r="A341" s="30">
        <f>_xlfn.AGGREGATE(4,7,A$22:A340)+1</f>
        <v>319</v>
      </c>
      <c r="B341" s="957" t="s">
        <v>2134</v>
      </c>
      <c r="C341" s="957" t="s">
        <v>1043</v>
      </c>
      <c r="D341" s="418" t="s">
        <v>2135</v>
      </c>
      <c r="E341" s="604" t="s">
        <v>2136</v>
      </c>
      <c r="F341" s="81" t="str">
        <f>VLOOKUP(B341,TH.T4!B339:J669,9,FALSE)</f>
        <v>NV phòng TS - Đào tạo</v>
      </c>
      <c r="G341" s="604"/>
      <c r="H341" s="604"/>
      <c r="I341" s="368" t="s">
        <v>2042</v>
      </c>
      <c r="J341" s="605">
        <v>8041111</v>
      </c>
      <c r="K341" s="466">
        <f t="shared" si="62"/>
        <v>5628777.6999999993</v>
      </c>
      <c r="L341" s="606" t="str">
        <f>VLOOKUP(B341,'[13]Gui chi Quynh'!$B$11:$E$400,4,FALSE)</f>
        <v>A2</v>
      </c>
      <c r="M341" s="466">
        <f t="shared" si="66"/>
        <v>7880289</v>
      </c>
      <c r="N341" s="606">
        <v>26</v>
      </c>
      <c r="O341" s="607">
        <f>IFERROR(INDEX('[14]CN HĐ'!$J$10:$J$72,MATCH(B341,'[14]CN HĐ'!$H$10:$H$74,0)),"")</f>
        <v>27</v>
      </c>
      <c r="P341" s="608" t="e">
        <f>IF(M341&gt;#REF!,M341,#REF!)</f>
        <v>#REF!</v>
      </c>
      <c r="Q341" s="466">
        <f t="shared" si="63"/>
        <v>7880289</v>
      </c>
      <c r="R341" s="609"/>
      <c r="S341" s="466">
        <v>0</v>
      </c>
      <c r="T341" s="610"/>
      <c r="U341" s="466">
        <v>0</v>
      </c>
      <c r="V341" s="647">
        <f t="shared" si="64"/>
        <v>80411.11</v>
      </c>
      <c r="W341" s="611">
        <f t="shared" si="65"/>
        <v>7880289</v>
      </c>
      <c r="X341" s="977">
        <f t="shared" si="58"/>
        <v>4.3779383333333337</v>
      </c>
      <c r="Y341" s="491">
        <v>1800000</v>
      </c>
      <c r="Z341" s="663">
        <f t="shared" si="57"/>
        <v>7880289.0000000009</v>
      </c>
      <c r="AA341" s="612">
        <f t="shared" si="60"/>
        <v>319</v>
      </c>
      <c r="AB341" s="613">
        <f>IFERROR(INDEX('[14]CN HĐ'!$M$10:$M$73,MATCH(B341,'[14]CN HĐ'!$H$10:$H$73,0)),"")</f>
        <v>0</v>
      </c>
      <c r="AC341" s="108" t="str">
        <f>VLOOKUP(B341,TH.T4!B338:AC668,28,FALSE)</f>
        <v>TSĐT</v>
      </c>
      <c r="AD341" s="108"/>
      <c r="AE341" s="108"/>
      <c r="AF341" s="108"/>
      <c r="AG341" s="108"/>
      <c r="AH341" s="108"/>
      <c r="AI341" s="108"/>
      <c r="AJ341" s="108"/>
      <c r="AK341" s="108"/>
      <c r="AL341" s="108"/>
      <c r="AM341" s="108"/>
      <c r="AN341" s="108"/>
      <c r="AO341" s="108"/>
      <c r="AP341" s="108"/>
      <c r="AQ341" s="108"/>
      <c r="AR341" s="108"/>
      <c r="AS341" s="108"/>
      <c r="AT341" s="108"/>
      <c r="AU341" s="108"/>
      <c r="AV341" s="108"/>
      <c r="AW341" s="108"/>
      <c r="AX341" s="108"/>
      <c r="AY341" s="108"/>
      <c r="AZ341" s="108"/>
    </row>
    <row r="342" spans="1:52" s="372" customFormat="1" ht="29.25" customHeight="1">
      <c r="A342" s="30">
        <f>_xlfn.AGGREGATE(4,7,A$22:A341)+1</f>
        <v>320</v>
      </c>
      <c r="B342" s="957" t="s">
        <v>2137</v>
      </c>
      <c r="C342" s="957"/>
      <c r="D342" s="418"/>
      <c r="E342" s="604"/>
      <c r="F342" s="81" t="str">
        <f>VLOOKUP(B342,TH.T4!B340:J670,9,FALSE)</f>
        <v>NV phòng TS - Đào tạo</v>
      </c>
      <c r="G342" s="604"/>
      <c r="H342" s="604"/>
      <c r="I342" s="368" t="s">
        <v>2042</v>
      </c>
      <c r="J342" s="605">
        <f>5358132</f>
        <v>5358132</v>
      </c>
      <c r="K342" s="466">
        <f t="shared" si="62"/>
        <v>3750692.4</v>
      </c>
      <c r="L342" s="606" t="str">
        <f>VLOOKUP(B342,'[13]Gui chi Quynh'!$B$11:$E$400,4,FALSE)</f>
        <v>A2</v>
      </c>
      <c r="M342" s="466">
        <f t="shared" si="66"/>
        <v>5250969</v>
      </c>
      <c r="N342" s="606">
        <v>26</v>
      </c>
      <c r="O342" s="607">
        <f>IFERROR(INDEX('[14]CN HĐ'!$J$10:$J$72,MATCH(B342,'[14]CN HĐ'!$H$10:$H$74,0)),"")</f>
        <v>26</v>
      </c>
      <c r="P342" s="608"/>
      <c r="Q342" s="466">
        <f t="shared" si="63"/>
        <v>5250969</v>
      </c>
      <c r="R342" s="609"/>
      <c r="S342" s="466">
        <v>0</v>
      </c>
      <c r="T342" s="610"/>
      <c r="U342" s="466">
        <v>0</v>
      </c>
      <c r="V342" s="647">
        <f t="shared" si="64"/>
        <v>53581.32</v>
      </c>
      <c r="W342" s="611">
        <f t="shared" si="65"/>
        <v>5250969</v>
      </c>
      <c r="X342" s="977">
        <f t="shared" si="58"/>
        <v>2.917205</v>
      </c>
      <c r="Y342" s="491">
        <v>1800000</v>
      </c>
      <c r="Z342" s="663">
        <f t="shared" si="57"/>
        <v>5250969</v>
      </c>
      <c r="AA342" s="612">
        <f t="shared" si="60"/>
        <v>320</v>
      </c>
      <c r="AB342" s="613">
        <f>IFERROR(INDEX('[14]CN HĐ'!$M$10:$M$73,MATCH(B342,'[14]CN HĐ'!$H$10:$H$73,0)),"")</f>
        <v>0</v>
      </c>
      <c r="AC342" s="108" t="str">
        <f>VLOOKUP(B342,TH.T4!B339:AC669,28,FALSE)</f>
        <v>TSĐT</v>
      </c>
    </row>
    <row r="343" spans="1:52" s="372" customFormat="1" ht="33.75" customHeight="1">
      <c r="A343" s="379">
        <f>_xlfn.AGGREGATE(4,7,A$22:A342)+1</f>
        <v>321</v>
      </c>
      <c r="B343" s="957" t="s">
        <v>2138</v>
      </c>
      <c r="C343" s="957" t="s">
        <v>2139</v>
      </c>
      <c r="D343" s="418" t="s">
        <v>2140</v>
      </c>
      <c r="E343" s="636" t="s">
        <v>2141</v>
      </c>
      <c r="F343" s="81" t="str">
        <f>VLOOKUP(B343,TH.T4!B341:J671,9,FALSE)</f>
        <v>NV TT Điều hành và QLDL</v>
      </c>
      <c r="G343" s="636"/>
      <c r="H343" s="636"/>
      <c r="I343" s="368" t="s">
        <v>2031</v>
      </c>
      <c r="J343" s="605">
        <v>5417685</v>
      </c>
      <c r="K343" s="466">
        <f t="shared" si="62"/>
        <v>1625305.5</v>
      </c>
      <c r="L343" s="606" t="str">
        <f>VLOOKUP(B343,'[13]Gui chi Quynh'!$B$11:$E$400,4,FALSE)</f>
        <v>A4</v>
      </c>
      <c r="M343" s="466">
        <f t="shared" si="66"/>
        <v>1625306</v>
      </c>
      <c r="N343" s="606">
        <v>26</v>
      </c>
      <c r="O343" s="607">
        <f>IFERROR(INDEX('[14]CN HĐ'!$J$10:$J$72,MATCH(B343,'[14]CN HĐ'!$H$10:$H$74,0)),"")</f>
        <v>26</v>
      </c>
      <c r="P343" s="608" t="e">
        <f>IF(M343&gt;#REF!,M343,#REF!)</f>
        <v>#REF!</v>
      </c>
      <c r="Q343" s="466">
        <f t="shared" si="63"/>
        <v>1625306</v>
      </c>
      <c r="R343" s="609"/>
      <c r="S343" s="466">
        <v>0</v>
      </c>
      <c r="T343" s="610"/>
      <c r="U343" s="466">
        <v>0</v>
      </c>
      <c r="V343" s="647">
        <f t="shared" si="64"/>
        <v>54176.85</v>
      </c>
      <c r="W343" s="611">
        <f t="shared" si="65"/>
        <v>1625306</v>
      </c>
      <c r="X343" s="977">
        <f t="shared" si="58"/>
        <v>0.90294777777777779</v>
      </c>
      <c r="Y343" s="491">
        <v>1800000</v>
      </c>
      <c r="Z343" s="663">
        <f t="shared" si="57"/>
        <v>1625306</v>
      </c>
      <c r="AA343" s="612">
        <f t="shared" si="60"/>
        <v>321</v>
      </c>
      <c r="AB343" s="613">
        <f>IFERROR(INDEX('[14]CN HĐ'!$M$10:$M$73,MATCH(B343,'[14]CN HĐ'!$H$10:$H$73,0)),"")</f>
        <v>0</v>
      </c>
      <c r="AC343" s="108" t="str">
        <f>VLOOKUP(B343,TH.T4!B340:AC670,28,FALSE)</f>
        <v>TTĐHDL</v>
      </c>
    </row>
    <row r="344" spans="1:52" s="372" customFormat="1" ht="33.75" customHeight="1">
      <c r="A344" s="30">
        <f>_xlfn.AGGREGATE(4,7,A$22:A343)+1</f>
        <v>322</v>
      </c>
      <c r="B344" s="957" t="s">
        <v>2142</v>
      </c>
      <c r="C344" s="957"/>
      <c r="D344" s="418"/>
      <c r="E344" s="604"/>
      <c r="F344" s="81" t="str">
        <f>VLOOKUP(B344,TH.T4!B342:J672,9,FALSE)</f>
        <v>NV TT Điều hành và QLDL</v>
      </c>
      <c r="G344" s="604"/>
      <c r="H344" s="604"/>
      <c r="I344" s="368" t="s">
        <v>2038</v>
      </c>
      <c r="J344" s="605">
        <v>5007600</v>
      </c>
      <c r="K344" s="466">
        <f t="shared" si="62"/>
        <v>3505320</v>
      </c>
      <c r="L344" s="606" t="str">
        <f>VLOOKUP(B344,'[13]Gui chi Quynh'!$B$11:$E$400,4,FALSE)</f>
        <v>A1</v>
      </c>
      <c r="M344" s="466">
        <f t="shared" si="66"/>
        <v>5608512</v>
      </c>
      <c r="N344" s="606">
        <v>26</v>
      </c>
      <c r="O344" s="607">
        <f>IFERROR(INDEX('[14]CN HĐ'!$J$10:$J$72,MATCH(B344,'[14]CN HĐ'!$H$10:$H$74,0)),"")</f>
        <v>27</v>
      </c>
      <c r="P344" s="608"/>
      <c r="Q344" s="466">
        <f t="shared" si="63"/>
        <v>5608512</v>
      </c>
      <c r="R344" s="609"/>
      <c r="S344" s="466">
        <v>0</v>
      </c>
      <c r="T344" s="610"/>
      <c r="U344" s="466">
        <v>0</v>
      </c>
      <c r="V344" s="647">
        <f t="shared" si="64"/>
        <v>50076</v>
      </c>
      <c r="W344" s="611">
        <f t="shared" si="65"/>
        <v>5608512</v>
      </c>
      <c r="X344" s="977">
        <f t="shared" si="58"/>
        <v>3.1158399999999999</v>
      </c>
      <c r="Y344" s="491">
        <v>1800000</v>
      </c>
      <c r="Z344" s="663">
        <f t="shared" ref="Z344:Z352" si="67">X344*Y344</f>
        <v>5608512</v>
      </c>
      <c r="AA344" s="612">
        <f t="shared" si="60"/>
        <v>322</v>
      </c>
      <c r="AB344" s="613" t="str">
        <f>IFERROR(INDEX('[14]CN HĐ'!$M$10:$M$73,MATCH(B344,'[14]CN HĐ'!$H$10:$H$73,0)),"")</f>
        <v>Cộng 1 ngày CN 19/5</v>
      </c>
      <c r="AC344" s="108" t="str">
        <f>VLOOKUP(B344,TH.T4!B341:AC671,28,FALSE)</f>
        <v>TTĐHDL</v>
      </c>
      <c r="AD344" s="108"/>
      <c r="AE344" s="108"/>
      <c r="AF344" s="108"/>
      <c r="AG344" s="108"/>
      <c r="AH344" s="108"/>
      <c r="AI344" s="108"/>
      <c r="AJ344" s="108"/>
      <c r="AK344" s="108"/>
      <c r="AL344" s="108"/>
      <c r="AM344" s="108"/>
      <c r="AN344" s="108"/>
      <c r="AO344" s="108"/>
      <c r="AP344" s="108"/>
      <c r="AQ344" s="108"/>
      <c r="AR344" s="108"/>
      <c r="AS344" s="108"/>
      <c r="AT344" s="108"/>
    </row>
    <row r="345" spans="1:52" s="372" customFormat="1" ht="33.75" customHeight="1">
      <c r="A345" s="379">
        <f>_xlfn.AGGREGATE(4,7,A$22:A344)+1</f>
        <v>323</v>
      </c>
      <c r="B345" s="957" t="s">
        <v>2143</v>
      </c>
      <c r="C345" s="957"/>
      <c r="D345" s="418"/>
      <c r="E345" s="604"/>
      <c r="F345" s="81" t="str">
        <f>VLOOKUP(B345,TH.T4!B343:J673,9,FALSE)</f>
        <v>NV TT Điều hành và QLDL</v>
      </c>
      <c r="G345" s="604"/>
      <c r="H345" s="604"/>
      <c r="I345" s="368" t="s">
        <v>2038</v>
      </c>
      <c r="J345" s="605">
        <v>5007600</v>
      </c>
      <c r="K345" s="466">
        <f t="shared" si="62"/>
        <v>3505320</v>
      </c>
      <c r="L345" s="606" t="str">
        <f>VLOOKUP(B345,'[13]Gui chi Quynh'!$B$11:$E$400,4,FALSE)</f>
        <v>A4</v>
      </c>
      <c r="M345" s="466">
        <f t="shared" si="66"/>
        <v>3505320</v>
      </c>
      <c r="N345" s="606">
        <v>26</v>
      </c>
      <c r="O345" s="607">
        <f>IFERROR(INDEX('[14]CN HĐ'!$J$10:$J$72,MATCH(B345,'[14]CN HĐ'!$H$10:$H$74,0)),"")</f>
        <v>25</v>
      </c>
      <c r="P345" s="608"/>
      <c r="Q345" s="466">
        <f t="shared" si="63"/>
        <v>3370500</v>
      </c>
      <c r="R345" s="609"/>
      <c r="S345" s="466">
        <v>0</v>
      </c>
      <c r="T345" s="610"/>
      <c r="U345" s="466">
        <v>0</v>
      </c>
      <c r="V345" s="466">
        <f t="shared" si="64"/>
        <v>50076</v>
      </c>
      <c r="W345" s="611">
        <f t="shared" si="65"/>
        <v>3370500</v>
      </c>
      <c r="X345" s="977">
        <f t="shared" ref="X345:X352" si="68">W345/Y345</f>
        <v>1.8725000000000001</v>
      </c>
      <c r="Y345" s="491">
        <v>1800000</v>
      </c>
      <c r="Z345" s="663">
        <f t="shared" si="67"/>
        <v>3370500</v>
      </c>
      <c r="AA345" s="612">
        <f t="shared" si="60"/>
        <v>323</v>
      </c>
      <c r="AB345" s="613" t="str">
        <f>IFERROR(INDEX('[14]CN HĐ'!$M$10:$M$73,MATCH(B345,'[14]CN HĐ'!$H$10:$H$73,0)),"")</f>
        <v>Trừ 1 ngày nghỉ phép 31/5</v>
      </c>
      <c r="AC345" s="108" t="str">
        <f>VLOOKUP(B345,TH.T4!B342:AC672,28,FALSE)</f>
        <v>TTĐHDL</v>
      </c>
    </row>
    <row r="346" spans="1:52" s="372" customFormat="1" ht="30" customHeight="1">
      <c r="A346" s="30">
        <f>_xlfn.AGGREGATE(4,7,A$22:A345)+1</f>
        <v>324</v>
      </c>
      <c r="B346" s="957" t="s">
        <v>2144</v>
      </c>
      <c r="C346" s="957" t="s">
        <v>2145</v>
      </c>
      <c r="D346" s="418" t="s">
        <v>2146</v>
      </c>
      <c r="E346" s="604">
        <v>1603205351493</v>
      </c>
      <c r="F346" s="81" t="str">
        <f>VLOOKUP(B346,TH.T4!B344:J674,9,FALSE)</f>
        <v>NV phòng Khảo thí và ĐBCL</v>
      </c>
      <c r="G346" s="604"/>
      <c r="H346" s="604"/>
      <c r="I346" s="368" t="s">
        <v>2042</v>
      </c>
      <c r="J346" s="605">
        <v>7515057</v>
      </c>
      <c r="K346" s="466">
        <f t="shared" si="62"/>
        <v>5260539.8999999994</v>
      </c>
      <c r="L346" s="606" t="str">
        <f>VLOOKUP(B346,'[13]Gui chi Quynh'!$B$11:$E$400,4,FALSE)</f>
        <v>A2</v>
      </c>
      <c r="M346" s="466">
        <f t="shared" si="66"/>
        <v>7364756</v>
      </c>
      <c r="N346" s="606">
        <v>26</v>
      </c>
      <c r="O346" s="607">
        <f>IFERROR(INDEX('[14]CN HĐ'!$J$10:$J$72,MATCH(B346,'[14]CN HĐ'!$H$10:$H$74,0)),"")</f>
        <v>26</v>
      </c>
      <c r="P346" s="608" t="e">
        <f>IF(M346&gt;#REF!,M346,#REF!)</f>
        <v>#REF!</v>
      </c>
      <c r="Q346" s="466">
        <f t="shared" si="63"/>
        <v>7364756</v>
      </c>
      <c r="R346" s="609"/>
      <c r="S346" s="466">
        <v>0</v>
      </c>
      <c r="T346" s="610"/>
      <c r="U346" s="466">
        <v>0</v>
      </c>
      <c r="V346" s="647">
        <f t="shared" si="64"/>
        <v>75150.570000000007</v>
      </c>
      <c r="W346" s="611">
        <f t="shared" si="65"/>
        <v>7364756</v>
      </c>
      <c r="X346" s="977">
        <f t="shared" si="68"/>
        <v>4.0915311111111112</v>
      </c>
      <c r="Y346" s="491">
        <v>1800000</v>
      </c>
      <c r="Z346" s="663">
        <f t="shared" si="67"/>
        <v>7364756</v>
      </c>
      <c r="AA346" s="612">
        <f t="shared" si="60"/>
        <v>324</v>
      </c>
      <c r="AB346" s="613">
        <f>IFERROR(INDEX('[14]CN HĐ'!$M$10:$M$73,MATCH(B346,'[14]CN HĐ'!$H$10:$H$73,0)),"")</f>
        <v>0</v>
      </c>
      <c r="AC346" s="108" t="str">
        <f>VLOOKUP(B346,TH.T4!B343:AC673,28,FALSE)</f>
        <v>KTĐBCL</v>
      </c>
      <c r="AD346" s="108"/>
      <c r="AE346" s="108"/>
      <c r="AF346" s="108"/>
      <c r="AG346" s="108"/>
      <c r="AH346" s="108"/>
      <c r="AI346" s="108"/>
      <c r="AJ346" s="108"/>
      <c r="AK346" s="108"/>
      <c r="AL346" s="108"/>
      <c r="AM346" s="108"/>
      <c r="AN346" s="108"/>
      <c r="AO346" s="108"/>
      <c r="AP346" s="108"/>
      <c r="AQ346" s="108"/>
      <c r="AR346" s="108"/>
      <c r="AS346" s="108"/>
      <c r="AT346" s="108"/>
      <c r="AU346" s="108"/>
      <c r="AV346" s="108"/>
      <c r="AW346" s="108"/>
      <c r="AX346" s="108"/>
      <c r="AY346" s="108"/>
      <c r="AZ346" s="108"/>
    </row>
    <row r="347" spans="1:52" s="372" customFormat="1" ht="30.75" customHeight="1">
      <c r="A347" s="30">
        <f>_xlfn.AGGREGATE(4,7,A$22:A346)+1</f>
        <v>325</v>
      </c>
      <c r="B347" s="957" t="s">
        <v>2147</v>
      </c>
      <c r="C347" s="957"/>
      <c r="D347" s="418"/>
      <c r="E347" s="20" t="s">
        <v>2148</v>
      </c>
      <c r="F347" s="81" t="str">
        <f>VLOOKUP(B347,TH.T4!B345:J675,9,FALSE)</f>
        <v>Khoa Động lực</v>
      </c>
      <c r="G347" s="20"/>
      <c r="H347" s="20"/>
      <c r="I347" s="368" t="s">
        <v>2042</v>
      </c>
      <c r="J347" s="605">
        <v>10540257</v>
      </c>
      <c r="K347" s="466">
        <f t="shared" si="62"/>
        <v>7378179.8999999994</v>
      </c>
      <c r="L347" s="606" t="str">
        <f>VLOOKUP(B347,'[13]Gui chi Quynh'!$B$11:$E$400,4,FALSE)</f>
        <v>A4</v>
      </c>
      <c r="M347" s="466">
        <f t="shared" si="66"/>
        <v>7378180</v>
      </c>
      <c r="N347" s="606">
        <v>26</v>
      </c>
      <c r="O347" s="607">
        <f>IFERROR(INDEX('[14]CN HĐ'!$J$10:$J$72,MATCH(B347,'[14]CN HĐ'!$H$10:$H$74,0)),"")</f>
        <v>26</v>
      </c>
      <c r="P347" s="608" t="e">
        <f>IF(M347&gt;#REF!,M347,#REF!)</f>
        <v>#REF!</v>
      </c>
      <c r="Q347" s="466">
        <f t="shared" si="63"/>
        <v>7378180</v>
      </c>
      <c r="R347" s="609"/>
      <c r="S347" s="466">
        <v>0</v>
      </c>
      <c r="T347" s="610"/>
      <c r="U347" s="466">
        <v>0</v>
      </c>
      <c r="V347" s="647">
        <f t="shared" si="64"/>
        <v>105402.57</v>
      </c>
      <c r="W347" s="611">
        <f t="shared" si="65"/>
        <v>7378180</v>
      </c>
      <c r="X347" s="977">
        <f t="shared" si="68"/>
        <v>4.098988888888889</v>
      </c>
      <c r="Y347" s="491">
        <v>1800000</v>
      </c>
      <c r="Z347" s="663">
        <f t="shared" si="67"/>
        <v>7378180</v>
      </c>
      <c r="AA347" s="612">
        <f t="shared" si="60"/>
        <v>325</v>
      </c>
      <c r="AB347" s="613">
        <f>IFERROR(INDEX('[14]CN HĐ'!$M$10:$M$73,MATCH(B347,'[14]CN HĐ'!$H$10:$H$73,0)),"")</f>
        <v>0</v>
      </c>
      <c r="AC347" s="108" t="str">
        <f>VLOOKUP(B347,TH.T4!B344:AC674,28,FALSE)</f>
        <v>ĐL</v>
      </c>
      <c r="AD347" s="108"/>
      <c r="AE347" s="108"/>
      <c r="AF347" s="108"/>
      <c r="AG347" s="108"/>
      <c r="AH347" s="108"/>
      <c r="AI347" s="108"/>
      <c r="AJ347" s="108"/>
      <c r="AK347" s="108"/>
      <c r="AL347" s="108"/>
      <c r="AM347" s="108"/>
      <c r="AN347" s="108"/>
      <c r="AO347" s="108"/>
      <c r="AP347" s="108"/>
      <c r="AQ347" s="108"/>
      <c r="AR347" s="108"/>
      <c r="AS347" s="108"/>
      <c r="AT347" s="108"/>
      <c r="AU347" s="108"/>
      <c r="AV347" s="108"/>
      <c r="AW347" s="108"/>
      <c r="AX347" s="108"/>
      <c r="AY347" s="108"/>
      <c r="AZ347" s="108"/>
    </row>
    <row r="348" spans="1:52" s="372" customFormat="1" ht="31.5" customHeight="1">
      <c r="A348" s="30">
        <f>_xlfn.AGGREGATE(4,7,A$22:A347)+1</f>
        <v>326</v>
      </c>
      <c r="B348" s="957" t="s">
        <v>2149</v>
      </c>
      <c r="C348" s="957"/>
      <c r="D348" s="418" t="s">
        <v>2150</v>
      </c>
      <c r="E348" s="20" t="s">
        <v>11</v>
      </c>
      <c r="F348" s="81" t="str">
        <f>VLOOKUP(B348,TH.T4!B346:J676,9,FALSE)</f>
        <v>NV TT Đào tạo Lý Tự Trọng</v>
      </c>
      <c r="G348" s="20"/>
      <c r="H348" s="20"/>
      <c r="I348" s="368" t="s">
        <v>2038</v>
      </c>
      <c r="J348" s="605">
        <v>6086769</v>
      </c>
      <c r="K348" s="466">
        <f t="shared" si="62"/>
        <v>4260738.3</v>
      </c>
      <c r="L348" s="606" t="str">
        <f>VLOOKUP(B348,'[13]Gui chi Quynh'!$B$11:$E$400,4,FALSE)</f>
        <v>A4</v>
      </c>
      <c r="M348" s="466">
        <f t="shared" si="66"/>
        <v>4260738</v>
      </c>
      <c r="N348" s="606">
        <v>26</v>
      </c>
      <c r="O348" s="607">
        <f>IFERROR(INDEX('[14]CN HĐ'!$J$10:$J$72,MATCH(B348,'[14]CN HĐ'!$H$10:$H$74,0)),"")</f>
        <v>28</v>
      </c>
      <c r="P348" s="608"/>
      <c r="Q348" s="466">
        <f t="shared" si="63"/>
        <v>4260738</v>
      </c>
      <c r="R348" s="609"/>
      <c r="S348" s="466">
        <v>0</v>
      </c>
      <c r="T348" s="610"/>
      <c r="U348" s="466">
        <v>0</v>
      </c>
      <c r="V348" s="647">
        <f t="shared" si="64"/>
        <v>60867.69</v>
      </c>
      <c r="W348" s="611">
        <f t="shared" si="65"/>
        <v>4260738</v>
      </c>
      <c r="X348" s="977">
        <f t="shared" si="68"/>
        <v>2.3670766666666667</v>
      </c>
      <c r="Y348" s="491">
        <v>1800000</v>
      </c>
      <c r="Z348" s="663">
        <f t="shared" si="67"/>
        <v>4260738</v>
      </c>
      <c r="AA348" s="612">
        <f t="shared" si="60"/>
        <v>326</v>
      </c>
      <c r="AB348" s="613">
        <f>IFERROR(INDEX('[14]CN HĐ'!$M$10:$M$73,MATCH(B348,'[14]CN HĐ'!$H$10:$H$73,0)),"")</f>
        <v>0</v>
      </c>
      <c r="AC348" s="108" t="str">
        <f>VLOOKUP(B348,TH.T4!B345:AC675,28,FALSE)</f>
        <v>TTĐT</v>
      </c>
      <c r="AD348" s="108"/>
      <c r="AE348" s="108"/>
      <c r="AF348" s="108"/>
      <c r="AG348" s="108"/>
      <c r="AH348" s="108"/>
      <c r="AI348" s="108"/>
      <c r="AJ348" s="108"/>
      <c r="AK348" s="108"/>
      <c r="AL348" s="108"/>
      <c r="AM348" s="108"/>
      <c r="AN348" s="108"/>
      <c r="AO348" s="108"/>
      <c r="AP348" s="108"/>
      <c r="AQ348" s="108"/>
      <c r="AR348" s="108"/>
      <c r="AS348" s="108"/>
      <c r="AT348" s="108"/>
      <c r="AU348" s="108"/>
      <c r="AV348" s="108"/>
      <c r="AW348" s="108"/>
      <c r="AX348" s="108"/>
      <c r="AY348" s="108"/>
      <c r="AZ348" s="108"/>
    </row>
    <row r="349" spans="1:52" s="372" customFormat="1" ht="32.25" customHeight="1">
      <c r="A349" s="30">
        <f>_xlfn.AGGREGATE(4,7,A$22:A348)+1</f>
        <v>327</v>
      </c>
      <c r="B349" s="957" t="s">
        <v>2151</v>
      </c>
      <c r="C349" s="957"/>
      <c r="D349" s="418"/>
      <c r="E349" s="636"/>
      <c r="F349" s="81" t="str">
        <f>VLOOKUP(B349,TH.T4!B347:J677,9,FALSE)</f>
        <v>NV TT Đào tạo Lý Tự Trọng</v>
      </c>
      <c r="G349" s="636"/>
      <c r="H349" s="636"/>
      <c r="I349" s="368" t="s">
        <v>2031</v>
      </c>
      <c r="J349" s="605">
        <v>4680000</v>
      </c>
      <c r="K349" s="466">
        <f t="shared" si="62"/>
        <v>1404000</v>
      </c>
      <c r="L349" s="606" t="str">
        <f>VLOOKUP(B349,'[13]Gui chi Quynh'!$B$11:$E$400,4,FALSE)</f>
        <v>A3</v>
      </c>
      <c r="M349" s="466">
        <f t="shared" si="66"/>
        <v>1684800</v>
      </c>
      <c r="N349" s="606">
        <v>26</v>
      </c>
      <c r="O349" s="607">
        <v>30</v>
      </c>
      <c r="P349" s="608"/>
      <c r="Q349" s="466">
        <f t="shared" si="63"/>
        <v>1684800</v>
      </c>
      <c r="R349" s="609"/>
      <c r="S349" s="466">
        <v>0</v>
      </c>
      <c r="T349" s="610"/>
      <c r="U349" s="466">
        <v>0</v>
      </c>
      <c r="V349" s="647">
        <f t="shared" si="64"/>
        <v>46800</v>
      </c>
      <c r="W349" s="611">
        <f t="shared" si="65"/>
        <v>1684800</v>
      </c>
      <c r="X349" s="977">
        <f t="shared" si="68"/>
        <v>0.93600000000000005</v>
      </c>
      <c r="Y349" s="491">
        <v>1800000</v>
      </c>
      <c r="Z349" s="663">
        <f t="shared" si="67"/>
        <v>1684800</v>
      </c>
      <c r="AA349" s="612">
        <f t="shared" si="60"/>
        <v>327</v>
      </c>
      <c r="AB349" s="613">
        <f>IFERROR(INDEX('[14]CN HĐ'!$M$10:$M$73,MATCH(B349,'[14]CN HĐ'!$H$10:$H$73,0)),"")</f>
        <v>0</v>
      </c>
      <c r="AC349" s="108" t="str">
        <f>VLOOKUP(B349,TH.T4!B346:AC676,28,FALSE)</f>
        <v>TTĐT</v>
      </c>
    </row>
    <row r="350" spans="1:52" s="372" customFormat="1" ht="27.75" customHeight="1">
      <c r="A350" s="30">
        <f>_xlfn.AGGREGATE(4,7,A$22:A349)+1</f>
        <v>328</v>
      </c>
      <c r="B350" s="957" t="s">
        <v>2152</v>
      </c>
      <c r="C350" s="957" t="s">
        <v>960</v>
      </c>
      <c r="D350" s="418" t="s">
        <v>2153</v>
      </c>
      <c r="E350" s="604" t="s">
        <v>2154</v>
      </c>
      <c r="F350" s="81" t="str">
        <f>VLOOKUP(B350,TH.T4!B348:J678,9,FALSE)</f>
        <v xml:space="preserve">NV Thư viện  </v>
      </c>
      <c r="G350" s="604"/>
      <c r="H350" s="604"/>
      <c r="I350" s="368" t="s">
        <v>2042</v>
      </c>
      <c r="J350" s="605">
        <v>6563942</v>
      </c>
      <c r="K350" s="466">
        <f t="shared" si="62"/>
        <v>4594759.3999999994</v>
      </c>
      <c r="L350" s="606" t="str">
        <f>VLOOKUP(B350,'[13]Gui chi Quynh'!$B$11:$E$400,4,FALSE)</f>
        <v>A3</v>
      </c>
      <c r="M350" s="466">
        <f t="shared" si="66"/>
        <v>5513711</v>
      </c>
      <c r="N350" s="606">
        <v>26</v>
      </c>
      <c r="O350" s="607">
        <f>IFERROR(INDEX('[14]CN HĐ'!$J$10:$J$72,MATCH(B350,'[14]CN HĐ'!$H$10:$H$74,0)),"")</f>
        <v>26</v>
      </c>
      <c r="P350" s="608" t="e">
        <f>IF(M350&gt;#REF!,M350,#REF!)</f>
        <v>#REF!</v>
      </c>
      <c r="Q350" s="466">
        <f t="shared" si="63"/>
        <v>5513711</v>
      </c>
      <c r="R350" s="609"/>
      <c r="S350" s="466">
        <v>0</v>
      </c>
      <c r="T350" s="610"/>
      <c r="U350" s="466">
        <v>0</v>
      </c>
      <c r="V350" s="647">
        <f t="shared" si="64"/>
        <v>65639.42</v>
      </c>
      <c r="W350" s="611">
        <f t="shared" si="65"/>
        <v>5513711</v>
      </c>
      <c r="X350" s="977">
        <f t="shared" si="68"/>
        <v>3.063172777777778</v>
      </c>
      <c r="Y350" s="491">
        <v>1800000</v>
      </c>
      <c r="Z350" s="663">
        <f t="shared" si="67"/>
        <v>5513711</v>
      </c>
      <c r="AA350" s="612">
        <f t="shared" ref="AA350:AA352" si="69">A350</f>
        <v>328</v>
      </c>
      <c r="AB350" s="613">
        <f>IFERROR(INDEX('[14]CN HĐ'!$M$10:$M$73,MATCH(B350,'[14]CN HĐ'!$H$10:$H$73,0)),"")</f>
        <v>0</v>
      </c>
      <c r="AC350" s="108" t="str">
        <f>VLOOKUP(B350,TH.T4!B347:AC677,28,FALSE)</f>
        <v>TTTV</v>
      </c>
      <c r="AD350" s="108"/>
      <c r="AE350" s="108"/>
      <c r="AF350" s="108"/>
      <c r="AG350" s="108"/>
      <c r="AH350" s="108"/>
      <c r="AI350" s="108"/>
      <c r="AJ350" s="108"/>
      <c r="AK350" s="108"/>
      <c r="AL350" s="108"/>
      <c r="AM350" s="108"/>
      <c r="AN350" s="108"/>
      <c r="AO350" s="108"/>
      <c r="AP350" s="108"/>
      <c r="AQ350" s="108"/>
      <c r="AR350" s="108"/>
      <c r="AS350" s="108"/>
      <c r="AT350" s="108"/>
      <c r="AU350" s="108"/>
      <c r="AV350" s="108"/>
      <c r="AW350" s="108"/>
      <c r="AX350" s="108"/>
      <c r="AY350" s="108"/>
      <c r="AZ350" s="108"/>
    </row>
    <row r="351" spans="1:52" s="372" customFormat="1" ht="27.75" customHeight="1">
      <c r="A351" s="30">
        <f>_xlfn.AGGREGATE(4,7,A$22:A350)+1</f>
        <v>329</v>
      </c>
      <c r="B351" s="957" t="s">
        <v>2155</v>
      </c>
      <c r="C351" s="957"/>
      <c r="D351" s="418"/>
      <c r="E351" s="604"/>
      <c r="F351" s="81" t="str">
        <f>VLOOKUP(B351,TH.T4!B349:J679,9,FALSE)</f>
        <v xml:space="preserve">NV Thư viện  </v>
      </c>
      <c r="G351" s="604"/>
      <c r="H351" s="604"/>
      <c r="I351" s="368" t="s">
        <v>2038</v>
      </c>
      <c r="J351" s="605">
        <v>5520879</v>
      </c>
      <c r="K351" s="466">
        <f t="shared" si="62"/>
        <v>3864615.3</v>
      </c>
      <c r="L351" s="606" t="str">
        <f>VLOOKUP(B351,'[13]Gui chi Quynh'!$B$11:$E$400,4,FALSE)</f>
        <v>A3</v>
      </c>
      <c r="M351" s="466">
        <f t="shared" si="66"/>
        <v>4637538</v>
      </c>
      <c r="N351" s="606">
        <v>26</v>
      </c>
      <c r="O351" s="607">
        <f>IFERROR(INDEX('[14]CN HĐ'!$J$10:$J$72,MATCH(B351,'[14]CN HĐ'!$H$10:$H$74,0)),"")</f>
        <v>25</v>
      </c>
      <c r="P351" s="608" t="e">
        <f>IF(M351&gt;#REF!,M351,#REF!)</f>
        <v>#REF!</v>
      </c>
      <c r="Q351" s="466">
        <f t="shared" si="63"/>
        <v>4459171</v>
      </c>
      <c r="R351" s="609"/>
      <c r="S351" s="466">
        <v>0</v>
      </c>
      <c r="T351" s="610"/>
      <c r="U351" s="466">
        <v>0</v>
      </c>
      <c r="V351" s="647">
        <f t="shared" si="64"/>
        <v>55208.79</v>
      </c>
      <c r="W351" s="611">
        <f t="shared" si="65"/>
        <v>4459171</v>
      </c>
      <c r="X351" s="977">
        <f t="shared" si="68"/>
        <v>2.4773172222222222</v>
      </c>
      <c r="Y351" s="491">
        <v>1800000</v>
      </c>
      <c r="Z351" s="663">
        <f t="shared" si="67"/>
        <v>4459171</v>
      </c>
      <c r="AA351" s="612">
        <f t="shared" si="69"/>
        <v>329</v>
      </c>
      <c r="AB351" s="613" t="str">
        <f>IFERROR(INDEX('[14]CN HĐ'!$M$10:$M$73,MATCH(B351,'[14]CN HĐ'!$H$10:$H$73,0)),"")</f>
        <v>Trừ 1 ngày nghỉ phép 18/5</v>
      </c>
      <c r="AC351" s="108" t="str">
        <f>VLOOKUP(B351,TH.T4!B348:AC678,28,FALSE)</f>
        <v>TTTV</v>
      </c>
      <c r="AD351" s="108"/>
      <c r="AE351" s="108"/>
      <c r="AF351" s="108"/>
      <c r="AG351" s="108"/>
      <c r="AH351" s="108"/>
      <c r="AI351" s="108"/>
      <c r="AJ351" s="108"/>
      <c r="AK351" s="108"/>
      <c r="AL351" s="108"/>
      <c r="AM351" s="108"/>
      <c r="AN351" s="108"/>
      <c r="AO351" s="108"/>
      <c r="AP351" s="108"/>
      <c r="AQ351" s="108"/>
      <c r="AR351" s="108"/>
      <c r="AS351" s="108"/>
      <c r="AT351" s="108"/>
      <c r="AU351" s="108"/>
      <c r="AV351" s="108"/>
      <c r="AW351" s="108"/>
      <c r="AX351" s="108"/>
      <c r="AY351" s="108"/>
      <c r="AZ351" s="108"/>
    </row>
    <row r="352" spans="1:52" s="372" customFormat="1" ht="27.75" customHeight="1">
      <c r="A352" s="30">
        <f>_xlfn.AGGREGATE(4,7,A$22:A351)+1</f>
        <v>330</v>
      </c>
      <c r="B352" s="975" t="s">
        <v>2156</v>
      </c>
      <c r="C352" s="975" t="s">
        <v>920</v>
      </c>
      <c r="D352" s="915" t="s">
        <v>2157</v>
      </c>
      <c r="E352" s="637" t="s">
        <v>2158</v>
      </c>
      <c r="F352" s="84" t="str">
        <f>VLOOKUP(B352,TH.T4!B350:J680,9,FALSE)</f>
        <v xml:space="preserve">NV Thư viện  </v>
      </c>
      <c r="G352" s="638"/>
      <c r="H352" s="638"/>
      <c r="I352" s="81" t="s">
        <v>2042</v>
      </c>
      <c r="J352" s="605">
        <v>6563942</v>
      </c>
      <c r="K352" s="466">
        <f t="shared" si="62"/>
        <v>4594759.3999999994</v>
      </c>
      <c r="L352" s="606" t="str">
        <f>VLOOKUP(B352,'[13]Gui chi Quynh'!$B$11:$E$400,4,FALSE)</f>
        <v>A3</v>
      </c>
      <c r="M352" s="466">
        <f t="shared" si="66"/>
        <v>5513711</v>
      </c>
      <c r="N352" s="606">
        <v>26</v>
      </c>
      <c r="O352" s="607">
        <f>IFERROR(INDEX('[14]CN HĐ'!$J$10:$J$72,MATCH(B352,'[14]CN HĐ'!$H$10:$H$74,0)),"")</f>
        <v>26</v>
      </c>
      <c r="P352" s="608" t="e">
        <f>IF(M352&gt;#REF!,M352,#REF!)</f>
        <v>#REF!</v>
      </c>
      <c r="Q352" s="466">
        <f t="shared" si="63"/>
        <v>5513711</v>
      </c>
      <c r="R352" s="609"/>
      <c r="S352" s="466">
        <v>0</v>
      </c>
      <c r="T352" s="610"/>
      <c r="U352" s="466">
        <v>0</v>
      </c>
      <c r="V352" s="647">
        <f t="shared" si="64"/>
        <v>65639.42</v>
      </c>
      <c r="W352" s="611">
        <f t="shared" si="65"/>
        <v>5513711</v>
      </c>
      <c r="X352" s="978">
        <f t="shared" si="68"/>
        <v>3.063172777777778</v>
      </c>
      <c r="Y352" s="491">
        <v>1800000</v>
      </c>
      <c r="Z352" s="663">
        <f t="shared" si="67"/>
        <v>5513711</v>
      </c>
      <c r="AA352" s="612">
        <f t="shared" si="69"/>
        <v>330</v>
      </c>
      <c r="AB352" s="613">
        <f>IFERROR(INDEX('[14]CN HĐ'!$M$10:$M$73,MATCH(B352,'[14]CN HĐ'!$H$10:$H$73,0)),"")</f>
        <v>0</v>
      </c>
      <c r="AC352" s="108" t="str">
        <f>VLOOKUP(B352,TH.T4!B349:AC679,28,FALSE)</f>
        <v>TTTV</v>
      </c>
      <c r="AD352" s="108"/>
      <c r="AE352" s="108"/>
      <c r="AF352" s="108"/>
      <c r="AG352" s="108"/>
      <c r="AH352" s="108"/>
      <c r="AI352" s="108"/>
      <c r="AJ352" s="108"/>
      <c r="AK352" s="108"/>
      <c r="AL352" s="108"/>
      <c r="AM352" s="108"/>
      <c r="AN352" s="108"/>
      <c r="AO352" s="108"/>
      <c r="AP352" s="108"/>
      <c r="AQ352" s="108"/>
      <c r="AR352" s="108"/>
      <c r="AS352" s="108"/>
      <c r="AT352" s="108"/>
      <c r="AU352" s="108"/>
      <c r="AV352" s="108"/>
      <c r="AW352" s="108"/>
      <c r="AX352" s="108"/>
      <c r="AY352" s="108"/>
      <c r="AZ352" s="108"/>
    </row>
    <row r="353" spans="1:32" s="124" customFormat="1" ht="21.75" customHeight="1">
      <c r="A353" s="347"/>
      <c r="B353" s="410" t="s">
        <v>1109</v>
      </c>
      <c r="C353" s="411"/>
      <c r="D353" s="412"/>
      <c r="E353" s="348"/>
      <c r="F353" s="348"/>
      <c r="G353" s="413">
        <f t="shared" ref="G353:L353" si="70">SUM(G23:G288)</f>
        <v>1013.8740000000005</v>
      </c>
      <c r="H353" s="413">
        <f t="shared" si="70"/>
        <v>2.7500000000000004</v>
      </c>
      <c r="I353" s="413">
        <f t="shared" si="70"/>
        <v>1027.4769999999999</v>
      </c>
      <c r="J353" s="413">
        <f t="shared" si="70"/>
        <v>25.099999999999998</v>
      </c>
      <c r="K353" s="413">
        <f t="shared" si="70"/>
        <v>1052.5770000000007</v>
      </c>
      <c r="L353" s="414">
        <f t="shared" si="70"/>
        <v>1894638600</v>
      </c>
      <c r="M353" s="413"/>
      <c r="N353" s="415">
        <f t="shared" ref="N353:W353" si="71">SUM(N23:N288)</f>
        <v>2305509624</v>
      </c>
      <c r="O353" s="415">
        <f t="shared" si="71"/>
        <v>5852</v>
      </c>
      <c r="P353" s="416">
        <f t="shared" si="71"/>
        <v>6005</v>
      </c>
      <c r="Q353" s="415">
        <f t="shared" si="71"/>
        <v>2304283470.5454545</v>
      </c>
      <c r="R353" s="475">
        <f t="shared" si="71"/>
        <v>0</v>
      </c>
      <c r="S353" s="415">
        <f t="shared" si="71"/>
        <v>0</v>
      </c>
      <c r="T353" s="417">
        <f t="shared" si="71"/>
        <v>0</v>
      </c>
      <c r="U353" s="415">
        <f t="shared" si="71"/>
        <v>0</v>
      </c>
      <c r="V353" s="586">
        <f t="shared" si="71"/>
        <v>18766782</v>
      </c>
      <c r="W353" s="415">
        <f t="shared" si="71"/>
        <v>2304283470.5454545</v>
      </c>
      <c r="X353" s="665">
        <f>SUM(X23:X352)</f>
        <v>1436.762828636364</v>
      </c>
      <c r="Y353" s="442"/>
      <c r="Z353" s="981">
        <f>SUM(Z23:Z352)</f>
        <v>2586173091.5454545</v>
      </c>
      <c r="AA353" s="349"/>
      <c r="AB353" s="348"/>
      <c r="AC353" s="438"/>
      <c r="AF353" s="156"/>
    </row>
    <row r="354" spans="1:32" ht="2.25" customHeight="1">
      <c r="G354" s="1"/>
      <c r="H354" s="4"/>
      <c r="L354" s="357"/>
      <c r="M354" s="1"/>
      <c r="N354" s="3"/>
      <c r="O354" s="1"/>
      <c r="P354" s="1"/>
      <c r="Q354" s="3"/>
      <c r="R354" s="451"/>
      <c r="S354" s="3"/>
      <c r="T354" s="382"/>
      <c r="U354" s="3"/>
      <c r="V354" s="581"/>
      <c r="W354" s="3"/>
      <c r="X354" s="3"/>
      <c r="Y354" s="3"/>
      <c r="Z354" s="3"/>
    </row>
    <row r="355" spans="1:32" s="16" customFormat="1" ht="21.75" customHeight="1">
      <c r="B355" s="492" t="s">
        <v>2250</v>
      </c>
      <c r="C355" s="14"/>
      <c r="D355" s="14"/>
      <c r="E355" s="14"/>
      <c r="F355" s="14"/>
      <c r="G355" s="15"/>
      <c r="H355" s="15"/>
      <c r="I355" s="15"/>
      <c r="J355" s="15"/>
      <c r="K355" s="80"/>
      <c r="L355" s="355"/>
      <c r="M355" s="18"/>
      <c r="N355" s="17"/>
      <c r="O355" s="18"/>
      <c r="P355" s="18"/>
      <c r="Q355" s="43"/>
      <c r="R355" s="450"/>
      <c r="S355" s="17"/>
      <c r="T355" s="381"/>
      <c r="U355" s="17"/>
      <c r="V355" s="579"/>
      <c r="W355" s="43"/>
      <c r="X355" s="43"/>
      <c r="Y355" s="43"/>
      <c r="Z355" s="43"/>
      <c r="AB355" s="97"/>
      <c r="AC355" s="106"/>
      <c r="AF355" s="152"/>
    </row>
    <row r="356" spans="1:32" s="16" customFormat="1" ht="3.75" customHeight="1">
      <c r="B356" s="37"/>
      <c r="C356" s="14"/>
      <c r="D356" s="14"/>
      <c r="E356" s="14"/>
      <c r="F356" s="14"/>
      <c r="G356" s="15"/>
      <c r="H356" s="15"/>
      <c r="I356" s="15"/>
      <c r="J356" s="15"/>
      <c r="K356" s="80"/>
      <c r="L356" s="355"/>
      <c r="M356" s="18"/>
      <c r="N356" s="17"/>
      <c r="O356" s="18"/>
      <c r="P356" s="18"/>
      <c r="Q356" s="43"/>
      <c r="R356" s="450"/>
      <c r="S356" s="17"/>
      <c r="T356" s="381"/>
      <c r="U356" s="17"/>
      <c r="V356" s="579"/>
      <c r="W356" s="43"/>
      <c r="X356" s="43"/>
      <c r="Y356" s="43"/>
      <c r="Z356" s="43"/>
      <c r="AB356" s="97"/>
      <c r="AC356" s="106"/>
      <c r="AF356" s="152"/>
    </row>
    <row r="357" spans="1:32" ht="15.75">
      <c r="G357" s="1"/>
      <c r="H357" s="4"/>
      <c r="L357" s="356"/>
      <c r="M357" s="1"/>
      <c r="N357" s="3"/>
      <c r="O357" s="1"/>
      <c r="P357" s="1"/>
      <c r="Q357" s="1"/>
      <c r="R357" s="456"/>
      <c r="S357" s="1"/>
      <c r="T357" s="386"/>
      <c r="U357" s="1566" t="s">
        <v>2249</v>
      </c>
      <c r="V357" s="1566"/>
      <c r="W357" s="1566"/>
      <c r="X357" s="1566"/>
      <c r="Y357" s="1566"/>
      <c r="Z357" s="1566"/>
      <c r="AA357" s="1566"/>
      <c r="AB357" s="1566"/>
    </row>
    <row r="358" spans="1:32" s="16" customFormat="1">
      <c r="A358" s="1543" t="s">
        <v>859</v>
      </c>
      <c r="B358" s="1543"/>
      <c r="C358" s="14"/>
      <c r="D358" s="14"/>
      <c r="E358" s="14"/>
      <c r="F358" s="1552" t="s">
        <v>1191</v>
      </c>
      <c r="G358" s="1552"/>
      <c r="H358" s="1552"/>
      <c r="I358" s="1552"/>
      <c r="J358" s="1552"/>
      <c r="K358" s="1552"/>
      <c r="L358" s="1552"/>
      <c r="M358" s="1552"/>
      <c r="N358" s="1552"/>
      <c r="O358" s="1552"/>
      <c r="P358" s="1552"/>
      <c r="Q358" s="1552"/>
      <c r="R358" s="1552"/>
      <c r="S358" s="1552"/>
      <c r="T358" s="1552"/>
      <c r="U358" s="1552"/>
      <c r="V358" s="1552"/>
      <c r="W358" s="1552"/>
      <c r="X358" s="1552"/>
      <c r="Y358" s="1552"/>
      <c r="Z358" s="1543" t="s">
        <v>41</v>
      </c>
      <c r="AA358" s="1543"/>
      <c r="AB358" s="1543"/>
      <c r="AC358" s="106"/>
      <c r="AF358" s="152"/>
    </row>
    <row r="359" spans="1:32" s="16" customFormat="1" ht="13.5" customHeight="1">
      <c r="A359" s="13"/>
      <c r="B359" s="13"/>
      <c r="C359" s="14"/>
      <c r="D359" s="14"/>
      <c r="E359" s="14"/>
      <c r="F359" s="14"/>
      <c r="G359" s="14"/>
      <c r="H359" s="14"/>
      <c r="I359" s="14"/>
      <c r="J359" s="13"/>
      <c r="K359" s="178"/>
      <c r="L359" s="352"/>
      <c r="M359" s="649"/>
      <c r="N359" s="14"/>
      <c r="O359" s="13"/>
      <c r="P359" s="14"/>
      <c r="Q359" s="13"/>
      <c r="R359" s="457"/>
      <c r="S359" s="13"/>
      <c r="T359" s="387"/>
      <c r="V359" s="587"/>
      <c r="W359" s="13"/>
      <c r="X359" s="13"/>
      <c r="Y359" s="13"/>
      <c r="Z359" s="13"/>
      <c r="AB359" s="98"/>
      <c r="AC359" s="106"/>
      <c r="AF359" s="152"/>
    </row>
    <row r="360" spans="1:32" s="16" customFormat="1" ht="10.5" customHeight="1">
      <c r="A360" s="13"/>
      <c r="B360" s="13"/>
      <c r="C360" s="14"/>
      <c r="D360" s="14"/>
      <c r="E360" s="14"/>
      <c r="F360" s="14"/>
      <c r="G360" s="14"/>
      <c r="H360" s="14"/>
      <c r="I360" s="14"/>
      <c r="J360" s="13"/>
      <c r="K360" s="178"/>
      <c r="L360" s="352"/>
      <c r="M360" s="649">
        <f>COUNTIF(M23:M288,"A1")</f>
        <v>39</v>
      </c>
      <c r="N360" s="14"/>
      <c r="O360" s="13"/>
      <c r="P360" s="14"/>
      <c r="Q360" s="13"/>
      <c r="R360" s="457"/>
      <c r="S360" s="13"/>
      <c r="T360" s="387"/>
      <c r="V360" s="587"/>
      <c r="W360" s="13"/>
      <c r="X360" s="13"/>
      <c r="Y360" s="13"/>
      <c r="Z360" s="13"/>
      <c r="AB360" s="98"/>
      <c r="AC360" s="106"/>
      <c r="AF360" s="152"/>
    </row>
    <row r="361" spans="1:32" s="16" customFormat="1" ht="13.5" customHeight="1">
      <c r="B361" s="940"/>
      <c r="C361" s="940"/>
      <c r="D361" s="940"/>
      <c r="E361" s="940"/>
      <c r="F361" s="940"/>
      <c r="G361" s="940"/>
      <c r="H361" s="940"/>
      <c r="I361" s="940"/>
      <c r="J361" s="940"/>
      <c r="K361" s="940"/>
      <c r="L361" s="940"/>
      <c r="M361" s="940"/>
      <c r="N361" s="940"/>
      <c r="O361" s="940"/>
      <c r="P361" s="940"/>
      <c r="Q361" s="940"/>
      <c r="R361" s="940"/>
      <c r="S361" s="940"/>
      <c r="T361" s="940"/>
      <c r="U361" s="940"/>
      <c r="V361" s="940"/>
      <c r="W361" s="940"/>
      <c r="X361" s="940"/>
      <c r="Y361" s="18"/>
      <c r="Z361" s="18"/>
      <c r="AB361" s="96"/>
      <c r="AC361" s="106"/>
      <c r="AF361" s="152"/>
    </row>
    <row r="362" spans="1:32" s="16" customFormat="1" ht="13.5" customHeight="1">
      <c r="H362" s="21"/>
      <c r="I362" s="18"/>
      <c r="K362" s="178"/>
      <c r="L362" s="352"/>
      <c r="M362" s="649">
        <f>COUNTIF($M$23:$M$288,"A3")</f>
        <v>93</v>
      </c>
      <c r="N362" s="13"/>
      <c r="O362" s="13"/>
      <c r="P362" s="18"/>
      <c r="Q362" s="87"/>
      <c r="R362" s="458"/>
      <c r="S362" s="18"/>
      <c r="T362" s="388"/>
      <c r="U362" s="18"/>
      <c r="V362" s="588"/>
      <c r="W362" s="18"/>
      <c r="X362" s="18"/>
      <c r="Y362" s="18"/>
      <c r="Z362" s="18"/>
      <c r="AB362" s="448"/>
      <c r="AC362" s="106"/>
      <c r="AF362" s="152"/>
    </row>
    <row r="363" spans="1:32" s="16" customFormat="1" ht="13.5" customHeight="1">
      <c r="H363" s="21"/>
      <c r="I363" s="18"/>
      <c r="K363" s="178"/>
      <c r="L363" s="352"/>
      <c r="M363" s="649">
        <f>COUNTIF($M$23:$M$288,"A4")</f>
        <v>89</v>
      </c>
      <c r="N363" s="13"/>
      <c r="O363" s="13"/>
      <c r="P363" s="18"/>
      <c r="Q363" s="44"/>
      <c r="R363" s="458"/>
      <c r="S363" s="18"/>
      <c r="T363" s="388"/>
      <c r="U363" s="18"/>
      <c r="V363" s="588"/>
      <c r="W363" s="44"/>
      <c r="X363" s="44"/>
      <c r="Y363" s="44"/>
      <c r="Z363" s="44"/>
      <c r="AB363" s="96"/>
      <c r="AC363" s="106"/>
      <c r="AF363" s="152"/>
    </row>
    <row r="364" spans="1:32" s="16" customFormat="1" ht="13.5" customHeight="1">
      <c r="H364" s="21"/>
      <c r="I364" s="18"/>
      <c r="J364" s="18"/>
      <c r="K364" s="225"/>
      <c r="L364" s="353"/>
      <c r="M364" s="594"/>
      <c r="N364" s="13"/>
      <c r="O364" s="18"/>
      <c r="P364" s="18"/>
      <c r="Q364" s="18"/>
      <c r="R364" s="458"/>
      <c r="S364" s="18"/>
      <c r="T364" s="388"/>
      <c r="U364" s="18"/>
      <c r="V364" s="588"/>
      <c r="W364" s="18"/>
      <c r="X364" s="18"/>
      <c r="Y364" s="18"/>
      <c r="Z364" s="18"/>
      <c r="AB364" s="448"/>
      <c r="AC364" s="106"/>
      <c r="AF364" s="152"/>
    </row>
    <row r="365" spans="1:32" s="16" customFormat="1" ht="13.5" customHeight="1">
      <c r="H365" s="1553"/>
      <c r="I365" s="1553"/>
      <c r="J365" s="18"/>
      <c r="K365" s="225"/>
      <c r="L365" s="353"/>
      <c r="M365" s="594"/>
      <c r="N365" s="13"/>
      <c r="O365" s="18"/>
      <c r="P365" s="18"/>
      <c r="Q365" s="18"/>
      <c r="R365" s="458"/>
      <c r="S365" s="18"/>
      <c r="T365" s="388"/>
      <c r="U365" s="18"/>
      <c r="V365" s="588"/>
      <c r="W365" s="18"/>
      <c r="X365" s="18"/>
      <c r="Y365" s="18"/>
      <c r="Z365" s="18"/>
      <c r="AB365" s="96"/>
      <c r="AC365" s="106"/>
      <c r="AF365" s="152"/>
    </row>
    <row r="366" spans="1:32" s="16" customFormat="1">
      <c r="A366" s="1543" t="s">
        <v>1827</v>
      </c>
      <c r="B366" s="1543"/>
      <c r="C366" s="13"/>
      <c r="D366" s="13"/>
      <c r="E366" s="13"/>
      <c r="F366" s="1552" t="s">
        <v>1445</v>
      </c>
      <c r="G366" s="1552"/>
      <c r="H366" s="1552"/>
      <c r="I366" s="1552"/>
      <c r="J366" s="1552"/>
      <c r="K366" s="1552"/>
      <c r="L366" s="1552"/>
      <c r="M366" s="1552"/>
      <c r="N366" s="1552"/>
      <c r="O366" s="1552"/>
      <c r="P366" s="1552"/>
      <c r="Q366" s="1552"/>
      <c r="R366" s="1552"/>
      <c r="S366" s="1552"/>
      <c r="T366" s="1552"/>
      <c r="U366" s="1552"/>
      <c r="V366" s="1552"/>
      <c r="W366" s="1552"/>
      <c r="X366" s="1552"/>
      <c r="Y366" s="1552"/>
      <c r="Z366" s="1543" t="s">
        <v>1433</v>
      </c>
      <c r="AA366" s="1543"/>
      <c r="AB366" s="1543"/>
      <c r="AC366" s="106"/>
      <c r="AF366" s="152"/>
    </row>
    <row r="367" spans="1:32" ht="15.75">
      <c r="A367" s="6"/>
      <c r="K367" s="179"/>
      <c r="L367" s="358"/>
      <c r="M367" s="7"/>
      <c r="N367" s="7"/>
    </row>
    <row r="368" spans="1:32" ht="15.75" customHeight="1">
      <c r="A368" s="6"/>
      <c r="K368" s="179"/>
      <c r="L368" s="358"/>
      <c r="M368" s="7"/>
      <c r="N368" s="7"/>
    </row>
    <row r="371" spans="12:12">
      <c r="L371" s="359"/>
    </row>
    <row r="424" ht="15.75" customHeight="1"/>
  </sheetData>
  <sheetProtection deleteColumns="0" deleteRows="0" selectLockedCells="1"/>
  <mergeCells count="37">
    <mergeCell ref="B10:C10"/>
    <mergeCell ref="AA10:AB10"/>
    <mergeCell ref="B11:C11"/>
    <mergeCell ref="AA11:AB11"/>
    <mergeCell ref="Z358:AB358"/>
    <mergeCell ref="F358:Y358"/>
    <mergeCell ref="B22:C22"/>
    <mergeCell ref="AA22:AB22"/>
    <mergeCell ref="A12:M12"/>
    <mergeCell ref="S12:AB12"/>
    <mergeCell ref="A13:M13"/>
    <mergeCell ref="S13:AB13"/>
    <mergeCell ref="A14:M14"/>
    <mergeCell ref="A16:AB16"/>
    <mergeCell ref="A17:AB17"/>
    <mergeCell ref="A18:AB18"/>
    <mergeCell ref="O8:S8"/>
    <mergeCell ref="A4:M4"/>
    <mergeCell ref="Z4:AB4"/>
    <mergeCell ref="Z5:AB5"/>
    <mergeCell ref="A6:AB6"/>
    <mergeCell ref="A7:AB7"/>
    <mergeCell ref="A1:J1"/>
    <mergeCell ref="U1:AB1"/>
    <mergeCell ref="A2:J2"/>
    <mergeCell ref="X2:AB2"/>
    <mergeCell ref="A3:M3"/>
    <mergeCell ref="Z3:AB3"/>
    <mergeCell ref="O19:S19"/>
    <mergeCell ref="B21:C21"/>
    <mergeCell ref="AA21:AB21"/>
    <mergeCell ref="A366:B366"/>
    <mergeCell ref="U357:AB357"/>
    <mergeCell ref="A358:B358"/>
    <mergeCell ref="H365:I365"/>
    <mergeCell ref="F366:Y366"/>
    <mergeCell ref="Z366:AB366"/>
  </mergeCells>
  <conditionalFormatting sqref="A1 K1:M1">
    <cfRule type="cellIs" dxfId="434" priority="60" stopIfTrue="1" operator="equal">
      <formula>"B"</formula>
    </cfRule>
    <cfRule type="cellIs" dxfId="433" priority="59" stopIfTrue="1" operator="equal">
      <formula>"C"</formula>
    </cfRule>
    <cfRule type="cellIs" dxfId="432" priority="58" stopIfTrue="1" operator="equal">
      <formula>"A DN"</formula>
    </cfRule>
    <cfRule type="cellIs" dxfId="431" priority="57" stopIfTrue="1" operator="equal">
      <formula>"KXL"</formula>
    </cfRule>
  </conditionalFormatting>
  <conditionalFormatting sqref="A1:A2 K1:M2 O1:U3 A3:M3 A4:Z5">
    <cfRule type="cellIs" dxfId="430" priority="50" stopIfTrue="1" operator="equal">
      <formula>"A DN"</formula>
    </cfRule>
    <cfRule type="cellIs" dxfId="429" priority="52" stopIfTrue="1" operator="equal">
      <formula>"B"</formula>
    </cfRule>
    <cfRule type="cellIs" dxfId="428" priority="51" stopIfTrue="1" operator="equal">
      <formula>"C"</formula>
    </cfRule>
  </conditionalFormatting>
  <conditionalFormatting sqref="A6:A7">
    <cfRule type="cellIs" dxfId="427" priority="56" stopIfTrue="1" operator="equal">
      <formula>"B"</formula>
    </cfRule>
    <cfRule type="cellIs" dxfId="426" priority="55" stopIfTrue="1" operator="equal">
      <formula>"C"</formula>
    </cfRule>
    <cfRule type="cellIs" dxfId="425" priority="54" stopIfTrue="1" operator="equal">
      <formula>"A DN"</formula>
    </cfRule>
    <cfRule type="cellIs" dxfId="424" priority="53" stopIfTrue="1" operator="equal">
      <formula>"KXL"</formula>
    </cfRule>
  </conditionalFormatting>
  <conditionalFormatting sqref="A24:A352 AA96:AA352 G280:H290 Q289:U289 D289:E290 I289:J291 V289:W292 K289:N352 U290:U329 D291:D292 J292:J329 V293:V329 W293:W352 B310:C319 T311:T329 G327:I329 P330:V352">
    <cfRule type="cellIs" dxfId="423" priority="133" stopIfTrue="1" operator="equal">
      <formula>"C"</formula>
    </cfRule>
    <cfRule type="cellIs" dxfId="422" priority="132" stopIfTrue="1" operator="equal">
      <formula>"A DN"</formula>
    </cfRule>
    <cfRule type="cellIs" dxfId="421" priority="134" stopIfTrue="1" operator="equal">
      <formula>"B"</formula>
    </cfRule>
  </conditionalFormatting>
  <conditionalFormatting sqref="A10:J11">
    <cfRule type="cellIs" dxfId="420" priority="2" stopIfTrue="1" operator="equal">
      <formula>"A DN"</formula>
    </cfRule>
    <cfRule type="cellIs" dxfId="419" priority="3" stopIfTrue="1" operator="equal">
      <formula>"C"</formula>
    </cfRule>
    <cfRule type="cellIs" dxfId="418" priority="4" stopIfTrue="1" operator="equal">
      <formula>"B"</formula>
    </cfRule>
    <cfRule type="cellIs" dxfId="417" priority="1" stopIfTrue="1" operator="equal">
      <formula>"KXL"</formula>
    </cfRule>
  </conditionalFormatting>
  <conditionalFormatting sqref="A12:M13 O12:S13 A14:XFD17 A18 AC18:IY18 A19:XFD21 A22:AA22 AC22:IY23 A23:C23 G23:O24 Q23:W24 E23:E25 B24:C27 AD24:IY27 AC24:AC288 Q25:Q92 U25:W92 M25:O288 AE28:IY28 E29:E31 B29:C36 AD29:IY41 E34:E35 D37:E37 E38:E42 B38:C46 AE42:IY42 AD43:IY60 E44 S45:S63 E49:E53 B49:C60 E55:E56 T59:T60 I61 K61:L61 R62:R63 T62:T63 E62:E66 B62:C73 G62:L73 AD62:IY73 R64:T70 E68 E70:E73 R71:R73 T71:T73 S71:S92 I74 K74:L74 B75:C75 E75 AD75:IY75 R75:R92 T75:T92 G75:L93 D76:E76 AE76:IY76 B77:C92 E78:E81 E85 E91 Q93:W93 W94:W224 D96 G96:K96 AD96:IY105 R96:T125 Q96:Q223 U96:V223 B97:C125 G97:L125 E100 E105 AE106:IY106 AD107:IY125 E117:E121 I126 K126:L126 S126 AD127:IY202 R127:T223 G127:L229 E131:E134 E136:E139 E142:E144 E147:E152 E161:E172 E174 E176:E186 E188:E191 E193:E204 AE203:IY203 AD204:IY211 E206:E215 AE212:IY212 AD213:IY213 AE214:IY214 AD215:IY232 E217:E231 Q224:V224 G230:H267 I230:L288 AE233:IY233 E233:E248 AD234:IY254 AE255:IY255 E255:E267 AD256:IY263 AE264:IY264 AD265:IY268 H268:H279 AE269:IY279 E280:E286 AD280:IY288 A353:AB356 A357:U357 A358:F358 A359:XFD365 A366:F366 AC366:IY366 A367:XFD65613 R49:R60">
    <cfRule type="cellIs" dxfId="416" priority="257" stopIfTrue="1" operator="equal">
      <formula>"C"</formula>
    </cfRule>
  </conditionalFormatting>
  <conditionalFormatting sqref="A12:M13 O12:S13 A14:XFD17 A18 AC18:IY18 A19:XFD21 A22:AA22 AC22:IY23 A23:C23 G23:O24 Q23:W24 E23:E25 B24:C27 AD24:IY27 AC24:AC288 Q25:Q92 U25:W92 M25:O288 AE28:IY28 E29:E31 B29:C36 AD29:IY41 E34:E35 D37:E37 E38:E42 B38:C46 AE42:IY42 AD43:IY60 E44 S45:S63 E49:E53 B49:C60 E55:E56 T59:T60 I61 K61:L61 R62:R63 T62:T63 E62:E66 B62:C73 G62:L73 AD62:IY73 R64:T70 E68 E70:E73 R71:R73 T71:T73 S71:S92 I74 K74:L74 B75:C75 E75 AD75:IY75 R75:R92 T75:T92 G75:L93 D76:E76 AE76:IY76 B77:C92 E78:E81 E85 E91 Q93:W93 W94:W224 D96 G96:K96 AD96:IY105 R96:T125 Q96:Q223 U96:V223 B97:C125 G97:L125 E100 E105 AE106:IY106 AD107:IY125 E117:E121 I126 K126:L126 S126 AD127:IY202 R127:T223 G127:L229 E131:E134 E136:E139 E142:E144 E147:E152 E161:E172 E174 E176:E186 E188:E191 E193:E204 AE203:IY203 AD204:IY211 E206:E215 AE212:IY212 AD213:IY213 AE214:IY214 AD215:IY232 E217:E231 Q224:V224 G230:H267 I230:L288 AE233:IY233 E233:E248 AD234:IY254 AE255:IY255 E255:E267 AD256:IY263 AE264:IY264 AD265:IY268 H268:H279 AE269:IY279 E280:E286 AD280:IY288 A353:AB356 A357:U357 A358:F358 A359:XFD365 A366:F366 AC366:IY366 A367:XFD65613">
    <cfRule type="cellIs" dxfId="415" priority="256" stopIfTrue="1" operator="equal">
      <formula>"A DN"</formula>
    </cfRule>
  </conditionalFormatting>
  <conditionalFormatting sqref="A12:M13 O12:S13 A14:XFD17 A18 AC18:IY18 A19:XFD21 A22:AA22 AC22:IY23 A23:C23 G23:O24 Q23:W24 E23:E25 B24:C27 AD24:IY27 AC24:AC288 Q25:Q92 U25:W92 M25:O288 AE28:IY28 E29:E31 B29:C36 AD29:IY41 E34:E35 D37:E37 E38:E42 B38:C46 AE42:IY42 AD43:IY60 E44 S45:S63 E49:E53 B49:C60 R49:R60 E55:E56 T59:T60 I61 K61:L61 R62:R63 T62:T63 E62:E66 B62:C73 G62:L73 AD62:IY73 R64:T70 E68 E70:E73 R71:R73 T71:T73 S71:S92 I74 K74:L74 B75:C75 E75 AD75:IY75 R75:R92 T75:T92 G75:L93 D76:E76 AE76:IY76 B77:C92 E78:E81 E85 E91 Q93:W93 W94:W224 D96 G96:K96 AD96:IY105 R96:T125 Q96:Q223 U96:V223 B97:C125 G97:L125 E100 E105 AE106:IY106 AD107:IY125 E117:E121 I126 K126:L126 S126 AD127:IY202 R127:T223 G127:L229 E131:E134 E136:E139 E142:E144 E147:E152 E161:E172 E174 E176:E186 E188:E191 E193:E204 AE203:IY203 AD204:IY211 E206:E215 AE212:IY212 AD213:IY213 AE214:IY214 AD215:IY232 E217:E231 Q224:V224 G230:H267 I230:L288 AE233:IY233 E233:E248 AD234:IY254 AE255:IY255 E255:E267 AD256:IY263 AE264:IY264 AD265:IY268 H268:H279 AE269:IY279 E280:E286 AD280:IY288 A353:AB356 A357:U357 A358:F358 A359:XFD365 A366:F366 AC366:IY366 A367:XFD65613">
    <cfRule type="cellIs" dxfId="414" priority="258" stopIfTrue="1" operator="equal">
      <formula>"B"</formula>
    </cfRule>
  </conditionalFormatting>
  <conditionalFormatting sqref="A4:Z5 A1:A2 K1:M2 O1:U3 A3:M3">
    <cfRule type="cellIs" dxfId="413" priority="49" stopIfTrue="1" operator="equal">
      <formula>"KXL"</formula>
    </cfRule>
  </conditionalFormatting>
  <conditionalFormatting sqref="A8:XFD9 AC11:IY13">
    <cfRule type="cellIs" dxfId="412" priority="80" stopIfTrue="1" operator="equal">
      <formula>"B"</formula>
    </cfRule>
    <cfRule type="cellIs" dxfId="411" priority="79" stopIfTrue="1" operator="equal">
      <formula>"C"</formula>
    </cfRule>
    <cfRule type="cellIs" dxfId="410" priority="78" stopIfTrue="1" operator="equal">
      <formula>"A DN"</formula>
    </cfRule>
    <cfRule type="cellIs" dxfId="409" priority="77" stopIfTrue="1" operator="equal">
      <formula>"KXL"</formula>
    </cfRule>
  </conditionalFormatting>
  <conditionalFormatting sqref="B61:C61 G61:H61 J61 R61 T61 AD61:IY61 AD74:IY74 AD126:IY126">
    <cfRule type="cellIs" dxfId="408" priority="248" stopIfTrue="1" operator="equal">
      <formula>"C"</formula>
    </cfRule>
    <cfRule type="cellIs" dxfId="407" priority="249" stopIfTrue="1" operator="equal">
      <formula>"B"</formula>
    </cfRule>
  </conditionalFormatting>
  <conditionalFormatting sqref="B74:C74 G74:H74 J74 R74 T74">
    <cfRule type="cellIs" dxfId="406" priority="246" stopIfTrue="1" operator="equal">
      <formula>"B"</formula>
    </cfRule>
    <cfRule type="cellIs" dxfId="405" priority="245" stopIfTrue="1" operator="equal">
      <formula>"C"</formula>
    </cfRule>
    <cfRule type="cellIs" dxfId="404" priority="247" stopIfTrue="1" operator="equal">
      <formula>"A DN"</formula>
    </cfRule>
  </conditionalFormatting>
  <conditionalFormatting sqref="B126:C126 G126:H126 J126 R126 T126">
    <cfRule type="cellIs" dxfId="403" priority="243" stopIfTrue="1" operator="equal">
      <formula>"B"</formula>
    </cfRule>
    <cfRule type="cellIs" dxfId="402" priority="244" stopIfTrue="1" operator="equal">
      <formula>"A DN"</formula>
    </cfRule>
    <cfRule type="cellIs" dxfId="401" priority="242" stopIfTrue="1" operator="equal">
      <formula>"C"</formula>
    </cfRule>
  </conditionalFormatting>
  <conditionalFormatting sqref="B127:C288 Q225:W288">
    <cfRule type="cellIs" dxfId="400" priority="251" stopIfTrue="1" operator="equal">
      <formula>"KXL"</formula>
    </cfRule>
    <cfRule type="cellIs" dxfId="399" priority="252" stopIfTrue="1" operator="equal">
      <formula>"A DN"</formula>
    </cfRule>
    <cfRule type="cellIs" dxfId="398" priority="253" stopIfTrue="1" operator="equal">
      <formula>"C"</formula>
    </cfRule>
    <cfRule type="cellIs" dxfId="397" priority="254" stopIfTrue="1" operator="equal">
      <formula>"B"</formula>
    </cfRule>
  </conditionalFormatting>
  <conditionalFormatting sqref="D306:E309">
    <cfRule type="cellIs" dxfId="396" priority="114" stopIfTrue="1" operator="equal">
      <formula>"KXL"</formula>
    </cfRule>
    <cfRule type="cellIs" dxfId="395" priority="117" stopIfTrue="1" operator="equal">
      <formula>"B"</formula>
    </cfRule>
    <cfRule type="cellIs" dxfId="394" priority="115" stopIfTrue="1" operator="equal">
      <formula>"A DN"</formula>
    </cfRule>
    <cfRule type="cellIs" dxfId="393" priority="116" stopIfTrue="1" operator="equal">
      <formula>"C"</formula>
    </cfRule>
  </conditionalFormatting>
  <conditionalFormatting sqref="D320:E352 G330:J352">
    <cfRule type="cellIs" dxfId="392" priority="87" stopIfTrue="1" operator="equal">
      <formula>"A DN"</formula>
    </cfRule>
    <cfRule type="cellIs" dxfId="391" priority="89" stopIfTrue="1" operator="equal">
      <formula>"B"</formula>
    </cfRule>
    <cfRule type="cellIs" dxfId="390" priority="88" stopIfTrue="1" operator="equal">
      <formula>"C"</formula>
    </cfRule>
    <cfRule type="cellIs" dxfId="389" priority="86" stopIfTrue="1" operator="equal">
      <formula>"KXL"</formula>
    </cfRule>
  </conditionalFormatting>
  <conditionalFormatting sqref="E126:E129">
    <cfRule type="cellIs" dxfId="388" priority="241" stopIfTrue="1" operator="equal">
      <formula>"B"</formula>
    </cfRule>
    <cfRule type="cellIs" dxfId="387" priority="240" stopIfTrue="1" operator="equal">
      <formula>"C"</formula>
    </cfRule>
    <cfRule type="cellIs" dxfId="386" priority="239" stopIfTrue="1" operator="equal">
      <formula>"A DN"</formula>
    </cfRule>
    <cfRule type="cellIs" dxfId="385" priority="238" stopIfTrue="1" operator="equal">
      <formula>"KXL"</formula>
    </cfRule>
  </conditionalFormatting>
  <conditionalFormatting sqref="E300:E305 G300:H310">
    <cfRule type="cellIs" dxfId="384" priority="110" stopIfTrue="1" operator="equal">
      <formula>"KXL"</formula>
    </cfRule>
    <cfRule type="cellIs" dxfId="383" priority="111" stopIfTrue="1" operator="equal">
      <formula>"A DN"</formula>
    </cfRule>
    <cfRule type="cellIs" dxfId="382" priority="112" stopIfTrue="1" operator="equal">
      <formula>"C"</formula>
    </cfRule>
    <cfRule type="cellIs" dxfId="381" priority="113" stopIfTrue="1" operator="equal">
      <formula>"B"</formula>
    </cfRule>
  </conditionalFormatting>
  <conditionalFormatting sqref="E310">
    <cfRule type="cellIs" dxfId="380" priority="123" stopIfTrue="1" operator="equal">
      <formula>"A DN"</formula>
    </cfRule>
    <cfRule type="cellIs" dxfId="379" priority="122" stopIfTrue="1" operator="equal">
      <formula>"KXL"</formula>
    </cfRule>
    <cfRule type="cellIs" dxfId="378" priority="124" stopIfTrue="1" operator="equal">
      <formula>"C"</formula>
    </cfRule>
    <cfRule type="cellIs" dxfId="377" priority="125" stopIfTrue="1" operator="equal">
      <formula>"B"</formula>
    </cfRule>
  </conditionalFormatting>
  <conditionalFormatting sqref="E313 G313:H313">
    <cfRule type="cellIs" dxfId="376" priority="108" stopIfTrue="1" operator="equal">
      <formula>"C"</formula>
    </cfRule>
    <cfRule type="cellIs" dxfId="375" priority="109" stopIfTrue="1" operator="equal">
      <formula>"B"</formula>
    </cfRule>
    <cfRule type="cellIs" dxfId="374" priority="106" stopIfTrue="1" operator="equal">
      <formula>"KXL"</formula>
    </cfRule>
    <cfRule type="cellIs" dxfId="373" priority="107" stopIfTrue="1" operator="equal">
      <formula>"A DN"</formula>
    </cfRule>
  </conditionalFormatting>
  <conditionalFormatting sqref="G320:H326">
    <cfRule type="cellIs" dxfId="372" priority="101" stopIfTrue="1" operator="equal">
      <formula>"B"</formula>
    </cfRule>
    <cfRule type="cellIs" dxfId="371" priority="100" stopIfTrue="1" operator="equal">
      <formula>"C"</formula>
    </cfRule>
    <cfRule type="cellIs" dxfId="370" priority="99" stopIfTrue="1" operator="equal">
      <formula>"A DN"</formula>
    </cfRule>
    <cfRule type="cellIs" dxfId="369" priority="98" stopIfTrue="1" operator="equal">
      <formula>"KXL"</formula>
    </cfRule>
  </conditionalFormatting>
  <conditionalFormatting sqref="G25:L60 R45:R48 T45:T57 D47:E47 D48">
    <cfRule type="cellIs" dxfId="368" priority="231" stopIfTrue="1" operator="equal">
      <formula>"A DN"</formula>
    </cfRule>
    <cfRule type="cellIs" dxfId="367" priority="232" stopIfTrue="1" operator="equal">
      <formula>"C"</formula>
    </cfRule>
    <cfRule type="cellIs" dxfId="366" priority="233" stopIfTrue="1" operator="equal">
      <formula>"B"</formula>
    </cfRule>
  </conditionalFormatting>
  <conditionalFormatting sqref="G25:L60 T45:T57 R45:R60 D47:E47 D48">
    <cfRule type="cellIs" dxfId="365" priority="230" stopIfTrue="1" operator="equal">
      <formula>"KXL"</formula>
    </cfRule>
  </conditionalFormatting>
  <conditionalFormatting sqref="G23:O24 M25:O288 A12:M13 O12:S13 A14:XFD17 A18 AC18:IY18 A19:XFD21 A22:AA22 AC22:IY23 A23:C23 Q23:W24 E23:E25 B24:C27 AD24:IY27 AC24:AC288 Q25:Q92 U25:W92 AE28:IY28 E29:E31 B29:C36 AD29:IY41 E34:E35 D37:E37 E38:E42 B38:C46 AE42:IY42 AD43:IY60 E44 S45:S63 E49:E53 B49:C60 E55:E56 T59:T60 I61 K61:L61 R62:R63 T62:T63 E62:E66 B62:C73 G62:L73 AD62:IY73 R64:T70 E68 E70:E73 R71:R73 T71:T73 S71:S92 I74 K74:L74 B75:C75 E75 AD75:IY75 R75:R92 T75:T92 G75:L93 D76:E76 AE76:IY76 B77:C92 E78:E81 E85 E91 Q93:W93 W94:W224 D96 G96:K96 AD96:IY105 R96:T125 Q96:Q223 U96:V223 B97:C125 G97:L125 E100 E105 AE106:IY106 AD107:IY125 E117:E121 I126 K126:L126 S126 AD127:IY202 R127:T223 G127:L229 E131:E134 E136:E139 E142:E144 E147:E152 E161:E172 E174 E176:E186 E188:E191 E193:E204 AE203:IY203 AD204:IY211 E206:E215 AE212:IY212 AD213:IY213 AE214:IY214 AD215:IY232 E217:E231 Q224:V224 G230:H267 I230:L288 AE233:IY233 E233:E248 AD234:IY254 AE255:IY255 E255:E267 AD256:IY263 AE264:IY264 AD265:IY268 H268:H279 AE269:IY279 E280:E286 AD280:IY288 A353:AB356 A357:U357 A358:F358 A359:XFD365 A366:F366 AC366:IY366 A367:XFD65613">
    <cfRule type="cellIs" dxfId="364" priority="255" stopIfTrue="1" operator="equal">
      <formula>"KXL"</formula>
    </cfRule>
  </conditionalFormatting>
  <conditionalFormatting sqref="I292:I326">
    <cfRule type="cellIs" dxfId="363" priority="85" stopIfTrue="1" operator="equal">
      <formula>"B"</formula>
    </cfRule>
    <cfRule type="cellIs" dxfId="362" priority="83" stopIfTrue="1" operator="equal">
      <formula>"A DN"</formula>
    </cfRule>
    <cfRule type="cellIs" dxfId="361" priority="84" stopIfTrue="1" operator="equal">
      <formula>"C"</formula>
    </cfRule>
    <cfRule type="cellIs" dxfId="360" priority="82" stopIfTrue="1" operator="equal">
      <formula>"KXL"</formula>
    </cfRule>
  </conditionalFormatting>
  <conditionalFormatting sqref="K289:N352 A24:A352 AA96:AA352 G280:H290 Q289:U289 D289:E290 I289:J291 V289:W292 U290:U329 D291:D292 J292:J329 V293:V329 W293:W352 B310:C319 T311:T329 G327:I329 P330:V352">
    <cfRule type="cellIs" dxfId="359" priority="131" stopIfTrue="1" operator="equal">
      <formula>"KXL"</formula>
    </cfRule>
  </conditionalFormatting>
  <conditionalFormatting sqref="K10:Y11">
    <cfRule type="cellIs" dxfId="358" priority="29" stopIfTrue="1" operator="equal">
      <formula>"KXL"</formula>
    </cfRule>
    <cfRule type="cellIs" dxfId="357" priority="30" stopIfTrue="1" operator="equal">
      <formula>"A DN"</formula>
    </cfRule>
    <cfRule type="cellIs" dxfId="356" priority="32" stopIfTrue="1" operator="equal">
      <formula>"B"</formula>
    </cfRule>
    <cfRule type="cellIs" dxfId="355" priority="31" stopIfTrue="1" operator="equal">
      <formula>"C"</formula>
    </cfRule>
  </conditionalFormatting>
  <conditionalFormatting sqref="L289:L352">
    <cfRule type="cellIs" dxfId="352" priority="196" operator="equal">
      <formula>"D"</formula>
    </cfRule>
    <cfRule type="cellIs" dxfId="351" priority="197" operator="equal">
      <formula>"C2"</formula>
    </cfRule>
    <cfRule type="cellIs" dxfId="350" priority="199" operator="equal">
      <formula>"C"</formula>
    </cfRule>
    <cfRule type="cellIs" dxfId="349" priority="200" operator="equal">
      <formula>"B2"</formula>
    </cfRule>
    <cfRule type="cellIs" dxfId="348" priority="198" operator="equal">
      <formula>"C1"</formula>
    </cfRule>
    <cfRule type="cellIs" dxfId="347" priority="195" operator="equal">
      <formula>"A DN"</formula>
    </cfRule>
    <cfRule type="cellIs" dxfId="346" priority="204" operator="greaterThan">
      <formula>B</formula>
    </cfRule>
    <cfRule type="cellIs" dxfId="345" priority="130" stopIfTrue="1" operator="equal">
      <formula>"D"</formula>
    </cfRule>
    <cfRule type="cellIs" dxfId="343" priority="203" operator="equal">
      <formula>"B1"</formula>
    </cfRule>
    <cfRule type="cellIs" dxfId="342" priority="202" operator="equal">
      <formula>"B"</formula>
    </cfRule>
    <cfRule type="cellIs" dxfId="341" priority="201" operator="equal">
      <formula>"B1"</formula>
    </cfRule>
  </conditionalFormatting>
  <conditionalFormatting sqref="L300:L343">
    <cfRule type="cellIs" dxfId="338" priority="166" operator="equal">
      <formula>"B"</formula>
    </cfRule>
    <cfRule type="cellIs" dxfId="337" priority="167" operator="equal">
      <formula>"B1"</formula>
    </cfRule>
    <cfRule type="cellIs" dxfId="336" priority="168" operator="greaterThan">
      <formula>B</formula>
    </cfRule>
    <cfRule type="cellIs" dxfId="335" priority="159" operator="equal">
      <formula>"A DN"</formula>
    </cfRule>
    <cfRule type="cellIs" dxfId="334" priority="160" operator="equal">
      <formula>"D"</formula>
    </cfRule>
    <cfRule type="cellIs" dxfId="333" priority="161" operator="equal">
      <formula>"C2"</formula>
    </cfRule>
    <cfRule type="cellIs" dxfId="332" priority="162" operator="equal">
      <formula>"C1"</formula>
    </cfRule>
    <cfRule type="cellIs" dxfId="331" priority="163" operator="equal">
      <formula>"C"</formula>
    </cfRule>
    <cfRule type="cellIs" dxfId="330" priority="164" operator="equal">
      <formula>"B2"</formula>
    </cfRule>
    <cfRule type="cellIs" dxfId="329" priority="165" operator="equal">
      <formula>"B1"</formula>
    </cfRule>
  </conditionalFormatting>
  <conditionalFormatting sqref="L305:L333 L343:L352">
    <cfRule type="cellIs" dxfId="326" priority="149" operator="equal">
      <formula>"C2"</formula>
    </cfRule>
    <cfRule type="cellIs" dxfId="325" priority="148" operator="equal">
      <formula>"D"</formula>
    </cfRule>
    <cfRule type="cellIs" dxfId="324" priority="147" operator="equal">
      <formula>"A DN"</formula>
    </cfRule>
    <cfRule type="cellIs" dxfId="323" priority="156" operator="greaterThan">
      <formula>B</formula>
    </cfRule>
    <cfRule type="cellIs" dxfId="322" priority="155" operator="equal">
      <formula>"B1"</formula>
    </cfRule>
    <cfRule type="cellIs" dxfId="321" priority="154" operator="equal">
      <formula>"B"</formula>
    </cfRule>
    <cfRule type="cellIs" dxfId="320" priority="153" operator="equal">
      <formula>"B1"</formula>
    </cfRule>
    <cfRule type="cellIs" dxfId="319" priority="152" operator="equal">
      <formula>"B2"</formula>
    </cfRule>
    <cfRule type="cellIs" dxfId="318" priority="151" operator="equal">
      <formula>"C"</formula>
    </cfRule>
    <cfRule type="cellIs" dxfId="317" priority="150" operator="equal">
      <formula>"C1"</formula>
    </cfRule>
  </conditionalFormatting>
  <conditionalFormatting sqref="L319 L346:L352">
    <cfRule type="cellIs" dxfId="316" priority="186" operator="equal">
      <formula>"C1"</formula>
    </cfRule>
    <cfRule type="cellIs" dxfId="315" priority="192" operator="greaterThan">
      <formula>B</formula>
    </cfRule>
    <cfRule type="cellIs" dxfId="312" priority="189" operator="equal">
      <formula>"B1"</formula>
    </cfRule>
    <cfRule type="cellIs" dxfId="311" priority="190" operator="equal">
      <formula>"B"</formula>
    </cfRule>
    <cfRule type="cellIs" dxfId="310" priority="191" operator="equal">
      <formula>"B1"</formula>
    </cfRule>
    <cfRule type="cellIs" dxfId="309" priority="183" operator="equal">
      <formula>"A DN"</formula>
    </cfRule>
    <cfRule type="cellIs" dxfId="308" priority="184" operator="equal">
      <formula>"D"</formula>
    </cfRule>
    <cfRule type="cellIs" dxfId="307" priority="185" operator="equal">
      <formula>"C2"</formula>
    </cfRule>
    <cfRule type="cellIs" dxfId="306" priority="187" operator="equal">
      <formula>"C"</formula>
    </cfRule>
    <cfRule type="cellIs" dxfId="305" priority="188" operator="equal">
      <formula>"B2"</formula>
    </cfRule>
  </conditionalFormatting>
  <conditionalFormatting sqref="L319:L352">
    <cfRule type="cellIs" dxfId="304" priority="171" operator="equal">
      <formula>"A DN"</formula>
    </cfRule>
    <cfRule type="cellIs" dxfId="303" priority="172" operator="equal">
      <formula>"D"</formula>
    </cfRule>
    <cfRule type="cellIs" dxfId="301" priority="175" operator="equal">
      <formula>"C"</formula>
    </cfRule>
    <cfRule type="cellIs" dxfId="300" priority="176" operator="equal">
      <formula>"B2"</formula>
    </cfRule>
    <cfRule type="cellIs" dxfId="299" priority="177" operator="equal">
      <formula>"B1"</formula>
    </cfRule>
    <cfRule type="cellIs" dxfId="298" priority="173" operator="equal">
      <formula>"C2"</formula>
    </cfRule>
    <cfRule type="cellIs" dxfId="297" priority="178" operator="equal">
      <formula>"B"</formula>
    </cfRule>
    <cfRule type="cellIs" dxfId="296" priority="179" operator="equal">
      <formula>"B1"</formula>
    </cfRule>
    <cfRule type="cellIs" dxfId="295" priority="180" operator="greaterThan">
      <formula>B</formula>
    </cfRule>
    <cfRule type="cellIs" dxfId="293" priority="174" operator="equal">
      <formula>"C1"</formula>
    </cfRule>
  </conditionalFormatting>
  <conditionalFormatting sqref="L320:L335">
    <cfRule type="cellIs" dxfId="292" priority="140" operator="equal">
      <formula>"B2"</formula>
    </cfRule>
    <cfRule type="cellIs" dxfId="291" priority="139" operator="equal">
      <formula>"C"</formula>
    </cfRule>
    <cfRule type="cellIs" dxfId="290" priority="137" operator="equal">
      <formula>"C2"</formula>
    </cfRule>
    <cfRule type="cellIs" dxfId="289" priority="138" operator="equal">
      <formula>"C1"</formula>
    </cfRule>
    <cfRule type="cellIs" dxfId="288" priority="136" operator="equal">
      <formula>"D"</formula>
    </cfRule>
    <cfRule type="cellIs" dxfId="287" priority="135" operator="equal">
      <formula>"A DN"</formula>
    </cfRule>
    <cfRule type="cellIs" dxfId="285" priority="144" operator="greaterThan">
      <formula>B</formula>
    </cfRule>
    <cfRule type="cellIs" dxfId="284" priority="143" operator="equal">
      <formula>"B1"</formula>
    </cfRule>
    <cfRule type="cellIs" dxfId="283" priority="142" operator="equal">
      <formula>"B"</formula>
    </cfRule>
    <cfRule type="cellIs" dxfId="282" priority="141" operator="equal">
      <formula>"B1"</formula>
    </cfRule>
  </conditionalFormatting>
  <conditionalFormatting sqref="M23:M274 M286:M288">
    <cfRule type="expression" dxfId="279" priority="229" stopIfTrue="1">
      <formula>B12</formula>
    </cfRule>
    <cfRule type="expression" dxfId="278" priority="228" stopIfTrue="1">
      <formula>$B12</formula>
    </cfRule>
    <cfRule type="expression" dxfId="277" priority="227" stopIfTrue="1">
      <formula>"if=B1"</formula>
    </cfRule>
  </conditionalFormatting>
  <conditionalFormatting sqref="M23:M274">
    <cfRule type="expression" dxfId="276" priority="296" stopIfTrue="1">
      <formula>B12</formula>
    </cfRule>
    <cfRule type="expression" dxfId="275" priority="301" stopIfTrue="1">
      <formula>B12</formula>
    </cfRule>
    <cfRule type="cellIs" dxfId="274" priority="300" stopIfTrue="1" operator="equal">
      <formula>"B2"</formula>
    </cfRule>
    <cfRule type="expression" dxfId="273" priority="299" stopIfTrue="1">
      <formula>B12</formula>
    </cfRule>
    <cfRule type="cellIs" dxfId="272" priority="298" stopIfTrue="1" operator="equal">
      <formula>"B1"</formula>
    </cfRule>
    <cfRule type="cellIs" dxfId="271" priority="297" stopIfTrue="1" operator="equal">
      <formula>"D"</formula>
    </cfRule>
    <cfRule type="cellIs" dxfId="270" priority="295" stopIfTrue="1" operator="equal">
      <formula>"B1"</formula>
    </cfRule>
  </conditionalFormatting>
  <conditionalFormatting sqref="M23:M288">
    <cfRule type="cellIs" dxfId="269" priority="262" stopIfTrue="1" operator="equal">
      <formula>"C2"</formula>
    </cfRule>
    <cfRule type="cellIs" dxfId="268" priority="280" stopIfTrue="1" operator="equal">
      <formula>"B2"</formula>
    </cfRule>
    <cfRule type="cellIs" dxfId="267" priority="265" stopIfTrue="1" operator="equal">
      <formula>"D"</formula>
    </cfRule>
    <cfRule type="cellIs" dxfId="266" priority="264" stopIfTrue="1" operator="equal">
      <formula>"C2"</formula>
    </cfRule>
    <cfRule type="cellIs" dxfId="265" priority="263" stopIfTrue="1" operator="equal">
      <formula>"C1"</formula>
    </cfRule>
    <cfRule type="cellIs" dxfId="264" priority="272" stopIfTrue="1" operator="equal">
      <formula>"C2"</formula>
    </cfRule>
    <cfRule type="cellIs" dxfId="263" priority="273" stopIfTrue="1" operator="equal">
      <formula>"C1"</formula>
    </cfRule>
    <cfRule type="cellIs" dxfId="262" priority="271" stopIfTrue="1" operator="equal">
      <formula>"D1"</formula>
    </cfRule>
    <cfRule type="cellIs" dxfId="261" priority="270" stopIfTrue="1" operator="equal">
      <formula>"D"</formula>
    </cfRule>
    <cfRule type="cellIs" dxfId="260" priority="269" stopIfTrue="1" operator="equal">
      <formula>"E"</formula>
    </cfRule>
    <cfRule type="cellIs" dxfId="259" priority="268" stopIfTrue="1" operator="equal">
      <formula>"A DN"</formula>
    </cfRule>
    <cfRule type="cellIs" dxfId="258" priority="267" stopIfTrue="1" operator="equal">
      <formula>"A DN"</formula>
    </cfRule>
    <cfRule type="cellIs" dxfId="257" priority="266" stopIfTrue="1" operator="equal">
      <formula>"E"</formula>
    </cfRule>
  </conditionalFormatting>
  <conditionalFormatting sqref="M275:M284">
    <cfRule type="expression" dxfId="256" priority="260" stopIfTrue="1">
      <formula>$B265</formula>
    </cfRule>
    <cfRule type="expression" dxfId="255" priority="259" stopIfTrue="1">
      <formula>"if=B1"</formula>
    </cfRule>
    <cfRule type="expression" dxfId="254" priority="261" stopIfTrue="1">
      <formula>B265</formula>
    </cfRule>
  </conditionalFormatting>
  <conditionalFormatting sqref="M275:M288">
    <cfRule type="expression" dxfId="253" priority="281" stopIfTrue="1">
      <formula>B265</formula>
    </cfRule>
    <cfRule type="cellIs" dxfId="252" priority="274" stopIfTrue="1" operator="equal">
      <formula>"B2"</formula>
    </cfRule>
    <cfRule type="expression" dxfId="251" priority="279" stopIfTrue="1">
      <formula>B265</formula>
    </cfRule>
    <cfRule type="cellIs" dxfId="250" priority="278" stopIfTrue="1" operator="equal">
      <formula>"B1"</formula>
    </cfRule>
    <cfRule type="cellIs" dxfId="249" priority="275" stopIfTrue="1" operator="equal">
      <formula>"B1"</formula>
    </cfRule>
    <cfRule type="expression" dxfId="248" priority="276" stopIfTrue="1">
      <formula>B265</formula>
    </cfRule>
    <cfRule type="cellIs" dxfId="247" priority="277" stopIfTrue="1" operator="equal">
      <formula>"D"</formula>
    </cfRule>
  </conditionalFormatting>
  <conditionalFormatting sqref="M285">
    <cfRule type="expression" dxfId="246" priority="302" stopIfTrue="1">
      <formula>"if=B1"</formula>
    </cfRule>
    <cfRule type="expression" dxfId="245" priority="303" stopIfTrue="1">
      <formula>#REF!</formula>
    </cfRule>
    <cfRule type="expression" dxfId="244" priority="304" stopIfTrue="1">
      <formula>#REF!</formula>
    </cfRule>
  </conditionalFormatting>
  <conditionalFormatting sqref="P289:P329 AC289:IY358 T290:T309 Q290:S329 B293:C305">
    <cfRule type="cellIs" dxfId="243" priority="126" stopIfTrue="1" operator="equal">
      <formula>"KXL"</formula>
    </cfRule>
    <cfRule type="cellIs" dxfId="242" priority="128" stopIfTrue="1" operator="equal">
      <formula>"C"</formula>
    </cfRule>
    <cfRule type="cellIs" dxfId="241" priority="129" stopIfTrue="1" operator="equal">
      <formula>"B"</formula>
    </cfRule>
    <cfRule type="cellIs" dxfId="240" priority="127" stopIfTrue="1" operator="equal">
      <formula>"A DN"</formula>
    </cfRule>
  </conditionalFormatting>
  <conditionalFormatting sqref="R49:R61 B61:C61 G61:H61 J61 T61 AD61:IY61 AD74:IY74 AD126:IY126">
    <cfRule type="cellIs" dxfId="239" priority="250" stopIfTrue="1" operator="equal">
      <formula>"A DN"</formula>
    </cfRule>
  </conditionalFormatting>
  <conditionalFormatting sqref="R25:T44 D28:E28">
    <cfRule type="cellIs" dxfId="238" priority="234" stopIfTrue="1" operator="equal">
      <formula>"KXL"</formula>
    </cfRule>
    <cfRule type="cellIs" dxfId="237" priority="237" stopIfTrue="1" operator="equal">
      <formula>"B"</formula>
    </cfRule>
    <cfRule type="cellIs" dxfId="236" priority="236" stopIfTrue="1" operator="equal">
      <formula>"C"</formula>
    </cfRule>
    <cfRule type="cellIs" dxfId="235" priority="235" stopIfTrue="1" operator="equal">
      <formula>"A DN"</formula>
    </cfRule>
  </conditionalFormatting>
  <conditionalFormatting sqref="X10:Y11">
    <cfRule type="cellIs" dxfId="234" priority="23" stopIfTrue="1" operator="equal">
      <formula>"C"</formula>
    </cfRule>
    <cfRule type="cellIs" dxfId="233" priority="22" stopIfTrue="1" operator="equal">
      <formula>"A DN"</formula>
    </cfRule>
    <cfRule type="cellIs" dxfId="232" priority="21" stopIfTrue="1" operator="equal">
      <formula>"KXL"</formula>
    </cfRule>
    <cfRule type="cellIs" dxfId="231" priority="24" stopIfTrue="1" operator="equal">
      <formula>"B"</formula>
    </cfRule>
  </conditionalFormatting>
  <conditionalFormatting sqref="Z5">
    <cfRule type="cellIs" dxfId="230" priority="48" stopIfTrue="1" operator="equal">
      <formula>"B"</formula>
    </cfRule>
    <cfRule type="cellIs" dxfId="229" priority="47" stopIfTrue="1" operator="equal">
      <formula>"C"</formula>
    </cfRule>
    <cfRule type="cellIs" dxfId="228" priority="46" stopIfTrue="1" operator="equal">
      <formula>"A DN"</formula>
    </cfRule>
    <cfRule type="cellIs" dxfId="227" priority="45" stopIfTrue="1" operator="equal">
      <formula>"KXL"</formula>
    </cfRule>
  </conditionalFormatting>
  <conditionalFormatting sqref="Z11">
    <cfRule type="cellIs" dxfId="226" priority="5" stopIfTrue="1" operator="equal">
      <formula>"KXL"</formula>
    </cfRule>
    <cfRule type="cellIs" dxfId="225" priority="8" stopIfTrue="1" operator="equal">
      <formula>"B"</formula>
    </cfRule>
    <cfRule type="cellIs" dxfId="224" priority="7" stopIfTrue="1" operator="equal">
      <formula>"C"</formula>
    </cfRule>
    <cfRule type="cellIs" dxfId="223" priority="6" stopIfTrue="1" operator="equal">
      <formula>"A DN"</formula>
    </cfRule>
  </conditionalFormatting>
  <conditionalFormatting sqref="Z10:XFD10">
    <cfRule type="cellIs" dxfId="222" priority="16" stopIfTrue="1" operator="equal">
      <formula>"B"</formula>
    </cfRule>
    <cfRule type="cellIs" dxfId="221" priority="14" stopIfTrue="1" operator="equal">
      <formula>"A DN"</formula>
    </cfRule>
    <cfRule type="cellIs" dxfId="220" priority="13" stopIfTrue="1" operator="equal">
      <formula>"KXL"</formula>
    </cfRule>
    <cfRule type="cellIs" dxfId="219" priority="15" stopIfTrue="1" operator="equal">
      <formula>"C"</formula>
    </cfRule>
  </conditionalFormatting>
  <conditionalFormatting sqref="AA10:AA11">
    <cfRule type="cellIs" dxfId="218" priority="12" stopIfTrue="1" operator="equal">
      <formula>"B"</formula>
    </cfRule>
    <cfRule type="cellIs" dxfId="217" priority="11" stopIfTrue="1" operator="equal">
      <formula>"C"</formula>
    </cfRule>
    <cfRule type="cellIs" dxfId="216" priority="10" stopIfTrue="1" operator="equal">
      <formula>"A DN"</formula>
    </cfRule>
    <cfRule type="cellIs" dxfId="215" priority="9" stopIfTrue="1" operator="equal">
      <formula>"KXL"</formula>
    </cfRule>
  </conditionalFormatting>
  <conditionalFormatting sqref="AA23:AA94 L94:L96">
    <cfRule type="cellIs" dxfId="214" priority="226" stopIfTrue="1" operator="equal">
      <formula>"B"</formula>
    </cfRule>
    <cfRule type="cellIs" dxfId="213" priority="225" stopIfTrue="1" operator="equal">
      <formula>"C"</formula>
    </cfRule>
    <cfRule type="cellIs" dxfId="212" priority="224" stopIfTrue="1" operator="equal">
      <formula>"A DN"</formula>
    </cfRule>
    <cfRule type="cellIs" dxfId="211" priority="223" stopIfTrue="1" operator="equal">
      <formula>"KXL"</formula>
    </cfRule>
  </conditionalFormatting>
  <conditionalFormatting sqref="AD77:IY94 D93:E94 G94:K94 Q94:V94">
    <cfRule type="cellIs" dxfId="210" priority="222" stopIfTrue="1" operator="equal">
      <formula>"B"</formula>
    </cfRule>
    <cfRule type="cellIs" dxfId="209" priority="219" stopIfTrue="1" operator="equal">
      <formula>"KXL"</formula>
    </cfRule>
    <cfRule type="cellIs" dxfId="208" priority="220" stopIfTrue="1" operator="equal">
      <formula>"A DN"</formula>
    </cfRule>
    <cfRule type="cellIs" dxfId="207" priority="221" stopIfTrue="1" operator="equal">
      <formula>"C"</formula>
    </cfRule>
  </conditionalFormatting>
  <conditionalFormatting sqref="AG1:IW7">
    <cfRule type="cellIs" dxfId="206" priority="65" stopIfTrue="1" operator="equal">
      <formula>"KXL"</formula>
    </cfRule>
    <cfRule type="cellIs" dxfId="205" priority="66" stopIfTrue="1" operator="equal">
      <formula>"A DN"</formula>
    </cfRule>
    <cfRule type="cellIs" dxfId="204" priority="67" stopIfTrue="1" operator="equal">
      <formula>"C"</formula>
    </cfRule>
    <cfRule type="cellIs" dxfId="203" priority="68" stopIfTrue="1" operator="equal">
      <formula>"B"</formula>
    </cfRule>
  </conditionalFormatting>
  <printOptions horizontalCentered="1"/>
  <pageMargins left="0.19685039370078741" right="0.15748031496062992" top="0.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cellIs" priority="218" operator="equal" id="{8CF92ACC-F9BC-4328-B426-13CEFEB5A1B8}">
            <xm:f>'111'!B275</xm:f>
            <x14:dxf>
              <font>
                <color rgb="FF9C0006"/>
              </font>
            </x14:dxf>
          </x14:cfRule>
          <x14:cfRule type="expression" priority="217" id="{110F387D-2761-4354-9F6C-07239998D682}">
            <xm:f>'111'!B275</xm:f>
            <x14:dxf>
              <fill>
                <patternFill>
                  <bgColor rgb="FFFFFF00"/>
                </patternFill>
              </fill>
            </x14:dxf>
          </x14:cfRule>
          <xm:sqref>L289:L319</xm:sqref>
        </x14:conditionalFormatting>
        <x14:conditionalFormatting xmlns:xm="http://schemas.microsoft.com/office/excel/2006/main">
          <x14:cfRule type="containsText" priority="5289" operator="containsText" id="{3F2266C2-54E4-4AC7-B032-7DC5AFAA077D}">
            <xm:f>NOT(ISERROR(SEARCH(B,'111'!#REF!)))</xm:f>
            <xm:f>B</xm:f>
            <x14:dxf>
              <fill>
                <patternFill>
                  <bgColor theme="9" tint="0.59996337778862885"/>
                </patternFill>
              </fill>
            </x14:dxf>
          </x14:cfRule>
          <xm:sqref>L289:L352</xm:sqref>
        </x14:conditionalFormatting>
        <x14:conditionalFormatting xmlns:xm="http://schemas.microsoft.com/office/excel/2006/main">
          <x14:cfRule type="expression" priority="169" id="{C9DBE938-0CF3-45E4-A9D7-F5558805CDFA}">
            <xm:f>'111'!B282</xm:f>
            <x14:dxf>
              <fill>
                <patternFill>
                  <bgColor rgb="FFFFFF00"/>
                </patternFill>
              </fill>
            </x14:dxf>
          </x14:cfRule>
          <x14:cfRule type="cellIs" priority="170" operator="equal" id="{924C8BDF-74E8-4E5B-9F6E-72CEE8294C49}">
            <xm:f>'111'!B282</xm:f>
            <x14:dxf>
              <font>
                <color rgb="FF9C0006"/>
              </font>
            </x14:dxf>
          </x14:cfRule>
          <xm:sqref>L300:L343 L346:L352</xm:sqref>
        </x14:conditionalFormatting>
        <x14:conditionalFormatting xmlns:xm="http://schemas.microsoft.com/office/excel/2006/main">
          <x14:cfRule type="cellIs" priority="158" operator="equal" id="{DD59C07E-8162-499C-80AC-6C86F90C23DA}">
            <xm:f>'111'!B286</xm:f>
            <x14:dxf>
              <font>
                <color rgb="FF9C0006"/>
              </font>
            </x14:dxf>
          </x14:cfRule>
          <x14:cfRule type="expression" priority="157" id="{5AD942BC-59B0-41C1-AEE9-B05B9135CDAA}">
            <xm:f>'111'!B286</xm:f>
            <x14:dxf>
              <fill>
                <patternFill>
                  <bgColor rgb="FFFFFF00"/>
                </patternFill>
              </fill>
            </x14:dxf>
          </x14:cfRule>
          <xm:sqref>L305:L333 L343:L345</xm:sqref>
        </x14:conditionalFormatting>
        <x14:conditionalFormatting xmlns:xm="http://schemas.microsoft.com/office/excel/2006/main">
          <x14:cfRule type="expression" priority="193" id="{B3B760B9-FFDB-4362-99AB-81F2719FBF4C}">
            <xm:f>'111'!B299</xm:f>
            <x14:dxf>
              <fill>
                <patternFill>
                  <bgColor rgb="FFFFFF00"/>
                </patternFill>
              </fill>
            </x14:dxf>
          </x14:cfRule>
          <x14:cfRule type="cellIs" priority="194" operator="equal" id="{079893E6-05C5-4C39-9123-74BB2C985AEF}">
            <xm:f>'111'!B299</xm:f>
            <x14:dxf>
              <font>
                <color rgb="FF9C0006"/>
              </font>
            </x14:dxf>
          </x14:cfRule>
          <xm:sqref>L319 L346:L352</xm:sqref>
        </x14:conditionalFormatting>
        <x14:conditionalFormatting xmlns:xm="http://schemas.microsoft.com/office/excel/2006/main">
          <x14:cfRule type="cellIs" priority="182" operator="equal" id="{B4E53D93-719B-4BBC-8D3D-388934B883FB}">
            <xm:f>'111'!B303</xm:f>
            <x14:dxf>
              <font>
                <color rgb="FF9C0006"/>
              </font>
            </x14:dxf>
          </x14:cfRule>
          <x14:cfRule type="expression" priority="181" id="{ED7A6F9D-1146-4B13-B450-6B8F0EA023DF}">
            <xm:f>'111'!B303</xm:f>
            <x14:dxf>
              <fill>
                <patternFill>
                  <bgColor rgb="FFFFFF00"/>
                </patternFill>
              </fill>
            </x14:dxf>
          </x14:cfRule>
          <xm:sqref>L319:L352</xm:sqref>
        </x14:conditionalFormatting>
        <x14:conditionalFormatting xmlns:xm="http://schemas.microsoft.com/office/excel/2006/main">
          <x14:cfRule type="expression" priority="145" id="{D5D0C09A-8731-420F-9CE2-6397D744504A}">
            <xm:f>'111'!#REF!</xm:f>
            <x14:dxf>
              <fill>
                <patternFill>
                  <bgColor rgb="FFFFFF00"/>
                </patternFill>
              </fill>
            </x14:dxf>
          </x14:cfRule>
          <xm:sqref>L320:L335</xm:sqref>
        </x14:conditionalFormatting>
        <x14:conditionalFormatting xmlns:xm="http://schemas.microsoft.com/office/excel/2006/main">
          <x14:cfRule type="expression" priority="205" id="{B3B87EC5-F877-4A81-A833-1B0147D0D041}">
            <xm:f>'111'!#REF!</xm:f>
            <x14:dxf>
              <fill>
                <patternFill>
                  <bgColor rgb="FFFFFF00"/>
                </patternFill>
              </fill>
            </x14:dxf>
          </x14:cfRule>
          <x14:cfRule type="cellIs" priority="146" operator="equal" id="{41DA6DE1-5FC2-477B-A02F-5EA5F33E0CED}">
            <xm:f>'111'!#REF!</xm:f>
            <x14:dxf>
              <font>
                <color rgb="FF9C0006"/>
              </font>
            </x14:dxf>
          </x14:cfRule>
          <xm:sqref>L320:L352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J414"/>
  <sheetViews>
    <sheetView zoomScale="120" zoomScaleNormal="120" workbookViewId="0">
      <selection activeCell="A6" sqref="A6:U6"/>
    </sheetView>
  </sheetViews>
  <sheetFormatPr defaultRowHeight="15"/>
  <cols>
    <col min="1" max="1" width="5.5703125" style="1139" customWidth="1"/>
    <col min="2" max="2" width="23.140625" style="1139" customWidth="1"/>
    <col min="3" max="3" width="17.7109375" style="1139" hidden="1" customWidth="1"/>
    <col min="4" max="4" width="16" style="1003" hidden="1" customWidth="1"/>
    <col min="5" max="5" width="19.42578125" style="1003" customWidth="1"/>
    <col min="6" max="11" width="8.140625" style="1139" hidden="1" customWidth="1"/>
    <col min="12" max="14" width="8.85546875" style="1139" hidden="1" customWidth="1"/>
    <col min="15" max="15" width="10.5703125" style="1139" hidden="1" customWidth="1"/>
    <col min="16" max="16" width="17.140625" style="1139" hidden="1" customWidth="1"/>
    <col min="17" max="17" width="11.5703125" style="1139" customWidth="1"/>
    <col min="18" max="18" width="14.140625" style="1139" customWidth="1"/>
    <col min="19" max="19" width="18.140625" style="1139" customWidth="1"/>
    <col min="20" max="20" width="3.85546875" style="1139" customWidth="1"/>
    <col min="21" max="21" width="18.5703125" style="1007" customWidth="1"/>
    <col min="22" max="22" width="23.5703125" style="1138" bestFit="1" customWidth="1"/>
    <col min="23" max="23" width="7.28515625" style="1139" customWidth="1"/>
    <col min="24" max="24" width="12.85546875" style="1139" customWidth="1"/>
    <col min="25" max="25" width="50" style="1140" customWidth="1"/>
    <col min="26" max="16384" width="9.140625" style="1139"/>
  </cols>
  <sheetData>
    <row r="1" spans="1:36">
      <c r="A1" s="1589" t="s">
        <v>492</v>
      </c>
      <c r="B1" s="1589"/>
      <c r="C1" s="1589"/>
      <c r="D1" s="1589"/>
      <c r="E1" s="1589"/>
      <c r="F1" s="1589"/>
      <c r="G1" s="1589"/>
      <c r="H1" s="1003"/>
      <c r="I1" s="1003"/>
      <c r="J1" s="1570" t="s">
        <v>849</v>
      </c>
      <c r="K1" s="1570"/>
      <c r="L1" s="1570"/>
      <c r="M1" s="1570"/>
      <c r="N1" s="1570"/>
      <c r="O1" s="1570"/>
      <c r="P1" s="1570"/>
      <c r="Q1" s="1570"/>
      <c r="R1" s="1570"/>
      <c r="S1" s="1570"/>
      <c r="T1" s="1570"/>
      <c r="U1" s="1570"/>
    </row>
    <row r="2" spans="1:36" ht="15" customHeight="1">
      <c r="A2" s="1570" t="s">
        <v>1563</v>
      </c>
      <c r="B2" s="1570"/>
      <c r="C2" s="1570"/>
      <c r="D2" s="1570"/>
      <c r="E2" s="1570"/>
      <c r="F2" s="1570"/>
      <c r="G2" s="1570"/>
      <c r="H2" s="1004"/>
      <c r="I2" s="1004"/>
      <c r="J2" s="1570" t="s">
        <v>2179</v>
      </c>
      <c r="K2" s="1570"/>
      <c r="L2" s="1570"/>
      <c r="M2" s="1570"/>
      <c r="N2" s="1570"/>
      <c r="O2" s="1570"/>
      <c r="P2" s="1570"/>
      <c r="Q2" s="1570"/>
      <c r="R2" s="1570"/>
      <c r="S2" s="1570"/>
      <c r="T2" s="1570"/>
      <c r="U2" s="1570"/>
    </row>
    <row r="3" spans="1:36" ht="16.5" customHeight="1">
      <c r="A3" s="1570" t="s">
        <v>1564</v>
      </c>
      <c r="B3" s="1570"/>
      <c r="C3" s="1570"/>
      <c r="D3" s="1570"/>
      <c r="E3" s="1570"/>
      <c r="F3" s="1570"/>
      <c r="G3" s="1570"/>
      <c r="H3" s="1004"/>
      <c r="I3" s="1004"/>
      <c r="J3" s="1004"/>
      <c r="K3" s="1004"/>
      <c r="L3" s="1006"/>
      <c r="M3" s="1006"/>
      <c r="N3" s="1006"/>
      <c r="O3" s="1006"/>
      <c r="P3" s="1243"/>
      <c r="Q3" s="1243"/>
      <c r="R3" s="1243"/>
      <c r="S3" s="1243"/>
      <c r="T3" s="1003"/>
    </row>
    <row r="4" spans="1:36" ht="9" customHeight="1">
      <c r="A4" s="1244"/>
      <c r="B4" s="1244"/>
      <c r="C4" s="1244"/>
      <c r="D4" s="1244"/>
      <c r="E4" s="1244"/>
      <c r="F4" s="1244"/>
      <c r="G4" s="1244"/>
      <c r="H4" s="1244"/>
      <c r="I4" s="1244"/>
      <c r="J4" s="1244"/>
      <c r="K4" s="1244"/>
      <c r="L4" s="1006"/>
      <c r="M4" s="1006"/>
      <c r="N4" s="1006"/>
      <c r="O4" s="1006"/>
      <c r="P4" s="1243"/>
      <c r="Q4" s="1243"/>
      <c r="R4" s="1243"/>
      <c r="S4" s="1243"/>
      <c r="T4" s="1003"/>
    </row>
    <row r="5" spans="1:36" ht="18.75" customHeight="1">
      <c r="A5" s="1554" t="s">
        <v>2183</v>
      </c>
      <c r="B5" s="1554"/>
      <c r="C5" s="1554"/>
      <c r="D5" s="1554"/>
      <c r="E5" s="1554"/>
      <c r="F5" s="1554"/>
      <c r="G5" s="1554"/>
      <c r="H5" s="1554"/>
      <c r="I5" s="1554"/>
      <c r="J5" s="1554"/>
      <c r="K5" s="1554"/>
      <c r="L5" s="1554"/>
      <c r="M5" s="1554"/>
      <c r="N5" s="1554"/>
      <c r="O5" s="1554"/>
      <c r="P5" s="1554"/>
      <c r="Q5" s="1554"/>
      <c r="R5" s="1554"/>
      <c r="S5" s="1554"/>
      <c r="T5" s="1554"/>
      <c r="U5" s="1554"/>
      <c r="V5" s="681"/>
      <c r="W5" s="681"/>
      <c r="X5" s="681"/>
      <c r="Y5" s="681"/>
      <c r="Z5" s="681"/>
      <c r="AA5" s="681"/>
      <c r="AB5" s="681"/>
      <c r="AC5" s="681"/>
      <c r="AD5" s="681"/>
      <c r="AE5" s="681"/>
      <c r="AF5" s="681"/>
      <c r="AG5" s="681"/>
      <c r="AH5" s="681"/>
      <c r="AI5" s="681"/>
      <c r="AJ5" s="681"/>
    </row>
    <row r="6" spans="1:36" ht="18.75" customHeight="1">
      <c r="A6" s="1582" t="s">
        <v>2402</v>
      </c>
      <c r="B6" s="1582"/>
      <c r="C6" s="1582"/>
      <c r="D6" s="1582"/>
      <c r="E6" s="1582"/>
      <c r="F6" s="1582"/>
      <c r="G6" s="1582"/>
      <c r="H6" s="1582"/>
      <c r="I6" s="1582"/>
      <c r="J6" s="1582"/>
      <c r="K6" s="1582"/>
      <c r="L6" s="1582"/>
      <c r="M6" s="1582"/>
      <c r="N6" s="1582"/>
      <c r="O6" s="1582"/>
      <c r="P6" s="1582"/>
      <c r="Q6" s="1582"/>
      <c r="R6" s="1582"/>
      <c r="S6" s="1582"/>
      <c r="T6" s="1582"/>
      <c r="U6" s="1582"/>
    </row>
    <row r="7" spans="1:36" ht="36.75" hidden="1" customHeight="1">
      <c r="A7" s="1583" t="s">
        <v>2261</v>
      </c>
      <c r="B7" s="1583"/>
      <c r="C7" s="1583"/>
      <c r="D7" s="1583"/>
      <c r="E7" s="1583"/>
      <c r="F7" s="1583"/>
      <c r="G7" s="1583"/>
      <c r="H7" s="1583"/>
      <c r="I7" s="1583"/>
      <c r="J7" s="1583"/>
      <c r="K7" s="1583"/>
      <c r="L7" s="1583"/>
      <c r="M7" s="1583"/>
      <c r="N7" s="1583"/>
      <c r="O7" s="1583"/>
      <c r="P7" s="1583"/>
      <c r="Q7" s="1583"/>
      <c r="R7" s="1583"/>
      <c r="S7" s="1583"/>
      <c r="T7" s="1583"/>
      <c r="U7" s="1583"/>
    </row>
    <row r="8" spans="1:36" s="1003" customFormat="1" ht="16.5" hidden="1" customHeight="1">
      <c r="A8" s="1002"/>
      <c r="C8" s="1004"/>
      <c r="D8" s="1004"/>
      <c r="E8" s="1004"/>
      <c r="F8" s="1006"/>
      <c r="G8" s="1006"/>
      <c r="H8" s="1006"/>
      <c r="I8" s="1006"/>
      <c r="J8" s="1006"/>
      <c r="K8" s="1006"/>
      <c r="L8" s="1584"/>
      <c r="M8" s="1584"/>
      <c r="N8" s="1584"/>
      <c r="O8" s="1584"/>
      <c r="P8" s="1216" t="s">
        <v>1181</v>
      </c>
      <c r="Q8" s="1216"/>
      <c r="R8" s="1216"/>
      <c r="S8" s="1216"/>
      <c r="T8" s="1006"/>
      <c r="U8" s="1007"/>
      <c r="V8" s="1008"/>
      <c r="Y8" s="1009"/>
    </row>
    <row r="9" spans="1:36" ht="17.25" customHeight="1">
      <c r="A9" s="1007"/>
      <c r="B9" s="1002"/>
      <c r="C9" s="1002"/>
      <c r="D9" s="1004"/>
      <c r="E9" s="1004"/>
      <c r="F9" s="1007"/>
      <c r="G9" s="1007"/>
      <c r="H9" s="1007"/>
      <c r="I9" s="1007"/>
      <c r="J9" s="1585"/>
      <c r="K9" s="1585"/>
      <c r="L9" s="1007"/>
      <c r="M9" s="1007"/>
      <c r="N9" s="1007"/>
      <c r="O9" s="1259" t="s">
        <v>2371</v>
      </c>
      <c r="P9" s="1319">
        <v>2340000</v>
      </c>
      <c r="Q9" s="1137"/>
      <c r="R9" s="1137"/>
      <c r="S9" s="1137"/>
      <c r="T9" s="1007"/>
      <c r="U9" s="1007" t="s">
        <v>2403</v>
      </c>
    </row>
    <row r="10" spans="1:36" s="1240" customFormat="1" ht="18.75" customHeight="1">
      <c r="A10" s="1571" t="s">
        <v>853</v>
      </c>
      <c r="B10" s="1571" t="s">
        <v>854</v>
      </c>
      <c r="C10" s="1236" t="s">
        <v>1598</v>
      </c>
      <c r="D10" s="1237" t="s">
        <v>50</v>
      </c>
      <c r="E10" s="1571" t="s">
        <v>2176</v>
      </c>
      <c r="F10" s="1586" t="s">
        <v>2264</v>
      </c>
      <c r="G10" s="1587"/>
      <c r="H10" s="1587"/>
      <c r="I10" s="1588"/>
      <c r="J10" s="1587" t="s">
        <v>860</v>
      </c>
      <c r="K10" s="1588"/>
      <c r="L10" s="1586" t="s">
        <v>2387</v>
      </c>
      <c r="M10" s="1587"/>
      <c r="N10" s="1588"/>
      <c r="O10" s="1571" t="s">
        <v>2269</v>
      </c>
      <c r="P10" s="1571" t="s">
        <v>1100</v>
      </c>
      <c r="Q10" s="1571" t="s">
        <v>2399</v>
      </c>
      <c r="R10" s="1571" t="s">
        <v>2400</v>
      </c>
      <c r="S10" s="1571" t="s">
        <v>1100</v>
      </c>
      <c r="T10" s="1574" t="s">
        <v>40</v>
      </c>
      <c r="U10" s="1575"/>
      <c r="V10" s="1239"/>
      <c r="Y10" s="1241"/>
    </row>
    <row r="11" spans="1:36" s="1240" customFormat="1" ht="7.5" customHeight="1">
      <c r="A11" s="1573"/>
      <c r="B11" s="1573"/>
      <c r="C11" s="1236"/>
      <c r="D11" s="1237"/>
      <c r="E11" s="1573"/>
      <c r="F11" s="1242" t="s">
        <v>2356</v>
      </c>
      <c r="G11" s="1424" t="s">
        <v>2357</v>
      </c>
      <c r="H11" s="1424" t="s">
        <v>2262</v>
      </c>
      <c r="I11" s="1242" t="s">
        <v>2358</v>
      </c>
      <c r="J11" s="1242" t="s">
        <v>2270</v>
      </c>
      <c r="K11" s="1242" t="s">
        <v>2271</v>
      </c>
      <c r="L11" s="1425" t="s">
        <v>2388</v>
      </c>
      <c r="M11" s="1425"/>
      <c r="N11" s="1425" t="s">
        <v>2389</v>
      </c>
      <c r="O11" s="1573"/>
      <c r="P11" s="1573"/>
      <c r="Q11" s="1572"/>
      <c r="R11" s="1572"/>
      <c r="S11" s="1572"/>
      <c r="T11" s="1576"/>
      <c r="U11" s="1577"/>
      <c r="V11" s="1239"/>
      <c r="Y11" s="1241"/>
    </row>
    <row r="12" spans="1:36" s="1012" customFormat="1" ht="15" customHeight="1">
      <c r="A12" s="1010" t="s">
        <v>1110</v>
      </c>
      <c r="B12" s="1010" t="s">
        <v>1111</v>
      </c>
      <c r="C12" s="1010" t="s">
        <v>1112</v>
      </c>
      <c r="D12" s="1010" t="s">
        <v>1113</v>
      </c>
      <c r="E12" s="1010"/>
      <c r="F12" s="1010" t="s">
        <v>1122</v>
      </c>
      <c r="G12" s="1010" t="s">
        <v>1123</v>
      </c>
      <c r="H12" s="1010" t="s">
        <v>1124</v>
      </c>
      <c r="I12" s="1010" t="s">
        <v>1125</v>
      </c>
      <c r="J12" s="1010" t="s">
        <v>1133</v>
      </c>
      <c r="K12" s="1010" t="s">
        <v>1142</v>
      </c>
      <c r="L12" s="1010" t="s">
        <v>1143</v>
      </c>
      <c r="M12" s="1010"/>
      <c r="N12" s="1010"/>
      <c r="O12" s="1010" t="s">
        <v>1146</v>
      </c>
      <c r="P12" s="1010" t="s">
        <v>1147</v>
      </c>
      <c r="Q12" s="1217"/>
      <c r="R12" s="1217"/>
      <c r="S12" s="1217"/>
      <c r="T12" s="1578">
        <v>28</v>
      </c>
      <c r="U12" s="1579"/>
      <c r="V12" s="1011"/>
      <c r="Y12" s="1013"/>
    </row>
    <row r="13" spans="1:36" s="1028" customFormat="1" ht="24.75" customHeight="1">
      <c r="A13" s="1014">
        <f>_xlfn.AGGREGATE(4,7,A$12:A12)+1</f>
        <v>1</v>
      </c>
      <c r="B13" s="1361" t="s">
        <v>1433</v>
      </c>
      <c r="C13" s="1016" t="s">
        <v>1613</v>
      </c>
      <c r="D13" s="1017" t="s">
        <v>1435</v>
      </c>
      <c r="E13" s="54" t="str">
        <f>VLOOKUP(B13,TH.Q2!B18:E349,4,FALSE)</f>
        <v>Hiệu trưởng</v>
      </c>
      <c r="F13" s="1208">
        <v>5.76</v>
      </c>
      <c r="G13" s="1206">
        <v>0</v>
      </c>
      <c r="H13" s="1246">
        <f>ROUND(F13*G13,3)</f>
        <v>0</v>
      </c>
      <c r="I13" s="1020">
        <v>0</v>
      </c>
      <c r="J13" s="1020" t="str">
        <f>VLOOKUP(B13,'[15]Gui chi Quynh'!$B$11:$E$396,4,FALSE)</f>
        <v>A1</v>
      </c>
      <c r="K13" s="1020">
        <f>IF(J13="A1",0.8,IF(J13="A2",0.7,IF(J13="A3",0.6,IF(J13="A4",0.5,IF(J13="B1",0.35,IF(J13="B2",0.25,IF(J13="C1",0.15,IF(J13="C2",0.1,0))))))))</f>
        <v>0.8</v>
      </c>
      <c r="L13" s="1021">
        <v>23</v>
      </c>
      <c r="M13" s="1021">
        <f>VLOOKUP(B13,'[16]CN BC'!$H$10:$J$275,3,FALSE)</f>
        <v>28</v>
      </c>
      <c r="N13" s="1021">
        <f>IF(M13&gt;=L13,L13,IF(M13&lt;L13,M13))</f>
        <v>23</v>
      </c>
      <c r="O13" s="1022"/>
      <c r="P13" s="1023">
        <f t="shared" ref="P13:P76" si="0">(((F13+H13+I13)*$P$9/L13*N13)*K13)+O13</f>
        <v>10782720</v>
      </c>
      <c r="Q13" s="1370">
        <f>P13/R13</f>
        <v>4.6079999999999997</v>
      </c>
      <c r="R13" s="1448">
        <v>2340000</v>
      </c>
      <c r="S13" s="1460">
        <f>Q13*R13</f>
        <v>10782720</v>
      </c>
      <c r="T13" s="1024">
        <f t="shared" ref="T13:T76" si="1">A13</f>
        <v>1</v>
      </c>
      <c r="U13" s="1025">
        <f>IFERROR(INDEX('[16]CN BC'!$M$10:$M$276,MATCH(B13,'[16]CN BC'!$H$10:$H$276,0)),"")</f>
        <v>0</v>
      </c>
      <c r="V13" s="1011" t="str">
        <f>VLOOKUP(B13,TH.T4!B21:AC350,28,FALSE)</f>
        <v>BGH</v>
      </c>
      <c r="W13" s="1026"/>
      <c r="X13" s="1581" t="str">
        <f>CONCATENATE(U25," và ",V25)</f>
        <v>0 và TCHC</v>
      </c>
      <c r="Y13" s="1581"/>
      <c r="Z13" s="1012"/>
      <c r="AA13" s="1012"/>
      <c r="AB13" s="1012"/>
      <c r="AC13" s="1012"/>
      <c r="AD13" s="1012"/>
      <c r="AE13" s="1012"/>
      <c r="AF13" s="1012"/>
      <c r="AG13" s="1012"/>
      <c r="AH13" s="1012"/>
      <c r="AI13" s="1012"/>
    </row>
    <row r="14" spans="1:36" s="1028" customFormat="1" ht="27.75" customHeight="1">
      <c r="A14" s="1014">
        <f>_xlfn.AGGREGATE(4,7,A$12:A13)+1</f>
        <v>2</v>
      </c>
      <c r="B14" s="1015" t="s">
        <v>1447</v>
      </c>
      <c r="C14" s="1029" t="s">
        <v>1614</v>
      </c>
      <c r="D14" s="1030" t="s">
        <v>1442</v>
      </c>
      <c r="E14" s="81" t="str">
        <f>VLOOKUP(B14,TH.Q2!B19:E350,4,FALSE)</f>
        <v>Phó Hiệu trưởng</v>
      </c>
      <c r="F14" s="1018">
        <v>4.9800000000000004</v>
      </c>
      <c r="G14" s="1019">
        <v>7.0000000000000007E-2</v>
      </c>
      <c r="H14" s="1248">
        <f t="shared" ref="H14:H77" si="2">ROUND(F14*G14,3)</f>
        <v>0.34899999999999998</v>
      </c>
      <c r="I14" s="1020">
        <v>0.9</v>
      </c>
      <c r="J14" s="1020" t="str">
        <f>VLOOKUP(B14,'[15]Gui chi Quynh'!$B$11:$E$396,4,FALSE)</f>
        <v>A1</v>
      </c>
      <c r="K14" s="1020">
        <f t="shared" ref="K14:K77" si="3">IF(J14="A1",0.8,IF(J14="A2",0.7,IF(J14="A3",0.6,IF(J14="A4",0.5,IF(J14="B1",0.35,IF(J14="B2",0.25,IF(J14="C1",0.15,IF(J14="C2",0.1,0))))))))</f>
        <v>0.8</v>
      </c>
      <c r="L14" s="1021">
        <v>23</v>
      </c>
      <c r="M14" s="1021">
        <f>VLOOKUP(B14,'[16]CN BC'!$H$10:$J$275,3,FALSE)</f>
        <v>28</v>
      </c>
      <c r="N14" s="1021">
        <f t="shared" ref="N14:N77" si="4">IF(M14&gt;=L14,L14,IF(M14&lt;L14,M14))</f>
        <v>23</v>
      </c>
      <c r="O14" s="1022"/>
      <c r="P14" s="1023">
        <f t="shared" si="0"/>
        <v>11660688.000000002</v>
      </c>
      <c r="Q14" s="1371">
        <f t="shared" ref="Q14:Q77" si="5">P14/R14</f>
        <v>4.983200000000001</v>
      </c>
      <c r="R14" s="1448">
        <v>2340000</v>
      </c>
      <c r="S14" s="1460">
        <f t="shared" ref="S14:S77" si="6">Q14*R14</f>
        <v>11660688.000000002</v>
      </c>
      <c r="T14" s="1024">
        <f t="shared" si="1"/>
        <v>2</v>
      </c>
      <c r="U14" s="1025">
        <f>IFERROR(INDEX('[16]CN BC'!$M$10:$M$276,MATCH(B14,'[16]CN BC'!$H$10:$H$276,0)),"")</f>
        <v>0</v>
      </c>
      <c r="V14" s="1011" t="str">
        <f>VLOOKUP(B14,TH.T4!B22:AC352,28,FALSE)</f>
        <v>BGH</v>
      </c>
      <c r="W14" s="1031"/>
      <c r="X14" s="1032"/>
      <c r="Y14" s="1027"/>
      <c r="Z14" s="1012"/>
      <c r="AA14" s="1012"/>
      <c r="AB14" s="1012"/>
      <c r="AC14" s="1012"/>
      <c r="AD14" s="1012"/>
      <c r="AE14" s="1012"/>
      <c r="AF14" s="1012"/>
      <c r="AG14" s="1012"/>
      <c r="AH14" s="1012"/>
      <c r="AI14" s="1012"/>
    </row>
    <row r="15" spans="1:36" s="1028" customFormat="1" ht="27" customHeight="1">
      <c r="A15" s="1014">
        <f>_xlfn.AGGREGATE(4,7,A$12:A14)+1</f>
        <v>3</v>
      </c>
      <c r="B15" s="1015" t="s">
        <v>1845</v>
      </c>
      <c r="C15" s="1033" t="s">
        <v>1615</v>
      </c>
      <c r="D15" s="1034" t="s">
        <v>1255</v>
      </c>
      <c r="E15" s="81" t="str">
        <f>VLOOKUP(B15,TH.Q2!B20:E351,4,FALSE)</f>
        <v>Phó Hiệu trưởng</v>
      </c>
      <c r="F15" s="1018">
        <v>4.9800000000000004</v>
      </c>
      <c r="G15" s="1019">
        <v>0.09</v>
      </c>
      <c r="H15" s="1248">
        <f t="shared" si="2"/>
        <v>0.44800000000000001</v>
      </c>
      <c r="I15" s="1020">
        <v>0.7</v>
      </c>
      <c r="J15" s="1020" t="str">
        <f>VLOOKUP(B15,'[15]Gui chi Quynh'!$B$11:$E$396,4,FALSE)</f>
        <v>A1</v>
      </c>
      <c r="K15" s="1020">
        <f t="shared" si="3"/>
        <v>0.8</v>
      </c>
      <c r="L15" s="1021">
        <v>23</v>
      </c>
      <c r="M15" s="1021">
        <f>VLOOKUP(B15,'[16]CN BC'!$H$10:$J$275,3,FALSE)</f>
        <v>29</v>
      </c>
      <c r="N15" s="1021">
        <f t="shared" si="4"/>
        <v>23</v>
      </c>
      <c r="O15" s="1022"/>
      <c r="P15" s="1023">
        <f t="shared" si="0"/>
        <v>11471616.000000002</v>
      </c>
      <c r="Q15" s="1371">
        <f t="shared" si="5"/>
        <v>4.902400000000001</v>
      </c>
      <c r="R15" s="1448">
        <v>2340000</v>
      </c>
      <c r="S15" s="1460">
        <f t="shared" si="6"/>
        <v>11471616.000000002</v>
      </c>
      <c r="T15" s="1024">
        <f t="shared" si="1"/>
        <v>3</v>
      </c>
      <c r="U15" s="1025">
        <f>IFERROR(INDEX('[16]CN BC'!$M$10:$M$276,MATCH(B15,'[16]CN BC'!$H$10:$H$276,0)),"")</f>
        <v>0</v>
      </c>
      <c r="V15" s="1011" t="str">
        <f>VLOOKUP(B15,TH.T4!B23:AC353,28,FALSE)</f>
        <v>BGH</v>
      </c>
      <c r="W15" s="1036"/>
      <c r="X15" s="1037"/>
      <c r="Y15" s="1038"/>
    </row>
    <row r="16" spans="1:36" s="1028" customFormat="1" ht="24.75" customHeight="1">
      <c r="A16" s="1014">
        <f>_xlfn.AGGREGATE(4,7,A$12:A15)+1</f>
        <v>4</v>
      </c>
      <c r="B16" s="1015" t="s">
        <v>1533</v>
      </c>
      <c r="C16" s="1033" t="s">
        <v>1954</v>
      </c>
      <c r="D16" s="1039" t="s">
        <v>1937</v>
      </c>
      <c r="E16" s="81" t="str">
        <f>VLOOKUP(B16,TH.Q2!B21:E352,4,FALSE)</f>
        <v>Phó Hiệu trưởng</v>
      </c>
      <c r="F16" s="1040">
        <v>4.9800000000000004</v>
      </c>
      <c r="G16" s="1019"/>
      <c r="H16" s="1248">
        <f t="shared" si="2"/>
        <v>0</v>
      </c>
      <c r="I16" s="1020">
        <v>0.7</v>
      </c>
      <c r="J16" s="1020" t="str">
        <f>VLOOKUP(B16,'[15]Gui chi Quynh'!$B$11:$E$396,4,FALSE)</f>
        <v>A1</v>
      </c>
      <c r="K16" s="1020">
        <f t="shared" si="3"/>
        <v>0.8</v>
      </c>
      <c r="L16" s="1021">
        <v>23</v>
      </c>
      <c r="M16" s="1021">
        <f>VLOOKUP(B16,'[16]CN BC'!$H$10:$J$275,3,FALSE)</f>
        <v>30</v>
      </c>
      <c r="N16" s="1021">
        <f t="shared" si="4"/>
        <v>23</v>
      </c>
      <c r="O16" s="1022"/>
      <c r="P16" s="1023">
        <f t="shared" si="0"/>
        <v>10632960.000000002</v>
      </c>
      <c r="Q16" s="1371">
        <f t="shared" si="5"/>
        <v>4.5440000000000005</v>
      </c>
      <c r="R16" s="1448">
        <v>2340000</v>
      </c>
      <c r="S16" s="1460">
        <f t="shared" si="6"/>
        <v>10632960.000000002</v>
      </c>
      <c r="T16" s="1024">
        <f t="shared" si="1"/>
        <v>4</v>
      </c>
      <c r="U16" s="1025">
        <f>IFERROR(INDEX('[16]CN BC'!$M$10:$M$276,MATCH(B16,'[16]CN BC'!$H$10:$H$276,0)),"")</f>
        <v>0</v>
      </c>
      <c r="V16" s="1011" t="str">
        <f>VLOOKUP(B16,TH.T4!B24:AC354,28,FALSE)</f>
        <v>BGH</v>
      </c>
      <c r="W16" s="1041"/>
      <c r="X16" s="1041"/>
      <c r="Y16" s="1027"/>
      <c r="Z16" s="1012"/>
      <c r="AA16" s="1012"/>
      <c r="AB16" s="1012"/>
      <c r="AC16" s="1012"/>
      <c r="AD16" s="1012"/>
      <c r="AE16" s="1012"/>
    </row>
    <row r="17" spans="1:35" s="1028" customFormat="1" ht="27.75" customHeight="1">
      <c r="A17" s="1014">
        <f>_xlfn.AGGREGATE(4,7,A$12:A16)+1</f>
        <v>5</v>
      </c>
      <c r="B17" s="1015" t="s">
        <v>1458</v>
      </c>
      <c r="C17" s="1014" t="s">
        <v>1995</v>
      </c>
      <c r="D17" s="1030" t="s">
        <v>1577</v>
      </c>
      <c r="E17" s="368" t="str">
        <f>VLOOKUP(B17,TH.Q2!B22:E353,4,FALSE)</f>
        <v>Trưởng phòng TC - HC - TH</v>
      </c>
      <c r="F17" s="1018">
        <v>4.9800000000000004</v>
      </c>
      <c r="G17" s="1019">
        <v>0.06</v>
      </c>
      <c r="H17" s="1255">
        <f t="shared" si="2"/>
        <v>0.29899999999999999</v>
      </c>
      <c r="I17" s="1020">
        <v>0.45</v>
      </c>
      <c r="J17" s="1020" t="str">
        <f>VLOOKUP(B17,'[15]Gui chi Quynh'!$B$11:$E$396,4,FALSE)</f>
        <v>A1</v>
      </c>
      <c r="K17" s="1020">
        <f t="shared" si="3"/>
        <v>0.8</v>
      </c>
      <c r="L17" s="1021">
        <v>23</v>
      </c>
      <c r="M17" s="1021">
        <f>VLOOKUP(B17,'[16]CN BC'!$H$10:$J$275,3,FALSE)</f>
        <v>30</v>
      </c>
      <c r="N17" s="1021">
        <f t="shared" si="4"/>
        <v>23</v>
      </c>
      <c r="O17" s="1035"/>
      <c r="P17" s="1023">
        <f t="shared" si="0"/>
        <v>10724688.000000002</v>
      </c>
      <c r="Q17" s="1371">
        <f t="shared" si="5"/>
        <v>4.5832000000000006</v>
      </c>
      <c r="R17" s="1448">
        <v>2340000</v>
      </c>
      <c r="S17" s="1460">
        <f t="shared" si="6"/>
        <v>10724688.000000002</v>
      </c>
      <c r="T17" s="1024">
        <f t="shared" si="1"/>
        <v>5</v>
      </c>
      <c r="U17" s="1025">
        <f>IFERROR(INDEX('[16]CN BC'!$M$10:$M$276,MATCH(B17,'[16]CN BC'!$H$10:$H$276,0)),"")</f>
        <v>0</v>
      </c>
      <c r="V17" s="1067" t="str">
        <f>VLOOKUP(B17,TH.T4!B25:AC355,28,FALSE)</f>
        <v>TCHC</v>
      </c>
      <c r="W17" s="1426" t="s">
        <v>2272</v>
      </c>
      <c r="X17" s="1426" t="s">
        <v>2273</v>
      </c>
      <c r="Y17" s="1426" t="s">
        <v>2274</v>
      </c>
      <c r="Z17" s="1427"/>
    </row>
    <row r="18" spans="1:35" s="1028" customFormat="1" ht="28.5" customHeight="1">
      <c r="A18" s="1014">
        <f>_xlfn.AGGREGATE(4,7,A$12:A17)+1</f>
        <v>6</v>
      </c>
      <c r="B18" s="1043" t="s">
        <v>1596</v>
      </c>
      <c r="C18" s="1044" t="s">
        <v>1623</v>
      </c>
      <c r="D18" s="1045">
        <v>1603205353720</v>
      </c>
      <c r="E18" s="81" t="str">
        <f>VLOOKUP(B18,TH.Q2!B23:E354,4,FALSE)</f>
        <v>Phó Trưởng phòng Tổ chức - Hành chính - TH</v>
      </c>
      <c r="F18" s="1040">
        <v>3.66</v>
      </c>
      <c r="G18" s="1019"/>
      <c r="H18" s="1248">
        <f t="shared" si="2"/>
        <v>0</v>
      </c>
      <c r="I18" s="1020">
        <v>0.35</v>
      </c>
      <c r="J18" s="1020" t="str">
        <f>VLOOKUP(B18,'[15]Gui chi Quynh'!$B$11:$E$396,4,FALSE)</f>
        <v>A1</v>
      </c>
      <c r="K18" s="1020">
        <f t="shared" si="3"/>
        <v>0.8</v>
      </c>
      <c r="L18" s="1021">
        <v>23</v>
      </c>
      <c r="M18" s="1021">
        <f>VLOOKUP(B18,'[16]CN BC'!$H$10:$J$275,3,FALSE)</f>
        <v>27</v>
      </c>
      <c r="N18" s="1021">
        <f t="shared" si="4"/>
        <v>23</v>
      </c>
      <c r="O18" s="1022"/>
      <c r="P18" s="1023">
        <f t="shared" si="0"/>
        <v>7506720</v>
      </c>
      <c r="Q18" s="1371">
        <f t="shared" si="5"/>
        <v>3.2080000000000002</v>
      </c>
      <c r="R18" s="1448">
        <v>2340000</v>
      </c>
      <c r="S18" s="1460">
        <f t="shared" si="6"/>
        <v>7506720</v>
      </c>
      <c r="T18" s="1024">
        <f t="shared" si="1"/>
        <v>6</v>
      </c>
      <c r="U18" s="1025">
        <f>IFERROR(INDEX('[16]CN BC'!$M$10:$M$276,MATCH(B18,'[16]CN BC'!$H$10:$H$276,0)),"")</f>
        <v>0</v>
      </c>
      <c r="V18" s="1011" t="str">
        <f>VLOOKUP(B18,TH.T4!B26:AC356,28,FALSE)</f>
        <v>TCHC</v>
      </c>
      <c r="W18" s="1129">
        <f>_xlfn.AGGREGATE(4,7,W$17:W17)+1</f>
        <v>1</v>
      </c>
      <c r="X18" s="1129" t="s">
        <v>2014</v>
      </c>
      <c r="Y18" s="1130" t="s">
        <v>2275</v>
      </c>
      <c r="Z18" s="1131" t="e">
        <f>SUMIF(#REF!,$K18,$H$15:$H$78)</f>
        <v>#REF!</v>
      </c>
      <c r="AA18" s="1012"/>
      <c r="AB18" s="1012"/>
      <c r="AC18" s="1012"/>
      <c r="AD18" s="1012"/>
      <c r="AE18" s="1012"/>
    </row>
    <row r="19" spans="1:35" s="1028" customFormat="1" ht="28.5" customHeight="1">
      <c r="A19" s="1014">
        <f>_xlfn.AGGREGATE(4,7,A$12:A18)+1</f>
        <v>7</v>
      </c>
      <c r="B19" s="1015" t="s">
        <v>1464</v>
      </c>
      <c r="C19" s="1033" t="s">
        <v>1660</v>
      </c>
      <c r="D19" s="1047">
        <v>1603205185719</v>
      </c>
      <c r="E19" s="81" t="str">
        <f>VLOOKUP(B19,TH.Q2!B24:E355,4,FALSE)</f>
        <v>Phó Trưởng phòng Tổ chức - Hành chính - TH</v>
      </c>
      <c r="F19" s="1040">
        <v>3</v>
      </c>
      <c r="G19" s="1019"/>
      <c r="H19" s="1248">
        <f t="shared" si="2"/>
        <v>0</v>
      </c>
      <c r="I19" s="1020">
        <v>0.35</v>
      </c>
      <c r="J19" s="1020" t="str">
        <f>VLOOKUP(B19,'[15]Gui chi Quynh'!$B$11:$E$396,4,FALSE)</f>
        <v>A1</v>
      </c>
      <c r="K19" s="1020">
        <f t="shared" si="3"/>
        <v>0.8</v>
      </c>
      <c r="L19" s="1021">
        <v>23</v>
      </c>
      <c r="M19" s="1021">
        <f>VLOOKUP(B19,'[16]CN BC'!$H$10:$J$275,3,FALSE)</f>
        <v>27</v>
      </c>
      <c r="N19" s="1021">
        <f t="shared" si="4"/>
        <v>23</v>
      </c>
      <c r="O19" s="1022"/>
      <c r="P19" s="1023">
        <f t="shared" si="0"/>
        <v>6271200</v>
      </c>
      <c r="Q19" s="1371">
        <f t="shared" si="5"/>
        <v>2.68</v>
      </c>
      <c r="R19" s="1448">
        <v>2340000</v>
      </c>
      <c r="S19" s="1460">
        <f t="shared" si="6"/>
        <v>6271200</v>
      </c>
      <c r="T19" s="1024">
        <f t="shared" si="1"/>
        <v>7</v>
      </c>
      <c r="U19" s="1025">
        <f>IFERROR(INDEX('[16]CN BC'!$M$10:$M$276,MATCH(B19,'[16]CN BC'!$H$10:$H$276,0)),"")</f>
        <v>0</v>
      </c>
      <c r="V19" s="1011" t="str">
        <f>VLOOKUP(B19,TH.T4!B27:AC357,28,FALSE)</f>
        <v>TCHC</v>
      </c>
      <c r="W19" s="1129">
        <f>_xlfn.AGGREGATE(4,7,W$17:W18)+1</f>
        <v>2</v>
      </c>
      <c r="X19" s="420" t="s">
        <v>2224</v>
      </c>
      <c r="Y19" s="1130" t="s">
        <v>2276</v>
      </c>
      <c r="Z19" s="1131" t="e">
        <f>SUMIF(#REF!,$K19,$H$15:$H$78)</f>
        <v>#REF!</v>
      </c>
      <c r="AA19" s="1012"/>
      <c r="AB19" s="1012"/>
      <c r="AC19" s="1012"/>
      <c r="AD19" s="1012"/>
      <c r="AE19" s="1012"/>
    </row>
    <row r="20" spans="1:35" s="1028" customFormat="1" ht="28.5" customHeight="1">
      <c r="A20" s="1014">
        <f>_xlfn.AGGREGATE(4,7,A$12:A19)+1</f>
        <v>8</v>
      </c>
      <c r="B20" s="1015" t="s">
        <v>1846</v>
      </c>
      <c r="C20" s="1033" t="s">
        <v>1618</v>
      </c>
      <c r="D20" s="1034" t="s">
        <v>1264</v>
      </c>
      <c r="E20" s="81" t="str">
        <f>VLOOKUP(B20,TH.Q2!B25:E356,4,FALSE)</f>
        <v>NV Phòng Tổ chức - Hành chính - Tổng hợp</v>
      </c>
      <c r="F20" s="1018">
        <v>3.99</v>
      </c>
      <c r="G20" s="1019"/>
      <c r="H20" s="1248">
        <f t="shared" si="2"/>
        <v>0</v>
      </c>
      <c r="I20" s="1020"/>
      <c r="J20" s="1020" t="str">
        <f>VLOOKUP(B20,'[15]Gui chi Quynh'!$B$11:$E$396,4,FALSE)</f>
        <v>A2</v>
      </c>
      <c r="K20" s="1020">
        <f t="shared" si="3"/>
        <v>0.7</v>
      </c>
      <c r="L20" s="1021">
        <v>23</v>
      </c>
      <c r="M20" s="1021">
        <f>VLOOKUP(B20,'[16]CN BC'!$H$10:$J$275,3,FALSE)</f>
        <v>24</v>
      </c>
      <c r="N20" s="1021">
        <f t="shared" si="4"/>
        <v>23</v>
      </c>
      <c r="O20" s="1022"/>
      <c r="P20" s="1023">
        <f t="shared" si="0"/>
        <v>6535620</v>
      </c>
      <c r="Q20" s="1371">
        <f t="shared" si="5"/>
        <v>2.7930000000000001</v>
      </c>
      <c r="R20" s="1448">
        <v>2340000</v>
      </c>
      <c r="S20" s="1460">
        <f t="shared" si="6"/>
        <v>6535620</v>
      </c>
      <c r="T20" s="1024">
        <f t="shared" si="1"/>
        <v>8</v>
      </c>
      <c r="U20" s="1025">
        <f>IFERROR(INDEX('[16]CN BC'!$M$10:$M$276,MATCH(B20,'[16]CN BC'!$H$10:$H$276,0)),"")</f>
        <v>0</v>
      </c>
      <c r="V20" s="1011" t="str">
        <f>VLOOKUP(B20,TH.T4!B28:AC358,28,FALSE)</f>
        <v>TCHC</v>
      </c>
      <c r="W20" s="1129">
        <f>_xlfn.AGGREGATE(4,7,W$17:W19)+1</f>
        <v>3</v>
      </c>
      <c r="X20" s="1132" t="s">
        <v>527</v>
      </c>
      <c r="Y20" s="1133" t="s">
        <v>2277</v>
      </c>
      <c r="Z20" s="1134" t="e">
        <f>SUMIF(#REF!,$K20,$H$15:$H$78)</f>
        <v>#REF!</v>
      </c>
      <c r="AA20" s="1012"/>
      <c r="AB20" s="1012"/>
      <c r="AC20" s="1012"/>
      <c r="AD20" s="1012"/>
      <c r="AE20" s="1012"/>
    </row>
    <row r="21" spans="1:35" s="1028" customFormat="1" ht="28.5" customHeight="1">
      <c r="A21" s="1014">
        <f>_xlfn.AGGREGATE(4,7,A$12:A20)+1</f>
        <v>9</v>
      </c>
      <c r="B21" s="1015" t="s">
        <v>1827</v>
      </c>
      <c r="C21" s="1033" t="s">
        <v>1619</v>
      </c>
      <c r="D21" s="1034" t="s">
        <v>1265</v>
      </c>
      <c r="E21" s="81" t="str">
        <f>VLOOKUP(B21,TH.Q2!B26:E357,4,FALSE)</f>
        <v>NV Phòng Tổ chức - Hành chính - Tổng hợp</v>
      </c>
      <c r="F21" s="1040">
        <v>3.99</v>
      </c>
      <c r="G21" s="1019"/>
      <c r="H21" s="1248">
        <f t="shared" si="2"/>
        <v>0</v>
      </c>
      <c r="I21" s="1020"/>
      <c r="J21" s="1020" t="str">
        <f>VLOOKUP(B21,'[15]Gui chi Quynh'!$B$11:$E$396,4,FALSE)</f>
        <v>A3</v>
      </c>
      <c r="K21" s="1020">
        <f t="shared" si="3"/>
        <v>0.6</v>
      </c>
      <c r="L21" s="1021">
        <v>23</v>
      </c>
      <c r="M21" s="1021">
        <f>VLOOKUP(B21,'[16]CN BC'!$H$10:$J$275,3,FALSE)</f>
        <v>25</v>
      </c>
      <c r="N21" s="1021">
        <f t="shared" si="4"/>
        <v>23</v>
      </c>
      <c r="O21" s="1022"/>
      <c r="P21" s="1023">
        <f t="shared" si="0"/>
        <v>5601960</v>
      </c>
      <c r="Q21" s="1371">
        <f t="shared" si="5"/>
        <v>2.3940000000000001</v>
      </c>
      <c r="R21" s="1448">
        <v>2340000</v>
      </c>
      <c r="S21" s="1460">
        <f t="shared" si="6"/>
        <v>5601960</v>
      </c>
      <c r="T21" s="1024">
        <f t="shared" si="1"/>
        <v>9</v>
      </c>
      <c r="U21" s="1025">
        <f>IFERROR(INDEX('[16]CN BC'!$M$10:$M$276,MATCH(B21,'[16]CN BC'!$H$10:$H$276,0)),"")</f>
        <v>0</v>
      </c>
      <c r="V21" s="1011" t="str">
        <f>VLOOKUP(B21,TH.T4!B29:AC359,28,FALSE)</f>
        <v>TCHC</v>
      </c>
      <c r="W21" s="1129">
        <f>_xlfn.AGGREGATE(4,7,W$17:W20)+1</f>
        <v>4</v>
      </c>
      <c r="X21" s="420" t="s">
        <v>2227</v>
      </c>
      <c r="Y21" s="1130" t="s">
        <v>2278</v>
      </c>
      <c r="Z21" s="1131" t="e">
        <f>SUMIF(#REF!,$K21,$H$15:$H$78)</f>
        <v>#REF!</v>
      </c>
      <c r="AA21" s="1012"/>
      <c r="AB21" s="1012"/>
      <c r="AC21" s="1012"/>
      <c r="AD21" s="1012"/>
      <c r="AE21" s="1012"/>
    </row>
    <row r="22" spans="1:35" s="1028" customFormat="1" ht="28.5" customHeight="1">
      <c r="A22" s="1014">
        <f>_xlfn.AGGREGATE(4,7,A$12:A21)+1</f>
        <v>10</v>
      </c>
      <c r="B22" s="1015" t="s">
        <v>1448</v>
      </c>
      <c r="C22" s="1033" t="s">
        <v>1620</v>
      </c>
      <c r="D22" s="1045" t="s">
        <v>1574</v>
      </c>
      <c r="E22" s="81" t="str">
        <f>VLOOKUP(B22,TH.Q2!B27:E358,4,FALSE)</f>
        <v>NV Phòng Tổ chức - Hành chính - Tổng hợp</v>
      </c>
      <c r="F22" s="1018">
        <v>3.46</v>
      </c>
      <c r="G22" s="1019"/>
      <c r="H22" s="1248">
        <f t="shared" si="2"/>
        <v>0</v>
      </c>
      <c r="I22" s="1020"/>
      <c r="J22" s="1020" t="str">
        <f>VLOOKUP(B22,'[15]Gui chi Quynh'!$B$11:$E$396,4,FALSE)</f>
        <v>A3</v>
      </c>
      <c r="K22" s="1020">
        <f t="shared" si="3"/>
        <v>0.6</v>
      </c>
      <c r="L22" s="1021">
        <v>23</v>
      </c>
      <c r="M22" s="1021">
        <f>VLOOKUP(B22,'[16]CN BC'!$H$10:$J$275,3,FALSE)</f>
        <v>23.5</v>
      </c>
      <c r="N22" s="1021">
        <f t="shared" si="4"/>
        <v>23</v>
      </c>
      <c r="O22" s="1022"/>
      <c r="P22" s="1023">
        <f t="shared" si="0"/>
        <v>4857840</v>
      </c>
      <c r="Q22" s="1371">
        <f t="shared" si="5"/>
        <v>2.0760000000000001</v>
      </c>
      <c r="R22" s="1448">
        <v>2340000</v>
      </c>
      <c r="S22" s="1460">
        <f t="shared" si="6"/>
        <v>4857840</v>
      </c>
      <c r="T22" s="1024">
        <f t="shared" si="1"/>
        <v>10</v>
      </c>
      <c r="U22" s="1025">
        <f>IFERROR(INDEX('[16]CN BC'!$M$10:$M$276,MATCH(B22,'[16]CN BC'!$H$10:$H$276,0)),"")</f>
        <v>0</v>
      </c>
      <c r="V22" s="1011" t="str">
        <f>VLOOKUP(B22,TH.T4!B30:AC360,28,FALSE)</f>
        <v>TCHC</v>
      </c>
      <c r="W22" s="1129">
        <f>_xlfn.AGGREGATE(4,7,W$17:W21)+1</f>
        <v>5</v>
      </c>
      <c r="X22" s="1129" t="s">
        <v>2230</v>
      </c>
      <c r="Y22" s="1130" t="s">
        <v>2279</v>
      </c>
      <c r="Z22" s="1131" t="e">
        <f>SUMIF(#REF!,$K22,$H$15:$H$78)</f>
        <v>#REF!</v>
      </c>
      <c r="AA22" s="1012"/>
      <c r="AB22" s="1012"/>
      <c r="AC22" s="1012"/>
      <c r="AD22" s="1012"/>
      <c r="AE22" s="1012"/>
    </row>
    <row r="23" spans="1:35" s="1028" customFormat="1" ht="28.5" customHeight="1">
      <c r="A23" s="1014">
        <f>_xlfn.AGGREGATE(4,7,A$12:A22)+1</f>
        <v>11</v>
      </c>
      <c r="B23" s="1015" t="s">
        <v>1449</v>
      </c>
      <c r="C23" s="1029" t="s">
        <v>1621</v>
      </c>
      <c r="D23" s="1048">
        <v>1603205280047</v>
      </c>
      <c r="E23" s="81" t="str">
        <f>VLOOKUP(B23,TH.Q2!B28:E359,4,FALSE)</f>
        <v>NV Phòng Tổ chức - Hành chính - Tổng hợp</v>
      </c>
      <c r="F23" s="1040">
        <v>3.66</v>
      </c>
      <c r="G23" s="1049"/>
      <c r="H23" s="1248">
        <f t="shared" si="2"/>
        <v>0</v>
      </c>
      <c r="I23" s="1020"/>
      <c r="J23" s="1020" t="str">
        <f>VLOOKUP(B23,'[15]Gui chi Quynh'!$B$11:$E$396,4,FALSE)</f>
        <v>A2</v>
      </c>
      <c r="K23" s="1020">
        <f t="shared" si="3"/>
        <v>0.7</v>
      </c>
      <c r="L23" s="1021">
        <v>23</v>
      </c>
      <c r="M23" s="1021">
        <f>VLOOKUP(B23,'[16]CN BC'!$H$10:$J$275,3,FALSE)</f>
        <v>23.5</v>
      </c>
      <c r="N23" s="1021">
        <f t="shared" si="4"/>
        <v>23</v>
      </c>
      <c r="O23" s="1022"/>
      <c r="P23" s="1023">
        <f t="shared" si="0"/>
        <v>5995080</v>
      </c>
      <c r="Q23" s="1371">
        <f t="shared" si="5"/>
        <v>2.5619999999999998</v>
      </c>
      <c r="R23" s="1448">
        <v>2340000</v>
      </c>
      <c r="S23" s="1460">
        <f t="shared" si="6"/>
        <v>5995080</v>
      </c>
      <c r="T23" s="1024">
        <f t="shared" si="1"/>
        <v>11</v>
      </c>
      <c r="U23" s="1025">
        <f>IFERROR(INDEX('[16]CN BC'!$M$10:$M$276,MATCH(B23,'[16]CN BC'!$H$10:$H$276,0)),"")</f>
        <v>0</v>
      </c>
      <c r="V23" s="1011" t="str">
        <f>VLOOKUP(B23,TH.T4!B31:AC361,28,FALSE)</f>
        <v>TCHC</v>
      </c>
      <c r="W23" s="1129">
        <f>_xlfn.AGGREGATE(4,7,W$17:W22)+1</f>
        <v>6</v>
      </c>
      <c r="X23" s="420" t="s">
        <v>2219</v>
      </c>
      <c r="Y23" s="1130" t="s">
        <v>2280</v>
      </c>
      <c r="Z23" s="1131" t="e">
        <f>SUMIF(#REF!,$K23,$H$15:$H$78)</f>
        <v>#REF!</v>
      </c>
      <c r="AA23" s="1012"/>
      <c r="AB23" s="1012"/>
      <c r="AC23" s="1012"/>
      <c r="AD23" s="1012"/>
      <c r="AE23" s="1012"/>
      <c r="AF23" s="1012"/>
      <c r="AG23" s="1012"/>
      <c r="AH23" s="1012"/>
      <c r="AI23" s="1012"/>
    </row>
    <row r="24" spans="1:35" s="1028" customFormat="1" ht="28.5" customHeight="1">
      <c r="A24" s="1014">
        <f>_xlfn.AGGREGATE(4,7,A$12:A23)+1</f>
        <v>12</v>
      </c>
      <c r="B24" s="1015" t="s">
        <v>1828</v>
      </c>
      <c r="C24" s="1033" t="s">
        <v>1622</v>
      </c>
      <c r="D24" s="1047" t="s">
        <v>385</v>
      </c>
      <c r="E24" s="81" t="str">
        <f>VLOOKUP(B24,TH.Q2!B29:E360,4,FALSE)</f>
        <v>NV Phòng Tổ chức - Hành chính - Tổng hợp</v>
      </c>
      <c r="F24" s="1018">
        <v>3.66</v>
      </c>
      <c r="G24" s="1019"/>
      <c r="H24" s="1248">
        <f t="shared" si="2"/>
        <v>0</v>
      </c>
      <c r="I24" s="1020"/>
      <c r="J24" s="1020" t="str">
        <f>VLOOKUP(B24,'[15]Gui chi Quynh'!$B$11:$E$396,4,FALSE)</f>
        <v>A2</v>
      </c>
      <c r="K24" s="1020">
        <f t="shared" si="3"/>
        <v>0.7</v>
      </c>
      <c r="L24" s="1021">
        <v>23</v>
      </c>
      <c r="M24" s="1021">
        <f>VLOOKUP(B24,'[16]CN BC'!$H$10:$J$275,3,FALSE)</f>
        <v>24.5</v>
      </c>
      <c r="N24" s="1021">
        <f t="shared" si="4"/>
        <v>23</v>
      </c>
      <c r="O24" s="1022"/>
      <c r="P24" s="1023">
        <f t="shared" si="0"/>
        <v>5995080</v>
      </c>
      <c r="Q24" s="1371">
        <f t="shared" si="5"/>
        <v>2.5619999999999998</v>
      </c>
      <c r="R24" s="1448">
        <v>2340000</v>
      </c>
      <c r="S24" s="1460">
        <f t="shared" si="6"/>
        <v>5995080</v>
      </c>
      <c r="T24" s="1024">
        <f t="shared" si="1"/>
        <v>12</v>
      </c>
      <c r="U24" s="1025">
        <f>IFERROR(INDEX('[16]CN BC'!$M$10:$M$276,MATCH(B24,'[16]CN BC'!$H$10:$H$276,0)),"")</f>
        <v>0</v>
      </c>
      <c r="V24" s="1011" t="str">
        <f>VLOOKUP(B24,TH.T4!B32:AC362,28,FALSE)</f>
        <v>TCHC</v>
      </c>
      <c r="W24" s="1132">
        <f>_xlfn.AGGREGATE(4,7,W$17:W23)+1</f>
        <v>7</v>
      </c>
      <c r="X24" s="1132" t="s">
        <v>539</v>
      </c>
      <c r="Y24" s="1133" t="s">
        <v>2281</v>
      </c>
      <c r="Z24" s="1134" t="e">
        <f>SUMIF(#REF!,$K24,$H$15:$H$78)</f>
        <v>#REF!</v>
      </c>
      <c r="AA24" s="1012"/>
      <c r="AB24" s="1012"/>
      <c r="AC24" s="1012"/>
      <c r="AD24" s="1012"/>
      <c r="AE24" s="1012"/>
    </row>
    <row r="25" spans="1:35" s="1028" customFormat="1" ht="28.5" customHeight="1">
      <c r="A25" s="1014">
        <f>_xlfn.AGGREGATE(4,7,A$12:A24)+1</f>
        <v>13</v>
      </c>
      <c r="B25" s="1015" t="s">
        <v>1847</v>
      </c>
      <c r="C25" s="1029" t="s">
        <v>1643</v>
      </c>
      <c r="D25" s="1034" t="s">
        <v>8</v>
      </c>
      <c r="E25" s="81" t="str">
        <f>VLOOKUP(B25,TH.Q2!B30:E361,4,FALSE)</f>
        <v>NV Phòng Tổ chức - Hành chính - Tổng hợp</v>
      </c>
      <c r="F25" s="1018">
        <v>3.66</v>
      </c>
      <c r="G25" s="1019"/>
      <c r="H25" s="1248">
        <f t="shared" si="2"/>
        <v>0</v>
      </c>
      <c r="I25" s="1020"/>
      <c r="J25" s="1020" t="str">
        <f>VLOOKUP(B25,'[15]Gui chi Quynh'!$B$11:$E$396,4,FALSE)</f>
        <v>A3</v>
      </c>
      <c r="K25" s="1020">
        <f t="shared" si="3"/>
        <v>0.6</v>
      </c>
      <c r="L25" s="1021">
        <v>23</v>
      </c>
      <c r="M25" s="1021">
        <f>VLOOKUP(B25,'[16]CN BC'!$H$10:$J$275,3,FALSE)</f>
        <v>23.5</v>
      </c>
      <c r="N25" s="1021">
        <f t="shared" si="4"/>
        <v>23</v>
      </c>
      <c r="O25" s="1022"/>
      <c r="P25" s="1023">
        <f t="shared" si="0"/>
        <v>5138640</v>
      </c>
      <c r="Q25" s="1371">
        <f t="shared" si="5"/>
        <v>2.1960000000000002</v>
      </c>
      <c r="R25" s="1448">
        <v>2340000</v>
      </c>
      <c r="S25" s="1460">
        <f t="shared" si="6"/>
        <v>5138640</v>
      </c>
      <c r="T25" s="1024">
        <f t="shared" si="1"/>
        <v>13</v>
      </c>
      <c r="U25" s="1025">
        <f>IFERROR(INDEX('[16]CN BC'!$M$10:$M$276,MATCH(B25,'[16]CN BC'!$H$10:$H$276,0)),"")</f>
        <v>0</v>
      </c>
      <c r="V25" s="1011" t="str">
        <f>VLOOKUP(B25,TH.T4!B33:AC363,28,FALSE)</f>
        <v>TCHC</v>
      </c>
      <c r="W25" s="1129">
        <f>_xlfn.AGGREGATE(4,7,W$17:W24)+1</f>
        <v>8</v>
      </c>
      <c r="X25" s="1129" t="s">
        <v>2237</v>
      </c>
      <c r="Y25" s="1130" t="s">
        <v>2282</v>
      </c>
      <c r="Z25" s="1131" t="e">
        <f>SUMIF(#REF!,$K25,$H$15:$H$78)</f>
        <v>#REF!</v>
      </c>
      <c r="AA25" s="1012"/>
      <c r="AB25" s="1012"/>
      <c r="AC25" s="1012"/>
      <c r="AD25" s="1012"/>
      <c r="AE25" s="1012"/>
      <c r="AF25" s="1012"/>
      <c r="AG25" s="1012"/>
      <c r="AH25" s="1012"/>
      <c r="AI25" s="1012"/>
    </row>
    <row r="26" spans="1:35" s="1028" customFormat="1" ht="28.5" customHeight="1">
      <c r="A26" s="1014">
        <f>_xlfn.AGGREGATE(4,7,A$12:A25)+1</f>
        <v>14</v>
      </c>
      <c r="B26" s="1015" t="s">
        <v>1848</v>
      </c>
      <c r="C26" s="1033" t="s">
        <v>1644</v>
      </c>
      <c r="D26" s="1045">
        <v>1603205360856</v>
      </c>
      <c r="E26" s="81" t="str">
        <f>VLOOKUP(B26,TH.Q2!B31:E362,4,FALSE)</f>
        <v>NV Phòng Tổ chức - Hành chính - Tổng hợp</v>
      </c>
      <c r="F26" s="1040">
        <v>3.33</v>
      </c>
      <c r="G26" s="1019"/>
      <c r="H26" s="1248">
        <f t="shared" si="2"/>
        <v>0</v>
      </c>
      <c r="I26" s="1020"/>
      <c r="J26" s="1020" t="str">
        <f>VLOOKUP(B26,'[15]Gui chi Quynh'!$B$11:$E$396,4,FALSE)</f>
        <v>A2</v>
      </c>
      <c r="K26" s="1020">
        <f t="shared" si="3"/>
        <v>0.7</v>
      </c>
      <c r="L26" s="1021">
        <v>23</v>
      </c>
      <c r="M26" s="1021">
        <f>VLOOKUP(B26,'[16]CN BC'!$H$10:$J$275,3,FALSE)</f>
        <v>23.5</v>
      </c>
      <c r="N26" s="1021">
        <f t="shared" si="4"/>
        <v>23</v>
      </c>
      <c r="O26" s="1022"/>
      <c r="P26" s="1023">
        <f t="shared" si="0"/>
        <v>5454540</v>
      </c>
      <c r="Q26" s="1371">
        <f t="shared" si="5"/>
        <v>2.331</v>
      </c>
      <c r="R26" s="1448">
        <v>2340000</v>
      </c>
      <c r="S26" s="1460">
        <f t="shared" si="6"/>
        <v>5454540</v>
      </c>
      <c r="T26" s="1024">
        <f t="shared" si="1"/>
        <v>14</v>
      </c>
      <c r="U26" s="1025">
        <f>IFERROR(INDEX('[16]CN BC'!$M$10:$M$276,MATCH(B26,'[16]CN BC'!$H$10:$H$276,0)),"")</f>
        <v>0</v>
      </c>
      <c r="V26" s="1011" t="str">
        <f>VLOOKUP(B26,TH.T4!B34:AC364,28,FALSE)</f>
        <v>TCHC</v>
      </c>
      <c r="W26" s="1129">
        <f>_xlfn.AGGREGATE(4,7,W$17:W25)+1</f>
        <v>9</v>
      </c>
      <c r="X26" s="1129" t="s">
        <v>2238</v>
      </c>
      <c r="Y26" s="1130" t="s">
        <v>2283</v>
      </c>
      <c r="Z26" s="1131" t="e">
        <f>SUMIF(#REF!,$K26,$H$15:$H$78)</f>
        <v>#REF!</v>
      </c>
    </row>
    <row r="27" spans="1:35" s="1028" customFormat="1" ht="28.5" customHeight="1">
      <c r="A27" s="1014">
        <f>_xlfn.AGGREGATE(4,7,A$12:A26)+1</f>
        <v>15</v>
      </c>
      <c r="B27" s="1043" t="s">
        <v>1603</v>
      </c>
      <c r="C27" s="1044" t="s">
        <v>1624</v>
      </c>
      <c r="D27" s="1045">
        <v>1603205545491</v>
      </c>
      <c r="E27" s="81" t="str">
        <f>VLOOKUP(B27,TH.Q2!B32:E363,4,FALSE)</f>
        <v>NV Phòng Tổ chức - Hành chính - Tổng hợp</v>
      </c>
      <c r="F27" s="1040">
        <f>2.46+0.15</f>
        <v>2.61</v>
      </c>
      <c r="G27" s="1019"/>
      <c r="H27" s="1248">
        <f t="shared" si="2"/>
        <v>0</v>
      </c>
      <c r="I27" s="1020"/>
      <c r="J27" s="1020" t="str">
        <f>VLOOKUP(B27,'[15]Gui chi Quynh'!$B$11:$E$396,4,FALSE)</f>
        <v>A2</v>
      </c>
      <c r="K27" s="1020">
        <f t="shared" si="3"/>
        <v>0.7</v>
      </c>
      <c r="L27" s="1021">
        <v>23</v>
      </c>
      <c r="M27" s="1021">
        <f>VLOOKUP(B27,'[16]CN BC'!$H$10:$J$275,3,FALSE)</f>
        <v>26</v>
      </c>
      <c r="N27" s="1021">
        <f t="shared" si="4"/>
        <v>23</v>
      </c>
      <c r="O27" s="1022"/>
      <c r="P27" s="1023">
        <f t="shared" si="0"/>
        <v>4275180</v>
      </c>
      <c r="Q27" s="1371">
        <f t="shared" si="5"/>
        <v>1.827</v>
      </c>
      <c r="R27" s="1448">
        <v>2340000</v>
      </c>
      <c r="S27" s="1460">
        <f t="shared" si="6"/>
        <v>4275180</v>
      </c>
      <c r="T27" s="1024">
        <f t="shared" si="1"/>
        <v>15</v>
      </c>
      <c r="U27" s="1025">
        <f>IFERROR(INDEX('[16]CN BC'!$M$10:$M$276,MATCH(B27,'[16]CN BC'!$H$10:$H$276,0)),"")</f>
        <v>0</v>
      </c>
      <c r="V27" s="1011" t="str">
        <f>VLOOKUP(B27,TH.T4!B35:AC365,28,FALSE)</f>
        <v>TCHC</v>
      </c>
      <c r="W27" s="1129">
        <f>_xlfn.AGGREGATE(4,7,W$17:W26)+1</f>
        <v>10</v>
      </c>
      <c r="X27" s="420" t="s">
        <v>2239</v>
      </c>
      <c r="Y27" s="1130" t="s">
        <v>2284</v>
      </c>
      <c r="Z27" s="1131" t="e">
        <f>SUMIF(#REF!,$K27,$H$15:$H$78)</f>
        <v>#REF!</v>
      </c>
      <c r="AA27" s="1012"/>
      <c r="AB27" s="1012"/>
      <c r="AC27" s="1012"/>
      <c r="AD27" s="1012"/>
      <c r="AE27" s="1012"/>
    </row>
    <row r="28" spans="1:35" s="1028" customFormat="1" ht="28.5" customHeight="1">
      <c r="A28" s="1014">
        <f>_xlfn.AGGREGATE(4,7,A$12:A27)+1</f>
        <v>16</v>
      </c>
      <c r="B28" s="1015" t="s">
        <v>1450</v>
      </c>
      <c r="C28" s="1033" t="s">
        <v>1625</v>
      </c>
      <c r="D28" s="1030" t="s">
        <v>1441</v>
      </c>
      <c r="E28" s="368" t="str">
        <f>VLOOKUP(B28,TH.Q2!B33:E364,4,FALSE)</f>
        <v>Trưởng phòng Quản trị - Dịch vụ</v>
      </c>
      <c r="F28" s="1018">
        <v>4.9800000000000004</v>
      </c>
      <c r="G28" s="1019">
        <v>0.06</v>
      </c>
      <c r="H28" s="1255">
        <f t="shared" si="2"/>
        <v>0.29899999999999999</v>
      </c>
      <c r="I28" s="1020">
        <v>0.45</v>
      </c>
      <c r="J28" s="1020" t="str">
        <f>VLOOKUP(B28,'[15]Gui chi Quynh'!$B$11:$E$396,4,FALSE)</f>
        <v>A1</v>
      </c>
      <c r="K28" s="1020">
        <f t="shared" si="3"/>
        <v>0.8</v>
      </c>
      <c r="L28" s="1021">
        <v>23</v>
      </c>
      <c r="M28" s="1021">
        <f>VLOOKUP(B28,'[16]CN BC'!$H$10:$J$275,3,FALSE)</f>
        <v>27</v>
      </c>
      <c r="N28" s="1021">
        <f t="shared" si="4"/>
        <v>23</v>
      </c>
      <c r="O28" s="1035"/>
      <c r="P28" s="1023">
        <f t="shared" si="0"/>
        <v>10724688.000000002</v>
      </c>
      <c r="Q28" s="1371">
        <f t="shared" si="5"/>
        <v>4.5832000000000006</v>
      </c>
      <c r="R28" s="1448">
        <v>2340000</v>
      </c>
      <c r="S28" s="1460">
        <f t="shared" si="6"/>
        <v>10724688.000000002</v>
      </c>
      <c r="T28" s="1024">
        <f t="shared" si="1"/>
        <v>16</v>
      </c>
      <c r="U28" s="1025">
        <f>IFERROR(INDEX('[16]CN BC'!$M$10:$M$276,MATCH(B28,'[16]CN BC'!$H$10:$H$276,0)),"")</f>
        <v>0</v>
      </c>
      <c r="V28" s="1067" t="str">
        <f>VLOOKUP(B28,TH.T4!B36:AC366,28,FALSE)</f>
        <v>QTDV</v>
      </c>
      <c r="W28" s="1132">
        <f>_xlfn.AGGREGATE(4,7,W$17:W27)+1</f>
        <v>11</v>
      </c>
      <c r="X28" s="1132" t="s">
        <v>548</v>
      </c>
      <c r="Y28" s="1133" t="s">
        <v>2285</v>
      </c>
      <c r="Z28" s="1134" t="e">
        <f>SUMIF(#REF!,$K28,$H$15:$H$78)</f>
        <v>#REF!</v>
      </c>
    </row>
    <row r="29" spans="1:35" s="1028" customFormat="1" ht="28.5" customHeight="1">
      <c r="A29" s="1014">
        <f>_xlfn.AGGREGATE(4,7,A$12:A28)+1</f>
        <v>17</v>
      </c>
      <c r="B29" s="1015" t="s">
        <v>1996</v>
      </c>
      <c r="C29" s="1029" t="s">
        <v>1626</v>
      </c>
      <c r="D29" s="1034" t="s">
        <v>1393</v>
      </c>
      <c r="E29" s="81" t="str">
        <f>VLOOKUP(B29,TH.Q2!B34:E365,4,FALSE)</f>
        <v>Phó TP. Quản trị - 
Dịch vụ</v>
      </c>
      <c r="F29" s="1018">
        <v>4.9800000000000004</v>
      </c>
      <c r="G29" s="1019">
        <v>7.0000000000000007E-2</v>
      </c>
      <c r="H29" s="1248">
        <f t="shared" si="2"/>
        <v>0.34899999999999998</v>
      </c>
      <c r="I29" s="1020">
        <v>0.35</v>
      </c>
      <c r="J29" s="1020" t="str">
        <f>VLOOKUP(B29,'[15]Gui chi Quynh'!$B$11:$E$396,4,FALSE)</f>
        <v>A1</v>
      </c>
      <c r="K29" s="1020">
        <f t="shared" si="3"/>
        <v>0.8</v>
      </c>
      <c r="L29" s="1021">
        <v>23</v>
      </c>
      <c r="M29" s="1021">
        <f>VLOOKUP(B29,'[16]CN BC'!$H$10:$J$275,3,FALSE)</f>
        <v>26</v>
      </c>
      <c r="N29" s="1021">
        <f t="shared" si="4"/>
        <v>23</v>
      </c>
      <c r="O29" s="1022"/>
      <c r="P29" s="1023">
        <f t="shared" si="0"/>
        <v>10631088.000000002</v>
      </c>
      <c r="Q29" s="1371">
        <f t="shared" si="5"/>
        <v>4.5432000000000006</v>
      </c>
      <c r="R29" s="1448">
        <v>2340000</v>
      </c>
      <c r="S29" s="1460">
        <f t="shared" si="6"/>
        <v>10631088.000000002</v>
      </c>
      <c r="T29" s="1024">
        <f t="shared" si="1"/>
        <v>17</v>
      </c>
      <c r="U29" s="1025">
        <f>IFERROR(INDEX('[16]CN BC'!$M$10:$M$276,MATCH(B29,'[16]CN BC'!$H$10:$H$276,0)),"")</f>
        <v>0</v>
      </c>
      <c r="V29" s="1011" t="str">
        <f>VLOOKUP(B29,TH.T4!B37:AC367,28,FALSE)</f>
        <v>QTDV</v>
      </c>
      <c r="W29" s="1129">
        <f>_xlfn.AGGREGATE(4,7,W$17:W28)+1</f>
        <v>12</v>
      </c>
      <c r="X29" s="1129" t="s">
        <v>2241</v>
      </c>
      <c r="Y29" s="1130" t="s">
        <v>2286</v>
      </c>
      <c r="Z29" s="1131" t="e">
        <f>SUMIF(#REF!,$K29,$H$15:$H$78)</f>
        <v>#REF!</v>
      </c>
      <c r="AA29" s="1012"/>
      <c r="AB29" s="1012"/>
      <c r="AC29" s="1012"/>
      <c r="AD29" s="1012"/>
      <c r="AE29" s="1012"/>
      <c r="AF29" s="1012"/>
      <c r="AG29" s="1012"/>
      <c r="AH29" s="1012"/>
      <c r="AI29" s="1012"/>
    </row>
    <row r="30" spans="1:35" s="1012" customFormat="1" ht="25.5" customHeight="1">
      <c r="A30" s="1014">
        <f>_xlfn.AGGREGATE(4,7,A$12:A29)+1</f>
        <v>18</v>
      </c>
      <c r="B30" s="1050" t="s">
        <v>1849</v>
      </c>
      <c r="C30" s="1029" t="s">
        <v>1627</v>
      </c>
      <c r="D30" s="1051" t="s">
        <v>1267</v>
      </c>
      <c r="E30" s="81" t="str">
        <f>VLOOKUP(B30,TH.Q2!B35:E366,4,FALSE)</f>
        <v>NV Phòng Quản trị - Dịch vụ</v>
      </c>
      <c r="F30" s="1052">
        <v>3.65</v>
      </c>
      <c r="G30" s="1053"/>
      <c r="H30" s="1248">
        <f t="shared" si="2"/>
        <v>0</v>
      </c>
      <c r="I30" s="1054">
        <v>0.25</v>
      </c>
      <c r="J30" s="1020" t="str">
        <f>VLOOKUP(B30,'[15]Gui chi Quynh'!$B$11:$E$396,4,FALSE)</f>
        <v>A1</v>
      </c>
      <c r="K30" s="1020">
        <f t="shared" si="3"/>
        <v>0.8</v>
      </c>
      <c r="L30" s="1021">
        <v>23</v>
      </c>
      <c r="M30" s="1021">
        <f>VLOOKUP(B30,'[16]CN BC'!$H$10:$J$275,3,FALSE)</f>
        <v>23</v>
      </c>
      <c r="N30" s="1021">
        <f t="shared" si="4"/>
        <v>23</v>
      </c>
      <c r="O30" s="1022"/>
      <c r="P30" s="1023">
        <f t="shared" si="0"/>
        <v>7300800</v>
      </c>
      <c r="Q30" s="1371">
        <f t="shared" si="5"/>
        <v>3.12</v>
      </c>
      <c r="R30" s="1448">
        <v>2340000</v>
      </c>
      <c r="S30" s="1460">
        <f t="shared" si="6"/>
        <v>7300800</v>
      </c>
      <c r="T30" s="1024">
        <f t="shared" si="1"/>
        <v>18</v>
      </c>
      <c r="U30" s="1025">
        <f>IFERROR(INDEX('[16]CN BC'!$M$10:$M$276,MATCH(B30,'[16]CN BC'!$H$10:$H$276,0)),"")</f>
        <v>0</v>
      </c>
      <c r="V30" s="1011" t="str">
        <f>VLOOKUP(B30,TH.T4!B38:AC368,28,FALSE)</f>
        <v>QTDV</v>
      </c>
      <c r="W30" s="1129">
        <f>_xlfn.AGGREGATE(4,7,W$17:W29)+1</f>
        <v>13</v>
      </c>
      <c r="X30" s="1129" t="s">
        <v>2240</v>
      </c>
      <c r="Y30" s="1130" t="s">
        <v>2287</v>
      </c>
      <c r="Z30" s="1131" t="e">
        <f>SUMIF(#REF!,$K30,$H$15:$H$78)</f>
        <v>#REF!</v>
      </c>
    </row>
    <row r="31" spans="1:35" s="1028" customFormat="1" ht="25.5" customHeight="1">
      <c r="A31" s="1014">
        <f>_xlfn.AGGREGATE(4,7,A$12:A30)+1</f>
        <v>19</v>
      </c>
      <c r="B31" s="1015" t="s">
        <v>1850</v>
      </c>
      <c r="C31" s="1033" t="s">
        <v>1628</v>
      </c>
      <c r="D31" s="1034" t="s">
        <v>1268</v>
      </c>
      <c r="E31" s="81" t="str">
        <f>VLOOKUP(B31,TH.Q2!B36:E367,4,FALSE)</f>
        <v>NV Phòng Quản trị - Dịch vụ</v>
      </c>
      <c r="F31" s="1018">
        <v>3.46</v>
      </c>
      <c r="G31" s="1019"/>
      <c r="H31" s="1248">
        <f t="shared" si="2"/>
        <v>0</v>
      </c>
      <c r="I31" s="1020"/>
      <c r="J31" s="1020" t="str">
        <f>VLOOKUP(B31,'[15]Gui chi Quynh'!$B$11:$E$396,4,FALSE)</f>
        <v>A2</v>
      </c>
      <c r="K31" s="1020">
        <f t="shared" si="3"/>
        <v>0.7</v>
      </c>
      <c r="L31" s="1021">
        <v>23</v>
      </c>
      <c r="M31" s="1021">
        <f>VLOOKUP(B31,'[16]CN BC'!$H$10:$J$275,3,FALSE)</f>
        <v>23</v>
      </c>
      <c r="N31" s="1021">
        <f t="shared" si="4"/>
        <v>23</v>
      </c>
      <c r="O31" s="1022"/>
      <c r="P31" s="1023">
        <f t="shared" si="0"/>
        <v>5667480</v>
      </c>
      <c r="Q31" s="1371">
        <f t="shared" si="5"/>
        <v>2.4220000000000002</v>
      </c>
      <c r="R31" s="1448">
        <v>2340000</v>
      </c>
      <c r="S31" s="1460">
        <f t="shared" si="6"/>
        <v>5667480</v>
      </c>
      <c r="T31" s="1024">
        <f t="shared" si="1"/>
        <v>19</v>
      </c>
      <c r="U31" s="1025">
        <f>IFERROR(INDEX('[16]CN BC'!$M$10:$M$276,MATCH(B31,'[16]CN BC'!$H$10:$H$276,0)),"")</f>
        <v>0</v>
      </c>
      <c r="V31" s="1011" t="str">
        <f>VLOOKUP(B31,TH.T4!B39:AC369,28,FALSE)</f>
        <v>QTDV</v>
      </c>
      <c r="W31" s="1129">
        <f>_xlfn.AGGREGATE(4,7,W$17:W30)+1</f>
        <v>14</v>
      </c>
      <c r="X31" s="1129" t="s">
        <v>2226</v>
      </c>
      <c r="Y31" s="1130" t="s">
        <v>2288</v>
      </c>
      <c r="Z31" s="1131" t="e">
        <f>SUMIF(#REF!,$K31,$H$15:$H$78)</f>
        <v>#REF!</v>
      </c>
      <c r="AA31" s="1012"/>
      <c r="AB31" s="1012"/>
      <c r="AC31" s="1012"/>
      <c r="AD31" s="1012"/>
      <c r="AE31" s="1012"/>
    </row>
    <row r="32" spans="1:35" s="1012" customFormat="1" ht="27.75" customHeight="1">
      <c r="A32" s="1014">
        <f>_xlfn.AGGREGATE(4,7,A$12:A31)+1</f>
        <v>20</v>
      </c>
      <c r="B32" s="1050" t="s">
        <v>1451</v>
      </c>
      <c r="C32" s="1029" t="s">
        <v>1629</v>
      </c>
      <c r="D32" s="1055" t="s">
        <v>367</v>
      </c>
      <c r="E32" s="81" t="str">
        <f>VLOOKUP(B32,TH.Q2!B37:E368,4,FALSE)</f>
        <v>Nhân viên phòng Quản trị - Dịch vụ</v>
      </c>
      <c r="F32" s="1052">
        <v>3.66</v>
      </c>
      <c r="G32" s="1053"/>
      <c r="H32" s="1248">
        <f t="shared" si="2"/>
        <v>0</v>
      </c>
      <c r="I32" s="1054"/>
      <c r="J32" s="1020" t="str">
        <f>VLOOKUP(B32,'[15]Gui chi Quynh'!$B$11:$E$396,4,FALSE)</f>
        <v>A2</v>
      </c>
      <c r="K32" s="1020">
        <f t="shared" si="3"/>
        <v>0.7</v>
      </c>
      <c r="L32" s="1021">
        <v>23</v>
      </c>
      <c r="M32" s="1021">
        <f>VLOOKUP(B32,'[16]CN BC'!$H$10:$J$275,3,FALSE)</f>
        <v>23</v>
      </c>
      <c r="N32" s="1021">
        <f t="shared" si="4"/>
        <v>23</v>
      </c>
      <c r="O32" s="1022"/>
      <c r="P32" s="1023">
        <f t="shared" si="0"/>
        <v>5995080</v>
      </c>
      <c r="Q32" s="1371">
        <f t="shared" si="5"/>
        <v>2.5619999999999998</v>
      </c>
      <c r="R32" s="1448">
        <v>2340000</v>
      </c>
      <c r="S32" s="1460">
        <f t="shared" si="6"/>
        <v>5995080</v>
      </c>
      <c r="T32" s="1024">
        <f t="shared" si="1"/>
        <v>20</v>
      </c>
      <c r="U32" s="1025">
        <f>IFERROR(INDEX('[16]CN BC'!$M$10:$M$276,MATCH(B32,'[16]CN BC'!$H$10:$H$276,0)),"")</f>
        <v>0</v>
      </c>
      <c r="V32" s="1011" t="str">
        <f>VLOOKUP(B32,TH.T4!B40:AC370,28,FALSE)</f>
        <v>QTDV</v>
      </c>
      <c r="W32" s="1129">
        <f>_xlfn.AGGREGATE(4,7,W$17:W31)+1</f>
        <v>15</v>
      </c>
      <c r="X32" s="420" t="s">
        <v>2289</v>
      </c>
      <c r="Y32" s="1130" t="s">
        <v>2290</v>
      </c>
      <c r="Z32" s="1131" t="e">
        <f>SUMIF(#REF!,$K32,$H$15:$H$78)</f>
        <v>#REF!</v>
      </c>
    </row>
    <row r="33" spans="1:35" s="1028" customFormat="1" ht="29.25" customHeight="1">
      <c r="A33" s="1014">
        <f>_xlfn.AGGREGATE(4,7,A$12:A32)+1</f>
        <v>21</v>
      </c>
      <c r="B33" s="1015" t="s">
        <v>1452</v>
      </c>
      <c r="C33" s="1033" t="s">
        <v>1630</v>
      </c>
      <c r="D33" s="1045">
        <v>1603205348129</v>
      </c>
      <c r="E33" s="81" t="str">
        <f>VLOOKUP(B33,TH.Q2!B38:E369,4,FALSE)</f>
        <v>Nhân viên phòng Quản trị - Dịch vụ</v>
      </c>
      <c r="F33" s="1018">
        <v>3.34</v>
      </c>
      <c r="G33" s="1019"/>
      <c r="H33" s="1248">
        <f t="shared" si="2"/>
        <v>0</v>
      </c>
      <c r="I33" s="1020"/>
      <c r="J33" s="1020" t="str">
        <f>VLOOKUP(B33,'[15]Gui chi Quynh'!$B$11:$E$396,4,FALSE)</f>
        <v>A2</v>
      </c>
      <c r="K33" s="1020">
        <f t="shared" si="3"/>
        <v>0.7</v>
      </c>
      <c r="L33" s="1021">
        <v>23</v>
      </c>
      <c r="M33" s="1021">
        <f>VLOOKUP(B33,'[16]CN BC'!$H$10:$J$275,3,FALSE)</f>
        <v>23</v>
      </c>
      <c r="N33" s="1021">
        <f t="shared" si="4"/>
        <v>23</v>
      </c>
      <c r="O33" s="1022"/>
      <c r="P33" s="1023">
        <f t="shared" si="0"/>
        <v>5470919.9999999991</v>
      </c>
      <c r="Q33" s="1371">
        <f t="shared" si="5"/>
        <v>2.3379999999999996</v>
      </c>
      <c r="R33" s="1448">
        <v>2340000</v>
      </c>
      <c r="S33" s="1460">
        <f t="shared" si="6"/>
        <v>5470919.9999999991</v>
      </c>
      <c r="T33" s="1024">
        <f t="shared" si="1"/>
        <v>21</v>
      </c>
      <c r="U33" s="1025">
        <f>IFERROR(INDEX('[16]CN BC'!$M$10:$M$276,MATCH(B33,'[16]CN BC'!$H$10:$H$276,0)),"")</f>
        <v>0</v>
      </c>
      <c r="V33" s="1011" t="str">
        <f>VLOOKUP(B33,TH.T4!B41:AC371,28,FALSE)</f>
        <v>QTDV</v>
      </c>
      <c r="W33" s="1129">
        <f>_xlfn.AGGREGATE(4,7,W$17:W32)+1</f>
        <v>16</v>
      </c>
      <c r="X33" s="1129" t="s">
        <v>2233</v>
      </c>
      <c r="Y33" s="1130" t="s">
        <v>2291</v>
      </c>
      <c r="Z33" s="1131" t="e">
        <f>SUMIF(#REF!,$K33,$H$15:$H$78)</f>
        <v>#REF!</v>
      </c>
      <c r="AA33" s="1012"/>
      <c r="AB33" s="1012"/>
      <c r="AC33" s="1012"/>
      <c r="AD33" s="1012"/>
      <c r="AE33" s="1012"/>
    </row>
    <row r="34" spans="1:35" s="1012" customFormat="1" ht="24.75" customHeight="1">
      <c r="A34" s="1014">
        <f>_xlfn.AGGREGATE(4,7,A$12:A33)+1</f>
        <v>22</v>
      </c>
      <c r="B34" s="1050" t="s">
        <v>1453</v>
      </c>
      <c r="C34" s="1029" t="s">
        <v>1631</v>
      </c>
      <c r="D34" s="1055" t="s">
        <v>384</v>
      </c>
      <c r="E34" s="81" t="str">
        <f>VLOOKUP(B34,TH.Q2!B39:E370,4,FALSE)</f>
        <v>Nhân viên phòng Quản trị - Dịch vụ</v>
      </c>
      <c r="F34" s="1056">
        <v>3.66</v>
      </c>
      <c r="G34" s="1053"/>
      <c r="H34" s="1248">
        <f t="shared" si="2"/>
        <v>0</v>
      </c>
      <c r="I34" s="1054"/>
      <c r="J34" s="1020" t="str">
        <f>VLOOKUP(B34,'[15]Gui chi Quynh'!$B$11:$E$396,4,FALSE)</f>
        <v>A4</v>
      </c>
      <c r="K34" s="1020">
        <f t="shared" si="3"/>
        <v>0.5</v>
      </c>
      <c r="L34" s="1021">
        <v>23</v>
      </c>
      <c r="M34" s="1021">
        <f>VLOOKUP(B34,'[16]CN BC'!$H$10:$J$275,3,FALSE)</f>
        <v>23</v>
      </c>
      <c r="N34" s="1021">
        <f t="shared" si="4"/>
        <v>23</v>
      </c>
      <c r="O34" s="1022"/>
      <c r="P34" s="1023">
        <f t="shared" si="0"/>
        <v>4282200</v>
      </c>
      <c r="Q34" s="1371">
        <f t="shared" si="5"/>
        <v>1.83</v>
      </c>
      <c r="R34" s="1448">
        <v>2340000</v>
      </c>
      <c r="S34" s="1460">
        <f t="shared" si="6"/>
        <v>4282200</v>
      </c>
      <c r="T34" s="1024">
        <f t="shared" si="1"/>
        <v>22</v>
      </c>
      <c r="U34" s="1025">
        <f>IFERROR(INDEX('[16]CN BC'!$M$10:$M$276,MATCH(B34,'[16]CN BC'!$H$10:$H$276,0)),"")</f>
        <v>0</v>
      </c>
      <c r="V34" s="1011" t="str">
        <f>VLOOKUP(B34,TH.T4!B42:AC372,28,FALSE)</f>
        <v>QTDV</v>
      </c>
      <c r="W34" s="1129">
        <f>_xlfn.AGGREGATE(4,7,W$17:W33)+1</f>
        <v>17</v>
      </c>
      <c r="X34" s="1129" t="s">
        <v>2236</v>
      </c>
      <c r="Y34" s="1130" t="s">
        <v>2292</v>
      </c>
      <c r="Z34" s="1131" t="e">
        <f>SUMIF(#REF!,$K34,$H$15:$H$78)</f>
        <v>#REF!</v>
      </c>
    </row>
    <row r="35" spans="1:35" s="1028" customFormat="1" ht="25.5" customHeight="1">
      <c r="A35" s="1014">
        <f>_xlfn.AGGREGATE(4,7,A$12:A34)+1</f>
        <v>23</v>
      </c>
      <c r="B35" s="1015" t="s">
        <v>1522</v>
      </c>
      <c r="C35" s="1033" t="s">
        <v>1633</v>
      </c>
      <c r="D35" s="1057">
        <v>1603205357238</v>
      </c>
      <c r="E35" s="81" t="str">
        <f>VLOOKUP(B35,TH.Q2!B40:E371,4,FALSE)</f>
        <v>NV - TT Đào tạo và Quản lý vật tư thiết bị</v>
      </c>
      <c r="F35" s="1018">
        <v>3.03</v>
      </c>
      <c r="G35" s="1019"/>
      <c r="H35" s="1248">
        <f t="shared" si="2"/>
        <v>0</v>
      </c>
      <c r="I35" s="1020"/>
      <c r="J35" s="1020" t="str">
        <f>VLOOKUP(B35,'[15]Gui chi Quynh'!$B$11:$E$396,4,FALSE)</f>
        <v>A2</v>
      </c>
      <c r="K35" s="1020">
        <f t="shared" si="3"/>
        <v>0.7</v>
      </c>
      <c r="L35" s="1021">
        <v>23</v>
      </c>
      <c r="M35" s="1021">
        <f>VLOOKUP(B35,'[16]CN BC'!$H$10:$J$275,3,FALSE)</f>
        <v>24</v>
      </c>
      <c r="N35" s="1021">
        <f t="shared" si="4"/>
        <v>23</v>
      </c>
      <c r="O35" s="1022"/>
      <c r="P35" s="1023">
        <f t="shared" si="0"/>
        <v>4963140</v>
      </c>
      <c r="Q35" s="1371">
        <f t="shared" si="5"/>
        <v>2.121</v>
      </c>
      <c r="R35" s="1448">
        <v>2340000</v>
      </c>
      <c r="S35" s="1460">
        <f t="shared" si="6"/>
        <v>4963140</v>
      </c>
      <c r="T35" s="1024">
        <f t="shared" si="1"/>
        <v>23</v>
      </c>
      <c r="U35" s="1025">
        <f>IFERROR(INDEX('[16]CN BC'!$M$10:$M$276,MATCH(B35,'[16]CN BC'!$H$10:$H$276,0)),"")</f>
        <v>0</v>
      </c>
      <c r="V35" s="1011" t="str">
        <f>VLOOKUP(B35,TH.T4!B43:AC373,28,FALSE)</f>
        <v>TTĐT</v>
      </c>
      <c r="W35" s="1129">
        <f>_xlfn.AGGREGATE(4,7,W$17:W34)+1</f>
        <v>18</v>
      </c>
      <c r="X35" s="1129" t="s">
        <v>2293</v>
      </c>
      <c r="Y35" s="1130" t="s">
        <v>2294</v>
      </c>
      <c r="Z35" s="1131" t="e">
        <f>SUMIF(#REF!,$K35,$H$15:$H$78)</f>
        <v>#REF!</v>
      </c>
      <c r="AA35" s="1012"/>
      <c r="AB35" s="1012"/>
      <c r="AC35" s="1012"/>
      <c r="AD35" s="1012"/>
      <c r="AE35" s="1012"/>
    </row>
    <row r="36" spans="1:35" s="1028" customFormat="1" ht="29.25" customHeight="1">
      <c r="A36" s="1014">
        <f>_xlfn.AGGREGATE(4,7,A$12:A35)+1</f>
        <v>24</v>
      </c>
      <c r="B36" s="1015" t="s">
        <v>1523</v>
      </c>
      <c r="C36" s="1033" t="s">
        <v>1634</v>
      </c>
      <c r="D36" s="1045">
        <v>1603205302590</v>
      </c>
      <c r="E36" s="81" t="str">
        <f>VLOOKUP(B36,TH.Q2!B41:E372,4,FALSE)</f>
        <v>NV - TT Đào tạo và Quản lý vật tư thiết bị</v>
      </c>
      <c r="F36" s="1018">
        <v>3.34</v>
      </c>
      <c r="G36" s="1019"/>
      <c r="H36" s="1248">
        <f t="shared" si="2"/>
        <v>0</v>
      </c>
      <c r="I36" s="1020"/>
      <c r="J36" s="1020" t="str">
        <f>VLOOKUP(B36,'[15]Gui chi Quynh'!$B$11:$E$396,4,FALSE)</f>
        <v>A3</v>
      </c>
      <c r="K36" s="1020">
        <f t="shared" si="3"/>
        <v>0.6</v>
      </c>
      <c r="L36" s="1021">
        <v>23</v>
      </c>
      <c r="M36" s="1021">
        <f>VLOOKUP(B36,'[16]CN BC'!$H$10:$J$275,3,FALSE)</f>
        <v>24</v>
      </c>
      <c r="N36" s="1021">
        <f t="shared" si="4"/>
        <v>23</v>
      </c>
      <c r="O36" s="1022"/>
      <c r="P36" s="1023">
        <f t="shared" si="0"/>
        <v>4689359.9999999991</v>
      </c>
      <c r="Q36" s="1371">
        <f t="shared" si="5"/>
        <v>2.0039999999999996</v>
      </c>
      <c r="R36" s="1448">
        <v>2340000</v>
      </c>
      <c r="S36" s="1460">
        <f t="shared" si="6"/>
        <v>4689359.9999999991</v>
      </c>
      <c r="T36" s="1024">
        <f t="shared" si="1"/>
        <v>24</v>
      </c>
      <c r="U36" s="1025">
        <f>IFERROR(INDEX('[16]CN BC'!$M$10:$M$276,MATCH(B36,'[16]CN BC'!$H$10:$H$276,0)),"")</f>
        <v>0</v>
      </c>
      <c r="V36" s="1011" t="str">
        <f>VLOOKUP(B36,TH.T4!B44:AC374,28,FALSE)</f>
        <v>TTĐT</v>
      </c>
      <c r="W36" s="1129">
        <f>_xlfn.AGGREGATE(4,7,W$17:W35)+1</f>
        <v>19</v>
      </c>
      <c r="X36" s="1129" t="s">
        <v>2229</v>
      </c>
      <c r="Y36" s="1130" t="s">
        <v>2295</v>
      </c>
      <c r="Z36" s="1131" t="e">
        <f>SUMIF(#REF!,$K36,$H$15:$H$78)</f>
        <v>#REF!</v>
      </c>
      <c r="AA36" s="1012"/>
      <c r="AB36" s="1012"/>
      <c r="AC36" s="1012"/>
      <c r="AD36" s="1012"/>
      <c r="AE36" s="1012"/>
    </row>
    <row r="37" spans="1:35" s="1028" customFormat="1" ht="26.25" customHeight="1">
      <c r="A37" s="1014">
        <f>_xlfn.AGGREGATE(4,7,A$12:A36)+1</f>
        <v>25</v>
      </c>
      <c r="B37" s="1043" t="s">
        <v>1606</v>
      </c>
      <c r="C37" s="1044" t="s">
        <v>1635</v>
      </c>
      <c r="D37" s="1058" t="s">
        <v>1604</v>
      </c>
      <c r="E37" s="81" t="str">
        <f>VLOOKUP(B37,TH.Q2!B42:E373,4,FALSE)</f>
        <v>Phó GĐ TT Đào tạo và Quản lý thiết bị</v>
      </c>
      <c r="F37" s="1040">
        <v>3</v>
      </c>
      <c r="G37" s="1019"/>
      <c r="H37" s="1248">
        <f t="shared" si="2"/>
        <v>0</v>
      </c>
      <c r="I37" s="1020">
        <v>0.35</v>
      </c>
      <c r="J37" s="1020" t="str">
        <f>VLOOKUP(B37,'[15]Gui chi Quynh'!$B$11:$E$396,4,FALSE)</f>
        <v>A1</v>
      </c>
      <c r="K37" s="1020">
        <f t="shared" si="3"/>
        <v>0.8</v>
      </c>
      <c r="L37" s="1021">
        <v>23</v>
      </c>
      <c r="M37" s="1021">
        <f>VLOOKUP(B37,'[16]CN BC'!$H$10:$J$275,3,FALSE)</f>
        <v>29</v>
      </c>
      <c r="N37" s="1021">
        <f t="shared" si="4"/>
        <v>23</v>
      </c>
      <c r="O37" s="1022"/>
      <c r="P37" s="1023">
        <f t="shared" si="0"/>
        <v>6271200</v>
      </c>
      <c r="Q37" s="1371">
        <f t="shared" si="5"/>
        <v>2.68</v>
      </c>
      <c r="R37" s="1448">
        <v>2340000</v>
      </c>
      <c r="S37" s="1460">
        <f t="shared" si="6"/>
        <v>6271200</v>
      </c>
      <c r="T37" s="1024">
        <f t="shared" si="1"/>
        <v>25</v>
      </c>
      <c r="U37" s="1025">
        <f>IFERROR(INDEX('[16]CN BC'!$M$10:$M$276,MATCH(B37,'[16]CN BC'!$H$10:$H$276,0)),"")</f>
        <v>0</v>
      </c>
      <c r="V37" s="1011" t="str">
        <f>VLOOKUP(B37,TH.T4!B45:AC375,28,FALSE)</f>
        <v>TTĐT</v>
      </c>
      <c r="W37" s="1129">
        <f>_xlfn.AGGREGATE(4,7,W$17:W36)+1</f>
        <v>20</v>
      </c>
      <c r="X37" s="1129" t="s">
        <v>2222</v>
      </c>
      <c r="Y37" s="1130" t="s">
        <v>2296</v>
      </c>
      <c r="Z37" s="1131" t="e">
        <f>SUMIF(#REF!,$K37,$H$15:$H$78)</f>
        <v>#REF!</v>
      </c>
    </row>
    <row r="38" spans="1:35" s="1028" customFormat="1" ht="26.25" customHeight="1">
      <c r="A38" s="1014">
        <f>_xlfn.AGGREGATE(4,7,A$12:A37)+1</f>
        <v>26</v>
      </c>
      <c r="B38" s="1043" t="s">
        <v>1843</v>
      </c>
      <c r="C38" s="1044" t="s">
        <v>1955</v>
      </c>
      <c r="D38" s="1059" t="s">
        <v>1936</v>
      </c>
      <c r="E38" s="81" t="str">
        <f>VLOOKUP(B38,TH.Q2!B43:E374,4,FALSE)</f>
        <v>NV - TT Đào tạo và Quản lý vật tư thiết bị</v>
      </c>
      <c r="F38" s="1018">
        <v>2.67</v>
      </c>
      <c r="G38" s="1019"/>
      <c r="H38" s="1248">
        <f t="shared" si="2"/>
        <v>0</v>
      </c>
      <c r="I38" s="1020"/>
      <c r="J38" s="1020" t="str">
        <f>VLOOKUP(B38,'[15]Gui chi Quynh'!$B$11:$E$396,4,FALSE)</f>
        <v>A2</v>
      </c>
      <c r="K38" s="1020">
        <f t="shared" si="3"/>
        <v>0.7</v>
      </c>
      <c r="L38" s="1021">
        <v>23</v>
      </c>
      <c r="M38" s="1021">
        <f>VLOOKUP(B38,'[16]CN BC'!$H$10:$J$275,3,FALSE)</f>
        <v>24</v>
      </c>
      <c r="N38" s="1021">
        <f t="shared" si="4"/>
        <v>23</v>
      </c>
      <c r="O38" s="1022"/>
      <c r="P38" s="1023">
        <f t="shared" si="0"/>
        <v>4373460</v>
      </c>
      <c r="Q38" s="1371">
        <f t="shared" si="5"/>
        <v>1.869</v>
      </c>
      <c r="R38" s="1448">
        <v>2340000</v>
      </c>
      <c r="S38" s="1460">
        <f t="shared" si="6"/>
        <v>4373460</v>
      </c>
      <c r="T38" s="1024">
        <f t="shared" si="1"/>
        <v>26</v>
      </c>
      <c r="U38" s="1025">
        <f>IFERROR(INDEX('[16]CN BC'!$M$10:$M$276,MATCH(B38,'[16]CN BC'!$H$10:$H$276,0)),"")</f>
        <v>0</v>
      </c>
      <c r="V38" s="1011" t="str">
        <f>VLOOKUP(B38,TH.T4!B46:AC376,28,FALSE)</f>
        <v>TTĐT</v>
      </c>
      <c r="W38" s="1129">
        <f>_xlfn.AGGREGATE(4,7,W$17:W37)+1</f>
        <v>21</v>
      </c>
      <c r="X38" s="1129" t="s">
        <v>2223</v>
      </c>
      <c r="Y38" s="1130" t="s">
        <v>2297</v>
      </c>
      <c r="Z38" s="1131" t="e">
        <f>SUMIF(#REF!,$K38,$H$15:$H$78)</f>
        <v>#REF!</v>
      </c>
      <c r="AA38" s="1012"/>
      <c r="AB38" s="1012"/>
      <c r="AC38" s="1012"/>
      <c r="AD38" s="1012"/>
      <c r="AE38" s="1012"/>
    </row>
    <row r="39" spans="1:35" s="1028" customFormat="1" ht="27" customHeight="1">
      <c r="A39" s="1014">
        <f>_xlfn.AGGREGATE(4,7,A$12:A38)+1</f>
        <v>27</v>
      </c>
      <c r="B39" s="1015" t="s">
        <v>1856</v>
      </c>
      <c r="C39" s="1033" t="s">
        <v>1652</v>
      </c>
      <c r="D39" s="1034" t="s">
        <v>1293</v>
      </c>
      <c r="E39" s="368" t="str">
        <f>VLOOKUP(B39,TH.Q2!B44:E375,4,FALSE)</f>
        <v>Nhân viên phòng Quản trị - Dịch vụ</v>
      </c>
      <c r="F39" s="1018">
        <v>4.9800000000000004</v>
      </c>
      <c r="G39" s="1019">
        <v>0.06</v>
      </c>
      <c r="H39" s="1255">
        <f t="shared" si="2"/>
        <v>0.29899999999999999</v>
      </c>
      <c r="I39" s="1020">
        <v>0.25</v>
      </c>
      <c r="J39" s="1020" t="str">
        <f>VLOOKUP(B39,'[15]Gui chi Quynh'!$B$11:$E$396,4,FALSE)</f>
        <v>A3</v>
      </c>
      <c r="K39" s="1020">
        <f t="shared" si="3"/>
        <v>0.6</v>
      </c>
      <c r="L39" s="1021">
        <v>23</v>
      </c>
      <c r="M39" s="1021">
        <f>VLOOKUP(B39,'[16]CN BC'!$H$10:$J$275,3,FALSE)</f>
        <v>27</v>
      </c>
      <c r="N39" s="1021">
        <f t="shared" si="4"/>
        <v>23</v>
      </c>
      <c r="O39" s="1035"/>
      <c r="P39" s="1023">
        <f t="shared" si="0"/>
        <v>7762716</v>
      </c>
      <c r="Q39" s="1371">
        <f t="shared" si="5"/>
        <v>3.3174000000000001</v>
      </c>
      <c r="R39" s="1448">
        <v>2340000</v>
      </c>
      <c r="S39" s="1460">
        <f t="shared" si="6"/>
        <v>7762716</v>
      </c>
      <c r="T39" s="1024">
        <f t="shared" si="1"/>
        <v>27</v>
      </c>
      <c r="U39" s="1025">
        <f>IFERROR(INDEX('[16]CN BC'!$M$10:$M$276,MATCH(B39,'[16]CN BC'!$H$10:$H$276,0)),"")</f>
        <v>0</v>
      </c>
      <c r="V39" s="1067" t="str">
        <f>VLOOKUP(B39,TH.T4!B47:AC377,28,FALSE)</f>
        <v>QTDV</v>
      </c>
      <c r="W39" s="1132">
        <f>_xlfn.AGGREGATE(4,7,W$17:W38)+1</f>
        <v>22</v>
      </c>
      <c r="X39" s="1132" t="s">
        <v>2298</v>
      </c>
      <c r="Y39" s="1133" t="s">
        <v>2299</v>
      </c>
      <c r="Z39" s="1134" t="e">
        <f>SUMIF(#REF!,$K39,$H$15:$H$78)</f>
        <v>#REF!</v>
      </c>
    </row>
    <row r="40" spans="1:35" s="1028" customFormat="1" ht="30" customHeight="1">
      <c r="A40" s="1014">
        <f>_xlfn.AGGREGATE(4,7,A$12:A39)+1</f>
        <v>28</v>
      </c>
      <c r="B40" s="1015" t="s">
        <v>1462</v>
      </c>
      <c r="C40" s="1033" t="s">
        <v>1654</v>
      </c>
      <c r="D40" s="1047">
        <v>1603205182619</v>
      </c>
      <c r="E40" s="81" t="str">
        <f>VLOOKUP(B40,TH.Q2!B45:E376,4,FALSE)</f>
        <v>Nhân viên phòng Quản trị - Dịch vụ</v>
      </c>
      <c r="F40" s="1018">
        <v>3.66</v>
      </c>
      <c r="G40" s="1019"/>
      <c r="H40" s="1248">
        <f t="shared" si="2"/>
        <v>0</v>
      </c>
      <c r="I40" s="1020"/>
      <c r="J40" s="1020" t="str">
        <f>VLOOKUP(B40,'[15]Gui chi Quynh'!$B$11:$E$396,4,FALSE)</f>
        <v>A3</v>
      </c>
      <c r="K40" s="1020">
        <f t="shared" si="3"/>
        <v>0.6</v>
      </c>
      <c r="L40" s="1021">
        <v>23</v>
      </c>
      <c r="M40" s="1021">
        <f>VLOOKUP(B40,'[16]CN BC'!$H$10:$J$275,3,FALSE)</f>
        <v>27</v>
      </c>
      <c r="N40" s="1021">
        <f t="shared" si="4"/>
        <v>23</v>
      </c>
      <c r="O40" s="1022"/>
      <c r="P40" s="1023">
        <f t="shared" si="0"/>
        <v>5138640</v>
      </c>
      <c r="Q40" s="1371">
        <f t="shared" si="5"/>
        <v>2.1960000000000002</v>
      </c>
      <c r="R40" s="1448">
        <v>2340000</v>
      </c>
      <c r="S40" s="1460">
        <f t="shared" si="6"/>
        <v>5138640</v>
      </c>
      <c r="T40" s="1024">
        <f t="shared" si="1"/>
        <v>28</v>
      </c>
      <c r="U40" s="1025">
        <f>IFERROR(INDEX('[16]CN BC'!$M$10:$M$276,MATCH(B40,'[16]CN BC'!$H$10:$H$276,0)),"")</f>
        <v>0</v>
      </c>
      <c r="V40" s="1011" t="str">
        <f>VLOOKUP(B40,TH.T4!B48:AC378,28,FALSE)</f>
        <v>QTDV</v>
      </c>
      <c r="W40" s="1129">
        <f>_xlfn.AGGREGATE(4,7,W$17:W39)+1</f>
        <v>23</v>
      </c>
      <c r="X40" s="1129" t="s">
        <v>2228</v>
      </c>
      <c r="Y40" s="1130" t="s">
        <v>2300</v>
      </c>
      <c r="Z40" s="1131" t="e">
        <f>SUMIF(#REF!,$K40,$H$15:$H$78)</f>
        <v>#REF!</v>
      </c>
    </row>
    <row r="41" spans="1:35" s="1028" customFormat="1" ht="27" customHeight="1">
      <c r="A41" s="1014">
        <f>_xlfn.AGGREGATE(4,7,A$12:A40)+1</f>
        <v>29</v>
      </c>
      <c r="B41" s="1015" t="s">
        <v>2012</v>
      </c>
      <c r="C41" s="1033"/>
      <c r="D41" s="1047"/>
      <c r="E41" s="368" t="str">
        <f>VLOOKUP(B41,TH.Q2!B46:E377,4,FALSE)</f>
        <v>Nhân viên phòng Quản trị - Dịch vụ</v>
      </c>
      <c r="F41" s="1018">
        <v>4.0599999999999996</v>
      </c>
      <c r="G41" s="1019">
        <v>0.11</v>
      </c>
      <c r="H41" s="1255">
        <f t="shared" si="2"/>
        <v>0.44700000000000001</v>
      </c>
      <c r="I41" s="1020">
        <v>0.35</v>
      </c>
      <c r="J41" s="1020" t="str">
        <f>VLOOKUP(B41,'[15]Gui chi Quynh'!$B$11:$E$396,4,FALSE)</f>
        <v>A1</v>
      </c>
      <c r="K41" s="1020">
        <f t="shared" si="3"/>
        <v>0.8</v>
      </c>
      <c r="L41" s="1021">
        <v>23</v>
      </c>
      <c r="M41" s="1021">
        <f>VLOOKUP(B41,'[16]CN BC'!$H$10:$J$275,3,FALSE)</f>
        <v>27</v>
      </c>
      <c r="N41" s="1021">
        <f t="shared" si="4"/>
        <v>23</v>
      </c>
      <c r="O41" s="1035"/>
      <c r="P41" s="1023">
        <f t="shared" si="0"/>
        <v>9092303.9999999981</v>
      </c>
      <c r="Q41" s="1371">
        <f t="shared" si="5"/>
        <v>3.8855999999999993</v>
      </c>
      <c r="R41" s="1448">
        <v>2340000</v>
      </c>
      <c r="S41" s="1460">
        <f t="shared" si="6"/>
        <v>9092303.9999999981</v>
      </c>
      <c r="T41" s="1024">
        <f t="shared" si="1"/>
        <v>29</v>
      </c>
      <c r="U41" s="1025">
        <f>IFERROR(INDEX('[16]CN BC'!$M$10:$M$276,MATCH(B41,'[16]CN BC'!$H$10:$H$276,0)),"")</f>
        <v>0</v>
      </c>
      <c r="V41" s="1067" t="str">
        <f>VLOOKUP(B41,TH.T4!B49:AC379,28,FALSE)</f>
        <v>QTDV</v>
      </c>
      <c r="W41" s="1132">
        <f>_xlfn.AGGREGATE(4,7,W$17:W40)+1</f>
        <v>24</v>
      </c>
      <c r="X41" s="1132" t="s">
        <v>2235</v>
      </c>
      <c r="Y41" s="1133" t="s">
        <v>2301</v>
      </c>
      <c r="Z41" s="1134" t="e">
        <f>SUMIF(#REF!,$K41,$H$15:$H$78)</f>
        <v>#REF!</v>
      </c>
    </row>
    <row r="42" spans="1:35" s="1012" customFormat="1" ht="27" customHeight="1">
      <c r="A42" s="1014">
        <f>_xlfn.AGGREGATE(4,7,A$12:A41)+1</f>
        <v>30</v>
      </c>
      <c r="B42" s="1050" t="s">
        <v>1852</v>
      </c>
      <c r="C42" s="1029" t="s">
        <v>1636</v>
      </c>
      <c r="D42" s="1051" t="s">
        <v>1258</v>
      </c>
      <c r="E42" s="81" t="str">
        <f>VLOOKUP(B42,TH.Q2!B47:E378,4,FALSE)</f>
        <v>Trưởng TT Y tế</v>
      </c>
      <c r="F42" s="1056">
        <v>4.6500000000000004</v>
      </c>
      <c r="G42" s="1060"/>
      <c r="H42" s="1248">
        <f t="shared" si="2"/>
        <v>0</v>
      </c>
      <c r="I42" s="1054">
        <v>0.45</v>
      </c>
      <c r="J42" s="1020" t="str">
        <f>VLOOKUP(B42,'[15]Gui chi Quynh'!$B$11:$E$396,4,FALSE)</f>
        <v>A1</v>
      </c>
      <c r="K42" s="1020">
        <f t="shared" si="3"/>
        <v>0.8</v>
      </c>
      <c r="L42" s="1021">
        <v>23</v>
      </c>
      <c r="M42" s="1021">
        <f>VLOOKUP(B42,'[16]CN BC'!$H$10:$J$275,3,FALSE)</f>
        <v>27</v>
      </c>
      <c r="N42" s="1021">
        <f t="shared" si="4"/>
        <v>23</v>
      </c>
      <c r="O42" s="1022"/>
      <c r="P42" s="1023">
        <f t="shared" si="0"/>
        <v>9547200.0000000019</v>
      </c>
      <c r="Q42" s="1371">
        <f t="shared" si="5"/>
        <v>4.080000000000001</v>
      </c>
      <c r="R42" s="1448">
        <v>2340000</v>
      </c>
      <c r="S42" s="1460">
        <f t="shared" si="6"/>
        <v>9547200.0000000019</v>
      </c>
      <c r="T42" s="1024">
        <f t="shared" si="1"/>
        <v>30</v>
      </c>
      <c r="U42" s="1025">
        <f>IFERROR(INDEX('[16]CN BC'!$M$10:$M$276,MATCH(B42,'[16]CN BC'!$H$10:$H$276,0)),"")</f>
        <v>0</v>
      </c>
      <c r="V42" s="1011" t="str">
        <f>VLOOKUP(B42,TH.T4!B50:AC380,28,FALSE)</f>
        <v>TTYT</v>
      </c>
      <c r="W42" s="1129">
        <f>_xlfn.AGGREGATE(4,7,W$17:W41)+1</f>
        <v>25</v>
      </c>
      <c r="X42" s="1132" t="s">
        <v>2225</v>
      </c>
      <c r="Y42" s="1133" t="s">
        <v>2302</v>
      </c>
      <c r="Z42" s="1134" t="e">
        <f>SUMIF(#REF!,$K42,$H$15:$H$78)</f>
        <v>#REF!</v>
      </c>
    </row>
    <row r="43" spans="1:35" s="1012" customFormat="1" ht="27" customHeight="1">
      <c r="A43" s="1014">
        <f>_xlfn.AGGREGATE(4,7,A$12:A42)+1</f>
        <v>31</v>
      </c>
      <c r="B43" s="1050" t="s">
        <v>1454</v>
      </c>
      <c r="C43" s="1029" t="s">
        <v>1637</v>
      </c>
      <c r="D43" s="1055">
        <v>1603205247426</v>
      </c>
      <c r="E43" s="81" t="str">
        <f>VLOOKUP(B43,TH.Q2!B48:E379,4,FALSE)</f>
        <v>Nhân viên Trung tâm Y tế</v>
      </c>
      <c r="F43" s="1052">
        <v>3.66</v>
      </c>
      <c r="G43" s="1053"/>
      <c r="H43" s="1248">
        <f t="shared" si="2"/>
        <v>0</v>
      </c>
      <c r="I43" s="1054"/>
      <c r="J43" s="1020" t="str">
        <f>VLOOKUP(B43,'[15]Gui chi Quynh'!$B$11:$E$396,4,FALSE)</f>
        <v>A3</v>
      </c>
      <c r="K43" s="1020">
        <f t="shared" si="3"/>
        <v>0.6</v>
      </c>
      <c r="L43" s="1021">
        <v>23</v>
      </c>
      <c r="M43" s="1021">
        <f>VLOOKUP(B43,'[16]CN BC'!$H$10:$J$275,3,FALSE)</f>
        <v>27</v>
      </c>
      <c r="N43" s="1021">
        <f t="shared" si="4"/>
        <v>23</v>
      </c>
      <c r="O43" s="1022"/>
      <c r="P43" s="1023">
        <f t="shared" si="0"/>
        <v>5138640</v>
      </c>
      <c r="Q43" s="1371">
        <f t="shared" si="5"/>
        <v>2.1960000000000002</v>
      </c>
      <c r="R43" s="1448">
        <v>2340000</v>
      </c>
      <c r="S43" s="1460">
        <f t="shared" si="6"/>
        <v>5138640</v>
      </c>
      <c r="T43" s="1024">
        <f t="shared" si="1"/>
        <v>31</v>
      </c>
      <c r="U43" s="1025">
        <f>IFERROR(INDEX('[16]CN BC'!$M$10:$M$276,MATCH(B43,'[16]CN BC'!$H$10:$H$276,0)),"")</f>
        <v>0</v>
      </c>
      <c r="V43" s="1011" t="str">
        <f>VLOOKUP(B43,TH.T4!B51:AC381,28,FALSE)</f>
        <v>TTYT</v>
      </c>
      <c r="Y43" s="1027"/>
    </row>
    <row r="44" spans="1:35" s="1028" customFormat="1" ht="27" customHeight="1">
      <c r="A44" s="1014">
        <f>_xlfn.AGGREGATE(4,7,A$12:A43)+1</f>
        <v>32</v>
      </c>
      <c r="B44" s="1015" t="s">
        <v>1445</v>
      </c>
      <c r="C44" s="1029" t="s">
        <v>1638</v>
      </c>
      <c r="D44" s="1030" t="s">
        <v>1576</v>
      </c>
      <c r="E44" s="81" t="str">
        <f>VLOOKUP(B44,TH.Q2!B49:E380,4,FALSE)</f>
        <v>TP. Kế hoạch - Tài chính</v>
      </c>
      <c r="F44" s="1040">
        <v>4.9800000000000004</v>
      </c>
      <c r="G44" s="1019">
        <v>0.38</v>
      </c>
      <c r="H44" s="1248">
        <f t="shared" si="2"/>
        <v>1.8919999999999999</v>
      </c>
      <c r="I44" s="1020">
        <v>0.45</v>
      </c>
      <c r="J44" s="1020" t="str">
        <f>VLOOKUP(B44,'[15]Gui chi Quynh'!$B$11:$E$396,4,FALSE)</f>
        <v>A1</v>
      </c>
      <c r="K44" s="1020">
        <f t="shared" si="3"/>
        <v>0.8</v>
      </c>
      <c r="L44" s="1021">
        <v>23</v>
      </c>
      <c r="M44" s="1021">
        <f>VLOOKUP(B44,'[16]CN BC'!$H$10:$J$275,3,FALSE)</f>
        <v>29</v>
      </c>
      <c r="N44" s="1021">
        <f t="shared" si="4"/>
        <v>23</v>
      </c>
      <c r="O44" s="1022"/>
      <c r="P44" s="1023">
        <f t="shared" si="0"/>
        <v>13706784</v>
      </c>
      <c r="Q44" s="1371">
        <f t="shared" si="5"/>
        <v>5.8575999999999997</v>
      </c>
      <c r="R44" s="1448">
        <v>2340000</v>
      </c>
      <c r="S44" s="1460">
        <f t="shared" si="6"/>
        <v>13706784</v>
      </c>
      <c r="T44" s="1024">
        <f t="shared" si="1"/>
        <v>32</v>
      </c>
      <c r="U44" s="1025">
        <f>IFERROR(INDEX('[16]CN BC'!$M$10:$M$276,MATCH(B44,'[16]CN BC'!$H$10:$H$276,0)),"")</f>
        <v>0</v>
      </c>
      <c r="V44" s="1011" t="str">
        <f>VLOOKUP(B44,TH.T4!B52:AC382,28,FALSE)</f>
        <v>KHTC</v>
      </c>
      <c r="W44" s="1012"/>
      <c r="X44" s="1012"/>
      <c r="Y44" s="1027"/>
      <c r="Z44" s="1012"/>
      <c r="AA44" s="1012"/>
      <c r="AB44" s="1012"/>
      <c r="AC44" s="1012"/>
      <c r="AD44" s="1012"/>
      <c r="AE44" s="1012"/>
      <c r="AF44" s="1012"/>
      <c r="AG44" s="1012"/>
      <c r="AH44" s="1012"/>
      <c r="AI44" s="1012"/>
    </row>
    <row r="45" spans="1:35" s="1012" customFormat="1" ht="26.25" customHeight="1">
      <c r="A45" s="1014">
        <f>_xlfn.AGGREGATE(4,7,A$12:A44)+1</f>
        <v>33</v>
      </c>
      <c r="B45" s="1050" t="s">
        <v>1455</v>
      </c>
      <c r="C45" s="1029" t="s">
        <v>1640</v>
      </c>
      <c r="D45" s="1051" t="s">
        <v>368</v>
      </c>
      <c r="E45" s="81" t="str">
        <f>VLOOKUP(B45,TH.Q2!B50:E381,4,FALSE)</f>
        <v>NV phòng KH-TC</v>
      </c>
      <c r="F45" s="1052">
        <v>3.99</v>
      </c>
      <c r="G45" s="1053"/>
      <c r="H45" s="1248">
        <f t="shared" si="2"/>
        <v>0</v>
      </c>
      <c r="I45" s="1054"/>
      <c r="J45" s="1020" t="str">
        <f>VLOOKUP(B45,'[15]Gui chi Quynh'!$B$11:$E$396,4,FALSE)</f>
        <v>A1</v>
      </c>
      <c r="K45" s="1020">
        <f t="shared" si="3"/>
        <v>0.8</v>
      </c>
      <c r="L45" s="1021">
        <v>23</v>
      </c>
      <c r="M45" s="1021">
        <f>VLOOKUP(B45,'[16]CN BC'!$H$10:$J$275,3,FALSE)</f>
        <v>27</v>
      </c>
      <c r="N45" s="1021">
        <f t="shared" si="4"/>
        <v>23</v>
      </c>
      <c r="O45" s="1022"/>
      <c r="P45" s="1023">
        <f t="shared" si="0"/>
        <v>7469280</v>
      </c>
      <c r="Q45" s="1371">
        <f t="shared" si="5"/>
        <v>3.1920000000000002</v>
      </c>
      <c r="R45" s="1448">
        <v>2340000</v>
      </c>
      <c r="S45" s="1460">
        <f t="shared" si="6"/>
        <v>7469280</v>
      </c>
      <c r="T45" s="1024">
        <f t="shared" si="1"/>
        <v>33</v>
      </c>
      <c r="U45" s="1025">
        <f>IFERROR(INDEX('[16]CN BC'!$M$10:$M$276,MATCH(B45,'[16]CN BC'!$H$10:$H$276,0)),"")</f>
        <v>0</v>
      </c>
      <c r="V45" s="1011" t="str">
        <f>VLOOKUP(B45,TH.T4!B53:AC383,28,FALSE)</f>
        <v>KHTC</v>
      </c>
      <c r="Y45" s="1027"/>
    </row>
    <row r="46" spans="1:35" s="1028" customFormat="1" ht="27" customHeight="1">
      <c r="A46" s="1014">
        <f>_xlfn.AGGREGATE(4,7,A$12:A45)+1</f>
        <v>34</v>
      </c>
      <c r="B46" s="1015" t="s">
        <v>1456</v>
      </c>
      <c r="C46" s="1033" t="s">
        <v>1641</v>
      </c>
      <c r="D46" s="1047">
        <v>1603205178873</v>
      </c>
      <c r="E46" s="81" t="str">
        <f>VLOOKUP(B46,TH.Q2!B51:E382,4,FALSE)</f>
        <v>NV phòng KH-TC</v>
      </c>
      <c r="F46" s="1018">
        <v>3.66</v>
      </c>
      <c r="G46" s="1019"/>
      <c r="H46" s="1248">
        <f t="shared" si="2"/>
        <v>0</v>
      </c>
      <c r="I46" s="1020"/>
      <c r="J46" s="1020" t="str">
        <f>VLOOKUP(B46,'[15]Gui chi Quynh'!$B$11:$E$396,4,FALSE)</f>
        <v>A1</v>
      </c>
      <c r="K46" s="1020">
        <f t="shared" si="3"/>
        <v>0.8</v>
      </c>
      <c r="L46" s="1021">
        <v>23</v>
      </c>
      <c r="M46" s="1021">
        <f>VLOOKUP(B46,'[16]CN BC'!$H$10:$J$275,3,FALSE)</f>
        <v>27</v>
      </c>
      <c r="N46" s="1021">
        <f t="shared" si="4"/>
        <v>23</v>
      </c>
      <c r="O46" s="1022"/>
      <c r="P46" s="1023">
        <f t="shared" si="0"/>
        <v>6851520</v>
      </c>
      <c r="Q46" s="1371">
        <f t="shared" si="5"/>
        <v>2.9279999999999999</v>
      </c>
      <c r="R46" s="1448">
        <v>2340000</v>
      </c>
      <c r="S46" s="1460">
        <f t="shared" si="6"/>
        <v>6851520</v>
      </c>
      <c r="T46" s="1024">
        <f t="shared" si="1"/>
        <v>34</v>
      </c>
      <c r="U46" s="1025">
        <f>IFERROR(INDEX('[16]CN BC'!$M$10:$M$276,MATCH(B46,'[16]CN BC'!$H$10:$H$276,0)),"")</f>
        <v>0</v>
      </c>
      <c r="V46" s="1011" t="str">
        <f>VLOOKUP(B46,TH.T4!B54:AC384,28,FALSE)</f>
        <v>KHTC</v>
      </c>
      <c r="W46" s="1012"/>
      <c r="X46" s="1012"/>
      <c r="Y46" s="1027"/>
      <c r="Z46" s="1012"/>
      <c r="AA46" s="1012"/>
      <c r="AB46" s="1012"/>
      <c r="AC46" s="1012"/>
      <c r="AD46" s="1012"/>
      <c r="AE46" s="1012"/>
    </row>
    <row r="47" spans="1:35" s="1028" customFormat="1" ht="27" customHeight="1">
      <c r="A47" s="1014">
        <f>_xlfn.AGGREGATE(4,7,A$12:A46)+1</f>
        <v>35</v>
      </c>
      <c r="B47" s="1015" t="s">
        <v>1457</v>
      </c>
      <c r="C47" s="1033" t="s">
        <v>1642</v>
      </c>
      <c r="D47" s="1045">
        <v>1603205372861</v>
      </c>
      <c r="E47" s="81" t="str">
        <f>VLOOKUP(B47,TH.Q2!B52:E383,4,FALSE)</f>
        <v>NV phòng KH-TC</v>
      </c>
      <c r="F47" s="1040">
        <v>3</v>
      </c>
      <c r="G47" s="1019"/>
      <c r="H47" s="1248">
        <f t="shared" si="2"/>
        <v>0</v>
      </c>
      <c r="I47" s="1020"/>
      <c r="J47" s="1020" t="str">
        <f>VLOOKUP(B47,'[15]Gui chi Quynh'!$B$11:$E$396,4,FALSE)</f>
        <v>A3</v>
      </c>
      <c r="K47" s="1020">
        <f t="shared" si="3"/>
        <v>0.6</v>
      </c>
      <c r="L47" s="1021">
        <v>23</v>
      </c>
      <c r="M47" s="1021">
        <f>VLOOKUP(B47,'[16]CN BC'!$H$10:$J$275,3,FALSE)</f>
        <v>27</v>
      </c>
      <c r="N47" s="1021">
        <f t="shared" si="4"/>
        <v>23</v>
      </c>
      <c r="O47" s="1022"/>
      <c r="P47" s="1023">
        <f t="shared" si="0"/>
        <v>4212000</v>
      </c>
      <c r="Q47" s="1371">
        <f t="shared" si="5"/>
        <v>1.8</v>
      </c>
      <c r="R47" s="1448">
        <v>2340000</v>
      </c>
      <c r="S47" s="1460">
        <f t="shared" si="6"/>
        <v>4212000</v>
      </c>
      <c r="T47" s="1024">
        <f t="shared" si="1"/>
        <v>35</v>
      </c>
      <c r="U47" s="1025">
        <f>IFERROR(INDEX('[16]CN BC'!$M$10:$M$276,MATCH(B47,'[16]CN BC'!$H$10:$H$276,0)),"")</f>
        <v>0</v>
      </c>
      <c r="V47" s="1011" t="str">
        <f>VLOOKUP(B47,TH.T4!B55:AC385,28,FALSE)</f>
        <v>KHTC</v>
      </c>
      <c r="W47" s="1012"/>
      <c r="X47" s="1012"/>
      <c r="Y47" s="1027"/>
      <c r="Z47" s="1012"/>
      <c r="AA47" s="1012"/>
      <c r="AB47" s="1012"/>
      <c r="AC47" s="1012"/>
      <c r="AD47" s="1012"/>
      <c r="AE47" s="1012"/>
    </row>
    <row r="48" spans="1:35" s="1028" customFormat="1" ht="27" customHeight="1">
      <c r="A48" s="1014">
        <f>_xlfn.AGGREGATE(4,7,A$12:A47)+1</f>
        <v>36</v>
      </c>
      <c r="B48" s="1015" t="s">
        <v>1859</v>
      </c>
      <c r="C48" s="1033" t="s">
        <v>1665</v>
      </c>
      <c r="D48" s="1057">
        <v>1603205185357</v>
      </c>
      <c r="E48" s="81" t="str">
        <f>VLOOKUP(B48,TH.Q2!B53:E384,4,FALSE)</f>
        <v>NV Phòng KH-TC</v>
      </c>
      <c r="F48" s="1040">
        <v>3.66</v>
      </c>
      <c r="G48" s="1019"/>
      <c r="H48" s="1248">
        <f t="shared" si="2"/>
        <v>0</v>
      </c>
      <c r="I48" s="1020"/>
      <c r="J48" s="1020" t="str">
        <f>VLOOKUP(B48,'[15]Gui chi Quynh'!$B$11:$E$396,4,FALSE)</f>
        <v>A1</v>
      </c>
      <c r="K48" s="1020">
        <f t="shared" si="3"/>
        <v>0.8</v>
      </c>
      <c r="L48" s="1021">
        <v>23</v>
      </c>
      <c r="M48" s="1021">
        <f>VLOOKUP(B48,'[16]CN BC'!$H$10:$J$275,3,FALSE)</f>
        <v>27</v>
      </c>
      <c r="N48" s="1021">
        <f t="shared" si="4"/>
        <v>23</v>
      </c>
      <c r="O48" s="1022"/>
      <c r="P48" s="1023">
        <f t="shared" si="0"/>
        <v>6851520</v>
      </c>
      <c r="Q48" s="1371">
        <f t="shared" si="5"/>
        <v>2.9279999999999999</v>
      </c>
      <c r="R48" s="1448">
        <v>2340000</v>
      </c>
      <c r="S48" s="1460">
        <f t="shared" si="6"/>
        <v>6851520</v>
      </c>
      <c r="T48" s="1024">
        <f t="shared" si="1"/>
        <v>36</v>
      </c>
      <c r="U48" s="1025">
        <f>IFERROR(INDEX('[16]CN BC'!$M$10:$M$276,MATCH(B48,'[16]CN BC'!$H$10:$H$276,0)),"")</f>
        <v>0</v>
      </c>
      <c r="V48" s="1011" t="str">
        <f>VLOOKUP(B48,TH.T4!B56:AC386,28,FALSE)</f>
        <v>KHTC</v>
      </c>
      <c r="Y48" s="1038"/>
    </row>
    <row r="49" spans="1:35" s="1028" customFormat="1" ht="24.75" customHeight="1">
      <c r="A49" s="1014">
        <f>_xlfn.AGGREGATE(4,7,A$12:A48)+1</f>
        <v>37</v>
      </c>
      <c r="B49" s="1015" t="s">
        <v>1459</v>
      </c>
      <c r="C49" s="1033" t="s">
        <v>1645</v>
      </c>
      <c r="D49" s="1045" t="s">
        <v>1578</v>
      </c>
      <c r="E49" s="81" t="str">
        <f>VLOOKUP(B49,TH.Q2!B54:E385,4,FALSE)</f>
        <v>Trưởng phòng Thanh tra GD - Quan hệ DN</v>
      </c>
      <c r="F49" s="1018">
        <v>4.32</v>
      </c>
      <c r="G49" s="1019"/>
      <c r="H49" s="1248">
        <f t="shared" si="2"/>
        <v>0</v>
      </c>
      <c r="I49" s="1020">
        <v>0.45</v>
      </c>
      <c r="J49" s="1020" t="str">
        <f>VLOOKUP(B49,'[15]Gui chi Quynh'!$B$11:$E$396,4,FALSE)</f>
        <v>A1</v>
      </c>
      <c r="K49" s="1020">
        <f t="shared" si="3"/>
        <v>0.8</v>
      </c>
      <c r="L49" s="1021">
        <v>23</v>
      </c>
      <c r="M49" s="1021">
        <f>VLOOKUP(B49,'[16]CN BC'!$H$10:$J$275,3,FALSE)</f>
        <v>27</v>
      </c>
      <c r="N49" s="1021">
        <f t="shared" si="4"/>
        <v>23</v>
      </c>
      <c r="O49" s="1022"/>
      <c r="P49" s="1023">
        <f t="shared" si="0"/>
        <v>8929440.0000000019</v>
      </c>
      <c r="Q49" s="1371">
        <f t="shared" si="5"/>
        <v>3.8160000000000007</v>
      </c>
      <c r="R49" s="1448">
        <v>2340000</v>
      </c>
      <c r="S49" s="1460">
        <f t="shared" si="6"/>
        <v>8929440.0000000019</v>
      </c>
      <c r="T49" s="1024">
        <f t="shared" si="1"/>
        <v>37</v>
      </c>
      <c r="U49" s="1025">
        <f>IFERROR(INDEX('[16]CN BC'!$M$10:$M$276,MATCH(B49,'[16]CN BC'!$H$10:$H$276,0)),"")</f>
        <v>0</v>
      </c>
      <c r="V49" s="1011" t="str">
        <f>VLOOKUP(B49,TH.T4!B57:AC387,28,FALSE)</f>
        <v>TTrGD</v>
      </c>
      <c r="W49" s="1012"/>
      <c r="X49" s="1012"/>
      <c r="Y49" s="1027"/>
    </row>
    <row r="50" spans="1:35" s="1028" customFormat="1" ht="29.25" customHeight="1">
      <c r="A50" s="1014">
        <f>_xlfn.AGGREGATE(4,7,A$12:A49)+1</f>
        <v>38</v>
      </c>
      <c r="B50" s="1015" t="s">
        <v>1541</v>
      </c>
      <c r="C50" s="1033" t="s">
        <v>1802</v>
      </c>
      <c r="D50" s="1045">
        <v>1603205356140</v>
      </c>
      <c r="E50" s="368" t="str">
        <f>VLOOKUP(B50,TH.Q2!B55:E386,4,FALSE)</f>
        <v>Nhân viên phòng Thanh tra GD - Quan hệ DN</v>
      </c>
      <c r="F50" s="1018">
        <v>4.32</v>
      </c>
      <c r="G50" s="1019"/>
      <c r="H50" s="1255">
        <f t="shared" si="2"/>
        <v>0</v>
      </c>
      <c r="I50" s="1020"/>
      <c r="J50" s="1020" t="str">
        <f>VLOOKUP(B50,'[15]Gui chi Quynh'!$B$11:$E$396,4,FALSE)</f>
        <v>A4</v>
      </c>
      <c r="K50" s="1020">
        <f t="shared" si="3"/>
        <v>0.5</v>
      </c>
      <c r="L50" s="1021">
        <v>23</v>
      </c>
      <c r="M50" s="1021">
        <f>VLOOKUP(B50,'[16]CN BC'!$H$10:$J$275,3,FALSE)</f>
        <v>25</v>
      </c>
      <c r="N50" s="1021">
        <f t="shared" si="4"/>
        <v>23</v>
      </c>
      <c r="O50" s="1035"/>
      <c r="P50" s="1023">
        <f t="shared" si="0"/>
        <v>5054400</v>
      </c>
      <c r="Q50" s="1371">
        <f t="shared" si="5"/>
        <v>2.16</v>
      </c>
      <c r="R50" s="1448">
        <v>2340000</v>
      </c>
      <c r="S50" s="1460">
        <f t="shared" si="6"/>
        <v>5054400</v>
      </c>
      <c r="T50" s="1024">
        <f t="shared" si="1"/>
        <v>38</v>
      </c>
      <c r="U50" s="1025">
        <f>IFERROR(INDEX('[16]CN BC'!$M$10:$M$276,MATCH(B50,'[16]CN BC'!$H$10:$H$276,0)),"")</f>
        <v>0</v>
      </c>
      <c r="V50" s="1067" t="str">
        <f>VLOOKUP(B50,TH.T4!B58:AC388,28,FALSE)</f>
        <v>TTrGD</v>
      </c>
      <c r="Y50" s="1038"/>
    </row>
    <row r="51" spans="1:35" s="1028" customFormat="1" ht="29.25" customHeight="1">
      <c r="A51" s="1014">
        <f>_xlfn.AGGREGATE(4,7,A$12:A50)+1</f>
        <v>39</v>
      </c>
      <c r="B51" s="1061" t="s">
        <v>1556</v>
      </c>
      <c r="C51" s="1033" t="s">
        <v>1648</v>
      </c>
      <c r="D51" s="1057">
        <v>1603205182727</v>
      </c>
      <c r="E51" s="81" t="str">
        <f>VLOOKUP(B51,TH.Q2!B56:E387,4,FALSE)</f>
        <v>Nhân viên phòng Thanh tra GD - Quan hệ DN</v>
      </c>
      <c r="F51" s="1040">
        <v>4.6500000000000004</v>
      </c>
      <c r="G51" s="1062"/>
      <c r="H51" s="1248">
        <f t="shared" si="2"/>
        <v>0</v>
      </c>
      <c r="I51" s="1018"/>
      <c r="J51" s="1020" t="str">
        <f>VLOOKUP(B51,'[15]Gui chi Quynh'!$B$11:$E$396,4,FALSE)</f>
        <v>A3</v>
      </c>
      <c r="K51" s="1020">
        <f t="shared" si="3"/>
        <v>0.6</v>
      </c>
      <c r="L51" s="1021">
        <v>23</v>
      </c>
      <c r="M51" s="1021">
        <f>VLOOKUP(B51,'[16]CN BC'!$H$10:$J$275,3,FALSE)</f>
        <v>22.5</v>
      </c>
      <c r="N51" s="1021">
        <f t="shared" si="4"/>
        <v>22.5</v>
      </c>
      <c r="O51" s="1022"/>
      <c r="P51" s="1023">
        <f t="shared" si="0"/>
        <v>6386673.9130434785</v>
      </c>
      <c r="Q51" s="1371">
        <f t="shared" si="5"/>
        <v>2.7293478260869568</v>
      </c>
      <c r="R51" s="1448">
        <v>2340000</v>
      </c>
      <c r="S51" s="1460">
        <f t="shared" si="6"/>
        <v>6386673.9130434785</v>
      </c>
      <c r="T51" s="1024">
        <f t="shared" si="1"/>
        <v>39</v>
      </c>
      <c r="U51" s="1025" t="str">
        <f>IFERROR(INDEX('[16]CN BC'!$M$10:$M$276,MATCH(B51,'[16]CN BC'!$H$10:$H$276,0)),"")</f>
        <v>Trừ 2 ngày nghỉ phép 4+7/10</v>
      </c>
      <c r="V51" s="1011" t="str">
        <f>VLOOKUP(B51,TH.T4!B59:AC389,28,FALSE)</f>
        <v>TTrGD</v>
      </c>
      <c r="W51" s="1012"/>
      <c r="X51" s="1012"/>
      <c r="Y51" s="1027"/>
      <c r="Z51" s="1012"/>
      <c r="AA51" s="1012"/>
      <c r="AB51" s="1012"/>
      <c r="AC51" s="1012"/>
      <c r="AD51" s="1012"/>
      <c r="AE51" s="1012"/>
    </row>
    <row r="52" spans="1:35" s="1028" customFormat="1" ht="30.75" customHeight="1">
      <c r="A52" s="1014">
        <f>_xlfn.AGGREGATE(4,7,A$12:A51)+1</f>
        <v>40</v>
      </c>
      <c r="B52" s="1015" t="s">
        <v>1854</v>
      </c>
      <c r="C52" s="1033" t="s">
        <v>1616</v>
      </c>
      <c r="D52" s="1034" t="s">
        <v>1260</v>
      </c>
      <c r="E52" s="368" t="str">
        <f>VLOOKUP(B52,TH.Q2!B57:E388,4,FALSE)</f>
        <v>Nhân viên phòng Thanh tra GD - Quan hệ DN</v>
      </c>
      <c r="F52" s="1018">
        <v>4.9800000000000004</v>
      </c>
      <c r="G52" s="1019">
        <v>0.08</v>
      </c>
      <c r="H52" s="1255">
        <f t="shared" si="2"/>
        <v>0.39800000000000002</v>
      </c>
      <c r="I52" s="1020"/>
      <c r="J52" s="1020" t="str">
        <f>VLOOKUP(B52,'[15]Gui chi Quynh'!$B$11:$E$396,4,FALSE)</f>
        <v>A2</v>
      </c>
      <c r="K52" s="1020">
        <f t="shared" si="3"/>
        <v>0.7</v>
      </c>
      <c r="L52" s="1021">
        <v>23</v>
      </c>
      <c r="M52" s="1021">
        <f>VLOOKUP(B52,'[16]CN BC'!$H$10:$J$275,3,FALSE)</f>
        <v>24</v>
      </c>
      <c r="N52" s="1021">
        <f t="shared" si="4"/>
        <v>23</v>
      </c>
      <c r="O52" s="1035"/>
      <c r="P52" s="1023">
        <f t="shared" si="0"/>
        <v>8809164</v>
      </c>
      <c r="Q52" s="1371">
        <f t="shared" si="5"/>
        <v>3.7646000000000002</v>
      </c>
      <c r="R52" s="1448">
        <v>2340000</v>
      </c>
      <c r="S52" s="1460">
        <f t="shared" si="6"/>
        <v>8809164</v>
      </c>
      <c r="T52" s="1024">
        <f t="shared" si="1"/>
        <v>40</v>
      </c>
      <c r="U52" s="1025">
        <f>IFERROR(INDEX('[16]CN BC'!$M$10:$M$276,MATCH(B52,'[16]CN BC'!$H$10:$H$276,0)),"")</f>
        <v>0</v>
      </c>
      <c r="V52" s="1067" t="str">
        <f>VLOOKUP(B52,TH.T4!B60:AC390,28,FALSE)</f>
        <v>TTrGD</v>
      </c>
      <c r="W52" s="1428"/>
      <c r="X52" s="1038"/>
      <c r="Y52" s="1038">
        <v>5000000</v>
      </c>
    </row>
    <row r="53" spans="1:35" s="1028" customFormat="1" ht="28.5" customHeight="1">
      <c r="A53" s="1014">
        <f>_xlfn.AGGREGATE(4,7,A$12:A52)+1</f>
        <v>41</v>
      </c>
      <c r="B53" s="1015" t="s">
        <v>1460</v>
      </c>
      <c r="C53" s="1033" t="s">
        <v>1650</v>
      </c>
      <c r="D53" s="1047">
        <v>1603205189653</v>
      </c>
      <c r="E53" s="81" t="str">
        <f>VLOOKUP(B53,TH.Q2!B58:E389,4,FALSE)</f>
        <v>Nhân viên phòng Thanh tra GD - Quan hệ DN</v>
      </c>
      <c r="F53" s="1018">
        <v>3.99</v>
      </c>
      <c r="G53" s="1019"/>
      <c r="H53" s="1248">
        <f t="shared" si="2"/>
        <v>0</v>
      </c>
      <c r="I53" s="1020"/>
      <c r="J53" s="1020" t="str">
        <f>VLOOKUP(B53,'[15]Gui chi Quynh'!$B$11:$E$396,4,FALSE)</f>
        <v>A3</v>
      </c>
      <c r="K53" s="1020">
        <f t="shared" si="3"/>
        <v>0.6</v>
      </c>
      <c r="L53" s="1021">
        <v>23</v>
      </c>
      <c r="M53" s="1021">
        <f>VLOOKUP(B53,'[16]CN BC'!$H$10:$J$275,3,FALSE)</f>
        <v>24</v>
      </c>
      <c r="N53" s="1021">
        <f t="shared" si="4"/>
        <v>23</v>
      </c>
      <c r="O53" s="1022"/>
      <c r="P53" s="1023">
        <f t="shared" si="0"/>
        <v>5601960</v>
      </c>
      <c r="Q53" s="1371">
        <f t="shared" si="5"/>
        <v>2.3940000000000001</v>
      </c>
      <c r="R53" s="1448">
        <v>2340000</v>
      </c>
      <c r="S53" s="1460">
        <f t="shared" si="6"/>
        <v>5601960</v>
      </c>
      <c r="T53" s="1024">
        <f t="shared" si="1"/>
        <v>41</v>
      </c>
      <c r="U53" s="1025">
        <f>IFERROR(INDEX('[16]CN BC'!$M$10:$M$276,MATCH(B53,'[16]CN BC'!$H$10:$H$276,0)),"")</f>
        <v>0</v>
      </c>
      <c r="V53" s="1011" t="str">
        <f>VLOOKUP(B53,TH.T4!B61:AC391,28,FALSE)</f>
        <v>TTrGD</v>
      </c>
      <c r="Y53" s="1038"/>
    </row>
    <row r="54" spans="1:35" s="1028" customFormat="1" ht="27" customHeight="1">
      <c r="A54" s="1014">
        <f>_xlfn.AGGREGATE(4,7,A$12:A53)+1</f>
        <v>42</v>
      </c>
      <c r="B54" s="1015" t="s">
        <v>1461</v>
      </c>
      <c r="C54" s="1033" t="s">
        <v>1653</v>
      </c>
      <c r="D54" s="1034" t="s">
        <v>370</v>
      </c>
      <c r="E54" s="81" t="str">
        <f>VLOOKUP(B54,TH.Q2!B59:E390,4,FALSE)</f>
        <v>Nhân viên phòng Thanh tra GD - Quan hệ DN</v>
      </c>
      <c r="F54" s="1040">
        <v>3.66</v>
      </c>
      <c r="G54" s="1019"/>
      <c r="H54" s="1248">
        <f t="shared" si="2"/>
        <v>0</v>
      </c>
      <c r="I54" s="1020"/>
      <c r="J54" s="1020" t="str">
        <f>VLOOKUP(B54,'[15]Gui chi Quynh'!$B$11:$E$396,4,FALSE)</f>
        <v>A4</v>
      </c>
      <c r="K54" s="1020">
        <f t="shared" si="3"/>
        <v>0.5</v>
      </c>
      <c r="L54" s="1021">
        <v>23</v>
      </c>
      <c r="M54" s="1021">
        <f>VLOOKUP(B54,'[16]CN BC'!$H$10:$J$275,3,FALSE)</f>
        <v>24</v>
      </c>
      <c r="N54" s="1021">
        <f t="shared" si="4"/>
        <v>23</v>
      </c>
      <c r="O54" s="1022"/>
      <c r="P54" s="1023">
        <f t="shared" si="0"/>
        <v>4282200</v>
      </c>
      <c r="Q54" s="1371">
        <f t="shared" si="5"/>
        <v>1.83</v>
      </c>
      <c r="R54" s="1448">
        <v>2340000</v>
      </c>
      <c r="S54" s="1460">
        <f t="shared" si="6"/>
        <v>4282200</v>
      </c>
      <c r="T54" s="1024">
        <f t="shared" si="1"/>
        <v>42</v>
      </c>
      <c r="U54" s="1025">
        <f>IFERROR(INDEX('[16]CN BC'!$M$10:$M$276,MATCH(B54,'[16]CN BC'!$H$10:$H$276,0)),"")</f>
        <v>0</v>
      </c>
      <c r="V54" s="1011" t="str">
        <f>VLOOKUP(B54,TH.T4!B62:AC392,28,FALSE)</f>
        <v>TTrGD</v>
      </c>
      <c r="W54" s="1012"/>
      <c r="X54" s="1012"/>
      <c r="Y54" s="1027"/>
      <c r="Z54" s="1012"/>
      <c r="AA54" s="1012"/>
      <c r="AB54" s="1012"/>
      <c r="AC54" s="1012"/>
      <c r="AD54" s="1012"/>
      <c r="AE54" s="1012"/>
    </row>
    <row r="55" spans="1:35" s="1028" customFormat="1" ht="27" customHeight="1">
      <c r="A55" s="1014">
        <f>_xlfn.AGGREGATE(4,7,A$12:A54)+1</f>
        <v>43</v>
      </c>
      <c r="B55" s="1015" t="s">
        <v>848</v>
      </c>
      <c r="C55" s="1033" t="s">
        <v>1655</v>
      </c>
      <c r="D55" s="1034" t="s">
        <v>1263</v>
      </c>
      <c r="E55" s="81" t="str">
        <f>VLOOKUP(B55,TH.Q2!B60:E391,4,FALSE)</f>
        <v>Nhân viên phòng Thanh tra GD - Quan hệ DN</v>
      </c>
      <c r="F55" s="1018">
        <v>4.32</v>
      </c>
      <c r="G55" s="1019"/>
      <c r="H55" s="1248">
        <f t="shared" si="2"/>
        <v>0</v>
      </c>
      <c r="I55" s="1020"/>
      <c r="J55" s="1020" t="str">
        <f>VLOOKUP(B55,'[15]Gui chi Quynh'!$B$11:$E$396,4,FALSE)</f>
        <v>A2</v>
      </c>
      <c r="K55" s="1020">
        <f t="shared" si="3"/>
        <v>0.7</v>
      </c>
      <c r="L55" s="1021">
        <v>23</v>
      </c>
      <c r="M55" s="1021">
        <f>VLOOKUP(B55,'[16]CN BC'!$H$10:$J$275,3,FALSE)</f>
        <v>25</v>
      </c>
      <c r="N55" s="1021">
        <f t="shared" si="4"/>
        <v>23</v>
      </c>
      <c r="O55" s="1022"/>
      <c r="P55" s="1023">
        <f t="shared" si="0"/>
        <v>7076160</v>
      </c>
      <c r="Q55" s="1371">
        <f t="shared" si="5"/>
        <v>3.024</v>
      </c>
      <c r="R55" s="1448">
        <v>2340000</v>
      </c>
      <c r="S55" s="1460">
        <f t="shared" si="6"/>
        <v>7076160</v>
      </c>
      <c r="T55" s="1024">
        <f t="shared" si="1"/>
        <v>43</v>
      </c>
      <c r="U55" s="1025">
        <f>IFERROR(INDEX('[16]CN BC'!$M$10:$M$276,MATCH(B55,'[16]CN BC'!$H$10:$H$276,0)),"")</f>
        <v>0</v>
      </c>
      <c r="V55" s="1011" t="str">
        <f>VLOOKUP(B55,TH.T4!B63:AC393,28,FALSE)</f>
        <v>TTrGD</v>
      </c>
      <c r="W55" s="1012"/>
      <c r="X55" s="1012"/>
      <c r="Y55" s="1027"/>
      <c r="Z55" s="1012"/>
      <c r="AA55" s="1012"/>
      <c r="AB55" s="1012"/>
      <c r="AC55" s="1012"/>
      <c r="AD55" s="1012"/>
      <c r="AE55" s="1012"/>
    </row>
    <row r="56" spans="1:35" s="1028" customFormat="1" ht="27" customHeight="1">
      <c r="A56" s="1014">
        <f>_xlfn.AGGREGATE(4,7,A$12:A55)+1</f>
        <v>44</v>
      </c>
      <c r="B56" s="1015" t="s">
        <v>1857</v>
      </c>
      <c r="C56" s="1033" t="s">
        <v>1656</v>
      </c>
      <c r="D56" s="1047" t="s">
        <v>1358</v>
      </c>
      <c r="E56" s="81" t="str">
        <f>VLOOKUP(B56,TH.Q2!B61:E392,4,FALSE)</f>
        <v>Nhân viên phòng Thanh tra GD - Quan hệ DN</v>
      </c>
      <c r="F56" s="1018">
        <v>4.32</v>
      </c>
      <c r="G56" s="1019"/>
      <c r="H56" s="1248">
        <f t="shared" si="2"/>
        <v>0</v>
      </c>
      <c r="I56" s="1020"/>
      <c r="J56" s="1020" t="str">
        <f>VLOOKUP(B56,'[15]Gui chi Quynh'!$B$11:$E$396,4,FALSE)</f>
        <v>A3</v>
      </c>
      <c r="K56" s="1020">
        <f t="shared" si="3"/>
        <v>0.6</v>
      </c>
      <c r="L56" s="1021">
        <v>23</v>
      </c>
      <c r="M56" s="1021">
        <f>VLOOKUP(B56,'[16]CN BC'!$H$10:$J$275,3,FALSE)</f>
        <v>22</v>
      </c>
      <c r="N56" s="1021">
        <f t="shared" si="4"/>
        <v>22</v>
      </c>
      <c r="O56" s="1022"/>
      <c r="P56" s="1023">
        <f t="shared" si="0"/>
        <v>5801572.173913043</v>
      </c>
      <c r="Q56" s="1371">
        <f t="shared" si="5"/>
        <v>2.4793043478260866</v>
      </c>
      <c r="R56" s="1448">
        <v>2340000</v>
      </c>
      <c r="S56" s="1460">
        <f t="shared" si="6"/>
        <v>5801572.173913043</v>
      </c>
      <c r="T56" s="1024">
        <f t="shared" si="1"/>
        <v>44</v>
      </c>
      <c r="U56" s="1025" t="str">
        <f>IFERROR(INDEX('[16]CN BC'!$M$10:$M$276,MATCH(B56,'[16]CN BC'!$H$10:$H$276,0)),"")</f>
        <v>Trừ 2 ngày nghỉ phép 1+2/10</v>
      </c>
      <c r="V56" s="1011" t="str">
        <f>VLOOKUP(B56,TH.T4!B64:AC394,28,FALSE)</f>
        <v>TTrGD</v>
      </c>
      <c r="W56" s="1012"/>
      <c r="X56" s="1012"/>
      <c r="Y56" s="1027"/>
      <c r="Z56" s="1012"/>
      <c r="AA56" s="1012"/>
      <c r="AB56" s="1012"/>
      <c r="AC56" s="1012"/>
      <c r="AD56" s="1012"/>
      <c r="AE56" s="1012"/>
    </row>
    <row r="57" spans="1:35" s="1028" customFormat="1" ht="27" customHeight="1">
      <c r="A57" s="1014">
        <f>_xlfn.AGGREGATE(4,7,A$12:A56)+1</f>
        <v>45</v>
      </c>
      <c r="B57" s="1015" t="s">
        <v>1851</v>
      </c>
      <c r="C57" s="1029" t="s">
        <v>1632</v>
      </c>
      <c r="D57" s="1063" t="s">
        <v>1575</v>
      </c>
      <c r="E57" s="81" t="str">
        <f>VLOOKUP(B57,TH.Q2!B62:E393,4,FALSE)</f>
        <v>Nhân viên phòng Thanh tra GD - Quan hệ DN</v>
      </c>
      <c r="F57" s="1040">
        <v>3.66</v>
      </c>
      <c r="G57" s="1019"/>
      <c r="H57" s="1248">
        <f t="shared" si="2"/>
        <v>0</v>
      </c>
      <c r="I57" s="1020"/>
      <c r="J57" s="1020" t="str">
        <f>VLOOKUP(B57,'[15]Gui chi Quynh'!$B$11:$E$396,4,FALSE)</f>
        <v>A3</v>
      </c>
      <c r="K57" s="1020">
        <f t="shared" si="3"/>
        <v>0.6</v>
      </c>
      <c r="L57" s="1021">
        <v>23</v>
      </c>
      <c r="M57" s="1021">
        <f>VLOOKUP(B57,'[16]CN BC'!$H$10:$J$275,3,FALSE)</f>
        <v>24</v>
      </c>
      <c r="N57" s="1021">
        <f t="shared" si="4"/>
        <v>23</v>
      </c>
      <c r="O57" s="1022"/>
      <c r="P57" s="1023">
        <f t="shared" si="0"/>
        <v>5138640</v>
      </c>
      <c r="Q57" s="1371">
        <f t="shared" si="5"/>
        <v>2.1960000000000002</v>
      </c>
      <c r="R57" s="1448">
        <v>2340000</v>
      </c>
      <c r="S57" s="1460">
        <f t="shared" si="6"/>
        <v>5138640</v>
      </c>
      <c r="T57" s="1024">
        <f t="shared" si="1"/>
        <v>45</v>
      </c>
      <c r="U57" s="1025">
        <f>IFERROR(INDEX('[16]CN BC'!$M$10:$M$276,MATCH(B57,'[16]CN BC'!$H$10:$H$276,0)),"")</f>
        <v>0</v>
      </c>
      <c r="V57" s="1011" t="str">
        <f>VLOOKUP(B57,TH.T4!B65:AC395,28,FALSE)</f>
        <v>TTrGD</v>
      </c>
      <c r="W57" s="1012"/>
      <c r="X57" s="1012"/>
      <c r="Y57" s="1027"/>
      <c r="Z57" s="1012"/>
      <c r="AA57" s="1012"/>
      <c r="AB57" s="1012"/>
      <c r="AC57" s="1012"/>
      <c r="AD57" s="1012"/>
      <c r="AE57" s="1012"/>
      <c r="AF57" s="1012"/>
      <c r="AG57" s="1012"/>
      <c r="AH57" s="1012"/>
      <c r="AI57" s="1012"/>
    </row>
    <row r="58" spans="1:35" s="1028" customFormat="1" ht="27" customHeight="1">
      <c r="A58" s="1014">
        <f>_xlfn.AGGREGATE(4,7,A$12:A57)+1</f>
        <v>46</v>
      </c>
      <c r="B58" s="1015" t="s">
        <v>1561</v>
      </c>
      <c r="C58" s="1033" t="s">
        <v>1657</v>
      </c>
      <c r="D58" s="1030" t="s">
        <v>1562</v>
      </c>
      <c r="E58" s="81" t="str">
        <f>VLOOKUP(B58,TH.Q2!B63:E394,4,FALSE)</f>
        <v>Nhân viên phòng Tuyển sinh - Đào tạo</v>
      </c>
      <c r="F58" s="1040">
        <v>3.66</v>
      </c>
      <c r="G58" s="1019"/>
      <c r="H58" s="1248">
        <f t="shared" si="2"/>
        <v>0</v>
      </c>
      <c r="I58" s="1020"/>
      <c r="J58" s="1020" t="str">
        <f>VLOOKUP(B58,'[15]Gui chi Quynh'!$B$11:$E$396,4,FALSE)</f>
        <v>A2</v>
      </c>
      <c r="K58" s="1020">
        <f t="shared" si="3"/>
        <v>0.7</v>
      </c>
      <c r="L58" s="1021">
        <v>23</v>
      </c>
      <c r="M58" s="1021">
        <f>VLOOKUP(B58,'[16]CN BC'!$H$10:$J$275,3,FALSE)</f>
        <v>22.5</v>
      </c>
      <c r="N58" s="1021">
        <f t="shared" si="4"/>
        <v>22.5</v>
      </c>
      <c r="O58" s="1022"/>
      <c r="P58" s="1023">
        <f t="shared" si="0"/>
        <v>5864752.173913043</v>
      </c>
      <c r="Q58" s="1371">
        <f t="shared" si="5"/>
        <v>2.5063043478260867</v>
      </c>
      <c r="R58" s="1448">
        <v>2340000</v>
      </c>
      <c r="S58" s="1460">
        <f t="shared" si="6"/>
        <v>5864752.173913043</v>
      </c>
      <c r="T58" s="1024">
        <f t="shared" si="1"/>
        <v>46</v>
      </c>
      <c r="U58" s="1025" t="str">
        <f>IFERROR(INDEX('[16]CN BC'!$M$10:$M$276,MATCH(B58,'[16]CN BC'!$H$10:$H$276,0)),"")</f>
        <v>Trừ 1 ngày nghỉ phép 28/10</v>
      </c>
      <c r="V58" s="1011" t="str">
        <f>VLOOKUP(B58,TH.T4!B66:AC396,28,FALSE)</f>
        <v>TSĐT</v>
      </c>
      <c r="W58" s="1012"/>
      <c r="X58" s="1012"/>
      <c r="Y58" s="1038"/>
    </row>
    <row r="59" spans="1:35" s="1028" customFormat="1" ht="30" customHeight="1">
      <c r="A59" s="1014">
        <f>_xlfn.AGGREGATE(4,7,A$12:A58)+1</f>
        <v>47</v>
      </c>
      <c r="B59" s="1015" t="s">
        <v>1463</v>
      </c>
      <c r="C59" s="1033" t="s">
        <v>1617</v>
      </c>
      <c r="D59" s="1034" t="s">
        <v>1573</v>
      </c>
      <c r="E59" s="81" t="str">
        <f>VLOOKUP(B59,TH.Q2!B64:E395,4,FALSE)</f>
        <v>Trưởng phòng Tuyển sinh - Đào tạo</v>
      </c>
      <c r="F59" s="1040">
        <v>4.74</v>
      </c>
      <c r="G59" s="1019"/>
      <c r="H59" s="1248">
        <f t="shared" si="2"/>
        <v>0</v>
      </c>
      <c r="I59" s="1020">
        <v>0.45</v>
      </c>
      <c r="J59" s="1020" t="str">
        <f>VLOOKUP(B59,'[15]Gui chi Quynh'!$B$11:$E$396,4,FALSE)</f>
        <v>A1</v>
      </c>
      <c r="K59" s="1020">
        <f t="shared" si="3"/>
        <v>0.8</v>
      </c>
      <c r="L59" s="1021">
        <v>23</v>
      </c>
      <c r="M59" s="1021">
        <f>VLOOKUP(B59,'[16]CN BC'!$H$10:$J$275,3,FALSE)</f>
        <v>24.5</v>
      </c>
      <c r="N59" s="1021">
        <f t="shared" si="4"/>
        <v>23</v>
      </c>
      <c r="O59" s="1022"/>
      <c r="P59" s="1023">
        <f t="shared" si="0"/>
        <v>9715680</v>
      </c>
      <c r="Q59" s="1371">
        <f t="shared" si="5"/>
        <v>4.1520000000000001</v>
      </c>
      <c r="R59" s="1448">
        <v>2340000</v>
      </c>
      <c r="S59" s="1460">
        <f t="shared" si="6"/>
        <v>9715680</v>
      </c>
      <c r="T59" s="1024">
        <f t="shared" si="1"/>
        <v>47</v>
      </c>
      <c r="U59" s="1025">
        <f>IFERROR(INDEX('[16]CN BC'!$M$10:$M$276,MATCH(B59,'[16]CN BC'!$H$10:$H$276,0)),"")</f>
        <v>0</v>
      </c>
      <c r="V59" s="1011" t="str">
        <f>VLOOKUP(B59,TH.T4!B67:AC397,28,FALSE)</f>
        <v>TSĐT</v>
      </c>
      <c r="W59" s="1013"/>
      <c r="X59" s="1012"/>
      <c r="Y59" s="1027"/>
      <c r="Z59" s="1012"/>
      <c r="AA59" s="1012"/>
      <c r="AB59" s="1012"/>
      <c r="AC59" s="1012"/>
      <c r="AD59" s="1012"/>
      <c r="AE59" s="1012"/>
    </row>
    <row r="60" spans="1:35" s="1012" customFormat="1" ht="24.75" customHeight="1">
      <c r="A60" s="1014">
        <f>_xlfn.AGGREGATE(4,7,A$12:A59)+1</f>
        <v>48</v>
      </c>
      <c r="B60" s="1050" t="s">
        <v>1902</v>
      </c>
      <c r="C60" s="1029" t="s">
        <v>1785</v>
      </c>
      <c r="D60" s="1051" t="s">
        <v>1391</v>
      </c>
      <c r="E60" s="81" t="str">
        <f>VLOOKUP(B60,TH.Q2!B65:E396,4,FALSE)</f>
        <v>Phó TP. Tuyể sinh - Đào tạo</v>
      </c>
      <c r="F60" s="1052">
        <v>4.32</v>
      </c>
      <c r="G60" s="1053"/>
      <c r="H60" s="1248">
        <f t="shared" si="2"/>
        <v>0</v>
      </c>
      <c r="I60" s="1054">
        <v>0.35</v>
      </c>
      <c r="J60" s="1020" t="str">
        <f>VLOOKUP(B60,'[15]Gui chi Quynh'!$B$11:$E$396,4,FALSE)</f>
        <v>A2</v>
      </c>
      <c r="K60" s="1020">
        <f t="shared" si="3"/>
        <v>0.7</v>
      </c>
      <c r="L60" s="1021">
        <v>23</v>
      </c>
      <c r="M60" s="1021">
        <f>VLOOKUP(B60,'[16]CN BC'!$H$10:$J$275,3,FALSE)</f>
        <v>23</v>
      </c>
      <c r="N60" s="1021">
        <f t="shared" si="4"/>
        <v>23</v>
      </c>
      <c r="O60" s="1022"/>
      <c r="P60" s="1023">
        <f t="shared" si="0"/>
        <v>7649459.9999999991</v>
      </c>
      <c r="Q60" s="1371">
        <f t="shared" si="5"/>
        <v>3.2689999999999997</v>
      </c>
      <c r="R60" s="1448">
        <v>2340000</v>
      </c>
      <c r="S60" s="1460">
        <f t="shared" si="6"/>
        <v>7649459.9999999991</v>
      </c>
      <c r="T60" s="1024">
        <f t="shared" si="1"/>
        <v>48</v>
      </c>
      <c r="U60" s="1025">
        <f>IFERROR(INDEX('[16]CN BC'!$M$10:$M$276,MATCH(B60,'[16]CN BC'!$H$10:$H$276,0)),"")</f>
        <v>0</v>
      </c>
      <c r="V60" s="1011" t="str">
        <f>VLOOKUP(B60,TH.T4!B68:AC398,28,FALSE)</f>
        <v>TSĐT</v>
      </c>
      <c r="Y60" s="1027"/>
    </row>
    <row r="61" spans="1:35" s="1028" customFormat="1" ht="29.25" customHeight="1">
      <c r="A61" s="1014">
        <f>_xlfn.AGGREGATE(4,7,A$12:A60)+1</f>
        <v>49</v>
      </c>
      <c r="B61" s="1015" t="s">
        <v>1858</v>
      </c>
      <c r="C61" s="1033" t="s">
        <v>1659</v>
      </c>
      <c r="D61" s="1034" t="s">
        <v>1285</v>
      </c>
      <c r="E61" s="81" t="str">
        <f>VLOOKUP(B61,TH.Q2!B66:E397,4,FALSE)</f>
        <v>Nhân viên phòng TS - Đào tạo</v>
      </c>
      <c r="F61" s="1018">
        <v>4.6500000000000004</v>
      </c>
      <c r="G61" s="1019"/>
      <c r="H61" s="1248">
        <f t="shared" si="2"/>
        <v>0</v>
      </c>
      <c r="I61" s="1020"/>
      <c r="J61" s="1020" t="str">
        <f>VLOOKUP(B61,'[15]Gui chi Quynh'!$B$11:$E$396,4,FALSE)</f>
        <v>A1</v>
      </c>
      <c r="K61" s="1020">
        <f t="shared" si="3"/>
        <v>0.8</v>
      </c>
      <c r="L61" s="1021">
        <v>23</v>
      </c>
      <c r="M61" s="1021">
        <f>VLOOKUP(B61,'[16]CN BC'!$H$10:$J$275,3,FALSE)</f>
        <v>25</v>
      </c>
      <c r="N61" s="1021">
        <f t="shared" si="4"/>
        <v>23</v>
      </c>
      <c r="O61" s="1022"/>
      <c r="P61" s="1023">
        <f t="shared" si="0"/>
        <v>8704800</v>
      </c>
      <c r="Q61" s="1371">
        <f t="shared" si="5"/>
        <v>3.72</v>
      </c>
      <c r="R61" s="1448">
        <v>2340000</v>
      </c>
      <c r="S61" s="1460">
        <f t="shared" si="6"/>
        <v>8704800</v>
      </c>
      <c r="T61" s="1024">
        <f t="shared" si="1"/>
        <v>49</v>
      </c>
      <c r="U61" s="1025">
        <f>IFERROR(INDEX('[16]CN BC'!$M$10:$M$276,MATCH(B61,'[16]CN BC'!$H$10:$H$276,0)),"")</f>
        <v>0</v>
      </c>
      <c r="V61" s="1011" t="str">
        <f>VLOOKUP(B61,TH.T4!B69:AC399,28,FALSE)</f>
        <v>TSĐT</v>
      </c>
      <c r="W61" s="1012"/>
      <c r="X61" s="1012"/>
      <c r="Y61" s="1027"/>
      <c r="Z61" s="1012"/>
      <c r="AA61" s="1012"/>
      <c r="AB61" s="1012"/>
      <c r="AC61" s="1012"/>
      <c r="AD61" s="1012"/>
      <c r="AE61" s="1012"/>
    </row>
    <row r="62" spans="1:35" s="1028" customFormat="1" ht="30.75" customHeight="1">
      <c r="A62" s="1014">
        <f>_xlfn.AGGREGATE(4,7,A$12:A61)+1</f>
        <v>50</v>
      </c>
      <c r="B62" s="1015" t="s">
        <v>1465</v>
      </c>
      <c r="C62" s="1033" t="s">
        <v>1661</v>
      </c>
      <c r="D62" s="1047">
        <v>1603205182394</v>
      </c>
      <c r="E62" s="81" t="str">
        <f>VLOOKUP(B62,TH.Q2!B67:E398,4,FALSE)</f>
        <v>Nhân viên phòng TS - Đào tạo</v>
      </c>
      <c r="F62" s="1018">
        <v>3.99</v>
      </c>
      <c r="G62" s="1019"/>
      <c r="H62" s="1248">
        <f t="shared" si="2"/>
        <v>0</v>
      </c>
      <c r="I62" s="1020"/>
      <c r="J62" s="1020" t="str">
        <f>VLOOKUP(B62,'[15]Gui chi Quynh'!$B$11:$E$396,4,FALSE)</f>
        <v>A3</v>
      </c>
      <c r="K62" s="1020">
        <f t="shared" si="3"/>
        <v>0.6</v>
      </c>
      <c r="L62" s="1021">
        <v>23</v>
      </c>
      <c r="M62" s="1021">
        <f>VLOOKUP(B62,'[16]CN BC'!$H$10:$J$275,3,FALSE)</f>
        <v>24.5</v>
      </c>
      <c r="N62" s="1021">
        <f t="shared" si="4"/>
        <v>23</v>
      </c>
      <c r="O62" s="1022"/>
      <c r="P62" s="1023">
        <f t="shared" si="0"/>
        <v>5601960</v>
      </c>
      <c r="Q62" s="1371">
        <f t="shared" si="5"/>
        <v>2.3940000000000001</v>
      </c>
      <c r="R62" s="1448">
        <v>2340000</v>
      </c>
      <c r="S62" s="1460">
        <f t="shared" si="6"/>
        <v>5601960</v>
      </c>
      <c r="T62" s="1024">
        <f t="shared" si="1"/>
        <v>50</v>
      </c>
      <c r="U62" s="1025">
        <f>IFERROR(INDEX('[16]CN BC'!$M$10:$M$276,MATCH(B62,'[16]CN BC'!$H$10:$H$276,0)),"")</f>
        <v>0</v>
      </c>
      <c r="V62" s="1011" t="str">
        <f>VLOOKUP(B62,TH.T4!B70:AC400,28,FALSE)</f>
        <v>TSĐT</v>
      </c>
      <c r="W62" s="1012"/>
      <c r="X62" s="1012"/>
      <c r="Y62" s="1027"/>
      <c r="Z62" s="1012"/>
      <c r="AA62" s="1012"/>
      <c r="AB62" s="1012"/>
      <c r="AC62" s="1012"/>
      <c r="AD62" s="1012"/>
      <c r="AE62" s="1012"/>
    </row>
    <row r="63" spans="1:35" s="1028" customFormat="1" ht="27" customHeight="1">
      <c r="A63" s="1014">
        <f>_xlfn.AGGREGATE(4,7,A$12:A62)+1</f>
        <v>51</v>
      </c>
      <c r="B63" s="1015" t="s">
        <v>844</v>
      </c>
      <c r="C63" s="1033" t="s">
        <v>1662</v>
      </c>
      <c r="D63" s="1047" t="s">
        <v>369</v>
      </c>
      <c r="E63" s="81" t="str">
        <f>VLOOKUP(B63,TH.Q2!B68:E399,4,FALSE)</f>
        <v>Nhân viên phòng TS - Đào tạo</v>
      </c>
      <c r="F63" s="1018">
        <v>3.66</v>
      </c>
      <c r="G63" s="1019"/>
      <c r="H63" s="1248">
        <f t="shared" si="2"/>
        <v>0</v>
      </c>
      <c r="I63" s="1020"/>
      <c r="J63" s="1020" t="str">
        <f>VLOOKUP(B63,'[15]Gui chi Quynh'!$B$11:$E$396,4,FALSE)</f>
        <v>A3</v>
      </c>
      <c r="K63" s="1020">
        <f t="shared" si="3"/>
        <v>0.6</v>
      </c>
      <c r="L63" s="1021">
        <v>23</v>
      </c>
      <c r="M63" s="1021">
        <f>VLOOKUP(B63,'[16]CN BC'!$H$10:$J$275,3,FALSE)</f>
        <v>24.5</v>
      </c>
      <c r="N63" s="1021">
        <f t="shared" si="4"/>
        <v>23</v>
      </c>
      <c r="O63" s="1022"/>
      <c r="P63" s="1023">
        <f t="shared" si="0"/>
        <v>5138640</v>
      </c>
      <c r="Q63" s="1371">
        <f t="shared" si="5"/>
        <v>2.1960000000000002</v>
      </c>
      <c r="R63" s="1448">
        <v>2340000</v>
      </c>
      <c r="S63" s="1460">
        <f t="shared" si="6"/>
        <v>5138640</v>
      </c>
      <c r="T63" s="1024">
        <f t="shared" si="1"/>
        <v>51</v>
      </c>
      <c r="U63" s="1025">
        <f>IFERROR(INDEX('[16]CN BC'!$M$10:$M$276,MATCH(B63,'[16]CN BC'!$H$10:$H$276,0)),"")</f>
        <v>0</v>
      </c>
      <c r="V63" s="1011" t="str">
        <f>VLOOKUP(B63,TH.T4!B71:AC401,28,FALSE)</f>
        <v>TSĐT</v>
      </c>
      <c r="W63" s="1012"/>
      <c r="X63" s="1012"/>
      <c r="Y63" s="1027"/>
      <c r="Z63" s="1012"/>
      <c r="AA63" s="1012"/>
      <c r="AB63" s="1012"/>
      <c r="AC63" s="1012"/>
      <c r="AD63" s="1012"/>
      <c r="AE63" s="1012"/>
    </row>
    <row r="64" spans="1:35" s="1028" customFormat="1" ht="24.75" customHeight="1">
      <c r="A64" s="1014">
        <f>_xlfn.AGGREGATE(4,7,A$12:A63)+1</f>
        <v>52</v>
      </c>
      <c r="B64" s="1061" t="s">
        <v>1557</v>
      </c>
      <c r="C64" s="1033" t="s">
        <v>1664</v>
      </c>
      <c r="D64" s="1057">
        <v>1603205182762</v>
      </c>
      <c r="E64" s="81" t="str">
        <f>VLOOKUP(B64,TH.Q2!B69:E400,4,FALSE)</f>
        <v>Nhân viên phòng TS - Đào tạo</v>
      </c>
      <c r="F64" s="1040">
        <v>3.96</v>
      </c>
      <c r="G64" s="1062"/>
      <c r="H64" s="1248">
        <f t="shared" si="2"/>
        <v>0</v>
      </c>
      <c r="I64" s="1018"/>
      <c r="J64" s="1020" t="str">
        <f>VLOOKUP(B64,'[15]Gui chi Quynh'!$B$11:$E$396,4,FALSE)</f>
        <v>A1</v>
      </c>
      <c r="K64" s="1020">
        <f t="shared" si="3"/>
        <v>0.8</v>
      </c>
      <c r="L64" s="1021">
        <v>23</v>
      </c>
      <c r="M64" s="1021">
        <f>VLOOKUP(B64,'[16]CN BC'!$H$10:$J$275,3,FALSE)</f>
        <v>26</v>
      </c>
      <c r="N64" s="1021">
        <f t="shared" si="4"/>
        <v>23</v>
      </c>
      <c r="O64" s="1022"/>
      <c r="P64" s="1023">
        <f t="shared" si="0"/>
        <v>7413120</v>
      </c>
      <c r="Q64" s="1371">
        <f t="shared" si="5"/>
        <v>3.1680000000000001</v>
      </c>
      <c r="R64" s="1448">
        <v>2340000</v>
      </c>
      <c r="S64" s="1460">
        <f t="shared" si="6"/>
        <v>7413120</v>
      </c>
      <c r="T64" s="1024">
        <f t="shared" si="1"/>
        <v>52</v>
      </c>
      <c r="U64" s="1025">
        <f>IFERROR(INDEX('[16]CN BC'!$M$10:$M$276,MATCH(B64,'[16]CN BC'!$H$10:$H$276,0)),"")</f>
        <v>0</v>
      </c>
      <c r="V64" s="1011" t="str">
        <f>VLOOKUP(B64,TH.T4!B72:AC402,28,FALSE)</f>
        <v>TSĐT</v>
      </c>
      <c r="W64" s="1012"/>
      <c r="X64" s="1012"/>
      <c r="Y64" s="1027"/>
      <c r="Z64" s="1012"/>
      <c r="AA64" s="1012"/>
      <c r="AB64" s="1012"/>
      <c r="AC64" s="1012"/>
      <c r="AD64" s="1012"/>
      <c r="AE64" s="1012"/>
    </row>
    <row r="65" spans="1:35" s="1028" customFormat="1" ht="24.75" customHeight="1">
      <c r="A65" s="1014">
        <f>_xlfn.AGGREGATE(4,7,A$12:A64)+1</f>
        <v>53</v>
      </c>
      <c r="B65" s="1015" t="s">
        <v>1524</v>
      </c>
      <c r="C65" s="1033" t="s">
        <v>1666</v>
      </c>
      <c r="D65" s="1047">
        <v>1603205182178</v>
      </c>
      <c r="E65" s="81" t="str">
        <f>VLOOKUP(B65,TH.Q2!B70:E401,4,FALSE)</f>
        <v>Nhân viên phòng TS - Đào tạo</v>
      </c>
      <c r="F65" s="1018">
        <v>3.66</v>
      </c>
      <c r="G65" s="1019"/>
      <c r="H65" s="1248">
        <f t="shared" si="2"/>
        <v>0</v>
      </c>
      <c r="I65" s="1020"/>
      <c r="J65" s="1020" t="str">
        <f>VLOOKUP(B65,'[15]Gui chi Quynh'!$B$11:$E$396,4,FALSE)</f>
        <v>A2</v>
      </c>
      <c r="K65" s="1020">
        <f t="shared" si="3"/>
        <v>0.7</v>
      </c>
      <c r="L65" s="1021">
        <v>23</v>
      </c>
      <c r="M65" s="1021">
        <f>VLOOKUP(B65,'[16]CN BC'!$H$10:$J$275,3,FALSE)</f>
        <v>25</v>
      </c>
      <c r="N65" s="1021">
        <f t="shared" si="4"/>
        <v>23</v>
      </c>
      <c r="O65" s="1022"/>
      <c r="P65" s="1023">
        <f t="shared" si="0"/>
        <v>5995080</v>
      </c>
      <c r="Q65" s="1371">
        <f t="shared" si="5"/>
        <v>2.5619999999999998</v>
      </c>
      <c r="R65" s="1448">
        <v>2340000</v>
      </c>
      <c r="S65" s="1460">
        <f t="shared" si="6"/>
        <v>5995080</v>
      </c>
      <c r="T65" s="1024">
        <f t="shared" si="1"/>
        <v>53</v>
      </c>
      <c r="U65" s="1025">
        <f>IFERROR(INDEX('[16]CN BC'!$M$10:$M$276,MATCH(B65,'[16]CN BC'!$H$10:$H$276,0)),"")</f>
        <v>0</v>
      </c>
      <c r="V65" s="1011" t="str">
        <f>VLOOKUP(B65,TH.T4!B73:AC403,28,FALSE)</f>
        <v>TSĐT</v>
      </c>
      <c r="W65" s="1012"/>
      <c r="X65" s="1012"/>
      <c r="Y65" s="1027"/>
    </row>
    <row r="66" spans="1:35" s="1028" customFormat="1" ht="24.75" customHeight="1">
      <c r="A66" s="1014">
        <f>_xlfn.AGGREGATE(4,7,A$12:A65)+1</f>
        <v>54</v>
      </c>
      <c r="B66" s="1043" t="s">
        <v>1860</v>
      </c>
      <c r="C66" s="1044" t="s">
        <v>1667</v>
      </c>
      <c r="D66" s="1045">
        <v>1603205351697</v>
      </c>
      <c r="E66" s="368" t="str">
        <f>VLOOKUP(B66,TH.Q2!B71:E402,4,FALSE)</f>
        <v>Nhân viên phòng TS - Đào tạo</v>
      </c>
      <c r="F66" s="1040">
        <v>3.66</v>
      </c>
      <c r="G66" s="1019"/>
      <c r="H66" s="1255">
        <f t="shared" si="2"/>
        <v>0</v>
      </c>
      <c r="I66" s="1020"/>
      <c r="J66" s="1020" t="str">
        <f>VLOOKUP(B66,'[15]Gui chi Quynh'!$B$11:$E$396,4,FALSE)</f>
        <v>A1</v>
      </c>
      <c r="K66" s="1020">
        <f t="shared" si="3"/>
        <v>0.8</v>
      </c>
      <c r="L66" s="1021">
        <v>23</v>
      </c>
      <c r="M66" s="1021">
        <f>VLOOKUP(B66,'[16]CN BC'!$H$10:$J$275,3,FALSE)</f>
        <v>24.5</v>
      </c>
      <c r="N66" s="1021">
        <f t="shared" si="4"/>
        <v>23</v>
      </c>
      <c r="O66" s="1035"/>
      <c r="P66" s="1023">
        <f t="shared" si="0"/>
        <v>6851520</v>
      </c>
      <c r="Q66" s="1371">
        <f t="shared" si="5"/>
        <v>2.9279999999999999</v>
      </c>
      <c r="R66" s="1448">
        <v>2340000</v>
      </c>
      <c r="S66" s="1460">
        <f t="shared" si="6"/>
        <v>6851520</v>
      </c>
      <c r="T66" s="1024">
        <f t="shared" si="1"/>
        <v>54</v>
      </c>
      <c r="U66" s="1025">
        <f>IFERROR(INDEX('[16]CN BC'!$M$10:$M$276,MATCH(B66,'[16]CN BC'!$H$10:$H$276,0)),"")</f>
        <v>0</v>
      </c>
      <c r="V66" s="1067" t="str">
        <f>VLOOKUP(B66,TH.T4!B74:AC404,28,FALSE)</f>
        <v>TSĐT</v>
      </c>
      <c r="W66" s="1105"/>
      <c r="Y66" s="1038"/>
    </row>
    <row r="67" spans="1:35" s="1028" customFormat="1" ht="24.75" customHeight="1">
      <c r="A67" s="1014">
        <f>_xlfn.AGGREGATE(4,7,A$12:A66)+1</f>
        <v>55</v>
      </c>
      <c r="B67" s="1015" t="s">
        <v>1484</v>
      </c>
      <c r="C67" s="1033" t="s">
        <v>1649</v>
      </c>
      <c r="D67" s="1045">
        <v>1603205357194</v>
      </c>
      <c r="E67" s="81" t="str">
        <f>VLOOKUP(B67,TH.Q2!B72:E403,4,FALSE)</f>
        <v>Nhân viên phòng Tuyển sinh - Đào tạo</v>
      </c>
      <c r="F67" s="1064">
        <v>3.33</v>
      </c>
      <c r="G67" s="1019"/>
      <c r="H67" s="1248">
        <f t="shared" si="2"/>
        <v>0</v>
      </c>
      <c r="I67" s="1020"/>
      <c r="J67" s="1020" t="str">
        <f>VLOOKUP(B67,'[15]Gui chi Quynh'!$B$11:$E$396,4,FALSE)</f>
        <v>A2</v>
      </c>
      <c r="K67" s="1020">
        <f t="shared" si="3"/>
        <v>0.7</v>
      </c>
      <c r="L67" s="1021">
        <v>23</v>
      </c>
      <c r="M67" s="1021">
        <f>VLOOKUP(B67,'[16]CN BC'!$H$10:$J$275,3,FALSE)</f>
        <v>26</v>
      </c>
      <c r="N67" s="1021">
        <f t="shared" si="4"/>
        <v>23</v>
      </c>
      <c r="O67" s="1022"/>
      <c r="P67" s="1023">
        <f t="shared" si="0"/>
        <v>5454540</v>
      </c>
      <c r="Q67" s="1371">
        <f t="shared" si="5"/>
        <v>2.331</v>
      </c>
      <c r="R67" s="1448">
        <v>2340000</v>
      </c>
      <c r="S67" s="1460">
        <f t="shared" si="6"/>
        <v>5454540</v>
      </c>
      <c r="T67" s="1024">
        <f t="shared" si="1"/>
        <v>55</v>
      </c>
      <c r="U67" s="1025">
        <f>IFERROR(INDEX('[16]CN BC'!$M$10:$M$276,MATCH(B67,'[16]CN BC'!$H$10:$H$276,0)),"")</f>
        <v>0</v>
      </c>
      <c r="V67" s="1011" t="str">
        <f>VLOOKUP(B67,TH.T4!B75:AC405,28,FALSE)</f>
        <v>KTĐBCL</v>
      </c>
      <c r="W67" s="1012"/>
      <c r="X67" s="1012"/>
      <c r="Y67" s="1027"/>
    </row>
    <row r="68" spans="1:35" s="1012" customFormat="1" ht="24.75" customHeight="1">
      <c r="A68" s="1014">
        <f>_xlfn.AGGREGATE(4,7,A$12:A67)+1</f>
        <v>56</v>
      </c>
      <c r="B68" s="1050" t="s">
        <v>1861</v>
      </c>
      <c r="C68" s="1029" t="s">
        <v>1668</v>
      </c>
      <c r="D68" s="1051" t="s">
        <v>1361</v>
      </c>
      <c r="E68" s="81" t="str">
        <f>VLOOKUP(B68,TH.Q2!B73:E404,4,FALSE)</f>
        <v>Trưởng phòng Khảo thí và ĐBCL</v>
      </c>
      <c r="F68" s="1052">
        <v>4.6500000000000004</v>
      </c>
      <c r="G68" s="1053"/>
      <c r="H68" s="1248">
        <f t="shared" si="2"/>
        <v>0</v>
      </c>
      <c r="I68" s="1020">
        <v>0.45</v>
      </c>
      <c r="J68" s="1020" t="str">
        <f>VLOOKUP(B68,'[15]Gui chi Quynh'!$B$11:$E$396,4,FALSE)</f>
        <v>A2</v>
      </c>
      <c r="K68" s="1020">
        <f t="shared" si="3"/>
        <v>0.7</v>
      </c>
      <c r="L68" s="1021">
        <v>23</v>
      </c>
      <c r="M68" s="1021">
        <f>VLOOKUP(B68,'[16]CN BC'!$H$10:$J$275,3,FALSE)</f>
        <v>23</v>
      </c>
      <c r="N68" s="1021">
        <f t="shared" si="4"/>
        <v>23</v>
      </c>
      <c r="O68" s="1022"/>
      <c r="P68" s="1023">
        <f t="shared" si="0"/>
        <v>8353800.0000000009</v>
      </c>
      <c r="Q68" s="1371">
        <f t="shared" si="5"/>
        <v>3.5700000000000003</v>
      </c>
      <c r="R68" s="1448">
        <v>2340000</v>
      </c>
      <c r="S68" s="1460">
        <f t="shared" si="6"/>
        <v>8353800.0000000009</v>
      </c>
      <c r="T68" s="1024">
        <f t="shared" si="1"/>
        <v>56</v>
      </c>
      <c r="U68" s="1025">
        <f>IFERROR(INDEX('[16]CN BC'!$M$10:$M$276,MATCH(B68,'[16]CN BC'!$H$10:$H$276,0)),"")</f>
        <v>0</v>
      </c>
      <c r="V68" s="1011" t="str">
        <f>VLOOKUP(B68,TH.T4!B76:AC406,28,FALSE)</f>
        <v>KTĐBCL</v>
      </c>
      <c r="Y68" s="1027"/>
    </row>
    <row r="69" spans="1:35" s="1012" customFormat="1" ht="24.75" customHeight="1">
      <c r="A69" s="1014">
        <f>_xlfn.AGGREGATE(4,7,A$12:A68)+1</f>
        <v>57</v>
      </c>
      <c r="B69" s="1050" t="s">
        <v>1853</v>
      </c>
      <c r="C69" s="1029" t="s">
        <v>1639</v>
      </c>
      <c r="D69" s="1051" t="s">
        <v>1271</v>
      </c>
      <c r="E69" s="81" t="str">
        <f>VLOOKUP(B69,TH.Q2!B74:E405,4,FALSE)</f>
        <v>Phó TP. Kế hoạch - Tài chính</v>
      </c>
      <c r="F69" s="1018">
        <v>4.32</v>
      </c>
      <c r="G69" s="1053"/>
      <c r="H69" s="1248">
        <f t="shared" si="2"/>
        <v>0</v>
      </c>
      <c r="I69" s="1054">
        <v>0.35</v>
      </c>
      <c r="J69" s="1020" t="str">
        <f>VLOOKUP(B69,'[15]Gui chi Quynh'!$B$11:$E$396,4,FALSE)</f>
        <v>A1</v>
      </c>
      <c r="K69" s="1020">
        <f t="shared" si="3"/>
        <v>0.8</v>
      </c>
      <c r="L69" s="1021">
        <v>23</v>
      </c>
      <c r="M69" s="1021">
        <f>VLOOKUP(B69,'[16]CN BC'!$H$10:$J$275,3,FALSE)</f>
        <v>25</v>
      </c>
      <c r="N69" s="1021">
        <f t="shared" si="4"/>
        <v>23</v>
      </c>
      <c r="O69" s="1022"/>
      <c r="P69" s="1023">
        <f t="shared" si="0"/>
        <v>8742240</v>
      </c>
      <c r="Q69" s="1371">
        <f t="shared" si="5"/>
        <v>3.7360000000000002</v>
      </c>
      <c r="R69" s="1448">
        <v>2340000</v>
      </c>
      <c r="S69" s="1460">
        <f t="shared" si="6"/>
        <v>8742240</v>
      </c>
      <c r="T69" s="1024">
        <f t="shared" si="1"/>
        <v>57</v>
      </c>
      <c r="U69" s="1025">
        <f>IFERROR(INDEX('[16]CN BC'!$M$10:$M$276,MATCH(B69,'[16]CN BC'!$H$10:$H$276,0)),"")</f>
        <v>0</v>
      </c>
      <c r="V69" s="1011" t="str">
        <f>VLOOKUP(B69,TH.T4!B77:AC407,28,FALSE)</f>
        <v>KTĐBCL</v>
      </c>
      <c r="W69" s="1011"/>
      <c r="Y69" s="1027"/>
    </row>
    <row r="70" spans="1:35" s="1028" customFormat="1" ht="27.75" customHeight="1">
      <c r="A70" s="1014">
        <f>_xlfn.AGGREGATE(4,7,A$12:A69)+1</f>
        <v>58</v>
      </c>
      <c r="B70" s="1015" t="s">
        <v>1862</v>
      </c>
      <c r="C70" s="1033" t="s">
        <v>1669</v>
      </c>
      <c r="D70" s="1034" t="s">
        <v>497</v>
      </c>
      <c r="E70" s="81" t="str">
        <f>VLOOKUP(B70,TH.Q2!B75:E406,4,FALSE)</f>
        <v>Nhân viên phòng Khảo thí và ĐBCL</v>
      </c>
      <c r="F70" s="1018">
        <v>4.9800000000000004</v>
      </c>
      <c r="G70" s="1019">
        <v>0.2</v>
      </c>
      <c r="H70" s="1248">
        <f t="shared" si="2"/>
        <v>0.996</v>
      </c>
      <c r="I70" s="1020"/>
      <c r="J70" s="1020" t="str">
        <f>VLOOKUP(B70,'[15]Gui chi Quynh'!$B$11:$E$396,4,FALSE)</f>
        <v>A3</v>
      </c>
      <c r="K70" s="1020">
        <f t="shared" si="3"/>
        <v>0.6</v>
      </c>
      <c r="L70" s="1021">
        <v>23</v>
      </c>
      <c r="M70" s="1021">
        <f>VLOOKUP(B70,'[16]CN BC'!$H$10:$J$275,3,FALSE)</f>
        <v>23</v>
      </c>
      <c r="N70" s="1021">
        <f t="shared" si="4"/>
        <v>23</v>
      </c>
      <c r="O70" s="1022"/>
      <c r="P70" s="1023">
        <f t="shared" si="0"/>
        <v>8390304</v>
      </c>
      <c r="Q70" s="1371">
        <f t="shared" si="5"/>
        <v>3.5855999999999999</v>
      </c>
      <c r="R70" s="1448">
        <v>2340000</v>
      </c>
      <c r="S70" s="1460">
        <f t="shared" si="6"/>
        <v>8390304</v>
      </c>
      <c r="T70" s="1024">
        <f t="shared" si="1"/>
        <v>58</v>
      </c>
      <c r="U70" s="1025">
        <f>IFERROR(INDEX('[16]CN BC'!$M$10:$M$276,MATCH(B70,'[16]CN BC'!$H$10:$H$276,0)),"")</f>
        <v>0</v>
      </c>
      <c r="V70" s="1011" t="str">
        <f>VLOOKUP(B70,TH.T4!B78:AC408,28,FALSE)</f>
        <v>KTĐBCL</v>
      </c>
      <c r="Y70" s="1038"/>
    </row>
    <row r="71" spans="1:35" s="1028" customFormat="1" ht="27" customHeight="1">
      <c r="A71" s="1014">
        <f>_xlfn.AGGREGATE(4,7,A$12:A70)+1</f>
        <v>59</v>
      </c>
      <c r="B71" s="1015" t="s">
        <v>842</v>
      </c>
      <c r="C71" s="1033" t="s">
        <v>1671</v>
      </c>
      <c r="D71" s="1034" t="s">
        <v>396</v>
      </c>
      <c r="E71" s="81" t="str">
        <f>VLOOKUP(B71,TH.Q2!B76:E407,4,FALSE)</f>
        <v>Nhân viên phòng Khảo thí và ĐBCL</v>
      </c>
      <c r="F71" s="1018">
        <v>3.66</v>
      </c>
      <c r="G71" s="1019"/>
      <c r="H71" s="1248">
        <f t="shared" si="2"/>
        <v>0</v>
      </c>
      <c r="I71" s="1020"/>
      <c r="J71" s="1020" t="str">
        <f>VLOOKUP(B71,'[15]Gui chi Quynh'!$B$11:$E$396,4,FALSE)</f>
        <v>A3</v>
      </c>
      <c r="K71" s="1020">
        <f t="shared" si="3"/>
        <v>0.6</v>
      </c>
      <c r="L71" s="1021">
        <v>23</v>
      </c>
      <c r="M71" s="1021">
        <f>VLOOKUP(B71,'[16]CN BC'!$H$10:$J$275,3,FALSE)</f>
        <v>25</v>
      </c>
      <c r="N71" s="1021">
        <f t="shared" si="4"/>
        <v>23</v>
      </c>
      <c r="O71" s="1022"/>
      <c r="P71" s="1023">
        <f t="shared" si="0"/>
        <v>5138640</v>
      </c>
      <c r="Q71" s="1371">
        <f t="shared" si="5"/>
        <v>2.1960000000000002</v>
      </c>
      <c r="R71" s="1448">
        <v>2340000</v>
      </c>
      <c r="S71" s="1460">
        <f t="shared" si="6"/>
        <v>5138640</v>
      </c>
      <c r="T71" s="1024">
        <f t="shared" si="1"/>
        <v>59</v>
      </c>
      <c r="U71" s="1025">
        <f>IFERROR(INDEX('[16]CN BC'!$M$10:$M$276,MATCH(B71,'[16]CN BC'!$H$10:$H$276,0)),"")</f>
        <v>0</v>
      </c>
      <c r="V71" s="1011" t="str">
        <f>VLOOKUP(B71,TH.T4!B79:AC409,28,FALSE)</f>
        <v>KTĐBCL</v>
      </c>
      <c r="W71" s="1012"/>
      <c r="X71" s="1012"/>
      <c r="Y71" s="1027"/>
      <c r="Z71" s="1012"/>
      <c r="AA71" s="1012"/>
      <c r="AB71" s="1012"/>
      <c r="AC71" s="1012"/>
      <c r="AD71" s="1012"/>
      <c r="AE71" s="1012"/>
    </row>
    <row r="72" spans="1:35" s="1028" customFormat="1" ht="27" customHeight="1">
      <c r="A72" s="1014">
        <f>_xlfn.AGGREGATE(4,7,A$12:A71)+1</f>
        <v>60</v>
      </c>
      <c r="B72" s="1015" t="s">
        <v>1551</v>
      </c>
      <c r="C72" s="1029" t="s">
        <v>1672</v>
      </c>
      <c r="D72" s="1057">
        <v>1603205182756</v>
      </c>
      <c r="E72" s="81" t="str">
        <f>VLOOKUP(B72,TH.Q2!B77:E408,4,FALSE)</f>
        <v>Nhân viên phòng Khảo thí và ĐBCL</v>
      </c>
      <c r="F72" s="1018">
        <v>3.66</v>
      </c>
      <c r="G72" s="1019"/>
      <c r="H72" s="1248">
        <f t="shared" si="2"/>
        <v>0</v>
      </c>
      <c r="I72" s="1020"/>
      <c r="J72" s="1020" t="str">
        <f>VLOOKUP(B72,'[15]Gui chi Quynh'!$B$11:$E$396,4,FALSE)</f>
        <v>A2</v>
      </c>
      <c r="K72" s="1020">
        <f t="shared" si="3"/>
        <v>0.7</v>
      </c>
      <c r="L72" s="1021">
        <v>23</v>
      </c>
      <c r="M72" s="1021">
        <f>VLOOKUP(B72,'[16]CN BC'!$H$10:$J$275,3,FALSE)</f>
        <v>26</v>
      </c>
      <c r="N72" s="1021">
        <f t="shared" si="4"/>
        <v>23</v>
      </c>
      <c r="O72" s="1022"/>
      <c r="P72" s="1023">
        <f t="shared" si="0"/>
        <v>5995080</v>
      </c>
      <c r="Q72" s="1371">
        <f t="shared" si="5"/>
        <v>2.5619999999999998</v>
      </c>
      <c r="R72" s="1448">
        <v>2340000</v>
      </c>
      <c r="S72" s="1460">
        <f t="shared" si="6"/>
        <v>5995080</v>
      </c>
      <c r="T72" s="1024">
        <f t="shared" si="1"/>
        <v>60</v>
      </c>
      <c r="U72" s="1025">
        <f>IFERROR(INDEX('[16]CN BC'!$M$10:$M$276,MATCH(B72,'[16]CN BC'!$H$10:$H$276,0)),"")</f>
        <v>0</v>
      </c>
      <c r="V72" s="1011" t="str">
        <f>VLOOKUP(B72,TH.T4!B80:AC410,28,FALSE)</f>
        <v>KTĐBCL</v>
      </c>
      <c r="W72" s="1012"/>
      <c r="X72" s="1219"/>
      <c r="Y72" s="1027"/>
      <c r="Z72" s="1012"/>
      <c r="AA72" s="1012"/>
      <c r="AB72" s="1012"/>
      <c r="AC72" s="1012"/>
      <c r="AD72" s="1012"/>
      <c r="AE72" s="1012"/>
      <c r="AF72" s="1012"/>
      <c r="AG72" s="1012"/>
      <c r="AH72" s="1012"/>
      <c r="AI72" s="1012"/>
    </row>
    <row r="73" spans="1:35" s="1028" customFormat="1" ht="27" customHeight="1">
      <c r="A73" s="1014">
        <f>_xlfn.AGGREGATE(4,7,A$12:A72)+1</f>
        <v>61</v>
      </c>
      <c r="B73" s="1015" t="s">
        <v>1521</v>
      </c>
      <c r="C73" s="1029" t="s">
        <v>1673</v>
      </c>
      <c r="D73" s="1063">
        <v>1603205286752</v>
      </c>
      <c r="E73" s="81" t="str">
        <f>VLOOKUP(B73,TH.Q2!B78:E409,4,FALSE)</f>
        <v>Nhân viên phòng Khảo thí và ĐBCL</v>
      </c>
      <c r="F73" s="1040">
        <v>3.66</v>
      </c>
      <c r="G73" s="1019"/>
      <c r="H73" s="1248">
        <f t="shared" si="2"/>
        <v>0</v>
      </c>
      <c r="I73" s="1020"/>
      <c r="J73" s="1020" t="str">
        <f>VLOOKUP(B73,'[15]Gui chi Quynh'!$B$11:$E$396,4,FALSE)</f>
        <v>A2</v>
      </c>
      <c r="K73" s="1020">
        <f t="shared" si="3"/>
        <v>0.7</v>
      </c>
      <c r="L73" s="1021">
        <v>23</v>
      </c>
      <c r="M73" s="1021">
        <f>VLOOKUP(B73,'[16]CN BC'!$H$10:$J$275,3,FALSE)</f>
        <v>25</v>
      </c>
      <c r="N73" s="1021">
        <f t="shared" si="4"/>
        <v>23</v>
      </c>
      <c r="O73" s="1022"/>
      <c r="P73" s="1023">
        <f t="shared" si="0"/>
        <v>5995080</v>
      </c>
      <c r="Q73" s="1371">
        <f t="shared" si="5"/>
        <v>2.5619999999999998</v>
      </c>
      <c r="R73" s="1448">
        <v>2340000</v>
      </c>
      <c r="S73" s="1460">
        <f t="shared" si="6"/>
        <v>5995080</v>
      </c>
      <c r="T73" s="1024">
        <f t="shared" si="1"/>
        <v>61</v>
      </c>
      <c r="U73" s="1025">
        <f>IFERROR(INDEX('[16]CN BC'!$M$10:$M$276,MATCH(B73,'[16]CN BC'!$H$10:$H$276,0)),"")</f>
        <v>0</v>
      </c>
      <c r="V73" s="1011" t="str">
        <f>VLOOKUP(B73,TH.T4!B81:AC411,28,FALSE)</f>
        <v>KTĐBCL</v>
      </c>
      <c r="W73" s="1012"/>
      <c r="X73" s="1012"/>
      <c r="Y73" s="1065"/>
      <c r="Z73" s="1012"/>
      <c r="AA73" s="1012"/>
      <c r="AB73" s="1012"/>
      <c r="AC73" s="1012"/>
      <c r="AD73" s="1012"/>
      <c r="AE73" s="1012"/>
      <c r="AF73" s="1012"/>
      <c r="AG73" s="1012"/>
      <c r="AH73" s="1012"/>
      <c r="AI73" s="1012"/>
    </row>
    <row r="74" spans="1:35" s="1028" customFormat="1" ht="27" customHeight="1">
      <c r="A74" s="1014">
        <f>_xlfn.AGGREGATE(4,7,A$12:A73)+1</f>
        <v>62</v>
      </c>
      <c r="B74" s="1015" t="s">
        <v>1841</v>
      </c>
      <c r="C74" s="1033" t="s">
        <v>1956</v>
      </c>
      <c r="D74" s="1066" t="s">
        <v>1931</v>
      </c>
      <c r="E74" s="81" t="s">
        <v>2394</v>
      </c>
      <c r="F74" s="1040">
        <v>3</v>
      </c>
      <c r="G74" s="1019"/>
      <c r="H74" s="1248">
        <f t="shared" si="2"/>
        <v>0</v>
      </c>
      <c r="I74" s="1020">
        <v>0.35</v>
      </c>
      <c r="J74" s="1020" t="str">
        <f>VLOOKUP(B74,'[15]Gui chi Quynh'!$B$11:$E$396,4,FALSE)</f>
        <v>A1</v>
      </c>
      <c r="K74" s="1020">
        <f t="shared" si="3"/>
        <v>0.8</v>
      </c>
      <c r="L74" s="1021">
        <v>23</v>
      </c>
      <c r="M74" s="1021">
        <f>VLOOKUP(B74,'[16]CN BC'!$H$10:$J$275,3,FALSE)</f>
        <v>27</v>
      </c>
      <c r="N74" s="1021">
        <f t="shared" si="4"/>
        <v>23</v>
      </c>
      <c r="O74" s="1022"/>
      <c r="P74" s="1023">
        <f t="shared" si="0"/>
        <v>6271200</v>
      </c>
      <c r="Q74" s="1371">
        <f t="shared" si="5"/>
        <v>2.68</v>
      </c>
      <c r="R74" s="1448">
        <v>2340000</v>
      </c>
      <c r="S74" s="1460">
        <f t="shared" si="6"/>
        <v>6271200</v>
      </c>
      <c r="T74" s="1024">
        <f t="shared" si="1"/>
        <v>62</v>
      </c>
      <c r="U74" s="1025">
        <f>IFERROR(INDEX('[16]CN BC'!$M$10:$M$276,MATCH(B74,'[16]CN BC'!$H$10:$H$276,0)),"")</f>
        <v>0</v>
      </c>
      <c r="V74" s="1011" t="str">
        <f>VLOOKUP(B74,TH.T4!B82:AC412,28,FALSE)</f>
        <v>TTĐHDL</v>
      </c>
      <c r="W74" s="1012"/>
      <c r="X74" s="1012"/>
      <c r="Y74" s="1027"/>
      <c r="Z74" s="1012"/>
      <c r="AA74" s="1012"/>
      <c r="AB74" s="1012"/>
      <c r="AC74" s="1012"/>
      <c r="AD74" s="1012"/>
      <c r="AE74" s="1012"/>
    </row>
    <row r="75" spans="1:35" s="1012" customFormat="1" ht="27" customHeight="1">
      <c r="A75" s="1014">
        <f>_xlfn.AGGREGATE(4,7,A$12:A74)+1</f>
        <v>63</v>
      </c>
      <c r="B75" s="1050" t="s">
        <v>1863</v>
      </c>
      <c r="C75" s="1029" t="s">
        <v>1675</v>
      </c>
      <c r="D75" s="1051" t="s">
        <v>1357</v>
      </c>
      <c r="E75" s="81" t="str">
        <f>VLOOKUP(B75,TH.Q2!B80:E411,4,FALSE)</f>
        <v>Trưởng TT Điều hành và QLDL</v>
      </c>
      <c r="F75" s="1056">
        <v>3.66</v>
      </c>
      <c r="G75" s="1053"/>
      <c r="H75" s="1248">
        <f t="shared" si="2"/>
        <v>0</v>
      </c>
      <c r="I75" s="1054">
        <v>0.45</v>
      </c>
      <c r="J75" s="1020" t="str">
        <f>VLOOKUP(B75,'[15]Gui chi Quynh'!$B$11:$E$396,4,FALSE)</f>
        <v>A1</v>
      </c>
      <c r="K75" s="1020">
        <f t="shared" si="3"/>
        <v>0.8</v>
      </c>
      <c r="L75" s="1021">
        <v>23</v>
      </c>
      <c r="M75" s="1021">
        <f>VLOOKUP(B75,'[16]CN BC'!$H$10:$J$275,3,FALSE)</f>
        <v>27</v>
      </c>
      <c r="N75" s="1021">
        <f t="shared" si="4"/>
        <v>23</v>
      </c>
      <c r="O75" s="1022"/>
      <c r="P75" s="1023">
        <f t="shared" si="0"/>
        <v>7693920</v>
      </c>
      <c r="Q75" s="1371">
        <f t="shared" si="5"/>
        <v>3.2879999999999998</v>
      </c>
      <c r="R75" s="1448">
        <v>2340000</v>
      </c>
      <c r="S75" s="1460">
        <f t="shared" si="6"/>
        <v>7693920</v>
      </c>
      <c r="T75" s="1024">
        <f t="shared" si="1"/>
        <v>63</v>
      </c>
      <c r="U75" s="1025">
        <f>IFERROR(INDEX('[16]CN BC'!$M$10:$M$276,MATCH(B75,'[16]CN BC'!$H$10:$H$276,0)),"")</f>
        <v>0</v>
      </c>
      <c r="V75" s="1011" t="str">
        <f>VLOOKUP(B75,TH.T4!B83:AC413,28,FALSE)</f>
        <v>TTĐHDL</v>
      </c>
      <c r="Y75" s="1027"/>
    </row>
    <row r="76" spans="1:35" s="1028" customFormat="1" ht="27" customHeight="1">
      <c r="A76" s="1014">
        <f>_xlfn.AGGREGATE(4,7,A$12:A75)+1</f>
        <v>64</v>
      </c>
      <c r="B76" s="1015" t="s">
        <v>1470</v>
      </c>
      <c r="C76" s="1029" t="s">
        <v>1679</v>
      </c>
      <c r="D76" s="1045" t="s">
        <v>1438</v>
      </c>
      <c r="E76" s="81" t="str">
        <f>VLOOKUP(B76,TH.Q2!B81:E412,4,FALSE)</f>
        <v>NV Trung tâm ĐH và QLDL</v>
      </c>
      <c r="F76" s="1018">
        <v>3.66</v>
      </c>
      <c r="G76" s="1019"/>
      <c r="H76" s="1248">
        <f t="shared" si="2"/>
        <v>0</v>
      </c>
      <c r="I76" s="1020"/>
      <c r="J76" s="1020" t="str">
        <f>VLOOKUP(B76,'[15]Gui chi Quynh'!$B$11:$E$396,4,FALSE)</f>
        <v>A1</v>
      </c>
      <c r="K76" s="1020">
        <f t="shared" si="3"/>
        <v>0.8</v>
      </c>
      <c r="L76" s="1021">
        <v>23</v>
      </c>
      <c r="M76" s="1021">
        <f>VLOOKUP(B76,'[16]CN BC'!$H$10:$J$275,3,FALSE)</f>
        <v>23</v>
      </c>
      <c r="N76" s="1021">
        <f t="shared" si="4"/>
        <v>23</v>
      </c>
      <c r="O76" s="1022"/>
      <c r="P76" s="1023">
        <f t="shared" si="0"/>
        <v>6851520</v>
      </c>
      <c r="Q76" s="1371">
        <f t="shared" si="5"/>
        <v>2.9279999999999999</v>
      </c>
      <c r="R76" s="1448">
        <v>2340000</v>
      </c>
      <c r="S76" s="1460">
        <f t="shared" si="6"/>
        <v>6851520</v>
      </c>
      <c r="T76" s="1024">
        <f t="shared" si="1"/>
        <v>64</v>
      </c>
      <c r="U76" s="1025">
        <f>IFERROR(INDEX('[16]CN BC'!$M$10:$M$276,MATCH(B76,'[16]CN BC'!$H$10:$H$276,0)),"")</f>
        <v>0</v>
      </c>
      <c r="V76" s="1011" t="str">
        <f>VLOOKUP(B76,TH.T4!B84:AC414,28,FALSE)</f>
        <v>TTĐHDL</v>
      </c>
      <c r="W76" s="1011"/>
      <c r="X76" s="1012"/>
      <c r="Y76" s="1065"/>
      <c r="Z76" s="1012"/>
      <c r="AA76" s="1012"/>
      <c r="AB76" s="1012"/>
      <c r="AC76" s="1012"/>
      <c r="AD76" s="1012"/>
      <c r="AE76" s="1012"/>
      <c r="AF76" s="1012"/>
      <c r="AG76" s="1012"/>
      <c r="AH76" s="1012"/>
      <c r="AI76" s="1012"/>
    </row>
    <row r="77" spans="1:35" s="1028" customFormat="1" ht="27" customHeight="1">
      <c r="A77" s="1014">
        <f>_xlfn.AGGREGATE(4,7,A$12:A76)+1</f>
        <v>65</v>
      </c>
      <c r="B77" s="1015" t="s">
        <v>1466</v>
      </c>
      <c r="C77" s="1033" t="s">
        <v>1663</v>
      </c>
      <c r="D77" s="1045" t="s">
        <v>1579</v>
      </c>
      <c r="E77" s="81" t="str">
        <f>VLOOKUP(B77,TH.Q2!B82:E413,4,FALSE)</f>
        <v>Nhân viên TT Điều hành và QLDL</v>
      </c>
      <c r="F77" s="1018">
        <v>3.26</v>
      </c>
      <c r="G77" s="1019"/>
      <c r="H77" s="1248">
        <f t="shared" si="2"/>
        <v>0</v>
      </c>
      <c r="I77" s="1020"/>
      <c r="J77" s="1020" t="str">
        <f>VLOOKUP(B77,'[15]Gui chi Quynh'!$B$11:$E$396,4,FALSE)</f>
        <v>A1</v>
      </c>
      <c r="K77" s="1020">
        <f t="shared" si="3"/>
        <v>0.8</v>
      </c>
      <c r="L77" s="1021">
        <v>23</v>
      </c>
      <c r="M77" s="1021">
        <f>VLOOKUP(B77,'[16]CN BC'!$H$10:$J$275,3,FALSE)</f>
        <v>24</v>
      </c>
      <c r="N77" s="1021">
        <f t="shared" si="4"/>
        <v>23</v>
      </c>
      <c r="O77" s="1022"/>
      <c r="P77" s="1023">
        <f t="shared" ref="P77:P140" si="7">(((F77+H77+I77)*$P$9/L77*N77)*K77)+O77</f>
        <v>6102719.9999999991</v>
      </c>
      <c r="Q77" s="1371">
        <f t="shared" si="5"/>
        <v>2.6079999999999997</v>
      </c>
      <c r="R77" s="1448">
        <v>2340000</v>
      </c>
      <c r="S77" s="1460">
        <f t="shared" si="6"/>
        <v>6102719.9999999991</v>
      </c>
      <c r="T77" s="1024">
        <f t="shared" ref="T77:T105" si="8">A77</f>
        <v>65</v>
      </c>
      <c r="U77" s="1025">
        <f>IFERROR(INDEX('[16]CN BC'!$M$10:$M$276,MATCH(B77,'[16]CN BC'!$H$10:$H$276,0)),"")</f>
        <v>0</v>
      </c>
      <c r="V77" s="1011" t="str">
        <f>VLOOKUP(B77,TH.T4!B85:AC415,28,FALSE)</f>
        <v>TTĐHDL</v>
      </c>
      <c r="W77" s="1012"/>
      <c r="X77" s="1012"/>
      <c r="Y77" s="1027"/>
      <c r="Z77" s="1012"/>
      <c r="AA77" s="1012"/>
      <c r="AB77" s="1012"/>
      <c r="AC77" s="1012"/>
      <c r="AD77" s="1012"/>
      <c r="AE77" s="1012"/>
    </row>
    <row r="78" spans="1:35" s="1028" customFormat="1" ht="23.25" customHeight="1">
      <c r="A78" s="1014">
        <f>_xlfn.AGGREGATE(4,7,A$12:A77)+1</f>
        <v>66</v>
      </c>
      <c r="B78" s="1015" t="s">
        <v>1834</v>
      </c>
      <c r="C78" s="1033" t="s">
        <v>1967</v>
      </c>
      <c r="D78" s="1066">
        <v>1603215005599</v>
      </c>
      <c r="E78" s="81" t="str">
        <f>VLOOKUP(B78,TH.Q2!B83:E414,4,FALSE)</f>
        <v>Phụ trách TT Thư viện</v>
      </c>
      <c r="F78" s="1040">
        <v>3.66</v>
      </c>
      <c r="G78" s="1019"/>
      <c r="H78" s="1248">
        <f t="shared" ref="H78:H142" si="9">ROUND(F78*G78,3)</f>
        <v>0</v>
      </c>
      <c r="I78" s="1020">
        <v>0.45</v>
      </c>
      <c r="J78" s="1020" t="str">
        <f>VLOOKUP(B78,'[15]Gui chi Quynh'!$B$11:$E$396,4,FALSE)</f>
        <v>A1</v>
      </c>
      <c r="K78" s="1020">
        <f t="shared" ref="K78:K142" si="10">IF(J78="A1",0.8,IF(J78="A2",0.7,IF(J78="A3",0.6,IF(J78="A4",0.5,IF(J78="B1",0.35,IF(J78="B2",0.25,IF(J78="C1",0.15,IF(J78="C2",0.1,0))))))))</f>
        <v>0.8</v>
      </c>
      <c r="L78" s="1021">
        <v>23</v>
      </c>
      <c r="M78" s="1021">
        <f>VLOOKUP(B78,'[16]CN BC'!$H$10:$J$275,3,FALSE)</f>
        <v>23</v>
      </c>
      <c r="N78" s="1021">
        <f t="shared" ref="N78:N141" si="11">IF(M78&gt;=L78,L78,IF(M78&lt;L78,M78))</f>
        <v>23</v>
      </c>
      <c r="O78" s="1022"/>
      <c r="P78" s="1023">
        <f t="shared" si="7"/>
        <v>7693920</v>
      </c>
      <c r="Q78" s="1371">
        <f t="shared" ref="Q78:Q141" si="12">P78/R78</f>
        <v>3.2879999999999998</v>
      </c>
      <c r="R78" s="1448">
        <v>2340000</v>
      </c>
      <c r="S78" s="1460">
        <f t="shared" ref="S78:S141" si="13">Q78*R78</f>
        <v>7693920</v>
      </c>
      <c r="T78" s="1024">
        <f t="shared" si="8"/>
        <v>66</v>
      </c>
      <c r="U78" s="1025">
        <f>IFERROR(INDEX('[16]CN BC'!$M$10:$M$276,MATCH(B78,'[16]CN BC'!$H$10:$H$276,0)),"")</f>
        <v>0</v>
      </c>
      <c r="V78" s="1011" t="str">
        <f>VLOOKUP(B78,TH.T4!B86:AC416,28,FALSE)</f>
        <v>TTTV</v>
      </c>
      <c r="W78" s="1012"/>
      <c r="X78" s="1012"/>
      <c r="Y78" s="1027"/>
      <c r="Z78" s="1012"/>
      <c r="AA78" s="1012"/>
      <c r="AB78" s="1012"/>
      <c r="AC78" s="1012"/>
      <c r="AD78" s="1012"/>
      <c r="AE78" s="1012"/>
    </row>
    <row r="79" spans="1:35" s="1028" customFormat="1" ht="27" customHeight="1">
      <c r="A79" s="1014">
        <f>_xlfn.AGGREGATE(4,7,A$12:A78)+1</f>
        <v>67</v>
      </c>
      <c r="B79" s="1015" t="s">
        <v>1468</v>
      </c>
      <c r="C79" s="1033" t="s">
        <v>1676</v>
      </c>
      <c r="D79" s="1045" t="s">
        <v>1580</v>
      </c>
      <c r="E79" s="81" t="str">
        <f>VLOOKUP(B79,TH.Q2!B84:E415,4,FALSE)</f>
        <v>Nhân viên TT Thư viện</v>
      </c>
      <c r="F79" s="1040">
        <v>3.33</v>
      </c>
      <c r="G79" s="1019"/>
      <c r="H79" s="1248">
        <f t="shared" si="9"/>
        <v>0</v>
      </c>
      <c r="I79" s="1020"/>
      <c r="J79" s="1020" t="str">
        <f>VLOOKUP(B79,'[15]Gui chi Quynh'!$B$11:$E$396,4,FALSE)</f>
        <v>A3</v>
      </c>
      <c r="K79" s="1020">
        <f t="shared" si="10"/>
        <v>0.6</v>
      </c>
      <c r="L79" s="1021">
        <v>23</v>
      </c>
      <c r="M79" s="1021">
        <f>VLOOKUP(B79,'[16]CN BC'!$H$10:$J$275,3,FALSE)</f>
        <v>22.5</v>
      </c>
      <c r="N79" s="1021">
        <f t="shared" si="11"/>
        <v>22.5</v>
      </c>
      <c r="O79" s="1022"/>
      <c r="P79" s="1023">
        <f t="shared" si="7"/>
        <v>4573682.6086956523</v>
      </c>
      <c r="Q79" s="1371">
        <f t="shared" si="12"/>
        <v>1.9545652173913044</v>
      </c>
      <c r="R79" s="1448">
        <v>2340000</v>
      </c>
      <c r="S79" s="1460">
        <f t="shared" si="13"/>
        <v>4573682.6086956523</v>
      </c>
      <c r="T79" s="1024">
        <f t="shared" si="8"/>
        <v>67</v>
      </c>
      <c r="U79" s="1025" t="str">
        <f>IFERROR(INDEX('[16]CN BC'!$M$10:$M$276,MATCH(B79,'[16]CN BC'!$H$10:$H$276,0)),"")</f>
        <v>Trừ 1/2 ngày nghỉ phép 9/10</v>
      </c>
      <c r="V79" s="1011" t="str">
        <f>VLOOKUP(B79,TH.T4!B87:AC417,28,FALSE)</f>
        <v>TTTV</v>
      </c>
      <c r="W79" s="1012"/>
      <c r="X79" s="1012"/>
      <c r="Y79" s="1027"/>
      <c r="Z79" s="1012"/>
      <c r="AA79" s="1012"/>
      <c r="AB79" s="1012"/>
      <c r="AC79" s="1012"/>
      <c r="AD79" s="1012"/>
      <c r="AE79" s="1012"/>
    </row>
    <row r="80" spans="1:35" s="1028" customFormat="1" ht="27" customHeight="1">
      <c r="A80" s="1014">
        <f>_xlfn.AGGREGATE(4,7,A$12:A79)+1</f>
        <v>68</v>
      </c>
      <c r="B80" s="1015" t="s">
        <v>1469</v>
      </c>
      <c r="C80" s="1033" t="s">
        <v>1677</v>
      </c>
      <c r="D80" s="1057">
        <v>1603205185623</v>
      </c>
      <c r="E80" s="81" t="str">
        <f>VLOOKUP(B80,TH.Q2!B85:E416,4,FALSE)</f>
        <v>Nhân viên TT Thư viện</v>
      </c>
      <c r="F80" s="1040">
        <v>3.33</v>
      </c>
      <c r="G80" s="1019"/>
      <c r="H80" s="1248">
        <f t="shared" si="9"/>
        <v>0</v>
      </c>
      <c r="I80" s="1020"/>
      <c r="J80" s="1020" t="str">
        <f>VLOOKUP(B80,'[15]Gui chi Quynh'!$B$11:$E$396,4,FALSE)</f>
        <v>A3</v>
      </c>
      <c r="K80" s="1020">
        <f t="shared" si="10"/>
        <v>0.6</v>
      </c>
      <c r="L80" s="1021">
        <v>23</v>
      </c>
      <c r="M80" s="1021">
        <f>VLOOKUP(B80,'[16]CN BC'!$H$10:$J$275,3,FALSE)</f>
        <v>23</v>
      </c>
      <c r="N80" s="1021">
        <f t="shared" si="11"/>
        <v>23</v>
      </c>
      <c r="O80" s="1022"/>
      <c r="P80" s="1023">
        <f t="shared" si="7"/>
        <v>4675320</v>
      </c>
      <c r="Q80" s="1371">
        <f t="shared" si="12"/>
        <v>1.998</v>
      </c>
      <c r="R80" s="1448">
        <v>2340000</v>
      </c>
      <c r="S80" s="1460">
        <f t="shared" si="13"/>
        <v>4675320</v>
      </c>
      <c r="T80" s="1024">
        <f t="shared" si="8"/>
        <v>68</v>
      </c>
      <c r="U80" s="1025">
        <f>IFERROR(INDEX('[16]CN BC'!$M$10:$M$276,MATCH(B80,'[16]CN BC'!$H$10:$H$276,0)),"")</f>
        <v>0</v>
      </c>
      <c r="V80" s="1011" t="str">
        <f>VLOOKUP(B80,TH.T4!B88:AC418,28,FALSE)</f>
        <v>TTTV</v>
      </c>
      <c r="W80" s="1012"/>
      <c r="X80" s="1012"/>
      <c r="Y80" s="1027"/>
      <c r="Z80" s="1012"/>
      <c r="AA80" s="1012"/>
      <c r="AB80" s="1012"/>
      <c r="AC80" s="1012"/>
      <c r="AD80" s="1012"/>
      <c r="AE80" s="1012"/>
    </row>
    <row r="81" spans="1:35" s="1028" customFormat="1" ht="27" customHeight="1">
      <c r="A81" s="1014">
        <f>_xlfn.AGGREGATE(4,7,A$12:A80)+1</f>
        <v>69</v>
      </c>
      <c r="B81" s="1015" t="s">
        <v>1864</v>
      </c>
      <c r="C81" s="1033" t="s">
        <v>1678</v>
      </c>
      <c r="D81" s="1034" t="s">
        <v>1402</v>
      </c>
      <c r="E81" s="368" t="str">
        <f>VLOOKUP(B81,TH.Q2!B86:E417,4,FALSE)</f>
        <v>Nhân viên TT Thư viện</v>
      </c>
      <c r="F81" s="1018">
        <v>4.9800000000000004</v>
      </c>
      <c r="G81" s="1019">
        <v>0.06</v>
      </c>
      <c r="H81" s="1255">
        <f t="shared" si="9"/>
        <v>0.29899999999999999</v>
      </c>
      <c r="I81" s="1020"/>
      <c r="J81" s="1020" t="str">
        <f>VLOOKUP(B81,'[15]Gui chi Quynh'!$B$11:$E$396,4,FALSE)</f>
        <v>A4</v>
      </c>
      <c r="K81" s="1020">
        <f t="shared" si="10"/>
        <v>0.5</v>
      </c>
      <c r="L81" s="1021">
        <v>23</v>
      </c>
      <c r="M81" s="1021">
        <f>VLOOKUP(B81,'[16]CN BC'!$H$10:$J$275,3,FALSE)</f>
        <v>23</v>
      </c>
      <c r="N81" s="1021">
        <f t="shared" si="11"/>
        <v>23</v>
      </c>
      <c r="O81" s="1035"/>
      <c r="P81" s="1023">
        <f t="shared" si="7"/>
        <v>6176430.0000000019</v>
      </c>
      <c r="Q81" s="1371">
        <f t="shared" si="12"/>
        <v>2.6395000000000008</v>
      </c>
      <c r="R81" s="1448">
        <v>2340000</v>
      </c>
      <c r="S81" s="1460">
        <f t="shared" si="13"/>
        <v>6176430.0000000019</v>
      </c>
      <c r="T81" s="1024">
        <f t="shared" si="8"/>
        <v>69</v>
      </c>
      <c r="U81" s="1025">
        <f>IFERROR(INDEX('[16]CN BC'!$M$10:$M$276,MATCH(B81,'[16]CN BC'!$H$10:$H$276,0)),"")</f>
        <v>0</v>
      </c>
      <c r="V81" s="1067" t="str">
        <f>VLOOKUP(B81,TH.T4!B89:AC419,28,FALSE)</f>
        <v>TTTV</v>
      </c>
      <c r="Y81" s="1038"/>
    </row>
    <row r="82" spans="1:35" s="1028" customFormat="1" ht="31.5" customHeight="1">
      <c r="A82" s="1014">
        <f>_xlfn.AGGREGATE(4,7,A$12:A81)+1</f>
        <v>70</v>
      </c>
      <c r="B82" s="1015" t="s">
        <v>1471</v>
      </c>
      <c r="C82" s="1033" t="s">
        <v>1680</v>
      </c>
      <c r="D82" s="1045" t="s">
        <v>1581</v>
      </c>
      <c r="E82" s="81" t="str">
        <f>VLOOKUP(B82,TH.Q2!B87:E418,4,FALSE)</f>
        <v>Trưởng phòng KHCN &amp; HTQT</v>
      </c>
      <c r="F82" s="1018">
        <v>4.9800000000000004</v>
      </c>
      <c r="G82" s="1019"/>
      <c r="H82" s="1248">
        <f t="shared" si="9"/>
        <v>0</v>
      </c>
      <c r="I82" s="1020">
        <v>0.45</v>
      </c>
      <c r="J82" s="1020" t="str">
        <f>VLOOKUP(B82,'[15]Gui chi Quynh'!$B$11:$E$396,4,FALSE)</f>
        <v>A1</v>
      </c>
      <c r="K82" s="1020">
        <f t="shared" si="10"/>
        <v>0.8</v>
      </c>
      <c r="L82" s="1021">
        <v>23</v>
      </c>
      <c r="M82" s="1021">
        <f>VLOOKUP(B82,'[16]CN BC'!$H$10:$J$275,3,FALSE)</f>
        <v>24</v>
      </c>
      <c r="N82" s="1021">
        <f t="shared" si="11"/>
        <v>23</v>
      </c>
      <c r="O82" s="1022"/>
      <c r="P82" s="1023">
        <f t="shared" si="7"/>
        <v>10164960.000000002</v>
      </c>
      <c r="Q82" s="1371">
        <f t="shared" si="12"/>
        <v>4.3440000000000012</v>
      </c>
      <c r="R82" s="1448">
        <v>2340000</v>
      </c>
      <c r="S82" s="1460">
        <f t="shared" si="13"/>
        <v>10164960.000000002</v>
      </c>
      <c r="T82" s="1024">
        <f t="shared" si="8"/>
        <v>70</v>
      </c>
      <c r="U82" s="1025">
        <f>IFERROR(INDEX('[16]CN BC'!$M$10:$M$276,MATCH(B82,'[16]CN BC'!$H$10:$H$276,0)),"")</f>
        <v>0</v>
      </c>
      <c r="V82" s="1011" t="str">
        <f>VLOOKUP(B82,TH.T4!B90:AC420,28,FALSE)</f>
        <v>QLKH</v>
      </c>
      <c r="Y82" s="1038"/>
    </row>
    <row r="83" spans="1:35" s="1028" customFormat="1" ht="26.25" customHeight="1">
      <c r="A83" s="1014">
        <f>_xlfn.AGGREGATE(4,7,A$12:A82)+1</f>
        <v>71</v>
      </c>
      <c r="B83" s="1043" t="s">
        <v>2009</v>
      </c>
      <c r="C83" s="1044"/>
      <c r="D83" s="1045"/>
      <c r="E83" s="81" t="str">
        <f>VLOOKUP(B83,TH.Q2!B88:E419,4,FALSE)</f>
        <v>NV Phòng KHCN &amp; HTQT</v>
      </c>
      <c r="F83" s="1040">
        <v>3.66</v>
      </c>
      <c r="G83" s="1019"/>
      <c r="H83" s="1248">
        <f t="shared" si="9"/>
        <v>0</v>
      </c>
      <c r="I83" s="1020"/>
      <c r="J83" s="1020" t="str">
        <f>VLOOKUP(B83,'[15]Gui chi Quynh'!$B$11:$E$396,4,FALSE)</f>
        <v>A2</v>
      </c>
      <c r="K83" s="1020">
        <f t="shared" si="10"/>
        <v>0.7</v>
      </c>
      <c r="L83" s="1021">
        <v>23</v>
      </c>
      <c r="M83" s="1021">
        <f>VLOOKUP(B83,'[16]CN BC'!$H$10:$J$275,3,FALSE)</f>
        <v>24</v>
      </c>
      <c r="N83" s="1021">
        <f t="shared" si="11"/>
        <v>23</v>
      </c>
      <c r="O83" s="1022"/>
      <c r="P83" s="1023">
        <f t="shared" si="7"/>
        <v>5995080</v>
      </c>
      <c r="Q83" s="1371">
        <f t="shared" si="12"/>
        <v>2.5619999999999998</v>
      </c>
      <c r="R83" s="1448">
        <v>2340000</v>
      </c>
      <c r="S83" s="1460">
        <f t="shared" si="13"/>
        <v>5995080</v>
      </c>
      <c r="T83" s="1024">
        <f t="shared" si="8"/>
        <v>71</v>
      </c>
      <c r="U83" s="1025">
        <f>IFERROR(INDEX('[16]CN BC'!$M$10:$M$276,MATCH(B83,'[16]CN BC'!$H$10:$H$276,0)),"")</f>
        <v>0</v>
      </c>
      <c r="V83" s="1011" t="str">
        <f>VLOOKUP(B83,TH.T4!B91:AC421,28,FALSE)</f>
        <v>QLKH</v>
      </c>
      <c r="Y83" s="1038"/>
    </row>
    <row r="84" spans="1:35" s="1028" customFormat="1" ht="28.5" customHeight="1">
      <c r="A84" s="1014">
        <f>_xlfn.AGGREGATE(4,7,A$12:A83)+1</f>
        <v>72</v>
      </c>
      <c r="B84" s="1043" t="s">
        <v>1830</v>
      </c>
      <c r="C84" s="1044" t="s">
        <v>1829</v>
      </c>
      <c r="D84" s="1068">
        <v>1603205354978</v>
      </c>
      <c r="E84" s="81" t="str">
        <f>VLOOKUP(B84,TH.Q2!B89:E420,4,FALSE)</f>
        <v>Giám đốc TT Đào tạo và Quản lý vật tư thiết bị</v>
      </c>
      <c r="F84" s="1040">
        <v>3</v>
      </c>
      <c r="G84" s="1019"/>
      <c r="H84" s="1248">
        <f t="shared" si="9"/>
        <v>0</v>
      </c>
      <c r="I84" s="1020">
        <v>0.45</v>
      </c>
      <c r="J84" s="1020" t="str">
        <f>VLOOKUP(B84,'[15]Gui chi Quynh'!$B$11:$E$396,4,FALSE)</f>
        <v>A1</v>
      </c>
      <c r="K84" s="1020">
        <f t="shared" si="10"/>
        <v>0.8</v>
      </c>
      <c r="L84" s="1021">
        <v>23</v>
      </c>
      <c r="M84" s="1021">
        <f>VLOOKUP(B84,'[16]CN BC'!$H$10:$J$275,3,FALSE)</f>
        <v>31</v>
      </c>
      <c r="N84" s="1021">
        <f t="shared" si="11"/>
        <v>23</v>
      </c>
      <c r="O84" s="1022"/>
      <c r="P84" s="1023">
        <f t="shared" si="7"/>
        <v>6458400</v>
      </c>
      <c r="Q84" s="1371">
        <f t="shared" si="12"/>
        <v>2.76</v>
      </c>
      <c r="R84" s="1448">
        <v>2340000</v>
      </c>
      <c r="S84" s="1460">
        <f t="shared" si="13"/>
        <v>6458399.9999999991</v>
      </c>
      <c r="T84" s="1069">
        <f t="shared" si="8"/>
        <v>72</v>
      </c>
      <c r="U84" s="1025">
        <f>IFERROR(INDEX('[16]CN BC'!$M$10:$M$276,MATCH(B84,'[16]CN BC'!$H$10:$H$276,0)),"")</f>
        <v>0</v>
      </c>
      <c r="V84" s="1011" t="str">
        <f>VLOOKUP(B84,TH.T4!B92:AC422,28,FALSE)</f>
        <v>TTĐT</v>
      </c>
      <c r="W84" s="1027"/>
      <c r="X84" s="1012"/>
      <c r="Y84" s="1012"/>
      <c r="Z84" s="1012"/>
      <c r="AA84" s="1012"/>
      <c r="AB84" s="1012"/>
      <c r="AC84" s="1012"/>
      <c r="AD84" s="1012"/>
      <c r="AE84" s="1012"/>
    </row>
    <row r="85" spans="1:35" s="1012" customFormat="1" ht="28.5" customHeight="1">
      <c r="A85" s="1014">
        <f>_xlfn.AGGREGATE(4,7,A$12:A84)+1</f>
        <v>73</v>
      </c>
      <c r="B85" s="1050" t="s">
        <v>2005</v>
      </c>
      <c r="C85" s="1070" t="s">
        <v>1826</v>
      </c>
      <c r="D85" s="1071" t="s">
        <v>12</v>
      </c>
      <c r="E85" s="81" t="str">
        <f>VLOOKUP(B85,TH.Q2!B90:E421,4,FALSE)</f>
        <v>TT Đào tạo và Quản lý vật tư thiết bị</v>
      </c>
      <c r="F85" s="1054">
        <v>3.34</v>
      </c>
      <c r="G85" s="1072"/>
      <c r="H85" s="1248">
        <f t="shared" si="9"/>
        <v>0</v>
      </c>
      <c r="I85" s="1072">
        <v>0</v>
      </c>
      <c r="J85" s="1020" t="str">
        <f>VLOOKUP(B85,'[15]Gui chi Quynh'!$B$11:$E$396,4,FALSE)</f>
        <v>A4</v>
      </c>
      <c r="K85" s="1020">
        <f t="shared" si="10"/>
        <v>0.5</v>
      </c>
      <c r="L85" s="1021">
        <v>23</v>
      </c>
      <c r="M85" s="1021">
        <f>VLOOKUP(B85,'[16]CN BC'!$H$10:$J$275,3,FALSE)</f>
        <v>28</v>
      </c>
      <c r="N85" s="1021">
        <f t="shared" si="11"/>
        <v>23</v>
      </c>
      <c r="O85" s="1022"/>
      <c r="P85" s="1023">
        <f t="shared" si="7"/>
        <v>3907799.9999999995</v>
      </c>
      <c r="Q85" s="1371">
        <f t="shared" si="12"/>
        <v>1.6699999999999997</v>
      </c>
      <c r="R85" s="1448">
        <v>2340000</v>
      </c>
      <c r="S85" s="1460">
        <f t="shared" si="13"/>
        <v>3907799.9999999995</v>
      </c>
      <c r="T85" s="1073">
        <f t="shared" si="8"/>
        <v>73</v>
      </c>
      <c r="U85" s="1025">
        <f>IFERROR(INDEX('[16]CN BC'!$M$10:$M$276,MATCH(B85,'[16]CN BC'!$H$10:$H$276,0)),"")</f>
        <v>0</v>
      </c>
      <c r="V85" s="1011" t="str">
        <f>VLOOKUP(B85,TH.T4!B93:AC423,28,FALSE)</f>
        <v>TTĐT</v>
      </c>
    </row>
    <row r="86" spans="1:35" s="1028" customFormat="1" ht="27" customHeight="1">
      <c r="A86" s="1014">
        <f>_xlfn.AGGREGATE(4,7,A$12:A85)+1</f>
        <v>74</v>
      </c>
      <c r="B86" s="1043" t="s">
        <v>1607</v>
      </c>
      <c r="C86" s="1044" t="s">
        <v>1957</v>
      </c>
      <c r="D86" s="1059">
        <v>1603215003961</v>
      </c>
      <c r="E86" s="81" t="str">
        <f>VLOOKUP(B86,TH.Q2!B91:E422,4,FALSE)</f>
        <v>Trưởng khoa Xây dựng - Nhiệt lạnh</v>
      </c>
      <c r="F86" s="1040">
        <v>3.66</v>
      </c>
      <c r="G86" s="1019"/>
      <c r="H86" s="1248">
        <f t="shared" si="9"/>
        <v>0</v>
      </c>
      <c r="I86" s="1020">
        <v>0.45</v>
      </c>
      <c r="J86" s="1020" t="str">
        <f>VLOOKUP(B86,'[15]Gui chi Quynh'!$B$11:$E$396,4,FALSE)</f>
        <v>A1</v>
      </c>
      <c r="K86" s="1020">
        <f t="shared" si="10"/>
        <v>0.8</v>
      </c>
      <c r="L86" s="1021">
        <v>23</v>
      </c>
      <c r="M86" s="1021">
        <f>VLOOKUP(B86,'[16]CN BC'!$H$10:$J$275,3,FALSE)</f>
        <v>23</v>
      </c>
      <c r="N86" s="1021">
        <f t="shared" si="11"/>
        <v>23</v>
      </c>
      <c r="O86" s="1022"/>
      <c r="P86" s="1023">
        <f t="shared" si="7"/>
        <v>7693920</v>
      </c>
      <c r="Q86" s="1371">
        <f t="shared" si="12"/>
        <v>3.2879999999999998</v>
      </c>
      <c r="R86" s="1448">
        <v>2340000</v>
      </c>
      <c r="S86" s="1460">
        <f t="shared" si="13"/>
        <v>7693920</v>
      </c>
      <c r="T86" s="1024">
        <f t="shared" si="8"/>
        <v>74</v>
      </c>
      <c r="U86" s="1025">
        <f>IFERROR(INDEX('[16]CN BC'!$M$10:$M$276,MATCH(B86,'[16]CN BC'!$H$10:$H$276,0)),"")</f>
        <v>0</v>
      </c>
      <c r="V86" s="1011" t="str">
        <f>VLOOKUP(B86,TH.T4!B94:AC424,28,FALSE)</f>
        <v>XD-NL</v>
      </c>
      <c r="Y86" s="1038"/>
    </row>
    <row r="87" spans="1:35" s="1028" customFormat="1" ht="31.5" customHeight="1">
      <c r="A87" s="1014">
        <f>_xlfn.AGGREGATE(4,7,A$12:A86)+1</f>
        <v>75</v>
      </c>
      <c r="B87" s="1015" t="s">
        <v>1924</v>
      </c>
      <c r="C87" s="1033" t="s">
        <v>1958</v>
      </c>
      <c r="D87" s="1066" t="s">
        <v>1935</v>
      </c>
      <c r="E87" s="81" t="str">
        <f>VLOOKUP(B87,TH.Q2!B92:E423,4,FALSE)</f>
        <v>Giảng viên khoa Xây dựng - Nhiệt lạnh</v>
      </c>
      <c r="F87" s="1040">
        <v>3</v>
      </c>
      <c r="G87" s="1019"/>
      <c r="H87" s="1248">
        <f t="shared" si="9"/>
        <v>0</v>
      </c>
      <c r="I87" s="1020"/>
      <c r="J87" s="1020" t="str">
        <f>VLOOKUP(B87,'[15]Gui chi Quynh'!$B$11:$E$396,4,FALSE)</f>
        <v>A4</v>
      </c>
      <c r="K87" s="1020">
        <f t="shared" si="10"/>
        <v>0.5</v>
      </c>
      <c r="L87" s="1021">
        <v>23</v>
      </c>
      <c r="M87" s="1021">
        <f>VLOOKUP(B87,'[16]CN BC'!$H$10:$J$275,3,FALSE)</f>
        <v>23</v>
      </c>
      <c r="N87" s="1021">
        <f t="shared" si="11"/>
        <v>23</v>
      </c>
      <c r="O87" s="1022"/>
      <c r="P87" s="1023">
        <f t="shared" si="7"/>
        <v>3510000</v>
      </c>
      <c r="Q87" s="1371">
        <f t="shared" si="12"/>
        <v>1.5</v>
      </c>
      <c r="R87" s="1448">
        <v>2340000</v>
      </c>
      <c r="S87" s="1460">
        <f t="shared" si="13"/>
        <v>3510000</v>
      </c>
      <c r="T87" s="1024">
        <f t="shared" si="8"/>
        <v>75</v>
      </c>
      <c r="U87" s="1025">
        <f>IFERROR(INDEX('[16]CN BC'!$M$10:$M$276,MATCH(B87,'[16]CN BC'!$H$10:$H$276,0)),"")</f>
        <v>0</v>
      </c>
      <c r="V87" s="1011" t="str">
        <f>VLOOKUP(B87,TH.T4!B95:AC425,28,FALSE)</f>
        <v>XD-NL</v>
      </c>
      <c r="Y87" s="1038"/>
    </row>
    <row r="88" spans="1:35" s="1028" customFormat="1" ht="31.5" customHeight="1">
      <c r="A88" s="1014">
        <f>_xlfn.AGGREGATE(4,7,A$12:A87)+1</f>
        <v>76</v>
      </c>
      <c r="B88" s="1015" t="s">
        <v>1944</v>
      </c>
      <c r="C88" s="1033" t="s">
        <v>1959</v>
      </c>
      <c r="D88" s="1059"/>
      <c r="E88" s="81" t="str">
        <f>VLOOKUP(B88,TH.Q2!B93:E424,4,FALSE)</f>
        <v>Giảng viên khoa Xây dựng - Nhiệt lạnh</v>
      </c>
      <c r="F88" s="1018">
        <v>2.34</v>
      </c>
      <c r="G88" s="1019"/>
      <c r="H88" s="1248">
        <f t="shared" si="9"/>
        <v>0</v>
      </c>
      <c r="I88" s="1020"/>
      <c r="J88" s="1020" t="str">
        <f>VLOOKUP(B88,'[15]Gui chi Quynh'!$B$11:$E$396,4,FALSE)</f>
        <v>A2</v>
      </c>
      <c r="K88" s="1020">
        <f t="shared" si="10"/>
        <v>0.7</v>
      </c>
      <c r="L88" s="1021">
        <v>23</v>
      </c>
      <c r="M88" s="1021">
        <f>VLOOKUP(B88,'[16]CN BC'!$H$10:$J$275,3,FALSE)</f>
        <v>23</v>
      </c>
      <c r="N88" s="1021">
        <f t="shared" si="11"/>
        <v>23</v>
      </c>
      <c r="O88" s="1022"/>
      <c r="P88" s="1023">
        <f t="shared" si="7"/>
        <v>3832919.9999999995</v>
      </c>
      <c r="Q88" s="1371">
        <f t="shared" si="12"/>
        <v>1.6379999999999999</v>
      </c>
      <c r="R88" s="1448">
        <v>2340000</v>
      </c>
      <c r="S88" s="1460">
        <f t="shared" si="13"/>
        <v>3832920</v>
      </c>
      <c r="T88" s="1024">
        <f t="shared" si="8"/>
        <v>76</v>
      </c>
      <c r="U88" s="1025">
        <f>IFERROR(INDEX('[16]CN BC'!$M$10:$M$276,MATCH(B88,'[16]CN BC'!$H$10:$H$276,0)),"")</f>
        <v>0</v>
      </c>
      <c r="V88" s="1011" t="str">
        <f>VLOOKUP(B88,TH.T4!B96:AC426,28,FALSE)</f>
        <v>XD-NL</v>
      </c>
      <c r="Y88" s="1038"/>
    </row>
    <row r="89" spans="1:35" s="1028" customFormat="1" ht="25.5" customHeight="1">
      <c r="A89" s="1014">
        <f>_xlfn.AGGREGATE(4,7,A$12:A88)+1</f>
        <v>77</v>
      </c>
      <c r="B89" s="1015" t="s">
        <v>1472</v>
      </c>
      <c r="C89" s="1029" t="s">
        <v>1682</v>
      </c>
      <c r="D89" s="1045" t="s">
        <v>1582</v>
      </c>
      <c r="E89" s="81" t="str">
        <f>VLOOKUP(B89,TH.Q2!B94:E425,4,FALSE)</f>
        <v>Trưởng khoa Kinh tế</v>
      </c>
      <c r="F89" s="1040">
        <v>3.99</v>
      </c>
      <c r="G89" s="1019"/>
      <c r="H89" s="1248">
        <f t="shared" si="9"/>
        <v>0</v>
      </c>
      <c r="I89" s="1020">
        <v>0.45</v>
      </c>
      <c r="J89" s="1020" t="str">
        <f>VLOOKUP(B89,'[15]Gui chi Quynh'!$B$11:$E$396,4,FALSE)</f>
        <v>A2</v>
      </c>
      <c r="K89" s="1020">
        <f t="shared" si="10"/>
        <v>0.7</v>
      </c>
      <c r="L89" s="1021">
        <v>23</v>
      </c>
      <c r="M89" s="1021">
        <f>VLOOKUP(B89,'[16]CN BC'!$H$10:$J$275,3,FALSE)</f>
        <v>23</v>
      </c>
      <c r="N89" s="1021">
        <f t="shared" si="11"/>
        <v>23</v>
      </c>
      <c r="O89" s="1022"/>
      <c r="P89" s="1023">
        <f t="shared" si="7"/>
        <v>7272720</v>
      </c>
      <c r="Q89" s="1371">
        <f t="shared" si="12"/>
        <v>3.1080000000000001</v>
      </c>
      <c r="R89" s="1448">
        <v>2340000</v>
      </c>
      <c r="S89" s="1460">
        <f t="shared" si="13"/>
        <v>7272720</v>
      </c>
      <c r="T89" s="1024">
        <f t="shared" si="8"/>
        <v>77</v>
      </c>
      <c r="U89" s="1025">
        <f>IFERROR(INDEX('[16]CN BC'!$M$10:$M$276,MATCH(B89,'[16]CN BC'!$H$10:$H$276,0)),"")</f>
        <v>0</v>
      </c>
      <c r="V89" s="1011" t="str">
        <f>VLOOKUP(B89,TH.T4!B97:AC427,28,FALSE)</f>
        <v>KT</v>
      </c>
      <c r="W89" s="1012"/>
      <c r="X89" s="1012"/>
      <c r="Y89" s="1027"/>
      <c r="Z89" s="1012"/>
      <c r="AA89" s="1012"/>
      <c r="AB89" s="1012"/>
      <c r="AC89" s="1012"/>
      <c r="AD89" s="1012"/>
      <c r="AE89" s="1012"/>
      <c r="AF89" s="1012"/>
      <c r="AG89" s="1012"/>
      <c r="AH89" s="1012"/>
      <c r="AI89" s="1012"/>
    </row>
    <row r="90" spans="1:35" s="1028" customFormat="1" ht="25.15" customHeight="1">
      <c r="A90" s="1014">
        <f>_xlfn.AGGREGATE(4,7,A$12:A89)+1</f>
        <v>78</v>
      </c>
      <c r="B90" s="1015" t="s">
        <v>1566</v>
      </c>
      <c r="C90" s="1033" t="s">
        <v>1681</v>
      </c>
      <c r="D90" s="1074" t="s">
        <v>1567</v>
      </c>
      <c r="E90" s="81" t="str">
        <f>VLOOKUP(B90,TH.Q2!B95:E426,4,FALSE)</f>
        <v>Giảng viên khoa Kinh tế</v>
      </c>
      <c r="F90" s="1040">
        <v>3.33</v>
      </c>
      <c r="G90" s="1019"/>
      <c r="H90" s="1248">
        <f t="shared" si="9"/>
        <v>0</v>
      </c>
      <c r="I90" s="1020"/>
      <c r="J90" s="1020" t="str">
        <f>VLOOKUP(B90,'[15]Gui chi Quynh'!$B$11:$E$396,4,FALSE)</f>
        <v>A3</v>
      </c>
      <c r="K90" s="1020">
        <f t="shared" si="10"/>
        <v>0.6</v>
      </c>
      <c r="L90" s="1021">
        <v>23</v>
      </c>
      <c r="M90" s="1021">
        <f>VLOOKUP(B90,'[16]CN BC'!$H$10:$J$275,3,FALSE)</f>
        <v>23</v>
      </c>
      <c r="N90" s="1021">
        <f t="shared" si="11"/>
        <v>23</v>
      </c>
      <c r="O90" s="1022"/>
      <c r="P90" s="1023">
        <f t="shared" si="7"/>
        <v>4675320</v>
      </c>
      <c r="Q90" s="1371">
        <f t="shared" si="12"/>
        <v>1.998</v>
      </c>
      <c r="R90" s="1448">
        <v>2340000</v>
      </c>
      <c r="S90" s="1460">
        <f t="shared" si="13"/>
        <v>4675320</v>
      </c>
      <c r="T90" s="1024">
        <f t="shared" si="8"/>
        <v>78</v>
      </c>
      <c r="U90" s="1025">
        <f>IFERROR(INDEX('[16]CN BC'!$M$10:$M$276,MATCH(B90,'[16]CN BC'!$H$10:$H$276,0)),"")</f>
        <v>0</v>
      </c>
      <c r="V90" s="1011" t="str">
        <f>VLOOKUP(B90,TH.T4!B98:AC428,28,FALSE)</f>
        <v>KT</v>
      </c>
      <c r="W90" s="1012"/>
      <c r="X90" s="1012"/>
      <c r="Y90" s="1027"/>
    </row>
    <row r="91" spans="1:35" s="1028" customFormat="1" ht="25.15" customHeight="1">
      <c r="A91" s="1014">
        <f>_xlfn.AGGREGATE(4,7,A$12:A90)+1</f>
        <v>79</v>
      </c>
      <c r="B91" s="1015" t="s">
        <v>1831</v>
      </c>
      <c r="C91" s="1033" t="s">
        <v>1960</v>
      </c>
      <c r="D91" s="1076">
        <v>1603215005603</v>
      </c>
      <c r="E91" s="81" t="str">
        <f>VLOOKUP(B91,TH.Q2!B96:E427,4,FALSE)</f>
        <v>Giảng viên khoa 
Kinh tế</v>
      </c>
      <c r="F91" s="1040">
        <v>3</v>
      </c>
      <c r="G91" s="1019"/>
      <c r="H91" s="1248">
        <f t="shared" si="9"/>
        <v>0</v>
      </c>
      <c r="I91" s="1020"/>
      <c r="J91" s="1020" t="str">
        <f>VLOOKUP(B91,'[15]Gui chi Quynh'!$B$11:$E$396,4,FALSE)</f>
        <v>A4</v>
      </c>
      <c r="K91" s="1020">
        <f t="shared" si="10"/>
        <v>0.5</v>
      </c>
      <c r="L91" s="1021">
        <v>23</v>
      </c>
      <c r="M91" s="1021">
        <f>VLOOKUP(B91,'[16]CN BC'!$H$10:$J$275,3,FALSE)</f>
        <v>23</v>
      </c>
      <c r="N91" s="1021">
        <f t="shared" si="11"/>
        <v>23</v>
      </c>
      <c r="O91" s="1022"/>
      <c r="P91" s="1023">
        <f t="shared" si="7"/>
        <v>3510000</v>
      </c>
      <c r="Q91" s="1371">
        <f t="shared" si="12"/>
        <v>1.5</v>
      </c>
      <c r="R91" s="1448">
        <v>2340000</v>
      </c>
      <c r="S91" s="1460">
        <f t="shared" si="13"/>
        <v>3510000</v>
      </c>
      <c r="T91" s="1024">
        <f t="shared" si="8"/>
        <v>79</v>
      </c>
      <c r="U91" s="1025">
        <f>IFERROR(INDEX('[16]CN BC'!$M$10:$M$276,MATCH(B91,'[16]CN BC'!$H$10:$H$276,0)),"")</f>
        <v>0</v>
      </c>
      <c r="V91" s="1011" t="str">
        <f>VLOOKUP(B91,TH.T4!B99:AC429,28,FALSE)</f>
        <v>KT</v>
      </c>
      <c r="W91" s="1012"/>
      <c r="X91" s="1012"/>
      <c r="Y91" s="1027"/>
      <c r="Z91" s="1012"/>
      <c r="AA91" s="1012"/>
      <c r="AB91" s="1012"/>
      <c r="AC91" s="1012"/>
      <c r="AD91" s="1012"/>
      <c r="AE91" s="1012"/>
    </row>
    <row r="92" spans="1:35" s="1028" customFormat="1" ht="26.25" customHeight="1">
      <c r="A92" s="1014">
        <f>_xlfn.AGGREGATE(4,7,A$12:A91)+1</f>
        <v>80</v>
      </c>
      <c r="B92" s="1015" t="s">
        <v>1473</v>
      </c>
      <c r="C92" s="1033" t="s">
        <v>1683</v>
      </c>
      <c r="D92" s="1045" t="s">
        <v>1583</v>
      </c>
      <c r="E92" s="81" t="str">
        <f>VLOOKUP(B92,TH.Q2!B97:E428,4,FALSE)</f>
        <v>Phó Trưởng khoa Kinh tế</v>
      </c>
      <c r="F92" s="1040">
        <v>3.66</v>
      </c>
      <c r="G92" s="1019"/>
      <c r="H92" s="1248">
        <f t="shared" si="9"/>
        <v>0</v>
      </c>
      <c r="I92" s="1020">
        <v>0.35</v>
      </c>
      <c r="J92" s="1020" t="str">
        <f>VLOOKUP(B92,'[15]Gui chi Quynh'!$B$11:$E$396,4,FALSE)</f>
        <v>A2</v>
      </c>
      <c r="K92" s="1020">
        <f t="shared" si="10"/>
        <v>0.7</v>
      </c>
      <c r="L92" s="1021">
        <v>23</v>
      </c>
      <c r="M92" s="1021">
        <f>VLOOKUP(B92,'[16]CN BC'!$H$10:$J$275,3,FALSE)</f>
        <v>23</v>
      </c>
      <c r="N92" s="1021">
        <f t="shared" si="11"/>
        <v>23</v>
      </c>
      <c r="O92" s="1022"/>
      <c r="P92" s="1023">
        <f t="shared" si="7"/>
        <v>6568380</v>
      </c>
      <c r="Q92" s="1371">
        <f t="shared" si="12"/>
        <v>2.8069999999999999</v>
      </c>
      <c r="R92" s="1448">
        <v>2340000</v>
      </c>
      <c r="S92" s="1460">
        <f t="shared" si="13"/>
        <v>6568380</v>
      </c>
      <c r="T92" s="1024">
        <f t="shared" si="8"/>
        <v>80</v>
      </c>
      <c r="U92" s="1025">
        <f>IFERROR(INDEX('[16]CN BC'!$M$10:$M$276,MATCH(B92,'[16]CN BC'!$H$10:$H$276,0)),"")</f>
        <v>0</v>
      </c>
      <c r="V92" s="1011" t="str">
        <f>VLOOKUP(B92,TH.T4!B100:AC430,28,FALSE)</f>
        <v>KT</v>
      </c>
      <c r="Y92" s="1038"/>
    </row>
    <row r="93" spans="1:35" s="1028" customFormat="1" ht="26.25" customHeight="1">
      <c r="A93" s="1014">
        <f>_xlfn.AGGREGATE(4,7,A$12:A92)+1</f>
        <v>81</v>
      </c>
      <c r="B93" s="1077" t="s">
        <v>1928</v>
      </c>
      <c r="C93" s="1033" t="s">
        <v>1961</v>
      </c>
      <c r="D93" s="1059" t="s">
        <v>1934</v>
      </c>
      <c r="E93" s="81" t="str">
        <f>VLOOKUP(B93,TH.Q2!B98:E429,4,FALSE)</f>
        <v>Giảng viên khoa Du lịch - Khách sạn</v>
      </c>
      <c r="F93" s="1075">
        <v>2.34</v>
      </c>
      <c r="G93" s="1019"/>
      <c r="H93" s="1248">
        <f t="shared" si="9"/>
        <v>0</v>
      </c>
      <c r="I93" s="1020"/>
      <c r="J93" s="1020" t="str">
        <f>VLOOKUP(B93,'[15]Gui chi Quynh'!$B$11:$E$396,4,FALSE)</f>
        <v>A4</v>
      </c>
      <c r="K93" s="1020">
        <f t="shared" si="10"/>
        <v>0.5</v>
      </c>
      <c r="L93" s="1021">
        <v>23</v>
      </c>
      <c r="M93" s="1021">
        <f>VLOOKUP(B93,'[16]CN BC'!$H$10:$J$275,3,FALSE)</f>
        <v>23</v>
      </c>
      <c r="N93" s="1021">
        <f t="shared" si="11"/>
        <v>23</v>
      </c>
      <c r="O93" s="1022"/>
      <c r="P93" s="1023">
        <f t="shared" si="7"/>
        <v>2737800</v>
      </c>
      <c r="Q93" s="1371">
        <f t="shared" si="12"/>
        <v>1.17</v>
      </c>
      <c r="R93" s="1448">
        <v>2340000</v>
      </c>
      <c r="S93" s="1460">
        <f t="shared" si="13"/>
        <v>2737800</v>
      </c>
      <c r="T93" s="1024">
        <f t="shared" si="8"/>
        <v>81</v>
      </c>
      <c r="U93" s="1025">
        <f>IFERROR(INDEX('[16]CN BC'!$M$10:$M$276,MATCH(B93,'[16]CN BC'!$H$10:$H$276,0)),"")</f>
        <v>0</v>
      </c>
      <c r="V93" s="1011" t="str">
        <f>VLOOKUP(B93,TH.T4!B101:AC431,28,FALSE)</f>
        <v>KT</v>
      </c>
      <c r="Y93" s="1038"/>
    </row>
    <row r="94" spans="1:35" s="1028" customFormat="1" ht="32.25" customHeight="1">
      <c r="A94" s="1014">
        <f>_xlfn.AGGREGATE(4,7,A$12:A93)+1</f>
        <v>82</v>
      </c>
      <c r="B94" s="1015" t="s">
        <v>1474</v>
      </c>
      <c r="C94" s="1033" t="s">
        <v>1684</v>
      </c>
      <c r="D94" s="1045" t="s">
        <v>1584</v>
      </c>
      <c r="E94" s="81" t="str">
        <f>VLOOKUP(B94,TH.Q2!B99:E430,4,FALSE)</f>
        <v>Giảng viên khoa Kinh tế</v>
      </c>
      <c r="F94" s="1040">
        <v>3.33</v>
      </c>
      <c r="G94" s="1019"/>
      <c r="H94" s="1248">
        <f t="shared" si="9"/>
        <v>0</v>
      </c>
      <c r="I94" s="1020"/>
      <c r="J94" s="1020" t="str">
        <f>VLOOKUP(B94,'[15]Gui chi Quynh'!$B$11:$E$396,4,FALSE)</f>
        <v>A3</v>
      </c>
      <c r="K94" s="1020">
        <f t="shared" si="10"/>
        <v>0.6</v>
      </c>
      <c r="L94" s="1021">
        <v>23</v>
      </c>
      <c r="M94" s="1021">
        <f>VLOOKUP(B94,'[16]CN BC'!$H$10:$J$275,3,FALSE)</f>
        <v>23</v>
      </c>
      <c r="N94" s="1021">
        <f t="shared" si="11"/>
        <v>23</v>
      </c>
      <c r="O94" s="1022"/>
      <c r="P94" s="1023">
        <f t="shared" si="7"/>
        <v>4675320</v>
      </c>
      <c r="Q94" s="1371">
        <f t="shared" si="12"/>
        <v>1.998</v>
      </c>
      <c r="R94" s="1448">
        <v>2340000</v>
      </c>
      <c r="S94" s="1460">
        <f t="shared" si="13"/>
        <v>4675320</v>
      </c>
      <c r="T94" s="1024">
        <f t="shared" si="8"/>
        <v>82</v>
      </c>
      <c r="U94" s="1025">
        <f>IFERROR(INDEX('[16]CN BC'!$M$10:$M$276,MATCH(B94,'[16]CN BC'!$H$10:$H$276,0)),"")</f>
        <v>0</v>
      </c>
      <c r="V94" s="1011" t="str">
        <f>VLOOKUP(B94,TH.T4!B102:AC432,28,FALSE)</f>
        <v>KT</v>
      </c>
      <c r="Y94" s="1038"/>
    </row>
    <row r="95" spans="1:35" s="1028" customFormat="1" ht="28.5" customHeight="1">
      <c r="A95" s="1014">
        <f>_xlfn.AGGREGATE(4,7,A$12:A94)+1</f>
        <v>83</v>
      </c>
      <c r="B95" s="1015" t="s">
        <v>1571</v>
      </c>
      <c r="C95" s="1033" t="s">
        <v>1685</v>
      </c>
      <c r="D95" s="1074" t="s">
        <v>1572</v>
      </c>
      <c r="E95" s="81" t="str">
        <f>VLOOKUP(B95,TH.Q2!B100:E431,4,FALSE)</f>
        <v>Giảng viên khoa Kinh tế</v>
      </c>
      <c r="F95" s="1040">
        <v>3.33</v>
      </c>
      <c r="G95" s="1019"/>
      <c r="H95" s="1248">
        <f t="shared" si="9"/>
        <v>0</v>
      </c>
      <c r="I95" s="1020"/>
      <c r="J95" s="1020" t="str">
        <f>VLOOKUP(B95,'[15]Gui chi Quynh'!$B$11:$E$396,4,FALSE)</f>
        <v>A3</v>
      </c>
      <c r="K95" s="1020">
        <f t="shared" si="10"/>
        <v>0.6</v>
      </c>
      <c r="L95" s="1021">
        <v>23</v>
      </c>
      <c r="M95" s="1021">
        <f>VLOOKUP(B95,'[16]CN BC'!$H$10:$J$275,3,FALSE)</f>
        <v>23</v>
      </c>
      <c r="N95" s="1021">
        <f t="shared" si="11"/>
        <v>23</v>
      </c>
      <c r="O95" s="1022"/>
      <c r="P95" s="1023">
        <f t="shared" si="7"/>
        <v>4675320</v>
      </c>
      <c r="Q95" s="1371">
        <f t="shared" si="12"/>
        <v>1.998</v>
      </c>
      <c r="R95" s="1448">
        <v>2340000</v>
      </c>
      <c r="S95" s="1460">
        <f t="shared" si="13"/>
        <v>4675320</v>
      </c>
      <c r="T95" s="1024">
        <f t="shared" si="8"/>
        <v>83</v>
      </c>
      <c r="U95" s="1025">
        <f>IFERROR(INDEX('[16]CN BC'!$M$10:$M$276,MATCH(B95,'[16]CN BC'!$H$10:$H$276,0)),"")</f>
        <v>0</v>
      </c>
      <c r="V95" s="1011" t="str">
        <f>VLOOKUP(B95,TH.T4!B103:AC433,28,FALSE)</f>
        <v>KT</v>
      </c>
      <c r="W95" s="1012"/>
      <c r="X95" s="1012"/>
      <c r="Y95" s="1027"/>
      <c r="Z95" s="1012"/>
      <c r="AA95" s="1012"/>
      <c r="AB95" s="1012"/>
      <c r="AC95" s="1012"/>
      <c r="AD95" s="1012"/>
      <c r="AE95" s="1012"/>
    </row>
    <row r="96" spans="1:35" s="1028" customFormat="1" ht="28.5" customHeight="1">
      <c r="A96" s="1014">
        <f>_xlfn.AGGREGATE(4,7,A$12:A95)+1</f>
        <v>84</v>
      </c>
      <c r="B96" s="1015" t="s">
        <v>1475</v>
      </c>
      <c r="C96" s="1033" t="s">
        <v>1686</v>
      </c>
      <c r="D96" s="1045" t="s">
        <v>1585</v>
      </c>
      <c r="E96" s="81" t="str">
        <f>VLOOKUP(B96,TH.Q2!B101:E432,4,FALSE)</f>
        <v>Giảng viên khoa Kinh tế</v>
      </c>
      <c r="F96" s="1040">
        <v>3.66</v>
      </c>
      <c r="G96" s="1019"/>
      <c r="H96" s="1248">
        <f t="shared" si="9"/>
        <v>0</v>
      </c>
      <c r="I96" s="1020"/>
      <c r="J96" s="1020" t="str">
        <f>VLOOKUP(B96,'[15]Gui chi Quynh'!$B$11:$E$396,4,FALSE)</f>
        <v>A2</v>
      </c>
      <c r="K96" s="1020">
        <f t="shared" si="10"/>
        <v>0.7</v>
      </c>
      <c r="L96" s="1021">
        <v>23</v>
      </c>
      <c r="M96" s="1021">
        <f>VLOOKUP(B96,'[16]CN BC'!$H$10:$J$275,3,FALSE)</f>
        <v>23</v>
      </c>
      <c r="N96" s="1021">
        <f t="shared" si="11"/>
        <v>23</v>
      </c>
      <c r="O96" s="1022"/>
      <c r="P96" s="1023">
        <f t="shared" si="7"/>
        <v>5995080</v>
      </c>
      <c r="Q96" s="1371">
        <f t="shared" si="12"/>
        <v>2.5619999999999998</v>
      </c>
      <c r="R96" s="1448">
        <v>2340000</v>
      </c>
      <c r="S96" s="1460">
        <f t="shared" si="13"/>
        <v>5995080</v>
      </c>
      <c r="T96" s="1024">
        <f t="shared" si="8"/>
        <v>84</v>
      </c>
      <c r="U96" s="1025">
        <f>IFERROR(INDEX('[16]CN BC'!$M$10:$M$276,MATCH(B96,'[16]CN BC'!$H$10:$H$276,0)),"")</f>
        <v>0</v>
      </c>
      <c r="V96" s="1011" t="str">
        <f>VLOOKUP(B96,TH.T4!B104:AC434,28,FALSE)</f>
        <v>KT</v>
      </c>
      <c r="W96" s="1046"/>
      <c r="X96" s="1012"/>
      <c r="Y96" s="1027"/>
    </row>
    <row r="97" spans="1:35" s="1028" customFormat="1" ht="28.5" customHeight="1">
      <c r="A97" s="1014">
        <f>_xlfn.AGGREGATE(4,7,A$12:A96)+1</f>
        <v>85</v>
      </c>
      <c r="B97" s="1015" t="s">
        <v>1476</v>
      </c>
      <c r="C97" s="1033" t="s">
        <v>1687</v>
      </c>
      <c r="D97" s="1045" t="s">
        <v>1586</v>
      </c>
      <c r="E97" s="81" t="str">
        <f>VLOOKUP(B97,TH.Q2!B102:E433,4,FALSE)</f>
        <v>Giảng viên khoa Du lịch - Khách sạn</v>
      </c>
      <c r="F97" s="1040">
        <v>3</v>
      </c>
      <c r="G97" s="1019"/>
      <c r="H97" s="1248">
        <f t="shared" si="9"/>
        <v>0</v>
      </c>
      <c r="I97" s="1020"/>
      <c r="J97" s="1020" t="str">
        <f>VLOOKUP(B97,'[15]Gui chi Quynh'!$B$11:$E$396,4,FALSE)</f>
        <v>A4</v>
      </c>
      <c r="K97" s="1020">
        <f t="shared" si="10"/>
        <v>0.5</v>
      </c>
      <c r="L97" s="1021">
        <v>23</v>
      </c>
      <c r="M97" s="1021">
        <f>VLOOKUP(B97,'[16]CN BC'!$H$10:$J$275,3,FALSE)</f>
        <v>23</v>
      </c>
      <c r="N97" s="1021">
        <f t="shared" si="11"/>
        <v>23</v>
      </c>
      <c r="O97" s="1022"/>
      <c r="P97" s="1023">
        <f t="shared" si="7"/>
        <v>3510000</v>
      </c>
      <c r="Q97" s="1371">
        <f t="shared" si="12"/>
        <v>1.5</v>
      </c>
      <c r="R97" s="1448">
        <v>2340000</v>
      </c>
      <c r="S97" s="1460">
        <f t="shared" si="13"/>
        <v>3510000</v>
      </c>
      <c r="T97" s="1024">
        <f t="shared" si="8"/>
        <v>85</v>
      </c>
      <c r="U97" s="1025">
        <f>IFERROR(INDEX('[16]CN BC'!$M$10:$M$276,MATCH(B97,'[16]CN BC'!$H$10:$H$276,0)),"")</f>
        <v>0</v>
      </c>
      <c r="V97" s="1011" t="s">
        <v>2236</v>
      </c>
      <c r="W97" s="1012"/>
      <c r="X97" s="1012"/>
      <c r="Y97" s="1027"/>
      <c r="Z97" s="1012"/>
      <c r="AA97" s="1012"/>
      <c r="AB97" s="1012"/>
      <c r="AC97" s="1012"/>
      <c r="AD97" s="1012"/>
      <c r="AE97" s="1012"/>
    </row>
    <row r="98" spans="1:35" s="1028" customFormat="1" ht="28.5" customHeight="1">
      <c r="A98" s="1014">
        <f>_xlfn.AGGREGATE(4,7,A$12:A97)+1</f>
        <v>86</v>
      </c>
      <c r="B98" s="1015" t="s">
        <v>1477</v>
      </c>
      <c r="C98" s="1033" t="s">
        <v>1688</v>
      </c>
      <c r="D98" s="1045" t="s">
        <v>1587</v>
      </c>
      <c r="E98" s="81" t="str">
        <f>VLOOKUP(B98,TH.Q2!B103:E434,4,FALSE)</f>
        <v>Giảng viên khoa Du lịch - Khách sạn</v>
      </c>
      <c r="F98" s="1040">
        <v>3.66</v>
      </c>
      <c r="G98" s="1019"/>
      <c r="H98" s="1248">
        <f t="shared" si="9"/>
        <v>0</v>
      </c>
      <c r="I98" s="1020">
        <v>0.25</v>
      </c>
      <c r="J98" s="1020" t="str">
        <f>VLOOKUP(B98,'[15]Gui chi Quynh'!$B$11:$E$396,4,FALSE)</f>
        <v>A2</v>
      </c>
      <c r="K98" s="1020">
        <f t="shared" si="10"/>
        <v>0.7</v>
      </c>
      <c r="L98" s="1021">
        <v>23</v>
      </c>
      <c r="M98" s="1021">
        <f>VLOOKUP(B98,'[16]CN BC'!$H$10:$J$275,3,FALSE)</f>
        <v>23</v>
      </c>
      <c r="N98" s="1021">
        <f t="shared" si="11"/>
        <v>23</v>
      </c>
      <c r="O98" s="1022"/>
      <c r="P98" s="1023">
        <f t="shared" si="7"/>
        <v>6404580</v>
      </c>
      <c r="Q98" s="1371">
        <f t="shared" si="12"/>
        <v>2.7370000000000001</v>
      </c>
      <c r="R98" s="1448">
        <v>2340000</v>
      </c>
      <c r="S98" s="1460">
        <f t="shared" si="13"/>
        <v>6404580</v>
      </c>
      <c r="T98" s="1024">
        <f t="shared" si="8"/>
        <v>86</v>
      </c>
      <c r="U98" s="1025">
        <f>IFERROR(INDEX('[16]CN BC'!$M$10:$M$276,MATCH(B98,'[16]CN BC'!$H$10:$H$276,0)),"")</f>
        <v>0</v>
      </c>
      <c r="V98" s="1011" t="str">
        <f>VLOOKUP(B98,TH.T4!B106:AC436,28,FALSE)</f>
        <v>DLKS</v>
      </c>
      <c r="W98" s="1012"/>
      <c r="X98" s="1012"/>
      <c r="Y98" s="1027"/>
      <c r="Z98" s="1012"/>
      <c r="AA98" s="1012"/>
      <c r="AB98" s="1012"/>
      <c r="AC98" s="1012"/>
      <c r="AD98" s="1012"/>
      <c r="AE98" s="1012"/>
    </row>
    <row r="99" spans="1:35" s="1028" customFormat="1" ht="28.5" customHeight="1">
      <c r="A99" s="1014">
        <f>_xlfn.AGGREGATE(4,7,A$12:A98)+1</f>
        <v>87</v>
      </c>
      <c r="B99" s="1077" t="s">
        <v>1842</v>
      </c>
      <c r="C99" s="1033" t="s">
        <v>1962</v>
      </c>
      <c r="D99" s="1059" t="s">
        <v>1933</v>
      </c>
      <c r="E99" s="81" t="str">
        <f>VLOOKUP(B99,TH.Q2!B104:E435,4,FALSE)</f>
        <v>Giảng viên khoa Kinh tế</v>
      </c>
      <c r="F99" s="1040">
        <v>3</v>
      </c>
      <c r="G99" s="1019"/>
      <c r="H99" s="1248">
        <f t="shared" si="9"/>
        <v>0</v>
      </c>
      <c r="I99" s="1020"/>
      <c r="J99" s="1020" t="str">
        <f>VLOOKUP(B99,'[15]Gui chi Quynh'!$B$11:$E$396,4,FALSE)</f>
        <v>A1</v>
      </c>
      <c r="K99" s="1020">
        <f t="shared" si="10"/>
        <v>0.8</v>
      </c>
      <c r="L99" s="1021">
        <v>23</v>
      </c>
      <c r="M99" s="1021">
        <f>VLOOKUP(B99,'[16]CN BC'!$H$10:$J$275,3,FALSE)</f>
        <v>23</v>
      </c>
      <c r="N99" s="1021">
        <f t="shared" si="11"/>
        <v>23</v>
      </c>
      <c r="O99" s="1022"/>
      <c r="P99" s="1023">
        <f t="shared" si="7"/>
        <v>5616000</v>
      </c>
      <c r="Q99" s="1371">
        <f t="shared" si="12"/>
        <v>2.4</v>
      </c>
      <c r="R99" s="1448">
        <v>2340000</v>
      </c>
      <c r="S99" s="1460">
        <f t="shared" si="13"/>
        <v>5616000</v>
      </c>
      <c r="T99" s="1024">
        <f t="shared" si="8"/>
        <v>87</v>
      </c>
      <c r="U99" s="1025" t="str">
        <f>IFERROR(INDEX('[17]CN BC'!$M$10:$M$276,MATCH(B99,'[17]CN BC'!$H$10:$H$276,0)),"")</f>
        <v>Hỗ trợ công việc phòng KHTC</v>
      </c>
      <c r="V99" s="1011" t="str">
        <f>VLOOKUP(B99,TH.T4!B107:AC437,28,FALSE)</f>
        <v>KT</v>
      </c>
      <c r="W99" s="1012"/>
      <c r="X99" s="1012"/>
      <c r="Y99" s="1027"/>
      <c r="Z99" s="1012"/>
      <c r="AA99" s="1012"/>
      <c r="AB99" s="1012"/>
      <c r="AC99" s="1012"/>
      <c r="AD99" s="1012"/>
      <c r="AE99" s="1012"/>
    </row>
    <row r="100" spans="1:35" s="1028" customFormat="1" ht="28.5" customHeight="1">
      <c r="A100" s="1014">
        <f>_xlfn.AGGREGATE(4,7,A$12:A99)+1</f>
        <v>88</v>
      </c>
      <c r="B100" s="1077" t="s">
        <v>1946</v>
      </c>
      <c r="C100" s="1014" t="s">
        <v>1950</v>
      </c>
      <c r="D100" s="1059" t="s">
        <v>1951</v>
      </c>
      <c r="E100" s="81" t="str">
        <f>VLOOKUP(B100,TH.Q2!B105:E436,4,FALSE)</f>
        <v>Trưởng khoa Du lịch - Khách sạn</v>
      </c>
      <c r="F100" s="1075">
        <v>2.67</v>
      </c>
      <c r="G100" s="1019"/>
      <c r="H100" s="1248">
        <f t="shared" si="9"/>
        <v>0</v>
      </c>
      <c r="I100" s="1020">
        <v>0.45</v>
      </c>
      <c r="J100" s="1020" t="str">
        <f>VLOOKUP(B100,'[15]Gui chi Quynh'!$B$11:$E$396,4,FALSE)</f>
        <v>A1</v>
      </c>
      <c r="K100" s="1020">
        <f t="shared" si="10"/>
        <v>0.8</v>
      </c>
      <c r="L100" s="1021">
        <v>23</v>
      </c>
      <c r="M100" s="1021">
        <f>VLOOKUP(B100,'[16]CN BC'!$H$10:$J$275,3,FALSE)</f>
        <v>23</v>
      </c>
      <c r="N100" s="1021">
        <f t="shared" si="11"/>
        <v>23</v>
      </c>
      <c r="O100" s="1022"/>
      <c r="P100" s="1023">
        <f t="shared" si="7"/>
        <v>5840640</v>
      </c>
      <c r="Q100" s="1371">
        <f t="shared" si="12"/>
        <v>2.496</v>
      </c>
      <c r="R100" s="1448">
        <v>2340000</v>
      </c>
      <c r="S100" s="1460">
        <f t="shared" si="13"/>
        <v>5840640</v>
      </c>
      <c r="T100" s="1024">
        <f t="shared" si="8"/>
        <v>88</v>
      </c>
      <c r="U100" s="1025">
        <f>IFERROR(INDEX('[17]CN BC'!$M$10:$M$276,MATCH(B100,'[17]CN BC'!$H$10:$H$276,0)),"")</f>
        <v>0</v>
      </c>
      <c r="V100" s="1011" t="str">
        <f>VLOOKUP(B100,TH.T4!B108:AC438,28,FALSE)</f>
        <v>DLKS</v>
      </c>
      <c r="W100" s="1012"/>
      <c r="X100" s="1012"/>
      <c r="Y100" s="1027"/>
      <c r="Z100" s="1012"/>
      <c r="AA100" s="1012"/>
      <c r="AB100" s="1012"/>
      <c r="AC100" s="1012"/>
      <c r="AD100" s="1012"/>
      <c r="AE100" s="1012"/>
    </row>
    <row r="101" spans="1:35" s="1028" customFormat="1" ht="36.75" customHeight="1">
      <c r="A101" s="1014">
        <f>_xlfn.AGGREGATE(4,7,A$12:A100)+1</f>
        <v>89</v>
      </c>
      <c r="B101" s="1079" t="s">
        <v>1947</v>
      </c>
      <c r="C101" s="1078" t="s">
        <v>1952</v>
      </c>
      <c r="D101" s="1080" t="s">
        <v>1953</v>
      </c>
      <c r="E101" s="472" t="str">
        <f>VLOOKUP(B101,TH.Q2!B106:E437,4,FALSE)</f>
        <v>Giảng viên khoa Du lịch - Khách sạn</v>
      </c>
      <c r="F101" s="1081">
        <v>2.34</v>
      </c>
      <c r="G101" s="1082"/>
      <c r="H101" s="1253">
        <f t="shared" si="9"/>
        <v>0</v>
      </c>
      <c r="I101" s="1083"/>
      <c r="J101" s="1083" t="str">
        <f>VLOOKUP(B101,'[15]Gui chi Quynh'!$B$11:$E$396,4,FALSE)</f>
        <v>A DN</v>
      </c>
      <c r="K101" s="1083">
        <f t="shared" si="10"/>
        <v>0</v>
      </c>
      <c r="L101" s="1203">
        <v>23</v>
      </c>
      <c r="M101" s="1203">
        <f>VLOOKUP(B101,'[16]CN BC'!$H$10:$J$275,3,FALSE)</f>
        <v>0</v>
      </c>
      <c r="N101" s="1203">
        <f t="shared" si="11"/>
        <v>0</v>
      </c>
      <c r="O101" s="1084"/>
      <c r="P101" s="1204">
        <f t="shared" si="7"/>
        <v>0</v>
      </c>
      <c r="Q101" s="1420">
        <f t="shared" si="12"/>
        <v>0</v>
      </c>
      <c r="R101" s="1459">
        <v>2340000</v>
      </c>
      <c r="S101" s="1461">
        <f t="shared" si="13"/>
        <v>0</v>
      </c>
      <c r="T101" s="1085">
        <f t="shared" si="8"/>
        <v>89</v>
      </c>
      <c r="U101" s="1205" t="str">
        <f>IFERROR(INDEX('[17]CN BC'!$M$10:$M$276,MATCH(B101,'[17]CN BC'!$H$10:$H$276,0)),"")</f>
        <v>Đi du học nước ngoài từ 28/2/2023</v>
      </c>
      <c r="V101" s="1011" t="str">
        <f>VLOOKUP(B101,TH.T4!B109:AC439,28,FALSE)</f>
        <v>DLKS</v>
      </c>
      <c r="W101" s="1012"/>
      <c r="X101" s="1012"/>
      <c r="Y101" s="1027"/>
      <c r="Z101" s="1012"/>
      <c r="AA101" s="1012"/>
      <c r="AB101" s="1012"/>
      <c r="AC101" s="1012"/>
      <c r="AD101" s="1012"/>
      <c r="AE101" s="1012"/>
    </row>
    <row r="102" spans="1:35" s="1028" customFormat="1" ht="28.5" customHeight="1">
      <c r="A102" s="1014">
        <f>_xlfn.AGGREGATE(4,7,A$12:A101)+1</f>
        <v>90</v>
      </c>
      <c r="B102" s="1077" t="s">
        <v>1997</v>
      </c>
      <c r="C102" s="1014"/>
      <c r="D102" s="1059"/>
      <c r="E102" s="81" t="str">
        <f>VLOOKUP(B102,TH.Q2!B107:E438,4,FALSE)</f>
        <v>Giảng viên khoa Kinh tế</v>
      </c>
      <c r="F102" s="1075">
        <v>2.34</v>
      </c>
      <c r="G102" s="1019"/>
      <c r="H102" s="1248">
        <f t="shared" si="9"/>
        <v>0</v>
      </c>
      <c r="I102" s="1020"/>
      <c r="J102" s="1020" t="str">
        <f>VLOOKUP(B102,'[15]Gui chi Quynh'!$B$11:$E$396,4,FALSE)</f>
        <v>A3</v>
      </c>
      <c r="K102" s="1020">
        <f t="shared" si="10"/>
        <v>0.6</v>
      </c>
      <c r="L102" s="1021">
        <v>23</v>
      </c>
      <c r="M102" s="1021">
        <f>VLOOKUP(B102,'[16]CN BC'!$H$10:$J$275,3,FALSE)</f>
        <v>23</v>
      </c>
      <c r="N102" s="1021">
        <f t="shared" si="11"/>
        <v>23</v>
      </c>
      <c r="O102" s="1022"/>
      <c r="P102" s="1023">
        <f t="shared" si="7"/>
        <v>3285360</v>
      </c>
      <c r="Q102" s="1371">
        <f t="shared" si="12"/>
        <v>1.4039999999999999</v>
      </c>
      <c r="R102" s="1448">
        <v>2340000</v>
      </c>
      <c r="S102" s="1460">
        <f t="shared" si="13"/>
        <v>3285360</v>
      </c>
      <c r="T102" s="1024">
        <f t="shared" si="8"/>
        <v>90</v>
      </c>
      <c r="U102" s="1025">
        <f>IFERROR(INDEX('[16]CN BC'!$M$10:$M$276,MATCH(B102,'[16]CN BC'!$H$10:$H$276,0)),"")</f>
        <v>0</v>
      </c>
      <c r="V102" s="1011" t="str">
        <f>VLOOKUP(B102,TH.T4!B110:AC440,28,FALSE)</f>
        <v>KT</v>
      </c>
      <c r="W102" s="1012"/>
      <c r="X102" s="1012"/>
      <c r="Y102" s="1038"/>
    </row>
    <row r="103" spans="1:35" s="1028" customFormat="1" ht="28.5" customHeight="1">
      <c r="A103" s="1014">
        <f>_xlfn.AGGREGATE(4,7,A$12:A102)+1</f>
        <v>91</v>
      </c>
      <c r="B103" s="1077" t="s">
        <v>1998</v>
      </c>
      <c r="C103" s="1014"/>
      <c r="D103" s="1059"/>
      <c r="E103" s="81" t="str">
        <f>VLOOKUP(B103,TH.Q2!B108:E439,4,FALSE)</f>
        <v>Giảng viên khoa Du lịch - Khách sạn</v>
      </c>
      <c r="F103" s="1040">
        <v>3.33</v>
      </c>
      <c r="G103" s="1019"/>
      <c r="H103" s="1248">
        <f t="shared" si="9"/>
        <v>0</v>
      </c>
      <c r="I103" s="1020"/>
      <c r="J103" s="1020" t="str">
        <f>VLOOKUP(B103,'[15]Gui chi Quynh'!$B$11:$E$396,4,FALSE)</f>
        <v>A3</v>
      </c>
      <c r="K103" s="1020">
        <f t="shared" si="10"/>
        <v>0.6</v>
      </c>
      <c r="L103" s="1021">
        <v>23</v>
      </c>
      <c r="M103" s="1021">
        <f>VLOOKUP(B103,'[16]CN BC'!$H$10:$J$275,3,FALSE)</f>
        <v>23</v>
      </c>
      <c r="N103" s="1021">
        <f t="shared" si="11"/>
        <v>23</v>
      </c>
      <c r="O103" s="1022"/>
      <c r="P103" s="1023">
        <f t="shared" si="7"/>
        <v>4675320</v>
      </c>
      <c r="Q103" s="1371">
        <f t="shared" si="12"/>
        <v>1.998</v>
      </c>
      <c r="R103" s="1448">
        <v>2340000</v>
      </c>
      <c r="S103" s="1460">
        <f t="shared" si="13"/>
        <v>4675320</v>
      </c>
      <c r="T103" s="1024">
        <f t="shared" si="8"/>
        <v>91</v>
      </c>
      <c r="U103" s="1025">
        <f>IFERROR(INDEX('[16]CN BC'!$M$10:$M$276,MATCH(B103,'[16]CN BC'!$H$10:$H$276,0)),"")</f>
        <v>0</v>
      </c>
      <c r="V103" s="1011" t="str">
        <f>VLOOKUP(B103,TH.T4!B111:AC441,28,FALSE)</f>
        <v>DLKS</v>
      </c>
      <c r="W103" s="1012"/>
      <c r="X103" s="1012"/>
      <c r="Y103" s="1038"/>
    </row>
    <row r="104" spans="1:35" s="1028" customFormat="1" ht="28.5" customHeight="1">
      <c r="A104" s="1014">
        <f>_xlfn.AGGREGATE(4,7,A$12:A103)+1</f>
        <v>92</v>
      </c>
      <c r="B104" s="1077" t="s">
        <v>1999</v>
      </c>
      <c r="C104" s="1014"/>
      <c r="D104" s="1059"/>
      <c r="E104" s="81" t="str">
        <f>VLOOKUP(B104,TH.Q2!B109:E440,4,FALSE)</f>
        <v>Giảng viên khoa Kinh tế</v>
      </c>
      <c r="F104" s="1040">
        <v>3.66</v>
      </c>
      <c r="G104" s="1019"/>
      <c r="H104" s="1248">
        <f t="shared" si="9"/>
        <v>0</v>
      </c>
      <c r="I104" s="1020"/>
      <c r="J104" s="1020" t="str">
        <f>VLOOKUP(B104,'[15]Gui chi Quynh'!$B$11:$E$396,4,FALSE)</f>
        <v>A3</v>
      </c>
      <c r="K104" s="1020">
        <f t="shared" si="10"/>
        <v>0.6</v>
      </c>
      <c r="L104" s="1021">
        <v>23</v>
      </c>
      <c r="M104" s="1021">
        <f>VLOOKUP(B104,'[16]CN BC'!$H$10:$J$275,3,FALSE)</f>
        <v>23</v>
      </c>
      <c r="N104" s="1021">
        <f t="shared" si="11"/>
        <v>23</v>
      </c>
      <c r="O104" s="1022"/>
      <c r="P104" s="1023">
        <f t="shared" si="7"/>
        <v>5138640</v>
      </c>
      <c r="Q104" s="1371">
        <f t="shared" si="12"/>
        <v>2.1960000000000002</v>
      </c>
      <c r="R104" s="1448">
        <v>2340000</v>
      </c>
      <c r="S104" s="1460">
        <f t="shared" si="13"/>
        <v>5138640</v>
      </c>
      <c r="T104" s="1024">
        <f t="shared" si="8"/>
        <v>92</v>
      </c>
      <c r="U104" s="1025">
        <f>IFERROR(INDEX('[16]CN BC'!$M$10:$M$276,MATCH(B104,'[16]CN BC'!$H$10:$H$276,0)),"")</f>
        <v>0</v>
      </c>
      <c r="V104" s="1011" t="str">
        <f>VLOOKUP(B104,TH.T4!B112:AC442,28,FALSE)</f>
        <v>KT</v>
      </c>
      <c r="W104" s="1012"/>
      <c r="X104" s="1012"/>
      <c r="Y104" s="1038"/>
    </row>
    <row r="105" spans="1:35" s="1028" customFormat="1" ht="28.5" customHeight="1">
      <c r="A105" s="1014">
        <f>_xlfn.AGGREGATE(4,7,A$12:A104)+1</f>
        <v>93</v>
      </c>
      <c r="B105" s="1077" t="s">
        <v>2001</v>
      </c>
      <c r="C105" s="1014"/>
      <c r="D105" s="1059"/>
      <c r="E105" s="81" t="str">
        <f>VLOOKUP(B105,TH.Q2!B110:E441,4,FALSE)</f>
        <v>Giảng viên khoa Kinh tế</v>
      </c>
      <c r="F105" s="1040">
        <v>3</v>
      </c>
      <c r="G105" s="1019"/>
      <c r="H105" s="1248">
        <f t="shared" si="9"/>
        <v>0</v>
      </c>
      <c r="I105" s="1020"/>
      <c r="J105" s="1020" t="str">
        <f>VLOOKUP(B105,'[15]Gui chi Quynh'!$B$11:$E$396,4,FALSE)</f>
        <v>A3</v>
      </c>
      <c r="K105" s="1020">
        <f t="shared" si="10"/>
        <v>0.6</v>
      </c>
      <c r="L105" s="1021">
        <v>23</v>
      </c>
      <c r="M105" s="1021">
        <f>VLOOKUP(B105,'[16]CN BC'!$H$10:$J$275,3,FALSE)</f>
        <v>23</v>
      </c>
      <c r="N105" s="1021">
        <f t="shared" si="11"/>
        <v>23</v>
      </c>
      <c r="O105" s="1022"/>
      <c r="P105" s="1023">
        <f t="shared" si="7"/>
        <v>4212000</v>
      </c>
      <c r="Q105" s="1371">
        <f t="shared" si="12"/>
        <v>1.8</v>
      </c>
      <c r="R105" s="1448">
        <v>2340000</v>
      </c>
      <c r="S105" s="1460">
        <f t="shared" si="13"/>
        <v>4212000</v>
      </c>
      <c r="T105" s="1024">
        <f t="shared" si="8"/>
        <v>93</v>
      </c>
      <c r="U105" s="1025">
        <f>IFERROR(INDEX('[16]CN BC'!$M$10:$M$276,MATCH(B105,'[16]CN BC'!$H$10:$H$276,0)),"")</f>
        <v>0</v>
      </c>
      <c r="V105" s="1011" t="str">
        <f>VLOOKUP(B105,TH.T4!B113:AC443,28,FALSE)</f>
        <v>DLKS</v>
      </c>
      <c r="W105" s="1012"/>
      <c r="X105" s="1012"/>
      <c r="Y105" s="1038"/>
    </row>
    <row r="106" spans="1:35" s="1028" customFormat="1" ht="28.5" customHeight="1">
      <c r="A106" s="1014">
        <f>_xlfn.AGGREGATE(4,7,A$12:A105)+1</f>
        <v>94</v>
      </c>
      <c r="B106" s="1077" t="s">
        <v>2096</v>
      </c>
      <c r="C106" s="1014"/>
      <c r="D106" s="1059"/>
      <c r="E106" s="368" t="str">
        <f>VLOOKUP(B106,TH.Q2!B111:E442,4,FALSE)</f>
        <v>NV Kế toán</v>
      </c>
      <c r="F106" s="1040">
        <f>2.67*85%</f>
        <v>2.2694999999999999</v>
      </c>
      <c r="G106" s="1019"/>
      <c r="H106" s="1255">
        <f t="shared" si="9"/>
        <v>0</v>
      </c>
      <c r="I106" s="1020"/>
      <c r="J106" s="1020" t="str">
        <f>VLOOKUP(B106,'[15]Gui chi Quynh'!$B$11:$E$396,4,FALSE)</f>
        <v>A2</v>
      </c>
      <c r="K106" s="1020">
        <f t="shared" si="10"/>
        <v>0.7</v>
      </c>
      <c r="L106" s="1021">
        <v>23</v>
      </c>
      <c r="M106" s="1021">
        <f>VLOOKUP(B106,'[16]CN BC'!$H$10:$J$275,3,FALSE)</f>
        <v>27</v>
      </c>
      <c r="N106" s="1021">
        <f t="shared" si="11"/>
        <v>23</v>
      </c>
      <c r="O106" s="1035"/>
      <c r="P106" s="1023">
        <f t="shared" si="7"/>
        <v>3717440.9999999995</v>
      </c>
      <c r="Q106" s="1371">
        <f t="shared" si="12"/>
        <v>1.5886499999999999</v>
      </c>
      <c r="R106" s="1448">
        <v>2340000</v>
      </c>
      <c r="S106" s="1460">
        <f t="shared" si="13"/>
        <v>3717440.9999999995</v>
      </c>
      <c r="T106" s="1024"/>
      <c r="U106" s="1025" t="str">
        <f>IFERROR(INDEX('[16]CN BC'!$M$10:$M$276,MATCH(B106,'[16]CN BC'!$H$10:$H$276,0)),"")</f>
        <v>Hỗ trợ công việc phòng KHTC</v>
      </c>
      <c r="V106" s="1067"/>
      <c r="Y106" s="1038"/>
    </row>
    <row r="107" spans="1:35" s="1028" customFormat="1" ht="37.5" customHeight="1">
      <c r="A107" s="1014">
        <f>_xlfn.AGGREGATE(4,7,A$12:A106)+1</f>
        <v>95</v>
      </c>
      <c r="B107" s="1314" t="s">
        <v>2021</v>
      </c>
      <c r="C107" s="1283"/>
      <c r="D107" s="1315"/>
      <c r="E107" s="1381" t="str">
        <f>VLOOKUP(B107,TH.Q2!B18:E349,4,FALSE)</f>
        <v>Giảng viên khoa Kinh tế</v>
      </c>
      <c r="F107" s="1287">
        <v>3.66</v>
      </c>
      <c r="G107" s="1288"/>
      <c r="H107" s="1291">
        <f t="shared" si="9"/>
        <v>0</v>
      </c>
      <c r="I107" s="1290"/>
      <c r="J107" s="1290" t="str">
        <f>VLOOKUP(B107,'[15]Gui chi Quynh'!$B$11:$E$396,4,FALSE)</f>
        <v>KXL</v>
      </c>
      <c r="K107" s="1290">
        <f t="shared" si="10"/>
        <v>0</v>
      </c>
      <c r="L107" s="1292">
        <v>23</v>
      </c>
      <c r="M107" s="1292">
        <f>VLOOKUP(B107,'[16]CN BC'!$H$10:$J$275,3,FALSE)</f>
        <v>0</v>
      </c>
      <c r="N107" s="1292">
        <f t="shared" si="11"/>
        <v>0</v>
      </c>
      <c r="O107" s="1293"/>
      <c r="P107" s="1294">
        <f t="shared" si="7"/>
        <v>0</v>
      </c>
      <c r="Q107" s="1382">
        <f t="shared" si="12"/>
        <v>0</v>
      </c>
      <c r="R107" s="1465">
        <v>2340000</v>
      </c>
      <c r="S107" s="1466">
        <f t="shared" si="13"/>
        <v>0</v>
      </c>
      <c r="T107" s="1295">
        <f t="shared" ref="T107:T151" si="14">A107</f>
        <v>95</v>
      </c>
      <c r="U107" s="1296" t="s">
        <v>2369</v>
      </c>
      <c r="V107" s="1011" t="str">
        <f>VLOOKUP(B107,TH.T4!B114:AC444,28,FALSE)</f>
        <v>KT</v>
      </c>
      <c r="Y107" s="1038"/>
    </row>
    <row r="108" spans="1:35" s="1028" customFormat="1" ht="25.5" customHeight="1">
      <c r="A108" s="1014">
        <f>_xlfn.AGGREGATE(4,7,A$12:A107)+1</f>
        <v>96</v>
      </c>
      <c r="B108" s="1015" t="s">
        <v>1478</v>
      </c>
      <c r="C108" s="1033" t="s">
        <v>1689</v>
      </c>
      <c r="D108" s="1034" t="s">
        <v>371</v>
      </c>
      <c r="E108" s="81" t="str">
        <f>VLOOKUP(B108,TH.Q2!B19:E350,4,FALSE)</f>
        <v>Giảng viên khoa May - Thời trang</v>
      </c>
      <c r="F108" s="1040">
        <v>3.66</v>
      </c>
      <c r="G108" s="1019"/>
      <c r="H108" s="1248">
        <f t="shared" si="9"/>
        <v>0</v>
      </c>
      <c r="I108" s="1020"/>
      <c r="J108" s="1020" t="str">
        <f>VLOOKUP(B108,'[15]Gui chi Quynh'!$B$11:$E$396,4,FALSE)</f>
        <v>A3</v>
      </c>
      <c r="K108" s="1020">
        <f t="shared" si="10"/>
        <v>0.6</v>
      </c>
      <c r="L108" s="1021">
        <v>23</v>
      </c>
      <c r="M108" s="1021">
        <f>VLOOKUP(B108,'[16]CN BC'!$H$10:$J$275,3,FALSE)</f>
        <v>23</v>
      </c>
      <c r="N108" s="1021">
        <f t="shared" si="11"/>
        <v>23</v>
      </c>
      <c r="O108" s="1022"/>
      <c r="P108" s="1023">
        <f t="shared" si="7"/>
        <v>5138640</v>
      </c>
      <c r="Q108" s="1371">
        <f t="shared" si="12"/>
        <v>2.1960000000000002</v>
      </c>
      <c r="R108" s="1448">
        <v>2340000</v>
      </c>
      <c r="S108" s="1460">
        <f t="shared" si="13"/>
        <v>5138640</v>
      </c>
      <c r="T108" s="1024">
        <f t="shared" si="14"/>
        <v>96</v>
      </c>
      <c r="U108" s="1025">
        <f>IFERROR(INDEX('[16]CN BC'!$M$10:$M$276,MATCH(B108,'[16]CN BC'!$H$10:$H$276,0)),"")</f>
        <v>0</v>
      </c>
      <c r="V108" s="1011" t="str">
        <f>VLOOKUP(B108,TH.T4!B115:AC445,28,FALSE)</f>
        <v>M-TT</v>
      </c>
      <c r="W108" s="1012"/>
      <c r="X108" s="1012"/>
      <c r="Y108" s="1027"/>
      <c r="Z108" s="1012"/>
      <c r="AA108" s="1012"/>
      <c r="AB108" s="1012"/>
      <c r="AC108" s="1012"/>
      <c r="AD108" s="1012"/>
      <c r="AE108" s="1012"/>
    </row>
    <row r="109" spans="1:35" s="1028" customFormat="1" ht="24.75" customHeight="1">
      <c r="A109" s="1014">
        <f>_xlfn.AGGREGATE(4,7,A$12:A108)+1</f>
        <v>97</v>
      </c>
      <c r="B109" s="1050" t="s">
        <v>1479</v>
      </c>
      <c r="C109" s="1029" t="s">
        <v>1690</v>
      </c>
      <c r="D109" s="1051" t="s">
        <v>372</v>
      </c>
      <c r="E109" s="81" t="str">
        <f>VLOOKUP(B109,TH.Q2!B20:E351,4,FALSE)</f>
        <v>Giảng viên khoa May - Thời trang</v>
      </c>
      <c r="F109" s="1056">
        <v>3.66</v>
      </c>
      <c r="G109" s="1053"/>
      <c r="H109" s="1248">
        <f t="shared" si="9"/>
        <v>0</v>
      </c>
      <c r="I109" s="1054"/>
      <c r="J109" s="1020" t="str">
        <f>VLOOKUP(B109,'[15]Gui chi Quynh'!$B$11:$E$396,4,FALSE)</f>
        <v>A4</v>
      </c>
      <c r="K109" s="1020">
        <f t="shared" si="10"/>
        <v>0.5</v>
      </c>
      <c r="L109" s="1021">
        <v>23</v>
      </c>
      <c r="M109" s="1021">
        <f>VLOOKUP(B109,'[16]CN BC'!$H$10:$J$275,3,FALSE)</f>
        <v>23</v>
      </c>
      <c r="N109" s="1021">
        <f t="shared" si="11"/>
        <v>23</v>
      </c>
      <c r="O109" s="1022"/>
      <c r="P109" s="1023">
        <f t="shared" si="7"/>
        <v>4282200</v>
      </c>
      <c r="Q109" s="1371">
        <f t="shared" si="12"/>
        <v>1.83</v>
      </c>
      <c r="R109" s="1448">
        <v>2340000</v>
      </c>
      <c r="S109" s="1460">
        <f t="shared" si="13"/>
        <v>4282200</v>
      </c>
      <c r="T109" s="1024">
        <f t="shared" si="14"/>
        <v>97</v>
      </c>
      <c r="U109" s="1025">
        <f>IFERROR(INDEX('[16]CN BC'!$M$10:$M$276,MATCH(B109,'[16]CN BC'!$H$10:$H$276,0)),"")</f>
        <v>0</v>
      </c>
      <c r="V109" s="1011" t="str">
        <f>VLOOKUP(B109,TH.T4!B116:AC446,28,FALSE)</f>
        <v>M-TT</v>
      </c>
      <c r="W109" s="1012"/>
      <c r="X109" s="1012"/>
      <c r="Y109" s="1027"/>
      <c r="Z109" s="1012"/>
      <c r="AA109" s="1012"/>
      <c r="AB109" s="1012"/>
      <c r="AC109" s="1012"/>
      <c r="AD109" s="1012"/>
      <c r="AE109" s="1012"/>
      <c r="AF109" s="1012"/>
      <c r="AG109" s="1012"/>
      <c r="AH109" s="1012"/>
      <c r="AI109" s="1012"/>
    </row>
    <row r="110" spans="1:35" s="1028" customFormat="1" ht="24.75" customHeight="1">
      <c r="A110" s="1014">
        <f>_xlfn.AGGREGATE(4,7,A$12:A109)+1</f>
        <v>98</v>
      </c>
      <c r="B110" s="1015" t="s">
        <v>1480</v>
      </c>
      <c r="C110" s="1029" t="s">
        <v>1691</v>
      </c>
      <c r="D110" s="1045" t="s">
        <v>735</v>
      </c>
      <c r="E110" s="81" t="str">
        <f>VLOOKUP(B110,TH.Q2!B21:E352,4,FALSE)</f>
        <v>Phó Trưởng khoa May - Thời trang</v>
      </c>
      <c r="F110" s="1040">
        <v>3.33</v>
      </c>
      <c r="G110" s="1019"/>
      <c r="H110" s="1248">
        <f t="shared" si="9"/>
        <v>0</v>
      </c>
      <c r="I110" s="1020">
        <v>0.45</v>
      </c>
      <c r="J110" s="1020" t="str">
        <f>VLOOKUP(B110,'[15]Gui chi Quynh'!$B$11:$E$396,4,FALSE)</f>
        <v>A2</v>
      </c>
      <c r="K110" s="1020">
        <f t="shared" si="10"/>
        <v>0.7</v>
      </c>
      <c r="L110" s="1021">
        <v>23</v>
      </c>
      <c r="M110" s="1021">
        <f>VLOOKUP(B110,'[16]CN BC'!$H$10:$J$275,3,FALSE)</f>
        <v>23</v>
      </c>
      <c r="N110" s="1021">
        <f t="shared" si="11"/>
        <v>23</v>
      </c>
      <c r="O110" s="1022"/>
      <c r="P110" s="1023">
        <f t="shared" si="7"/>
        <v>6191640</v>
      </c>
      <c r="Q110" s="1371">
        <f t="shared" si="12"/>
        <v>2.6459999999999999</v>
      </c>
      <c r="R110" s="1448">
        <v>2340000</v>
      </c>
      <c r="S110" s="1460">
        <f t="shared" si="13"/>
        <v>6191640</v>
      </c>
      <c r="T110" s="1024">
        <f t="shared" si="14"/>
        <v>98</v>
      </c>
      <c r="U110" s="1025">
        <f>IFERROR(INDEX('[16]CN BC'!$M$10:$M$276,MATCH(B110,'[16]CN BC'!$H$10:$H$276,0)),"")</f>
        <v>0</v>
      </c>
      <c r="V110" s="1011" t="str">
        <f>VLOOKUP(B110,TH.T4!B117:AC447,28,FALSE)</f>
        <v>M-TT</v>
      </c>
      <c r="W110" s="1012"/>
      <c r="X110" s="1012"/>
      <c r="Y110" s="1027"/>
      <c r="Z110" s="1012"/>
      <c r="AA110" s="1012"/>
      <c r="AB110" s="1012"/>
      <c r="AC110" s="1012"/>
      <c r="AD110" s="1012"/>
      <c r="AE110" s="1012"/>
      <c r="AF110" s="1012"/>
      <c r="AG110" s="1012"/>
      <c r="AH110" s="1012"/>
      <c r="AI110" s="1012"/>
    </row>
    <row r="111" spans="1:35" s="1028" customFormat="1" ht="24.75" customHeight="1">
      <c r="A111" s="1014">
        <f>_xlfn.AGGREGATE(4,7,A$12:A110)+1</f>
        <v>99</v>
      </c>
      <c r="B111" s="1015" t="s">
        <v>1481</v>
      </c>
      <c r="C111" s="1033" t="s">
        <v>1692</v>
      </c>
      <c r="D111" s="1045">
        <v>1603205353742</v>
      </c>
      <c r="E111" s="81" t="str">
        <f>VLOOKUP(B111,TH.Q2!B22:E353,4,FALSE)</f>
        <v>Giảng viên khoa May - Thời trang</v>
      </c>
      <c r="F111" s="1040">
        <v>3.33</v>
      </c>
      <c r="G111" s="1019"/>
      <c r="H111" s="1248">
        <f t="shared" si="9"/>
        <v>0</v>
      </c>
      <c r="I111" s="1020"/>
      <c r="J111" s="1020" t="str">
        <f>VLOOKUP(B111,'[15]Gui chi Quynh'!$B$11:$E$396,4,FALSE)</f>
        <v>A3</v>
      </c>
      <c r="K111" s="1020">
        <f t="shared" si="10"/>
        <v>0.6</v>
      </c>
      <c r="L111" s="1021">
        <v>23</v>
      </c>
      <c r="M111" s="1021">
        <f>VLOOKUP(B111,'[16]CN BC'!$H$10:$J$275,3,FALSE)</f>
        <v>23</v>
      </c>
      <c r="N111" s="1021">
        <f t="shared" si="11"/>
        <v>23</v>
      </c>
      <c r="O111" s="1022"/>
      <c r="P111" s="1023">
        <f t="shared" si="7"/>
        <v>4675320</v>
      </c>
      <c r="Q111" s="1371">
        <f t="shared" si="12"/>
        <v>1.998</v>
      </c>
      <c r="R111" s="1448">
        <v>2340000</v>
      </c>
      <c r="S111" s="1460">
        <f t="shared" si="13"/>
        <v>4675320</v>
      </c>
      <c r="T111" s="1024">
        <f t="shared" si="14"/>
        <v>99</v>
      </c>
      <c r="U111" s="1025">
        <f>IFERROR(INDEX('[16]CN BC'!$M$10:$M$276,MATCH(B111,'[16]CN BC'!$H$10:$H$276,0)),"")</f>
        <v>0</v>
      </c>
      <c r="V111" s="1011" t="str">
        <f>VLOOKUP(B111,TH.T4!B118:AC448,28,FALSE)</f>
        <v>M-TT</v>
      </c>
      <c r="W111" s="1012"/>
      <c r="X111" s="1012"/>
      <c r="Y111" s="1027"/>
      <c r="Z111" s="1012"/>
      <c r="AA111" s="1012"/>
      <c r="AB111" s="1012"/>
      <c r="AC111" s="1012"/>
      <c r="AD111" s="1012"/>
      <c r="AE111" s="1012"/>
    </row>
    <row r="112" spans="1:35" s="1028" customFormat="1" ht="24.75" customHeight="1">
      <c r="A112" s="1014">
        <f>_xlfn.AGGREGATE(4,7,A$12:A111)+1</f>
        <v>100</v>
      </c>
      <c r="B112" s="1015" t="s">
        <v>1865</v>
      </c>
      <c r="C112" s="1029" t="s">
        <v>1693</v>
      </c>
      <c r="D112" s="1045">
        <v>1603205357136</v>
      </c>
      <c r="E112" s="81" t="str">
        <f>VLOOKUP(B112,TH.Q2!B23:E354,4,FALSE)</f>
        <v>Giảng viên khoa May - Thời trang</v>
      </c>
      <c r="F112" s="1040">
        <v>3.66</v>
      </c>
      <c r="G112" s="1019"/>
      <c r="H112" s="1248">
        <f t="shared" si="9"/>
        <v>0</v>
      </c>
      <c r="I112" s="1020"/>
      <c r="J112" s="1020" t="str">
        <f>VLOOKUP(B112,'[15]Gui chi Quynh'!$B$11:$E$396,4,FALSE)</f>
        <v>A3</v>
      </c>
      <c r="K112" s="1020">
        <f t="shared" si="10"/>
        <v>0.6</v>
      </c>
      <c r="L112" s="1021">
        <v>23</v>
      </c>
      <c r="M112" s="1021">
        <f>VLOOKUP(B112,'[16]CN BC'!$H$10:$J$275,3,FALSE)</f>
        <v>23</v>
      </c>
      <c r="N112" s="1021">
        <f t="shared" si="11"/>
        <v>23</v>
      </c>
      <c r="O112" s="1022"/>
      <c r="P112" s="1023">
        <f t="shared" si="7"/>
        <v>5138640</v>
      </c>
      <c r="Q112" s="1371">
        <f t="shared" si="12"/>
        <v>2.1960000000000002</v>
      </c>
      <c r="R112" s="1448">
        <v>2340000</v>
      </c>
      <c r="S112" s="1460">
        <f t="shared" si="13"/>
        <v>5138640</v>
      </c>
      <c r="T112" s="1024">
        <f t="shared" si="14"/>
        <v>100</v>
      </c>
      <c r="U112" s="1025">
        <f>IFERROR(INDEX('[16]CN BC'!$M$10:$M$276,MATCH(B112,'[16]CN BC'!$H$10:$H$276,0)),"")</f>
        <v>0</v>
      </c>
      <c r="V112" s="1011" t="str">
        <f>VLOOKUP(B112,TH.T4!B119:AC449,28,FALSE)</f>
        <v>M-TT</v>
      </c>
      <c r="W112" s="1012"/>
      <c r="X112" s="1012"/>
      <c r="Y112" s="1027"/>
      <c r="Z112" s="1012"/>
      <c r="AA112" s="1012"/>
      <c r="AB112" s="1012"/>
      <c r="AC112" s="1012"/>
      <c r="AD112" s="1012"/>
      <c r="AE112" s="1012"/>
      <c r="AF112" s="1012"/>
      <c r="AG112" s="1012"/>
      <c r="AH112" s="1012"/>
      <c r="AI112" s="1012"/>
    </row>
    <row r="113" spans="1:35" s="1028" customFormat="1" ht="24.75" customHeight="1">
      <c r="A113" s="1014">
        <f>_xlfn.AGGREGATE(4,7,A$12:A112)+1</f>
        <v>101</v>
      </c>
      <c r="B113" s="1015" t="s">
        <v>1482</v>
      </c>
      <c r="C113" s="1029" t="s">
        <v>1694</v>
      </c>
      <c r="D113" s="1030" t="s">
        <v>1422</v>
      </c>
      <c r="E113" s="81" t="str">
        <f>VLOOKUP(B113,TH.Q2!B24:E355,4,FALSE)</f>
        <v>Giảng viên khoa May - Thời trang</v>
      </c>
      <c r="F113" s="1040">
        <v>3.33</v>
      </c>
      <c r="G113" s="1019"/>
      <c r="H113" s="1248">
        <f t="shared" si="9"/>
        <v>0</v>
      </c>
      <c r="I113" s="1020"/>
      <c r="J113" s="1020" t="str">
        <f>VLOOKUP(B113,'[15]Gui chi Quynh'!$B$11:$E$396,4,FALSE)</f>
        <v>A3</v>
      </c>
      <c r="K113" s="1020">
        <f t="shared" si="10"/>
        <v>0.6</v>
      </c>
      <c r="L113" s="1021">
        <v>23</v>
      </c>
      <c r="M113" s="1021">
        <f>VLOOKUP(B113,'[16]CN BC'!$H$10:$J$275,3,FALSE)</f>
        <v>19</v>
      </c>
      <c r="N113" s="1021">
        <f t="shared" si="11"/>
        <v>19</v>
      </c>
      <c r="O113" s="1022"/>
      <c r="P113" s="1023">
        <f t="shared" si="7"/>
        <v>3862220.8695652178</v>
      </c>
      <c r="Q113" s="1371">
        <f t="shared" si="12"/>
        <v>1.650521739130435</v>
      </c>
      <c r="R113" s="1448">
        <v>2340000</v>
      </c>
      <c r="S113" s="1460">
        <f t="shared" si="13"/>
        <v>3862220.8695652178</v>
      </c>
      <c r="T113" s="1024">
        <f t="shared" si="14"/>
        <v>101</v>
      </c>
      <c r="U113" s="1025" t="str">
        <f>IFERROR(INDEX('[16]CN BC'!$M$10:$M$276,MATCH(B113,'[16]CN BC'!$H$10:$H$276,0)),"")</f>
        <v>Nghỉ hộ sản hưởng chế độ BHXH từ 28/10/2023</v>
      </c>
      <c r="V113" s="1011" t="str">
        <f>VLOOKUP(B113,TH.T4!B120:AC450,28,FALSE)</f>
        <v>M-TT</v>
      </c>
      <c r="W113" s="1012"/>
      <c r="X113" s="1012"/>
      <c r="Y113" s="1027"/>
      <c r="Z113" s="1012"/>
      <c r="AA113" s="1012"/>
      <c r="AB113" s="1012"/>
      <c r="AC113" s="1012"/>
      <c r="AD113" s="1012"/>
      <c r="AE113" s="1012"/>
      <c r="AF113" s="1012"/>
      <c r="AG113" s="1012"/>
      <c r="AH113" s="1012"/>
      <c r="AI113" s="1012"/>
    </row>
    <row r="114" spans="1:35" s="1028" customFormat="1" ht="24.75" customHeight="1">
      <c r="A114" s="1014">
        <f>_xlfn.AGGREGATE(4,7,A$12:A113)+1</f>
        <v>102</v>
      </c>
      <c r="B114" s="1015" t="s">
        <v>1483</v>
      </c>
      <c r="C114" s="1029" t="s">
        <v>1695</v>
      </c>
      <c r="D114" s="1030" t="s">
        <v>1432</v>
      </c>
      <c r="E114" s="81" t="str">
        <f>VLOOKUP(B114,TH.Q2!B25:E356,4,FALSE)</f>
        <v>Giảng viên khoa Du lịch - Khách sạn</v>
      </c>
      <c r="F114" s="1018">
        <v>4.9800000000000004</v>
      </c>
      <c r="G114" s="1019">
        <v>0.05</v>
      </c>
      <c r="H114" s="1255">
        <f t="shared" si="9"/>
        <v>0.249</v>
      </c>
      <c r="I114" s="1020">
        <v>0.25</v>
      </c>
      <c r="J114" s="1020" t="str">
        <f>VLOOKUP(B114,'[15]Gui chi Quynh'!$B$11:$E$396,4,FALSE)</f>
        <v>A4</v>
      </c>
      <c r="K114" s="1020">
        <f t="shared" si="10"/>
        <v>0.5</v>
      </c>
      <c r="L114" s="1021">
        <v>23</v>
      </c>
      <c r="M114" s="1021">
        <f>VLOOKUP(B114,'[16]CN BC'!$H$10:$J$275,3,FALSE)</f>
        <v>23</v>
      </c>
      <c r="N114" s="1021">
        <f t="shared" si="11"/>
        <v>23</v>
      </c>
      <c r="O114" s="1022"/>
      <c r="P114" s="1023">
        <f t="shared" si="7"/>
        <v>6410430</v>
      </c>
      <c r="Q114" s="1371">
        <f t="shared" si="12"/>
        <v>2.7395</v>
      </c>
      <c r="R114" s="1448">
        <v>2340000</v>
      </c>
      <c r="S114" s="1460">
        <f t="shared" si="13"/>
        <v>6410430</v>
      </c>
      <c r="T114" s="1024">
        <f t="shared" si="14"/>
        <v>102</v>
      </c>
      <c r="U114" s="1025">
        <f>IFERROR(INDEX('[16]CN BC'!$M$10:$M$276,MATCH(B114,'[16]CN BC'!$H$10:$H$276,0)),"")</f>
        <v>0</v>
      </c>
      <c r="V114" s="1011" t="str">
        <f>VLOOKUP(B114,TH.T4!B121:AC451,28,FALSE)</f>
        <v>DLKS</v>
      </c>
      <c r="W114" s="1012"/>
      <c r="X114" s="1012"/>
      <c r="Y114" s="1027"/>
      <c r="Z114" s="1012"/>
      <c r="AA114" s="1012"/>
      <c r="AB114" s="1012"/>
      <c r="AC114" s="1012"/>
      <c r="AD114" s="1012"/>
      <c r="AE114" s="1012"/>
      <c r="AF114" s="1012"/>
      <c r="AG114" s="1012"/>
      <c r="AH114" s="1012"/>
      <c r="AI114" s="1012"/>
    </row>
    <row r="115" spans="1:35" s="1028" customFormat="1" ht="24.75" customHeight="1">
      <c r="A115" s="1014">
        <f>_xlfn.AGGREGATE(4,7,A$12:A114)+1</f>
        <v>103</v>
      </c>
      <c r="B115" s="1050" t="s">
        <v>1568</v>
      </c>
      <c r="C115" s="1029" t="s">
        <v>1696</v>
      </c>
      <c r="D115" s="1042" t="s">
        <v>1569</v>
      </c>
      <c r="E115" s="81" t="str">
        <f>VLOOKUP(B115,TH.Q2!B26:E357,4,FALSE)</f>
        <v>Giảng viên khoa May - Thời trang</v>
      </c>
      <c r="F115" s="1040">
        <v>3.33</v>
      </c>
      <c r="G115" s="1019"/>
      <c r="H115" s="1255">
        <f t="shared" si="9"/>
        <v>0</v>
      </c>
      <c r="I115" s="1020"/>
      <c r="J115" s="1020" t="str">
        <f>VLOOKUP(B115,'[15]Gui chi Quynh'!$B$11:$E$396,4,FALSE)</f>
        <v>A4</v>
      </c>
      <c r="K115" s="1020">
        <f t="shared" si="10"/>
        <v>0.5</v>
      </c>
      <c r="L115" s="1021">
        <v>23</v>
      </c>
      <c r="M115" s="1021">
        <f>VLOOKUP(B115,'[16]CN BC'!$H$10:$J$275,3,FALSE)</f>
        <v>23</v>
      </c>
      <c r="N115" s="1021">
        <f t="shared" si="11"/>
        <v>23</v>
      </c>
      <c r="O115" s="1022"/>
      <c r="P115" s="1023">
        <f t="shared" si="7"/>
        <v>3896100.0000000005</v>
      </c>
      <c r="Q115" s="1371">
        <f t="shared" si="12"/>
        <v>1.6650000000000003</v>
      </c>
      <c r="R115" s="1448">
        <v>2340000</v>
      </c>
      <c r="S115" s="1460">
        <f t="shared" si="13"/>
        <v>3896100.0000000005</v>
      </c>
      <c r="T115" s="1024">
        <f t="shared" si="14"/>
        <v>103</v>
      </c>
      <c r="U115" s="1025">
        <f>IFERROR(INDEX('[16]CN BC'!$M$10:$M$276,MATCH(B115,'[16]CN BC'!$H$10:$H$276,0)),"")</f>
        <v>0</v>
      </c>
      <c r="V115" s="1011" t="str">
        <f>VLOOKUP(B115,TH.T4!B122:AC452,28,FALSE)</f>
        <v>M-TT</v>
      </c>
      <c r="W115" s="1012"/>
      <c r="X115" s="1012"/>
      <c r="Y115" s="1027"/>
      <c r="Z115" s="1012"/>
      <c r="AA115" s="1012"/>
      <c r="AB115" s="1012"/>
      <c r="AC115" s="1012"/>
      <c r="AD115" s="1012"/>
      <c r="AE115" s="1012"/>
      <c r="AF115" s="1012"/>
      <c r="AG115" s="1012"/>
      <c r="AH115" s="1012"/>
      <c r="AI115" s="1012"/>
    </row>
    <row r="116" spans="1:35" s="1028" customFormat="1" ht="24.75" customHeight="1">
      <c r="A116" s="1014">
        <f>_xlfn.AGGREGATE(4,7,A$12:A115)+1</f>
        <v>104</v>
      </c>
      <c r="B116" s="1015" t="s">
        <v>1832</v>
      </c>
      <c r="C116" s="1033" t="s">
        <v>1963</v>
      </c>
      <c r="D116" s="1086">
        <v>1603215005610</v>
      </c>
      <c r="E116" s="81" t="str">
        <f>VLOOKUP(B116,TH.Q2!B27:E358,4,FALSE)</f>
        <v>Giảng viên khoa May - Thời trang</v>
      </c>
      <c r="F116" s="1040">
        <v>3</v>
      </c>
      <c r="G116" s="1019"/>
      <c r="H116" s="1248">
        <f t="shared" si="9"/>
        <v>0</v>
      </c>
      <c r="I116" s="1020"/>
      <c r="J116" s="1020" t="str">
        <f>VLOOKUP(B116,'[15]Gui chi Quynh'!$B$11:$E$396,4,FALSE)</f>
        <v>A3</v>
      </c>
      <c r="K116" s="1020">
        <f t="shared" si="10"/>
        <v>0.6</v>
      </c>
      <c r="L116" s="1021">
        <v>23</v>
      </c>
      <c r="M116" s="1021">
        <f>VLOOKUP(B116,'[16]CN BC'!$H$10:$J$275,3,FALSE)</f>
        <v>23</v>
      </c>
      <c r="N116" s="1021">
        <f t="shared" si="11"/>
        <v>23</v>
      </c>
      <c r="O116" s="1022"/>
      <c r="P116" s="1023">
        <f t="shared" si="7"/>
        <v>4212000</v>
      </c>
      <c r="Q116" s="1371">
        <f t="shared" si="12"/>
        <v>1.8</v>
      </c>
      <c r="R116" s="1448">
        <v>2340000</v>
      </c>
      <c r="S116" s="1460">
        <f t="shared" si="13"/>
        <v>4212000</v>
      </c>
      <c r="T116" s="1024">
        <f t="shared" si="14"/>
        <v>104</v>
      </c>
      <c r="U116" s="1025">
        <f>IFERROR(INDEX('[16]CN BC'!$M$10:$M$276,MATCH(B116,'[16]CN BC'!$H$10:$H$276,0)),"")</f>
        <v>0</v>
      </c>
      <c r="V116" s="1011" t="str">
        <f>VLOOKUP(B116,TH.T4!B123:AC453,28,FALSE)</f>
        <v>M-TT</v>
      </c>
      <c r="W116" s="1012"/>
      <c r="X116" s="1012"/>
      <c r="Y116" s="1027"/>
      <c r="Z116" s="1012"/>
      <c r="AA116" s="1012"/>
      <c r="AB116" s="1012"/>
      <c r="AC116" s="1012"/>
      <c r="AD116" s="1012"/>
      <c r="AE116" s="1012"/>
    </row>
    <row r="117" spans="1:35" s="1012" customFormat="1" ht="27" customHeight="1">
      <c r="A117" s="1014">
        <f>_xlfn.AGGREGATE(4,7,A$12:A116)+1</f>
        <v>105</v>
      </c>
      <c r="B117" s="1050" t="s">
        <v>1555</v>
      </c>
      <c r="C117" s="1029" t="s">
        <v>1658</v>
      </c>
      <c r="D117" s="1051" t="s">
        <v>1278</v>
      </c>
      <c r="E117" s="81" t="str">
        <f>VLOOKUP(B117,TH.Q2!B28:E359,4,FALSE)</f>
        <v>Trưởng khoa KHCB</v>
      </c>
      <c r="F117" s="1052">
        <v>4.9800000000000004</v>
      </c>
      <c r="G117" s="1087"/>
      <c r="H117" s="1248">
        <f t="shared" si="9"/>
        <v>0</v>
      </c>
      <c r="I117" s="1088">
        <v>0.45</v>
      </c>
      <c r="J117" s="1020" t="str">
        <f>VLOOKUP(B117,'[15]Gui chi Quynh'!$B$11:$E$396,4,FALSE)</f>
        <v>A2</v>
      </c>
      <c r="K117" s="1020">
        <f t="shared" si="10"/>
        <v>0.7</v>
      </c>
      <c r="L117" s="1021">
        <v>23</v>
      </c>
      <c r="M117" s="1021">
        <f>VLOOKUP(B117,'[16]CN BC'!$H$10:$J$275,3,FALSE)</f>
        <v>23</v>
      </c>
      <c r="N117" s="1021">
        <f t="shared" si="11"/>
        <v>23</v>
      </c>
      <c r="O117" s="1022"/>
      <c r="P117" s="1023">
        <f t="shared" si="7"/>
        <v>8894340</v>
      </c>
      <c r="Q117" s="1371">
        <f t="shared" si="12"/>
        <v>3.8010000000000002</v>
      </c>
      <c r="R117" s="1448">
        <v>2340000</v>
      </c>
      <c r="S117" s="1460">
        <f t="shared" si="13"/>
        <v>8894340</v>
      </c>
      <c r="T117" s="1024">
        <f t="shared" si="14"/>
        <v>105</v>
      </c>
      <c r="U117" s="1025">
        <f>IFERROR(INDEX('[16]CN BC'!$M$10:$M$276,MATCH(B117,'[16]CN BC'!$H$10:$H$276,0)),"")</f>
        <v>0</v>
      </c>
      <c r="V117" s="1011" t="str">
        <f>VLOOKUP(B117,TH.T4!B124:AC454,28,FALSE)</f>
        <v>KHCB</v>
      </c>
      <c r="Y117" s="1027"/>
    </row>
    <row r="118" spans="1:35" s="1028" customFormat="1" ht="28.5" customHeight="1">
      <c r="A118" s="1014">
        <f>_xlfn.AGGREGATE(4,7,A$12:A117)+1</f>
        <v>106</v>
      </c>
      <c r="B118" s="1015" t="s">
        <v>1866</v>
      </c>
      <c r="C118" s="1033" t="s">
        <v>1697</v>
      </c>
      <c r="D118" s="1034" t="s">
        <v>1300</v>
      </c>
      <c r="E118" s="81" t="str">
        <f>VLOOKUP(B118,TH.Q2!B29:E360,4,FALSE)</f>
        <v>Giảng viên Khoa KHCB</v>
      </c>
      <c r="F118" s="1018">
        <v>4.9800000000000004</v>
      </c>
      <c r="G118" s="1019">
        <v>7.0000000000000007E-2</v>
      </c>
      <c r="H118" s="1248">
        <f t="shared" si="9"/>
        <v>0.34899999999999998</v>
      </c>
      <c r="I118" s="1020">
        <v>0.25</v>
      </c>
      <c r="J118" s="1020" t="str">
        <f>VLOOKUP(B118,'[15]Gui chi Quynh'!$B$11:$E$396,4,FALSE)</f>
        <v>A2</v>
      </c>
      <c r="K118" s="1020">
        <f t="shared" si="10"/>
        <v>0.7</v>
      </c>
      <c r="L118" s="1021">
        <v>23</v>
      </c>
      <c r="M118" s="1021">
        <f>VLOOKUP(B118,'[16]CN BC'!$H$10:$J$275,3,FALSE)</f>
        <v>24</v>
      </c>
      <c r="N118" s="1021">
        <f t="shared" si="11"/>
        <v>23</v>
      </c>
      <c r="O118" s="1022"/>
      <c r="P118" s="1023">
        <f t="shared" si="7"/>
        <v>9138402</v>
      </c>
      <c r="Q118" s="1371">
        <f t="shared" si="12"/>
        <v>3.9053</v>
      </c>
      <c r="R118" s="1448">
        <v>2340000</v>
      </c>
      <c r="S118" s="1460">
        <f t="shared" si="13"/>
        <v>9138402</v>
      </c>
      <c r="T118" s="1024">
        <f t="shared" si="14"/>
        <v>106</v>
      </c>
      <c r="U118" s="1025">
        <f>IFERROR(INDEX('[16]CN BC'!$M$10:$M$276,MATCH(B118,'[16]CN BC'!$H$10:$H$276,0)),"")</f>
        <v>0</v>
      </c>
      <c r="V118" s="1011" t="str">
        <f>VLOOKUP(B118,TH.T4!B125:AC455,28,FALSE)</f>
        <v>KHCB</v>
      </c>
      <c r="W118" s="1012"/>
      <c r="X118" s="1012"/>
      <c r="Y118" s="1038"/>
    </row>
    <row r="119" spans="1:35" s="1012" customFormat="1" ht="30" customHeight="1">
      <c r="A119" s="1014">
        <f>_xlfn.AGGREGATE(4,7,A$12:A118)+1</f>
        <v>107</v>
      </c>
      <c r="B119" s="1050" t="s">
        <v>1867</v>
      </c>
      <c r="C119" s="1029" t="s">
        <v>1698</v>
      </c>
      <c r="D119" s="1051" t="s">
        <v>1299</v>
      </c>
      <c r="E119" s="81" t="str">
        <f>VLOOKUP(B119,TH.Q2!B30:E361,4,FALSE)</f>
        <v>Giảng viên Khoa KHCB</v>
      </c>
      <c r="F119" s="1052">
        <v>4.32</v>
      </c>
      <c r="G119" s="1053"/>
      <c r="H119" s="1248">
        <f t="shared" si="9"/>
        <v>0</v>
      </c>
      <c r="I119" s="1054"/>
      <c r="J119" s="1020" t="str">
        <f>VLOOKUP(B119,'[15]Gui chi Quynh'!$B$11:$E$396,4,FALSE)</f>
        <v>A3</v>
      </c>
      <c r="K119" s="1020">
        <f t="shared" si="10"/>
        <v>0.6</v>
      </c>
      <c r="L119" s="1021">
        <v>23</v>
      </c>
      <c r="M119" s="1021">
        <f>VLOOKUP(B119,'[16]CN BC'!$H$10:$J$275,3,FALSE)</f>
        <v>23</v>
      </c>
      <c r="N119" s="1021">
        <f t="shared" si="11"/>
        <v>23</v>
      </c>
      <c r="O119" s="1022"/>
      <c r="P119" s="1023">
        <f t="shared" si="7"/>
        <v>6065280</v>
      </c>
      <c r="Q119" s="1371">
        <f t="shared" si="12"/>
        <v>2.5920000000000001</v>
      </c>
      <c r="R119" s="1448">
        <v>2340000</v>
      </c>
      <c r="S119" s="1460">
        <f t="shared" si="13"/>
        <v>6065280</v>
      </c>
      <c r="T119" s="1024">
        <f t="shared" si="14"/>
        <v>107</v>
      </c>
      <c r="U119" s="1025">
        <f>IFERROR(INDEX('[16]CN BC'!$M$10:$M$276,MATCH(B119,'[16]CN BC'!$H$10:$H$276,0)),"")</f>
        <v>0</v>
      </c>
      <c r="V119" s="1011" t="str">
        <f>VLOOKUP(B119,TH.T4!B126:AC456,28,FALSE)</f>
        <v>KHCB</v>
      </c>
      <c r="Y119" s="1027"/>
    </row>
    <row r="120" spans="1:35" s="1028" customFormat="1" ht="30" customHeight="1">
      <c r="A120" s="1014">
        <f>_xlfn.AGGREGATE(4,7,A$12:A119)+1</f>
        <v>108</v>
      </c>
      <c r="B120" s="1015" t="s">
        <v>1485</v>
      </c>
      <c r="C120" s="1033" t="s">
        <v>1699</v>
      </c>
      <c r="D120" s="1034" t="s">
        <v>373</v>
      </c>
      <c r="E120" s="368" t="str">
        <f>VLOOKUP(B120,TH.Q2!B31:E362,4,FALSE)</f>
        <v>Giảng viên khoa KHCB</v>
      </c>
      <c r="F120" s="1018">
        <v>4.32</v>
      </c>
      <c r="G120" s="1019"/>
      <c r="H120" s="1255">
        <f t="shared" si="9"/>
        <v>0</v>
      </c>
      <c r="I120" s="1020"/>
      <c r="J120" s="1020" t="str">
        <f>VLOOKUP(B120,'[15]Gui chi Quynh'!$B$11:$E$396,4,FALSE)</f>
        <v>A3</v>
      </c>
      <c r="K120" s="1020">
        <f t="shared" si="10"/>
        <v>0.6</v>
      </c>
      <c r="L120" s="1021">
        <v>23</v>
      </c>
      <c r="M120" s="1021">
        <f>VLOOKUP(B120,'[16]CN BC'!$H$10:$J$275,3,FALSE)</f>
        <v>22.5</v>
      </c>
      <c r="N120" s="1021">
        <f t="shared" si="11"/>
        <v>22.5</v>
      </c>
      <c r="O120" s="1035"/>
      <c r="P120" s="1023">
        <f t="shared" si="7"/>
        <v>5933426.0869565215</v>
      </c>
      <c r="Q120" s="1371">
        <f t="shared" si="12"/>
        <v>2.5356521739130433</v>
      </c>
      <c r="R120" s="1448">
        <v>2340000</v>
      </c>
      <c r="S120" s="1460">
        <f t="shared" si="13"/>
        <v>5933426.0869565215</v>
      </c>
      <c r="T120" s="1024">
        <f t="shared" si="14"/>
        <v>108</v>
      </c>
      <c r="U120" s="1025">
        <f>IFERROR(INDEX('[16]CN BC'!$M$10:$M$276,MATCH(B120,'[16]CN BC'!$H$10:$H$276,0)),"")</f>
        <v>0</v>
      </c>
      <c r="V120" s="1067" t="str">
        <f>VLOOKUP(B120,TH.T4!B127:AC457,28,FALSE)</f>
        <v>KHCB</v>
      </c>
      <c r="Y120" s="1038"/>
    </row>
    <row r="121" spans="1:35" s="1028" customFormat="1" ht="30" customHeight="1">
      <c r="A121" s="1014">
        <f>_xlfn.AGGREGATE(4,7,A$12:A120)+1</f>
        <v>109</v>
      </c>
      <c r="B121" s="1015" t="s">
        <v>1559</v>
      </c>
      <c r="C121" s="1029" t="s">
        <v>1647</v>
      </c>
      <c r="D121" s="1034" t="s">
        <v>406</v>
      </c>
      <c r="E121" s="81" t="str">
        <f>VLOOKUP(B121,TH.Q2!B32:E363,4,FALSE)</f>
        <v>Giảng viên khoa KHCB</v>
      </c>
      <c r="F121" s="1040">
        <v>3.66</v>
      </c>
      <c r="G121" s="1049"/>
      <c r="H121" s="1248">
        <f t="shared" si="9"/>
        <v>0</v>
      </c>
      <c r="I121" s="1020"/>
      <c r="J121" s="1020" t="str">
        <f>VLOOKUP(B121,'[15]Gui chi Quynh'!$B$11:$E$396,4,FALSE)</f>
        <v>A2</v>
      </c>
      <c r="K121" s="1020">
        <f t="shared" si="10"/>
        <v>0.7</v>
      </c>
      <c r="L121" s="1021">
        <v>23</v>
      </c>
      <c r="M121" s="1021">
        <f>VLOOKUP(B121,'[16]CN BC'!$H$10:$J$275,3,FALSE)</f>
        <v>24.5</v>
      </c>
      <c r="N121" s="1021">
        <f t="shared" si="11"/>
        <v>23</v>
      </c>
      <c r="O121" s="1022"/>
      <c r="P121" s="1023">
        <f t="shared" si="7"/>
        <v>5995080</v>
      </c>
      <c r="Q121" s="1371">
        <f t="shared" si="12"/>
        <v>2.5619999999999998</v>
      </c>
      <c r="R121" s="1448">
        <v>2340000</v>
      </c>
      <c r="S121" s="1460">
        <f t="shared" si="13"/>
        <v>5995080</v>
      </c>
      <c r="T121" s="1024">
        <f t="shared" si="14"/>
        <v>109</v>
      </c>
      <c r="U121" s="1025">
        <f>IFERROR(INDEX('[16]CN BC'!$M$10:$M$276,MATCH(B121,'[16]CN BC'!$H$10:$H$276,0)),"")</f>
        <v>0</v>
      </c>
      <c r="V121" s="1011" t="str">
        <f>VLOOKUP(B121,TH.T4!B128:AC458,28,FALSE)</f>
        <v>KHCB</v>
      </c>
      <c r="W121" s="1012"/>
      <c r="X121" s="1012"/>
      <c r="Y121" s="1027"/>
      <c r="Z121" s="1012"/>
      <c r="AA121" s="1012"/>
      <c r="AB121" s="1012"/>
      <c r="AC121" s="1012"/>
      <c r="AD121" s="1012"/>
      <c r="AE121" s="1012"/>
      <c r="AF121" s="1012"/>
      <c r="AG121" s="1012"/>
      <c r="AH121" s="1012"/>
      <c r="AI121" s="1012"/>
    </row>
    <row r="122" spans="1:35" s="1028" customFormat="1" ht="30" customHeight="1">
      <c r="A122" s="1014">
        <f>_xlfn.AGGREGATE(4,7,A$12:A121)+1</f>
        <v>110</v>
      </c>
      <c r="B122" s="1015" t="s">
        <v>1868</v>
      </c>
      <c r="C122" s="1033" t="s">
        <v>1700</v>
      </c>
      <c r="D122" s="1034" t="s">
        <v>1303</v>
      </c>
      <c r="E122" s="81" t="str">
        <f>VLOOKUP(B122,TH.Q2!B33:E364,4,FALSE)</f>
        <v>Giảng viên Khoa KHCB</v>
      </c>
      <c r="F122" s="1018">
        <v>4.6500000000000004</v>
      </c>
      <c r="G122" s="1019"/>
      <c r="H122" s="1248">
        <f t="shared" si="9"/>
        <v>0</v>
      </c>
      <c r="I122" s="1020"/>
      <c r="J122" s="1020" t="str">
        <f>VLOOKUP(B122,'[15]Gui chi Quynh'!$B$11:$E$396,4,FALSE)</f>
        <v>A3</v>
      </c>
      <c r="K122" s="1020">
        <f t="shared" si="10"/>
        <v>0.6</v>
      </c>
      <c r="L122" s="1021">
        <v>23</v>
      </c>
      <c r="M122" s="1021">
        <f>VLOOKUP(B122,'[16]CN BC'!$H$10:$J$275,3,FALSE)</f>
        <v>23</v>
      </c>
      <c r="N122" s="1021">
        <f t="shared" si="11"/>
        <v>23</v>
      </c>
      <c r="O122" s="1022"/>
      <c r="P122" s="1023">
        <f t="shared" si="7"/>
        <v>6528600</v>
      </c>
      <c r="Q122" s="1371">
        <f t="shared" si="12"/>
        <v>2.79</v>
      </c>
      <c r="R122" s="1448">
        <v>2340000</v>
      </c>
      <c r="S122" s="1460">
        <f t="shared" si="13"/>
        <v>6528600</v>
      </c>
      <c r="T122" s="1024">
        <f t="shared" si="14"/>
        <v>110</v>
      </c>
      <c r="U122" s="1025">
        <f>IFERROR(INDEX('[16]CN BC'!$M$10:$M$276,MATCH(B122,'[16]CN BC'!$H$10:$H$276,0)),"")</f>
        <v>0</v>
      </c>
      <c r="V122" s="1011" t="str">
        <f>VLOOKUP(B122,TH.T4!B129:AC459,28,FALSE)</f>
        <v>KHCB</v>
      </c>
      <c r="W122" s="1012"/>
      <c r="X122" s="1012"/>
      <c r="Y122" s="1027"/>
      <c r="Z122" s="1012"/>
      <c r="AA122" s="1012"/>
      <c r="AB122" s="1012"/>
      <c r="AC122" s="1012"/>
      <c r="AD122" s="1012"/>
      <c r="AE122" s="1012"/>
    </row>
    <row r="123" spans="1:35" s="1028" customFormat="1" ht="30" customHeight="1">
      <c r="A123" s="1014">
        <f>_xlfn.AGGREGATE(4,7,A$12:A122)+1</f>
        <v>111</v>
      </c>
      <c r="B123" s="1015" t="s">
        <v>1869</v>
      </c>
      <c r="C123" s="1029" t="s">
        <v>1701</v>
      </c>
      <c r="D123" s="1034" t="s">
        <v>1304</v>
      </c>
      <c r="E123" s="81" t="str">
        <f>VLOOKUP(B123,TH.Q2!B34:E365,4,FALSE)</f>
        <v>Giảng viên Khoa KHCB</v>
      </c>
      <c r="F123" s="1040">
        <v>4.32</v>
      </c>
      <c r="G123" s="1019"/>
      <c r="H123" s="1248">
        <f t="shared" si="9"/>
        <v>0</v>
      </c>
      <c r="I123" s="1020"/>
      <c r="J123" s="1020" t="str">
        <f>VLOOKUP(B123,'[15]Gui chi Quynh'!$B$11:$E$396,4,FALSE)</f>
        <v>A3</v>
      </c>
      <c r="K123" s="1020">
        <f t="shared" si="10"/>
        <v>0.6</v>
      </c>
      <c r="L123" s="1021">
        <v>23</v>
      </c>
      <c r="M123" s="1021">
        <f>VLOOKUP(B123,'[16]CN BC'!$H$10:$J$275,3,FALSE)</f>
        <v>23</v>
      </c>
      <c r="N123" s="1021">
        <f t="shared" si="11"/>
        <v>23</v>
      </c>
      <c r="O123" s="1022"/>
      <c r="P123" s="1023">
        <f t="shared" si="7"/>
        <v>6065280</v>
      </c>
      <c r="Q123" s="1371">
        <f t="shared" si="12"/>
        <v>2.5920000000000001</v>
      </c>
      <c r="R123" s="1448">
        <v>2340000</v>
      </c>
      <c r="S123" s="1460">
        <f t="shared" si="13"/>
        <v>6065280</v>
      </c>
      <c r="T123" s="1024">
        <f t="shared" si="14"/>
        <v>111</v>
      </c>
      <c r="U123" s="1025">
        <f>IFERROR(INDEX('[16]CN BC'!$M$10:$M$276,MATCH(B123,'[16]CN BC'!$H$10:$H$276,0)),"")</f>
        <v>0</v>
      </c>
      <c r="V123" s="1011" t="str">
        <f>VLOOKUP(B123,TH.T4!B130:AC460,28,FALSE)</f>
        <v>KHCB</v>
      </c>
      <c r="W123" s="1012"/>
      <c r="X123" s="1012"/>
      <c r="Y123" s="1027"/>
      <c r="Z123" s="1012"/>
      <c r="AA123" s="1012"/>
      <c r="AB123" s="1012"/>
      <c r="AC123" s="1012"/>
      <c r="AD123" s="1012"/>
      <c r="AE123" s="1012"/>
      <c r="AF123" s="1012"/>
      <c r="AG123" s="1012"/>
      <c r="AH123" s="1012"/>
      <c r="AI123" s="1012"/>
    </row>
    <row r="124" spans="1:35" s="1028" customFormat="1" ht="30" customHeight="1">
      <c r="A124" s="1014">
        <f>_xlfn.AGGREGATE(4,7,A$12:A123)+1</f>
        <v>112</v>
      </c>
      <c r="B124" s="1015" t="s">
        <v>1870</v>
      </c>
      <c r="C124" s="1033" t="s">
        <v>1702</v>
      </c>
      <c r="D124" s="1034" t="s">
        <v>1306</v>
      </c>
      <c r="E124" s="368" t="str">
        <f>VLOOKUP(B124,TH.Q2!B35:E366,4,FALSE)</f>
        <v>Giảng viên Khoa KHCB</v>
      </c>
      <c r="F124" s="1018">
        <v>4.9800000000000004</v>
      </c>
      <c r="G124" s="1019">
        <v>0.09</v>
      </c>
      <c r="H124" s="1255">
        <f t="shared" si="9"/>
        <v>0.44800000000000001</v>
      </c>
      <c r="I124" s="1020"/>
      <c r="J124" s="1020" t="str">
        <f>VLOOKUP(B124,'[15]Gui chi Quynh'!$B$11:$E$396,4,FALSE)</f>
        <v>A3</v>
      </c>
      <c r="K124" s="1020">
        <f t="shared" si="10"/>
        <v>0.6</v>
      </c>
      <c r="L124" s="1021">
        <v>23</v>
      </c>
      <c r="M124" s="1021">
        <f>VLOOKUP(B124,'[16]CN BC'!$H$10:$J$275,3,FALSE)</f>
        <v>23</v>
      </c>
      <c r="N124" s="1021">
        <f t="shared" si="11"/>
        <v>23</v>
      </c>
      <c r="O124" s="1035"/>
      <c r="P124" s="1023">
        <f t="shared" si="7"/>
        <v>7620912.0000000009</v>
      </c>
      <c r="Q124" s="1371">
        <f t="shared" si="12"/>
        <v>3.2568000000000006</v>
      </c>
      <c r="R124" s="1448">
        <v>2340000</v>
      </c>
      <c r="S124" s="1460">
        <f t="shared" si="13"/>
        <v>7620912.0000000009</v>
      </c>
      <c r="T124" s="1024">
        <f t="shared" si="14"/>
        <v>112</v>
      </c>
      <c r="U124" s="1025">
        <f>IFERROR(INDEX('[16]CN BC'!$M$10:$M$276,MATCH(B124,'[16]CN BC'!$H$10:$H$276,0)),"")</f>
        <v>0</v>
      </c>
      <c r="V124" s="1067" t="str">
        <f>VLOOKUP(B124,TH.T4!B131:AC461,28,FALSE)</f>
        <v>KHCB</v>
      </c>
      <c r="Y124" s="1038"/>
    </row>
    <row r="125" spans="1:35" s="1028" customFormat="1" ht="26.25" customHeight="1">
      <c r="A125" s="1014">
        <f>_xlfn.AGGREGATE(4,7,A$12:A124)+1</f>
        <v>113</v>
      </c>
      <c r="B125" s="1015" t="s">
        <v>847</v>
      </c>
      <c r="C125" s="1033" t="s">
        <v>1703</v>
      </c>
      <c r="D125" s="1034" t="s">
        <v>1307</v>
      </c>
      <c r="E125" s="81" t="str">
        <f>VLOOKUP(B125,TH.Q2!B36:E367,4,FALSE)</f>
        <v>Giảng viên khoa KHCB</v>
      </c>
      <c r="F125" s="1040">
        <v>3.99</v>
      </c>
      <c r="G125" s="1019"/>
      <c r="H125" s="1248">
        <f t="shared" si="9"/>
        <v>0</v>
      </c>
      <c r="I125" s="1020"/>
      <c r="J125" s="1020" t="str">
        <f>VLOOKUP(B125,'[15]Gui chi Quynh'!$B$11:$E$396,4,FALSE)</f>
        <v>A4</v>
      </c>
      <c r="K125" s="1020">
        <f t="shared" si="10"/>
        <v>0.5</v>
      </c>
      <c r="L125" s="1021">
        <v>23</v>
      </c>
      <c r="M125" s="1021">
        <f>VLOOKUP(B125,'[16]CN BC'!$H$10:$J$275,3,FALSE)</f>
        <v>23</v>
      </c>
      <c r="N125" s="1021">
        <f t="shared" si="11"/>
        <v>23</v>
      </c>
      <c r="O125" s="1022"/>
      <c r="P125" s="1023">
        <f t="shared" si="7"/>
        <v>4668300</v>
      </c>
      <c r="Q125" s="1371">
        <f t="shared" si="12"/>
        <v>1.9950000000000001</v>
      </c>
      <c r="R125" s="1448">
        <v>2340000</v>
      </c>
      <c r="S125" s="1460">
        <f t="shared" si="13"/>
        <v>4668300</v>
      </c>
      <c r="T125" s="1089">
        <f t="shared" si="14"/>
        <v>113</v>
      </c>
      <c r="U125" s="1025">
        <f>IFERROR(INDEX('[16]CN BC'!$M$10:$M$276,MATCH(B125,'[16]CN BC'!$H$10:$H$276,0)),"")</f>
        <v>0</v>
      </c>
      <c r="V125" s="1011" t="str">
        <f>VLOOKUP(B125,TH.T4!B132:AC462,28,FALSE)</f>
        <v>KHCB</v>
      </c>
      <c r="Y125" s="1038"/>
    </row>
    <row r="126" spans="1:35" s="1028" customFormat="1" ht="30" customHeight="1">
      <c r="A126" s="1014">
        <f>_xlfn.AGGREGATE(4,7,A$12:A125)+1</f>
        <v>114</v>
      </c>
      <c r="B126" s="1015" t="s">
        <v>1486</v>
      </c>
      <c r="C126" s="1029" t="s">
        <v>1704</v>
      </c>
      <c r="D126" s="1045" t="s">
        <v>1588</v>
      </c>
      <c r="E126" s="81" t="str">
        <f>VLOOKUP(B126,TH.Q2!B37:E368,4,FALSE)</f>
        <v>Giảng viên khoa KHCB</v>
      </c>
      <c r="F126" s="1040">
        <v>3.66</v>
      </c>
      <c r="G126" s="1019"/>
      <c r="H126" s="1248">
        <f t="shared" si="9"/>
        <v>0</v>
      </c>
      <c r="I126" s="1020"/>
      <c r="J126" s="1020" t="str">
        <f>VLOOKUP(B126,'[15]Gui chi Quynh'!$B$11:$E$396,4,FALSE)</f>
        <v>A3</v>
      </c>
      <c r="K126" s="1020">
        <f t="shared" si="10"/>
        <v>0.6</v>
      </c>
      <c r="L126" s="1021">
        <v>23</v>
      </c>
      <c r="M126" s="1021">
        <f>VLOOKUP(B126,'[16]CN BC'!$H$10:$J$275,3,FALSE)</f>
        <v>22</v>
      </c>
      <c r="N126" s="1021">
        <f t="shared" si="11"/>
        <v>22</v>
      </c>
      <c r="O126" s="1022"/>
      <c r="P126" s="1023">
        <f t="shared" si="7"/>
        <v>4915220.8695652168</v>
      </c>
      <c r="Q126" s="1371">
        <f t="shared" si="12"/>
        <v>2.1005217391304347</v>
      </c>
      <c r="R126" s="1448">
        <v>2340000</v>
      </c>
      <c r="S126" s="1460">
        <f t="shared" si="13"/>
        <v>4915220.8695652168</v>
      </c>
      <c r="T126" s="1089">
        <f t="shared" si="14"/>
        <v>114</v>
      </c>
      <c r="U126" s="1025">
        <f>IFERROR(INDEX('[16]CN BC'!$M$10:$M$276,MATCH(B126,'[16]CN BC'!$H$10:$H$276,0)),"")</f>
        <v>0</v>
      </c>
      <c r="V126" s="1011" t="str">
        <f>VLOOKUP(B126,TH.T4!B133:AC463,28,FALSE)</f>
        <v>KHCB</v>
      </c>
      <c r="W126" s="1012"/>
      <c r="X126" s="1012"/>
      <c r="Y126" s="1027"/>
      <c r="Z126" s="1012"/>
      <c r="AA126" s="1012"/>
      <c r="AB126" s="1012"/>
      <c r="AC126" s="1012"/>
      <c r="AD126" s="1012"/>
      <c r="AE126" s="1012"/>
      <c r="AF126" s="1012"/>
      <c r="AG126" s="1012"/>
      <c r="AH126" s="1012"/>
      <c r="AI126" s="1012"/>
    </row>
    <row r="127" spans="1:35" s="1012" customFormat="1" ht="30" customHeight="1">
      <c r="A127" s="1014">
        <f>_xlfn.AGGREGATE(4,7,A$12:A126)+1</f>
        <v>115</v>
      </c>
      <c r="B127" s="1015" t="s">
        <v>1871</v>
      </c>
      <c r="C127" s="1033" t="s">
        <v>1705</v>
      </c>
      <c r="D127" s="1034" t="s">
        <v>1309</v>
      </c>
      <c r="E127" s="81" t="str">
        <f>VLOOKUP(B127,TH.Q2!B38:E369,4,FALSE)</f>
        <v>Phó TK Khoa KHCB</v>
      </c>
      <c r="F127" s="1018">
        <v>4.9800000000000004</v>
      </c>
      <c r="G127" s="1019"/>
      <c r="H127" s="1248">
        <f t="shared" si="9"/>
        <v>0</v>
      </c>
      <c r="I127" s="1020">
        <v>0.35</v>
      </c>
      <c r="J127" s="1020" t="str">
        <f>VLOOKUP(B127,'[15]Gui chi Quynh'!$B$11:$E$396,4,FALSE)</f>
        <v>A2</v>
      </c>
      <c r="K127" s="1020">
        <f t="shared" si="10"/>
        <v>0.7</v>
      </c>
      <c r="L127" s="1021">
        <v>23</v>
      </c>
      <c r="M127" s="1021">
        <f>VLOOKUP(B127,'[16]CN BC'!$H$10:$J$275,3,FALSE)</f>
        <v>23</v>
      </c>
      <c r="N127" s="1021">
        <f t="shared" si="11"/>
        <v>23</v>
      </c>
      <c r="O127" s="1022"/>
      <c r="P127" s="1023">
        <f t="shared" si="7"/>
        <v>8730540</v>
      </c>
      <c r="Q127" s="1371">
        <f t="shared" si="12"/>
        <v>3.7309999999999999</v>
      </c>
      <c r="R127" s="1448">
        <v>2340000</v>
      </c>
      <c r="S127" s="1460">
        <f t="shared" si="13"/>
        <v>8730540</v>
      </c>
      <c r="T127" s="1089">
        <f t="shared" si="14"/>
        <v>115</v>
      </c>
      <c r="U127" s="1025">
        <f>IFERROR(INDEX('[16]CN BC'!$M$10:$M$276,MATCH(B127,'[16]CN BC'!$H$10:$H$276,0)),"")</f>
        <v>0</v>
      </c>
      <c r="V127" s="1011" t="str">
        <f>VLOOKUP(B127,TH.T4!B134:AC464,28,FALSE)</f>
        <v>KHCB</v>
      </c>
      <c r="Y127" s="1027"/>
    </row>
    <row r="128" spans="1:35" s="1028" customFormat="1" ht="30" customHeight="1">
      <c r="A128" s="1014">
        <f>_xlfn.AGGREGATE(4,7,A$12:A127)+1</f>
        <v>116</v>
      </c>
      <c r="B128" s="1015" t="s">
        <v>1872</v>
      </c>
      <c r="C128" s="1033" t="s">
        <v>1706</v>
      </c>
      <c r="D128" s="1034" t="s">
        <v>1311</v>
      </c>
      <c r="E128" s="368" t="str">
        <f>VLOOKUP(B128,TH.Q2!B39:E370,4,FALSE)</f>
        <v>Giảng viên Khoa KHCB</v>
      </c>
      <c r="F128" s="1018">
        <v>4.9800000000000004</v>
      </c>
      <c r="G128" s="1019">
        <v>0.06</v>
      </c>
      <c r="H128" s="1255">
        <f t="shared" si="9"/>
        <v>0.29899999999999999</v>
      </c>
      <c r="I128" s="1020"/>
      <c r="J128" s="1020" t="str">
        <f>VLOOKUP(B128,'[15]Gui chi Quynh'!$B$11:$E$396,4,FALSE)</f>
        <v>A3</v>
      </c>
      <c r="K128" s="1020">
        <f t="shared" si="10"/>
        <v>0.6</v>
      </c>
      <c r="L128" s="1021">
        <v>23</v>
      </c>
      <c r="M128" s="1021">
        <f>VLOOKUP(B128,'[16]CN BC'!$H$10:$J$275,3,FALSE)</f>
        <v>23</v>
      </c>
      <c r="N128" s="1021">
        <f t="shared" si="11"/>
        <v>23</v>
      </c>
      <c r="O128" s="1035"/>
      <c r="P128" s="1023">
        <f t="shared" si="7"/>
        <v>7411716.0000000019</v>
      </c>
      <c r="Q128" s="1371">
        <f t="shared" si="12"/>
        <v>3.1674000000000007</v>
      </c>
      <c r="R128" s="1448">
        <v>2340000</v>
      </c>
      <c r="S128" s="1460">
        <f t="shared" si="13"/>
        <v>7411716.0000000019</v>
      </c>
      <c r="T128" s="1089">
        <f t="shared" si="14"/>
        <v>116</v>
      </c>
      <c r="U128" s="1025">
        <f>IFERROR(INDEX('[16]CN BC'!$M$10:$M$276,MATCH(B128,'[16]CN BC'!$H$10:$H$276,0)),"")</f>
        <v>0</v>
      </c>
      <c r="V128" s="1067" t="str">
        <f>VLOOKUP(B128,TH.T4!B135:AC465,28,FALSE)</f>
        <v>KHCB</v>
      </c>
      <c r="Y128" s="1038"/>
    </row>
    <row r="129" spans="1:35" s="1028" customFormat="1" ht="32.25" customHeight="1">
      <c r="A129" s="1014">
        <f>_xlfn.AGGREGATE(4,7,A$12:A128)+1</f>
        <v>117</v>
      </c>
      <c r="B129" s="1015" t="s">
        <v>1487</v>
      </c>
      <c r="C129" s="1033" t="s">
        <v>1707</v>
      </c>
      <c r="D129" s="1034" t="s">
        <v>1312</v>
      </c>
      <c r="E129" s="81" t="str">
        <f>VLOOKUP(B129,TH.Q2!B40:E371,4,FALSE)</f>
        <v>Giảng viên khoa KHCB</v>
      </c>
      <c r="F129" s="1040">
        <v>3.99</v>
      </c>
      <c r="G129" s="1019"/>
      <c r="H129" s="1248">
        <f t="shared" si="9"/>
        <v>0</v>
      </c>
      <c r="I129" s="1020"/>
      <c r="J129" s="1020" t="str">
        <f>VLOOKUP(B129,'[15]Gui chi Quynh'!$B$11:$E$396,4,FALSE)</f>
        <v>A2</v>
      </c>
      <c r="K129" s="1020">
        <f t="shared" si="10"/>
        <v>0.7</v>
      </c>
      <c r="L129" s="1021">
        <v>23</v>
      </c>
      <c r="M129" s="1021">
        <f>VLOOKUP(B129,'[16]CN BC'!$H$10:$J$275,3,FALSE)</f>
        <v>23</v>
      </c>
      <c r="N129" s="1021">
        <f t="shared" si="11"/>
        <v>23</v>
      </c>
      <c r="O129" s="1022"/>
      <c r="P129" s="1023">
        <f t="shared" si="7"/>
        <v>6535620</v>
      </c>
      <c r="Q129" s="1371">
        <f t="shared" si="12"/>
        <v>2.7930000000000001</v>
      </c>
      <c r="R129" s="1448">
        <v>2340000</v>
      </c>
      <c r="S129" s="1460">
        <f t="shared" si="13"/>
        <v>6535620</v>
      </c>
      <c r="T129" s="1024">
        <f t="shared" si="14"/>
        <v>117</v>
      </c>
      <c r="U129" s="1025">
        <f>IFERROR(INDEX('[16]CN BC'!$M$10:$M$276,MATCH(B129,'[16]CN BC'!$H$10:$H$276,0)),"")</f>
        <v>0</v>
      </c>
      <c r="V129" s="1011" t="str">
        <f>VLOOKUP(B129,TH.T4!B136:AC466,28,FALSE)</f>
        <v>KHCB</v>
      </c>
      <c r="W129" s="1012"/>
      <c r="X129" s="1012"/>
      <c r="Y129" s="1038"/>
    </row>
    <row r="130" spans="1:35" s="1028" customFormat="1" ht="30" customHeight="1">
      <c r="A130" s="1014">
        <f>_xlfn.AGGREGATE(4,7,A$12:A129)+1</f>
        <v>118</v>
      </c>
      <c r="B130" s="1015" t="s">
        <v>1488</v>
      </c>
      <c r="C130" s="1033" t="s">
        <v>1708</v>
      </c>
      <c r="D130" s="1034" t="s">
        <v>374</v>
      </c>
      <c r="E130" s="81" t="str">
        <f>VLOOKUP(B130,TH.Q2!B41:E372,4,FALSE)</f>
        <v>Giảng viên khoa KHCB</v>
      </c>
      <c r="F130" s="1040">
        <v>3.66</v>
      </c>
      <c r="G130" s="1019"/>
      <c r="H130" s="1248">
        <f t="shared" si="9"/>
        <v>0</v>
      </c>
      <c r="I130" s="1020"/>
      <c r="J130" s="1020" t="str">
        <f>VLOOKUP(B130,'[15]Gui chi Quynh'!$B$11:$E$396,4,FALSE)</f>
        <v>A2</v>
      </c>
      <c r="K130" s="1020">
        <f t="shared" si="10"/>
        <v>0.7</v>
      </c>
      <c r="L130" s="1021">
        <v>23</v>
      </c>
      <c r="M130" s="1021">
        <f>VLOOKUP(B130,'[16]CN BC'!$H$10:$J$275,3,FALSE)</f>
        <v>23</v>
      </c>
      <c r="N130" s="1021">
        <f t="shared" si="11"/>
        <v>23</v>
      </c>
      <c r="O130" s="1022"/>
      <c r="P130" s="1023">
        <f t="shared" si="7"/>
        <v>5995080</v>
      </c>
      <c r="Q130" s="1371">
        <f t="shared" si="12"/>
        <v>2.5619999999999998</v>
      </c>
      <c r="R130" s="1448">
        <v>2340000</v>
      </c>
      <c r="S130" s="1460">
        <f t="shared" si="13"/>
        <v>5995080</v>
      </c>
      <c r="T130" s="1024">
        <f t="shared" si="14"/>
        <v>118</v>
      </c>
      <c r="U130" s="1025">
        <f>IFERROR(INDEX('[16]CN BC'!$M$10:$M$276,MATCH(B130,'[16]CN BC'!$H$10:$H$276,0)),"")</f>
        <v>0</v>
      </c>
      <c r="V130" s="1011" t="str">
        <f>VLOOKUP(B130,TH.T4!B137:AC467,28,FALSE)</f>
        <v>KHCB</v>
      </c>
      <c r="W130" s="1012"/>
      <c r="X130" s="1012"/>
      <c r="Y130" s="1027"/>
      <c r="Z130" s="1012"/>
      <c r="AA130" s="1012"/>
      <c r="AB130" s="1012"/>
      <c r="AC130" s="1012"/>
      <c r="AD130" s="1012"/>
      <c r="AE130" s="1012"/>
    </row>
    <row r="131" spans="1:35" s="1028" customFormat="1" ht="30" customHeight="1">
      <c r="A131" s="1014">
        <f>_xlfn.AGGREGATE(4,7,A$12:A130)+1</f>
        <v>119</v>
      </c>
      <c r="B131" s="1015" t="s">
        <v>1489</v>
      </c>
      <c r="C131" s="1033" t="s">
        <v>1709</v>
      </c>
      <c r="D131" s="1030" t="s">
        <v>1424</v>
      </c>
      <c r="E131" s="81" t="str">
        <f>VLOOKUP(B131,TH.Q2!B42:E373,4,FALSE)</f>
        <v>Giảng viên khoa KHCB</v>
      </c>
      <c r="F131" s="1040">
        <v>3.33</v>
      </c>
      <c r="G131" s="1019"/>
      <c r="H131" s="1248">
        <f t="shared" si="9"/>
        <v>0</v>
      </c>
      <c r="I131" s="1020"/>
      <c r="J131" s="1020" t="str">
        <f>VLOOKUP(B131,'[15]Gui chi Quynh'!$B$11:$E$396,4,FALSE)</f>
        <v>A2</v>
      </c>
      <c r="K131" s="1020">
        <f t="shared" si="10"/>
        <v>0.7</v>
      </c>
      <c r="L131" s="1021">
        <v>23</v>
      </c>
      <c r="M131" s="1021">
        <f>VLOOKUP(B131,'[16]CN BC'!$H$10:$J$275,3,FALSE)</f>
        <v>23</v>
      </c>
      <c r="N131" s="1021">
        <f t="shared" si="11"/>
        <v>23</v>
      </c>
      <c r="O131" s="1022"/>
      <c r="P131" s="1023">
        <f t="shared" si="7"/>
        <v>5454540</v>
      </c>
      <c r="Q131" s="1371">
        <f t="shared" si="12"/>
        <v>2.331</v>
      </c>
      <c r="R131" s="1448">
        <v>2340000</v>
      </c>
      <c r="S131" s="1460">
        <f t="shared" si="13"/>
        <v>5454540</v>
      </c>
      <c r="T131" s="1024">
        <f t="shared" si="14"/>
        <v>119</v>
      </c>
      <c r="U131" s="1025">
        <f>IFERROR(INDEX('[16]CN BC'!$M$10:$M$276,MATCH(B131,'[16]CN BC'!$H$10:$H$276,0)),"")</f>
        <v>0</v>
      </c>
      <c r="V131" s="1011" t="str">
        <f>VLOOKUP(B131,TH.T4!B138:AC468,28,FALSE)</f>
        <v>KHCB</v>
      </c>
      <c r="W131" s="1012"/>
      <c r="X131" s="1012"/>
      <c r="Y131" s="1027"/>
      <c r="Z131" s="1012"/>
      <c r="AA131" s="1012"/>
      <c r="AB131" s="1012"/>
      <c r="AC131" s="1012"/>
      <c r="AD131" s="1012"/>
      <c r="AE131" s="1012"/>
    </row>
    <row r="132" spans="1:35" s="1028" customFormat="1" ht="27.75" customHeight="1">
      <c r="A132" s="1014">
        <f>_xlfn.AGGREGATE(4,7,A$12:A131)+1</f>
        <v>120</v>
      </c>
      <c r="B132" s="1015" t="s">
        <v>1490</v>
      </c>
      <c r="C132" s="1033" t="s">
        <v>1710</v>
      </c>
      <c r="D132" s="1030" t="s">
        <v>1425</v>
      </c>
      <c r="E132" s="81" t="str">
        <f>VLOOKUP(B132,TH.Q2!B43:E374,4,FALSE)</f>
        <v>Giảng viên khoa KHCB</v>
      </c>
      <c r="F132" s="1040">
        <v>3.33</v>
      </c>
      <c r="G132" s="1019"/>
      <c r="H132" s="1248">
        <f t="shared" si="9"/>
        <v>0</v>
      </c>
      <c r="I132" s="1020"/>
      <c r="J132" s="1020" t="str">
        <f>VLOOKUP(B132,'[15]Gui chi Quynh'!$B$11:$E$396,4,FALSE)</f>
        <v>A3</v>
      </c>
      <c r="K132" s="1020">
        <f t="shared" si="10"/>
        <v>0.6</v>
      </c>
      <c r="L132" s="1021">
        <v>23</v>
      </c>
      <c r="M132" s="1021">
        <f>VLOOKUP(B132,'[16]CN BC'!$H$10:$J$275,3,FALSE)</f>
        <v>23</v>
      </c>
      <c r="N132" s="1021">
        <f t="shared" si="11"/>
        <v>23</v>
      </c>
      <c r="O132" s="1022"/>
      <c r="P132" s="1023">
        <f t="shared" si="7"/>
        <v>4675320</v>
      </c>
      <c r="Q132" s="1371">
        <f t="shared" si="12"/>
        <v>1.998</v>
      </c>
      <c r="R132" s="1448">
        <v>2340000</v>
      </c>
      <c r="S132" s="1460">
        <f t="shared" si="13"/>
        <v>4675320</v>
      </c>
      <c r="T132" s="1024">
        <f t="shared" si="14"/>
        <v>120</v>
      </c>
      <c r="U132" s="1025">
        <f>IFERROR(INDEX('[16]CN BC'!$M$10:$M$276,MATCH(B132,'[16]CN BC'!$H$10:$H$276,0)),"")</f>
        <v>0</v>
      </c>
      <c r="V132" s="1067" t="str">
        <f>VLOOKUP(B132,TH.T4!B139:AC469,28,FALSE)</f>
        <v>KHCB</v>
      </c>
      <c r="Y132" s="1038"/>
    </row>
    <row r="133" spans="1:35" s="1028" customFormat="1" ht="30" customHeight="1">
      <c r="A133" s="1014">
        <f>_xlfn.AGGREGATE(4,7,A$12:A132)+1</f>
        <v>121</v>
      </c>
      <c r="B133" s="1015" t="s">
        <v>1873</v>
      </c>
      <c r="C133" s="1033" t="s">
        <v>1711</v>
      </c>
      <c r="D133" s="1034" t="s">
        <v>1322</v>
      </c>
      <c r="E133" s="368" t="str">
        <f>VLOOKUP(B133,TH.Q2!B44:E375,4,FALSE)</f>
        <v>Giảng viên Khoa KHCB</v>
      </c>
      <c r="F133" s="1040">
        <v>4.32</v>
      </c>
      <c r="G133" s="1019"/>
      <c r="H133" s="1255">
        <f t="shared" si="9"/>
        <v>0</v>
      </c>
      <c r="I133" s="1020">
        <f>0.25</f>
        <v>0.25</v>
      </c>
      <c r="J133" s="1020" t="str">
        <f>VLOOKUP(B133,'[15]Gui chi Quynh'!$B$11:$E$396,4,FALSE)</f>
        <v>A3</v>
      </c>
      <c r="K133" s="1020">
        <f t="shared" si="10"/>
        <v>0.6</v>
      </c>
      <c r="L133" s="1021">
        <v>23</v>
      </c>
      <c r="M133" s="1021">
        <f>VLOOKUP(B133,'[16]CN BC'!$H$10:$J$275,3,FALSE)</f>
        <v>23</v>
      </c>
      <c r="N133" s="1021">
        <f t="shared" si="11"/>
        <v>23</v>
      </c>
      <c r="O133" s="1035"/>
      <c r="P133" s="1023">
        <f t="shared" si="7"/>
        <v>6416280</v>
      </c>
      <c r="Q133" s="1371">
        <f t="shared" si="12"/>
        <v>2.742</v>
      </c>
      <c r="R133" s="1448">
        <v>2340000</v>
      </c>
      <c r="S133" s="1460">
        <f t="shared" si="13"/>
        <v>6416280</v>
      </c>
      <c r="T133" s="1024">
        <f t="shared" si="14"/>
        <v>121</v>
      </c>
      <c r="U133" s="1025">
        <f>IFERROR(INDEX('[16]CN BC'!$M$10:$M$276,MATCH(B133,'[16]CN BC'!$H$10:$H$276,0)),"")</f>
        <v>0</v>
      </c>
      <c r="V133" s="1067" t="str">
        <f>VLOOKUP(B133,TH.T4!B140:AC470,28,FALSE)</f>
        <v>KHCB</v>
      </c>
      <c r="Y133" s="1038"/>
    </row>
    <row r="134" spans="1:35" s="1028" customFormat="1" ht="30" customHeight="1">
      <c r="A134" s="1014">
        <f>_xlfn.AGGREGATE(4,7,A$12:A133)+1</f>
        <v>122</v>
      </c>
      <c r="B134" s="1015" t="s">
        <v>1491</v>
      </c>
      <c r="C134" s="1033" t="s">
        <v>1712</v>
      </c>
      <c r="D134" s="1034" t="s">
        <v>1323</v>
      </c>
      <c r="E134" s="81" t="str">
        <f>VLOOKUP(B134,TH.Q2!B45:E376,4,FALSE)</f>
        <v>Giảng viên khoa KHCB</v>
      </c>
      <c r="F134" s="1040">
        <v>4.32</v>
      </c>
      <c r="G134" s="1019"/>
      <c r="H134" s="1248">
        <f t="shared" si="9"/>
        <v>0</v>
      </c>
      <c r="I134" s="1020"/>
      <c r="J134" s="1020" t="str">
        <f>VLOOKUP(B134,'[15]Gui chi Quynh'!$B$11:$E$396,4,FALSE)</f>
        <v>A3</v>
      </c>
      <c r="K134" s="1020">
        <f t="shared" si="10"/>
        <v>0.6</v>
      </c>
      <c r="L134" s="1021">
        <v>23</v>
      </c>
      <c r="M134" s="1021">
        <f>VLOOKUP(B134,'[16]CN BC'!$H$10:$J$275,3,FALSE)</f>
        <v>23</v>
      </c>
      <c r="N134" s="1021">
        <f t="shared" si="11"/>
        <v>23</v>
      </c>
      <c r="O134" s="1022"/>
      <c r="P134" s="1023">
        <f t="shared" si="7"/>
        <v>6065280</v>
      </c>
      <c r="Q134" s="1371">
        <f t="shared" si="12"/>
        <v>2.5920000000000001</v>
      </c>
      <c r="R134" s="1448">
        <v>2340000</v>
      </c>
      <c r="S134" s="1460">
        <f t="shared" si="13"/>
        <v>6065280</v>
      </c>
      <c r="T134" s="1024">
        <f t="shared" si="14"/>
        <v>122</v>
      </c>
      <c r="U134" s="1025">
        <f>IFERROR(INDEX('[16]CN BC'!$M$10:$M$276,MATCH(B134,'[16]CN BC'!$H$10:$H$276,0)),"")</f>
        <v>0</v>
      </c>
      <c r="V134" s="1011" t="str">
        <f>VLOOKUP(B134,TH.T4!B141:AC471,28,FALSE)</f>
        <v>KHCB</v>
      </c>
      <c r="W134" s="1012"/>
      <c r="X134" s="1012"/>
      <c r="Y134" s="1027"/>
      <c r="Z134" s="1012"/>
      <c r="AA134" s="1012"/>
      <c r="AB134" s="1012"/>
      <c r="AC134" s="1012"/>
      <c r="AD134" s="1012"/>
      <c r="AE134" s="1012"/>
    </row>
    <row r="135" spans="1:35" s="1028" customFormat="1" ht="30" customHeight="1">
      <c r="A135" s="1014">
        <f>_xlfn.AGGREGATE(4,7,A$12:A134)+1</f>
        <v>123</v>
      </c>
      <c r="B135" s="1015" t="s">
        <v>845</v>
      </c>
      <c r="C135" s="1033" t="s">
        <v>1713</v>
      </c>
      <c r="D135" s="1034" t="s">
        <v>1324</v>
      </c>
      <c r="E135" s="81" t="str">
        <f>VLOOKUP(B135,TH.Q2!B46:E377,4,FALSE)</f>
        <v>Giảng viên khoa KHCB</v>
      </c>
      <c r="F135" s="1040">
        <v>3.99</v>
      </c>
      <c r="G135" s="1019"/>
      <c r="H135" s="1248">
        <f t="shared" si="9"/>
        <v>0</v>
      </c>
      <c r="I135" s="1020"/>
      <c r="J135" s="1020" t="str">
        <f>VLOOKUP(B135,'[15]Gui chi Quynh'!$B$11:$E$396,4,FALSE)</f>
        <v>A1</v>
      </c>
      <c r="K135" s="1020">
        <f t="shared" si="10"/>
        <v>0.8</v>
      </c>
      <c r="L135" s="1021">
        <v>23</v>
      </c>
      <c r="M135" s="1021">
        <f>VLOOKUP(B135,'[16]CN BC'!$H$10:$J$275,3,FALSE)</f>
        <v>23</v>
      </c>
      <c r="N135" s="1021">
        <f t="shared" si="11"/>
        <v>23</v>
      </c>
      <c r="O135" s="1022"/>
      <c r="P135" s="1023">
        <f t="shared" si="7"/>
        <v>7469280</v>
      </c>
      <c r="Q135" s="1371">
        <f t="shared" si="12"/>
        <v>3.1920000000000002</v>
      </c>
      <c r="R135" s="1448">
        <v>2340000</v>
      </c>
      <c r="S135" s="1460">
        <f t="shared" si="13"/>
        <v>7469280</v>
      </c>
      <c r="T135" s="1024">
        <f t="shared" si="14"/>
        <v>123</v>
      </c>
      <c r="U135" s="1025">
        <f>IFERROR(INDEX('[16]CN BC'!$M$10:$M$276,MATCH(B135,'[16]CN BC'!$H$10:$H$276,0)),"")</f>
        <v>0</v>
      </c>
      <c r="V135" s="1011" t="str">
        <f>VLOOKUP(B135,TH.T4!B142:AC472,28,FALSE)</f>
        <v>KHCB</v>
      </c>
      <c r="W135" s="1012"/>
      <c r="X135" s="1012"/>
      <c r="Y135" s="1027"/>
      <c r="Z135" s="1012"/>
      <c r="AA135" s="1012"/>
      <c r="AB135" s="1012"/>
      <c r="AC135" s="1012"/>
      <c r="AD135" s="1012"/>
      <c r="AE135" s="1012"/>
    </row>
    <row r="136" spans="1:35" s="1028" customFormat="1" ht="31.5" customHeight="1">
      <c r="A136" s="1014">
        <f>_xlfn.AGGREGATE(4,7,A$12:A135)+1</f>
        <v>124</v>
      </c>
      <c r="B136" s="1015" t="s">
        <v>1492</v>
      </c>
      <c r="C136" s="1029" t="s">
        <v>1714</v>
      </c>
      <c r="D136" s="1090" t="s">
        <v>1938</v>
      </c>
      <c r="E136" s="81" t="str">
        <f>VLOOKUP(B136,TH.Q2!B47:E378,4,FALSE)</f>
        <v>Giảng viên khoa KHCB</v>
      </c>
      <c r="F136" s="1040">
        <v>3.99</v>
      </c>
      <c r="G136" s="1019"/>
      <c r="H136" s="1248">
        <f t="shared" si="9"/>
        <v>0</v>
      </c>
      <c r="I136" s="1020"/>
      <c r="J136" s="1020" t="str">
        <f>VLOOKUP(B136,'[15]Gui chi Quynh'!$B$11:$E$396,4,FALSE)</f>
        <v>A1</v>
      </c>
      <c r="K136" s="1020">
        <f t="shared" si="10"/>
        <v>0.8</v>
      </c>
      <c r="L136" s="1021">
        <v>23</v>
      </c>
      <c r="M136" s="1021">
        <f>VLOOKUP(B136,'[16]CN BC'!$H$10:$J$275,3,FALSE)</f>
        <v>23</v>
      </c>
      <c r="N136" s="1021">
        <f t="shared" si="11"/>
        <v>23</v>
      </c>
      <c r="O136" s="1022"/>
      <c r="P136" s="1023">
        <f t="shared" si="7"/>
        <v>7469280</v>
      </c>
      <c r="Q136" s="1371">
        <f t="shared" si="12"/>
        <v>3.1920000000000002</v>
      </c>
      <c r="R136" s="1448">
        <v>2340000</v>
      </c>
      <c r="S136" s="1460">
        <f t="shared" si="13"/>
        <v>7469280</v>
      </c>
      <c r="T136" s="1024">
        <f t="shared" si="14"/>
        <v>124</v>
      </c>
      <c r="U136" s="1025">
        <f>IFERROR(INDEX('[16]CN BC'!$M$10:$M$276,MATCH(B136,'[16]CN BC'!$H$10:$H$276,0)),"")</f>
        <v>0</v>
      </c>
      <c r="V136" s="1011" t="str">
        <f>VLOOKUP(B136,TH.T4!B143:AC473,28,FALSE)</f>
        <v>KHCB</v>
      </c>
      <c r="W136" s="1012"/>
      <c r="X136" s="1012"/>
      <c r="Y136" s="1027"/>
      <c r="Z136" s="1012"/>
      <c r="AA136" s="1012"/>
      <c r="AB136" s="1012"/>
      <c r="AC136" s="1012"/>
      <c r="AD136" s="1012"/>
      <c r="AE136" s="1012"/>
      <c r="AF136" s="1012"/>
      <c r="AG136" s="1012"/>
      <c r="AH136" s="1012"/>
      <c r="AI136" s="1012"/>
    </row>
    <row r="137" spans="1:35" s="1028" customFormat="1" ht="31.5" customHeight="1">
      <c r="A137" s="1014">
        <f>_xlfn.AGGREGATE(4,7,A$12:A136)+1</f>
        <v>125</v>
      </c>
      <c r="B137" s="1015" t="s">
        <v>1558</v>
      </c>
      <c r="C137" s="1033" t="s">
        <v>1715</v>
      </c>
      <c r="D137" s="1034" t="s">
        <v>21</v>
      </c>
      <c r="E137" s="81" t="str">
        <f>VLOOKUP(B137,TH.Q2!B48:E379,4,FALSE)</f>
        <v>Giảng viên khoa KHCB</v>
      </c>
      <c r="F137" s="1040">
        <v>4.32</v>
      </c>
      <c r="G137" s="1019"/>
      <c r="H137" s="1248">
        <f t="shared" si="9"/>
        <v>0</v>
      </c>
      <c r="I137" s="1020"/>
      <c r="J137" s="1020" t="str">
        <f>VLOOKUP(B137,'[15]Gui chi Quynh'!$B$11:$E$396,4,FALSE)</f>
        <v>A3</v>
      </c>
      <c r="K137" s="1020">
        <f t="shared" si="10"/>
        <v>0.6</v>
      </c>
      <c r="L137" s="1021">
        <v>23</v>
      </c>
      <c r="M137" s="1021">
        <f>VLOOKUP(B137,'[16]CN BC'!$H$10:$J$275,3,FALSE)</f>
        <v>23</v>
      </c>
      <c r="N137" s="1021">
        <f t="shared" si="11"/>
        <v>23</v>
      </c>
      <c r="O137" s="1022"/>
      <c r="P137" s="1023">
        <f t="shared" si="7"/>
        <v>6065280</v>
      </c>
      <c r="Q137" s="1371">
        <f t="shared" si="12"/>
        <v>2.5920000000000001</v>
      </c>
      <c r="R137" s="1448">
        <v>2340000</v>
      </c>
      <c r="S137" s="1460">
        <f t="shared" si="13"/>
        <v>6065280</v>
      </c>
      <c r="T137" s="1024">
        <f t="shared" si="14"/>
        <v>125</v>
      </c>
      <c r="U137" s="1025">
        <f>IFERROR(INDEX('[16]CN BC'!$M$10:$M$276,MATCH(B137,'[16]CN BC'!$H$10:$H$276,0)),"")</f>
        <v>0</v>
      </c>
      <c r="V137" s="1011" t="str">
        <f>VLOOKUP(B137,TH.T4!B144:AC474,28,FALSE)</f>
        <v>KHCB</v>
      </c>
      <c r="W137" s="1012"/>
      <c r="X137" s="1012"/>
      <c r="Y137" s="1027"/>
      <c r="Z137" s="1012"/>
      <c r="AA137" s="1012"/>
      <c r="AB137" s="1012"/>
      <c r="AC137" s="1012"/>
      <c r="AD137" s="1012"/>
      <c r="AE137" s="1012"/>
    </row>
    <row r="138" spans="1:35" s="1028" customFormat="1" ht="31.5" customHeight="1">
      <c r="A138" s="1014">
        <f>_xlfn.AGGREGATE(4,7,A$12:A137)+1</f>
        <v>126</v>
      </c>
      <c r="B138" s="1015" t="s">
        <v>1493</v>
      </c>
      <c r="C138" s="1033" t="s">
        <v>1716</v>
      </c>
      <c r="D138" s="1034" t="s">
        <v>1330</v>
      </c>
      <c r="E138" s="81" t="str">
        <f>VLOOKUP(B138,TH.Q2!B49:E380,4,FALSE)</f>
        <v>Giảng viên khoa Ngoại ngữ</v>
      </c>
      <c r="F138" s="1018">
        <v>4.6500000000000004</v>
      </c>
      <c r="G138" s="1019"/>
      <c r="H138" s="1248">
        <f t="shared" si="9"/>
        <v>0</v>
      </c>
      <c r="I138" s="1020"/>
      <c r="J138" s="1020" t="str">
        <f>VLOOKUP(B138,'[15]Gui chi Quynh'!$B$11:$E$396,4,FALSE)</f>
        <v>A4</v>
      </c>
      <c r="K138" s="1020">
        <f t="shared" si="10"/>
        <v>0.5</v>
      </c>
      <c r="L138" s="1021">
        <v>23</v>
      </c>
      <c r="M138" s="1021">
        <f>VLOOKUP(B138,'[16]CN BC'!$H$10:$J$275,3,FALSE)</f>
        <v>23</v>
      </c>
      <c r="N138" s="1021">
        <f t="shared" si="11"/>
        <v>23</v>
      </c>
      <c r="O138" s="1022"/>
      <c r="P138" s="1023">
        <f t="shared" si="7"/>
        <v>5440500</v>
      </c>
      <c r="Q138" s="1371">
        <f t="shared" si="12"/>
        <v>2.3250000000000002</v>
      </c>
      <c r="R138" s="1448">
        <v>2340000</v>
      </c>
      <c r="S138" s="1460">
        <f t="shared" si="13"/>
        <v>5440500</v>
      </c>
      <c r="T138" s="1024">
        <f t="shared" si="14"/>
        <v>126</v>
      </c>
      <c r="U138" s="1025">
        <f>IFERROR(INDEX('[16]CN BC'!$M$10:$M$276,MATCH(B138,'[16]CN BC'!$H$10:$H$276,0)),"")</f>
        <v>0</v>
      </c>
      <c r="V138" s="1011" t="str">
        <f>VLOOKUP(B138,TH.T4!B145:AC475,28,FALSE)</f>
        <v>NN</v>
      </c>
      <c r="W138" s="1012"/>
      <c r="X138" s="1012"/>
      <c r="Y138" s="1027"/>
    </row>
    <row r="139" spans="1:35" s="1028" customFormat="1" ht="31.5" customHeight="1">
      <c r="A139" s="1014">
        <f>_xlfn.AGGREGATE(4,7,A$12:A138)+1</f>
        <v>127</v>
      </c>
      <c r="B139" s="1015" t="s">
        <v>1874</v>
      </c>
      <c r="C139" s="1033" t="s">
        <v>1717</v>
      </c>
      <c r="D139" s="1034" t="s">
        <v>1331</v>
      </c>
      <c r="E139" s="81" t="str">
        <f>VLOOKUP(B139,TH.Q2!B50:E381,4,FALSE)</f>
        <v>Giảng viên khoa Ngoại ngữ</v>
      </c>
      <c r="F139" s="1018">
        <v>4.6500000000000004</v>
      </c>
      <c r="G139" s="1019"/>
      <c r="H139" s="1248">
        <f t="shared" si="9"/>
        <v>0</v>
      </c>
      <c r="I139" s="1020"/>
      <c r="J139" s="1020" t="str">
        <f>VLOOKUP(B139,'[15]Gui chi Quynh'!$B$11:$E$396,4,FALSE)</f>
        <v>A4</v>
      </c>
      <c r="K139" s="1020">
        <f t="shared" si="10"/>
        <v>0.5</v>
      </c>
      <c r="L139" s="1021">
        <v>23</v>
      </c>
      <c r="M139" s="1021">
        <f>VLOOKUP(B139,'[16]CN BC'!$H$10:$J$275,3,FALSE)</f>
        <v>23</v>
      </c>
      <c r="N139" s="1021">
        <f t="shared" si="11"/>
        <v>23</v>
      </c>
      <c r="O139" s="1022"/>
      <c r="P139" s="1023">
        <f t="shared" si="7"/>
        <v>5440500</v>
      </c>
      <c r="Q139" s="1371">
        <f t="shared" si="12"/>
        <v>2.3250000000000002</v>
      </c>
      <c r="R139" s="1448">
        <v>2340000</v>
      </c>
      <c r="S139" s="1460">
        <f t="shared" si="13"/>
        <v>5440500</v>
      </c>
      <c r="T139" s="1024">
        <f t="shared" si="14"/>
        <v>127</v>
      </c>
      <c r="U139" s="1025">
        <f>IFERROR(INDEX('[16]CN BC'!$M$10:$M$276,MATCH(B139,'[16]CN BC'!$H$10:$H$276,0)),"")</f>
        <v>0</v>
      </c>
      <c r="V139" s="1011" t="str">
        <f>VLOOKUP(B139,TH.T4!B146:AC476,28,FALSE)</f>
        <v>NN</v>
      </c>
      <c r="W139" s="1012"/>
      <c r="X139" s="1012"/>
      <c r="Y139" s="1027"/>
      <c r="Z139" s="1012"/>
      <c r="AA139" s="1012"/>
      <c r="AB139" s="1012"/>
      <c r="AC139" s="1012"/>
      <c r="AD139" s="1012"/>
      <c r="AE139" s="1012"/>
    </row>
    <row r="140" spans="1:35" s="1028" customFormat="1" ht="31.5" customHeight="1">
      <c r="A140" s="1014">
        <f>_xlfn.AGGREGATE(4,7,A$12:A139)+1</f>
        <v>128</v>
      </c>
      <c r="B140" s="1015" t="s">
        <v>1875</v>
      </c>
      <c r="C140" s="1033" t="s">
        <v>1718</v>
      </c>
      <c r="D140" s="1034" t="s">
        <v>1332</v>
      </c>
      <c r="E140" s="81" t="str">
        <f>VLOOKUP(B140,TH.Q2!B51:E382,4,FALSE)</f>
        <v>Giảng viên khoa Ngoại ngữ</v>
      </c>
      <c r="F140" s="1018">
        <v>4.6500000000000004</v>
      </c>
      <c r="G140" s="1019"/>
      <c r="H140" s="1248">
        <f t="shared" si="9"/>
        <v>0</v>
      </c>
      <c r="I140" s="1020"/>
      <c r="J140" s="1020" t="str">
        <f>VLOOKUP(B140,'[15]Gui chi Quynh'!$B$11:$E$396,4,FALSE)</f>
        <v>A4</v>
      </c>
      <c r="K140" s="1020">
        <f t="shared" si="10"/>
        <v>0.5</v>
      </c>
      <c r="L140" s="1021">
        <v>23</v>
      </c>
      <c r="M140" s="1021">
        <f>VLOOKUP(B140,'[16]CN BC'!$H$10:$J$275,3,FALSE)</f>
        <v>23</v>
      </c>
      <c r="N140" s="1021">
        <f t="shared" si="11"/>
        <v>23</v>
      </c>
      <c r="O140" s="1022"/>
      <c r="P140" s="1023">
        <f t="shared" si="7"/>
        <v>5440500</v>
      </c>
      <c r="Q140" s="1371">
        <f t="shared" si="12"/>
        <v>2.3250000000000002</v>
      </c>
      <c r="R140" s="1448">
        <v>2340000</v>
      </c>
      <c r="S140" s="1460">
        <f t="shared" si="13"/>
        <v>5440500</v>
      </c>
      <c r="T140" s="1024">
        <f t="shared" si="14"/>
        <v>128</v>
      </c>
      <c r="U140" s="1025">
        <f>IFERROR(INDEX('[16]CN BC'!$M$10:$M$276,MATCH(B140,'[16]CN BC'!$H$10:$H$276,0)),"")</f>
        <v>0</v>
      </c>
      <c r="V140" s="1011" t="str">
        <f>VLOOKUP(B140,TH.T4!B147:AC477,28,FALSE)</f>
        <v>NN</v>
      </c>
      <c r="W140" s="1012"/>
      <c r="X140" s="1012"/>
      <c r="Y140" s="1027"/>
    </row>
    <row r="141" spans="1:35" s="1028" customFormat="1" ht="31.5" customHeight="1">
      <c r="A141" s="1014">
        <f>_xlfn.AGGREGATE(4,7,A$12:A140)+1</f>
        <v>129</v>
      </c>
      <c r="B141" s="1015" t="s">
        <v>1494</v>
      </c>
      <c r="C141" s="1033" t="s">
        <v>1719</v>
      </c>
      <c r="D141" s="1034" t="s">
        <v>1333</v>
      </c>
      <c r="E141" s="81" t="str">
        <f>VLOOKUP(B141,TH.Q2!B52:E383,4,FALSE)</f>
        <v>Giảng viên khoa Ngoại ngữ</v>
      </c>
      <c r="F141" s="1040">
        <v>3.99</v>
      </c>
      <c r="G141" s="1019"/>
      <c r="H141" s="1248">
        <f t="shared" si="9"/>
        <v>0</v>
      </c>
      <c r="I141" s="1020"/>
      <c r="J141" s="1020" t="str">
        <f>VLOOKUP(B141,'[15]Gui chi Quynh'!$B$11:$E$396,4,FALSE)</f>
        <v>A3</v>
      </c>
      <c r="K141" s="1020">
        <f t="shared" si="10"/>
        <v>0.6</v>
      </c>
      <c r="L141" s="1021">
        <v>23</v>
      </c>
      <c r="M141" s="1021">
        <f>VLOOKUP(B141,'[16]CN BC'!$H$10:$J$275,3,FALSE)</f>
        <v>23</v>
      </c>
      <c r="N141" s="1021">
        <f t="shared" si="11"/>
        <v>23</v>
      </c>
      <c r="O141" s="1022"/>
      <c r="P141" s="1023">
        <f t="shared" ref="P141:P204" si="15">(((F141+H141+I141)*$P$9/L141*N141)*K141)+O141</f>
        <v>5601960</v>
      </c>
      <c r="Q141" s="1371">
        <f t="shared" si="12"/>
        <v>2.3940000000000001</v>
      </c>
      <c r="R141" s="1448">
        <v>2340000</v>
      </c>
      <c r="S141" s="1460">
        <f t="shared" si="13"/>
        <v>5601960</v>
      </c>
      <c r="T141" s="1024">
        <f t="shared" si="14"/>
        <v>129</v>
      </c>
      <c r="U141" s="1025">
        <f>IFERROR(INDEX('[16]CN BC'!$M$10:$M$276,MATCH(B141,'[16]CN BC'!$H$10:$H$276,0)),"")</f>
        <v>0</v>
      </c>
      <c r="V141" s="1011" t="str">
        <f>VLOOKUP(B141,TH.T4!B148:AC478,28,FALSE)</f>
        <v>NN</v>
      </c>
      <c r="W141" s="1012"/>
      <c r="X141" s="1012"/>
      <c r="Y141" s="1027"/>
      <c r="Z141" s="1012"/>
      <c r="AA141" s="1012"/>
      <c r="AB141" s="1012"/>
      <c r="AC141" s="1012"/>
      <c r="AD141" s="1012"/>
      <c r="AE141" s="1012"/>
    </row>
    <row r="142" spans="1:35" s="1028" customFormat="1" ht="31.5" customHeight="1">
      <c r="A142" s="1014">
        <f>_xlfn.AGGREGATE(4,7,A$12:A141)+1</f>
        <v>130</v>
      </c>
      <c r="B142" s="1015" t="s">
        <v>1495</v>
      </c>
      <c r="C142" s="1033" t="s">
        <v>1720</v>
      </c>
      <c r="D142" s="1034" t="s">
        <v>1335</v>
      </c>
      <c r="E142" s="81" t="str">
        <f>VLOOKUP(B142,TH.Q2!B53:E384,4,FALSE)</f>
        <v>Giảng viên khoa Ngoại ngữ</v>
      </c>
      <c r="F142" s="1018">
        <v>4.9800000000000004</v>
      </c>
      <c r="G142" s="1019"/>
      <c r="H142" s="1248">
        <f t="shared" si="9"/>
        <v>0</v>
      </c>
      <c r="I142" s="1020"/>
      <c r="J142" s="1020" t="str">
        <f>VLOOKUP(B142,'[15]Gui chi Quynh'!$B$11:$E$396,4,FALSE)</f>
        <v>A4</v>
      </c>
      <c r="K142" s="1020">
        <f t="shared" si="10"/>
        <v>0.5</v>
      </c>
      <c r="L142" s="1021">
        <v>23</v>
      </c>
      <c r="M142" s="1021">
        <f>VLOOKUP(B142,'[16]CN BC'!$H$10:$J$275,3,FALSE)</f>
        <v>23</v>
      </c>
      <c r="N142" s="1021">
        <f t="shared" ref="N142:N205" si="16">IF(M142&gt;=L142,L142,IF(M142&lt;L142,M142))</f>
        <v>23</v>
      </c>
      <c r="O142" s="1022"/>
      <c r="P142" s="1023">
        <f t="shared" si="15"/>
        <v>5826600.0000000009</v>
      </c>
      <c r="Q142" s="1371">
        <f t="shared" ref="Q142:Q205" si="17">P142/R142</f>
        <v>2.4900000000000002</v>
      </c>
      <c r="R142" s="1448">
        <v>2340000</v>
      </c>
      <c r="S142" s="1460">
        <f t="shared" ref="S142:S205" si="18">Q142*R142</f>
        <v>5826600.0000000009</v>
      </c>
      <c r="T142" s="1024">
        <f t="shared" si="14"/>
        <v>130</v>
      </c>
      <c r="U142" s="1025">
        <f>IFERROR(INDEX('[16]CN BC'!$M$10:$M$276,MATCH(B142,'[16]CN BC'!$H$10:$H$276,0)),"")</f>
        <v>0</v>
      </c>
      <c r="V142" s="1011" t="str">
        <f>VLOOKUP(B142,TH.T4!B149:AC479,28,FALSE)</f>
        <v>NN</v>
      </c>
      <c r="W142" s="1012"/>
      <c r="X142" s="1012"/>
      <c r="Y142" s="1027"/>
      <c r="Z142" s="1012"/>
      <c r="AA142" s="1012"/>
      <c r="AB142" s="1012"/>
      <c r="AC142" s="1012"/>
      <c r="AD142" s="1012"/>
      <c r="AE142" s="1012"/>
    </row>
    <row r="143" spans="1:35" s="1028" customFormat="1" ht="31.5" customHeight="1">
      <c r="A143" s="1014">
        <f>_xlfn.AGGREGATE(4,7,A$12:A142)+1</f>
        <v>131</v>
      </c>
      <c r="B143" s="1015" t="s">
        <v>1876</v>
      </c>
      <c r="C143" s="1033" t="s">
        <v>1721</v>
      </c>
      <c r="D143" s="1034" t="s">
        <v>504</v>
      </c>
      <c r="E143" s="81" t="str">
        <f>VLOOKUP(B143,TH.Q2!B54:E385,4,FALSE)</f>
        <v>Giảng viên khoa Ngoại ngữ</v>
      </c>
      <c r="F143" s="1040">
        <v>3.99</v>
      </c>
      <c r="G143" s="1019"/>
      <c r="H143" s="1248">
        <f t="shared" ref="H143:H206" si="19">ROUND(F143*G143,3)</f>
        <v>0</v>
      </c>
      <c r="I143" s="1020"/>
      <c r="J143" s="1020" t="str">
        <f>VLOOKUP(B143,'[15]Gui chi Quynh'!$B$11:$E$396,4,FALSE)</f>
        <v>A4</v>
      </c>
      <c r="K143" s="1020">
        <f t="shared" ref="K143:K206" si="20">IF(J143="A1",0.8,IF(J143="A2",0.7,IF(J143="A3",0.6,IF(J143="A4",0.5,IF(J143="B1",0.35,IF(J143="B2",0.25,IF(J143="C1",0.15,IF(J143="C2",0.1,0))))))))</f>
        <v>0.5</v>
      </c>
      <c r="L143" s="1021">
        <v>23</v>
      </c>
      <c r="M143" s="1021">
        <f>VLOOKUP(B143,'[16]CN BC'!$H$10:$J$275,3,FALSE)</f>
        <v>23</v>
      </c>
      <c r="N143" s="1021">
        <f t="shared" si="16"/>
        <v>23</v>
      </c>
      <c r="O143" s="1022"/>
      <c r="P143" s="1023">
        <f t="shared" si="15"/>
        <v>4668300</v>
      </c>
      <c r="Q143" s="1371">
        <f t="shared" si="17"/>
        <v>1.9950000000000001</v>
      </c>
      <c r="R143" s="1448">
        <v>2340000</v>
      </c>
      <c r="S143" s="1460">
        <f t="shared" si="18"/>
        <v>4668300</v>
      </c>
      <c r="T143" s="1024">
        <f t="shared" si="14"/>
        <v>131</v>
      </c>
      <c r="U143" s="1025">
        <f>IFERROR(INDEX('[16]CN BC'!$M$10:$M$276,MATCH(B143,'[16]CN BC'!$H$10:$H$276,0)),"")</f>
        <v>0</v>
      </c>
      <c r="V143" s="1011" t="str">
        <f>VLOOKUP(B143,TH.T4!B150:AC480,28,FALSE)</f>
        <v>NN</v>
      </c>
      <c r="W143" s="1012"/>
      <c r="X143" s="1012"/>
      <c r="Y143" s="1027"/>
      <c r="Z143" s="1012"/>
      <c r="AA143" s="1012"/>
      <c r="AB143" s="1012"/>
      <c r="AC143" s="1012"/>
      <c r="AD143" s="1012"/>
      <c r="AE143" s="1012"/>
    </row>
    <row r="144" spans="1:35" s="1028" customFormat="1" ht="31.5" customHeight="1">
      <c r="A144" s="1014">
        <f>_xlfn.AGGREGATE(4,7,A$12:A143)+1</f>
        <v>132</v>
      </c>
      <c r="B144" s="1015" t="s">
        <v>1496</v>
      </c>
      <c r="C144" s="1033" t="s">
        <v>1722</v>
      </c>
      <c r="D144" s="1030" t="s">
        <v>1589</v>
      </c>
      <c r="E144" s="81" t="str">
        <f>VLOOKUP(B144,TH.Q2!B55:E386,4,FALSE)</f>
        <v>Giảng viên khoa Ngoại ngữ</v>
      </c>
      <c r="F144" s="1040">
        <v>3.33</v>
      </c>
      <c r="G144" s="1019"/>
      <c r="H144" s="1248">
        <f t="shared" si="19"/>
        <v>0</v>
      </c>
      <c r="I144" s="1020">
        <v>0.45</v>
      </c>
      <c r="J144" s="1020" t="str">
        <f>VLOOKUP(B144,'[15]Gui chi Quynh'!$B$11:$E$396,4,FALSE)</f>
        <v>A2</v>
      </c>
      <c r="K144" s="1020">
        <f t="shared" si="20"/>
        <v>0.7</v>
      </c>
      <c r="L144" s="1021">
        <v>23</v>
      </c>
      <c r="M144" s="1021">
        <f>VLOOKUP(B144,'[16]CN BC'!$H$10:$J$275,3,FALSE)</f>
        <v>23</v>
      </c>
      <c r="N144" s="1021">
        <f t="shared" si="16"/>
        <v>23</v>
      </c>
      <c r="O144" s="1022"/>
      <c r="P144" s="1023">
        <f t="shared" si="15"/>
        <v>6191640</v>
      </c>
      <c r="Q144" s="1371">
        <f t="shared" si="17"/>
        <v>2.6459999999999999</v>
      </c>
      <c r="R144" s="1448">
        <v>2340000</v>
      </c>
      <c r="S144" s="1460">
        <f t="shared" si="18"/>
        <v>6191640</v>
      </c>
      <c r="T144" s="1024">
        <f t="shared" si="14"/>
        <v>132</v>
      </c>
      <c r="U144" s="1025">
        <f>IFERROR(INDEX('[16]CN BC'!$M$10:$M$276,MATCH(B144,'[16]CN BC'!$H$10:$H$276,0)),"")</f>
        <v>0</v>
      </c>
      <c r="V144" s="1011" t="str">
        <f>VLOOKUP(B144,TH.T4!B151:AC481,28,FALSE)</f>
        <v>NN</v>
      </c>
      <c r="W144" s="1012"/>
      <c r="X144" s="1012"/>
      <c r="Y144" s="1027"/>
      <c r="Z144" s="1012"/>
      <c r="AA144" s="1012"/>
      <c r="AB144" s="1012"/>
      <c r="AC144" s="1012"/>
      <c r="AD144" s="1012"/>
      <c r="AE144" s="1012"/>
    </row>
    <row r="145" spans="1:31" s="1028" customFormat="1" ht="31.5" customHeight="1">
      <c r="A145" s="1014">
        <f>_xlfn.AGGREGATE(4,7,A$12:A144)+1</f>
        <v>133</v>
      </c>
      <c r="B145" s="1015" t="s">
        <v>1497</v>
      </c>
      <c r="C145" s="1033" t="s">
        <v>1723</v>
      </c>
      <c r="D145" s="1030" t="s">
        <v>1590</v>
      </c>
      <c r="E145" s="81" t="str">
        <f>VLOOKUP(B145,TH.Q2!B56:E387,4,FALSE)</f>
        <v>Giảng viên khoa Ngoại ngữ</v>
      </c>
      <c r="F145" s="1040">
        <v>3</v>
      </c>
      <c r="G145" s="1019"/>
      <c r="H145" s="1248">
        <f t="shared" si="19"/>
        <v>0</v>
      </c>
      <c r="I145" s="1020"/>
      <c r="J145" s="1020" t="str">
        <f>VLOOKUP(B145,'[15]Gui chi Quynh'!$B$11:$E$396,4,FALSE)</f>
        <v>A4</v>
      </c>
      <c r="K145" s="1020">
        <f t="shared" si="20"/>
        <v>0.5</v>
      </c>
      <c r="L145" s="1021">
        <v>23</v>
      </c>
      <c r="M145" s="1021">
        <f>VLOOKUP(B145,'[16]CN BC'!$H$10:$J$275,3,FALSE)</f>
        <v>23</v>
      </c>
      <c r="N145" s="1021">
        <f t="shared" si="16"/>
        <v>23</v>
      </c>
      <c r="O145" s="1022"/>
      <c r="P145" s="1023">
        <f t="shared" si="15"/>
        <v>3510000</v>
      </c>
      <c r="Q145" s="1371">
        <f t="shared" si="17"/>
        <v>1.5</v>
      </c>
      <c r="R145" s="1448">
        <v>2340000</v>
      </c>
      <c r="S145" s="1460">
        <f t="shared" si="18"/>
        <v>3510000</v>
      </c>
      <c r="T145" s="1024">
        <f t="shared" si="14"/>
        <v>133</v>
      </c>
      <c r="U145" s="1025">
        <f>IFERROR(INDEX('[16]CN BC'!$M$10:$M$276,MATCH(B145,'[16]CN BC'!$H$10:$H$276,0)),"")</f>
        <v>0</v>
      </c>
      <c r="V145" s="1011" t="str">
        <f>VLOOKUP(B145,TH.T4!B152:AC482,28,FALSE)</f>
        <v>NN</v>
      </c>
      <c r="W145" s="1012"/>
      <c r="X145" s="1012"/>
      <c r="Y145" s="1027"/>
      <c r="Z145" s="1012"/>
      <c r="AA145" s="1012"/>
      <c r="AB145" s="1012"/>
      <c r="AC145" s="1012"/>
      <c r="AD145" s="1012"/>
      <c r="AE145" s="1012"/>
    </row>
    <row r="146" spans="1:31" s="1028" customFormat="1" ht="31.5" customHeight="1">
      <c r="A146" s="1014">
        <f>_xlfn.AGGREGATE(4,7,A$12:A145)+1</f>
        <v>134</v>
      </c>
      <c r="B146" s="1015" t="s">
        <v>1929</v>
      </c>
      <c r="C146" s="1033" t="s">
        <v>1964</v>
      </c>
      <c r="D146" s="1066" t="s">
        <v>1932</v>
      </c>
      <c r="E146" s="81" t="str">
        <f>VLOOKUP(B146,TH.Q2!B57:E388,4,FALSE)</f>
        <v>Giảng viên khoa Ngoại ngữ</v>
      </c>
      <c r="F146" s="1018">
        <v>2.67</v>
      </c>
      <c r="G146" s="1019"/>
      <c r="H146" s="1248">
        <f t="shared" si="19"/>
        <v>0</v>
      </c>
      <c r="I146" s="1020"/>
      <c r="J146" s="1020" t="str">
        <f>VLOOKUP(B146,'[15]Gui chi Quynh'!$B$11:$E$396,4,FALSE)</f>
        <v>A4</v>
      </c>
      <c r="K146" s="1020">
        <f t="shared" si="20"/>
        <v>0.5</v>
      </c>
      <c r="L146" s="1021">
        <v>23</v>
      </c>
      <c r="M146" s="1021">
        <f>VLOOKUP(B146,'[16]CN BC'!$H$10:$J$275,3,FALSE)</f>
        <v>23</v>
      </c>
      <c r="N146" s="1021">
        <f t="shared" si="16"/>
        <v>23</v>
      </c>
      <c r="O146" s="1022"/>
      <c r="P146" s="1023">
        <f t="shared" si="15"/>
        <v>3123900</v>
      </c>
      <c r="Q146" s="1371">
        <f t="shared" si="17"/>
        <v>1.335</v>
      </c>
      <c r="R146" s="1448">
        <v>2340000</v>
      </c>
      <c r="S146" s="1460">
        <f t="shared" si="18"/>
        <v>3123900</v>
      </c>
      <c r="T146" s="1024">
        <f t="shared" si="14"/>
        <v>134</v>
      </c>
      <c r="U146" s="1025">
        <f>IFERROR(INDEX('[16]CN BC'!$M$10:$M$276,MATCH(B146,'[16]CN BC'!$H$10:$H$276,0)),"")</f>
        <v>0</v>
      </c>
      <c r="V146" s="1011" t="str">
        <f>VLOOKUP(B146,TH.T4!B153:AC483,28,FALSE)</f>
        <v>NN</v>
      </c>
      <c r="W146" s="1012"/>
      <c r="X146" s="1012"/>
      <c r="Y146" s="1027"/>
      <c r="Z146" s="1012"/>
      <c r="AA146" s="1012"/>
      <c r="AB146" s="1012"/>
      <c r="AC146" s="1012"/>
      <c r="AD146" s="1012"/>
      <c r="AE146" s="1012"/>
    </row>
    <row r="147" spans="1:31" s="1028" customFormat="1" ht="28.5" customHeight="1">
      <c r="A147" s="1014">
        <f>_xlfn.AGGREGATE(4,7,A$12:A146)+1</f>
        <v>135</v>
      </c>
      <c r="B147" s="1015" t="s">
        <v>1498</v>
      </c>
      <c r="C147" s="1033" t="s">
        <v>1724</v>
      </c>
      <c r="D147" s="1030" t="s">
        <v>1591</v>
      </c>
      <c r="E147" s="81" t="str">
        <f>VLOOKUP(B147,TH.Q2!B58:E389,4,FALSE)</f>
        <v>Giảng viên khoa Ngoại ngữ</v>
      </c>
      <c r="F147" s="1040">
        <v>3</v>
      </c>
      <c r="G147" s="1019"/>
      <c r="H147" s="1248">
        <f t="shared" si="19"/>
        <v>0</v>
      </c>
      <c r="I147" s="1020"/>
      <c r="J147" s="1020" t="str">
        <f>VLOOKUP(B147,'[15]Gui chi Quynh'!$B$11:$E$396,4,FALSE)</f>
        <v>A3</v>
      </c>
      <c r="K147" s="1020">
        <f t="shared" si="20"/>
        <v>0.6</v>
      </c>
      <c r="L147" s="1021">
        <v>23</v>
      </c>
      <c r="M147" s="1021">
        <f>VLOOKUP(B147,'[16]CN BC'!$H$10:$J$275,3,FALSE)</f>
        <v>23</v>
      </c>
      <c r="N147" s="1021">
        <f t="shared" si="16"/>
        <v>23</v>
      </c>
      <c r="O147" s="1022"/>
      <c r="P147" s="1023">
        <f t="shared" si="15"/>
        <v>4212000</v>
      </c>
      <c r="Q147" s="1371">
        <f t="shared" si="17"/>
        <v>1.8</v>
      </c>
      <c r="R147" s="1448">
        <v>2340000</v>
      </c>
      <c r="S147" s="1460">
        <f t="shared" si="18"/>
        <v>4212000</v>
      </c>
      <c r="T147" s="1024">
        <f t="shared" si="14"/>
        <v>135</v>
      </c>
      <c r="U147" s="1025">
        <f>IFERROR(INDEX('[16]CN BC'!$M$10:$M$276,MATCH(B147,'[16]CN BC'!$H$10:$H$276,0)),"")</f>
        <v>0</v>
      </c>
      <c r="V147" s="1011" t="str">
        <f>VLOOKUP(B147,TH.T4!B154:AC484,28,FALSE)</f>
        <v>NN</v>
      </c>
      <c r="W147" s="1012"/>
      <c r="X147" s="1012"/>
      <c r="Y147" s="1038"/>
    </row>
    <row r="148" spans="1:31" s="1028" customFormat="1" ht="43.5" customHeight="1">
      <c r="A148" s="1014">
        <f>_xlfn.AGGREGATE(4,7,A$12:A147)+1</f>
        <v>136</v>
      </c>
      <c r="B148" s="1015" t="s">
        <v>1925</v>
      </c>
      <c r="C148" s="1033" t="s">
        <v>1965</v>
      </c>
      <c r="D148" s="1091" t="s">
        <v>1930</v>
      </c>
      <c r="E148" s="81" t="str">
        <f>VLOOKUP(B148,TH.Q2!B59:E390,4,FALSE)</f>
        <v>Giảng viên khoa Ngoại ngữ</v>
      </c>
      <c r="F148" s="1018">
        <v>2.67</v>
      </c>
      <c r="G148" s="1019"/>
      <c r="H148" s="1248">
        <f t="shared" si="19"/>
        <v>0</v>
      </c>
      <c r="I148" s="1020"/>
      <c r="J148" s="1020" t="str">
        <f>VLOOKUP(B148,'[15]Gui chi Quynh'!$B$11:$E$396,4,FALSE)</f>
        <v>A4</v>
      </c>
      <c r="K148" s="1020">
        <f t="shared" si="20"/>
        <v>0.5</v>
      </c>
      <c r="L148" s="1021">
        <v>23</v>
      </c>
      <c r="M148" s="1021">
        <f>VLOOKUP(B148,'[16]CN BC'!$H$10:$J$275,3,FALSE)</f>
        <v>13</v>
      </c>
      <c r="N148" s="1021">
        <f t="shared" si="16"/>
        <v>13</v>
      </c>
      <c r="O148" s="1022"/>
      <c r="P148" s="1023">
        <f t="shared" si="15"/>
        <v>1765682.6086956521</v>
      </c>
      <c r="Q148" s="1371">
        <f t="shared" si="17"/>
        <v>0.75456521739130433</v>
      </c>
      <c r="R148" s="1448">
        <v>2340000</v>
      </c>
      <c r="S148" s="1460">
        <f t="shared" si="18"/>
        <v>1765682.6086956521</v>
      </c>
      <c r="T148" s="1024">
        <f t="shared" si="14"/>
        <v>136</v>
      </c>
      <c r="U148" s="1025" t="str">
        <f>IFERROR(INDEX('[16]CN BC'!$M$10:$M$276,MATCH(B148,'[16]CN BC'!$H$10:$H$276,0)),"")</f>
        <v>NGhỉ bệnh hưởng chế độ BHXH từ ngày 2 đến 16/10/2024</v>
      </c>
      <c r="V148" s="1011" t="str">
        <f>VLOOKUP(B148,TH.T4!B155:AC485,28,FALSE)</f>
        <v>NN</v>
      </c>
      <c r="W148" s="1012"/>
      <c r="X148" s="1012"/>
      <c r="Y148" s="1038"/>
    </row>
    <row r="149" spans="1:31" s="1028" customFormat="1" ht="30.75" customHeight="1">
      <c r="A149" s="1014">
        <f>_xlfn.AGGREGATE(4,7,A$12:A148)+1</f>
        <v>137</v>
      </c>
      <c r="B149" s="1015" t="s">
        <v>2018</v>
      </c>
      <c r="C149" s="1033"/>
      <c r="D149" s="1091"/>
      <c r="E149" s="368" t="str">
        <f>VLOOKUP(B149,TH.Q2!B60:E391,4,FALSE)</f>
        <v>Giảng viên khoa Ngoại ngữ</v>
      </c>
      <c r="F149" s="1018">
        <v>1.9890000000000001</v>
      </c>
      <c r="G149" s="1019"/>
      <c r="H149" s="1255">
        <f t="shared" si="19"/>
        <v>0</v>
      </c>
      <c r="I149" s="1020"/>
      <c r="J149" s="1020" t="str">
        <f>VLOOKUP(B149,'[15]Gui chi Quynh'!$B$11:$E$396,4,FALSE)</f>
        <v>A4</v>
      </c>
      <c r="K149" s="1020">
        <f t="shared" si="20"/>
        <v>0.5</v>
      </c>
      <c r="L149" s="1021">
        <v>23</v>
      </c>
      <c r="M149" s="1021">
        <f>VLOOKUP(B149,'[16]CN BC'!$H$10:$J$275,3,FALSE)</f>
        <v>23</v>
      </c>
      <c r="N149" s="1021">
        <f t="shared" si="16"/>
        <v>23</v>
      </c>
      <c r="O149" s="1035"/>
      <c r="P149" s="1023">
        <f t="shared" si="15"/>
        <v>2327130</v>
      </c>
      <c r="Q149" s="1371">
        <f t="shared" si="17"/>
        <v>0.99450000000000005</v>
      </c>
      <c r="R149" s="1448">
        <v>2340000</v>
      </c>
      <c r="S149" s="1460">
        <f t="shared" si="18"/>
        <v>2327130</v>
      </c>
      <c r="T149" s="1024">
        <f t="shared" si="14"/>
        <v>137</v>
      </c>
      <c r="U149" s="1025">
        <f>IFERROR(INDEX('[16]CN BC'!$M$10:$M$276,MATCH(B149,'[16]CN BC'!$H$10:$H$276,0)),"")</f>
        <v>0</v>
      </c>
      <c r="V149" s="1067" t="str">
        <f>VLOOKUP(B149,TH.T4!B156:AC486,28,FALSE)</f>
        <v>NN</v>
      </c>
      <c r="Y149" s="1038"/>
    </row>
    <row r="150" spans="1:31" s="1028" customFormat="1" ht="30.75" customHeight="1">
      <c r="A150" s="1014">
        <f>_xlfn.AGGREGATE(4,7,A$12:A149)+1</f>
        <v>138</v>
      </c>
      <c r="B150" s="1015" t="s">
        <v>2024</v>
      </c>
      <c r="C150" s="1033"/>
      <c r="D150" s="1091"/>
      <c r="E150" s="81" t="str">
        <f>VLOOKUP(B150,TH.Q2!B61:E392,4,FALSE)</f>
        <v>Giảng viên khoa Ngoại ngữ</v>
      </c>
      <c r="F150" s="1018">
        <v>1.9890000000000001</v>
      </c>
      <c r="G150" s="1019"/>
      <c r="H150" s="1248">
        <f t="shared" si="19"/>
        <v>0</v>
      </c>
      <c r="I150" s="1020"/>
      <c r="J150" s="1020" t="str">
        <f>VLOOKUP(B150,'[15]Gui chi Quynh'!$B$11:$E$396,4,FALSE)</f>
        <v>A4</v>
      </c>
      <c r="K150" s="1020">
        <f t="shared" si="20"/>
        <v>0.5</v>
      </c>
      <c r="L150" s="1021">
        <v>23</v>
      </c>
      <c r="M150" s="1021">
        <f>VLOOKUP(B150,'[16]CN BC'!$H$10:$J$275,3,FALSE)</f>
        <v>23</v>
      </c>
      <c r="N150" s="1021">
        <f t="shared" si="16"/>
        <v>23</v>
      </c>
      <c r="O150" s="1022"/>
      <c r="P150" s="1023">
        <f t="shared" si="15"/>
        <v>2327130</v>
      </c>
      <c r="Q150" s="1371">
        <f t="shared" si="17"/>
        <v>0.99450000000000005</v>
      </c>
      <c r="R150" s="1448">
        <v>2340000</v>
      </c>
      <c r="S150" s="1460">
        <f t="shared" si="18"/>
        <v>2327130</v>
      </c>
      <c r="T150" s="1024">
        <f t="shared" si="14"/>
        <v>138</v>
      </c>
      <c r="U150" s="1025">
        <f>IFERROR(INDEX('[16]CN BC'!$M$10:$M$276,MATCH(B150,'[16]CN BC'!$H$10:$H$276,0)),"")</f>
        <v>0</v>
      </c>
      <c r="V150" s="1011" t="str">
        <f>VLOOKUP(B150,TH.T4!B157:AC487,28,FALSE)</f>
        <v>NN</v>
      </c>
      <c r="Y150" s="1038"/>
    </row>
    <row r="151" spans="1:31" s="1028" customFormat="1" ht="30.75" customHeight="1">
      <c r="A151" s="1014">
        <f>_xlfn.AGGREGATE(4,7,A$12:A150)+1</f>
        <v>139</v>
      </c>
      <c r="B151" s="1015" t="s">
        <v>2006</v>
      </c>
      <c r="C151" s="1033"/>
      <c r="D151" s="1091"/>
      <c r="E151" s="81" t="str">
        <f>VLOOKUP(B151,TH.Q2!B62:E393,4,FALSE)</f>
        <v>Giảng viên khoa Ngoại ngữ</v>
      </c>
      <c r="F151" s="1018">
        <v>2.34</v>
      </c>
      <c r="G151" s="1019"/>
      <c r="H151" s="1248">
        <f t="shared" si="19"/>
        <v>0</v>
      </c>
      <c r="I151" s="1020"/>
      <c r="J151" s="1020" t="str">
        <f>VLOOKUP(B151,'[15]Gui chi Quynh'!$B$11:$E$396,4,FALSE)</f>
        <v>A3</v>
      </c>
      <c r="K151" s="1020">
        <f t="shared" si="20"/>
        <v>0.6</v>
      </c>
      <c r="L151" s="1021">
        <v>23</v>
      </c>
      <c r="M151" s="1021">
        <f>VLOOKUP(B151,'[16]CN BC'!$H$10:$J$275,3,FALSE)</f>
        <v>23</v>
      </c>
      <c r="N151" s="1021">
        <f t="shared" si="16"/>
        <v>23</v>
      </c>
      <c r="O151" s="1022"/>
      <c r="P151" s="1023">
        <f t="shared" si="15"/>
        <v>3285360</v>
      </c>
      <c r="Q151" s="1371">
        <f t="shared" si="17"/>
        <v>1.4039999999999999</v>
      </c>
      <c r="R151" s="1448">
        <v>2340000</v>
      </c>
      <c r="S151" s="1460">
        <f t="shared" si="18"/>
        <v>3285360</v>
      </c>
      <c r="T151" s="1024">
        <f t="shared" si="14"/>
        <v>139</v>
      </c>
      <c r="U151" s="1025">
        <f>IFERROR(INDEX('[16]CN BC'!$M$10:$M$276,MATCH(B151,'[16]CN BC'!$H$10:$H$276,0)),"")</f>
        <v>0</v>
      </c>
      <c r="V151" s="1011" t="str">
        <f>VLOOKUP(B151,TH.T4!B158:AC488,28,FALSE)</f>
        <v>NN</v>
      </c>
      <c r="Y151" s="1038"/>
    </row>
    <row r="152" spans="1:31" s="1028" customFormat="1" ht="27.75" customHeight="1">
      <c r="A152" s="1014">
        <f>_xlfn.AGGREGATE(4,7,A$12:A151)+1</f>
        <v>140</v>
      </c>
      <c r="B152" s="1015" t="s">
        <v>2345</v>
      </c>
      <c r="C152" s="1033"/>
      <c r="D152" s="1091"/>
      <c r="E152" s="368" t="str">
        <f>VLOOKUP(B152,TH.Q2!B63:E394,4,FALSE)</f>
        <v>Giảng viên khoa Ngoại ngữ</v>
      </c>
      <c r="F152" s="1018">
        <v>1.9890000000000001</v>
      </c>
      <c r="G152" s="1019"/>
      <c r="H152" s="1248">
        <f t="shared" si="19"/>
        <v>0</v>
      </c>
      <c r="I152" s="1020"/>
      <c r="J152" s="1020" t="str">
        <f>VLOOKUP(B152,'[15]Gui chi Quynh'!$B$11:$E$396,4,FALSE)</f>
        <v>A4</v>
      </c>
      <c r="K152" s="1020">
        <f t="shared" si="20"/>
        <v>0.5</v>
      </c>
      <c r="L152" s="1021">
        <v>23</v>
      </c>
      <c r="M152" s="1021">
        <f>VLOOKUP(B152,'[16]CN BC'!$H$10:$J$275,3,FALSE)</f>
        <v>23</v>
      </c>
      <c r="N152" s="1021">
        <f t="shared" si="16"/>
        <v>23</v>
      </c>
      <c r="O152" s="1035"/>
      <c r="P152" s="1023">
        <f>(((F152+H153+I152)*$P$9/L152*N152)*K152)+O152</f>
        <v>2327130</v>
      </c>
      <c r="Q152" s="1371">
        <f t="shared" si="17"/>
        <v>0.99450000000000005</v>
      </c>
      <c r="R152" s="1448">
        <v>2340000</v>
      </c>
      <c r="S152" s="1460">
        <f t="shared" si="18"/>
        <v>2327130</v>
      </c>
      <c r="T152" s="1024"/>
      <c r="U152" s="1025">
        <f>IFERROR(INDEX('[16]CN BC'!$M$10:$M$276,MATCH(B152,'[16]CN BC'!$H$10:$H$276,0)),"")</f>
        <v>0</v>
      </c>
      <c r="V152" s="1067"/>
      <c r="Y152" s="1038"/>
    </row>
    <row r="153" spans="1:31" s="1028" customFormat="1" ht="30.75" customHeight="1">
      <c r="A153" s="1014">
        <f>_xlfn.AGGREGATE(4,7,A$12:A152)+1</f>
        <v>141</v>
      </c>
      <c r="B153" s="1432" t="s">
        <v>2393</v>
      </c>
      <c r="C153" s="1433"/>
      <c r="D153" s="1434"/>
      <c r="E153" s="472" t="s">
        <v>2374</v>
      </c>
      <c r="F153" s="1435">
        <v>1.9890000000000001</v>
      </c>
      <c r="G153" s="1082"/>
      <c r="H153" s="1253">
        <f t="shared" si="19"/>
        <v>0</v>
      </c>
      <c r="I153" s="1083"/>
      <c r="J153" s="1083" t="str">
        <f>VLOOKUP(B153,'[15]Gui chi Quynh'!$B$11:$E$396,4,FALSE)</f>
        <v>A4</v>
      </c>
      <c r="K153" s="1083">
        <f t="shared" si="20"/>
        <v>0.5</v>
      </c>
      <c r="L153" s="1203">
        <v>23</v>
      </c>
      <c r="M153" s="1203">
        <f>VLOOKUP(B153,'[16]CN BC'!$H$10:$J$275,3,FALSE)</f>
        <v>23</v>
      </c>
      <c r="N153" s="1203">
        <f t="shared" si="16"/>
        <v>23</v>
      </c>
      <c r="O153" s="1084"/>
      <c r="P153" s="1204">
        <f>(((F153+H154+I153)*$P$9/L153*N153)*K153)+O153</f>
        <v>2327130</v>
      </c>
      <c r="Q153" s="1420">
        <f t="shared" si="17"/>
        <v>0.99450000000000005</v>
      </c>
      <c r="R153" s="1459">
        <v>2340000</v>
      </c>
      <c r="S153" s="1461">
        <f t="shared" si="18"/>
        <v>2327130</v>
      </c>
      <c r="T153" s="1085"/>
      <c r="U153" s="1205" t="s">
        <v>2395</v>
      </c>
      <c r="V153" s="1067"/>
      <c r="Y153" s="1038"/>
    </row>
    <row r="154" spans="1:31" s="1028" customFormat="1" ht="30" customHeight="1">
      <c r="A154" s="1014">
        <f>_xlfn.AGGREGATE(4,7,A$12:A153)+1</f>
        <v>142</v>
      </c>
      <c r="B154" s="1015" t="s">
        <v>1499</v>
      </c>
      <c r="C154" s="1033" t="s">
        <v>1725</v>
      </c>
      <c r="D154" s="1034" t="s">
        <v>378</v>
      </c>
      <c r="E154" s="81" t="str">
        <f>VLOOKUP(B154,TH.Q2!B64:E395,4,FALSE)</f>
        <v>Phó Trưởng khoa LLCT</v>
      </c>
      <c r="F154" s="1040">
        <v>3.99</v>
      </c>
      <c r="G154" s="1100"/>
      <c r="H154" s="1248">
        <f t="shared" si="19"/>
        <v>0</v>
      </c>
      <c r="I154" s="1020">
        <v>0.35</v>
      </c>
      <c r="J154" s="1020" t="str">
        <f>VLOOKUP(B154,'[15]Gui chi Quynh'!$B$11:$E$396,4,FALSE)</f>
        <v>A3</v>
      </c>
      <c r="K154" s="1020">
        <f t="shared" si="20"/>
        <v>0.6</v>
      </c>
      <c r="L154" s="1021">
        <v>23</v>
      </c>
      <c r="M154" s="1021">
        <f>VLOOKUP(B154,'[16]CN BC'!$H$10:$J$275,3,FALSE)</f>
        <v>23</v>
      </c>
      <c r="N154" s="1021">
        <f t="shared" si="16"/>
        <v>23</v>
      </c>
      <c r="O154" s="1022"/>
      <c r="P154" s="1023">
        <f t="shared" si="15"/>
        <v>6093360</v>
      </c>
      <c r="Q154" s="1371">
        <f t="shared" si="17"/>
        <v>2.6040000000000001</v>
      </c>
      <c r="R154" s="1448">
        <v>2340000</v>
      </c>
      <c r="S154" s="1460">
        <f t="shared" si="18"/>
        <v>6093360</v>
      </c>
      <c r="T154" s="1024">
        <f t="shared" ref="T154:T217" si="21">A154</f>
        <v>142</v>
      </c>
      <c r="U154" s="1025">
        <f>IFERROR(INDEX('[16]CN BC'!$M$10:$M$276,MATCH(B154,'[16]CN BC'!$H$10:$H$276,0)),"")</f>
        <v>0</v>
      </c>
      <c r="V154" s="1011" t="str">
        <f>VLOOKUP(B154,TH.T4!B159:AC489,28,FALSE)</f>
        <v>LLCT</v>
      </c>
      <c r="W154" s="1012"/>
      <c r="X154" s="1012"/>
      <c r="Y154" s="1038"/>
    </row>
    <row r="155" spans="1:31" s="1028" customFormat="1" ht="28.5" customHeight="1">
      <c r="A155" s="1014">
        <f>_xlfn.AGGREGATE(4,7,A$12:A154)+1</f>
        <v>143</v>
      </c>
      <c r="B155" s="1015" t="s">
        <v>843</v>
      </c>
      <c r="C155" s="1033" t="s">
        <v>1726</v>
      </c>
      <c r="D155" s="1034" t="s">
        <v>1316</v>
      </c>
      <c r="E155" s="368" t="str">
        <f>VLOOKUP(B155,TH.Q2!B65:E396,4,FALSE)</f>
        <v>Phó Trưởng khoa LLCT</v>
      </c>
      <c r="F155" s="1040">
        <v>4.32</v>
      </c>
      <c r="G155" s="1019"/>
      <c r="H155" s="1255">
        <f t="shared" si="19"/>
        <v>0</v>
      </c>
      <c r="I155" s="1020">
        <v>0.45</v>
      </c>
      <c r="J155" s="1020" t="str">
        <f>VLOOKUP(B155,'[15]Gui chi Quynh'!$B$11:$E$396,4,FALSE)</f>
        <v>A2</v>
      </c>
      <c r="K155" s="1020">
        <f t="shared" si="20"/>
        <v>0.7</v>
      </c>
      <c r="L155" s="1021">
        <v>23</v>
      </c>
      <c r="M155" s="1021">
        <f>VLOOKUP(B155,'[16]CN BC'!$H$10:$J$275,3,FALSE)</f>
        <v>23</v>
      </c>
      <c r="N155" s="1021">
        <f t="shared" si="16"/>
        <v>23</v>
      </c>
      <c r="O155" s="1035"/>
      <c r="P155" s="1023">
        <f t="shared" si="15"/>
        <v>7813260.0000000009</v>
      </c>
      <c r="Q155" s="1371">
        <f t="shared" si="17"/>
        <v>3.3390000000000004</v>
      </c>
      <c r="R155" s="1448">
        <v>2340000</v>
      </c>
      <c r="S155" s="1460">
        <f t="shared" si="18"/>
        <v>7813260.0000000009</v>
      </c>
      <c r="T155" s="1024">
        <f t="shared" si="21"/>
        <v>143</v>
      </c>
      <c r="U155" s="1025">
        <f>IFERROR(INDEX('[16]CN BC'!$M$10:$M$276,MATCH(B155,'[16]CN BC'!$H$10:$H$276,0)),"")</f>
        <v>0</v>
      </c>
      <c r="V155" s="1067" t="str">
        <f>VLOOKUP(B155,TH.T4!B160:AC490,28,FALSE)</f>
        <v>LLCT</v>
      </c>
      <c r="Y155" s="1038"/>
    </row>
    <row r="156" spans="1:31" s="1028" customFormat="1" ht="28.5" customHeight="1">
      <c r="A156" s="1014">
        <f>_xlfn.AGGREGATE(4,7,A$12:A155)+1</f>
        <v>144</v>
      </c>
      <c r="B156" s="1015" t="s">
        <v>846</v>
      </c>
      <c r="C156" s="1033" t="s">
        <v>1727</v>
      </c>
      <c r="D156" s="1034" t="s">
        <v>1317</v>
      </c>
      <c r="E156" s="368" t="str">
        <f>VLOOKUP(B156,TH.Q2!B66:E397,4,FALSE)</f>
        <v>Trưởng BM khoa LLCT</v>
      </c>
      <c r="F156" s="1040">
        <v>4.32</v>
      </c>
      <c r="G156" s="1019"/>
      <c r="H156" s="1255">
        <f t="shared" si="19"/>
        <v>0</v>
      </c>
      <c r="I156" s="1020">
        <v>0.25</v>
      </c>
      <c r="J156" s="1020" t="str">
        <f>VLOOKUP(B156,'[15]Gui chi Quynh'!$B$11:$E$396,4,FALSE)</f>
        <v>A3</v>
      </c>
      <c r="K156" s="1020">
        <f t="shared" si="20"/>
        <v>0.6</v>
      </c>
      <c r="L156" s="1021">
        <v>23</v>
      </c>
      <c r="M156" s="1021">
        <f>VLOOKUP(B156,'[16]CN BC'!$H$10:$J$275,3,FALSE)</f>
        <v>23</v>
      </c>
      <c r="N156" s="1021">
        <f t="shared" si="16"/>
        <v>23</v>
      </c>
      <c r="O156" s="1035"/>
      <c r="P156" s="1023">
        <f t="shared" si="15"/>
        <v>6416280</v>
      </c>
      <c r="Q156" s="1371">
        <f t="shared" si="17"/>
        <v>2.742</v>
      </c>
      <c r="R156" s="1448">
        <v>2340000</v>
      </c>
      <c r="S156" s="1460">
        <f t="shared" si="18"/>
        <v>6416280</v>
      </c>
      <c r="T156" s="1024">
        <f t="shared" si="21"/>
        <v>144</v>
      </c>
      <c r="U156" s="1025">
        <f>IFERROR(INDEX('[16]CN BC'!$M$10:$M$276,MATCH(B156,'[16]CN BC'!$H$10:$H$276,0)),"")</f>
        <v>0</v>
      </c>
      <c r="V156" s="1067" t="str">
        <f>VLOOKUP(B156,TH.T4!B161:AC491,28,FALSE)</f>
        <v>LLCT</v>
      </c>
      <c r="Y156" s="1038"/>
    </row>
    <row r="157" spans="1:31" s="1028" customFormat="1" ht="33" customHeight="1">
      <c r="A157" s="1014">
        <f>_xlfn.AGGREGATE(4,7,A$12:A156)+1</f>
        <v>145</v>
      </c>
      <c r="B157" s="1015" t="s">
        <v>1500</v>
      </c>
      <c r="C157" s="1033" t="s">
        <v>1728</v>
      </c>
      <c r="D157" s="1034" t="s">
        <v>377</v>
      </c>
      <c r="E157" s="81" t="str">
        <f>VLOOKUP(B157,TH.Q2!B67:E398,4,FALSE)</f>
        <v>Giảng viên khoa LLCT</v>
      </c>
      <c r="F157" s="1040">
        <v>3.99</v>
      </c>
      <c r="G157" s="1019"/>
      <c r="H157" s="1248">
        <f t="shared" si="19"/>
        <v>0</v>
      </c>
      <c r="I157" s="1020"/>
      <c r="J157" s="1020" t="str">
        <f>VLOOKUP(B157,'[15]Gui chi Quynh'!$B$11:$E$396,4,FALSE)</f>
        <v>A3</v>
      </c>
      <c r="K157" s="1020">
        <f t="shared" si="20"/>
        <v>0.6</v>
      </c>
      <c r="L157" s="1021">
        <v>23</v>
      </c>
      <c r="M157" s="1021">
        <f>VLOOKUP(B157,'[16]CN BC'!$H$10:$J$275,3,FALSE)</f>
        <v>23</v>
      </c>
      <c r="N157" s="1021">
        <f t="shared" si="16"/>
        <v>23</v>
      </c>
      <c r="O157" s="1022"/>
      <c r="P157" s="1023">
        <f t="shared" si="15"/>
        <v>5601960</v>
      </c>
      <c r="Q157" s="1371">
        <f t="shared" si="17"/>
        <v>2.3940000000000001</v>
      </c>
      <c r="R157" s="1448">
        <v>2340000</v>
      </c>
      <c r="S157" s="1460">
        <f t="shared" si="18"/>
        <v>5601960</v>
      </c>
      <c r="T157" s="1024">
        <f t="shared" si="21"/>
        <v>145</v>
      </c>
      <c r="U157" s="1025">
        <f>IFERROR(INDEX('[16]CN BC'!$M$10:$M$276,MATCH(B157,'[16]CN BC'!$H$10:$H$276,0)),"")</f>
        <v>0</v>
      </c>
      <c r="V157" s="1011" t="str">
        <f>VLOOKUP(B157,TH.T4!B162:AC492,28,FALSE)</f>
        <v>LLCT</v>
      </c>
      <c r="Y157" s="1038"/>
    </row>
    <row r="158" spans="1:31" s="1028" customFormat="1" ht="30.75" customHeight="1">
      <c r="A158" s="1014">
        <f>_xlfn.AGGREGATE(4,7,A$12:A157)+1</f>
        <v>146</v>
      </c>
      <c r="B158" s="1015" t="s">
        <v>1877</v>
      </c>
      <c r="C158" s="1033" t="s">
        <v>1729</v>
      </c>
      <c r="D158" s="1034" t="s">
        <v>1320</v>
      </c>
      <c r="E158" s="81" t="str">
        <f>VLOOKUP(B158,TH.Q2!B68:E399,4,FALSE)</f>
        <v>Giảng viên khoa LLCT</v>
      </c>
      <c r="F158" s="1018">
        <v>4.6500000000000004</v>
      </c>
      <c r="G158" s="1019"/>
      <c r="H158" s="1248">
        <f t="shared" si="19"/>
        <v>0</v>
      </c>
      <c r="I158" s="1020"/>
      <c r="J158" s="1020" t="str">
        <f>VLOOKUP(B158,'[15]Gui chi Quynh'!$B$11:$E$396,4,FALSE)</f>
        <v>A3</v>
      </c>
      <c r="K158" s="1020">
        <f t="shared" si="20"/>
        <v>0.6</v>
      </c>
      <c r="L158" s="1021">
        <v>23</v>
      </c>
      <c r="M158" s="1021">
        <f>VLOOKUP(B158,'[16]CN BC'!$H$10:$J$275,3,FALSE)</f>
        <v>23</v>
      </c>
      <c r="N158" s="1021">
        <f t="shared" si="16"/>
        <v>23</v>
      </c>
      <c r="O158" s="1022"/>
      <c r="P158" s="1023">
        <f t="shared" si="15"/>
        <v>6528600</v>
      </c>
      <c r="Q158" s="1371">
        <f t="shared" si="17"/>
        <v>2.79</v>
      </c>
      <c r="R158" s="1448">
        <v>2340000</v>
      </c>
      <c r="S158" s="1460">
        <f t="shared" si="18"/>
        <v>6528600</v>
      </c>
      <c r="T158" s="1024">
        <f t="shared" si="21"/>
        <v>146</v>
      </c>
      <c r="U158" s="1025">
        <f>IFERROR(INDEX('[16]CN BC'!$M$10:$M$276,MATCH(B158,'[16]CN BC'!$H$10:$H$276,0)),"")</f>
        <v>0</v>
      </c>
      <c r="V158" s="1011" t="str">
        <f>VLOOKUP(B158,TH.T4!B163:AC493,28,FALSE)</f>
        <v>LLCT</v>
      </c>
      <c r="Y158" s="1038"/>
    </row>
    <row r="159" spans="1:31" s="1028" customFormat="1" ht="28.5" customHeight="1">
      <c r="A159" s="1014">
        <f>_xlfn.AGGREGATE(4,7,A$12:A158)+1</f>
        <v>147</v>
      </c>
      <c r="B159" s="1015" t="s">
        <v>1501</v>
      </c>
      <c r="C159" s="1033" t="s">
        <v>1730</v>
      </c>
      <c r="D159" s="1030" t="s">
        <v>314</v>
      </c>
      <c r="E159" s="368" t="str">
        <f>VLOOKUP(B159,TH.Q2!B69:E400,4,FALSE)</f>
        <v>Giảng viên khoa LLCT</v>
      </c>
      <c r="F159" s="1040">
        <v>3.99</v>
      </c>
      <c r="G159" s="1019"/>
      <c r="H159" s="1255">
        <f t="shared" si="19"/>
        <v>0</v>
      </c>
      <c r="I159" s="1020"/>
      <c r="J159" s="1020" t="str">
        <f>VLOOKUP(B159,'[15]Gui chi Quynh'!$B$11:$E$396,4,FALSE)</f>
        <v>A4</v>
      </c>
      <c r="K159" s="1020">
        <f t="shared" si="20"/>
        <v>0.5</v>
      </c>
      <c r="L159" s="1021">
        <v>23</v>
      </c>
      <c r="M159" s="1021">
        <f>VLOOKUP(B159,'[16]CN BC'!$H$10:$J$275,3,FALSE)</f>
        <v>23</v>
      </c>
      <c r="N159" s="1021">
        <f t="shared" si="16"/>
        <v>23</v>
      </c>
      <c r="O159" s="1035"/>
      <c r="P159" s="1023">
        <f t="shared" si="15"/>
        <v>4668300</v>
      </c>
      <c r="Q159" s="1371">
        <f t="shared" si="17"/>
        <v>1.9950000000000001</v>
      </c>
      <c r="R159" s="1448">
        <v>2340000</v>
      </c>
      <c r="S159" s="1460">
        <f t="shared" si="18"/>
        <v>4668300</v>
      </c>
      <c r="T159" s="1024">
        <f t="shared" si="21"/>
        <v>147</v>
      </c>
      <c r="U159" s="1025">
        <f>IFERROR(INDEX('[16]CN BC'!$M$10:$M$276,MATCH(B159,'[16]CN BC'!$H$10:$H$276,0)),"")</f>
        <v>0</v>
      </c>
      <c r="V159" s="1067" t="str">
        <f>VLOOKUP(B159,TH.T4!B164:AC494,28,FALSE)</f>
        <v>LLCT</v>
      </c>
      <c r="Y159" s="1038"/>
    </row>
    <row r="160" spans="1:31" s="1028" customFormat="1" ht="28.5" customHeight="1">
      <c r="A160" s="1014">
        <f>_xlfn.AGGREGATE(4,7,A$12:A159)+1</f>
        <v>148</v>
      </c>
      <c r="B160" s="1015" t="s">
        <v>1878</v>
      </c>
      <c r="C160" s="1033" t="s">
        <v>1731</v>
      </c>
      <c r="D160" s="1034" t="s">
        <v>1314</v>
      </c>
      <c r="E160" s="368" t="str">
        <f>VLOOKUP(B160,TH.Q2!B70:E401,4,FALSE)</f>
        <v>Giảng viên khoa LLCT</v>
      </c>
      <c r="F160" s="1018">
        <v>4.6500000000000004</v>
      </c>
      <c r="G160" s="1019"/>
      <c r="H160" s="1255">
        <f t="shared" si="19"/>
        <v>0</v>
      </c>
      <c r="I160" s="1020"/>
      <c r="J160" s="1020" t="str">
        <f>VLOOKUP(B160,'[15]Gui chi Quynh'!$B$11:$E$396,4,FALSE)</f>
        <v>A3</v>
      </c>
      <c r="K160" s="1020">
        <f t="shared" si="20"/>
        <v>0.6</v>
      </c>
      <c r="L160" s="1021">
        <v>23</v>
      </c>
      <c r="M160" s="1021">
        <f>VLOOKUP(B160,'[16]CN BC'!$H$10:$J$275,3,FALSE)</f>
        <v>23</v>
      </c>
      <c r="N160" s="1021">
        <f t="shared" si="16"/>
        <v>23</v>
      </c>
      <c r="O160" s="1035"/>
      <c r="P160" s="1023">
        <f t="shared" si="15"/>
        <v>6528600</v>
      </c>
      <c r="Q160" s="1371">
        <f t="shared" si="17"/>
        <v>2.79</v>
      </c>
      <c r="R160" s="1448">
        <v>2340000</v>
      </c>
      <c r="S160" s="1460">
        <f t="shared" si="18"/>
        <v>6528600</v>
      </c>
      <c r="T160" s="1024">
        <f t="shared" si="21"/>
        <v>148</v>
      </c>
      <c r="U160" s="1025">
        <f>IFERROR(INDEX('[16]CN BC'!$M$10:$M$276,MATCH(B160,'[16]CN BC'!$H$10:$H$276,0)),"")</f>
        <v>0</v>
      </c>
      <c r="V160" s="1067" t="str">
        <f>VLOOKUP(B160,TH.T4!B165:AC495,28,FALSE)</f>
        <v>LLCT</v>
      </c>
      <c r="Y160" s="1038"/>
    </row>
    <row r="161" spans="1:31" s="1028" customFormat="1" ht="28.5" customHeight="1">
      <c r="A161" s="1014">
        <f>_xlfn.AGGREGATE(4,7,A$12:A160)+1</f>
        <v>149</v>
      </c>
      <c r="B161" s="1015" t="s">
        <v>1879</v>
      </c>
      <c r="C161" s="1033" t="s">
        <v>1732</v>
      </c>
      <c r="D161" s="1034" t="s">
        <v>1315</v>
      </c>
      <c r="E161" s="81" t="str">
        <f>VLOOKUP(B161,TH.Q2!B71:E402,4,FALSE)</f>
        <v>Giảng viên khoa LLCT</v>
      </c>
      <c r="F161" s="1040">
        <v>4.32</v>
      </c>
      <c r="G161" s="1019"/>
      <c r="H161" s="1248">
        <f t="shared" si="19"/>
        <v>0</v>
      </c>
      <c r="I161" s="1020"/>
      <c r="J161" s="1020" t="str">
        <f>VLOOKUP(B161,'[15]Gui chi Quynh'!$B$11:$E$396,4,FALSE)</f>
        <v>A3</v>
      </c>
      <c r="K161" s="1020">
        <f t="shared" si="20"/>
        <v>0.6</v>
      </c>
      <c r="L161" s="1021">
        <v>23</v>
      </c>
      <c r="M161" s="1021">
        <f>VLOOKUP(B161,'[16]CN BC'!$H$10:$J$275,3,FALSE)</f>
        <v>23</v>
      </c>
      <c r="N161" s="1021">
        <f t="shared" si="16"/>
        <v>23</v>
      </c>
      <c r="O161" s="1022"/>
      <c r="P161" s="1023">
        <f t="shared" si="15"/>
        <v>6065280</v>
      </c>
      <c r="Q161" s="1371">
        <f t="shared" si="17"/>
        <v>2.5920000000000001</v>
      </c>
      <c r="R161" s="1448">
        <v>2340000</v>
      </c>
      <c r="S161" s="1460">
        <f t="shared" si="18"/>
        <v>6065280</v>
      </c>
      <c r="T161" s="1024">
        <f t="shared" si="21"/>
        <v>149</v>
      </c>
      <c r="U161" s="1025">
        <f>IFERROR(INDEX('[16]CN BC'!$M$10:$M$276,MATCH(B161,'[16]CN BC'!$H$10:$H$276,0)),"")</f>
        <v>0</v>
      </c>
      <c r="V161" s="1011" t="str">
        <f>VLOOKUP(B161,TH.T4!B166:AC496,28,FALSE)</f>
        <v>LLCT</v>
      </c>
      <c r="W161" s="1012"/>
      <c r="X161" s="1012"/>
      <c r="Y161" s="1027"/>
      <c r="Z161" s="1012"/>
      <c r="AA161" s="1012"/>
      <c r="AB161" s="1012"/>
      <c r="AC161" s="1012"/>
      <c r="AD161" s="1012"/>
      <c r="AE161" s="1012"/>
    </row>
    <row r="162" spans="1:31" s="1028" customFormat="1" ht="28.5" customHeight="1">
      <c r="A162" s="1014">
        <f>_xlfn.AGGREGATE(4,7,A$12:A161)+1</f>
        <v>150</v>
      </c>
      <c r="B162" s="1015" t="s">
        <v>1502</v>
      </c>
      <c r="C162" s="1033" t="s">
        <v>1733</v>
      </c>
      <c r="D162" s="1034" t="s">
        <v>1318</v>
      </c>
      <c r="E162" s="368" t="str">
        <f>VLOOKUP(B162,TH.Q2!B72:E403,4,FALSE)</f>
        <v>Giảng viên khoa LLCT</v>
      </c>
      <c r="F162" s="1040">
        <v>3.99</v>
      </c>
      <c r="G162" s="1019"/>
      <c r="H162" s="1255">
        <f t="shared" si="19"/>
        <v>0</v>
      </c>
      <c r="I162" s="1020"/>
      <c r="J162" s="1020" t="str">
        <f>VLOOKUP(B162,'[15]Gui chi Quynh'!$B$11:$E$396,4,FALSE)</f>
        <v>A1</v>
      </c>
      <c r="K162" s="1020">
        <f t="shared" si="20"/>
        <v>0.8</v>
      </c>
      <c r="L162" s="1021">
        <v>23</v>
      </c>
      <c r="M162" s="1021">
        <f>VLOOKUP(B162,'[16]CN BC'!$H$10:$J$275,3,FALSE)</f>
        <v>23</v>
      </c>
      <c r="N162" s="1021">
        <f t="shared" si="16"/>
        <v>23</v>
      </c>
      <c r="O162" s="1035"/>
      <c r="P162" s="1023">
        <f t="shared" si="15"/>
        <v>7469280</v>
      </c>
      <c r="Q162" s="1371">
        <f t="shared" si="17"/>
        <v>3.1920000000000002</v>
      </c>
      <c r="R162" s="1448">
        <v>2340000</v>
      </c>
      <c r="S162" s="1460">
        <f t="shared" si="18"/>
        <v>7469280</v>
      </c>
      <c r="T162" s="1024">
        <f t="shared" si="21"/>
        <v>150</v>
      </c>
      <c r="U162" s="1025">
        <f>IFERROR(INDEX('[16]CN BC'!$M$10:$M$276,MATCH(B162,'[16]CN BC'!$H$10:$H$276,0)),"")</f>
        <v>0</v>
      </c>
      <c r="V162" s="1067" t="str">
        <f>VLOOKUP(B162,TH.T4!B167:AC497,28,FALSE)</f>
        <v>LLCT</v>
      </c>
      <c r="Y162" s="1038"/>
    </row>
    <row r="163" spans="1:31" s="1028" customFormat="1" ht="28.5" customHeight="1">
      <c r="A163" s="1014">
        <f>_xlfn.AGGREGATE(4,7,A$12:A162)+1</f>
        <v>151</v>
      </c>
      <c r="B163" s="1015" t="s">
        <v>1880</v>
      </c>
      <c r="C163" s="1033" t="s">
        <v>1734</v>
      </c>
      <c r="D163" s="1034" t="s">
        <v>375</v>
      </c>
      <c r="E163" s="368" t="str">
        <f>VLOOKUP(B163,TH.Q2!B73:E404,4,FALSE)</f>
        <v>Giảng viên khoa LLCT</v>
      </c>
      <c r="F163" s="1040">
        <v>3.99</v>
      </c>
      <c r="G163" s="1019"/>
      <c r="H163" s="1255">
        <f t="shared" si="19"/>
        <v>0</v>
      </c>
      <c r="I163" s="1020"/>
      <c r="J163" s="1020" t="str">
        <f>VLOOKUP(B163,'[15]Gui chi Quynh'!$B$11:$E$396,4,FALSE)</f>
        <v>A4</v>
      </c>
      <c r="K163" s="1020">
        <f t="shared" si="20"/>
        <v>0.5</v>
      </c>
      <c r="L163" s="1021">
        <v>23</v>
      </c>
      <c r="M163" s="1021">
        <f>VLOOKUP(B163,'[16]CN BC'!$H$10:$J$275,3,FALSE)</f>
        <v>23</v>
      </c>
      <c r="N163" s="1021">
        <f t="shared" si="16"/>
        <v>23</v>
      </c>
      <c r="O163" s="1035"/>
      <c r="P163" s="1023">
        <f t="shared" si="15"/>
        <v>4668300</v>
      </c>
      <c r="Q163" s="1371">
        <f t="shared" si="17"/>
        <v>1.9950000000000001</v>
      </c>
      <c r="R163" s="1448">
        <v>2340000</v>
      </c>
      <c r="S163" s="1460">
        <f t="shared" si="18"/>
        <v>4668300</v>
      </c>
      <c r="T163" s="1024">
        <f t="shared" si="21"/>
        <v>151</v>
      </c>
      <c r="U163" s="1025">
        <f>IFERROR(INDEX('[16]CN BC'!$M$10:$M$276,MATCH(B163,'[16]CN BC'!$H$10:$H$276,0)),"")</f>
        <v>0</v>
      </c>
      <c r="V163" s="1067" t="str">
        <f>VLOOKUP(B163,TH.T4!B168:AC498,28,FALSE)</f>
        <v>LLCT</v>
      </c>
      <c r="Y163" s="1038"/>
    </row>
    <row r="164" spans="1:31" s="1028" customFormat="1" ht="28.5" customHeight="1">
      <c r="A164" s="1014">
        <f>_xlfn.AGGREGATE(4,7,A$12:A163)+1</f>
        <v>152</v>
      </c>
      <c r="B164" s="1015" t="s">
        <v>1503</v>
      </c>
      <c r="C164" s="1033" t="s">
        <v>1735</v>
      </c>
      <c r="D164" s="1034" t="s">
        <v>376</v>
      </c>
      <c r="E164" s="368" t="str">
        <f>VLOOKUP(B164,TH.Q2!B74:E405,4,FALSE)</f>
        <v>Giảng viên khoa LLCT</v>
      </c>
      <c r="F164" s="1040">
        <v>3.99</v>
      </c>
      <c r="G164" s="1019"/>
      <c r="H164" s="1255">
        <f t="shared" si="19"/>
        <v>0</v>
      </c>
      <c r="I164" s="1020"/>
      <c r="J164" s="1020" t="str">
        <f>VLOOKUP(B164,'[15]Gui chi Quynh'!$B$11:$E$396,4,FALSE)</f>
        <v>A4</v>
      </c>
      <c r="K164" s="1020">
        <f t="shared" si="20"/>
        <v>0.5</v>
      </c>
      <c r="L164" s="1021">
        <v>23</v>
      </c>
      <c r="M164" s="1021">
        <f>VLOOKUP(B164,'[16]CN BC'!$H$10:$J$275,3,FALSE)</f>
        <v>23</v>
      </c>
      <c r="N164" s="1021">
        <f t="shared" si="16"/>
        <v>23</v>
      </c>
      <c r="O164" s="1035"/>
      <c r="P164" s="1023">
        <f t="shared" si="15"/>
        <v>4668300</v>
      </c>
      <c r="Q164" s="1371">
        <f t="shared" si="17"/>
        <v>1.9950000000000001</v>
      </c>
      <c r="R164" s="1448">
        <v>2340000</v>
      </c>
      <c r="S164" s="1460">
        <f t="shared" si="18"/>
        <v>4668300</v>
      </c>
      <c r="T164" s="1024">
        <f t="shared" si="21"/>
        <v>152</v>
      </c>
      <c r="U164" s="1025">
        <f>IFERROR(INDEX('[16]CN BC'!$M$10:$M$276,MATCH(B164,'[16]CN BC'!$H$10:$H$276,0)),"")</f>
        <v>0</v>
      </c>
      <c r="V164" s="1067" t="str">
        <f>VLOOKUP(B164,TH.T4!B169:AC499,28,FALSE)</f>
        <v>LLCT</v>
      </c>
      <c r="Y164" s="1038"/>
    </row>
    <row r="165" spans="1:31" s="1028" customFormat="1" ht="26.25" customHeight="1">
      <c r="A165" s="1014">
        <f>_xlfn.AGGREGATE(4,7,A$12:A164)+1</f>
        <v>153</v>
      </c>
      <c r="B165" s="1015" t="s">
        <v>1504</v>
      </c>
      <c r="C165" s="1033" t="s">
        <v>1736</v>
      </c>
      <c r="D165" s="1033" t="s">
        <v>503</v>
      </c>
      <c r="E165" s="81" t="str">
        <f>VLOOKUP(B165,TH.Q2!B75:E406,4,FALSE)</f>
        <v>Giảng viên khoa LLCT</v>
      </c>
      <c r="F165" s="1040">
        <v>4.32</v>
      </c>
      <c r="G165" s="1019"/>
      <c r="H165" s="1248">
        <f t="shared" si="19"/>
        <v>0</v>
      </c>
      <c r="I165" s="1020"/>
      <c r="J165" s="1020" t="str">
        <f>VLOOKUP(B165,'[15]Gui chi Quynh'!$B$11:$E$396,4,FALSE)</f>
        <v>A4</v>
      </c>
      <c r="K165" s="1020">
        <f t="shared" si="20"/>
        <v>0.5</v>
      </c>
      <c r="L165" s="1021">
        <v>23</v>
      </c>
      <c r="M165" s="1021">
        <f>VLOOKUP(B165,'[16]CN BC'!$H$10:$J$275,3,FALSE)</f>
        <v>23</v>
      </c>
      <c r="N165" s="1021">
        <f t="shared" si="16"/>
        <v>23</v>
      </c>
      <c r="O165" s="1022"/>
      <c r="P165" s="1023">
        <f t="shared" si="15"/>
        <v>5054400</v>
      </c>
      <c r="Q165" s="1371">
        <f t="shared" si="17"/>
        <v>2.16</v>
      </c>
      <c r="R165" s="1448">
        <v>2340000</v>
      </c>
      <c r="S165" s="1460">
        <f t="shared" si="18"/>
        <v>5054400</v>
      </c>
      <c r="T165" s="1024">
        <f t="shared" si="21"/>
        <v>153</v>
      </c>
      <c r="U165" s="1025">
        <f>IFERROR(INDEX('[16]CN BC'!$M$10:$M$276,MATCH(B165,'[16]CN BC'!$H$10:$H$276,0)),"")</f>
        <v>0</v>
      </c>
      <c r="V165" s="1011" t="str">
        <f>VLOOKUP(B165,TH.T4!B170:AC500,28,FALSE)</f>
        <v>LLCT</v>
      </c>
      <c r="W165" s="1012"/>
      <c r="X165" s="1012"/>
      <c r="Y165" s="1027"/>
      <c r="Z165" s="1012"/>
      <c r="AA165" s="1012"/>
      <c r="AB165" s="1012"/>
      <c r="AC165" s="1012"/>
      <c r="AD165" s="1012"/>
      <c r="AE165" s="1012"/>
    </row>
    <row r="166" spans="1:31" s="1028" customFormat="1" ht="27" customHeight="1">
      <c r="A166" s="1014">
        <f>_xlfn.AGGREGATE(4,7,A$12:A165)+1</f>
        <v>154</v>
      </c>
      <c r="B166" s="1015" t="s">
        <v>1505</v>
      </c>
      <c r="C166" s="1033" t="s">
        <v>1737</v>
      </c>
      <c r="D166" s="1030" t="s">
        <v>1592</v>
      </c>
      <c r="E166" s="368" t="str">
        <f>VLOOKUP(B166,TH.Q2!B76:E407,4,FALSE)</f>
        <v>Giảng viên khoa LLCT</v>
      </c>
      <c r="F166" s="1040">
        <v>3.66</v>
      </c>
      <c r="G166" s="1019"/>
      <c r="H166" s="1255">
        <f t="shared" si="19"/>
        <v>0</v>
      </c>
      <c r="I166" s="1020"/>
      <c r="J166" s="1020" t="str">
        <f>VLOOKUP(B166,'[15]Gui chi Quynh'!$B$11:$E$396,4,FALSE)</f>
        <v>A2</v>
      </c>
      <c r="K166" s="1020">
        <f t="shared" si="20"/>
        <v>0.7</v>
      </c>
      <c r="L166" s="1021">
        <v>23</v>
      </c>
      <c r="M166" s="1021">
        <f>VLOOKUP(B166,'[16]CN BC'!$H$10:$J$275,3,FALSE)</f>
        <v>23</v>
      </c>
      <c r="N166" s="1021">
        <f t="shared" si="16"/>
        <v>23</v>
      </c>
      <c r="O166" s="1035"/>
      <c r="P166" s="1023">
        <f t="shared" si="15"/>
        <v>5995080</v>
      </c>
      <c r="Q166" s="1371">
        <f t="shared" si="17"/>
        <v>2.5619999999999998</v>
      </c>
      <c r="R166" s="1448">
        <v>2340000</v>
      </c>
      <c r="S166" s="1460">
        <f t="shared" si="18"/>
        <v>5995080</v>
      </c>
      <c r="T166" s="1024">
        <f t="shared" si="21"/>
        <v>154</v>
      </c>
      <c r="U166" s="1025">
        <f>IFERROR(INDEX('[16]CN BC'!$M$10:$M$276,MATCH(B166,'[16]CN BC'!$H$10:$H$276,0)),"")</f>
        <v>0</v>
      </c>
      <c r="V166" s="1067" t="str">
        <f>VLOOKUP(B166,TH.T4!B171:AC501,28,FALSE)</f>
        <v>LLCT</v>
      </c>
      <c r="Y166" s="1038"/>
    </row>
    <row r="167" spans="1:31" s="1028" customFormat="1" ht="28.15" customHeight="1">
      <c r="A167" s="1014">
        <f>_xlfn.AGGREGATE(4,7,A$12:A166)+1</f>
        <v>155</v>
      </c>
      <c r="B167" s="1015" t="s">
        <v>1881</v>
      </c>
      <c r="C167" s="1033" t="s">
        <v>1738</v>
      </c>
      <c r="D167" s="1034" t="s">
        <v>379</v>
      </c>
      <c r="E167" s="81" t="str">
        <f>VLOOKUP(B167,TH.Q2!B77:E408,4,FALSE)</f>
        <v>Giảng viên khoa LLCT</v>
      </c>
      <c r="F167" s="1040">
        <v>3.66</v>
      </c>
      <c r="G167" s="1019"/>
      <c r="H167" s="1248">
        <f t="shared" si="19"/>
        <v>0</v>
      </c>
      <c r="I167" s="1020"/>
      <c r="J167" s="1020" t="str">
        <f>VLOOKUP(B167,'[15]Gui chi Quynh'!$B$11:$E$396,4,FALSE)</f>
        <v>A3</v>
      </c>
      <c r="K167" s="1020">
        <f t="shared" si="20"/>
        <v>0.6</v>
      </c>
      <c r="L167" s="1021">
        <v>23</v>
      </c>
      <c r="M167" s="1021">
        <f>VLOOKUP(B167,'[16]CN BC'!$H$10:$J$275,3,FALSE)</f>
        <v>23</v>
      </c>
      <c r="N167" s="1021">
        <f t="shared" si="16"/>
        <v>23</v>
      </c>
      <c r="O167" s="1022"/>
      <c r="P167" s="1023">
        <f t="shared" si="15"/>
        <v>5138640</v>
      </c>
      <c r="Q167" s="1371">
        <f t="shared" si="17"/>
        <v>2.1960000000000002</v>
      </c>
      <c r="R167" s="1448">
        <v>2340000</v>
      </c>
      <c r="S167" s="1460">
        <f t="shared" si="18"/>
        <v>5138640</v>
      </c>
      <c r="T167" s="1024">
        <f t="shared" si="21"/>
        <v>155</v>
      </c>
      <c r="U167" s="1025">
        <f>IFERROR(INDEX('[16]CN BC'!$M$10:$M$276,MATCH(B167,'[16]CN BC'!$H$10:$H$276,0)),"")</f>
        <v>0</v>
      </c>
      <c r="V167" s="1011" t="str">
        <f>VLOOKUP(B167,TH.T4!B172:AC502,28,FALSE)</f>
        <v>LLCT</v>
      </c>
      <c r="W167" s="1012"/>
      <c r="X167" s="1012"/>
      <c r="Y167" s="1027"/>
      <c r="Z167" s="1012"/>
      <c r="AA167" s="1012"/>
      <c r="AB167" s="1012"/>
      <c r="AC167" s="1012"/>
      <c r="AD167" s="1012"/>
      <c r="AE167" s="1012"/>
    </row>
    <row r="168" spans="1:31" s="1028" customFormat="1" ht="27.75" customHeight="1">
      <c r="A168" s="1014">
        <f>_xlfn.AGGREGATE(4,7,A$12:A167)+1</f>
        <v>156</v>
      </c>
      <c r="B168" s="1101" t="s">
        <v>1506</v>
      </c>
      <c r="C168" s="1033" t="s">
        <v>1739</v>
      </c>
      <c r="D168" s="1030" t="s">
        <v>1427</v>
      </c>
      <c r="E168" s="81" t="str">
        <f>VLOOKUP(B168,TH.Q2!B78:E409,4,FALSE)</f>
        <v>Giảng viên khoa LLCT</v>
      </c>
      <c r="F168" s="1040">
        <v>3.33</v>
      </c>
      <c r="G168" s="1019"/>
      <c r="H168" s="1248">
        <f t="shared" si="19"/>
        <v>0</v>
      </c>
      <c r="I168" s="1020"/>
      <c r="J168" s="1020" t="str">
        <f>VLOOKUP(B168,'[15]Gui chi Quynh'!$B$11:$E$396,4,FALSE)</f>
        <v>A3</v>
      </c>
      <c r="K168" s="1020">
        <f t="shared" si="20"/>
        <v>0.6</v>
      </c>
      <c r="L168" s="1021">
        <v>23</v>
      </c>
      <c r="M168" s="1021">
        <f>VLOOKUP(B168,'[16]CN BC'!$H$10:$J$275,3,FALSE)</f>
        <v>23</v>
      </c>
      <c r="N168" s="1021">
        <f t="shared" si="16"/>
        <v>23</v>
      </c>
      <c r="O168" s="1022"/>
      <c r="P168" s="1023">
        <f t="shared" si="15"/>
        <v>4675320</v>
      </c>
      <c r="Q168" s="1371">
        <f t="shared" si="17"/>
        <v>1.998</v>
      </c>
      <c r="R168" s="1448">
        <v>2340000</v>
      </c>
      <c r="S168" s="1460">
        <f t="shared" si="18"/>
        <v>4675320</v>
      </c>
      <c r="T168" s="1024">
        <f t="shared" si="21"/>
        <v>156</v>
      </c>
      <c r="U168" s="1025">
        <f>IFERROR(INDEX('[16]CN BC'!$M$10:$M$276,MATCH(B168,'[16]CN BC'!$H$10:$H$276,0)),"")</f>
        <v>0</v>
      </c>
      <c r="V168" s="1011" t="str">
        <f>VLOOKUP(B168,TH.T4!B173:AC503,28,FALSE)</f>
        <v>LLCT</v>
      </c>
      <c r="W168" s="1012"/>
      <c r="X168" s="1012"/>
      <c r="Y168" s="1027"/>
    </row>
    <row r="169" spans="1:31" s="1028" customFormat="1" ht="27" customHeight="1">
      <c r="A169" s="1014">
        <f>_xlfn.AGGREGATE(4,7,A$12:A168)+1</f>
        <v>157</v>
      </c>
      <c r="B169" s="1015" t="s">
        <v>1882</v>
      </c>
      <c r="C169" s="1033" t="s">
        <v>1741</v>
      </c>
      <c r="D169" s="1034" t="s">
        <v>1341</v>
      </c>
      <c r="E169" s="81" t="str">
        <f>VLOOKUP(B169,TH.Q2!B79:E410,4,FALSE)</f>
        <v>Giảng viên khoa CNTT</v>
      </c>
      <c r="F169" s="1040">
        <v>4.32</v>
      </c>
      <c r="G169" s="1019"/>
      <c r="H169" s="1248">
        <f t="shared" si="19"/>
        <v>0</v>
      </c>
      <c r="I169" s="1020"/>
      <c r="J169" s="1020" t="str">
        <f>VLOOKUP(B169,'[15]Gui chi Quynh'!$B$11:$E$396,4,FALSE)</f>
        <v>A4</v>
      </c>
      <c r="K169" s="1020">
        <f t="shared" si="20"/>
        <v>0.5</v>
      </c>
      <c r="L169" s="1021">
        <v>23</v>
      </c>
      <c r="M169" s="1021">
        <f>VLOOKUP(B169,'[16]CN BC'!$H$10:$J$275,3,FALSE)</f>
        <v>23</v>
      </c>
      <c r="N169" s="1021">
        <f t="shared" si="16"/>
        <v>23</v>
      </c>
      <c r="O169" s="1022"/>
      <c r="P169" s="1023">
        <f t="shared" si="15"/>
        <v>5054400</v>
      </c>
      <c r="Q169" s="1371">
        <f t="shared" si="17"/>
        <v>2.16</v>
      </c>
      <c r="R169" s="1448">
        <v>2340000</v>
      </c>
      <c r="S169" s="1460">
        <f t="shared" si="18"/>
        <v>5054400</v>
      </c>
      <c r="T169" s="1024">
        <f t="shared" si="21"/>
        <v>157</v>
      </c>
      <c r="U169" s="1025">
        <f>IFERROR(INDEX('[16]CN BC'!$M$10:$M$276,MATCH(B169,'[16]CN BC'!$H$10:$H$276,0)),"")</f>
        <v>0</v>
      </c>
      <c r="V169" s="1011" t="str">
        <f>VLOOKUP(B169,TH.T4!B174:AC504,28,FALSE)</f>
        <v>CNTT</v>
      </c>
      <c r="W169" s="1012"/>
      <c r="X169" s="1012"/>
      <c r="Y169" s="1027"/>
    </row>
    <row r="170" spans="1:31" s="1012" customFormat="1" ht="28.5" customHeight="1">
      <c r="A170" s="1014">
        <f>_xlfn.AGGREGATE(4,7,A$12:A169)+1</f>
        <v>158</v>
      </c>
      <c r="B170" s="1050" t="s">
        <v>1508</v>
      </c>
      <c r="C170" s="1029" t="s">
        <v>1742</v>
      </c>
      <c r="D170" s="1051" t="s">
        <v>1342</v>
      </c>
      <c r="E170" s="81" t="str">
        <f>VLOOKUP(B170,TH.Q2!B80:E411,4,FALSE)</f>
        <v>Giảng viên khoa CNTT</v>
      </c>
      <c r="F170" s="1056">
        <v>3.99</v>
      </c>
      <c r="G170" s="1053"/>
      <c r="H170" s="1248">
        <f t="shared" si="19"/>
        <v>0</v>
      </c>
      <c r="I170" s="1054"/>
      <c r="J170" s="1020" t="str">
        <f>VLOOKUP(B170,'[15]Gui chi Quynh'!$B$11:$E$396,4,FALSE)</f>
        <v>A4</v>
      </c>
      <c r="K170" s="1020">
        <f t="shared" si="20"/>
        <v>0.5</v>
      </c>
      <c r="L170" s="1021">
        <v>23</v>
      </c>
      <c r="M170" s="1021">
        <f>VLOOKUP(B170,'[16]CN BC'!$H$10:$J$275,3,FALSE)</f>
        <v>23</v>
      </c>
      <c r="N170" s="1021">
        <f t="shared" si="16"/>
        <v>23</v>
      </c>
      <c r="O170" s="1022"/>
      <c r="P170" s="1023">
        <f t="shared" si="15"/>
        <v>4668300</v>
      </c>
      <c r="Q170" s="1371">
        <f t="shared" si="17"/>
        <v>1.9950000000000001</v>
      </c>
      <c r="R170" s="1448">
        <v>2340000</v>
      </c>
      <c r="S170" s="1460">
        <f t="shared" si="18"/>
        <v>4668300</v>
      </c>
      <c r="T170" s="1024">
        <f t="shared" si="21"/>
        <v>158</v>
      </c>
      <c r="U170" s="1025">
        <f>IFERROR(INDEX('[16]CN BC'!$M$10:$M$276,MATCH(B170,'[16]CN BC'!$H$10:$H$276,0)),"")</f>
        <v>0</v>
      </c>
      <c r="V170" s="1011" t="str">
        <f>VLOOKUP(B170,TH.T4!B175:AC505,28,FALSE)</f>
        <v>CNTT</v>
      </c>
      <c r="Y170" s="1027"/>
    </row>
    <row r="171" spans="1:31" s="1012" customFormat="1" ht="26.25" customHeight="1">
      <c r="A171" s="1014">
        <f>_xlfn.AGGREGATE(4,7,A$12:A170)+1</f>
        <v>159</v>
      </c>
      <c r="B171" s="1050" t="s">
        <v>1509</v>
      </c>
      <c r="C171" s="1029" t="s">
        <v>1743</v>
      </c>
      <c r="D171" s="1051" t="s">
        <v>1344</v>
      </c>
      <c r="E171" s="81" t="str">
        <f>VLOOKUP(B171,TH.Q2!B81:E412,4,FALSE)</f>
        <v>Giảng viên khoa CNTT</v>
      </c>
      <c r="F171" s="1052">
        <v>3.99</v>
      </c>
      <c r="G171" s="1053"/>
      <c r="H171" s="1248">
        <f t="shared" si="19"/>
        <v>0</v>
      </c>
      <c r="I171" s="1054"/>
      <c r="J171" s="1020" t="str">
        <f>VLOOKUP(B171,'[15]Gui chi Quynh'!$B$11:$E$396,4,FALSE)</f>
        <v>A3</v>
      </c>
      <c r="K171" s="1020">
        <f t="shared" si="20"/>
        <v>0.6</v>
      </c>
      <c r="L171" s="1021">
        <v>23</v>
      </c>
      <c r="M171" s="1021">
        <f>VLOOKUP(B171,'[16]CN BC'!$H$10:$J$275,3,FALSE)</f>
        <v>23</v>
      </c>
      <c r="N171" s="1021">
        <f t="shared" si="16"/>
        <v>23</v>
      </c>
      <c r="O171" s="1022"/>
      <c r="P171" s="1023">
        <f t="shared" si="15"/>
        <v>5601960</v>
      </c>
      <c r="Q171" s="1371">
        <f t="shared" si="17"/>
        <v>2.3940000000000001</v>
      </c>
      <c r="R171" s="1448">
        <v>2340000</v>
      </c>
      <c r="S171" s="1460">
        <f t="shared" si="18"/>
        <v>5601960</v>
      </c>
      <c r="T171" s="1024">
        <f t="shared" si="21"/>
        <v>159</v>
      </c>
      <c r="U171" s="1025">
        <f>IFERROR(INDEX('[16]CN BC'!$M$10:$M$276,MATCH(B171,'[16]CN BC'!$H$10:$H$276,0)),"")</f>
        <v>0</v>
      </c>
      <c r="V171" s="1011" t="str">
        <f>VLOOKUP(B171,TH.T4!B176:AC506,28,FALSE)</f>
        <v>CNTT</v>
      </c>
      <c r="Y171" s="1027"/>
    </row>
    <row r="172" spans="1:31" s="1028" customFormat="1" ht="27" customHeight="1">
      <c r="A172" s="1014">
        <f>_xlfn.AGGREGATE(4,7,A$12:A171)+1</f>
        <v>160</v>
      </c>
      <c r="B172" s="1101" t="s">
        <v>1511</v>
      </c>
      <c r="C172" s="1033" t="s">
        <v>1745</v>
      </c>
      <c r="D172" s="1034" t="s">
        <v>1349</v>
      </c>
      <c r="E172" s="81" t="str">
        <f>VLOOKUP(B172,TH.Q2!B83:E414,4,FALSE)</f>
        <v>Giảng viên khoa CNTT</v>
      </c>
      <c r="F172" s="1040">
        <v>3.99</v>
      </c>
      <c r="G172" s="1019"/>
      <c r="H172" s="1248">
        <f t="shared" si="19"/>
        <v>0</v>
      </c>
      <c r="I172" s="1020"/>
      <c r="J172" s="1020" t="str">
        <f>VLOOKUP(B172,'[15]Gui chi Quynh'!$B$11:$E$396,4,FALSE)</f>
        <v>A3</v>
      </c>
      <c r="K172" s="1020">
        <f t="shared" si="20"/>
        <v>0.6</v>
      </c>
      <c r="L172" s="1021">
        <v>23</v>
      </c>
      <c r="M172" s="1021">
        <f>VLOOKUP(B172,'[16]CN BC'!$H$10:$J$275,3,FALSE)</f>
        <v>23</v>
      </c>
      <c r="N172" s="1021">
        <f t="shared" si="16"/>
        <v>23</v>
      </c>
      <c r="O172" s="1022"/>
      <c r="P172" s="1023">
        <f t="shared" si="15"/>
        <v>5601960</v>
      </c>
      <c r="Q172" s="1371">
        <f t="shared" si="17"/>
        <v>2.3940000000000001</v>
      </c>
      <c r="R172" s="1448">
        <v>2340000</v>
      </c>
      <c r="S172" s="1460">
        <f t="shared" si="18"/>
        <v>5601960</v>
      </c>
      <c r="T172" s="1024">
        <f t="shared" si="21"/>
        <v>160</v>
      </c>
      <c r="U172" s="1025">
        <f>IFERROR(INDEX('[16]CN BC'!$M$10:$M$276,MATCH(B172,'[16]CN BC'!$H$10:$H$276,0)),"")</f>
        <v>0</v>
      </c>
      <c r="V172" s="1011" t="str">
        <f>VLOOKUP(B172,TH.T4!B178:AC508,28,FALSE)</f>
        <v>CNTT</v>
      </c>
      <c r="W172" s="1012"/>
      <c r="X172" s="1012"/>
      <c r="Y172" s="1027"/>
      <c r="Z172" s="1012"/>
      <c r="AA172" s="1012"/>
      <c r="AB172" s="1012"/>
      <c r="AC172" s="1012"/>
      <c r="AD172" s="1012"/>
      <c r="AE172" s="1012"/>
    </row>
    <row r="173" spans="1:31" s="1028" customFormat="1" ht="30.75" customHeight="1">
      <c r="A173" s="1014">
        <f>_xlfn.AGGREGATE(4,7,A$12:A172)+1</f>
        <v>161</v>
      </c>
      <c r="B173" s="1015" t="s">
        <v>1512</v>
      </c>
      <c r="C173" s="1033" t="s">
        <v>1746</v>
      </c>
      <c r="D173" s="1034" t="s">
        <v>1350</v>
      </c>
      <c r="E173" s="368" t="str">
        <f>VLOOKUP(B173,TH.Q2!B84:E415,4,FALSE)</f>
        <v>Giảng viên khoa CNTT</v>
      </c>
      <c r="F173" s="1040">
        <v>3.99</v>
      </c>
      <c r="G173" s="1019"/>
      <c r="H173" s="1255">
        <f t="shared" si="19"/>
        <v>0</v>
      </c>
      <c r="I173" s="1020"/>
      <c r="J173" s="1020" t="str">
        <f>VLOOKUP(B173,'[15]Gui chi Quynh'!$B$11:$E$396,4,FALSE)</f>
        <v>A4</v>
      </c>
      <c r="K173" s="1020">
        <f t="shared" si="20"/>
        <v>0.5</v>
      </c>
      <c r="L173" s="1021">
        <v>23</v>
      </c>
      <c r="M173" s="1021">
        <f>VLOOKUP(B173,'[16]CN BC'!$H$10:$J$275,3,FALSE)</f>
        <v>23</v>
      </c>
      <c r="N173" s="1021">
        <f t="shared" si="16"/>
        <v>23</v>
      </c>
      <c r="O173" s="1035"/>
      <c r="P173" s="1023">
        <f t="shared" si="15"/>
        <v>4668300</v>
      </c>
      <c r="Q173" s="1371">
        <f t="shared" si="17"/>
        <v>1.9950000000000001</v>
      </c>
      <c r="R173" s="1448">
        <v>2340000</v>
      </c>
      <c r="S173" s="1460">
        <f t="shared" si="18"/>
        <v>4668300</v>
      </c>
      <c r="T173" s="1024">
        <f t="shared" si="21"/>
        <v>161</v>
      </c>
      <c r="U173" s="1025">
        <f>IFERROR(INDEX('[16]CN BC'!$M$10:$M$276,MATCH(B173,'[16]CN BC'!$H$10:$H$276,0)),"")</f>
        <v>0</v>
      </c>
      <c r="V173" s="1067" t="str">
        <f>VLOOKUP(B173,TH.T4!B179:AC509,28,FALSE)</f>
        <v>CNTT</v>
      </c>
      <c r="Y173" s="1038"/>
    </row>
    <row r="174" spans="1:31" s="1012" customFormat="1" ht="27" customHeight="1">
      <c r="A174" s="1014">
        <f>_xlfn.AGGREGATE(4,7,A$12:A173)+1</f>
        <v>162</v>
      </c>
      <c r="B174" s="1050" t="s">
        <v>1513</v>
      </c>
      <c r="C174" s="1029" t="s">
        <v>1747</v>
      </c>
      <c r="D174" s="1051" t="s">
        <v>1353</v>
      </c>
      <c r="E174" s="81" t="str">
        <f>VLOOKUP(B174,TH.Q2!B85:E416,4,FALSE)</f>
        <v>Trưởng BM khoa CNTT</v>
      </c>
      <c r="F174" s="1040">
        <v>3.99</v>
      </c>
      <c r="G174" s="1019"/>
      <c r="H174" s="1255">
        <f t="shared" si="19"/>
        <v>0</v>
      </c>
      <c r="I174" s="1020">
        <v>0.45</v>
      </c>
      <c r="J174" s="1020" t="str">
        <f>VLOOKUP(B174,'[15]Gui chi Quynh'!$B$11:$E$396,4,FALSE)</f>
        <v>A2</v>
      </c>
      <c r="K174" s="1020">
        <f t="shared" si="20"/>
        <v>0.7</v>
      </c>
      <c r="L174" s="1021">
        <v>23</v>
      </c>
      <c r="M174" s="1021">
        <f>VLOOKUP(B174,'[16]CN BC'!$H$10:$J$275,3,FALSE)</f>
        <v>24</v>
      </c>
      <c r="N174" s="1021">
        <f t="shared" si="16"/>
        <v>23</v>
      </c>
      <c r="O174" s="1022"/>
      <c r="P174" s="1023">
        <f t="shared" si="15"/>
        <v>7272720</v>
      </c>
      <c r="Q174" s="1371">
        <f t="shared" si="17"/>
        <v>3.1080000000000001</v>
      </c>
      <c r="R174" s="1448">
        <v>2340000</v>
      </c>
      <c r="S174" s="1460">
        <f t="shared" si="18"/>
        <v>7272720</v>
      </c>
      <c r="T174" s="1024">
        <f t="shared" si="21"/>
        <v>162</v>
      </c>
      <c r="U174" s="1025">
        <f>IFERROR(INDEX('[16]CN BC'!$M$10:$M$276,MATCH(B174,'[16]CN BC'!$H$10:$H$276,0)),"")</f>
        <v>0</v>
      </c>
      <c r="V174" s="1011" t="str">
        <f>VLOOKUP(B174,TH.T4!B180:AC510,28,FALSE)</f>
        <v>CNTT</v>
      </c>
      <c r="Y174" s="1027"/>
    </row>
    <row r="175" spans="1:31" s="1028" customFormat="1" ht="30" customHeight="1">
      <c r="A175" s="1014">
        <f>_xlfn.AGGREGATE(4,7,A$12:A174)+1</f>
        <v>163</v>
      </c>
      <c r="B175" s="1015" t="s">
        <v>1514</v>
      </c>
      <c r="C175" s="1033" t="s">
        <v>1748</v>
      </c>
      <c r="D175" s="1034" t="s">
        <v>1354</v>
      </c>
      <c r="E175" s="368" t="str">
        <f>VLOOKUP(B175,TH.Q2!B86:E417,4,FALSE)</f>
        <v>Giảng viên khoa CNTT</v>
      </c>
      <c r="F175" s="1040">
        <v>3.99</v>
      </c>
      <c r="G175" s="1019"/>
      <c r="H175" s="1255">
        <f t="shared" si="19"/>
        <v>0</v>
      </c>
      <c r="I175" s="1020"/>
      <c r="J175" s="1020" t="str">
        <f>VLOOKUP(B175,'[15]Gui chi Quynh'!$B$11:$E$396,4,FALSE)</f>
        <v>A4</v>
      </c>
      <c r="K175" s="1020">
        <f t="shared" si="20"/>
        <v>0.5</v>
      </c>
      <c r="L175" s="1021">
        <v>23</v>
      </c>
      <c r="M175" s="1021">
        <f>VLOOKUP(B175,'[16]CN BC'!$H$10:$J$275,3,FALSE)</f>
        <v>23</v>
      </c>
      <c r="N175" s="1021">
        <f t="shared" si="16"/>
        <v>23</v>
      </c>
      <c r="O175" s="1035"/>
      <c r="P175" s="1023">
        <f t="shared" si="15"/>
        <v>4668300</v>
      </c>
      <c r="Q175" s="1371">
        <f t="shared" si="17"/>
        <v>1.9950000000000001</v>
      </c>
      <c r="R175" s="1448">
        <v>2340000</v>
      </c>
      <c r="S175" s="1460">
        <f t="shared" si="18"/>
        <v>4668300</v>
      </c>
      <c r="T175" s="1024">
        <f t="shared" si="21"/>
        <v>163</v>
      </c>
      <c r="U175" s="1025">
        <f>IFERROR(INDEX('[16]CN BC'!$M$10:$M$276,MATCH(B175,'[16]CN BC'!$H$10:$H$276,0)),"")</f>
        <v>0</v>
      </c>
      <c r="V175" s="1067" t="str">
        <f>VLOOKUP(B175,TH.T4!B181:AC511,28,FALSE)</f>
        <v>CNTT</v>
      </c>
      <c r="Y175" s="1038"/>
    </row>
    <row r="176" spans="1:31" s="1028" customFormat="1" ht="24.75" customHeight="1">
      <c r="A176" s="1014">
        <f>_xlfn.AGGREGATE(4,7,A$12:A175)+1</f>
        <v>164</v>
      </c>
      <c r="B176" s="1015" t="s">
        <v>1515</v>
      </c>
      <c r="C176" s="1033" t="s">
        <v>1749</v>
      </c>
      <c r="D176" s="1034" t="s">
        <v>1355</v>
      </c>
      <c r="E176" s="368" t="str">
        <f>VLOOKUP(B176,TH.Q2!B87:E418,4,FALSE)</f>
        <v>Giảng viên khoa CNTT</v>
      </c>
      <c r="F176" s="1040">
        <v>3.99</v>
      </c>
      <c r="G176" s="1019"/>
      <c r="H176" s="1255">
        <f t="shared" si="19"/>
        <v>0</v>
      </c>
      <c r="I176" s="1020"/>
      <c r="J176" s="1020" t="str">
        <f>VLOOKUP(B176,'[15]Gui chi Quynh'!$B$11:$E$396,4,FALSE)</f>
        <v>A3</v>
      </c>
      <c r="K176" s="1020">
        <f t="shared" si="20"/>
        <v>0.6</v>
      </c>
      <c r="L176" s="1021">
        <v>23</v>
      </c>
      <c r="M176" s="1021">
        <f>VLOOKUP(B176,'[16]CN BC'!$H$10:$J$275,3,FALSE)</f>
        <v>23</v>
      </c>
      <c r="N176" s="1021">
        <f t="shared" si="16"/>
        <v>23</v>
      </c>
      <c r="O176" s="1035"/>
      <c r="P176" s="1023">
        <f t="shared" si="15"/>
        <v>5601960</v>
      </c>
      <c r="Q176" s="1371">
        <f t="shared" si="17"/>
        <v>2.3940000000000001</v>
      </c>
      <c r="R176" s="1448">
        <v>2340000</v>
      </c>
      <c r="S176" s="1460">
        <f t="shared" si="18"/>
        <v>5601960</v>
      </c>
      <c r="T176" s="1024">
        <f t="shared" si="21"/>
        <v>164</v>
      </c>
      <c r="U176" s="1025">
        <f>IFERROR(INDEX('[16]CN BC'!$M$10:$M$276,MATCH(B176,'[16]CN BC'!$H$10:$H$276,0)),"")</f>
        <v>0</v>
      </c>
      <c r="V176" s="1067" t="str">
        <f>VLOOKUP(B176,TH.T4!B182:AC512,28,FALSE)</f>
        <v>CNTT</v>
      </c>
      <c r="Y176" s="1038"/>
    </row>
    <row r="177" spans="1:35" s="1012" customFormat="1" ht="24.75" customHeight="1">
      <c r="A177" s="1014">
        <f>_xlfn.AGGREGATE(4,7,A$12:A176)+1</f>
        <v>165</v>
      </c>
      <c r="B177" s="1050" t="s">
        <v>1516</v>
      </c>
      <c r="C177" s="1029" t="s">
        <v>1750</v>
      </c>
      <c r="D177" s="1051" t="s">
        <v>1356</v>
      </c>
      <c r="E177" s="81" t="str">
        <f>VLOOKUP(B177,TH.Q2!B88:E419,4,FALSE)</f>
        <v>Giảng viên khoa CNTT</v>
      </c>
      <c r="F177" s="1040">
        <v>3.99</v>
      </c>
      <c r="G177" s="1053"/>
      <c r="H177" s="1248">
        <f t="shared" si="19"/>
        <v>0</v>
      </c>
      <c r="I177" s="1054"/>
      <c r="J177" s="1020" t="str">
        <f>VLOOKUP(B177,'[15]Gui chi Quynh'!$B$11:$E$396,4,FALSE)</f>
        <v>A4</v>
      </c>
      <c r="K177" s="1020">
        <f t="shared" si="20"/>
        <v>0.5</v>
      </c>
      <c r="L177" s="1021">
        <v>23</v>
      </c>
      <c r="M177" s="1021">
        <f>VLOOKUP(B177,'[16]CN BC'!$H$10:$J$275,3,FALSE)</f>
        <v>23</v>
      </c>
      <c r="N177" s="1021">
        <f t="shared" si="16"/>
        <v>23</v>
      </c>
      <c r="O177" s="1022"/>
      <c r="P177" s="1023">
        <f t="shared" si="15"/>
        <v>4668300</v>
      </c>
      <c r="Q177" s="1371">
        <f t="shared" si="17"/>
        <v>1.9950000000000001</v>
      </c>
      <c r="R177" s="1448">
        <v>2340000</v>
      </c>
      <c r="S177" s="1460">
        <f t="shared" si="18"/>
        <v>4668300</v>
      </c>
      <c r="T177" s="1024">
        <f t="shared" si="21"/>
        <v>165</v>
      </c>
      <c r="U177" s="1025">
        <f>IFERROR(INDEX('[16]CN BC'!$M$10:$M$276,MATCH(B177,'[16]CN BC'!$H$10:$H$276,0)),"")</f>
        <v>0</v>
      </c>
      <c r="V177" s="1011" t="str">
        <f>VLOOKUP(B177,TH.T4!B183:AC513,28,FALSE)</f>
        <v>CNTT</v>
      </c>
      <c r="Y177" s="1027"/>
    </row>
    <row r="178" spans="1:35" s="1012" customFormat="1" ht="26.25" customHeight="1">
      <c r="A178" s="1014">
        <f>_xlfn.AGGREGATE(4,7,A$12:A177)+1</f>
        <v>166</v>
      </c>
      <c r="B178" s="1050" t="s">
        <v>1883</v>
      </c>
      <c r="C178" s="1029" t="s">
        <v>1751</v>
      </c>
      <c r="D178" s="1051" t="s">
        <v>381</v>
      </c>
      <c r="E178" s="81" t="str">
        <f>VLOOKUP(B178,TH.Q2!B89:E420,4,FALSE)</f>
        <v>Phó Trưởng khoa CNTT</v>
      </c>
      <c r="F178" s="1056">
        <v>3.99</v>
      </c>
      <c r="G178" s="1053"/>
      <c r="H178" s="1248">
        <f t="shared" si="19"/>
        <v>0</v>
      </c>
      <c r="I178" s="1054">
        <v>0.35</v>
      </c>
      <c r="J178" s="1020" t="str">
        <f>VLOOKUP(B178,'[15]Gui chi Quynh'!$B$11:$E$396,4,FALSE)</f>
        <v>A3</v>
      </c>
      <c r="K178" s="1020">
        <f t="shared" si="20"/>
        <v>0.6</v>
      </c>
      <c r="L178" s="1021">
        <v>23</v>
      </c>
      <c r="M178" s="1021">
        <f>VLOOKUP(B178,'[16]CN BC'!$H$10:$J$275,3,FALSE)</f>
        <v>23</v>
      </c>
      <c r="N178" s="1021">
        <f t="shared" si="16"/>
        <v>23</v>
      </c>
      <c r="O178" s="1022"/>
      <c r="P178" s="1023">
        <f t="shared" si="15"/>
        <v>6093360</v>
      </c>
      <c r="Q178" s="1371">
        <f t="shared" si="17"/>
        <v>2.6040000000000001</v>
      </c>
      <c r="R178" s="1448">
        <v>2340000</v>
      </c>
      <c r="S178" s="1460">
        <f t="shared" si="18"/>
        <v>6093360</v>
      </c>
      <c r="T178" s="1024">
        <f t="shared" si="21"/>
        <v>166</v>
      </c>
      <c r="U178" s="1025">
        <f>IFERROR(INDEX('[16]CN BC'!$M$10:$M$276,MATCH(B178,'[16]CN BC'!$H$10:$H$276,0)),"")</f>
        <v>0</v>
      </c>
      <c r="V178" s="1011" t="str">
        <f>VLOOKUP(B178,TH.T4!B184:AC514,28,FALSE)</f>
        <v>CNTT</v>
      </c>
      <c r="Y178" s="1027"/>
    </row>
    <row r="179" spans="1:35" s="1028" customFormat="1" ht="23.25" customHeight="1">
      <c r="A179" s="1014">
        <f>_xlfn.AGGREGATE(4,7,A$12:A178)+1</f>
        <v>167</v>
      </c>
      <c r="B179" s="1015" t="s">
        <v>1833</v>
      </c>
      <c r="C179" s="1033" t="s">
        <v>1966</v>
      </c>
      <c r="D179" s="1103">
        <v>1603215005649</v>
      </c>
      <c r="E179" s="81" t="str">
        <f>VLOOKUP(B179,TH.Q2!B90:E421,4,FALSE)</f>
        <v>Giảng viên khoa CNTT</v>
      </c>
      <c r="F179" s="1040">
        <v>3.66</v>
      </c>
      <c r="G179" s="1019"/>
      <c r="H179" s="1248">
        <f t="shared" si="19"/>
        <v>0</v>
      </c>
      <c r="I179" s="1020"/>
      <c r="J179" s="1020" t="str">
        <f>VLOOKUP(B179,'[15]Gui chi Quynh'!$B$11:$E$396,4,FALSE)</f>
        <v>A3</v>
      </c>
      <c r="K179" s="1020">
        <f t="shared" si="20"/>
        <v>0.6</v>
      </c>
      <c r="L179" s="1021">
        <v>23</v>
      </c>
      <c r="M179" s="1021">
        <f>VLOOKUP(B179,'[16]CN BC'!$H$10:$J$275,3,FALSE)</f>
        <v>23</v>
      </c>
      <c r="N179" s="1021">
        <f t="shared" si="16"/>
        <v>23</v>
      </c>
      <c r="O179" s="1022"/>
      <c r="P179" s="1023">
        <f t="shared" si="15"/>
        <v>5138640</v>
      </c>
      <c r="Q179" s="1371">
        <f t="shared" si="17"/>
        <v>2.1960000000000002</v>
      </c>
      <c r="R179" s="1448">
        <v>2340000</v>
      </c>
      <c r="S179" s="1460">
        <f t="shared" si="18"/>
        <v>5138640</v>
      </c>
      <c r="T179" s="1024">
        <f t="shared" si="21"/>
        <v>167</v>
      </c>
      <c r="U179" s="1025">
        <f>IFERROR(INDEX('[16]CN BC'!$M$10:$M$276,MATCH(B179,'[16]CN BC'!$H$10:$H$276,0)),"")</f>
        <v>0</v>
      </c>
      <c r="V179" s="1011" t="str">
        <f>VLOOKUP(B179,TH.T4!B185:AC515,28,FALSE)</f>
        <v>CNTT</v>
      </c>
      <c r="W179" s="1012"/>
      <c r="X179" s="1012"/>
      <c r="Y179" s="1027"/>
    </row>
    <row r="180" spans="1:35" s="1028" customFormat="1" ht="29.25" customHeight="1">
      <c r="A180" s="1014">
        <f>_xlfn.AGGREGATE(4,7,A$12:A179)+1</f>
        <v>168</v>
      </c>
      <c r="B180" s="1015" t="s">
        <v>1884</v>
      </c>
      <c r="C180" s="1029" t="s">
        <v>1752</v>
      </c>
      <c r="D180" s="1034" t="s">
        <v>1345</v>
      </c>
      <c r="E180" s="81" t="str">
        <f>VLOOKUP(B180,TH.Q2!B91:E422,4,FALSE)</f>
        <v>Giảng viên khoa CNTT</v>
      </c>
      <c r="F180" s="1040">
        <v>4.32</v>
      </c>
      <c r="G180" s="1019"/>
      <c r="H180" s="1248">
        <f t="shared" si="19"/>
        <v>0</v>
      </c>
      <c r="I180" s="1020">
        <v>0.25</v>
      </c>
      <c r="J180" s="1020" t="str">
        <f>VLOOKUP(B180,'[15]Gui chi Quynh'!$B$11:$E$396,4,FALSE)</f>
        <v>A3</v>
      </c>
      <c r="K180" s="1020">
        <f t="shared" si="20"/>
        <v>0.6</v>
      </c>
      <c r="L180" s="1021">
        <v>23</v>
      </c>
      <c r="M180" s="1021">
        <f>VLOOKUP(B180,'[16]CN BC'!$H$10:$J$275,3,FALSE)</f>
        <v>23</v>
      </c>
      <c r="N180" s="1021">
        <f t="shared" si="16"/>
        <v>23</v>
      </c>
      <c r="O180" s="1022"/>
      <c r="P180" s="1023">
        <f t="shared" si="15"/>
        <v>6416280</v>
      </c>
      <c r="Q180" s="1371">
        <f t="shared" si="17"/>
        <v>2.742</v>
      </c>
      <c r="R180" s="1448">
        <v>2340000</v>
      </c>
      <c r="S180" s="1460">
        <f t="shared" si="18"/>
        <v>6416280</v>
      </c>
      <c r="T180" s="1024">
        <f t="shared" si="21"/>
        <v>168</v>
      </c>
      <c r="U180" s="1025">
        <f>IFERROR(INDEX('[16]CN BC'!$M$10:$M$276,MATCH(B180,'[16]CN BC'!$H$10:$H$276,0)),"")</f>
        <v>0</v>
      </c>
      <c r="V180" s="1011" t="str">
        <f>VLOOKUP(B180,TH.T4!B186:AC516,28,FALSE)</f>
        <v>CNTT</v>
      </c>
      <c r="W180" s="1012"/>
      <c r="X180" s="1012"/>
      <c r="Y180" s="1027"/>
      <c r="Z180" s="1012"/>
      <c r="AA180" s="1012"/>
      <c r="AB180" s="1012"/>
      <c r="AC180" s="1012"/>
      <c r="AD180" s="1012"/>
      <c r="AE180" s="1012"/>
      <c r="AF180" s="1012"/>
      <c r="AG180" s="1012"/>
      <c r="AH180" s="1012"/>
      <c r="AI180" s="1012"/>
    </row>
    <row r="181" spans="1:35" s="1028" customFormat="1" ht="29.25" customHeight="1">
      <c r="A181" s="1014">
        <f>_xlfn.AGGREGATE(4,7,A$12:A180)+1</f>
        <v>169</v>
      </c>
      <c r="B181" s="1015" t="s">
        <v>1517</v>
      </c>
      <c r="C181" s="1033" t="s">
        <v>1753</v>
      </c>
      <c r="D181" s="1045">
        <v>1603205286594</v>
      </c>
      <c r="E181" s="368" t="str">
        <f>VLOOKUP(B181,TH.Q2!B92:E423,4,FALSE)</f>
        <v>Giảng viên khoa CNTT</v>
      </c>
      <c r="F181" s="1040">
        <v>3.66</v>
      </c>
      <c r="G181" s="1019"/>
      <c r="H181" s="1255">
        <f t="shared" si="19"/>
        <v>0</v>
      </c>
      <c r="I181" s="1020"/>
      <c r="J181" s="1020" t="str">
        <f>VLOOKUP(B181,'[15]Gui chi Quynh'!$B$11:$E$396,4,FALSE)</f>
        <v>A4</v>
      </c>
      <c r="K181" s="1020">
        <f t="shared" si="20"/>
        <v>0.5</v>
      </c>
      <c r="L181" s="1021">
        <v>23</v>
      </c>
      <c r="M181" s="1021">
        <f>VLOOKUP(B181,'[16]CN BC'!$H$10:$J$275,3,FALSE)</f>
        <v>23</v>
      </c>
      <c r="N181" s="1021">
        <f t="shared" si="16"/>
        <v>23</v>
      </c>
      <c r="O181" s="1035"/>
      <c r="P181" s="1023">
        <f t="shared" si="15"/>
        <v>4282200</v>
      </c>
      <c r="Q181" s="1371">
        <f t="shared" si="17"/>
        <v>1.83</v>
      </c>
      <c r="R181" s="1448">
        <v>2340000</v>
      </c>
      <c r="S181" s="1460">
        <f t="shared" si="18"/>
        <v>4282200</v>
      </c>
      <c r="T181" s="1024">
        <f t="shared" si="21"/>
        <v>169</v>
      </c>
      <c r="U181" s="1025">
        <f>IFERROR(INDEX('[16]CN BC'!$M$10:$M$276,MATCH(B181,'[16]CN BC'!$H$10:$H$276,0)),"")</f>
        <v>0</v>
      </c>
      <c r="V181" s="1067" t="str">
        <f>VLOOKUP(B181,TH.T4!B187:AC517,28,FALSE)</f>
        <v>CNTT</v>
      </c>
      <c r="Y181" s="1038"/>
    </row>
    <row r="182" spans="1:35" s="1028" customFormat="1" ht="28.5" customHeight="1">
      <c r="A182" s="1014">
        <f>_xlfn.AGGREGATE(4,7,A$12:A181)+1</f>
        <v>170</v>
      </c>
      <c r="B182" s="1015" t="s">
        <v>1518</v>
      </c>
      <c r="C182" s="1033" t="s">
        <v>1754</v>
      </c>
      <c r="D182" s="1034" t="s">
        <v>1346</v>
      </c>
      <c r="E182" s="368" t="str">
        <f>VLOOKUP(B182,TH.Q2!B93:E424,4,FALSE)</f>
        <v>Giảng viên khoa CNTT</v>
      </c>
      <c r="F182" s="1018">
        <v>4.32</v>
      </c>
      <c r="G182" s="1019"/>
      <c r="H182" s="1255">
        <f t="shared" si="19"/>
        <v>0</v>
      </c>
      <c r="I182" s="1020"/>
      <c r="J182" s="1020" t="str">
        <f>VLOOKUP(B182,'[15]Gui chi Quynh'!$B$11:$E$396,4,FALSE)</f>
        <v>A4</v>
      </c>
      <c r="K182" s="1020">
        <f t="shared" si="20"/>
        <v>0.5</v>
      </c>
      <c r="L182" s="1021">
        <v>23</v>
      </c>
      <c r="M182" s="1021">
        <f>VLOOKUP(B182,'[16]CN BC'!$H$10:$J$275,3,FALSE)</f>
        <v>23</v>
      </c>
      <c r="N182" s="1021">
        <f t="shared" si="16"/>
        <v>23</v>
      </c>
      <c r="O182" s="1035"/>
      <c r="P182" s="1023">
        <f t="shared" si="15"/>
        <v>5054400</v>
      </c>
      <c r="Q182" s="1371">
        <f t="shared" si="17"/>
        <v>2.16</v>
      </c>
      <c r="R182" s="1448">
        <v>2340000</v>
      </c>
      <c r="S182" s="1460">
        <f t="shared" si="18"/>
        <v>5054400</v>
      </c>
      <c r="T182" s="1024">
        <f t="shared" si="21"/>
        <v>170</v>
      </c>
      <c r="U182" s="1025">
        <f>IFERROR(INDEX('[16]CN BC'!$M$10:$M$276,MATCH(B182,'[16]CN BC'!$H$10:$H$276,0)),"")</f>
        <v>0</v>
      </c>
      <c r="V182" s="1067" t="str">
        <f>VLOOKUP(B182,TH.T4!B188:AC518,28,FALSE)</f>
        <v>CNTT</v>
      </c>
      <c r="Y182" s="1038"/>
    </row>
    <row r="183" spans="1:35" s="1028" customFormat="1" ht="28.5" customHeight="1">
      <c r="A183" s="1014">
        <f>_xlfn.AGGREGATE(4,7,A$12:A182)+1</f>
        <v>171</v>
      </c>
      <c r="B183" s="1015" t="s">
        <v>1519</v>
      </c>
      <c r="C183" s="1033" t="s">
        <v>1755</v>
      </c>
      <c r="D183" s="1034" t="s">
        <v>771</v>
      </c>
      <c r="E183" s="368" t="str">
        <f>VLOOKUP(B183,TH.Q2!B94:E425,4,FALSE)</f>
        <v>Giảng viên khoa CNTT</v>
      </c>
      <c r="F183" s="1040">
        <v>3.99</v>
      </c>
      <c r="G183" s="1019"/>
      <c r="H183" s="1255">
        <f t="shared" si="19"/>
        <v>0</v>
      </c>
      <c r="I183" s="1020"/>
      <c r="J183" s="1020" t="str">
        <f>VLOOKUP(B183,'[15]Gui chi Quynh'!$B$11:$E$396,4,FALSE)</f>
        <v>A4</v>
      </c>
      <c r="K183" s="1020">
        <f t="shared" si="20"/>
        <v>0.5</v>
      </c>
      <c r="L183" s="1021">
        <v>23</v>
      </c>
      <c r="M183" s="1021">
        <f>VLOOKUP(B183,'[16]CN BC'!$H$10:$J$275,3,FALSE)</f>
        <v>23</v>
      </c>
      <c r="N183" s="1021">
        <f t="shared" si="16"/>
        <v>23</v>
      </c>
      <c r="O183" s="1035"/>
      <c r="P183" s="1023">
        <f t="shared" si="15"/>
        <v>4668300</v>
      </c>
      <c r="Q183" s="1371">
        <f t="shared" si="17"/>
        <v>1.9950000000000001</v>
      </c>
      <c r="R183" s="1448">
        <v>2340000</v>
      </c>
      <c r="S183" s="1460">
        <f t="shared" si="18"/>
        <v>4668300</v>
      </c>
      <c r="T183" s="1024">
        <f t="shared" si="21"/>
        <v>171</v>
      </c>
      <c r="U183" s="1025">
        <f>IFERROR(INDEX('[16]CN BC'!$M$10:$M$276,MATCH(B183,'[16]CN BC'!$H$10:$H$276,0)),"")</f>
        <v>0</v>
      </c>
      <c r="V183" s="1067" t="str">
        <f>VLOOKUP(B183,TH.T4!B189:AC519,28,FALSE)</f>
        <v>CNTT</v>
      </c>
      <c r="Y183" s="1038"/>
    </row>
    <row r="184" spans="1:35" s="1028" customFormat="1" ht="25.5" customHeight="1">
      <c r="A184" s="1014">
        <f>_xlfn.AGGREGATE(4,7,A$12:A183)+1</f>
        <v>172</v>
      </c>
      <c r="B184" s="1015" t="s">
        <v>1520</v>
      </c>
      <c r="C184" s="1033" t="s">
        <v>1756</v>
      </c>
      <c r="D184" s="1104" t="s">
        <v>1593</v>
      </c>
      <c r="E184" s="81" t="str">
        <f>VLOOKUP(B184,TH.Q2!B95:E426,4,FALSE)</f>
        <v>Giảng viên khoa CNTT</v>
      </c>
      <c r="F184" s="1040">
        <v>3.99</v>
      </c>
      <c r="G184" s="1019"/>
      <c r="H184" s="1248">
        <f t="shared" si="19"/>
        <v>0</v>
      </c>
      <c r="I184" s="1020">
        <v>0.25</v>
      </c>
      <c r="J184" s="1020" t="str">
        <f>VLOOKUP(B184,'[15]Gui chi Quynh'!$B$11:$E$396,4,FALSE)</f>
        <v>A3</v>
      </c>
      <c r="K184" s="1020">
        <f t="shared" si="20"/>
        <v>0.6</v>
      </c>
      <c r="L184" s="1021">
        <v>23</v>
      </c>
      <c r="M184" s="1021">
        <f>VLOOKUP(B184,'[16]CN BC'!$H$10:$J$275,3,FALSE)</f>
        <v>23</v>
      </c>
      <c r="N184" s="1021">
        <f t="shared" si="16"/>
        <v>23</v>
      </c>
      <c r="O184" s="1022"/>
      <c r="P184" s="1023">
        <f t="shared" si="15"/>
        <v>5952960</v>
      </c>
      <c r="Q184" s="1371">
        <f t="shared" si="17"/>
        <v>2.544</v>
      </c>
      <c r="R184" s="1448">
        <v>2340000</v>
      </c>
      <c r="S184" s="1460">
        <f t="shared" si="18"/>
        <v>5952960</v>
      </c>
      <c r="T184" s="1024">
        <f t="shared" si="21"/>
        <v>172</v>
      </c>
      <c r="U184" s="1025">
        <f>IFERROR(INDEX('[16]CN BC'!$M$10:$M$276,MATCH(B184,'[16]CN BC'!$H$10:$H$276,0)),"")</f>
        <v>0</v>
      </c>
      <c r="V184" s="1011" t="str">
        <f>VLOOKUP(B184,TH.T4!B190:AC520,28,FALSE)</f>
        <v>CNTT</v>
      </c>
      <c r="Y184" s="1038"/>
    </row>
    <row r="185" spans="1:35" s="1028" customFormat="1" ht="28.5" customHeight="1">
      <c r="A185" s="1014">
        <f>_xlfn.AGGREGATE(4,7,A$12:A184)+1</f>
        <v>173</v>
      </c>
      <c r="B185" s="1015" t="s">
        <v>1467</v>
      </c>
      <c r="C185" s="1033" t="s">
        <v>1674</v>
      </c>
      <c r="D185" s="1034" t="s">
        <v>1343</v>
      </c>
      <c r="E185" s="81" t="str">
        <f>VLOOKUP(B185,TH.Q2!B96:E427,4,FALSE)</f>
        <v>Giảng viên khoa CNTT</v>
      </c>
      <c r="F185" s="1018">
        <v>4.32</v>
      </c>
      <c r="G185" s="1019"/>
      <c r="H185" s="1248">
        <f t="shared" si="19"/>
        <v>0</v>
      </c>
      <c r="I185" s="1020"/>
      <c r="J185" s="1020" t="str">
        <f>VLOOKUP(B185,'[15]Gui chi Quynh'!$B$11:$E$396,4,FALSE)</f>
        <v>A3</v>
      </c>
      <c r="K185" s="1020">
        <f t="shared" si="20"/>
        <v>0.6</v>
      </c>
      <c r="L185" s="1021">
        <v>23</v>
      </c>
      <c r="M185" s="1021">
        <f>VLOOKUP(B185,'[16]CN BC'!$H$10:$J$275,3,FALSE)</f>
        <v>23</v>
      </c>
      <c r="N185" s="1021">
        <f t="shared" si="16"/>
        <v>23</v>
      </c>
      <c r="O185" s="1022"/>
      <c r="P185" s="1023">
        <f t="shared" si="15"/>
        <v>6065280</v>
      </c>
      <c r="Q185" s="1371">
        <f t="shared" si="17"/>
        <v>2.5920000000000001</v>
      </c>
      <c r="R185" s="1448">
        <v>2340000</v>
      </c>
      <c r="S185" s="1460">
        <f t="shared" si="18"/>
        <v>6065280</v>
      </c>
      <c r="T185" s="1024">
        <f t="shared" si="21"/>
        <v>173</v>
      </c>
      <c r="U185" s="1025">
        <f>IFERROR(INDEX('[16]CN BC'!$M$10:$M$276,MATCH(B185,'[16]CN BC'!$H$10:$H$276,0)),"")</f>
        <v>0</v>
      </c>
      <c r="V185" s="1011" t="str">
        <f>VLOOKUP(B185,TH.T4!B191:AC521,28,FALSE)</f>
        <v>CNTT</v>
      </c>
      <c r="W185" s="1012"/>
      <c r="X185" s="1012"/>
      <c r="Y185" s="1027">
        <f>3.68*1490000*1.4</f>
        <v>7676479.9999999991</v>
      </c>
      <c r="Z185" s="1012"/>
      <c r="AA185" s="1012"/>
      <c r="AB185" s="1012"/>
      <c r="AC185" s="1012"/>
      <c r="AD185" s="1012"/>
      <c r="AE185" s="1012"/>
    </row>
    <row r="186" spans="1:35" s="1028" customFormat="1" ht="28.5" customHeight="1">
      <c r="A186" s="1014">
        <f>_xlfn.AGGREGATE(4,7,A$12:A185)+1</f>
        <v>174</v>
      </c>
      <c r="B186" s="1015" t="s">
        <v>2011</v>
      </c>
      <c r="C186" s="1033"/>
      <c r="D186" s="1034"/>
      <c r="E186" s="81" t="str">
        <f>VLOOKUP(B186,TH.Q2!B97:E428,4,FALSE)</f>
        <v>Giảng viên khoa CNTT</v>
      </c>
      <c r="F186" s="1018">
        <v>2.67</v>
      </c>
      <c r="G186" s="1019"/>
      <c r="H186" s="1248">
        <f t="shared" si="19"/>
        <v>0</v>
      </c>
      <c r="I186" s="1020"/>
      <c r="J186" s="1020" t="str">
        <f>VLOOKUP(B186,'[15]Gui chi Quynh'!$B$11:$E$396,4,FALSE)</f>
        <v>A3</v>
      </c>
      <c r="K186" s="1020">
        <f t="shared" si="20"/>
        <v>0.6</v>
      </c>
      <c r="L186" s="1021">
        <v>23</v>
      </c>
      <c r="M186" s="1021">
        <f>VLOOKUP(B186,'[16]CN BC'!$H$10:$J$275,3,FALSE)</f>
        <v>23</v>
      </c>
      <c r="N186" s="1021">
        <f t="shared" si="16"/>
        <v>23</v>
      </c>
      <c r="O186" s="1022"/>
      <c r="P186" s="1023">
        <f t="shared" si="15"/>
        <v>3748680</v>
      </c>
      <c r="Q186" s="1371">
        <f t="shared" si="17"/>
        <v>1.6020000000000001</v>
      </c>
      <c r="R186" s="1448">
        <v>2340000</v>
      </c>
      <c r="S186" s="1460">
        <f t="shared" si="18"/>
        <v>3748680</v>
      </c>
      <c r="T186" s="1024">
        <f t="shared" si="21"/>
        <v>174</v>
      </c>
      <c r="U186" s="1025">
        <f>IFERROR(INDEX('[16]CN BC'!$M$10:$M$276,MATCH(B186,'[16]CN BC'!$H$10:$H$276,0)),"")</f>
        <v>0</v>
      </c>
      <c r="V186" s="1011" t="str">
        <f>VLOOKUP(B186,TH.T4!B192:AC522,28,FALSE)</f>
        <v>CNTT</v>
      </c>
      <c r="Y186" s="1038"/>
    </row>
    <row r="187" spans="1:35" s="1028" customFormat="1" ht="28.5" customHeight="1">
      <c r="A187" s="1014">
        <f>_xlfn.AGGREGATE(4,7,A$12:A186)+1</f>
        <v>175</v>
      </c>
      <c r="B187" s="1015" t="s">
        <v>2017</v>
      </c>
      <c r="C187" s="1033"/>
      <c r="D187" s="1034"/>
      <c r="E187" s="81" t="str">
        <f>VLOOKUP(B187,TH.Q2!B98:E429,4,FALSE)</f>
        <v>Giảng viên khoa CNTT</v>
      </c>
      <c r="F187" s="1018">
        <v>1.9890000000000001</v>
      </c>
      <c r="G187" s="1019"/>
      <c r="H187" s="1248">
        <f t="shared" si="19"/>
        <v>0</v>
      </c>
      <c r="I187" s="1020"/>
      <c r="J187" s="1020" t="str">
        <f>VLOOKUP(B187,'[15]Gui chi Quynh'!$B$11:$E$396,4,FALSE)</f>
        <v>A3</v>
      </c>
      <c r="K187" s="1020">
        <f t="shared" si="20"/>
        <v>0.6</v>
      </c>
      <c r="L187" s="1021">
        <v>23</v>
      </c>
      <c r="M187" s="1021">
        <f>VLOOKUP(B187,'[16]CN BC'!$H$10:$J$275,3,FALSE)</f>
        <v>23</v>
      </c>
      <c r="N187" s="1021">
        <f t="shared" si="16"/>
        <v>23</v>
      </c>
      <c r="O187" s="1022"/>
      <c r="P187" s="1023">
        <f t="shared" si="15"/>
        <v>2792556</v>
      </c>
      <c r="Q187" s="1371">
        <f t="shared" si="17"/>
        <v>1.1934</v>
      </c>
      <c r="R187" s="1448">
        <v>2340000</v>
      </c>
      <c r="S187" s="1460">
        <f t="shared" si="18"/>
        <v>2792556</v>
      </c>
      <c r="T187" s="1024">
        <f t="shared" si="21"/>
        <v>175</v>
      </c>
      <c r="U187" s="1025">
        <f>IFERROR(INDEX('[16]CN BC'!$M$10:$M$276,MATCH(B187,'[16]CN BC'!$H$10:$H$276,0)),"")</f>
        <v>0</v>
      </c>
      <c r="V187" s="1011" t="str">
        <f>VLOOKUP(B187,TH.T4!B193:AC523,28,FALSE)</f>
        <v>CNTT</v>
      </c>
      <c r="Y187" s="1038"/>
    </row>
    <row r="188" spans="1:35" s="1028" customFormat="1" ht="28.5" customHeight="1">
      <c r="A188" s="1014">
        <f>_xlfn.AGGREGATE(4,7,A$12:A187)+1</f>
        <v>176</v>
      </c>
      <c r="B188" s="1015" t="s">
        <v>1885</v>
      </c>
      <c r="C188" s="1033" t="s">
        <v>1757</v>
      </c>
      <c r="D188" s="1034" t="s">
        <v>1368</v>
      </c>
      <c r="E188" s="81" t="str">
        <f>VLOOKUP(B188,TH.Q2!B99:E430,4,FALSE)</f>
        <v>Trưởng khoa Cơ khí</v>
      </c>
      <c r="F188" s="1018">
        <v>4.6500000000000004</v>
      </c>
      <c r="G188" s="1019"/>
      <c r="H188" s="1248">
        <f t="shared" si="19"/>
        <v>0</v>
      </c>
      <c r="I188" s="1020">
        <v>0.45</v>
      </c>
      <c r="J188" s="1020" t="str">
        <f>VLOOKUP(B188,'[15]Gui chi Quynh'!$B$11:$E$396,4,FALSE)</f>
        <v>A2</v>
      </c>
      <c r="K188" s="1020">
        <f t="shared" si="20"/>
        <v>0.7</v>
      </c>
      <c r="L188" s="1021">
        <v>23</v>
      </c>
      <c r="M188" s="1021">
        <f>VLOOKUP(B188,'[16]CN BC'!$H$10:$J$275,3,FALSE)</f>
        <v>27</v>
      </c>
      <c r="N188" s="1021">
        <f t="shared" si="16"/>
        <v>23</v>
      </c>
      <c r="O188" s="1022"/>
      <c r="P188" s="1023">
        <f t="shared" si="15"/>
        <v>8353800.0000000009</v>
      </c>
      <c r="Q188" s="1371">
        <f t="shared" si="17"/>
        <v>3.5700000000000003</v>
      </c>
      <c r="R188" s="1448">
        <v>2340000</v>
      </c>
      <c r="S188" s="1460">
        <f t="shared" si="18"/>
        <v>8353800.0000000009</v>
      </c>
      <c r="T188" s="1024">
        <f t="shared" si="21"/>
        <v>176</v>
      </c>
      <c r="U188" s="1025">
        <f>IFERROR(INDEX('[16]CN BC'!$M$10:$M$276,MATCH(B188,'[16]CN BC'!$H$10:$H$276,0)),"")</f>
        <v>0</v>
      </c>
      <c r="V188" s="1011" t="str">
        <f>VLOOKUP(B188,TH.T4!B194:AC524,28,FALSE)</f>
        <v>CK</v>
      </c>
      <c r="W188" s="1012"/>
      <c r="X188" s="1012"/>
      <c r="Y188" s="1027"/>
      <c r="Z188" s="1012"/>
      <c r="AA188" s="1012"/>
      <c r="AB188" s="1012"/>
      <c r="AC188" s="1012"/>
      <c r="AD188" s="1012"/>
      <c r="AE188" s="1012"/>
    </row>
    <row r="189" spans="1:35" s="1012" customFormat="1" ht="26.25" customHeight="1">
      <c r="A189" s="1014">
        <f>_xlfn.AGGREGATE(4,7,A$12:A188)+1</f>
        <v>177</v>
      </c>
      <c r="B189" s="1050" t="s">
        <v>1886</v>
      </c>
      <c r="C189" s="1029" t="s">
        <v>1758</v>
      </c>
      <c r="D189" s="1051" t="s">
        <v>1363</v>
      </c>
      <c r="E189" s="81" t="str">
        <f>VLOOKUP(B189,TH.Q2!B100:E431,4,FALSE)</f>
        <v>Giảng viên khoa Cơ khí</v>
      </c>
      <c r="F189" s="1052">
        <v>4.9800000000000004</v>
      </c>
      <c r="G189" s="1053">
        <v>7.0000000000000007E-2</v>
      </c>
      <c r="H189" s="1248">
        <f t="shared" si="19"/>
        <v>0.34899999999999998</v>
      </c>
      <c r="I189" s="1054"/>
      <c r="J189" s="1020" t="str">
        <f>VLOOKUP(B189,'[15]Gui chi Quynh'!$B$11:$E$396,4,FALSE)</f>
        <v>A4</v>
      </c>
      <c r="K189" s="1020">
        <f t="shared" si="20"/>
        <v>0.5</v>
      </c>
      <c r="L189" s="1021">
        <v>23</v>
      </c>
      <c r="M189" s="1021">
        <f>VLOOKUP(B189,'[16]CN BC'!$H$10:$J$275,3,FALSE)</f>
        <v>23</v>
      </c>
      <c r="N189" s="1021">
        <f t="shared" si="16"/>
        <v>23</v>
      </c>
      <c r="O189" s="1022"/>
      <c r="P189" s="1023">
        <f t="shared" si="15"/>
        <v>6234930.0000000019</v>
      </c>
      <c r="Q189" s="1371">
        <f t="shared" si="17"/>
        <v>2.6645000000000008</v>
      </c>
      <c r="R189" s="1448">
        <v>2340000</v>
      </c>
      <c r="S189" s="1460">
        <f t="shared" si="18"/>
        <v>6234930.0000000019</v>
      </c>
      <c r="T189" s="1024">
        <f t="shared" si="21"/>
        <v>177</v>
      </c>
      <c r="U189" s="1025">
        <f>IFERROR(INDEX('[16]CN BC'!$M$10:$M$276,MATCH(B189,'[16]CN BC'!$H$10:$H$276,0)),"")</f>
        <v>0</v>
      </c>
      <c r="V189" s="1011" t="str">
        <f>VLOOKUP(B189,TH.T4!B195:AC525,28,FALSE)</f>
        <v>CK</v>
      </c>
      <c r="Y189" s="1027"/>
    </row>
    <row r="190" spans="1:35" s="1028" customFormat="1" ht="31.5" customHeight="1">
      <c r="A190" s="1014">
        <f>_xlfn.AGGREGATE(4,7,A$12:A189)+1</f>
        <v>178</v>
      </c>
      <c r="B190" s="1015" t="s">
        <v>1887</v>
      </c>
      <c r="C190" s="1033" t="s">
        <v>1759</v>
      </c>
      <c r="D190" s="1034" t="s">
        <v>1364</v>
      </c>
      <c r="E190" s="368" t="str">
        <f>VLOOKUP(B190,TH.Q2!B101:E432,4,FALSE)</f>
        <v>Giảng viên khoa Cơ khí</v>
      </c>
      <c r="F190" s="1018">
        <v>4.9800000000000004</v>
      </c>
      <c r="G190" s="1019">
        <v>0.08</v>
      </c>
      <c r="H190" s="1255">
        <f t="shared" si="19"/>
        <v>0.39800000000000002</v>
      </c>
      <c r="I190" s="1020"/>
      <c r="J190" s="1020" t="str">
        <f>VLOOKUP(B190,'[15]Gui chi Quynh'!$B$11:$E$396,4,FALSE)</f>
        <v>A2</v>
      </c>
      <c r="K190" s="1020">
        <f t="shared" si="20"/>
        <v>0.7</v>
      </c>
      <c r="L190" s="1021">
        <v>23</v>
      </c>
      <c r="M190" s="1021">
        <f>VLOOKUP(B190,'[16]CN BC'!$H$10:$J$275,3,FALSE)</f>
        <v>23</v>
      </c>
      <c r="N190" s="1021">
        <f t="shared" si="16"/>
        <v>23</v>
      </c>
      <c r="O190" s="1035"/>
      <c r="P190" s="1023">
        <f t="shared" si="15"/>
        <v>8809164</v>
      </c>
      <c r="Q190" s="1371">
        <f t="shared" si="17"/>
        <v>3.7646000000000002</v>
      </c>
      <c r="R190" s="1448">
        <v>2340000</v>
      </c>
      <c r="S190" s="1460">
        <f t="shared" si="18"/>
        <v>8809164</v>
      </c>
      <c r="T190" s="1024">
        <f t="shared" si="21"/>
        <v>178</v>
      </c>
      <c r="U190" s="1025">
        <f>IFERROR(INDEX('[16]CN BC'!$M$10:$M$276,MATCH(B190,'[16]CN BC'!$H$10:$H$276,0)),"")</f>
        <v>0</v>
      </c>
      <c r="V190" s="1067" t="str">
        <f>VLOOKUP(B190,TH.T4!B196:AC526,28,FALSE)</f>
        <v>CK</v>
      </c>
      <c r="Y190" s="1038"/>
    </row>
    <row r="191" spans="1:35" s="1028" customFormat="1" ht="25.5" customHeight="1">
      <c r="A191" s="1014">
        <f>_xlfn.AGGREGATE(4,7,A$12:A190)+1</f>
        <v>179</v>
      </c>
      <c r="B191" s="1015" t="s">
        <v>1888</v>
      </c>
      <c r="C191" s="1033" t="s">
        <v>1760</v>
      </c>
      <c r="D191" s="1034" t="s">
        <v>1369</v>
      </c>
      <c r="E191" s="81" t="str">
        <f>VLOOKUP(B191,TH.Q2!B102:E433,4,FALSE)</f>
        <v>Giảng viên khoa Cơ khí</v>
      </c>
      <c r="F191" s="1018">
        <v>4.32</v>
      </c>
      <c r="G191" s="1019"/>
      <c r="H191" s="1248">
        <f t="shared" si="19"/>
        <v>0</v>
      </c>
      <c r="I191" s="1020"/>
      <c r="J191" s="1020" t="str">
        <f>VLOOKUP(B191,'[15]Gui chi Quynh'!$B$11:$E$396,4,FALSE)</f>
        <v>A3</v>
      </c>
      <c r="K191" s="1020">
        <f t="shared" si="20"/>
        <v>0.6</v>
      </c>
      <c r="L191" s="1021">
        <v>23</v>
      </c>
      <c r="M191" s="1021">
        <f>VLOOKUP(B191,'[16]CN BC'!$H$10:$J$275,3,FALSE)</f>
        <v>23</v>
      </c>
      <c r="N191" s="1021">
        <f t="shared" si="16"/>
        <v>23</v>
      </c>
      <c r="O191" s="1022"/>
      <c r="P191" s="1023">
        <f t="shared" si="15"/>
        <v>6065280</v>
      </c>
      <c r="Q191" s="1371">
        <f t="shared" si="17"/>
        <v>2.5920000000000001</v>
      </c>
      <c r="R191" s="1448">
        <v>2340000</v>
      </c>
      <c r="S191" s="1460">
        <f t="shared" si="18"/>
        <v>6065280</v>
      </c>
      <c r="T191" s="1024">
        <f t="shared" si="21"/>
        <v>179</v>
      </c>
      <c r="U191" s="1025">
        <f>IFERROR(INDEX('[16]CN BC'!$M$10:$M$276,MATCH(B191,'[16]CN BC'!$H$10:$H$276,0)),"")</f>
        <v>0</v>
      </c>
      <c r="V191" s="1011" t="str">
        <f>VLOOKUP(B191,TH.T4!B197:AC527,28,FALSE)</f>
        <v>CK</v>
      </c>
      <c r="W191" s="1012"/>
      <c r="X191" s="1012"/>
      <c r="Y191" s="1027"/>
      <c r="Z191" s="1012"/>
      <c r="AA191" s="1012"/>
      <c r="AB191" s="1012"/>
      <c r="AC191" s="1012"/>
      <c r="AD191" s="1012"/>
      <c r="AE191" s="1012"/>
    </row>
    <row r="192" spans="1:35" s="1028" customFormat="1" ht="25.5" customHeight="1">
      <c r="A192" s="1014">
        <f>_xlfn.AGGREGATE(4,7,A$12:A191)+1</f>
        <v>180</v>
      </c>
      <c r="B192" s="1015" t="s">
        <v>1889</v>
      </c>
      <c r="C192" s="1033" t="s">
        <v>1761</v>
      </c>
      <c r="D192" s="1034" t="s">
        <v>42</v>
      </c>
      <c r="E192" s="81" t="str">
        <f>VLOOKUP(B192,TH.Q2!B103:E434,4,FALSE)</f>
        <v>Giảng viên khoa Cơ khí</v>
      </c>
      <c r="F192" s="1018">
        <v>4.9800000000000004</v>
      </c>
      <c r="G192" s="1019">
        <v>0.16</v>
      </c>
      <c r="H192" s="1248">
        <f t="shared" si="19"/>
        <v>0.79700000000000004</v>
      </c>
      <c r="I192" s="1020"/>
      <c r="J192" s="1020" t="str">
        <f>VLOOKUP(B192,'[15]Gui chi Quynh'!$B$11:$E$396,4,FALSE)</f>
        <v>A4</v>
      </c>
      <c r="K192" s="1020">
        <f t="shared" si="20"/>
        <v>0.5</v>
      </c>
      <c r="L192" s="1021">
        <v>23</v>
      </c>
      <c r="M192" s="1021">
        <f>VLOOKUP(B192,'[16]CN BC'!$H$10:$J$275,3,FALSE)</f>
        <v>23</v>
      </c>
      <c r="N192" s="1021">
        <f t="shared" si="16"/>
        <v>23</v>
      </c>
      <c r="O192" s="1022"/>
      <c r="P192" s="1023">
        <f t="shared" si="15"/>
        <v>6759090</v>
      </c>
      <c r="Q192" s="1371">
        <f t="shared" si="17"/>
        <v>2.8885000000000001</v>
      </c>
      <c r="R192" s="1448">
        <v>2340000</v>
      </c>
      <c r="S192" s="1460">
        <f t="shared" si="18"/>
        <v>6759090</v>
      </c>
      <c r="T192" s="1024">
        <f t="shared" si="21"/>
        <v>180</v>
      </c>
      <c r="U192" s="1025">
        <f>IFERROR(INDEX('[16]CN BC'!$M$10:$M$276,MATCH(B192,'[16]CN BC'!$H$10:$H$276,0)),"")</f>
        <v>0</v>
      </c>
      <c r="V192" s="1011" t="str">
        <f>VLOOKUP(B192,TH.T4!B198:AC528,28,FALSE)</f>
        <v>CK</v>
      </c>
      <c r="W192" s="1012"/>
      <c r="X192" s="1012"/>
      <c r="Y192" s="1027"/>
      <c r="Z192" s="1012"/>
      <c r="AA192" s="1012"/>
      <c r="AB192" s="1012"/>
      <c r="AC192" s="1012"/>
      <c r="AD192" s="1012"/>
      <c r="AE192" s="1012"/>
    </row>
    <row r="193" spans="1:35" s="1028" customFormat="1" ht="25.5" customHeight="1">
      <c r="A193" s="1014">
        <f>_xlfn.AGGREGATE(4,7,A$12:A192)+1</f>
        <v>181</v>
      </c>
      <c r="B193" s="1015" t="s">
        <v>1890</v>
      </c>
      <c r="C193" s="1033" t="s">
        <v>1762</v>
      </c>
      <c r="D193" s="1034" t="s">
        <v>1367</v>
      </c>
      <c r="E193" s="81" t="str">
        <f>VLOOKUP(B193,TH.Q2!B104:E435,4,FALSE)</f>
        <v>Giảng viên khoa Cơ khí</v>
      </c>
      <c r="F193" s="1018">
        <v>4.6500000000000004</v>
      </c>
      <c r="G193" s="1019"/>
      <c r="H193" s="1248">
        <f t="shared" si="19"/>
        <v>0</v>
      </c>
      <c r="I193" s="1020">
        <f>0.25</f>
        <v>0.25</v>
      </c>
      <c r="J193" s="1020" t="str">
        <f>VLOOKUP(B193,'[15]Gui chi Quynh'!$B$11:$E$396,4,FALSE)</f>
        <v>A2</v>
      </c>
      <c r="K193" s="1020">
        <f t="shared" si="20"/>
        <v>0.7</v>
      </c>
      <c r="L193" s="1021">
        <v>23</v>
      </c>
      <c r="M193" s="1021">
        <f>VLOOKUP(B193,'[16]CN BC'!$H$10:$J$275,3,FALSE)</f>
        <v>23</v>
      </c>
      <c r="N193" s="1021">
        <f t="shared" si="16"/>
        <v>23</v>
      </c>
      <c r="O193" s="1022"/>
      <c r="P193" s="1023">
        <f t="shared" si="15"/>
        <v>8026199.9999999991</v>
      </c>
      <c r="Q193" s="1371">
        <f t="shared" si="17"/>
        <v>3.4299999999999997</v>
      </c>
      <c r="R193" s="1448">
        <v>2340000</v>
      </c>
      <c r="S193" s="1460">
        <f t="shared" si="18"/>
        <v>8026199.9999999991</v>
      </c>
      <c r="T193" s="1024">
        <f t="shared" si="21"/>
        <v>181</v>
      </c>
      <c r="U193" s="1025">
        <f>IFERROR(INDEX('[16]CN BC'!$M$10:$M$276,MATCH(B193,'[16]CN BC'!$H$10:$H$276,0)),"")</f>
        <v>0</v>
      </c>
      <c r="V193" s="1011" t="str">
        <f>VLOOKUP(B193,TH.T4!B199:AC529,28,FALSE)</f>
        <v>CK</v>
      </c>
      <c r="W193" s="1012"/>
      <c r="X193" s="1012"/>
      <c r="Y193" s="1027"/>
      <c r="Z193" s="1012"/>
      <c r="AA193" s="1012"/>
      <c r="AB193" s="1012"/>
      <c r="AC193" s="1012"/>
      <c r="AD193" s="1012"/>
      <c r="AE193" s="1012"/>
    </row>
    <row r="194" spans="1:35" s="1028" customFormat="1" ht="25.5" customHeight="1">
      <c r="A194" s="1014">
        <f>_xlfn.AGGREGATE(4,7,A$12:A193)+1</f>
        <v>182</v>
      </c>
      <c r="B194" s="1015" t="s">
        <v>1891</v>
      </c>
      <c r="C194" s="1033" t="s">
        <v>1763</v>
      </c>
      <c r="D194" s="1034" t="s">
        <v>1377</v>
      </c>
      <c r="E194" s="368" t="str">
        <f>VLOOKUP(B194,TH.Q2!B105:E436,4,FALSE)</f>
        <v>Giảng viên khoa Cơ khí</v>
      </c>
      <c r="F194" s="1018">
        <v>4.9800000000000004</v>
      </c>
      <c r="G194" s="1019">
        <v>7.0000000000000007E-2</v>
      </c>
      <c r="H194" s="1255">
        <f t="shared" si="19"/>
        <v>0.34899999999999998</v>
      </c>
      <c r="I194" s="1020">
        <v>0.25</v>
      </c>
      <c r="J194" s="1020" t="str">
        <f>VLOOKUP(B194,'[15]Gui chi Quynh'!$B$11:$E$396,4,FALSE)</f>
        <v>A3</v>
      </c>
      <c r="K194" s="1020">
        <f t="shared" si="20"/>
        <v>0.6</v>
      </c>
      <c r="L194" s="1021">
        <v>23</v>
      </c>
      <c r="M194" s="1021">
        <f>VLOOKUP(B194,'[16]CN BC'!$H$10:$J$275,3,FALSE)</f>
        <v>23</v>
      </c>
      <c r="N194" s="1021">
        <f t="shared" si="16"/>
        <v>23</v>
      </c>
      <c r="O194" s="1035"/>
      <c r="P194" s="1023">
        <f t="shared" si="15"/>
        <v>7832916.0000000009</v>
      </c>
      <c r="Q194" s="1371">
        <f t="shared" si="17"/>
        <v>3.3474000000000004</v>
      </c>
      <c r="R194" s="1448">
        <v>2340000</v>
      </c>
      <c r="S194" s="1460">
        <f t="shared" si="18"/>
        <v>7832916.0000000009</v>
      </c>
      <c r="T194" s="1024">
        <f t="shared" si="21"/>
        <v>182</v>
      </c>
      <c r="U194" s="1025">
        <f>IFERROR(INDEX('[16]CN BC'!$M$10:$M$276,MATCH(B194,'[16]CN BC'!$H$10:$H$276,0)),"")</f>
        <v>0</v>
      </c>
      <c r="V194" s="1067" t="str">
        <f>VLOOKUP(B194,TH.T4!B200:AC530,28,FALSE)</f>
        <v>CK</v>
      </c>
      <c r="Y194" s="1038"/>
    </row>
    <row r="195" spans="1:35" s="1028" customFormat="1" ht="25.5" customHeight="1">
      <c r="A195" s="1014">
        <f>_xlfn.AGGREGATE(4,7,A$12:A194)+1</f>
        <v>183</v>
      </c>
      <c r="B195" s="1015" t="s">
        <v>1525</v>
      </c>
      <c r="C195" s="1033" t="s">
        <v>1764</v>
      </c>
      <c r="D195" s="1034" t="s">
        <v>1372</v>
      </c>
      <c r="E195" s="81" t="str">
        <f>VLOOKUP(B195,TH.Q2!B106:E437,4,FALSE)</f>
        <v>Giảng viên khoa Cơ khí</v>
      </c>
      <c r="F195" s="1040">
        <v>3.99</v>
      </c>
      <c r="G195" s="1019"/>
      <c r="H195" s="1248">
        <f t="shared" si="19"/>
        <v>0</v>
      </c>
      <c r="I195" s="1020"/>
      <c r="J195" s="1020" t="str">
        <f>VLOOKUP(B195,'[15]Gui chi Quynh'!$B$11:$E$396,4,FALSE)</f>
        <v>A3</v>
      </c>
      <c r="K195" s="1020">
        <f t="shared" si="20"/>
        <v>0.6</v>
      </c>
      <c r="L195" s="1021">
        <v>23</v>
      </c>
      <c r="M195" s="1021">
        <f>VLOOKUP(B195,'[16]CN BC'!$H$10:$J$275,3,FALSE)</f>
        <v>23</v>
      </c>
      <c r="N195" s="1021">
        <f t="shared" si="16"/>
        <v>23</v>
      </c>
      <c r="O195" s="1022"/>
      <c r="P195" s="1023">
        <f t="shared" si="15"/>
        <v>5601960</v>
      </c>
      <c r="Q195" s="1371">
        <f t="shared" si="17"/>
        <v>2.3940000000000001</v>
      </c>
      <c r="R195" s="1448">
        <v>2340000</v>
      </c>
      <c r="S195" s="1460">
        <f t="shared" si="18"/>
        <v>5601960</v>
      </c>
      <c r="T195" s="1024">
        <f t="shared" si="21"/>
        <v>183</v>
      </c>
      <c r="U195" s="1025">
        <f>IFERROR(INDEX('[16]CN BC'!$M$10:$M$276,MATCH(B195,'[16]CN BC'!$H$10:$H$276,0)),"")</f>
        <v>0</v>
      </c>
      <c r="V195" s="1011" t="str">
        <f>VLOOKUP(B195,TH.T4!B201:AC531,28,FALSE)</f>
        <v>CK</v>
      </c>
      <c r="W195" s="1046"/>
      <c r="X195" s="1012"/>
      <c r="Y195" s="1027"/>
      <c r="Z195" s="1012"/>
      <c r="AA195" s="1012"/>
      <c r="AB195" s="1012"/>
      <c r="AC195" s="1012"/>
      <c r="AD195" s="1012"/>
      <c r="AE195" s="1012"/>
    </row>
    <row r="196" spans="1:35" s="1028" customFormat="1" ht="25.5" customHeight="1">
      <c r="A196" s="1014">
        <f>_xlfn.AGGREGATE(4,7,A$12:A195)+1</f>
        <v>184</v>
      </c>
      <c r="B196" s="1015" t="s">
        <v>1892</v>
      </c>
      <c r="C196" s="1033" t="s">
        <v>1765</v>
      </c>
      <c r="D196" s="1034" t="s">
        <v>1374</v>
      </c>
      <c r="E196" s="368" t="str">
        <f>VLOOKUP(B196,TH.Q2!B107:E438,4,FALSE)</f>
        <v>Giảng viên khoa Cơ khí</v>
      </c>
      <c r="F196" s="1018">
        <v>4.9800000000000004</v>
      </c>
      <c r="G196" s="1019">
        <v>0.06</v>
      </c>
      <c r="H196" s="1255">
        <f t="shared" si="19"/>
        <v>0.29899999999999999</v>
      </c>
      <c r="I196" s="1020"/>
      <c r="J196" s="1020" t="str">
        <f>VLOOKUP(B196,'[15]Gui chi Quynh'!$B$11:$E$396,4,FALSE)</f>
        <v>A4</v>
      </c>
      <c r="K196" s="1020">
        <f t="shared" si="20"/>
        <v>0.5</v>
      </c>
      <c r="L196" s="1021">
        <v>23</v>
      </c>
      <c r="M196" s="1021">
        <f>VLOOKUP(B196,'[16]CN BC'!$H$10:$J$275,3,FALSE)</f>
        <v>23</v>
      </c>
      <c r="N196" s="1021">
        <f t="shared" si="16"/>
        <v>23</v>
      </c>
      <c r="O196" s="1035"/>
      <c r="P196" s="1023">
        <f t="shared" si="15"/>
        <v>6176430.0000000019</v>
      </c>
      <c r="Q196" s="1371">
        <f t="shared" si="17"/>
        <v>2.6395000000000008</v>
      </c>
      <c r="R196" s="1448">
        <v>2340000</v>
      </c>
      <c r="S196" s="1460">
        <f t="shared" si="18"/>
        <v>6176430.0000000019</v>
      </c>
      <c r="T196" s="1024">
        <f t="shared" si="21"/>
        <v>184</v>
      </c>
      <c r="U196" s="1025">
        <f>IFERROR(INDEX('[16]CN BC'!$M$10:$M$276,MATCH(B196,'[16]CN BC'!$H$10:$H$276,0)),"")</f>
        <v>0</v>
      </c>
      <c r="V196" s="1067" t="str">
        <f>VLOOKUP(B196,TH.T4!B202:AC532,28,FALSE)</f>
        <v>CK</v>
      </c>
      <c r="Y196" s="1038"/>
    </row>
    <row r="197" spans="1:35" s="1028" customFormat="1" ht="25.5" customHeight="1">
      <c r="A197" s="1014">
        <f>_xlfn.AGGREGATE(4,7,A$12:A196)+1</f>
        <v>185</v>
      </c>
      <c r="B197" s="1015" t="s">
        <v>1526</v>
      </c>
      <c r="C197" s="1033" t="s">
        <v>1766</v>
      </c>
      <c r="D197" s="1066" t="s">
        <v>1939</v>
      </c>
      <c r="E197" s="368" t="str">
        <f>VLOOKUP(B197,TH.Q2!B108:E439,4,FALSE)</f>
        <v>Phó Trưởng khoa Cơ khí</v>
      </c>
      <c r="F197" s="1040">
        <v>3.99</v>
      </c>
      <c r="G197" s="1019"/>
      <c r="H197" s="1255">
        <f t="shared" si="19"/>
        <v>0</v>
      </c>
      <c r="I197" s="1020">
        <v>0.35</v>
      </c>
      <c r="J197" s="1020" t="str">
        <f>VLOOKUP(B197,'[15]Gui chi Quynh'!$B$11:$E$396,4,FALSE)</f>
        <v>A3</v>
      </c>
      <c r="K197" s="1020">
        <f t="shared" si="20"/>
        <v>0.6</v>
      </c>
      <c r="L197" s="1021">
        <v>23</v>
      </c>
      <c r="M197" s="1021">
        <f>VLOOKUP(B197,'[16]CN BC'!$H$10:$J$275,3,FALSE)</f>
        <v>23</v>
      </c>
      <c r="N197" s="1021">
        <f t="shared" si="16"/>
        <v>23</v>
      </c>
      <c r="O197" s="1035"/>
      <c r="P197" s="1023">
        <f t="shared" si="15"/>
        <v>6093360</v>
      </c>
      <c r="Q197" s="1371">
        <f t="shared" si="17"/>
        <v>2.6040000000000001</v>
      </c>
      <c r="R197" s="1448">
        <v>2340000</v>
      </c>
      <c r="S197" s="1460">
        <f t="shared" si="18"/>
        <v>6093360</v>
      </c>
      <c r="T197" s="1024">
        <f t="shared" si="21"/>
        <v>185</v>
      </c>
      <c r="U197" s="1025">
        <f>IFERROR(INDEX('[16]CN BC'!$M$10:$M$276,MATCH(B197,'[16]CN BC'!$H$10:$H$276,0)),"")</f>
        <v>0</v>
      </c>
      <c r="V197" s="1067" t="str">
        <f>VLOOKUP(B197,TH.T4!B203:AC533,28,FALSE)</f>
        <v>CK</v>
      </c>
      <c r="Y197" s="1038"/>
    </row>
    <row r="198" spans="1:35" s="1028" customFormat="1" ht="26.25" customHeight="1">
      <c r="A198" s="1014">
        <f>_xlfn.AGGREGATE(4,7,A$12:A197)+1</f>
        <v>186</v>
      </c>
      <c r="B198" s="1015" t="s">
        <v>1527</v>
      </c>
      <c r="C198" s="1033" t="s">
        <v>1767</v>
      </c>
      <c r="D198" s="1034" t="s">
        <v>1379</v>
      </c>
      <c r="E198" s="368" t="str">
        <f>VLOOKUP(B198,TH.Q2!B109:E440,4,FALSE)</f>
        <v>Giảng viên khoa Cơ khí</v>
      </c>
      <c r="F198" s="1040">
        <v>3.99</v>
      </c>
      <c r="G198" s="1019"/>
      <c r="H198" s="1255">
        <f t="shared" si="19"/>
        <v>0</v>
      </c>
      <c r="I198" s="1020"/>
      <c r="J198" s="1020" t="str">
        <f>VLOOKUP(B198,'[15]Gui chi Quynh'!$B$11:$E$396,4,FALSE)</f>
        <v>A4</v>
      </c>
      <c r="K198" s="1020">
        <f t="shared" si="20"/>
        <v>0.5</v>
      </c>
      <c r="L198" s="1021">
        <v>23</v>
      </c>
      <c r="M198" s="1021">
        <f>VLOOKUP(B198,'[16]CN BC'!$H$10:$J$275,3,FALSE)</f>
        <v>23</v>
      </c>
      <c r="N198" s="1021">
        <f t="shared" si="16"/>
        <v>23</v>
      </c>
      <c r="O198" s="1035"/>
      <c r="P198" s="1023">
        <f t="shared" si="15"/>
        <v>4668300</v>
      </c>
      <c r="Q198" s="1371">
        <f t="shared" si="17"/>
        <v>1.9950000000000001</v>
      </c>
      <c r="R198" s="1448">
        <v>2340000</v>
      </c>
      <c r="S198" s="1460">
        <f t="shared" si="18"/>
        <v>4668300</v>
      </c>
      <c r="T198" s="1024">
        <f t="shared" si="21"/>
        <v>186</v>
      </c>
      <c r="U198" s="1025">
        <f>IFERROR(INDEX('[16]CN BC'!$M$10:$M$276,MATCH(B198,'[16]CN BC'!$H$10:$H$276,0)),"")</f>
        <v>0</v>
      </c>
      <c r="V198" s="1067" t="str">
        <f>VLOOKUP(B198,TH.T4!B204:AC534,28,FALSE)</f>
        <v>CK</v>
      </c>
      <c r="Y198" s="1038"/>
    </row>
    <row r="199" spans="1:35" s="1028" customFormat="1" ht="27.75" customHeight="1">
      <c r="A199" s="1014">
        <f>_xlfn.AGGREGATE(4,7,A$12:A198)+1</f>
        <v>187</v>
      </c>
      <c r="B199" s="1015" t="s">
        <v>1893</v>
      </c>
      <c r="C199" s="1033" t="s">
        <v>1768</v>
      </c>
      <c r="D199" s="1034" t="s">
        <v>387</v>
      </c>
      <c r="E199" s="81" t="str">
        <f>VLOOKUP(B199,TH.Q2!B110:E441,4,FALSE)</f>
        <v>Giảng viên khoa Cơ khí</v>
      </c>
      <c r="F199" s="1040">
        <v>3.66</v>
      </c>
      <c r="G199" s="1019"/>
      <c r="H199" s="1248">
        <f t="shared" si="19"/>
        <v>0</v>
      </c>
      <c r="I199" s="1020"/>
      <c r="J199" s="1020" t="str">
        <f>VLOOKUP(B199,'[15]Gui chi Quynh'!$B$11:$E$396,4,FALSE)</f>
        <v>A1</v>
      </c>
      <c r="K199" s="1020">
        <f t="shared" si="20"/>
        <v>0.8</v>
      </c>
      <c r="L199" s="1021">
        <v>23</v>
      </c>
      <c r="M199" s="1021">
        <f>VLOOKUP(B199,'[16]CN BC'!$H$10:$J$275,3,FALSE)</f>
        <v>23</v>
      </c>
      <c r="N199" s="1021">
        <f t="shared" si="16"/>
        <v>23</v>
      </c>
      <c r="O199" s="1022"/>
      <c r="P199" s="1023">
        <f t="shared" si="15"/>
        <v>6851520</v>
      </c>
      <c r="Q199" s="1371">
        <f t="shared" si="17"/>
        <v>2.9279999999999999</v>
      </c>
      <c r="R199" s="1448">
        <v>2340000</v>
      </c>
      <c r="S199" s="1460">
        <f t="shared" si="18"/>
        <v>6851520</v>
      </c>
      <c r="T199" s="1024">
        <f t="shared" si="21"/>
        <v>187</v>
      </c>
      <c r="U199" s="1025">
        <f>IFERROR(INDEX('[16]CN BC'!$M$10:$M$276,MATCH(B199,'[16]CN BC'!$H$10:$H$276,0)),"")</f>
        <v>0</v>
      </c>
      <c r="V199" s="1011" t="str">
        <f>VLOOKUP(B199,TH.T4!B205:AC535,28,FALSE)</f>
        <v>CK</v>
      </c>
      <c r="W199" s="1012"/>
      <c r="X199" s="1012"/>
      <c r="Y199" s="1027"/>
      <c r="Z199" s="1012"/>
      <c r="AA199" s="1012"/>
      <c r="AB199" s="1012"/>
      <c r="AC199" s="1012"/>
      <c r="AD199" s="1012"/>
      <c r="AE199" s="1012"/>
    </row>
    <row r="200" spans="1:35" s="1028" customFormat="1" ht="27.75" customHeight="1">
      <c r="A200" s="1014">
        <f>_xlfn.AGGREGATE(4,7,A$12:A199)+1</f>
        <v>188</v>
      </c>
      <c r="B200" s="1015" t="s">
        <v>1894</v>
      </c>
      <c r="C200" s="1033" t="s">
        <v>1769</v>
      </c>
      <c r="D200" s="1034" t="s">
        <v>388</v>
      </c>
      <c r="E200" s="81" t="str">
        <f>VLOOKUP(B200,TH.Q2!B111:E442,4,FALSE)</f>
        <v>Giảng viên khoa Cơ khí</v>
      </c>
      <c r="F200" s="1040">
        <v>3.66</v>
      </c>
      <c r="G200" s="1019"/>
      <c r="H200" s="1248">
        <f t="shared" si="19"/>
        <v>0</v>
      </c>
      <c r="I200" s="1020"/>
      <c r="J200" s="1020" t="str">
        <f>VLOOKUP(B200,'[15]Gui chi Quynh'!$B$11:$E$396,4,FALSE)</f>
        <v>A4</v>
      </c>
      <c r="K200" s="1020">
        <f t="shared" si="20"/>
        <v>0.5</v>
      </c>
      <c r="L200" s="1021">
        <v>23</v>
      </c>
      <c r="M200" s="1021">
        <f>VLOOKUP(B200,'[16]CN BC'!$H$10:$J$275,3,FALSE)</f>
        <v>23</v>
      </c>
      <c r="N200" s="1021">
        <f t="shared" si="16"/>
        <v>23</v>
      </c>
      <c r="O200" s="1022"/>
      <c r="P200" s="1023">
        <f t="shared" si="15"/>
        <v>4282200</v>
      </c>
      <c r="Q200" s="1371">
        <f t="shared" si="17"/>
        <v>1.83</v>
      </c>
      <c r="R200" s="1448">
        <v>2340000</v>
      </c>
      <c r="S200" s="1460">
        <f t="shared" si="18"/>
        <v>4282200</v>
      </c>
      <c r="T200" s="1024">
        <f t="shared" si="21"/>
        <v>188</v>
      </c>
      <c r="U200" s="1025">
        <f>IFERROR(INDEX('[16]CN BC'!$M$10:$M$276,MATCH(B200,'[16]CN BC'!$H$10:$H$276,0)),"")</f>
        <v>0</v>
      </c>
      <c r="V200" s="1011" t="str">
        <f>VLOOKUP(B200,TH.T4!B206:AC536,28,FALSE)</f>
        <v>CK</v>
      </c>
      <c r="W200" s="1012"/>
      <c r="X200" s="1012"/>
      <c r="Y200" s="1027"/>
      <c r="Z200" s="1012"/>
      <c r="AA200" s="1012"/>
      <c r="AB200" s="1012"/>
      <c r="AC200" s="1012"/>
      <c r="AD200" s="1012"/>
      <c r="AE200" s="1012"/>
    </row>
    <row r="201" spans="1:35" s="1028" customFormat="1" ht="32.25" customHeight="1">
      <c r="A201" s="1014">
        <f>_xlfn.AGGREGATE(4,7,A$12:A200)+1</f>
        <v>189</v>
      </c>
      <c r="B201" s="1015" t="s">
        <v>2023</v>
      </c>
      <c r="C201" s="1033" t="s">
        <v>1770</v>
      </c>
      <c r="D201" s="1034" t="s">
        <v>386</v>
      </c>
      <c r="E201" s="81" t="str">
        <f>VLOOKUP(B201,TH.Q2!B112:E443,4,FALSE)</f>
        <v>Giảng viên khoa Cơ khí</v>
      </c>
      <c r="F201" s="1040">
        <v>3.66</v>
      </c>
      <c r="G201" s="1019"/>
      <c r="H201" s="1248">
        <f t="shared" si="19"/>
        <v>0</v>
      </c>
      <c r="I201" s="1020"/>
      <c r="J201" s="1020" t="str">
        <f>VLOOKUP(B201,'[15]Gui chi Quynh'!$B$11:$E$396,4,FALSE)</f>
        <v>A4</v>
      </c>
      <c r="K201" s="1020">
        <f t="shared" si="20"/>
        <v>0.5</v>
      </c>
      <c r="L201" s="1021">
        <v>23</v>
      </c>
      <c r="M201" s="1021">
        <f>VLOOKUP(B201,'[16]CN BC'!$H$10:$J$275,3,FALSE)</f>
        <v>23</v>
      </c>
      <c r="N201" s="1021">
        <f t="shared" si="16"/>
        <v>23</v>
      </c>
      <c r="O201" s="1022"/>
      <c r="P201" s="1023">
        <f t="shared" si="15"/>
        <v>4282200</v>
      </c>
      <c r="Q201" s="1371">
        <f t="shared" si="17"/>
        <v>1.83</v>
      </c>
      <c r="R201" s="1448">
        <v>2340000</v>
      </c>
      <c r="S201" s="1460">
        <f t="shared" si="18"/>
        <v>4282200</v>
      </c>
      <c r="T201" s="1024">
        <f t="shared" si="21"/>
        <v>189</v>
      </c>
      <c r="U201" s="1025">
        <f>IFERROR(INDEX('[16]CN BC'!$M$10:$M$276,MATCH(B201,'[16]CN BC'!$H$10:$H$276,0)),"")</f>
        <v>0</v>
      </c>
      <c r="V201" s="1011" t="str">
        <f>VLOOKUP(B201,TH.T4!B207:AC537,28,FALSE)</f>
        <v>CK</v>
      </c>
      <c r="Y201" s="1038"/>
    </row>
    <row r="202" spans="1:35" s="1028" customFormat="1" ht="27.75" customHeight="1">
      <c r="A202" s="1014">
        <f>_xlfn.AGGREGATE(4,7,A$12:A201)+1</f>
        <v>190</v>
      </c>
      <c r="B202" s="1015" t="s">
        <v>1528</v>
      </c>
      <c r="C202" s="1029" t="s">
        <v>1771</v>
      </c>
      <c r="D202" s="1034" t="s">
        <v>456</v>
      </c>
      <c r="E202" s="81" t="str">
        <f>VLOOKUP(B202,TH.Q2!B113:E444,4,FALSE)</f>
        <v>Giảng viên khoa Cơ khí</v>
      </c>
      <c r="F202" s="1040">
        <v>3.66</v>
      </c>
      <c r="G202" s="1019"/>
      <c r="H202" s="1248">
        <f t="shared" si="19"/>
        <v>0</v>
      </c>
      <c r="I202" s="1020"/>
      <c r="J202" s="1020" t="str">
        <f>VLOOKUP(B202,'[15]Gui chi Quynh'!$B$11:$E$396,4,FALSE)</f>
        <v>A4</v>
      </c>
      <c r="K202" s="1020">
        <f t="shared" si="20"/>
        <v>0.5</v>
      </c>
      <c r="L202" s="1021">
        <v>23</v>
      </c>
      <c r="M202" s="1021">
        <f>VLOOKUP(B202,'[16]CN BC'!$H$10:$J$275,3,FALSE)</f>
        <v>23</v>
      </c>
      <c r="N202" s="1021">
        <f t="shared" si="16"/>
        <v>23</v>
      </c>
      <c r="O202" s="1022"/>
      <c r="P202" s="1023">
        <f t="shared" si="15"/>
        <v>4282200</v>
      </c>
      <c r="Q202" s="1371">
        <f t="shared" si="17"/>
        <v>1.83</v>
      </c>
      <c r="R202" s="1448">
        <v>2340000</v>
      </c>
      <c r="S202" s="1460">
        <f t="shared" si="18"/>
        <v>4282200</v>
      </c>
      <c r="T202" s="1024">
        <f t="shared" si="21"/>
        <v>190</v>
      </c>
      <c r="U202" s="1025">
        <f>IFERROR(INDEX('[16]CN BC'!$M$10:$M$276,MATCH(B202,'[16]CN BC'!$H$10:$H$276,0)),"")</f>
        <v>0</v>
      </c>
      <c r="V202" s="1011" t="str">
        <f>VLOOKUP(B202,TH.T4!B208:AC538,28,FALSE)</f>
        <v>CK</v>
      </c>
      <c r="W202" s="1012"/>
      <c r="X202" s="1012"/>
      <c r="Y202" s="1027"/>
      <c r="Z202" s="1012"/>
      <c r="AA202" s="1012"/>
      <c r="AB202" s="1012"/>
      <c r="AC202" s="1012"/>
      <c r="AD202" s="1012"/>
      <c r="AE202" s="1012"/>
      <c r="AF202" s="1012"/>
      <c r="AG202" s="1012"/>
      <c r="AH202" s="1012"/>
      <c r="AI202" s="1012"/>
    </row>
    <row r="203" spans="1:35" s="1028" customFormat="1" ht="24" customHeight="1">
      <c r="A203" s="1014">
        <f>_xlfn.AGGREGATE(4,7,A$12:A202)+1</f>
        <v>191</v>
      </c>
      <c r="B203" s="1015" t="s">
        <v>1529</v>
      </c>
      <c r="C203" s="1033" t="s">
        <v>1772</v>
      </c>
      <c r="D203" s="1034" t="s">
        <v>743</v>
      </c>
      <c r="E203" s="368" t="str">
        <f>VLOOKUP(B203,TH.Q2!B114:E445,4,FALSE)</f>
        <v>Giảng viên - Trưởng BM khoa Cơ khí</v>
      </c>
      <c r="F203" s="1040">
        <v>3.66</v>
      </c>
      <c r="G203" s="1019"/>
      <c r="H203" s="1255">
        <f t="shared" si="19"/>
        <v>0</v>
      </c>
      <c r="I203" s="1020">
        <v>0.25</v>
      </c>
      <c r="J203" s="1020" t="str">
        <f>VLOOKUP(B203,'[15]Gui chi Quynh'!$B$11:$E$396,4,FALSE)</f>
        <v>A2</v>
      </c>
      <c r="K203" s="1020">
        <f t="shared" si="20"/>
        <v>0.7</v>
      </c>
      <c r="L203" s="1021">
        <v>23</v>
      </c>
      <c r="M203" s="1021">
        <f>VLOOKUP(B203,'[16]CN BC'!$H$10:$J$275,3,FALSE)</f>
        <v>23</v>
      </c>
      <c r="N203" s="1021">
        <f t="shared" si="16"/>
        <v>23</v>
      </c>
      <c r="O203" s="1035"/>
      <c r="P203" s="1023">
        <f t="shared" si="15"/>
        <v>6404580</v>
      </c>
      <c r="Q203" s="1371">
        <f t="shared" si="17"/>
        <v>2.7370000000000001</v>
      </c>
      <c r="R203" s="1448">
        <v>2340000</v>
      </c>
      <c r="S203" s="1460">
        <f t="shared" si="18"/>
        <v>6404580</v>
      </c>
      <c r="T203" s="1024">
        <f t="shared" si="21"/>
        <v>191</v>
      </c>
      <c r="U203" s="1025">
        <f>IFERROR(INDEX('[16]CN BC'!$M$10:$M$276,MATCH(B203,'[16]CN BC'!$H$10:$H$276,0)),"")</f>
        <v>0</v>
      </c>
      <c r="V203" s="1067" t="str">
        <f>VLOOKUP(B203,TH.T4!B209:AC539,28,FALSE)</f>
        <v>CK</v>
      </c>
      <c r="Y203" s="1038"/>
    </row>
    <row r="204" spans="1:35" s="1028" customFormat="1" ht="30" customHeight="1">
      <c r="A204" s="1014">
        <f>_xlfn.AGGREGATE(4,7,A$12:A203)+1</f>
        <v>192</v>
      </c>
      <c r="B204" s="1015" t="s">
        <v>1530</v>
      </c>
      <c r="C204" s="1033" t="s">
        <v>1773</v>
      </c>
      <c r="D204" s="1057">
        <v>1603205357641</v>
      </c>
      <c r="E204" s="81" t="str">
        <f>VLOOKUP(B204,TH.Q2!B115:E446,4,FALSE)</f>
        <v>Giảng viên khoa Cơ khí</v>
      </c>
      <c r="F204" s="1040">
        <v>3.66</v>
      </c>
      <c r="G204" s="1019"/>
      <c r="H204" s="1248">
        <f t="shared" si="19"/>
        <v>0</v>
      </c>
      <c r="I204" s="1020"/>
      <c r="J204" s="1020" t="str">
        <f>VLOOKUP(B204,'[15]Gui chi Quynh'!$B$11:$E$396,4,FALSE)</f>
        <v>A4</v>
      </c>
      <c r="K204" s="1020">
        <f t="shared" si="20"/>
        <v>0.5</v>
      </c>
      <c r="L204" s="1021">
        <v>23</v>
      </c>
      <c r="M204" s="1021">
        <f>VLOOKUP(B204,'[16]CN BC'!$H$10:$J$275,3,FALSE)</f>
        <v>23</v>
      </c>
      <c r="N204" s="1021">
        <f t="shared" si="16"/>
        <v>23</v>
      </c>
      <c r="O204" s="1022"/>
      <c r="P204" s="1023">
        <f t="shared" si="15"/>
        <v>4282200</v>
      </c>
      <c r="Q204" s="1371">
        <f t="shared" si="17"/>
        <v>1.83</v>
      </c>
      <c r="R204" s="1448">
        <v>2340000</v>
      </c>
      <c r="S204" s="1460">
        <f t="shared" si="18"/>
        <v>4282200</v>
      </c>
      <c r="T204" s="1024">
        <f t="shared" si="21"/>
        <v>192</v>
      </c>
      <c r="U204" s="1025">
        <f>IFERROR(INDEX('[16]CN BC'!$M$10:$M$276,MATCH(B204,'[16]CN BC'!$H$10:$H$276,0)),"")</f>
        <v>0</v>
      </c>
      <c r="V204" s="1011" t="str">
        <f>VLOOKUP(B204,TH.T4!B210:AC540,28,FALSE)</f>
        <v>CK</v>
      </c>
      <c r="W204" s="1105"/>
      <c r="Y204" s="1038"/>
    </row>
    <row r="205" spans="1:35" s="1028" customFormat="1" ht="25.9" customHeight="1">
      <c r="A205" s="1014">
        <f>_xlfn.AGGREGATE(4,7,A$12:A204)+1</f>
        <v>193</v>
      </c>
      <c r="B205" s="1015" t="s">
        <v>1531</v>
      </c>
      <c r="C205" s="1029" t="s">
        <v>1774</v>
      </c>
      <c r="D205" s="1057">
        <v>1603205357120</v>
      </c>
      <c r="E205" s="81" t="str">
        <f>VLOOKUP(B205,TH.Q2!B116:E447,4,FALSE)</f>
        <v>Giảng viên khoa Cơ khí</v>
      </c>
      <c r="F205" s="1040">
        <v>3.33</v>
      </c>
      <c r="G205" s="1019"/>
      <c r="H205" s="1248">
        <f t="shared" si="19"/>
        <v>0</v>
      </c>
      <c r="I205" s="1020"/>
      <c r="J205" s="1020" t="str">
        <f>VLOOKUP(B205,'[15]Gui chi Quynh'!$B$11:$E$396,4,FALSE)</f>
        <v>A3</v>
      </c>
      <c r="K205" s="1020">
        <f t="shared" si="20"/>
        <v>0.6</v>
      </c>
      <c r="L205" s="1021">
        <v>23</v>
      </c>
      <c r="M205" s="1021">
        <f>VLOOKUP(B205,'[16]CN BC'!$H$10:$J$275,3,FALSE)</f>
        <v>23</v>
      </c>
      <c r="N205" s="1021">
        <f t="shared" si="16"/>
        <v>23</v>
      </c>
      <c r="O205" s="1022"/>
      <c r="P205" s="1023">
        <f t="shared" ref="P205:P268" si="22">(((F205+H205+I205)*$P$9/L205*N205)*K205)+O205</f>
        <v>4675320</v>
      </c>
      <c r="Q205" s="1371">
        <f t="shared" si="17"/>
        <v>1.998</v>
      </c>
      <c r="R205" s="1448">
        <v>2340000</v>
      </c>
      <c r="S205" s="1460">
        <f t="shared" si="18"/>
        <v>4675320</v>
      </c>
      <c r="T205" s="1024">
        <f t="shared" si="21"/>
        <v>193</v>
      </c>
      <c r="U205" s="1025">
        <f>IFERROR(INDEX('[16]CN BC'!$M$10:$M$276,MATCH(B205,'[16]CN BC'!$H$10:$H$276,0)),"")</f>
        <v>0</v>
      </c>
      <c r="V205" s="1011" t="str">
        <f>VLOOKUP(B205,TH.T4!B211:AC541,28,FALSE)</f>
        <v>CK</v>
      </c>
      <c r="W205" s="1012"/>
      <c r="X205" s="1012"/>
      <c r="Y205" s="1027"/>
      <c r="Z205" s="1012"/>
      <c r="AA205" s="1012"/>
      <c r="AB205" s="1012"/>
      <c r="AC205" s="1012"/>
      <c r="AD205" s="1012"/>
      <c r="AE205" s="1012"/>
      <c r="AF205" s="1012"/>
      <c r="AG205" s="1012"/>
      <c r="AH205" s="1012"/>
      <c r="AI205" s="1012"/>
    </row>
    <row r="206" spans="1:35" s="1028" customFormat="1" ht="32.25" customHeight="1">
      <c r="A206" s="1014">
        <f>_xlfn.AGGREGATE(4,7,A$12:A205)+1</f>
        <v>194</v>
      </c>
      <c r="B206" s="1015" t="s">
        <v>1895</v>
      </c>
      <c r="C206" s="1033" t="s">
        <v>1775</v>
      </c>
      <c r="D206" s="1034" t="s">
        <v>1261</v>
      </c>
      <c r="E206" s="368" t="str">
        <f>VLOOKUP(B206,TH.Q2!B117:E448,4,FALSE)</f>
        <v>Giảng viên khoa Cơ khí</v>
      </c>
      <c r="F206" s="1018">
        <v>4.9800000000000004</v>
      </c>
      <c r="G206" s="1019">
        <v>0.08</v>
      </c>
      <c r="H206" s="1255">
        <f t="shared" si="19"/>
        <v>0.39800000000000002</v>
      </c>
      <c r="I206" s="1020"/>
      <c r="J206" s="1020" t="str">
        <f>VLOOKUP(B206,'[15]Gui chi Quynh'!$B$11:$E$396,4,FALSE)</f>
        <v>A3</v>
      </c>
      <c r="K206" s="1020">
        <f t="shared" si="20"/>
        <v>0.6</v>
      </c>
      <c r="L206" s="1021">
        <v>23</v>
      </c>
      <c r="M206" s="1021">
        <f>VLOOKUP(B206,'[16]CN BC'!$H$10:$J$275,3,FALSE)</f>
        <v>23</v>
      </c>
      <c r="N206" s="1021">
        <f t="shared" ref="N206:N269" si="23">IF(M206&gt;=L206,L206,IF(M206&lt;L206,M206))</f>
        <v>23</v>
      </c>
      <c r="O206" s="1035"/>
      <c r="P206" s="1023">
        <f t="shared" si="22"/>
        <v>7550712</v>
      </c>
      <c r="Q206" s="1371">
        <f t="shared" ref="Q206:Q269" si="24">P206/R206</f>
        <v>3.2267999999999999</v>
      </c>
      <c r="R206" s="1448">
        <v>2340000</v>
      </c>
      <c r="S206" s="1460">
        <f t="shared" ref="S206:S269" si="25">Q206*R206</f>
        <v>7550712</v>
      </c>
      <c r="T206" s="1024">
        <f t="shared" si="21"/>
        <v>194</v>
      </c>
      <c r="U206" s="1025">
        <f>IFERROR(INDEX('[16]CN BC'!$M$10:$M$276,MATCH(B206,'[16]CN BC'!$H$10:$H$276,0)),"")</f>
        <v>0</v>
      </c>
      <c r="V206" s="1067" t="str">
        <f>VLOOKUP(B206,TH.T4!B212:AC542,28,FALSE)</f>
        <v>CK</v>
      </c>
      <c r="W206" s="1430"/>
      <c r="Y206" s="1038"/>
    </row>
    <row r="207" spans="1:35" s="1028" customFormat="1" ht="29.25" customHeight="1">
      <c r="A207" s="1014">
        <f>_xlfn.AGGREGATE(4,7,A$12:A206)+1</f>
        <v>195</v>
      </c>
      <c r="B207" s="1015" t="s">
        <v>1532</v>
      </c>
      <c r="C207" s="1029" t="s">
        <v>1777</v>
      </c>
      <c r="D207" s="1030" t="s">
        <v>1594</v>
      </c>
      <c r="E207" s="81" t="str">
        <f>VLOOKUP(B207,TH.Q2!B119:E450,4,FALSE)</f>
        <v>Giảng viên khoa Cơ khí</v>
      </c>
      <c r="F207" s="1040">
        <v>3.33</v>
      </c>
      <c r="G207" s="1019"/>
      <c r="H207" s="1248">
        <f t="shared" ref="H207:H270" si="26">ROUND(F207*G207,3)</f>
        <v>0</v>
      </c>
      <c r="I207" s="1020"/>
      <c r="J207" s="1020" t="str">
        <f>VLOOKUP(B207,'[15]Gui chi Quynh'!$B$11:$E$396,4,FALSE)</f>
        <v>A4</v>
      </c>
      <c r="K207" s="1020">
        <f t="shared" ref="K207:K270" si="27">IF(J207="A1",0.8,IF(J207="A2",0.7,IF(J207="A3",0.6,IF(J207="A4",0.5,IF(J207="B1",0.35,IF(J207="B2",0.25,IF(J207="C1",0.15,IF(J207="C2",0.1,0))))))))</f>
        <v>0.5</v>
      </c>
      <c r="L207" s="1021">
        <v>23</v>
      </c>
      <c r="M207" s="1021">
        <f>VLOOKUP(B207,'[16]CN BC'!$H$10:$J$275,3,FALSE)</f>
        <v>23</v>
      </c>
      <c r="N207" s="1021">
        <f t="shared" si="23"/>
        <v>23</v>
      </c>
      <c r="O207" s="1022"/>
      <c r="P207" s="1023">
        <f t="shared" si="22"/>
        <v>3896100.0000000005</v>
      </c>
      <c r="Q207" s="1371">
        <f t="shared" si="24"/>
        <v>1.6650000000000003</v>
      </c>
      <c r="R207" s="1448">
        <v>2340000</v>
      </c>
      <c r="S207" s="1460">
        <f t="shared" si="25"/>
        <v>3896100.0000000005</v>
      </c>
      <c r="T207" s="1024">
        <f t="shared" si="21"/>
        <v>195</v>
      </c>
      <c r="U207" s="1025">
        <f>IFERROR(INDEX('[16]CN BC'!$M$10:$M$276,MATCH(B207,'[16]CN BC'!$H$10:$H$276,0)),"")</f>
        <v>0</v>
      </c>
      <c r="V207" s="1011" t="str">
        <f>VLOOKUP(B207,TH.T4!B214:AC544,28,FALSE)</f>
        <v>CK</v>
      </c>
      <c r="W207" s="1012"/>
      <c r="X207" s="1012"/>
      <c r="Y207" s="1027"/>
      <c r="Z207" s="1012"/>
      <c r="AA207" s="1012"/>
      <c r="AB207" s="1012"/>
      <c r="AC207" s="1012"/>
      <c r="AD207" s="1012"/>
      <c r="AE207" s="1012"/>
      <c r="AF207" s="1012"/>
      <c r="AG207" s="1012"/>
      <c r="AH207" s="1012"/>
      <c r="AI207" s="1012"/>
    </row>
    <row r="208" spans="1:35" s="1028" customFormat="1" ht="25.5" customHeight="1">
      <c r="A208" s="1014">
        <f>_xlfn.AGGREGATE(4,7,A$12:A207)+1</f>
        <v>196</v>
      </c>
      <c r="B208" s="1015" t="s">
        <v>1608</v>
      </c>
      <c r="C208" s="1107" t="s">
        <v>1968</v>
      </c>
      <c r="D208" s="1039">
        <v>1603215003955</v>
      </c>
      <c r="E208" s="81" t="str">
        <f>VLOOKUP(B208,TH.Q2!B120:E451,4,FALSE)</f>
        <v>Giảng viên khoa Cơ khí</v>
      </c>
      <c r="F208" s="1040">
        <v>3</v>
      </c>
      <c r="G208" s="1049"/>
      <c r="H208" s="1248">
        <f t="shared" si="26"/>
        <v>0</v>
      </c>
      <c r="I208" s="1020"/>
      <c r="J208" s="1020" t="str">
        <f>VLOOKUP(B208,'[15]Gui chi Quynh'!$B$11:$E$396,4,FALSE)</f>
        <v>A4</v>
      </c>
      <c r="K208" s="1020">
        <f t="shared" si="27"/>
        <v>0.5</v>
      </c>
      <c r="L208" s="1021">
        <v>23</v>
      </c>
      <c r="M208" s="1021">
        <f>VLOOKUP(B208,'[16]CN BC'!$H$10:$J$275,3,FALSE)</f>
        <v>23</v>
      </c>
      <c r="N208" s="1021">
        <f t="shared" si="23"/>
        <v>23</v>
      </c>
      <c r="O208" s="1022"/>
      <c r="P208" s="1023">
        <f t="shared" si="22"/>
        <v>3510000</v>
      </c>
      <c r="Q208" s="1371">
        <f t="shared" si="24"/>
        <v>1.5</v>
      </c>
      <c r="R208" s="1448">
        <v>2340000</v>
      </c>
      <c r="S208" s="1460">
        <f t="shared" si="25"/>
        <v>3510000</v>
      </c>
      <c r="T208" s="1024">
        <f t="shared" si="21"/>
        <v>196</v>
      </c>
      <c r="U208" s="1025">
        <f>IFERROR(INDEX('[16]CN BC'!$M$10:$M$276,MATCH(B208,'[16]CN BC'!$H$10:$H$276,0)),"")</f>
        <v>0</v>
      </c>
      <c r="V208" s="1011" t="str">
        <f>VLOOKUP(B208,TH.T4!B215:AC545,28,FALSE)</f>
        <v>CK</v>
      </c>
      <c r="W208" s="1012"/>
      <c r="X208" s="1012"/>
      <c r="Y208" s="1027"/>
      <c r="Z208" s="1012"/>
      <c r="AA208" s="1012"/>
      <c r="AB208" s="1012"/>
      <c r="AC208" s="1012"/>
      <c r="AD208" s="1012"/>
      <c r="AE208" s="1012"/>
    </row>
    <row r="209" spans="1:35" s="1028" customFormat="1" ht="24.75" customHeight="1">
      <c r="A209" s="1014">
        <f>_xlfn.AGGREGATE(4,7,A$12:A208)+1</f>
        <v>197</v>
      </c>
      <c r="B209" s="1015" t="s">
        <v>1835</v>
      </c>
      <c r="C209" s="1033" t="s">
        <v>1970</v>
      </c>
      <c r="D209" s="1108" t="s">
        <v>1969</v>
      </c>
      <c r="E209" s="81" t="str">
        <f>VLOOKUP(B209,TH.Q2!B121:E452,4,FALSE)</f>
        <v>Giảng viên khoa Cơ khí</v>
      </c>
      <c r="F209" s="1040">
        <v>3</v>
      </c>
      <c r="G209" s="1049"/>
      <c r="H209" s="1248">
        <f t="shared" si="26"/>
        <v>0</v>
      </c>
      <c r="I209" s="1020"/>
      <c r="J209" s="1020" t="str">
        <f>VLOOKUP(B209,'[15]Gui chi Quynh'!$B$11:$E$396,4,FALSE)</f>
        <v>A3</v>
      </c>
      <c r="K209" s="1020">
        <f t="shared" si="27"/>
        <v>0.6</v>
      </c>
      <c r="L209" s="1021">
        <v>23</v>
      </c>
      <c r="M209" s="1021">
        <f>VLOOKUP(B209,'[16]CN BC'!$H$10:$J$275,3,FALSE)</f>
        <v>23</v>
      </c>
      <c r="N209" s="1021">
        <f t="shared" si="23"/>
        <v>23</v>
      </c>
      <c r="O209" s="1022"/>
      <c r="P209" s="1023">
        <f t="shared" si="22"/>
        <v>4212000</v>
      </c>
      <c r="Q209" s="1371">
        <f t="shared" si="24"/>
        <v>1.8</v>
      </c>
      <c r="R209" s="1448">
        <v>2340000</v>
      </c>
      <c r="S209" s="1460">
        <f t="shared" si="25"/>
        <v>4212000</v>
      </c>
      <c r="T209" s="1024">
        <f t="shared" si="21"/>
        <v>197</v>
      </c>
      <c r="U209" s="1025">
        <f>IFERROR(INDEX('[16]CN BC'!$M$10:$M$276,MATCH(B209,'[16]CN BC'!$H$10:$H$276,0)),"")</f>
        <v>0</v>
      </c>
      <c r="V209" s="1011" t="str">
        <f>VLOOKUP(B209,TH.T4!B216:AC546,28,FALSE)</f>
        <v>CK</v>
      </c>
      <c r="W209" s="1012"/>
      <c r="X209" s="1012"/>
      <c r="Y209" s="1027"/>
      <c r="Z209" s="1012"/>
      <c r="AA209" s="1012"/>
      <c r="AB209" s="1012"/>
      <c r="AC209" s="1012"/>
      <c r="AD209" s="1012"/>
      <c r="AE209" s="1012"/>
    </row>
    <row r="210" spans="1:35" s="1028" customFormat="1" ht="29.25" customHeight="1">
      <c r="A210" s="1014">
        <f>_xlfn.AGGREGATE(4,7,A$12:A209)+1</f>
        <v>198</v>
      </c>
      <c r="B210" s="1015" t="s">
        <v>1897</v>
      </c>
      <c r="C210" s="1033" t="s">
        <v>1670</v>
      </c>
      <c r="D210" s="1034" t="s">
        <v>1286</v>
      </c>
      <c r="E210" s="81" t="str">
        <f>VLOOKUP(B210,TH.Q2!B122:E453,4,FALSE)</f>
        <v>Giảng viên khoa Cơ khí</v>
      </c>
      <c r="F210" s="1018">
        <v>4.9800000000000004</v>
      </c>
      <c r="G210" s="1019">
        <v>0.12</v>
      </c>
      <c r="H210" s="1248">
        <f t="shared" si="26"/>
        <v>0.59799999999999998</v>
      </c>
      <c r="I210" s="1020"/>
      <c r="J210" s="1020" t="str">
        <f>VLOOKUP(B210,'[15]Gui chi Quynh'!$B$11:$E$396,4,FALSE)</f>
        <v>A4</v>
      </c>
      <c r="K210" s="1020">
        <f t="shared" si="27"/>
        <v>0.5</v>
      </c>
      <c r="L210" s="1021">
        <v>23</v>
      </c>
      <c r="M210" s="1021">
        <f>VLOOKUP(B210,'[16]CN BC'!$H$10:$J$275,3,FALSE)</f>
        <v>23</v>
      </c>
      <c r="N210" s="1021">
        <f t="shared" si="23"/>
        <v>23</v>
      </c>
      <c r="O210" s="1022"/>
      <c r="P210" s="1023">
        <f t="shared" si="22"/>
        <v>6526260</v>
      </c>
      <c r="Q210" s="1371">
        <f t="shared" si="24"/>
        <v>2.7890000000000001</v>
      </c>
      <c r="R210" s="1448">
        <v>2340000</v>
      </c>
      <c r="S210" s="1460">
        <f t="shared" si="25"/>
        <v>6526260</v>
      </c>
      <c r="T210" s="1024">
        <f t="shared" si="21"/>
        <v>198</v>
      </c>
      <c r="U210" s="1025">
        <f>IFERROR(INDEX('[16]CN BC'!$M$10:$M$276,MATCH(B210,'[16]CN BC'!$H$10:$H$276,0)),"")</f>
        <v>0</v>
      </c>
      <c r="V210" s="1011" t="str">
        <f>VLOOKUP(B210,TH.T4!B217:AC547,28,FALSE)</f>
        <v>CK</v>
      </c>
      <c r="Y210" s="1038"/>
    </row>
    <row r="211" spans="1:35" s="1028" customFormat="1" ht="25.5" customHeight="1">
      <c r="A211" s="1014">
        <f>_xlfn.AGGREGATE(4,7,A$12:A210)+1</f>
        <v>199</v>
      </c>
      <c r="B211" s="1015" t="s">
        <v>1840</v>
      </c>
      <c r="C211" s="1033" t="s">
        <v>1971</v>
      </c>
      <c r="D211" s="1039">
        <v>1603205596180</v>
      </c>
      <c r="E211" s="81" t="str">
        <f>VLOOKUP(B211,TH.Q2!B123:E454,4,FALSE)</f>
        <v>Giảng viên khoa Cơ khí</v>
      </c>
      <c r="F211" s="1018">
        <v>2.67</v>
      </c>
      <c r="G211" s="1019"/>
      <c r="H211" s="1248">
        <f t="shared" si="26"/>
        <v>0</v>
      </c>
      <c r="I211" s="1020"/>
      <c r="J211" s="1020" t="str">
        <f>VLOOKUP(B211,'[15]Gui chi Quynh'!$B$11:$E$396,4,FALSE)</f>
        <v>A3</v>
      </c>
      <c r="K211" s="1020">
        <f t="shared" si="27"/>
        <v>0.6</v>
      </c>
      <c r="L211" s="1021">
        <v>23</v>
      </c>
      <c r="M211" s="1021">
        <f>VLOOKUP(B211,'[16]CN BC'!$H$10:$J$275,3,FALSE)</f>
        <v>23</v>
      </c>
      <c r="N211" s="1021">
        <f t="shared" si="23"/>
        <v>23</v>
      </c>
      <c r="O211" s="1022"/>
      <c r="P211" s="1023">
        <f t="shared" si="22"/>
        <v>3748680</v>
      </c>
      <c r="Q211" s="1371">
        <f t="shared" si="24"/>
        <v>1.6020000000000001</v>
      </c>
      <c r="R211" s="1448">
        <v>2340000</v>
      </c>
      <c r="S211" s="1460">
        <f t="shared" si="25"/>
        <v>3748680</v>
      </c>
      <c r="T211" s="1024">
        <f t="shared" si="21"/>
        <v>199</v>
      </c>
      <c r="U211" s="1025">
        <f>IFERROR(INDEX('[16]CN BC'!$M$10:$M$276,MATCH(B211,'[16]CN BC'!$H$10:$H$276,0)),"")</f>
        <v>0</v>
      </c>
      <c r="V211" s="1011" t="str">
        <f>VLOOKUP(B211,TH.T4!B218:AC548,28,FALSE)</f>
        <v>CK</v>
      </c>
      <c r="W211" s="1012"/>
      <c r="X211" s="1012"/>
      <c r="Y211" s="1027"/>
      <c r="Z211" s="1012"/>
      <c r="AA211" s="1012"/>
      <c r="AB211" s="1012"/>
      <c r="AC211" s="1012"/>
      <c r="AD211" s="1012"/>
      <c r="AE211" s="1012"/>
    </row>
    <row r="212" spans="1:35" s="1028" customFormat="1" ht="24.75" customHeight="1">
      <c r="A212" s="1014">
        <f>_xlfn.AGGREGATE(4,7,A$12:A211)+1</f>
        <v>200</v>
      </c>
      <c r="B212" s="1015" t="s">
        <v>1943</v>
      </c>
      <c r="C212" s="1033" t="s">
        <v>1972</v>
      </c>
      <c r="D212" s="1034"/>
      <c r="E212" s="81" t="str">
        <f>VLOOKUP(B212,TH.Q2!B124:E455,4,FALSE)</f>
        <v>Giảng viên khoa Cơ khí</v>
      </c>
      <c r="F212" s="1040">
        <v>3</v>
      </c>
      <c r="G212" s="1019"/>
      <c r="H212" s="1248">
        <f t="shared" si="26"/>
        <v>0</v>
      </c>
      <c r="I212" s="1020"/>
      <c r="J212" s="1020" t="str">
        <f>VLOOKUP(B212,'[15]Gui chi Quynh'!$B$11:$E$396,4,FALSE)</f>
        <v>A3</v>
      </c>
      <c r="K212" s="1020">
        <f t="shared" si="27"/>
        <v>0.6</v>
      </c>
      <c r="L212" s="1021">
        <v>23</v>
      </c>
      <c r="M212" s="1021">
        <f>VLOOKUP(B212,'[16]CN BC'!$H$10:$J$275,3,FALSE)</f>
        <v>23</v>
      </c>
      <c r="N212" s="1021">
        <f t="shared" si="23"/>
        <v>23</v>
      </c>
      <c r="O212" s="1022"/>
      <c r="P212" s="1023">
        <f t="shared" si="22"/>
        <v>4212000</v>
      </c>
      <c r="Q212" s="1371">
        <f t="shared" si="24"/>
        <v>1.8</v>
      </c>
      <c r="R212" s="1448">
        <v>2340000</v>
      </c>
      <c r="S212" s="1460">
        <f t="shared" si="25"/>
        <v>4212000</v>
      </c>
      <c r="T212" s="1024">
        <f t="shared" si="21"/>
        <v>200</v>
      </c>
      <c r="U212" s="1025">
        <f>IFERROR(INDEX('[16]CN BC'!$M$10:$M$276,MATCH(B212,'[16]CN BC'!$H$10:$H$276,0)),"")</f>
        <v>0</v>
      </c>
      <c r="V212" s="1011" t="str">
        <f>VLOOKUP(B212,TH.T4!B219:AC549,28,FALSE)</f>
        <v>CK</v>
      </c>
      <c r="W212" s="1012"/>
      <c r="X212" s="1012"/>
      <c r="Y212" s="1038"/>
    </row>
    <row r="213" spans="1:35" s="1028" customFormat="1" ht="26.25" customHeight="1">
      <c r="A213" s="1014">
        <f>_xlfn.AGGREGATE(4,7,A$12:A212)+1</f>
        <v>201</v>
      </c>
      <c r="B213" s="1015" t="s">
        <v>1994</v>
      </c>
      <c r="C213" s="1033"/>
      <c r="D213" s="1034"/>
      <c r="E213" s="81" t="str">
        <f>VLOOKUP(B213,TH.Q2!B125:E456,4,FALSE)</f>
        <v>Giảng viên khoa Cơ khí</v>
      </c>
      <c r="F213" s="1018">
        <v>4.32</v>
      </c>
      <c r="G213" s="1019"/>
      <c r="H213" s="1248">
        <f t="shared" si="26"/>
        <v>0</v>
      </c>
      <c r="I213" s="1020"/>
      <c r="J213" s="1020" t="str">
        <f>VLOOKUP(B213,'[15]Gui chi Quynh'!$B$11:$E$396,4,FALSE)</f>
        <v>A4</v>
      </c>
      <c r="K213" s="1020">
        <f t="shared" si="27"/>
        <v>0.5</v>
      </c>
      <c r="L213" s="1021">
        <v>23</v>
      </c>
      <c r="M213" s="1021">
        <f>VLOOKUP(B213,'[16]CN BC'!$H$10:$J$275,3,FALSE)</f>
        <v>23</v>
      </c>
      <c r="N213" s="1021">
        <f t="shared" si="23"/>
        <v>23</v>
      </c>
      <c r="O213" s="1022"/>
      <c r="P213" s="1023">
        <f t="shared" si="22"/>
        <v>5054400</v>
      </c>
      <c r="Q213" s="1371">
        <f t="shared" si="24"/>
        <v>2.16</v>
      </c>
      <c r="R213" s="1448">
        <v>2340000</v>
      </c>
      <c r="S213" s="1460">
        <f t="shared" si="25"/>
        <v>5054400</v>
      </c>
      <c r="T213" s="1024">
        <f t="shared" si="21"/>
        <v>201</v>
      </c>
      <c r="U213" s="1025">
        <f>IFERROR(INDEX('[16]CN BC'!$M$10:$M$276,MATCH(B213,'[16]CN BC'!$H$10:$H$276,0)),"")</f>
        <v>0</v>
      </c>
      <c r="V213" s="1011" t="str">
        <f>VLOOKUP(B213,TH.T4!B220:AC550,28,FALSE)</f>
        <v>CK</v>
      </c>
      <c r="W213" s="1012"/>
      <c r="X213" s="1012"/>
      <c r="Y213" s="1027"/>
      <c r="Z213" s="1012"/>
      <c r="AA213" s="1012"/>
      <c r="AB213" s="1012"/>
      <c r="AC213" s="1012"/>
      <c r="AD213" s="1012"/>
      <c r="AE213" s="1012"/>
    </row>
    <row r="214" spans="1:35" s="1028" customFormat="1" ht="25.5" customHeight="1">
      <c r="A214" s="1014">
        <f>_xlfn.AGGREGATE(4,7,A$12:A213)+1</f>
        <v>202</v>
      </c>
      <c r="B214" s="1015" t="s">
        <v>2000</v>
      </c>
      <c r="C214" s="1033"/>
      <c r="D214" s="1034"/>
      <c r="E214" s="81" t="str">
        <f>VLOOKUP(B214,TH.Q2!B126:E457,4,FALSE)</f>
        <v>Giảng viên khoa Cơ khí</v>
      </c>
      <c r="F214" s="1018">
        <v>2.67</v>
      </c>
      <c r="G214" s="1019"/>
      <c r="H214" s="1248">
        <f t="shared" si="26"/>
        <v>0</v>
      </c>
      <c r="I214" s="1020"/>
      <c r="J214" s="1020" t="str">
        <f>VLOOKUP(B214,'[15]Gui chi Quynh'!$B$11:$E$396,4,FALSE)</f>
        <v>A3</v>
      </c>
      <c r="K214" s="1020">
        <f t="shared" si="27"/>
        <v>0.6</v>
      </c>
      <c r="L214" s="1021">
        <v>23</v>
      </c>
      <c r="M214" s="1021">
        <f>VLOOKUP(B214,'[16]CN BC'!$H$10:$J$275,3,FALSE)</f>
        <v>23</v>
      </c>
      <c r="N214" s="1021">
        <f t="shared" si="23"/>
        <v>23</v>
      </c>
      <c r="O214" s="1022"/>
      <c r="P214" s="1023">
        <f t="shared" si="22"/>
        <v>3748680</v>
      </c>
      <c r="Q214" s="1371">
        <f t="shared" si="24"/>
        <v>1.6020000000000001</v>
      </c>
      <c r="R214" s="1448">
        <v>2340000</v>
      </c>
      <c r="S214" s="1460">
        <f t="shared" si="25"/>
        <v>3748680</v>
      </c>
      <c r="T214" s="1024">
        <f t="shared" si="21"/>
        <v>202</v>
      </c>
      <c r="U214" s="1025">
        <f>IFERROR(INDEX('[16]CN BC'!$M$10:$M$276,MATCH(B214,'[16]CN BC'!$H$10:$H$276,0)),"")</f>
        <v>0</v>
      </c>
      <c r="V214" s="1011" t="str">
        <f>VLOOKUP(B214,TH.T4!B221:AC551,28,FALSE)</f>
        <v>CK</v>
      </c>
      <c r="W214" s="1012"/>
      <c r="X214" s="1012"/>
      <c r="Y214" s="1038"/>
    </row>
    <row r="215" spans="1:35" s="1028" customFormat="1" ht="27" customHeight="1">
      <c r="A215" s="1014">
        <f>_xlfn.AGGREGATE(4,7,A$12:A214)+1</f>
        <v>203</v>
      </c>
      <c r="B215" s="1015" t="s">
        <v>1855</v>
      </c>
      <c r="C215" s="1033" t="s">
        <v>1651</v>
      </c>
      <c r="D215" s="1034" t="s">
        <v>1292</v>
      </c>
      <c r="E215" s="81" t="str">
        <f>VLOOKUP(B215,TH.Q2!B127:E458,4,FALSE)</f>
        <v>Giảng viên khoa Cơ khí</v>
      </c>
      <c r="F215" s="1018">
        <v>4.9800000000000004</v>
      </c>
      <c r="G215" s="1019">
        <v>7.0000000000000007E-2</v>
      </c>
      <c r="H215" s="1248">
        <f t="shared" si="26"/>
        <v>0.34899999999999998</v>
      </c>
      <c r="I215" s="1020">
        <v>0.35</v>
      </c>
      <c r="J215" s="1020" t="str">
        <f>VLOOKUP(B215,'[15]Gui chi Quynh'!$B$11:$E$396,4,FALSE)</f>
        <v>A3</v>
      </c>
      <c r="K215" s="1020">
        <f t="shared" si="27"/>
        <v>0.6</v>
      </c>
      <c r="L215" s="1021">
        <v>23</v>
      </c>
      <c r="M215" s="1021">
        <f>VLOOKUP(B215,'[16]CN BC'!$H$10:$J$275,3,FALSE)</f>
        <v>23</v>
      </c>
      <c r="N215" s="1021">
        <f t="shared" si="23"/>
        <v>23</v>
      </c>
      <c r="O215" s="1022"/>
      <c r="P215" s="1023">
        <f t="shared" si="22"/>
        <v>7973316.0000000009</v>
      </c>
      <c r="Q215" s="1371">
        <f t="shared" si="24"/>
        <v>3.4074000000000004</v>
      </c>
      <c r="R215" s="1448">
        <v>2340000</v>
      </c>
      <c r="S215" s="1460">
        <f t="shared" si="25"/>
        <v>7973316.0000000009</v>
      </c>
      <c r="T215" s="1024">
        <f t="shared" si="21"/>
        <v>203</v>
      </c>
      <c r="U215" s="1025">
        <f>IFERROR(INDEX('[16]CN BC'!$M$10:$M$276,MATCH(B215,'[16]CN BC'!$H$10:$H$276,0)),"")</f>
        <v>0</v>
      </c>
      <c r="V215" s="1011" t="str">
        <f>VLOOKUP(B215,TH.T4!B222:AC552,28,FALSE)</f>
        <v>CK</v>
      </c>
      <c r="W215" s="1012"/>
      <c r="X215" s="1012"/>
      <c r="Y215" s="1027"/>
    </row>
    <row r="216" spans="1:35" s="1012" customFormat="1" ht="25.5" customHeight="1">
      <c r="A216" s="1014">
        <f>_xlfn.AGGREGATE(4,7,A$12:A215)+1</f>
        <v>204</v>
      </c>
      <c r="B216" s="1050" t="s">
        <v>1898</v>
      </c>
      <c r="C216" s="1029" t="s">
        <v>1781</v>
      </c>
      <c r="D216" s="1051" t="s">
        <v>1386</v>
      </c>
      <c r="E216" s="81" t="str">
        <f>VLOOKUP(B216,TH.Q2!B128:E459,4,FALSE)</f>
        <v>Trưởng khoa Điện - Điện tử</v>
      </c>
      <c r="F216" s="1052">
        <v>4.6500000000000004</v>
      </c>
      <c r="G216" s="1053"/>
      <c r="H216" s="1248">
        <f t="shared" si="26"/>
        <v>0</v>
      </c>
      <c r="I216" s="1020">
        <v>0.45</v>
      </c>
      <c r="J216" s="1020" t="str">
        <f>VLOOKUP(B216,'[15]Gui chi Quynh'!$B$11:$E$396,4,FALSE)</f>
        <v>A1</v>
      </c>
      <c r="K216" s="1020">
        <f t="shared" si="27"/>
        <v>0.8</v>
      </c>
      <c r="L216" s="1021">
        <v>23</v>
      </c>
      <c r="M216" s="1021">
        <f>VLOOKUP(B216,'[16]CN BC'!$H$10:$J$275,3,FALSE)</f>
        <v>23</v>
      </c>
      <c r="N216" s="1021">
        <f t="shared" si="23"/>
        <v>23</v>
      </c>
      <c r="O216" s="1022"/>
      <c r="P216" s="1023">
        <f t="shared" si="22"/>
        <v>9547200.0000000019</v>
      </c>
      <c r="Q216" s="1371">
        <f t="shared" si="24"/>
        <v>4.080000000000001</v>
      </c>
      <c r="R216" s="1448">
        <v>2340000</v>
      </c>
      <c r="S216" s="1460">
        <f t="shared" si="25"/>
        <v>9547200.0000000019</v>
      </c>
      <c r="T216" s="1024">
        <f t="shared" si="21"/>
        <v>204</v>
      </c>
      <c r="U216" s="1025">
        <f>IFERROR(INDEX('[16]CN BC'!$M$10:$M$276,MATCH(B216,'[16]CN BC'!$H$10:$H$276,0)),"")</f>
        <v>0</v>
      </c>
      <c r="V216" s="1011" t="str">
        <f>VLOOKUP(B216,TH.T4!B223:AC553,28,FALSE)</f>
        <v>Đ-ĐT</v>
      </c>
      <c r="Y216" s="1027"/>
    </row>
    <row r="217" spans="1:35" s="1028" customFormat="1" ht="27.75" customHeight="1">
      <c r="A217" s="1014">
        <f>_xlfn.AGGREGATE(4,7,A$12:A216)+1</f>
        <v>205</v>
      </c>
      <c r="B217" s="1015" t="s">
        <v>526</v>
      </c>
      <c r="C217" s="1029" t="s">
        <v>1646</v>
      </c>
      <c r="D217" s="1034" t="s">
        <v>1398</v>
      </c>
      <c r="E217" s="81" t="str">
        <f>VLOOKUP(B217,TH.Q2!B129:E460,4,FALSE)</f>
        <v>Phó Trưởng khoa Điện - Điện tử</v>
      </c>
      <c r="F217" s="1018">
        <v>4.9800000000000004</v>
      </c>
      <c r="G217" s="1019">
        <v>0.17</v>
      </c>
      <c r="H217" s="1248">
        <f t="shared" si="26"/>
        <v>0.84699999999999998</v>
      </c>
      <c r="I217" s="1020">
        <f>0.35</f>
        <v>0.35</v>
      </c>
      <c r="J217" s="1020" t="str">
        <f>VLOOKUP(B217,'[15]Gui chi Quynh'!$B$11:$E$396,4,FALSE)</f>
        <v>A1</v>
      </c>
      <c r="K217" s="1020">
        <f t="shared" si="27"/>
        <v>0.8</v>
      </c>
      <c r="L217" s="1021">
        <v>23</v>
      </c>
      <c r="M217" s="1021">
        <f>VLOOKUP(B217,'[16]CN BC'!$H$10:$J$275,3,FALSE)</f>
        <v>23</v>
      </c>
      <c r="N217" s="1021">
        <f t="shared" si="23"/>
        <v>23</v>
      </c>
      <c r="O217" s="1022"/>
      <c r="P217" s="1023">
        <f t="shared" si="22"/>
        <v>11563344.000000002</v>
      </c>
      <c r="Q217" s="1371">
        <f t="shared" si="24"/>
        <v>4.9416000000000011</v>
      </c>
      <c r="R217" s="1448">
        <v>2340000</v>
      </c>
      <c r="S217" s="1460">
        <f t="shared" si="25"/>
        <v>11563344.000000002</v>
      </c>
      <c r="T217" s="1024">
        <f t="shared" si="21"/>
        <v>205</v>
      </c>
      <c r="U217" s="1025">
        <f>IFERROR(INDEX('[16]CN BC'!$M$10:$M$276,MATCH(B217,'[16]CN BC'!$H$10:$H$276,0)),"")</f>
        <v>0</v>
      </c>
      <c r="V217" s="1011" t="str">
        <f>VLOOKUP(B217,TH.T4!B224:AC554,28,FALSE)</f>
        <v>Đ-ĐT</v>
      </c>
      <c r="W217" s="1012"/>
      <c r="X217" s="1012"/>
      <c r="Y217" s="1027"/>
      <c r="Z217" s="1012"/>
      <c r="AA217" s="1012"/>
      <c r="AB217" s="1012"/>
      <c r="AC217" s="1012"/>
      <c r="AD217" s="1012"/>
      <c r="AE217" s="1012"/>
      <c r="AF217" s="1012"/>
      <c r="AG217" s="1012"/>
      <c r="AH217" s="1012"/>
      <c r="AI217" s="1012"/>
    </row>
    <row r="218" spans="1:35" s="1028" customFormat="1" ht="24.75" customHeight="1">
      <c r="A218" s="1014">
        <f>_xlfn.AGGREGATE(4,7,A$12:A217)+1</f>
        <v>206</v>
      </c>
      <c r="B218" s="1015" t="s">
        <v>1899</v>
      </c>
      <c r="C218" s="1033" t="s">
        <v>1778</v>
      </c>
      <c r="D218" s="1034" t="s">
        <v>1381</v>
      </c>
      <c r="E218" s="368" t="str">
        <f>VLOOKUP(B218,TH.Q2!B130:E461,4,FALSE)</f>
        <v>Giảng viên khoa Điện - Điện tử</v>
      </c>
      <c r="F218" s="1018">
        <v>4.9800000000000004</v>
      </c>
      <c r="G218" s="1019">
        <v>7.0000000000000007E-2</v>
      </c>
      <c r="H218" s="1255">
        <f t="shared" si="26"/>
        <v>0.34899999999999998</v>
      </c>
      <c r="I218" s="1020"/>
      <c r="J218" s="1020" t="str">
        <f>VLOOKUP(B218,'[15]Gui chi Quynh'!$B$11:$E$396,4,FALSE)</f>
        <v>A2</v>
      </c>
      <c r="K218" s="1020">
        <f t="shared" si="27"/>
        <v>0.7</v>
      </c>
      <c r="L218" s="1021">
        <v>23</v>
      </c>
      <c r="M218" s="1021">
        <f>VLOOKUP(B218,'[16]CN BC'!$H$10:$J$275,3,FALSE)</f>
        <v>23</v>
      </c>
      <c r="N218" s="1021">
        <f t="shared" si="23"/>
        <v>23</v>
      </c>
      <c r="O218" s="1035"/>
      <c r="P218" s="1023">
        <f t="shared" si="22"/>
        <v>8728902.0000000019</v>
      </c>
      <c r="Q218" s="1371">
        <f t="shared" si="24"/>
        <v>3.7303000000000006</v>
      </c>
      <c r="R218" s="1448">
        <v>2340000</v>
      </c>
      <c r="S218" s="1460">
        <f t="shared" si="25"/>
        <v>8728902.0000000019</v>
      </c>
      <c r="T218" s="1024">
        <f t="shared" ref="T218:T281" si="28">A218</f>
        <v>206</v>
      </c>
      <c r="U218" s="1025">
        <f>IFERROR(INDEX('[16]CN BC'!$M$10:$M$276,MATCH(B218,'[16]CN BC'!$H$10:$H$276,0)),"")</f>
        <v>0</v>
      </c>
      <c r="V218" s="1067" t="str">
        <f>VLOOKUP(B218,TH.T4!B225:AC555,28,FALSE)</f>
        <v>Đ-ĐT</v>
      </c>
      <c r="Y218" s="1038"/>
    </row>
    <row r="219" spans="1:35" s="1028" customFormat="1" ht="28.5" customHeight="1">
      <c r="A219" s="1014">
        <f>_xlfn.AGGREGATE(4,7,A$12:A218)+1</f>
        <v>207</v>
      </c>
      <c r="B219" s="1015" t="s">
        <v>461</v>
      </c>
      <c r="C219" s="1033" t="s">
        <v>1779</v>
      </c>
      <c r="D219" s="1034" t="s">
        <v>1384</v>
      </c>
      <c r="E219" s="368" t="str">
        <f>VLOOKUP(B219,TH.Q2!B131:E462,4,FALSE)</f>
        <v>Giảng viên khoa Điện - Điện tử</v>
      </c>
      <c r="F219" s="1018">
        <v>4.9800000000000004</v>
      </c>
      <c r="G219" s="1019">
        <v>7.0000000000000007E-2</v>
      </c>
      <c r="H219" s="1255">
        <f t="shared" si="26"/>
        <v>0.34899999999999998</v>
      </c>
      <c r="I219" s="1020"/>
      <c r="J219" s="1020" t="str">
        <f>VLOOKUP(B219,'[15]Gui chi Quynh'!$B$11:$E$396,4,FALSE)</f>
        <v>A3</v>
      </c>
      <c r="K219" s="1020">
        <f t="shared" si="27"/>
        <v>0.6</v>
      </c>
      <c r="L219" s="1021">
        <v>23</v>
      </c>
      <c r="M219" s="1021">
        <f>VLOOKUP(B219,'[16]CN BC'!$H$10:$J$275,3,FALSE)</f>
        <v>23</v>
      </c>
      <c r="N219" s="1021">
        <f t="shared" si="23"/>
        <v>23</v>
      </c>
      <c r="O219" s="1035"/>
      <c r="P219" s="1023">
        <f t="shared" si="22"/>
        <v>7481916.0000000019</v>
      </c>
      <c r="Q219" s="1371">
        <f t="shared" si="24"/>
        <v>3.1974000000000009</v>
      </c>
      <c r="R219" s="1448">
        <v>2340000</v>
      </c>
      <c r="S219" s="1460">
        <f t="shared" si="25"/>
        <v>7481916.0000000019</v>
      </c>
      <c r="T219" s="1024">
        <f t="shared" si="28"/>
        <v>207</v>
      </c>
      <c r="U219" s="1025">
        <f>IFERROR(INDEX('[16]CN BC'!$M$10:$M$276,MATCH(B219,'[16]CN BC'!$H$10:$H$276,0)),"")</f>
        <v>0</v>
      </c>
      <c r="V219" s="1067" t="str">
        <f>VLOOKUP(B219,TH.T4!B226:AC556,28,FALSE)</f>
        <v>Đ-ĐT</v>
      </c>
      <c r="Y219" s="1038"/>
    </row>
    <row r="220" spans="1:35" s="1028" customFormat="1" ht="25.5" customHeight="1">
      <c r="A220" s="1014">
        <f>_xlfn.AGGREGATE(4,7,A$12:A219)+1</f>
        <v>208</v>
      </c>
      <c r="B220" s="1015" t="s">
        <v>1900</v>
      </c>
      <c r="C220" s="1033" t="s">
        <v>1780</v>
      </c>
      <c r="D220" s="1034" t="s">
        <v>1385</v>
      </c>
      <c r="E220" s="368" t="str">
        <f>VLOOKUP(B220,TH.Q2!B132:E463,4,FALSE)</f>
        <v>Giảng viên khoa Điện - Điện tử</v>
      </c>
      <c r="F220" s="1018">
        <v>4.9800000000000004</v>
      </c>
      <c r="G220" s="1019"/>
      <c r="H220" s="1255">
        <f t="shared" si="26"/>
        <v>0</v>
      </c>
      <c r="I220" s="1020"/>
      <c r="J220" s="1020" t="str">
        <f>VLOOKUP(B220,'[15]Gui chi Quynh'!$B$11:$E$396,4,FALSE)</f>
        <v>A3</v>
      </c>
      <c r="K220" s="1020">
        <f t="shared" si="27"/>
        <v>0.6</v>
      </c>
      <c r="L220" s="1021">
        <v>23</v>
      </c>
      <c r="M220" s="1021">
        <f>VLOOKUP(B220,'[16]CN BC'!$H$10:$J$275,3,FALSE)</f>
        <v>23</v>
      </c>
      <c r="N220" s="1021">
        <f t="shared" si="23"/>
        <v>23</v>
      </c>
      <c r="O220" s="1035"/>
      <c r="P220" s="1023">
        <f t="shared" si="22"/>
        <v>6991920.0000000009</v>
      </c>
      <c r="Q220" s="1371">
        <f t="shared" si="24"/>
        <v>2.9880000000000004</v>
      </c>
      <c r="R220" s="1448">
        <v>2340000</v>
      </c>
      <c r="S220" s="1460">
        <f t="shared" si="25"/>
        <v>6991920.0000000009</v>
      </c>
      <c r="T220" s="1024">
        <f t="shared" si="28"/>
        <v>208</v>
      </c>
      <c r="U220" s="1025">
        <f>IFERROR(INDEX('[16]CN BC'!$M$10:$M$276,MATCH(B220,'[16]CN BC'!$H$10:$H$276,0)),"")</f>
        <v>0</v>
      </c>
      <c r="V220" s="1067" t="str">
        <f>VLOOKUP(B220,TH.T4!B227:AC557,28,FALSE)</f>
        <v>Đ-ĐT</v>
      </c>
      <c r="Y220" s="1038"/>
    </row>
    <row r="221" spans="1:35" s="1028" customFormat="1" ht="25.5" customHeight="1">
      <c r="A221" s="1014">
        <f>_xlfn.AGGREGATE(4,7,A$12:A220)+1</f>
        <v>209</v>
      </c>
      <c r="B221" s="1015" t="s">
        <v>1901</v>
      </c>
      <c r="C221" s="1033" t="s">
        <v>1782</v>
      </c>
      <c r="D221" s="1034" t="s">
        <v>1387</v>
      </c>
      <c r="E221" s="368" t="str">
        <f>VLOOKUP(B221,TH.Q2!B133:E464,4,FALSE)</f>
        <v>Giảng viên khoa Điện - Điện tử</v>
      </c>
      <c r="F221" s="1018">
        <v>4.32</v>
      </c>
      <c r="G221" s="1019"/>
      <c r="H221" s="1255">
        <f t="shared" si="26"/>
        <v>0</v>
      </c>
      <c r="I221" s="1020"/>
      <c r="J221" s="1020" t="str">
        <f>VLOOKUP(B221,'[15]Gui chi Quynh'!$B$11:$E$396,4,FALSE)</f>
        <v>A3</v>
      </c>
      <c r="K221" s="1020">
        <f t="shared" si="27"/>
        <v>0.6</v>
      </c>
      <c r="L221" s="1021">
        <v>23</v>
      </c>
      <c r="M221" s="1021">
        <f>VLOOKUP(B221,'[16]CN BC'!$H$10:$J$275,3,FALSE)</f>
        <v>23</v>
      </c>
      <c r="N221" s="1021">
        <f t="shared" si="23"/>
        <v>23</v>
      </c>
      <c r="O221" s="1035"/>
      <c r="P221" s="1023">
        <f t="shared" si="22"/>
        <v>6065280</v>
      </c>
      <c r="Q221" s="1371">
        <f t="shared" si="24"/>
        <v>2.5920000000000001</v>
      </c>
      <c r="R221" s="1448">
        <v>2340000</v>
      </c>
      <c r="S221" s="1460">
        <f t="shared" si="25"/>
        <v>6065280</v>
      </c>
      <c r="T221" s="1024">
        <f t="shared" si="28"/>
        <v>209</v>
      </c>
      <c r="U221" s="1025">
        <f>IFERROR(INDEX('[16]CN BC'!$M$10:$M$276,MATCH(B221,'[16]CN BC'!$H$10:$H$276,0)),"")</f>
        <v>0</v>
      </c>
      <c r="V221" s="1067" t="str">
        <f>VLOOKUP(B221,TH.T4!B228:AC558,28,FALSE)</f>
        <v>Đ-ĐT</v>
      </c>
      <c r="Y221" s="1038"/>
    </row>
    <row r="222" spans="1:35" s="1028" customFormat="1" ht="25.5" customHeight="1">
      <c r="A222" s="1014">
        <f>_xlfn.AGGREGATE(4,7,A$12:A221)+1</f>
        <v>210</v>
      </c>
      <c r="B222" s="1015" t="s">
        <v>1534</v>
      </c>
      <c r="C222" s="1033" t="s">
        <v>1783</v>
      </c>
      <c r="D222" s="1034" t="s">
        <v>1388</v>
      </c>
      <c r="E222" s="368" t="str">
        <f>VLOOKUP(B222,TH.Q2!B134:E465,4,FALSE)</f>
        <v>Giảng viên khoa
Điện - Điện tử</v>
      </c>
      <c r="F222" s="1018">
        <v>4.6500000000000004</v>
      </c>
      <c r="G222" s="1019"/>
      <c r="H222" s="1255">
        <f t="shared" si="26"/>
        <v>0</v>
      </c>
      <c r="I222" s="1020"/>
      <c r="J222" s="1020" t="str">
        <f>VLOOKUP(B222,'[15]Gui chi Quynh'!$B$11:$E$396,4,FALSE)</f>
        <v>A3</v>
      </c>
      <c r="K222" s="1020">
        <f t="shared" si="27"/>
        <v>0.6</v>
      </c>
      <c r="L222" s="1021">
        <v>23</v>
      </c>
      <c r="M222" s="1021">
        <f>VLOOKUP(B222,'[16]CN BC'!$H$10:$J$275,3,FALSE)</f>
        <v>23</v>
      </c>
      <c r="N222" s="1021">
        <f t="shared" si="23"/>
        <v>23</v>
      </c>
      <c r="O222" s="1035"/>
      <c r="P222" s="1023">
        <f t="shared" si="22"/>
        <v>6528600</v>
      </c>
      <c r="Q222" s="1371">
        <f t="shared" si="24"/>
        <v>2.79</v>
      </c>
      <c r="R222" s="1448">
        <v>2340000</v>
      </c>
      <c r="S222" s="1460">
        <f t="shared" si="25"/>
        <v>6528600</v>
      </c>
      <c r="T222" s="1024">
        <f t="shared" si="28"/>
        <v>210</v>
      </c>
      <c r="U222" s="1025">
        <f>IFERROR(INDEX('[16]CN BC'!$M$10:$M$276,MATCH(B222,'[16]CN BC'!$H$10:$H$276,0)),"")</f>
        <v>0</v>
      </c>
      <c r="V222" s="1067" t="str">
        <f>VLOOKUP(B222,TH.T4!B229:AC559,28,FALSE)</f>
        <v>Đ-ĐT</v>
      </c>
      <c r="Y222" s="1038"/>
    </row>
    <row r="223" spans="1:35" s="1028" customFormat="1" ht="25.5" customHeight="1">
      <c r="A223" s="1014">
        <f>_xlfn.AGGREGATE(4,7,A$12:A222)+1</f>
        <v>211</v>
      </c>
      <c r="B223" s="1015" t="s">
        <v>1535</v>
      </c>
      <c r="C223" s="1033" t="s">
        <v>1784</v>
      </c>
      <c r="D223" s="1030" t="s">
        <v>1595</v>
      </c>
      <c r="E223" s="368" t="str">
        <f>VLOOKUP(B223,TH.Q2!B135:E466,4,FALSE)</f>
        <v>Trưởng BM Cơ điện tử và Tự động hóa</v>
      </c>
      <c r="F223" s="1040">
        <v>3.66</v>
      </c>
      <c r="G223" s="1019"/>
      <c r="H223" s="1255">
        <f t="shared" si="26"/>
        <v>0</v>
      </c>
      <c r="I223" s="1020">
        <v>0.25</v>
      </c>
      <c r="J223" s="1020" t="str">
        <f>VLOOKUP(B223,'[15]Gui chi Quynh'!$B$11:$E$396,4,FALSE)</f>
        <v>A1</v>
      </c>
      <c r="K223" s="1020">
        <f t="shared" si="27"/>
        <v>0.8</v>
      </c>
      <c r="L223" s="1021">
        <v>23</v>
      </c>
      <c r="M223" s="1021">
        <f>VLOOKUP(B223,'[16]CN BC'!$H$10:$J$275,3,FALSE)</f>
        <v>23</v>
      </c>
      <c r="N223" s="1021">
        <f t="shared" si="23"/>
        <v>23</v>
      </c>
      <c r="O223" s="1035"/>
      <c r="P223" s="1023">
        <f t="shared" si="22"/>
        <v>7319520</v>
      </c>
      <c r="Q223" s="1371">
        <f t="shared" si="24"/>
        <v>3.1280000000000001</v>
      </c>
      <c r="R223" s="1448">
        <v>2340000</v>
      </c>
      <c r="S223" s="1460">
        <f t="shared" si="25"/>
        <v>7319520</v>
      </c>
      <c r="T223" s="1024">
        <f t="shared" si="28"/>
        <v>211</v>
      </c>
      <c r="U223" s="1025">
        <f>IFERROR(INDEX('[16]CN BC'!$M$10:$M$276,MATCH(B223,'[16]CN BC'!$H$10:$H$276,0)),"")</f>
        <v>0</v>
      </c>
      <c r="V223" s="1067" t="str">
        <f>VLOOKUP(B223,TH.T4!B230:AC560,28,FALSE)</f>
        <v>Đ-ĐT</v>
      </c>
      <c r="Y223" s="1038"/>
    </row>
    <row r="224" spans="1:35" s="1028" customFormat="1" ht="24.75" customHeight="1">
      <c r="A224" s="1014">
        <f>_xlfn.AGGREGATE(4,7,A$12:A223)+1</f>
        <v>212</v>
      </c>
      <c r="B224" s="1101" t="s">
        <v>1903</v>
      </c>
      <c r="C224" s="1033" t="s">
        <v>1786</v>
      </c>
      <c r="D224" s="1034" t="s">
        <v>1392</v>
      </c>
      <c r="E224" s="81" t="str">
        <f>VLOOKUP(B224,TH.Q2!B136:E467,4,FALSE)</f>
        <v>Giảng viên khoa Điện - Điện tử</v>
      </c>
      <c r="F224" s="1040">
        <v>4.32</v>
      </c>
      <c r="G224" s="1019"/>
      <c r="H224" s="1248">
        <f t="shared" si="26"/>
        <v>0</v>
      </c>
      <c r="I224" s="1020"/>
      <c r="J224" s="1020" t="str">
        <f>VLOOKUP(B224,'[15]Gui chi Quynh'!$B$11:$E$396,4,FALSE)</f>
        <v>A3</v>
      </c>
      <c r="K224" s="1020">
        <f t="shared" si="27"/>
        <v>0.6</v>
      </c>
      <c r="L224" s="1021">
        <v>23</v>
      </c>
      <c r="M224" s="1021">
        <f>VLOOKUP(B224,'[16]CN BC'!$H$10:$J$275,3,FALSE)</f>
        <v>23</v>
      </c>
      <c r="N224" s="1021">
        <f t="shared" si="23"/>
        <v>23</v>
      </c>
      <c r="O224" s="1022"/>
      <c r="P224" s="1023">
        <f t="shared" si="22"/>
        <v>6065280</v>
      </c>
      <c r="Q224" s="1371">
        <f t="shared" si="24"/>
        <v>2.5920000000000001</v>
      </c>
      <c r="R224" s="1448">
        <v>2340000</v>
      </c>
      <c r="S224" s="1460">
        <f t="shared" si="25"/>
        <v>6065280</v>
      </c>
      <c r="T224" s="1024">
        <f t="shared" si="28"/>
        <v>212</v>
      </c>
      <c r="U224" s="1025">
        <f>IFERROR(INDEX('[16]CN BC'!$M$10:$M$276,MATCH(B224,'[16]CN BC'!$H$10:$H$276,0)),"")</f>
        <v>0</v>
      </c>
      <c r="V224" s="1011" t="str">
        <f>VLOOKUP(B224,TH.T4!B231:AC561,28,FALSE)</f>
        <v>Đ-ĐT</v>
      </c>
      <c r="W224" s="1046"/>
      <c r="X224" s="1012"/>
      <c r="Y224" s="1027"/>
      <c r="Z224" s="1012"/>
      <c r="AA224" s="1012"/>
      <c r="AB224" s="1012"/>
      <c r="AC224" s="1012"/>
      <c r="AD224" s="1012"/>
      <c r="AE224" s="1012"/>
    </row>
    <row r="225" spans="1:35" s="1028" customFormat="1" ht="24.75" customHeight="1">
      <c r="A225" s="1014">
        <f>_xlfn.AGGREGATE(4,7,A$12:A224)+1</f>
        <v>213</v>
      </c>
      <c r="B225" s="1015" t="s">
        <v>1904</v>
      </c>
      <c r="C225" s="1029" t="s">
        <v>1787</v>
      </c>
      <c r="D225" s="1034" t="s">
        <v>1396</v>
      </c>
      <c r="E225" s="81" t="str">
        <f>VLOOKUP(B225,TH.Q2!B137:E468,4,FALSE)</f>
        <v>Giảng viên khoa Điện - Điện tử</v>
      </c>
      <c r="F225" s="1018">
        <v>4.6500000000000004</v>
      </c>
      <c r="G225" s="1019"/>
      <c r="H225" s="1248">
        <f t="shared" si="26"/>
        <v>0</v>
      </c>
      <c r="I225" s="1020"/>
      <c r="J225" s="1020" t="str">
        <f>VLOOKUP(B225,'[15]Gui chi Quynh'!$B$11:$E$396,4,FALSE)</f>
        <v>A4</v>
      </c>
      <c r="K225" s="1020">
        <f t="shared" si="27"/>
        <v>0.5</v>
      </c>
      <c r="L225" s="1021">
        <v>23</v>
      </c>
      <c r="M225" s="1021">
        <f>VLOOKUP(B225,'[16]CN BC'!$H$10:$J$275,3,FALSE)</f>
        <v>23</v>
      </c>
      <c r="N225" s="1021">
        <f t="shared" si="23"/>
        <v>23</v>
      </c>
      <c r="O225" s="1022"/>
      <c r="P225" s="1023">
        <f t="shared" si="22"/>
        <v>5440500</v>
      </c>
      <c r="Q225" s="1371">
        <f t="shared" si="24"/>
        <v>2.3250000000000002</v>
      </c>
      <c r="R225" s="1448">
        <v>2340000</v>
      </c>
      <c r="S225" s="1460">
        <f t="shared" si="25"/>
        <v>5440500</v>
      </c>
      <c r="T225" s="1024">
        <f t="shared" si="28"/>
        <v>213</v>
      </c>
      <c r="U225" s="1025">
        <f>IFERROR(INDEX('[16]CN BC'!$M$10:$M$276,MATCH(B225,'[16]CN BC'!$H$10:$H$276,0)),"")</f>
        <v>0</v>
      </c>
      <c r="V225" s="1011" t="str">
        <f>VLOOKUP(B225,TH.T4!B232:AC562,28,FALSE)</f>
        <v>Đ-ĐT</v>
      </c>
      <c r="W225" s="1012"/>
      <c r="X225" s="1012"/>
      <c r="Y225" s="1027"/>
      <c r="Z225" s="1012"/>
      <c r="AA225" s="1012"/>
      <c r="AB225" s="1012"/>
      <c r="AC225" s="1012"/>
      <c r="AD225" s="1012"/>
      <c r="AE225" s="1012"/>
      <c r="AF225" s="1012"/>
      <c r="AG225" s="1012"/>
      <c r="AH225" s="1012"/>
      <c r="AI225" s="1012"/>
    </row>
    <row r="226" spans="1:35" s="1028" customFormat="1" ht="24.75" customHeight="1">
      <c r="A226" s="1014">
        <f>_xlfn.AGGREGATE(4,7,A$12:A225)+1</f>
        <v>214</v>
      </c>
      <c r="B226" s="1015" t="s">
        <v>1536</v>
      </c>
      <c r="C226" s="1033" t="s">
        <v>1788</v>
      </c>
      <c r="D226" s="1034" t="s">
        <v>389</v>
      </c>
      <c r="E226" s="81" t="str">
        <f>VLOOKUP(B226,TH.Q2!B138:E469,4,FALSE)</f>
        <v>Giảng viên khoa
Điện - Điện tử</v>
      </c>
      <c r="F226" s="1040">
        <v>3.66</v>
      </c>
      <c r="G226" s="1019"/>
      <c r="H226" s="1248">
        <f t="shared" si="26"/>
        <v>0</v>
      </c>
      <c r="I226" s="1020"/>
      <c r="J226" s="1020" t="str">
        <f>VLOOKUP(B226,'[15]Gui chi Quynh'!$B$11:$E$396,4,FALSE)</f>
        <v>A3</v>
      </c>
      <c r="K226" s="1020">
        <f t="shared" si="27"/>
        <v>0.6</v>
      </c>
      <c r="L226" s="1021">
        <v>23</v>
      </c>
      <c r="M226" s="1021">
        <f>VLOOKUP(B226,'[16]CN BC'!$H$10:$J$275,3,FALSE)</f>
        <v>23</v>
      </c>
      <c r="N226" s="1021">
        <f t="shared" si="23"/>
        <v>23</v>
      </c>
      <c r="O226" s="1022"/>
      <c r="P226" s="1023">
        <f t="shared" si="22"/>
        <v>5138640</v>
      </c>
      <c r="Q226" s="1371">
        <f t="shared" si="24"/>
        <v>2.1960000000000002</v>
      </c>
      <c r="R226" s="1448">
        <v>2340000</v>
      </c>
      <c r="S226" s="1460">
        <f t="shared" si="25"/>
        <v>5138640</v>
      </c>
      <c r="T226" s="1024">
        <f t="shared" si="28"/>
        <v>214</v>
      </c>
      <c r="U226" s="1025">
        <f>IFERROR(INDEX('[16]CN BC'!$M$10:$M$276,MATCH(B226,'[16]CN BC'!$H$10:$H$276,0)),"")</f>
        <v>0</v>
      </c>
      <c r="V226" s="1011" t="str">
        <f>VLOOKUP(B226,TH.T4!B233:AC563,28,FALSE)</f>
        <v>Đ-ĐT</v>
      </c>
      <c r="W226" s="1012"/>
      <c r="X226" s="1012"/>
      <c r="Y226" s="1027"/>
      <c r="Z226" s="1012"/>
      <c r="AA226" s="1012"/>
      <c r="AB226" s="1012"/>
      <c r="AC226" s="1012"/>
      <c r="AD226" s="1012"/>
      <c r="AE226" s="1012"/>
    </row>
    <row r="227" spans="1:35" s="1028" customFormat="1" ht="24.75" customHeight="1">
      <c r="A227" s="1014">
        <f>_xlfn.AGGREGATE(4,7,A$12:A226)+1</f>
        <v>215</v>
      </c>
      <c r="B227" s="1015" t="s">
        <v>1537</v>
      </c>
      <c r="C227" s="1033" t="s">
        <v>1789</v>
      </c>
      <c r="D227" s="1034" t="s">
        <v>1334</v>
      </c>
      <c r="E227" s="368" t="str">
        <f>VLOOKUP(B227,TH.Q2!B139:E470,4,FALSE)</f>
        <v>Giảng viên khoa
Điện - Điện tử</v>
      </c>
      <c r="F227" s="1040">
        <v>4.32</v>
      </c>
      <c r="G227" s="1019"/>
      <c r="H227" s="1255">
        <f t="shared" si="26"/>
        <v>0</v>
      </c>
      <c r="I227" s="1020"/>
      <c r="J227" s="1020" t="str">
        <f>VLOOKUP(B227,'[15]Gui chi Quynh'!$B$11:$E$396,4,FALSE)</f>
        <v>A3</v>
      </c>
      <c r="K227" s="1020">
        <f t="shared" si="27"/>
        <v>0.6</v>
      </c>
      <c r="L227" s="1021">
        <v>23</v>
      </c>
      <c r="M227" s="1021">
        <f>VLOOKUP(B227,'[16]CN BC'!$H$10:$J$275,3,FALSE)</f>
        <v>23</v>
      </c>
      <c r="N227" s="1021">
        <f t="shared" si="23"/>
        <v>23</v>
      </c>
      <c r="O227" s="1035"/>
      <c r="P227" s="1023">
        <f t="shared" si="22"/>
        <v>6065280</v>
      </c>
      <c r="Q227" s="1371">
        <f t="shared" si="24"/>
        <v>2.5920000000000001</v>
      </c>
      <c r="R227" s="1448">
        <v>2340000</v>
      </c>
      <c r="S227" s="1460">
        <f t="shared" si="25"/>
        <v>6065280</v>
      </c>
      <c r="T227" s="1024">
        <f t="shared" si="28"/>
        <v>215</v>
      </c>
      <c r="U227" s="1025">
        <f>IFERROR(INDEX('[16]CN BC'!$M$10:$M$276,MATCH(B227,'[16]CN BC'!$H$10:$H$276,0)),"")</f>
        <v>0</v>
      </c>
      <c r="V227" s="1067" t="str">
        <f>VLOOKUP(B227,TH.T4!B234:AC564,28,FALSE)</f>
        <v>Đ-ĐT</v>
      </c>
      <c r="Y227" s="1038"/>
    </row>
    <row r="228" spans="1:35" s="1028" customFormat="1" ht="24.75" customHeight="1">
      <c r="A228" s="1014">
        <f>_xlfn.AGGREGATE(4,7,A$12:A227)+1</f>
        <v>216</v>
      </c>
      <c r="B228" s="1015" t="s">
        <v>1905</v>
      </c>
      <c r="C228" s="1029" t="s">
        <v>1790</v>
      </c>
      <c r="D228" s="1047" t="s">
        <v>463</v>
      </c>
      <c r="E228" s="81" t="str">
        <f>VLOOKUP(B228,TH.Q2!B140:E471,4,FALSE)</f>
        <v>Giảng viên khoa Điện - Điện tử</v>
      </c>
      <c r="F228" s="1040">
        <v>3.66</v>
      </c>
      <c r="G228" s="1019"/>
      <c r="H228" s="1248">
        <f t="shared" si="26"/>
        <v>0</v>
      </c>
      <c r="I228" s="1020"/>
      <c r="J228" s="1020" t="str">
        <f>VLOOKUP(B228,'[15]Gui chi Quynh'!$B$11:$E$396,4,FALSE)</f>
        <v>A3</v>
      </c>
      <c r="K228" s="1020">
        <f t="shared" si="27"/>
        <v>0.6</v>
      </c>
      <c r="L228" s="1021">
        <v>23</v>
      </c>
      <c r="M228" s="1021">
        <f>VLOOKUP(B228,'[16]CN BC'!$H$10:$J$275,3,FALSE)</f>
        <v>23</v>
      </c>
      <c r="N228" s="1021">
        <f t="shared" si="23"/>
        <v>23</v>
      </c>
      <c r="O228" s="1022"/>
      <c r="P228" s="1023">
        <f t="shared" si="22"/>
        <v>5138640</v>
      </c>
      <c r="Q228" s="1371">
        <f t="shared" si="24"/>
        <v>2.1960000000000002</v>
      </c>
      <c r="R228" s="1448">
        <v>2340000</v>
      </c>
      <c r="S228" s="1460">
        <f t="shared" si="25"/>
        <v>5138640</v>
      </c>
      <c r="T228" s="1024">
        <f t="shared" si="28"/>
        <v>216</v>
      </c>
      <c r="U228" s="1025">
        <f>IFERROR(INDEX('[16]CN BC'!$M$10:$M$276,MATCH(B228,'[16]CN BC'!$H$10:$H$276,0)),"")</f>
        <v>0</v>
      </c>
      <c r="V228" s="1011" t="str">
        <f>VLOOKUP(B228,TH.T4!B235:AC565,28,FALSE)</f>
        <v>Đ-ĐT</v>
      </c>
      <c r="W228" s="1012"/>
      <c r="X228" s="1012"/>
      <c r="Y228" s="1027"/>
      <c r="Z228" s="1012"/>
      <c r="AA228" s="1012"/>
      <c r="AB228" s="1012"/>
      <c r="AC228" s="1012"/>
      <c r="AD228" s="1012"/>
      <c r="AE228" s="1012"/>
      <c r="AF228" s="1012"/>
      <c r="AG228" s="1012"/>
      <c r="AH228" s="1012"/>
      <c r="AI228" s="1012"/>
    </row>
    <row r="229" spans="1:35" s="1028" customFormat="1" ht="34.5" customHeight="1">
      <c r="A229" s="1014">
        <f>_xlfn.AGGREGATE(4,7,A$12:A228)+1</f>
        <v>217</v>
      </c>
      <c r="B229" s="1015" t="s">
        <v>1538</v>
      </c>
      <c r="C229" s="1029" t="s">
        <v>1791</v>
      </c>
      <c r="D229" s="1047" t="s">
        <v>510</v>
      </c>
      <c r="E229" s="81" t="str">
        <f>VLOOKUP(B229,TH.Q2!B141:E472,4,FALSE)</f>
        <v>Giảng viên khoa
Điện - Điện tử</v>
      </c>
      <c r="F229" s="1040">
        <v>3.66</v>
      </c>
      <c r="G229" s="1019"/>
      <c r="H229" s="1248">
        <f t="shared" si="26"/>
        <v>0</v>
      </c>
      <c r="I229" s="1020"/>
      <c r="J229" s="1020" t="str">
        <f>VLOOKUP(B229,'[15]Gui chi Quynh'!$B$11:$E$396,4,FALSE)</f>
        <v>A1</v>
      </c>
      <c r="K229" s="1020">
        <f t="shared" si="27"/>
        <v>0.8</v>
      </c>
      <c r="L229" s="1021">
        <v>23</v>
      </c>
      <c r="M229" s="1021">
        <f>VLOOKUP(B229,'[16]CN BC'!$H$10:$J$275,3,FALSE)</f>
        <v>23</v>
      </c>
      <c r="N229" s="1021">
        <f t="shared" si="23"/>
        <v>23</v>
      </c>
      <c r="O229" s="1022"/>
      <c r="P229" s="1023">
        <f t="shared" si="22"/>
        <v>6851520</v>
      </c>
      <c r="Q229" s="1371">
        <f t="shared" si="24"/>
        <v>2.9279999999999999</v>
      </c>
      <c r="R229" s="1448">
        <v>2340000</v>
      </c>
      <c r="S229" s="1460">
        <f t="shared" si="25"/>
        <v>6851520</v>
      </c>
      <c r="T229" s="1024">
        <f t="shared" si="28"/>
        <v>217</v>
      </c>
      <c r="U229" s="1025">
        <f>IFERROR(INDEX('[16]CN BC'!$M$10:$M$276,MATCH(B229,'[16]CN BC'!$H$10:$H$276,0)),"")</f>
        <v>0</v>
      </c>
      <c r="V229" s="1011" t="str">
        <f>VLOOKUP(B229,TH.T4!B236:AC566,28,FALSE)</f>
        <v>Đ-ĐT</v>
      </c>
      <c r="W229" s="1012"/>
      <c r="X229" s="1012"/>
      <c r="Y229" s="1027"/>
      <c r="Z229" s="1012"/>
      <c r="AA229" s="1012"/>
      <c r="AB229" s="1012"/>
      <c r="AC229" s="1012"/>
      <c r="AD229" s="1012"/>
      <c r="AE229" s="1012"/>
      <c r="AF229" s="1012"/>
      <c r="AG229" s="1012"/>
      <c r="AH229" s="1012"/>
      <c r="AI229" s="1012"/>
    </row>
    <row r="230" spans="1:35" s="1028" customFormat="1" ht="25.5" customHeight="1">
      <c r="A230" s="1014">
        <f>_xlfn.AGGREGATE(4,7,A$12:A229)+1</f>
        <v>218</v>
      </c>
      <c r="B230" s="1015" t="s">
        <v>1906</v>
      </c>
      <c r="C230" s="1033" t="s">
        <v>1792</v>
      </c>
      <c r="D230" s="1034" t="s">
        <v>1399</v>
      </c>
      <c r="E230" s="81" t="str">
        <f>VLOOKUP(B230,TH.Q2!B142:E473,4,FALSE)</f>
        <v>Giảng viên khoa Điện - Điện tử</v>
      </c>
      <c r="F230" s="1018">
        <v>4.9800000000000004</v>
      </c>
      <c r="G230" s="1019">
        <v>0.09</v>
      </c>
      <c r="H230" s="1248">
        <f t="shared" si="26"/>
        <v>0.44800000000000001</v>
      </c>
      <c r="I230" s="1020">
        <v>0.35</v>
      </c>
      <c r="J230" s="1020" t="str">
        <f>VLOOKUP(B230,'[15]Gui chi Quynh'!$B$11:$E$396,4,FALSE)</f>
        <v>A1</v>
      </c>
      <c r="K230" s="1020">
        <f t="shared" si="27"/>
        <v>0.8</v>
      </c>
      <c r="L230" s="1021">
        <v>23</v>
      </c>
      <c r="M230" s="1021">
        <f>VLOOKUP(B230,'[16]CN BC'!$H$10:$J$275,3,FALSE)</f>
        <v>23</v>
      </c>
      <c r="N230" s="1021">
        <f t="shared" si="23"/>
        <v>23</v>
      </c>
      <c r="O230" s="1022"/>
      <c r="P230" s="1023">
        <f t="shared" si="22"/>
        <v>10816416</v>
      </c>
      <c r="Q230" s="1371">
        <f t="shared" si="24"/>
        <v>4.6223999999999998</v>
      </c>
      <c r="R230" s="1448">
        <v>2340000</v>
      </c>
      <c r="S230" s="1460">
        <f t="shared" si="25"/>
        <v>10816416</v>
      </c>
      <c r="T230" s="1024">
        <f t="shared" si="28"/>
        <v>218</v>
      </c>
      <c r="U230" s="1025">
        <f>IFERROR(INDEX('[16]CN BC'!$M$10:$M$276,MATCH(B230,'[16]CN BC'!$H$10:$H$276,0)),"")</f>
        <v>0</v>
      </c>
      <c r="V230" s="1011" t="str">
        <f>VLOOKUP(B230,TH.T4!B237:AC567,28,FALSE)</f>
        <v>Đ-ĐT</v>
      </c>
      <c r="W230" s="1012"/>
      <c r="X230" s="1012"/>
      <c r="Y230" s="1027"/>
      <c r="Z230" s="1012"/>
      <c r="AA230" s="1012"/>
      <c r="AB230" s="1012"/>
      <c r="AC230" s="1012"/>
      <c r="AD230" s="1012"/>
      <c r="AE230" s="1012"/>
    </row>
    <row r="231" spans="1:35" s="1028" customFormat="1" ht="25.5" customHeight="1">
      <c r="A231" s="1014">
        <f>_xlfn.AGGREGATE(4,7,A$12:A230)+1</f>
        <v>219</v>
      </c>
      <c r="B231" s="1015" t="s">
        <v>1907</v>
      </c>
      <c r="C231" s="1033" t="s">
        <v>1793</v>
      </c>
      <c r="D231" s="1034" t="s">
        <v>1400</v>
      </c>
      <c r="E231" s="81" t="str">
        <f>VLOOKUP(B231,TH.Q2!B143:E474,4,FALSE)</f>
        <v>Giảng viên khoa Điện - Điện tử</v>
      </c>
      <c r="F231" s="1018">
        <v>4.9800000000000004</v>
      </c>
      <c r="G231" s="1019">
        <v>0.12</v>
      </c>
      <c r="H231" s="1248">
        <f t="shared" si="26"/>
        <v>0.59799999999999998</v>
      </c>
      <c r="I231" s="1020"/>
      <c r="J231" s="1020" t="str">
        <f>VLOOKUP(B231,'[15]Gui chi Quynh'!$B$11:$E$396,4,FALSE)</f>
        <v>A3</v>
      </c>
      <c r="K231" s="1020">
        <f t="shared" si="27"/>
        <v>0.6</v>
      </c>
      <c r="L231" s="1021">
        <v>23</v>
      </c>
      <c r="M231" s="1021">
        <f>VLOOKUP(B231,'[16]CN BC'!$H$10:$J$275,3,FALSE)</f>
        <v>23</v>
      </c>
      <c r="N231" s="1021">
        <f t="shared" si="23"/>
        <v>23</v>
      </c>
      <c r="O231" s="1022"/>
      <c r="P231" s="1023">
        <f t="shared" si="22"/>
        <v>7831512</v>
      </c>
      <c r="Q231" s="1371">
        <f t="shared" si="24"/>
        <v>3.3468</v>
      </c>
      <c r="R231" s="1448">
        <v>2340000</v>
      </c>
      <c r="S231" s="1460">
        <f t="shared" si="25"/>
        <v>7831512</v>
      </c>
      <c r="T231" s="1024">
        <f t="shared" si="28"/>
        <v>219</v>
      </c>
      <c r="U231" s="1025">
        <f>IFERROR(INDEX('[16]CN BC'!$M$10:$M$276,MATCH(B231,'[16]CN BC'!$H$10:$H$276,0)),"")</f>
        <v>0</v>
      </c>
      <c r="V231" s="1011" t="str">
        <f>VLOOKUP(B231,TH.T4!B238:AC568,28,FALSE)</f>
        <v>Đ-ĐT</v>
      </c>
      <c r="W231" s="1012"/>
      <c r="X231" s="1012"/>
      <c r="Y231" s="1027"/>
    </row>
    <row r="232" spans="1:35" s="1028" customFormat="1" ht="25.5" customHeight="1">
      <c r="A232" s="1014">
        <f>_xlfn.AGGREGATE(4,7,A$12:A231)+1</f>
        <v>220</v>
      </c>
      <c r="B232" s="1015" t="s">
        <v>1908</v>
      </c>
      <c r="C232" s="1033" t="s">
        <v>1794</v>
      </c>
      <c r="D232" s="1034" t="s">
        <v>1401</v>
      </c>
      <c r="E232" s="81" t="str">
        <f>VLOOKUP(B232,TH.Q2!B144:E475,4,FALSE)</f>
        <v>Giảng viên khoa Điện - Điện tử</v>
      </c>
      <c r="F232" s="1018">
        <v>4.9800000000000004</v>
      </c>
      <c r="G232" s="1019">
        <v>0.09</v>
      </c>
      <c r="H232" s="1248">
        <f t="shared" si="26"/>
        <v>0.44800000000000001</v>
      </c>
      <c r="I232" s="1020"/>
      <c r="J232" s="1020" t="str">
        <f>VLOOKUP(B232,'[15]Gui chi Quynh'!$B$11:$E$396,4,FALSE)</f>
        <v>A3</v>
      </c>
      <c r="K232" s="1020">
        <f t="shared" si="27"/>
        <v>0.6</v>
      </c>
      <c r="L232" s="1021">
        <v>23</v>
      </c>
      <c r="M232" s="1021">
        <f>VLOOKUP(B232,'[16]CN BC'!$H$10:$J$275,3,FALSE)</f>
        <v>23</v>
      </c>
      <c r="N232" s="1021">
        <f t="shared" si="23"/>
        <v>23</v>
      </c>
      <c r="O232" s="1022"/>
      <c r="P232" s="1023">
        <f t="shared" si="22"/>
        <v>7620912.0000000009</v>
      </c>
      <c r="Q232" s="1371">
        <f t="shared" si="24"/>
        <v>3.2568000000000006</v>
      </c>
      <c r="R232" s="1448">
        <v>2340000</v>
      </c>
      <c r="S232" s="1460">
        <f t="shared" si="25"/>
        <v>7620912.0000000009</v>
      </c>
      <c r="T232" s="1024">
        <f t="shared" si="28"/>
        <v>220</v>
      </c>
      <c r="U232" s="1025">
        <f>IFERROR(INDEX('[16]CN BC'!$M$10:$M$276,MATCH(B232,'[16]CN BC'!$H$10:$H$276,0)),"")</f>
        <v>0</v>
      </c>
      <c r="V232" s="1011" t="str">
        <f>VLOOKUP(B232,TH.T4!B239:AC569,28,FALSE)</f>
        <v>Đ-ĐT</v>
      </c>
      <c r="W232" s="1012"/>
      <c r="X232" s="1012"/>
      <c r="Y232" s="1027"/>
      <c r="Z232" s="1012"/>
      <c r="AA232" s="1012"/>
      <c r="AB232" s="1012"/>
      <c r="AC232" s="1012"/>
      <c r="AD232" s="1012"/>
      <c r="AE232" s="1012"/>
    </row>
    <row r="233" spans="1:35" s="1028" customFormat="1" ht="24" customHeight="1">
      <c r="A233" s="1014">
        <f>_xlfn.AGGREGATE(4,7,A$12:A232)+1</f>
        <v>221</v>
      </c>
      <c r="B233" s="1015" t="s">
        <v>1909</v>
      </c>
      <c r="C233" s="1033" t="s">
        <v>1795</v>
      </c>
      <c r="D233" s="1034" t="s">
        <v>1404</v>
      </c>
      <c r="E233" s="368" t="str">
        <f>VLOOKUP(B233,TH.Q2!B145:E476,4,FALSE)</f>
        <v>Giảng viên khoa Điện - Điện tử</v>
      </c>
      <c r="F233" s="1018">
        <v>4.6500000000000004</v>
      </c>
      <c r="G233" s="1431"/>
      <c r="H233" s="1255">
        <f t="shared" si="26"/>
        <v>0</v>
      </c>
      <c r="I233" s="1020"/>
      <c r="J233" s="1020" t="str">
        <f>VLOOKUP(B233,'[15]Gui chi Quynh'!$B$11:$E$396,4,FALSE)</f>
        <v>A4</v>
      </c>
      <c r="K233" s="1020">
        <f t="shared" si="27"/>
        <v>0.5</v>
      </c>
      <c r="L233" s="1021">
        <v>23</v>
      </c>
      <c r="M233" s="1021">
        <f>VLOOKUP(B233,'[16]CN BC'!$H$10:$J$275,3,FALSE)</f>
        <v>23</v>
      </c>
      <c r="N233" s="1021">
        <f t="shared" si="23"/>
        <v>23</v>
      </c>
      <c r="O233" s="1035"/>
      <c r="P233" s="1023">
        <f t="shared" si="22"/>
        <v>5440500</v>
      </c>
      <c r="Q233" s="1371">
        <f t="shared" si="24"/>
        <v>2.3250000000000002</v>
      </c>
      <c r="R233" s="1448">
        <v>2340000</v>
      </c>
      <c r="S233" s="1460">
        <f t="shared" si="25"/>
        <v>5440500</v>
      </c>
      <c r="T233" s="1024">
        <f t="shared" si="28"/>
        <v>221</v>
      </c>
      <c r="U233" s="1025">
        <f>IFERROR(INDEX('[16]CN BC'!$M$10:$M$276,MATCH(B233,'[16]CN BC'!$H$10:$H$276,0)),"")</f>
        <v>0</v>
      </c>
      <c r="V233" s="1067" t="str">
        <f>VLOOKUP(B233,TH.T4!B240:AC570,28,FALSE)</f>
        <v>Đ-ĐT</v>
      </c>
      <c r="Y233" s="1038"/>
    </row>
    <row r="234" spans="1:35" s="1028" customFormat="1" ht="21.75" customHeight="1">
      <c r="A234" s="1014">
        <f>_xlfn.AGGREGATE(4,7,A$12:A233)+1</f>
        <v>222</v>
      </c>
      <c r="B234" s="1015" t="s">
        <v>1539</v>
      </c>
      <c r="C234" s="1033" t="s">
        <v>1796</v>
      </c>
      <c r="D234" s="1034" t="s">
        <v>1405</v>
      </c>
      <c r="E234" s="368" t="str">
        <f>VLOOKUP(B234,TH.Q2!B146:E477,4,FALSE)</f>
        <v>Giảng viên khoa
Điện - Điện tử</v>
      </c>
      <c r="F234" s="1018">
        <v>4.6500000000000004</v>
      </c>
      <c r="G234" s="1019"/>
      <c r="H234" s="1255">
        <f t="shared" si="26"/>
        <v>0</v>
      </c>
      <c r="I234" s="1020"/>
      <c r="J234" s="1020" t="str">
        <f>VLOOKUP(B234,'[15]Gui chi Quynh'!$B$11:$E$396,4,FALSE)</f>
        <v>A3</v>
      </c>
      <c r="K234" s="1020">
        <f t="shared" si="27"/>
        <v>0.6</v>
      </c>
      <c r="L234" s="1021">
        <v>23</v>
      </c>
      <c r="M234" s="1021">
        <f>VLOOKUP(B234,'[16]CN BC'!$H$10:$J$275,3,FALSE)</f>
        <v>23</v>
      </c>
      <c r="N234" s="1021">
        <f t="shared" si="23"/>
        <v>23</v>
      </c>
      <c r="O234" s="1035"/>
      <c r="P234" s="1023">
        <f t="shared" si="22"/>
        <v>6528600</v>
      </c>
      <c r="Q234" s="1371">
        <f t="shared" si="24"/>
        <v>2.79</v>
      </c>
      <c r="R234" s="1448">
        <v>2340000</v>
      </c>
      <c r="S234" s="1460">
        <f t="shared" si="25"/>
        <v>6528600</v>
      </c>
      <c r="T234" s="1024">
        <f t="shared" si="28"/>
        <v>222</v>
      </c>
      <c r="U234" s="1025">
        <f>IFERROR(INDEX('[16]CN BC'!$M$10:$M$276,MATCH(B234,'[16]CN BC'!$H$10:$H$276,0)),"")</f>
        <v>0</v>
      </c>
      <c r="V234" s="1067" t="str">
        <f>VLOOKUP(B234,TH.T4!B241:AC571,28,FALSE)</f>
        <v>Đ-ĐT</v>
      </c>
      <c r="Y234" s="1038"/>
    </row>
    <row r="235" spans="1:35" s="1028" customFormat="1" ht="24" customHeight="1">
      <c r="A235" s="1014">
        <f>_xlfn.AGGREGATE(4,7,A$12:A234)+1</f>
        <v>223</v>
      </c>
      <c r="B235" s="1015" t="s">
        <v>1910</v>
      </c>
      <c r="C235" s="1029" t="s">
        <v>1797</v>
      </c>
      <c r="D235" s="1034" t="s">
        <v>1406</v>
      </c>
      <c r="E235" s="81" t="str">
        <f>VLOOKUP(B235,TH.Q2!B147:E478,4,FALSE)</f>
        <v>Giảng viên khoa Điện - Điện tử</v>
      </c>
      <c r="F235" s="1018">
        <v>4.6500000000000004</v>
      </c>
      <c r="G235" s="1019"/>
      <c r="H235" s="1248">
        <f t="shared" si="26"/>
        <v>0</v>
      </c>
      <c r="I235" s="1020"/>
      <c r="J235" s="1020" t="str">
        <f>VLOOKUP(B235,'[15]Gui chi Quynh'!$B$11:$E$396,4,FALSE)</f>
        <v>A3</v>
      </c>
      <c r="K235" s="1020">
        <f t="shared" si="27"/>
        <v>0.6</v>
      </c>
      <c r="L235" s="1021">
        <v>23</v>
      </c>
      <c r="M235" s="1021">
        <f>VLOOKUP(B235,'[16]CN BC'!$H$10:$J$275,3,FALSE)</f>
        <v>23</v>
      </c>
      <c r="N235" s="1021">
        <f t="shared" si="23"/>
        <v>23</v>
      </c>
      <c r="O235" s="1022"/>
      <c r="P235" s="1023">
        <f t="shared" si="22"/>
        <v>6528600</v>
      </c>
      <c r="Q235" s="1371">
        <f t="shared" si="24"/>
        <v>2.79</v>
      </c>
      <c r="R235" s="1448">
        <v>2340000</v>
      </c>
      <c r="S235" s="1460">
        <f t="shared" si="25"/>
        <v>6528600</v>
      </c>
      <c r="T235" s="1024">
        <f t="shared" si="28"/>
        <v>223</v>
      </c>
      <c r="U235" s="1025">
        <f>IFERROR(INDEX('[16]CN BC'!$M$10:$M$276,MATCH(B235,'[16]CN BC'!$H$10:$H$276,0)),"")</f>
        <v>0</v>
      </c>
      <c r="V235" s="1011" t="str">
        <f>VLOOKUP(B235,TH.T4!B242:AC572,28,FALSE)</f>
        <v>Đ-ĐT</v>
      </c>
      <c r="W235" s="1012"/>
      <c r="X235" s="1012"/>
      <c r="Y235" s="1027"/>
      <c r="Z235" s="1012"/>
      <c r="AA235" s="1012"/>
      <c r="AB235" s="1012"/>
      <c r="AC235" s="1012"/>
      <c r="AD235" s="1012"/>
      <c r="AE235" s="1012"/>
      <c r="AF235" s="1012"/>
      <c r="AG235" s="1012"/>
      <c r="AH235" s="1012"/>
      <c r="AI235" s="1012"/>
    </row>
    <row r="236" spans="1:35" s="1028" customFormat="1" ht="24.75" customHeight="1">
      <c r="A236" s="1014">
        <f>_xlfn.AGGREGATE(4,7,A$12:A235)+1</f>
        <v>224</v>
      </c>
      <c r="B236" s="1015" t="s">
        <v>1911</v>
      </c>
      <c r="C236" s="1033" t="s">
        <v>1798</v>
      </c>
      <c r="D236" s="1034" t="s">
        <v>1407</v>
      </c>
      <c r="E236" s="81" t="str">
        <f>VLOOKUP(B236,TH.Q2!B148:E479,4,FALSE)</f>
        <v>Giảng viên khoa Điện - Điện tử</v>
      </c>
      <c r="F236" s="1018">
        <v>4.6500000000000004</v>
      </c>
      <c r="G236" s="1019"/>
      <c r="H236" s="1248">
        <f t="shared" si="26"/>
        <v>0</v>
      </c>
      <c r="I236" s="1020"/>
      <c r="J236" s="1020" t="str">
        <f>VLOOKUP(B236,'[15]Gui chi Quynh'!$B$11:$E$396,4,FALSE)</f>
        <v>A3</v>
      </c>
      <c r="K236" s="1020">
        <f t="shared" si="27"/>
        <v>0.6</v>
      </c>
      <c r="L236" s="1021">
        <v>23</v>
      </c>
      <c r="M236" s="1021">
        <f>VLOOKUP(B236,'[16]CN BC'!$H$10:$J$275,3,FALSE)</f>
        <v>23</v>
      </c>
      <c r="N236" s="1021">
        <f t="shared" si="23"/>
        <v>23</v>
      </c>
      <c r="O236" s="1022"/>
      <c r="P236" s="1023">
        <f t="shared" si="22"/>
        <v>6528600</v>
      </c>
      <c r="Q236" s="1371">
        <f t="shared" si="24"/>
        <v>2.79</v>
      </c>
      <c r="R236" s="1448">
        <v>2340000</v>
      </c>
      <c r="S236" s="1460">
        <f t="shared" si="25"/>
        <v>6528600</v>
      </c>
      <c r="T236" s="1024">
        <f t="shared" si="28"/>
        <v>224</v>
      </c>
      <c r="U236" s="1025">
        <f>IFERROR(INDEX('[16]CN BC'!$M$10:$M$276,MATCH(B236,'[16]CN BC'!$H$10:$H$276,0)),"")</f>
        <v>0</v>
      </c>
      <c r="V236" s="1011" t="str">
        <f>VLOOKUP(B236,TH.T4!B243:AC573,28,FALSE)</f>
        <v>Đ-ĐT</v>
      </c>
      <c r="W236" s="1012"/>
      <c r="X236" s="1012"/>
      <c r="Y236" s="1027"/>
      <c r="Z236" s="1012"/>
      <c r="AA236" s="1012"/>
      <c r="AB236" s="1012"/>
      <c r="AC236" s="1012"/>
      <c r="AD236" s="1012"/>
      <c r="AE236" s="1012"/>
    </row>
    <row r="237" spans="1:35" s="1012" customFormat="1" ht="24.75" customHeight="1">
      <c r="A237" s="1014">
        <f>_xlfn.AGGREGATE(4,7,A$12:A236)+1</f>
        <v>225</v>
      </c>
      <c r="B237" s="1050" t="s">
        <v>1912</v>
      </c>
      <c r="C237" s="1029" t="s">
        <v>1799</v>
      </c>
      <c r="D237" s="1051" t="s">
        <v>1409</v>
      </c>
      <c r="E237" s="81" t="str">
        <f>VLOOKUP(B237,TH.Q2!B149:E480,4,FALSE)</f>
        <v>Giảng viên khoa Điện - Điện tử</v>
      </c>
      <c r="F237" s="1052">
        <v>4.6500000000000004</v>
      </c>
      <c r="G237" s="1053"/>
      <c r="H237" s="1248">
        <f t="shared" si="26"/>
        <v>0</v>
      </c>
      <c r="I237" s="1054"/>
      <c r="J237" s="1020" t="str">
        <f>VLOOKUP(B237,'[15]Gui chi Quynh'!$B$11:$E$396,4,FALSE)</f>
        <v>A2</v>
      </c>
      <c r="K237" s="1020">
        <f t="shared" si="27"/>
        <v>0.7</v>
      </c>
      <c r="L237" s="1021">
        <v>23</v>
      </c>
      <c r="M237" s="1021">
        <f>VLOOKUP(B237,'[16]CN BC'!$H$10:$J$275,3,FALSE)</f>
        <v>23</v>
      </c>
      <c r="N237" s="1021">
        <f t="shared" si="23"/>
        <v>23</v>
      </c>
      <c r="O237" s="1022"/>
      <c r="P237" s="1023">
        <f t="shared" si="22"/>
        <v>7616699.9999999991</v>
      </c>
      <c r="Q237" s="1371">
        <f t="shared" si="24"/>
        <v>3.2549999999999994</v>
      </c>
      <c r="R237" s="1448">
        <v>2340000</v>
      </c>
      <c r="S237" s="1460">
        <f t="shared" si="25"/>
        <v>7616699.9999999991</v>
      </c>
      <c r="T237" s="1024">
        <f t="shared" si="28"/>
        <v>225</v>
      </c>
      <c r="U237" s="1025">
        <f>IFERROR(INDEX('[16]CN BC'!$M$10:$M$276,MATCH(B237,'[16]CN BC'!$H$10:$H$276,0)),"")</f>
        <v>0</v>
      </c>
      <c r="V237" s="1011" t="str">
        <f>VLOOKUP(B237,TH.T4!B244:AC574,28,FALSE)</f>
        <v>Đ-ĐT</v>
      </c>
      <c r="Y237" s="1027"/>
    </row>
    <row r="238" spans="1:35" s="1012" customFormat="1" ht="24.75" customHeight="1">
      <c r="A238" s="1014">
        <f>_xlfn.AGGREGATE(4,7,A$12:A237)+1</f>
        <v>226</v>
      </c>
      <c r="B238" s="1050" t="s">
        <v>1913</v>
      </c>
      <c r="C238" s="1029" t="s">
        <v>1800</v>
      </c>
      <c r="D238" s="1051" t="s">
        <v>1410</v>
      </c>
      <c r="E238" s="81" t="str">
        <f>VLOOKUP(B238,TH.Q2!B150:E481,4,FALSE)</f>
        <v>Giảng viên khoa Điện - Điện tử</v>
      </c>
      <c r="F238" s="1052">
        <v>4.6500000000000004</v>
      </c>
      <c r="G238" s="1053"/>
      <c r="H238" s="1248">
        <f t="shared" si="26"/>
        <v>0</v>
      </c>
      <c r="I238" s="1054"/>
      <c r="J238" s="1020" t="str">
        <f>VLOOKUP(B238,'[15]Gui chi Quynh'!$B$11:$E$396,4,FALSE)</f>
        <v>A4</v>
      </c>
      <c r="K238" s="1020">
        <f t="shared" si="27"/>
        <v>0.5</v>
      </c>
      <c r="L238" s="1021">
        <v>23</v>
      </c>
      <c r="M238" s="1021">
        <f>VLOOKUP(B238,'[16]CN BC'!$H$10:$J$275,3,FALSE)</f>
        <v>23</v>
      </c>
      <c r="N238" s="1021">
        <f t="shared" si="23"/>
        <v>23</v>
      </c>
      <c r="O238" s="1022"/>
      <c r="P238" s="1023">
        <f t="shared" si="22"/>
        <v>5440500</v>
      </c>
      <c r="Q238" s="1371">
        <f t="shared" si="24"/>
        <v>2.3250000000000002</v>
      </c>
      <c r="R238" s="1448">
        <v>2340000</v>
      </c>
      <c r="S238" s="1460">
        <f t="shared" si="25"/>
        <v>5440500</v>
      </c>
      <c r="T238" s="1024">
        <f t="shared" si="28"/>
        <v>226</v>
      </c>
      <c r="U238" s="1025">
        <f>IFERROR(INDEX('[16]CN BC'!$M$10:$M$276,MATCH(B238,'[16]CN BC'!$H$10:$H$276,0)),"")</f>
        <v>0</v>
      </c>
      <c r="V238" s="1011" t="str">
        <f>VLOOKUP(B238,TH.T4!B245:AC575,28,FALSE)</f>
        <v>Đ-ĐT</v>
      </c>
      <c r="Y238" s="1027"/>
    </row>
    <row r="239" spans="1:35" s="1012" customFormat="1" ht="24.75" customHeight="1">
      <c r="A239" s="1014">
        <f>_xlfn.AGGREGATE(4,7,A$12:A238)+1</f>
        <v>227</v>
      </c>
      <c r="B239" s="1050" t="s">
        <v>1540</v>
      </c>
      <c r="C239" s="1029" t="s">
        <v>1801</v>
      </c>
      <c r="D239" s="1051" t="s">
        <v>1412</v>
      </c>
      <c r="E239" s="81" t="str">
        <f>VLOOKUP(B239,TH.Q2!B151:E482,4,FALSE)</f>
        <v>Giảng viên khoa
Điện - Điện tử</v>
      </c>
      <c r="F239" s="1052">
        <v>3.99</v>
      </c>
      <c r="G239" s="1053"/>
      <c r="H239" s="1248">
        <f t="shared" si="26"/>
        <v>0</v>
      </c>
      <c r="I239" s="1054"/>
      <c r="J239" s="1020" t="str">
        <f>VLOOKUP(B239,'[15]Gui chi Quynh'!$B$11:$E$396,4,FALSE)</f>
        <v>A4</v>
      </c>
      <c r="K239" s="1020">
        <f t="shared" si="27"/>
        <v>0.5</v>
      </c>
      <c r="L239" s="1021">
        <v>23</v>
      </c>
      <c r="M239" s="1021">
        <f>VLOOKUP(B239,'[16]CN BC'!$H$10:$J$275,3,FALSE)</f>
        <v>23</v>
      </c>
      <c r="N239" s="1021">
        <f t="shared" si="23"/>
        <v>23</v>
      </c>
      <c r="O239" s="1022"/>
      <c r="P239" s="1023">
        <f t="shared" si="22"/>
        <v>4668300</v>
      </c>
      <c r="Q239" s="1371">
        <f t="shared" si="24"/>
        <v>1.9950000000000001</v>
      </c>
      <c r="R239" s="1448">
        <v>2340000</v>
      </c>
      <c r="S239" s="1460">
        <f t="shared" si="25"/>
        <v>4668300</v>
      </c>
      <c r="T239" s="1024">
        <f t="shared" si="28"/>
        <v>227</v>
      </c>
      <c r="U239" s="1025">
        <f>IFERROR(INDEX('[16]CN BC'!$M$10:$M$276,MATCH(B239,'[16]CN BC'!$H$10:$H$276,0)),"")</f>
        <v>0</v>
      </c>
      <c r="V239" s="1011" t="str">
        <f>VLOOKUP(B239,TH.T4!B246:AC576,28,FALSE)</f>
        <v>Đ-ĐT</v>
      </c>
      <c r="Y239" s="1027"/>
    </row>
    <row r="240" spans="1:35" s="1028" customFormat="1" ht="25.5" customHeight="1">
      <c r="A240" s="1014">
        <f>_xlfn.AGGREGATE(4,7,A$12:A239)+1</f>
        <v>228</v>
      </c>
      <c r="B240" s="1015" t="s">
        <v>1609</v>
      </c>
      <c r="C240" s="1033" t="s">
        <v>1973</v>
      </c>
      <c r="D240" s="1045" t="s">
        <v>1611</v>
      </c>
      <c r="E240" s="81" t="str">
        <f>VLOOKUP(B240,TH.Q2!B152:E483,4,FALSE)</f>
        <v>Giảng viên khoa
Điện - Điện tử</v>
      </c>
      <c r="F240" s="1040">
        <v>3.33</v>
      </c>
      <c r="G240" s="1019"/>
      <c r="H240" s="1248">
        <f t="shared" si="26"/>
        <v>0</v>
      </c>
      <c r="I240" s="1020"/>
      <c r="J240" s="1020" t="str">
        <f>VLOOKUP(B240,'[15]Gui chi Quynh'!$B$11:$E$396,4,FALSE)</f>
        <v>A1</v>
      </c>
      <c r="K240" s="1020">
        <f t="shared" si="27"/>
        <v>0.8</v>
      </c>
      <c r="L240" s="1021">
        <v>23</v>
      </c>
      <c r="M240" s="1021">
        <f>VLOOKUP(B240,'[16]CN BC'!$H$10:$J$275,3,FALSE)</f>
        <v>23</v>
      </c>
      <c r="N240" s="1021">
        <f t="shared" si="23"/>
        <v>23</v>
      </c>
      <c r="O240" s="1022"/>
      <c r="P240" s="1023">
        <f t="shared" si="22"/>
        <v>6233760.0000000009</v>
      </c>
      <c r="Q240" s="1371">
        <f t="shared" si="24"/>
        <v>2.6640000000000006</v>
      </c>
      <c r="R240" s="1448">
        <v>2340000</v>
      </c>
      <c r="S240" s="1460">
        <f t="shared" si="25"/>
        <v>6233760.0000000009</v>
      </c>
      <c r="T240" s="1024">
        <f t="shared" si="28"/>
        <v>228</v>
      </c>
      <c r="U240" s="1025">
        <f>IFERROR(INDEX('[16]CN BC'!$M$10:$M$276,MATCH(B240,'[16]CN BC'!$H$10:$H$276,0)),"")</f>
        <v>0</v>
      </c>
      <c r="V240" s="1011" t="str">
        <f>VLOOKUP(B240,TH.T4!B247:AC577,28,FALSE)</f>
        <v>Đ-ĐT</v>
      </c>
      <c r="W240" s="1012"/>
      <c r="X240" s="1012"/>
      <c r="Y240" s="1027"/>
      <c r="Z240" s="1012"/>
      <c r="AA240" s="1012"/>
      <c r="AB240" s="1012"/>
      <c r="AC240" s="1012"/>
      <c r="AD240" s="1012"/>
      <c r="AE240" s="1012"/>
    </row>
    <row r="241" spans="1:31" s="1028" customFormat="1" ht="25.5" customHeight="1">
      <c r="A241" s="1014">
        <f>_xlfn.AGGREGATE(4,7,A$12:A240)+1</f>
        <v>229</v>
      </c>
      <c r="B241" s="1015" t="s">
        <v>1610</v>
      </c>
      <c r="C241" s="1033" t="s">
        <v>1974</v>
      </c>
      <c r="D241" s="1045" t="s">
        <v>1612</v>
      </c>
      <c r="E241" s="81" t="str">
        <f>VLOOKUP(B241,TH.Q2!B153:E484,4,FALSE)</f>
        <v>Giảng viên khoa
Điện - Điện tử</v>
      </c>
      <c r="F241" s="1018">
        <v>2.67</v>
      </c>
      <c r="G241" s="1019"/>
      <c r="H241" s="1248">
        <f t="shared" si="26"/>
        <v>0</v>
      </c>
      <c r="I241" s="1020">
        <v>0.25</v>
      </c>
      <c r="J241" s="1020" t="str">
        <f>VLOOKUP(B241,'[15]Gui chi Quynh'!$B$11:$E$396,4,FALSE)</f>
        <v>A1</v>
      </c>
      <c r="K241" s="1020">
        <f t="shared" si="27"/>
        <v>0.8</v>
      </c>
      <c r="L241" s="1021">
        <v>23</v>
      </c>
      <c r="M241" s="1021">
        <f>VLOOKUP(B241,'[16]CN BC'!$H$10:$J$275,3,FALSE)</f>
        <v>23</v>
      </c>
      <c r="N241" s="1021">
        <f t="shared" si="23"/>
        <v>23</v>
      </c>
      <c r="O241" s="1022"/>
      <c r="P241" s="1023">
        <f t="shared" si="22"/>
        <v>5466240.0000000009</v>
      </c>
      <c r="Q241" s="1371">
        <f t="shared" si="24"/>
        <v>2.3360000000000003</v>
      </c>
      <c r="R241" s="1448">
        <v>2340000</v>
      </c>
      <c r="S241" s="1460">
        <f t="shared" si="25"/>
        <v>5466240.0000000009</v>
      </c>
      <c r="T241" s="1024">
        <f t="shared" si="28"/>
        <v>229</v>
      </c>
      <c r="U241" s="1025">
        <f>IFERROR(INDEX('[16]CN BC'!$M$10:$M$276,MATCH(B241,'[16]CN BC'!$H$10:$H$276,0)),"")</f>
        <v>0</v>
      </c>
      <c r="V241" s="1011" t="str">
        <f>VLOOKUP(B241,TH.T4!B248:AC578,28,FALSE)</f>
        <v>Đ-ĐT</v>
      </c>
      <c r="W241" s="1012"/>
      <c r="X241" s="1012"/>
      <c r="Y241" s="1027"/>
      <c r="Z241" s="1012"/>
      <c r="AA241" s="1012"/>
      <c r="AB241" s="1012"/>
      <c r="AC241" s="1012"/>
      <c r="AD241" s="1012"/>
      <c r="AE241" s="1012"/>
    </row>
    <row r="242" spans="1:31" s="1028" customFormat="1" ht="25.5" customHeight="1">
      <c r="A242" s="1014">
        <f>_xlfn.AGGREGATE(4,7,A$12:A241)+1</f>
        <v>230</v>
      </c>
      <c r="B242" s="1101" t="s">
        <v>1838</v>
      </c>
      <c r="C242" s="1033" t="s">
        <v>1975</v>
      </c>
      <c r="D242" s="1039">
        <v>1603205590132</v>
      </c>
      <c r="E242" s="81" t="str">
        <f>VLOOKUP(B242,TH.Q2!B154:E485,4,FALSE)</f>
        <v>Giảng viên khoa
Điện - Điện tử</v>
      </c>
      <c r="F242" s="1018">
        <v>2.67</v>
      </c>
      <c r="G242" s="1019"/>
      <c r="H242" s="1248">
        <f t="shared" si="26"/>
        <v>0</v>
      </c>
      <c r="I242" s="1020">
        <v>0.25</v>
      </c>
      <c r="J242" s="1020" t="str">
        <f>VLOOKUP(B242,'[15]Gui chi Quynh'!$B$11:$E$396,4,FALSE)</f>
        <v>A1</v>
      </c>
      <c r="K242" s="1020">
        <f t="shared" si="27"/>
        <v>0.8</v>
      </c>
      <c r="L242" s="1021">
        <v>23</v>
      </c>
      <c r="M242" s="1021">
        <f>VLOOKUP(B242,'[16]CN BC'!$H$10:$J$275,3,FALSE)</f>
        <v>23</v>
      </c>
      <c r="N242" s="1021">
        <f t="shared" si="23"/>
        <v>23</v>
      </c>
      <c r="O242" s="1022"/>
      <c r="P242" s="1023">
        <f t="shared" si="22"/>
        <v>5466240.0000000009</v>
      </c>
      <c r="Q242" s="1371">
        <f t="shared" si="24"/>
        <v>2.3360000000000003</v>
      </c>
      <c r="R242" s="1448">
        <v>2340000</v>
      </c>
      <c r="S242" s="1460">
        <f t="shared" si="25"/>
        <v>5466240.0000000009</v>
      </c>
      <c r="T242" s="1024">
        <f t="shared" si="28"/>
        <v>230</v>
      </c>
      <c r="U242" s="1025">
        <f>IFERROR(INDEX('[16]CN BC'!$M$10:$M$276,MATCH(B242,'[16]CN BC'!$H$10:$H$276,0)),"")</f>
        <v>0</v>
      </c>
      <c r="V242" s="1011" t="str">
        <f>VLOOKUP(B242,TH.T4!B249:AC579,28,FALSE)</f>
        <v>Đ-ĐT</v>
      </c>
      <c r="W242" s="1012"/>
      <c r="X242" s="1012"/>
      <c r="Y242" s="1027"/>
      <c r="Z242" s="1012"/>
      <c r="AA242" s="1012"/>
      <c r="AB242" s="1012"/>
      <c r="AC242" s="1012"/>
      <c r="AD242" s="1012"/>
      <c r="AE242" s="1012"/>
    </row>
    <row r="243" spans="1:31" s="1028" customFormat="1" ht="25.5" customHeight="1">
      <c r="A243" s="1014">
        <f>_xlfn.AGGREGATE(4,7,A$12:A242)+1</f>
        <v>231</v>
      </c>
      <c r="B243" s="1101" t="s">
        <v>1993</v>
      </c>
      <c r="C243" s="1033"/>
      <c r="D243" s="1103"/>
      <c r="E243" s="81" t="str">
        <f>VLOOKUP(B243,TH.Q2!B155:E486,4,FALSE)</f>
        <v>Giảng viên khoa Điện - Điện tử</v>
      </c>
      <c r="F243" s="1018">
        <v>3.99</v>
      </c>
      <c r="G243" s="1019"/>
      <c r="H243" s="1248">
        <f t="shared" si="26"/>
        <v>0</v>
      </c>
      <c r="I243" s="1020"/>
      <c r="J243" s="1020" t="str">
        <f>VLOOKUP(B243,'[15]Gui chi Quynh'!$B$11:$E$396,4,FALSE)</f>
        <v>A3</v>
      </c>
      <c r="K243" s="1020">
        <f t="shared" si="27"/>
        <v>0.6</v>
      </c>
      <c r="L243" s="1021">
        <v>23</v>
      </c>
      <c r="M243" s="1021">
        <f>VLOOKUP(B243,'[16]CN BC'!$H$10:$J$275,3,FALSE)</f>
        <v>23</v>
      </c>
      <c r="N243" s="1021">
        <f t="shared" si="23"/>
        <v>23</v>
      </c>
      <c r="O243" s="1022"/>
      <c r="P243" s="1023">
        <f t="shared" si="22"/>
        <v>5601960</v>
      </c>
      <c r="Q243" s="1371">
        <f t="shared" si="24"/>
        <v>2.3940000000000001</v>
      </c>
      <c r="R243" s="1448">
        <v>2340000</v>
      </c>
      <c r="S243" s="1460">
        <f t="shared" si="25"/>
        <v>5601960</v>
      </c>
      <c r="T243" s="1024">
        <f t="shared" si="28"/>
        <v>231</v>
      </c>
      <c r="U243" s="1025">
        <f>IFERROR(INDEX('[16]CN BC'!$M$10:$M$276,MATCH(B243,'[16]CN BC'!$H$10:$H$276,0)),"")</f>
        <v>0</v>
      </c>
      <c r="V243" s="1011" t="str">
        <f>VLOOKUP(B243,TH.T4!B250:AC580,28,FALSE)</f>
        <v>Đ-ĐT</v>
      </c>
      <c r="W243" s="1012"/>
      <c r="X243" s="1012"/>
      <c r="Y243" s="1027"/>
      <c r="Z243" s="1012"/>
      <c r="AA243" s="1012"/>
      <c r="AB243" s="1012"/>
      <c r="AC243" s="1012"/>
      <c r="AD243" s="1012"/>
      <c r="AE243" s="1012"/>
    </row>
    <row r="244" spans="1:31" s="1028" customFormat="1" ht="30.75" customHeight="1">
      <c r="A244" s="1014">
        <f>_xlfn.AGGREGATE(4,7,A$12:A243)+1</f>
        <v>232</v>
      </c>
      <c r="B244" s="1101" t="s">
        <v>2002</v>
      </c>
      <c r="C244" s="1033"/>
      <c r="D244" s="1103"/>
      <c r="E244" s="81" t="str">
        <f>VLOOKUP(B244,TH.Q2!B156:E487,4,FALSE)</f>
        <v>Giảng viên khoa Điện - Điện tử</v>
      </c>
      <c r="F244" s="1018">
        <v>2.67</v>
      </c>
      <c r="G244" s="1019"/>
      <c r="H244" s="1248">
        <f t="shared" si="26"/>
        <v>0</v>
      </c>
      <c r="I244" s="1020"/>
      <c r="J244" s="1020" t="str">
        <f>VLOOKUP(B244,'[15]Gui chi Quynh'!$B$11:$E$396,4,FALSE)</f>
        <v>A1</v>
      </c>
      <c r="K244" s="1020">
        <f t="shared" si="27"/>
        <v>0.8</v>
      </c>
      <c r="L244" s="1021">
        <v>23</v>
      </c>
      <c r="M244" s="1021">
        <f>VLOOKUP(B244,'[16]CN BC'!$H$10:$J$275,3,FALSE)</f>
        <v>23</v>
      </c>
      <c r="N244" s="1021">
        <f t="shared" si="23"/>
        <v>23</v>
      </c>
      <c r="O244" s="1022"/>
      <c r="P244" s="1023">
        <f t="shared" si="22"/>
        <v>4998240</v>
      </c>
      <c r="Q244" s="1371">
        <f t="shared" si="24"/>
        <v>2.1360000000000001</v>
      </c>
      <c r="R244" s="1448">
        <v>2340000</v>
      </c>
      <c r="S244" s="1460">
        <f t="shared" si="25"/>
        <v>4998240</v>
      </c>
      <c r="T244" s="1024">
        <f t="shared" si="28"/>
        <v>232</v>
      </c>
      <c r="U244" s="1025">
        <f>IFERROR(INDEX('[16]CN BC'!$M$10:$M$276,MATCH(B244,'[16]CN BC'!$H$10:$H$276,0)),"")</f>
        <v>0</v>
      </c>
      <c r="V244" s="1011" t="str">
        <f>VLOOKUP(B244,TH.T4!B251:AC581,28,FALSE)</f>
        <v>Đ-ĐT</v>
      </c>
      <c r="Y244" s="1038"/>
    </row>
    <row r="245" spans="1:31" s="1028" customFormat="1" ht="31.5" customHeight="1">
      <c r="A245" s="1014">
        <f>_xlfn.AGGREGATE(4,7,A$12:A244)+1</f>
        <v>233</v>
      </c>
      <c r="B245" s="1101" t="s">
        <v>2004</v>
      </c>
      <c r="C245" s="1033"/>
      <c r="D245" s="1103"/>
      <c r="E245" s="81" t="str">
        <f>VLOOKUP(B245,TH.Q2!B157:E488,4,FALSE)</f>
        <v>Giảng viên khoa Điện - Điện tử</v>
      </c>
      <c r="F245" s="1018">
        <v>2.34</v>
      </c>
      <c r="G245" s="1019"/>
      <c r="H245" s="1248">
        <f t="shared" si="26"/>
        <v>0</v>
      </c>
      <c r="I245" s="1020"/>
      <c r="J245" s="1020" t="str">
        <f>VLOOKUP(B245,'[15]Gui chi Quynh'!$B$11:$E$396,4,FALSE)</f>
        <v>A3</v>
      </c>
      <c r="K245" s="1020">
        <f t="shared" si="27"/>
        <v>0.6</v>
      </c>
      <c r="L245" s="1021">
        <v>23</v>
      </c>
      <c r="M245" s="1021">
        <f>VLOOKUP(B245,'[16]CN BC'!$H$10:$J$275,3,FALSE)</f>
        <v>23</v>
      </c>
      <c r="N245" s="1021">
        <f t="shared" si="23"/>
        <v>23</v>
      </c>
      <c r="O245" s="1022"/>
      <c r="P245" s="1023">
        <f t="shared" si="22"/>
        <v>3285360</v>
      </c>
      <c r="Q245" s="1371">
        <f t="shared" si="24"/>
        <v>1.4039999999999999</v>
      </c>
      <c r="R245" s="1448">
        <v>2340000</v>
      </c>
      <c r="S245" s="1460">
        <f t="shared" si="25"/>
        <v>3285360</v>
      </c>
      <c r="T245" s="1024">
        <f t="shared" si="28"/>
        <v>233</v>
      </c>
      <c r="U245" s="1025">
        <f>IFERROR(INDEX('[16]CN BC'!$M$10:$M$276,MATCH(B245,'[16]CN BC'!$H$10:$H$276,0)),"")</f>
        <v>0</v>
      </c>
      <c r="V245" s="1011" t="str">
        <f>VLOOKUP(B245,TH.T4!B252:AC582,28,FALSE)</f>
        <v>Đ-ĐT</v>
      </c>
      <c r="Y245" s="1038"/>
    </row>
    <row r="246" spans="1:31" s="1028" customFormat="1" ht="29.25" customHeight="1">
      <c r="A246" s="1014">
        <f>_xlfn.AGGREGATE(4,7,A$12:A245)+1</f>
        <v>234</v>
      </c>
      <c r="B246" s="1015" t="s">
        <v>1914</v>
      </c>
      <c r="C246" s="1033" t="s">
        <v>1803</v>
      </c>
      <c r="D246" s="1034" t="s">
        <v>0</v>
      </c>
      <c r="E246" s="81" t="str">
        <f>VLOOKUP(B246,TH.Q2!B158:E489,4,FALSE)</f>
        <v>Trưởng khoa Động lực</v>
      </c>
      <c r="F246" s="1018">
        <v>4.6500000000000004</v>
      </c>
      <c r="G246" s="1019"/>
      <c r="H246" s="1248">
        <f t="shared" si="26"/>
        <v>0</v>
      </c>
      <c r="I246" s="1020">
        <v>0.45</v>
      </c>
      <c r="J246" s="1020" t="str">
        <f>VLOOKUP(B246,'[15]Gui chi Quynh'!$B$11:$E$396,4,FALSE)</f>
        <v>A2</v>
      </c>
      <c r="K246" s="1020">
        <f t="shared" si="27"/>
        <v>0.7</v>
      </c>
      <c r="L246" s="1021">
        <v>23</v>
      </c>
      <c r="M246" s="1021">
        <f>VLOOKUP(B246,'[16]CN BC'!$H$10:$J$275,3,FALSE)</f>
        <v>23</v>
      </c>
      <c r="N246" s="1021">
        <f t="shared" si="23"/>
        <v>23</v>
      </c>
      <c r="O246" s="1022"/>
      <c r="P246" s="1023">
        <f t="shared" si="22"/>
        <v>8353800.0000000009</v>
      </c>
      <c r="Q246" s="1371">
        <f t="shared" si="24"/>
        <v>3.5700000000000003</v>
      </c>
      <c r="R246" s="1448">
        <v>2340000</v>
      </c>
      <c r="S246" s="1460">
        <f t="shared" si="25"/>
        <v>8353800.0000000009</v>
      </c>
      <c r="T246" s="1024">
        <f t="shared" si="28"/>
        <v>234</v>
      </c>
      <c r="U246" s="1025">
        <f>IFERROR(INDEX('[16]CN BC'!$M$10:$M$276,MATCH(B246,'[16]CN BC'!$H$10:$H$276,0)),"")</f>
        <v>0</v>
      </c>
      <c r="V246" s="1011" t="str">
        <f>VLOOKUP(B246,TH.T4!B253:AC583,28,FALSE)</f>
        <v>ĐL</v>
      </c>
      <c r="W246" s="1046"/>
      <c r="X246" s="1012"/>
      <c r="Y246" s="1027"/>
      <c r="Z246" s="1012"/>
      <c r="AA246" s="1012"/>
      <c r="AB246" s="1012"/>
      <c r="AC246" s="1012"/>
      <c r="AD246" s="1012"/>
      <c r="AE246" s="1012"/>
    </row>
    <row r="247" spans="1:31" s="1028" customFormat="1" ht="27.75" customHeight="1">
      <c r="A247" s="1014">
        <f>_xlfn.AGGREGATE(4,7,A$12:A246)+1</f>
        <v>235</v>
      </c>
      <c r="B247" s="1015" t="s">
        <v>1915</v>
      </c>
      <c r="C247" s="1033" t="s">
        <v>1804</v>
      </c>
      <c r="D247" s="1034" t="s">
        <v>1420</v>
      </c>
      <c r="E247" s="81" t="str">
        <f>VLOOKUP(B247,TH.Q2!B159:E490,4,FALSE)</f>
        <v>Phó Trưởng khoa
 Động lực</v>
      </c>
      <c r="F247" s="1018">
        <v>4.9800000000000004</v>
      </c>
      <c r="G247" s="1019"/>
      <c r="H247" s="1248">
        <f t="shared" si="26"/>
        <v>0</v>
      </c>
      <c r="I247" s="1020">
        <v>0.35</v>
      </c>
      <c r="J247" s="1020" t="str">
        <f>VLOOKUP(B247,'[15]Gui chi Quynh'!$B$11:$E$396,4,FALSE)</f>
        <v>A3</v>
      </c>
      <c r="K247" s="1020">
        <f t="shared" si="27"/>
        <v>0.6</v>
      </c>
      <c r="L247" s="1021">
        <v>23</v>
      </c>
      <c r="M247" s="1021">
        <f>VLOOKUP(B247,'[16]CN BC'!$H$10:$J$275,3,FALSE)</f>
        <v>23</v>
      </c>
      <c r="N247" s="1021">
        <f t="shared" si="23"/>
        <v>23</v>
      </c>
      <c r="O247" s="1022"/>
      <c r="P247" s="1023">
        <f t="shared" si="22"/>
        <v>7483320.0000000009</v>
      </c>
      <c r="Q247" s="1371">
        <f t="shared" si="24"/>
        <v>3.1980000000000004</v>
      </c>
      <c r="R247" s="1448">
        <v>2340000</v>
      </c>
      <c r="S247" s="1460">
        <f t="shared" si="25"/>
        <v>7483320.0000000009</v>
      </c>
      <c r="T247" s="1024">
        <f t="shared" si="28"/>
        <v>235</v>
      </c>
      <c r="U247" s="1025">
        <f>IFERROR(INDEX('[16]CN BC'!$M$10:$M$276,MATCH(B247,'[16]CN BC'!$H$10:$H$276,0)),"")</f>
        <v>0</v>
      </c>
      <c r="V247" s="1011" t="str">
        <f>VLOOKUP(B247,TH.T4!B254:AC584,28,FALSE)</f>
        <v>ĐL</v>
      </c>
      <c r="W247" s="1012"/>
      <c r="X247" s="1012"/>
      <c r="Y247" s="1027"/>
      <c r="Z247" s="1012"/>
      <c r="AA247" s="1012"/>
      <c r="AB247" s="1012"/>
      <c r="AC247" s="1012"/>
      <c r="AD247" s="1012"/>
      <c r="AE247" s="1012"/>
    </row>
    <row r="248" spans="1:31" s="1028" customFormat="1" ht="27.75" customHeight="1">
      <c r="A248" s="1014">
        <f>_xlfn.AGGREGATE(4,7,A$12:A247)+1</f>
        <v>236</v>
      </c>
      <c r="B248" s="1015" t="s">
        <v>1916</v>
      </c>
      <c r="C248" s="1033" t="s">
        <v>1805</v>
      </c>
      <c r="D248" s="1034" t="s">
        <v>1</v>
      </c>
      <c r="E248" s="81" t="str">
        <f>VLOOKUP(B248,TH.Q2!B160:E491,4,FALSE)</f>
        <v>Giảng viên khoa Động lực</v>
      </c>
      <c r="F248" s="1018">
        <v>4.32</v>
      </c>
      <c r="G248" s="1019"/>
      <c r="H248" s="1248">
        <f t="shared" si="26"/>
        <v>0</v>
      </c>
      <c r="I248" s="1020">
        <v>0.25</v>
      </c>
      <c r="J248" s="1020" t="str">
        <f>VLOOKUP(B248,'[15]Gui chi Quynh'!$B$11:$E$396,4,FALSE)</f>
        <v>A4</v>
      </c>
      <c r="K248" s="1020">
        <f t="shared" si="27"/>
        <v>0.5</v>
      </c>
      <c r="L248" s="1021">
        <v>23</v>
      </c>
      <c r="M248" s="1021">
        <f>VLOOKUP(B248,'[16]CN BC'!$H$10:$J$275,3,FALSE)</f>
        <v>23</v>
      </c>
      <c r="N248" s="1021">
        <f t="shared" si="23"/>
        <v>23</v>
      </c>
      <c r="O248" s="1022"/>
      <c r="P248" s="1023">
        <f t="shared" si="22"/>
        <v>5346900</v>
      </c>
      <c r="Q248" s="1371">
        <f t="shared" si="24"/>
        <v>2.2850000000000001</v>
      </c>
      <c r="R248" s="1448">
        <v>2340000</v>
      </c>
      <c r="S248" s="1460">
        <f t="shared" si="25"/>
        <v>5346900</v>
      </c>
      <c r="T248" s="1024">
        <f t="shared" si="28"/>
        <v>236</v>
      </c>
      <c r="U248" s="1025">
        <f>IFERROR(INDEX('[16]CN BC'!$M$10:$M$276,MATCH(B248,'[16]CN BC'!$H$10:$H$276,0)),"")</f>
        <v>0</v>
      </c>
      <c r="V248" s="1011" t="str">
        <f>VLOOKUP(B248,TH.T4!B255:AC585,28,FALSE)</f>
        <v>ĐL</v>
      </c>
      <c r="W248" s="1012"/>
      <c r="X248" s="1012"/>
      <c r="Y248" s="1027"/>
      <c r="Z248" s="1012"/>
      <c r="AA248" s="1012"/>
      <c r="AB248" s="1012"/>
      <c r="AC248" s="1012"/>
      <c r="AD248" s="1012"/>
      <c r="AE248" s="1012"/>
    </row>
    <row r="249" spans="1:31" s="1028" customFormat="1" ht="27.75" customHeight="1">
      <c r="A249" s="1014">
        <f>_xlfn.AGGREGATE(4,7,A$12:A248)+1</f>
        <v>237</v>
      </c>
      <c r="B249" s="1015" t="s">
        <v>1542</v>
      </c>
      <c r="C249" s="1033" t="s">
        <v>1806</v>
      </c>
      <c r="D249" s="1034" t="s">
        <v>3</v>
      </c>
      <c r="E249" s="368" t="str">
        <f>VLOOKUP(B249,TH.Q2!B161:E492,4,FALSE)</f>
        <v>Giảng viên - Trưởng BM khoa Động lực</v>
      </c>
      <c r="F249" s="1040">
        <v>4.32</v>
      </c>
      <c r="G249" s="1019"/>
      <c r="H249" s="1255">
        <f t="shared" si="26"/>
        <v>0</v>
      </c>
      <c r="I249" s="1020"/>
      <c r="J249" s="1020" t="str">
        <f>VLOOKUP(B249,'[15]Gui chi Quynh'!$B$11:$E$396,4,FALSE)</f>
        <v>A4</v>
      </c>
      <c r="K249" s="1020">
        <f t="shared" si="27"/>
        <v>0.5</v>
      </c>
      <c r="L249" s="1021">
        <v>23</v>
      </c>
      <c r="M249" s="1021">
        <f>VLOOKUP(B249,'[16]CN BC'!$H$10:$J$275,3,FALSE)</f>
        <v>23</v>
      </c>
      <c r="N249" s="1021">
        <f t="shared" si="23"/>
        <v>23</v>
      </c>
      <c r="O249" s="1035"/>
      <c r="P249" s="1023">
        <f t="shared" si="22"/>
        <v>5054400</v>
      </c>
      <c r="Q249" s="1371">
        <f t="shared" si="24"/>
        <v>2.16</v>
      </c>
      <c r="R249" s="1448">
        <v>2340000</v>
      </c>
      <c r="S249" s="1460">
        <f t="shared" si="25"/>
        <v>5054400</v>
      </c>
      <c r="T249" s="1024">
        <f t="shared" si="28"/>
        <v>237</v>
      </c>
      <c r="U249" s="1025">
        <f>IFERROR(INDEX('[16]CN BC'!$M$10:$M$276,MATCH(B249,'[16]CN BC'!$H$10:$H$276,0)),"")</f>
        <v>0</v>
      </c>
      <c r="V249" s="1067" t="str">
        <f>VLOOKUP(B249,TH.T4!B256:AC586,28,FALSE)</f>
        <v>ĐL</v>
      </c>
      <c r="Y249" s="1038"/>
    </row>
    <row r="250" spans="1:31" s="1028" customFormat="1" ht="27.75" customHeight="1">
      <c r="A250" s="1014">
        <f>_xlfn.AGGREGATE(4,7,A$12:A249)+1</f>
        <v>238</v>
      </c>
      <c r="B250" s="1015" t="s">
        <v>1543</v>
      </c>
      <c r="C250" s="1033" t="s">
        <v>1807</v>
      </c>
      <c r="D250" s="1034" t="s">
        <v>4</v>
      </c>
      <c r="E250" s="81" t="str">
        <f>VLOOKUP(B250,TH.Q2!B162:E493,4,FALSE)</f>
        <v>Giảng viên - Trưởng BM khoa Động lực</v>
      </c>
      <c r="F250" s="1040">
        <v>3.99</v>
      </c>
      <c r="G250" s="1019"/>
      <c r="H250" s="1248">
        <f t="shared" si="26"/>
        <v>0</v>
      </c>
      <c r="I250" s="1020">
        <v>0.25</v>
      </c>
      <c r="J250" s="1020" t="str">
        <f>VLOOKUP(B250,'[15]Gui chi Quynh'!$B$11:$E$396,4,FALSE)</f>
        <v>A3</v>
      </c>
      <c r="K250" s="1020">
        <f t="shared" si="27"/>
        <v>0.6</v>
      </c>
      <c r="L250" s="1021">
        <v>23</v>
      </c>
      <c r="M250" s="1021">
        <f>VLOOKUP(B250,'[16]CN BC'!$H$10:$J$275,3,FALSE)</f>
        <v>23</v>
      </c>
      <c r="N250" s="1021">
        <f t="shared" si="23"/>
        <v>23</v>
      </c>
      <c r="O250" s="1022"/>
      <c r="P250" s="1023">
        <f t="shared" si="22"/>
        <v>5952960</v>
      </c>
      <c r="Q250" s="1371">
        <f t="shared" si="24"/>
        <v>2.544</v>
      </c>
      <c r="R250" s="1448">
        <v>2340000</v>
      </c>
      <c r="S250" s="1460">
        <f t="shared" si="25"/>
        <v>5952960</v>
      </c>
      <c r="T250" s="1024">
        <f t="shared" si="28"/>
        <v>238</v>
      </c>
      <c r="U250" s="1025">
        <f>IFERROR(INDEX('[16]CN BC'!$M$10:$M$276,MATCH(B250,'[16]CN BC'!$H$10:$H$276,0)),"")</f>
        <v>0</v>
      </c>
      <c r="V250" s="1011" t="str">
        <f>VLOOKUP(B250,TH.T4!B257:AC587,28,FALSE)</f>
        <v>ĐL</v>
      </c>
      <c r="W250" s="1012"/>
      <c r="X250" s="1012"/>
      <c r="Y250" s="1027"/>
      <c r="Z250" s="1012"/>
      <c r="AA250" s="1012"/>
      <c r="AB250" s="1012"/>
      <c r="AC250" s="1012"/>
      <c r="AD250" s="1012"/>
      <c r="AE250" s="1012"/>
    </row>
    <row r="251" spans="1:31" s="1028" customFormat="1" ht="23.25" customHeight="1">
      <c r="A251" s="1014">
        <f>_xlfn.AGGREGATE(4,7,A$12:A250)+1</f>
        <v>239</v>
      </c>
      <c r="B251" s="1015" t="s">
        <v>1544</v>
      </c>
      <c r="C251" s="1033" t="s">
        <v>1808</v>
      </c>
      <c r="D251" s="1034" t="s">
        <v>5</v>
      </c>
      <c r="E251" s="368" t="str">
        <f>VLOOKUP(B251,TH.Q2!B163:E494,4,FALSE)</f>
        <v>Giảng viên khoa Động lực</v>
      </c>
      <c r="F251" s="1040">
        <v>3.99</v>
      </c>
      <c r="G251" s="1019"/>
      <c r="H251" s="1255">
        <f t="shared" si="26"/>
        <v>0</v>
      </c>
      <c r="I251" s="1020"/>
      <c r="J251" s="1020" t="str">
        <f>VLOOKUP(B251,'[15]Gui chi Quynh'!$B$11:$E$396,4,FALSE)</f>
        <v>A4</v>
      </c>
      <c r="K251" s="1020">
        <f t="shared" si="27"/>
        <v>0.5</v>
      </c>
      <c r="L251" s="1021">
        <v>23</v>
      </c>
      <c r="M251" s="1021">
        <f>VLOOKUP(B251,'[16]CN BC'!$H$10:$J$275,3,FALSE)</f>
        <v>23</v>
      </c>
      <c r="N251" s="1021">
        <f t="shared" si="23"/>
        <v>23</v>
      </c>
      <c r="O251" s="1035"/>
      <c r="P251" s="1023">
        <f t="shared" si="22"/>
        <v>4668300</v>
      </c>
      <c r="Q251" s="1371">
        <f t="shared" si="24"/>
        <v>1.9950000000000001</v>
      </c>
      <c r="R251" s="1448">
        <v>2340000</v>
      </c>
      <c r="S251" s="1460">
        <f t="shared" si="25"/>
        <v>4668300</v>
      </c>
      <c r="T251" s="1024">
        <f t="shared" si="28"/>
        <v>239</v>
      </c>
      <c r="U251" s="1025">
        <f>IFERROR(INDEX('[16]CN BC'!$M$10:$M$276,MATCH(B251,'[16]CN BC'!$H$10:$H$276,0)),"")</f>
        <v>0</v>
      </c>
      <c r="V251" s="1067" t="str">
        <f>VLOOKUP(B251,TH.T4!B258:AC588,28,FALSE)</f>
        <v>ĐL</v>
      </c>
      <c r="Y251" s="1038"/>
    </row>
    <row r="252" spans="1:31" s="1028" customFormat="1" ht="27.75" customHeight="1">
      <c r="A252" s="1014">
        <f>_xlfn.AGGREGATE(4,7,A$12:A251)+1</f>
        <v>240</v>
      </c>
      <c r="B252" s="1015" t="s">
        <v>1917</v>
      </c>
      <c r="C252" s="1033" t="s">
        <v>1809</v>
      </c>
      <c r="D252" s="1034" t="s">
        <v>394</v>
      </c>
      <c r="E252" s="368" t="str">
        <f>VLOOKUP(B252,TH.Q2!B164:E495,4,FALSE)</f>
        <v>Giảng viên khoa Động lực</v>
      </c>
      <c r="F252" s="1040">
        <v>3.99</v>
      </c>
      <c r="G252" s="1019"/>
      <c r="H252" s="1255">
        <f t="shared" si="26"/>
        <v>0</v>
      </c>
      <c r="I252" s="1020"/>
      <c r="J252" s="1020" t="str">
        <f>VLOOKUP(B252,'[15]Gui chi Quynh'!$B$11:$E$396,4,FALSE)</f>
        <v>A4</v>
      </c>
      <c r="K252" s="1020">
        <f t="shared" si="27"/>
        <v>0.5</v>
      </c>
      <c r="L252" s="1021">
        <v>23</v>
      </c>
      <c r="M252" s="1021">
        <f>VLOOKUP(B252,'[16]CN BC'!$H$10:$J$275,3,FALSE)</f>
        <v>23</v>
      </c>
      <c r="N252" s="1021">
        <f t="shared" si="23"/>
        <v>23</v>
      </c>
      <c r="O252" s="1035"/>
      <c r="P252" s="1023">
        <f t="shared" si="22"/>
        <v>4668300</v>
      </c>
      <c r="Q252" s="1371">
        <f t="shared" si="24"/>
        <v>1.9950000000000001</v>
      </c>
      <c r="R252" s="1448">
        <v>2340000</v>
      </c>
      <c r="S252" s="1460">
        <f t="shared" si="25"/>
        <v>4668300</v>
      </c>
      <c r="T252" s="1024">
        <f t="shared" si="28"/>
        <v>240</v>
      </c>
      <c r="U252" s="1025">
        <f>IFERROR(INDEX('[16]CN BC'!$M$10:$M$276,MATCH(B252,'[16]CN BC'!$H$10:$H$276,0)),"")</f>
        <v>0</v>
      </c>
      <c r="V252" s="1067" t="str">
        <f>VLOOKUP(B252,TH.T4!B259:AC589,28,FALSE)</f>
        <v>ĐL</v>
      </c>
      <c r="Y252" s="1038"/>
    </row>
    <row r="253" spans="1:31" s="1028" customFormat="1" ht="26.25" customHeight="1">
      <c r="A253" s="1014">
        <f>_xlfn.AGGREGATE(4,7,A$12:A252)+1</f>
        <v>241</v>
      </c>
      <c r="B253" s="1101" t="s">
        <v>1918</v>
      </c>
      <c r="C253" s="1033" t="s">
        <v>1810</v>
      </c>
      <c r="D253" s="1034" t="s">
        <v>393</v>
      </c>
      <c r="E253" s="368" t="str">
        <f>VLOOKUP(B253,TH.Q2!B165:E496,4,FALSE)</f>
        <v>Giảng viên khoa Động lực</v>
      </c>
      <c r="F253" s="1040">
        <v>3.99</v>
      </c>
      <c r="G253" s="1019"/>
      <c r="H253" s="1255">
        <f t="shared" si="26"/>
        <v>0</v>
      </c>
      <c r="I253" s="1020"/>
      <c r="J253" s="1020" t="str">
        <f>VLOOKUP(B253,'[15]Gui chi Quynh'!$B$11:$E$396,4,FALSE)</f>
        <v>A4</v>
      </c>
      <c r="K253" s="1020">
        <f t="shared" si="27"/>
        <v>0.5</v>
      </c>
      <c r="L253" s="1021">
        <v>23</v>
      </c>
      <c r="M253" s="1021">
        <f>VLOOKUP(B253,'[16]CN BC'!$H$10:$J$275,3,FALSE)</f>
        <v>23</v>
      </c>
      <c r="N253" s="1021">
        <f t="shared" si="23"/>
        <v>23</v>
      </c>
      <c r="O253" s="1035"/>
      <c r="P253" s="1023">
        <f t="shared" si="22"/>
        <v>4668300</v>
      </c>
      <c r="Q253" s="1371">
        <f t="shared" si="24"/>
        <v>1.9950000000000001</v>
      </c>
      <c r="R253" s="1448">
        <v>2340000</v>
      </c>
      <c r="S253" s="1460">
        <f t="shared" si="25"/>
        <v>4668300</v>
      </c>
      <c r="T253" s="1024">
        <f t="shared" si="28"/>
        <v>241</v>
      </c>
      <c r="U253" s="1025">
        <f>IFERROR(INDEX('[16]CN BC'!$M$10:$M$276,MATCH(B253,'[16]CN BC'!$H$10:$H$276,0)),"")</f>
        <v>0</v>
      </c>
      <c r="V253" s="1067" t="str">
        <f>VLOOKUP(B253,TH.T4!B260:AC590,28,FALSE)</f>
        <v>ĐL</v>
      </c>
      <c r="Y253" s="1038"/>
    </row>
    <row r="254" spans="1:31" s="1028" customFormat="1" ht="27.75" customHeight="1">
      <c r="A254" s="1014">
        <f>_xlfn.AGGREGATE(4,7,A$12:A253)+1</f>
        <v>242</v>
      </c>
      <c r="B254" s="1015" t="s">
        <v>1545</v>
      </c>
      <c r="C254" s="1033" t="s">
        <v>1811</v>
      </c>
      <c r="D254" s="1034" t="s">
        <v>395</v>
      </c>
      <c r="E254" s="368" t="str">
        <f>VLOOKUP(B254,TH.Q2!B166:E497,4,FALSE)</f>
        <v>Giảng viên khoa Động lực</v>
      </c>
      <c r="F254" s="1040">
        <v>3.99</v>
      </c>
      <c r="G254" s="1019"/>
      <c r="H254" s="1255">
        <f t="shared" si="26"/>
        <v>0</v>
      </c>
      <c r="I254" s="1020"/>
      <c r="J254" s="1020" t="str">
        <f>VLOOKUP(B254,'[15]Gui chi Quynh'!$B$11:$E$396,4,FALSE)</f>
        <v>A4</v>
      </c>
      <c r="K254" s="1020">
        <f t="shared" si="27"/>
        <v>0.5</v>
      </c>
      <c r="L254" s="1021">
        <v>23</v>
      </c>
      <c r="M254" s="1021">
        <f>VLOOKUP(B254,'[16]CN BC'!$H$10:$J$275,3,FALSE)</f>
        <v>23</v>
      </c>
      <c r="N254" s="1021">
        <f t="shared" si="23"/>
        <v>23</v>
      </c>
      <c r="O254" s="1035"/>
      <c r="P254" s="1023">
        <f t="shared" si="22"/>
        <v>4668300</v>
      </c>
      <c r="Q254" s="1371">
        <f t="shared" si="24"/>
        <v>1.9950000000000001</v>
      </c>
      <c r="R254" s="1448">
        <v>2340000</v>
      </c>
      <c r="S254" s="1460">
        <f t="shared" si="25"/>
        <v>4668300</v>
      </c>
      <c r="T254" s="1024">
        <f t="shared" si="28"/>
        <v>242</v>
      </c>
      <c r="U254" s="1025">
        <f>IFERROR(INDEX('[16]CN BC'!$M$10:$M$276,MATCH(B254,'[16]CN BC'!$H$10:$H$276,0)),"")</f>
        <v>0</v>
      </c>
      <c r="V254" s="1067" t="str">
        <f>VLOOKUP(B254,TH.T4!B261:AC591,28,FALSE)</f>
        <v>ĐL</v>
      </c>
      <c r="Y254" s="1038"/>
    </row>
    <row r="255" spans="1:31" s="1028" customFormat="1" ht="27.75" customHeight="1">
      <c r="A255" s="1014">
        <f>_xlfn.AGGREGATE(4,7,A$12:A254)+1</f>
        <v>243</v>
      </c>
      <c r="B255" s="1015" t="s">
        <v>1546</v>
      </c>
      <c r="C255" s="1033" t="s">
        <v>1812</v>
      </c>
      <c r="D255" s="1034" t="s">
        <v>473</v>
      </c>
      <c r="E255" s="81" t="str">
        <f>VLOOKUP(B255,TH.Q2!B167:E498,4,FALSE)</f>
        <v>Giảng viên khoa Động lực</v>
      </c>
      <c r="F255" s="1040">
        <v>3.66</v>
      </c>
      <c r="G255" s="1019"/>
      <c r="H255" s="1248">
        <f t="shared" si="26"/>
        <v>0</v>
      </c>
      <c r="I255" s="1020"/>
      <c r="J255" s="1020" t="str">
        <f>VLOOKUP(B255,'[15]Gui chi Quynh'!$B$11:$E$396,4,FALSE)</f>
        <v>A4</v>
      </c>
      <c r="K255" s="1020">
        <f t="shared" si="27"/>
        <v>0.5</v>
      </c>
      <c r="L255" s="1021">
        <v>23</v>
      </c>
      <c r="M255" s="1021">
        <f>VLOOKUP(B255,'[16]CN BC'!$H$10:$J$275,3,FALSE)</f>
        <v>23</v>
      </c>
      <c r="N255" s="1021">
        <f t="shared" si="23"/>
        <v>23</v>
      </c>
      <c r="O255" s="1022"/>
      <c r="P255" s="1023">
        <f t="shared" si="22"/>
        <v>4282200</v>
      </c>
      <c r="Q255" s="1371">
        <f t="shared" si="24"/>
        <v>1.83</v>
      </c>
      <c r="R255" s="1448">
        <v>2340000</v>
      </c>
      <c r="S255" s="1460">
        <f t="shared" si="25"/>
        <v>4282200</v>
      </c>
      <c r="T255" s="1024">
        <f t="shared" si="28"/>
        <v>243</v>
      </c>
      <c r="U255" s="1025">
        <f>IFERROR(INDEX('[16]CN BC'!$M$10:$M$276,MATCH(B255,'[16]CN BC'!$H$10:$H$276,0)),"")</f>
        <v>0</v>
      </c>
      <c r="V255" s="1011" t="str">
        <f>VLOOKUP(B255,TH.T4!B262:AC592,28,FALSE)</f>
        <v>ĐL</v>
      </c>
      <c r="W255" s="1046"/>
      <c r="X255" s="1012"/>
      <c r="Y255" s="1027"/>
      <c r="Z255" s="1012"/>
      <c r="AA255" s="1012"/>
      <c r="AB255" s="1012"/>
      <c r="AC255" s="1012"/>
      <c r="AD255" s="1012"/>
      <c r="AE255" s="1012"/>
    </row>
    <row r="256" spans="1:31" s="1028" customFormat="1" ht="25.5" customHeight="1">
      <c r="A256" s="1014">
        <f>_xlfn.AGGREGATE(4,7,A$12:A255)+1</f>
        <v>244</v>
      </c>
      <c r="B256" s="1015" t="s">
        <v>1547</v>
      </c>
      <c r="C256" s="1033" t="s">
        <v>1813</v>
      </c>
      <c r="D256" s="1104" t="s">
        <v>490</v>
      </c>
      <c r="E256" s="81" t="str">
        <f>VLOOKUP(B256,TH.Q2!B168:E499,4,FALSE)</f>
        <v>Giảng viên khoa Động lực</v>
      </c>
      <c r="F256" s="1040">
        <v>3.66</v>
      </c>
      <c r="G256" s="1019"/>
      <c r="H256" s="1248">
        <f t="shared" si="26"/>
        <v>0</v>
      </c>
      <c r="I256" s="1020"/>
      <c r="J256" s="1020" t="str">
        <f>VLOOKUP(B256,'[15]Gui chi Quynh'!$B$11:$E$396,4,FALSE)</f>
        <v>A4</v>
      </c>
      <c r="K256" s="1020">
        <f t="shared" si="27"/>
        <v>0.5</v>
      </c>
      <c r="L256" s="1021">
        <v>23</v>
      </c>
      <c r="M256" s="1021">
        <f>VLOOKUP(B256,'[16]CN BC'!$H$10:$J$275,3,FALSE)</f>
        <v>23</v>
      </c>
      <c r="N256" s="1021">
        <f t="shared" si="23"/>
        <v>23</v>
      </c>
      <c r="O256" s="1022"/>
      <c r="P256" s="1023">
        <f t="shared" si="22"/>
        <v>4282200</v>
      </c>
      <c r="Q256" s="1371">
        <f t="shared" si="24"/>
        <v>1.83</v>
      </c>
      <c r="R256" s="1448">
        <v>2340000</v>
      </c>
      <c r="S256" s="1460">
        <f t="shared" si="25"/>
        <v>4282200</v>
      </c>
      <c r="T256" s="1024">
        <f t="shared" si="28"/>
        <v>244</v>
      </c>
      <c r="U256" s="1025">
        <f>IFERROR(INDEX('[16]CN BC'!$M$10:$M$276,MATCH(B256,'[16]CN BC'!$H$10:$H$276,0)),"")</f>
        <v>0</v>
      </c>
      <c r="V256" s="1011" t="str">
        <f>VLOOKUP(B256,TH.T4!B263:AC593,28,FALSE)</f>
        <v>ĐL</v>
      </c>
      <c r="W256" s="1012"/>
      <c r="X256" s="1012"/>
      <c r="Y256" s="1027"/>
      <c r="Z256" s="1012"/>
      <c r="AA256" s="1012"/>
      <c r="AB256" s="1012"/>
      <c r="AC256" s="1012"/>
      <c r="AD256" s="1012"/>
      <c r="AE256" s="1012"/>
    </row>
    <row r="257" spans="1:35" s="1028" customFormat="1" ht="23.25" customHeight="1">
      <c r="A257" s="1014">
        <f>_xlfn.AGGREGATE(4,7,A$12:A256)+1</f>
        <v>245</v>
      </c>
      <c r="B257" s="1015" t="s">
        <v>1919</v>
      </c>
      <c r="C257" s="1033" t="s">
        <v>1814</v>
      </c>
      <c r="D257" s="1034" t="s">
        <v>750</v>
      </c>
      <c r="E257" s="81" t="str">
        <f>VLOOKUP(B257,TH.Q2!B169:E500,4,FALSE)</f>
        <v>Giảng viên khoa Động lực</v>
      </c>
      <c r="F257" s="1040">
        <v>3.66</v>
      </c>
      <c r="G257" s="1019"/>
      <c r="H257" s="1248">
        <f t="shared" si="26"/>
        <v>0</v>
      </c>
      <c r="I257" s="1020"/>
      <c r="J257" s="1020" t="str">
        <f>VLOOKUP(B257,'[15]Gui chi Quynh'!$B$11:$E$396,4,FALSE)</f>
        <v>A3</v>
      </c>
      <c r="K257" s="1020">
        <f t="shared" si="27"/>
        <v>0.6</v>
      </c>
      <c r="L257" s="1021">
        <v>23</v>
      </c>
      <c r="M257" s="1021">
        <f>VLOOKUP(B257,'[16]CN BC'!$H$10:$J$275,3,FALSE)</f>
        <v>23</v>
      </c>
      <c r="N257" s="1021">
        <f t="shared" si="23"/>
        <v>23</v>
      </c>
      <c r="O257" s="1022"/>
      <c r="P257" s="1023">
        <f t="shared" si="22"/>
        <v>5138640</v>
      </c>
      <c r="Q257" s="1371">
        <f t="shared" si="24"/>
        <v>2.1960000000000002</v>
      </c>
      <c r="R257" s="1448">
        <v>2340000</v>
      </c>
      <c r="S257" s="1460">
        <f t="shared" si="25"/>
        <v>5138640</v>
      </c>
      <c r="T257" s="1024">
        <f t="shared" si="28"/>
        <v>245</v>
      </c>
      <c r="U257" s="1025">
        <f>IFERROR(INDEX('[16]CN BC'!$M$10:$M$276,MATCH(B257,'[16]CN BC'!$H$10:$H$276,0)),"")</f>
        <v>0</v>
      </c>
      <c r="V257" s="1011" t="str">
        <f>VLOOKUP(B257,TH.T4!B264:AC594,28,FALSE)</f>
        <v>ĐL</v>
      </c>
      <c r="W257" s="1012"/>
      <c r="X257" s="1012"/>
      <c r="Y257" s="1027"/>
      <c r="Z257" s="1012"/>
      <c r="AA257" s="1012"/>
      <c r="AB257" s="1012"/>
      <c r="AC257" s="1012"/>
      <c r="AD257" s="1012"/>
      <c r="AE257" s="1012"/>
    </row>
    <row r="258" spans="1:35" s="1028" customFormat="1" ht="25.5" customHeight="1">
      <c r="A258" s="1014">
        <f>_xlfn.AGGREGATE(4,7,A$12:A257)+1</f>
        <v>246</v>
      </c>
      <c r="B258" s="1015" t="s">
        <v>1548</v>
      </c>
      <c r="C258" s="1033" t="s">
        <v>1815</v>
      </c>
      <c r="D258" s="1034" t="s">
        <v>752</v>
      </c>
      <c r="E258" s="81" t="str">
        <f>VLOOKUP(B258,TH.Q2!B170:E501,4,FALSE)</f>
        <v>Giảng viên khoa Động lực</v>
      </c>
      <c r="F258" s="1040">
        <v>3.66</v>
      </c>
      <c r="G258" s="1019"/>
      <c r="H258" s="1248">
        <f t="shared" si="26"/>
        <v>0</v>
      </c>
      <c r="I258" s="1020"/>
      <c r="J258" s="1020" t="str">
        <f>VLOOKUP(B258,'[15]Gui chi Quynh'!$B$11:$E$396,4,FALSE)</f>
        <v>A4</v>
      </c>
      <c r="K258" s="1020">
        <f t="shared" si="27"/>
        <v>0.5</v>
      </c>
      <c r="L258" s="1021">
        <v>23</v>
      </c>
      <c r="M258" s="1021">
        <f>VLOOKUP(B258,'[16]CN BC'!$H$10:$J$275,3,FALSE)</f>
        <v>23</v>
      </c>
      <c r="N258" s="1021">
        <f t="shared" si="23"/>
        <v>23</v>
      </c>
      <c r="O258" s="1022"/>
      <c r="P258" s="1023">
        <f t="shared" si="22"/>
        <v>4282200</v>
      </c>
      <c r="Q258" s="1371">
        <f t="shared" si="24"/>
        <v>1.83</v>
      </c>
      <c r="R258" s="1448">
        <v>2340000</v>
      </c>
      <c r="S258" s="1460">
        <f t="shared" si="25"/>
        <v>4282200</v>
      </c>
      <c r="T258" s="1024">
        <f t="shared" si="28"/>
        <v>246</v>
      </c>
      <c r="U258" s="1025">
        <f>IFERROR(INDEX('[16]CN BC'!$M$10:$M$276,MATCH(B258,'[16]CN BC'!$H$10:$H$276,0)),"")</f>
        <v>0</v>
      </c>
      <c r="V258" s="1011" t="str">
        <f>VLOOKUP(B258,TH.T4!B265:AC595,28,FALSE)</f>
        <v>ĐL</v>
      </c>
      <c r="Y258" s="1038"/>
    </row>
    <row r="259" spans="1:35" s="1028" customFormat="1" ht="25.5" customHeight="1">
      <c r="A259" s="1014">
        <f>_xlfn.AGGREGATE(4,7,A$12:A258)+1</f>
        <v>247</v>
      </c>
      <c r="B259" s="1015" t="s">
        <v>1549</v>
      </c>
      <c r="C259" s="1033" t="s">
        <v>1816</v>
      </c>
      <c r="D259" s="1030" t="s">
        <v>1429</v>
      </c>
      <c r="E259" s="368" t="str">
        <f>VLOOKUP(B259,TH.Q2!B171:E502,4,FALSE)</f>
        <v>Giảng viên khoa Động lực</v>
      </c>
      <c r="F259" s="1109">
        <v>3.66</v>
      </c>
      <c r="G259" s="1019"/>
      <c r="H259" s="1255">
        <f t="shared" si="26"/>
        <v>0</v>
      </c>
      <c r="I259" s="1020">
        <v>0.25</v>
      </c>
      <c r="J259" s="1020" t="str">
        <f>VLOOKUP(B259,'[15]Gui chi Quynh'!$B$11:$E$396,4,FALSE)</f>
        <v>A4</v>
      </c>
      <c r="K259" s="1020">
        <f t="shared" si="27"/>
        <v>0.5</v>
      </c>
      <c r="L259" s="1021">
        <v>23</v>
      </c>
      <c r="M259" s="1021">
        <f>VLOOKUP(B259,'[16]CN BC'!$H$10:$J$275,3,FALSE)</f>
        <v>23</v>
      </c>
      <c r="N259" s="1021">
        <f t="shared" si="23"/>
        <v>23</v>
      </c>
      <c r="O259" s="1035"/>
      <c r="P259" s="1023">
        <f t="shared" si="22"/>
        <v>4574700</v>
      </c>
      <c r="Q259" s="1371">
        <f t="shared" si="24"/>
        <v>1.9550000000000001</v>
      </c>
      <c r="R259" s="1448">
        <v>2340000</v>
      </c>
      <c r="S259" s="1460">
        <f t="shared" si="25"/>
        <v>4574700</v>
      </c>
      <c r="T259" s="1024">
        <f t="shared" si="28"/>
        <v>247</v>
      </c>
      <c r="U259" s="1025">
        <f>IFERROR(INDEX('[16]CN BC'!$M$10:$M$276,MATCH(B259,'[16]CN BC'!$H$10:$H$276,0)),"")</f>
        <v>0</v>
      </c>
      <c r="V259" s="1067" t="str">
        <f>VLOOKUP(B259,TH.T4!B266:AC596,28,FALSE)</f>
        <v>ĐL</v>
      </c>
      <c r="Y259" s="1038"/>
    </row>
    <row r="260" spans="1:35" s="1028" customFormat="1" ht="25.5" customHeight="1">
      <c r="A260" s="1014">
        <f>_xlfn.AGGREGATE(4,7,A$12:A259)+1</f>
        <v>248</v>
      </c>
      <c r="B260" s="1015" t="s">
        <v>1550</v>
      </c>
      <c r="C260" s="1033" t="s">
        <v>1817</v>
      </c>
      <c r="D260" s="1030" t="s">
        <v>1430</v>
      </c>
      <c r="E260" s="368" t="str">
        <f>VLOOKUP(B260,TH.Q2!B172:E503,4,FALSE)</f>
        <v>Giảng viên khoa Động lực</v>
      </c>
      <c r="F260" s="1109">
        <v>3.66</v>
      </c>
      <c r="G260" s="1019"/>
      <c r="H260" s="1255">
        <f t="shared" si="26"/>
        <v>0</v>
      </c>
      <c r="I260" s="1020"/>
      <c r="J260" s="1020" t="str">
        <f>VLOOKUP(B260,'[15]Gui chi Quynh'!$B$11:$E$396,4,FALSE)</f>
        <v>A1</v>
      </c>
      <c r="K260" s="1020">
        <f t="shared" si="27"/>
        <v>0.8</v>
      </c>
      <c r="L260" s="1021">
        <v>23</v>
      </c>
      <c r="M260" s="1021">
        <f>VLOOKUP(B260,'[16]CN BC'!$H$10:$J$275,3,FALSE)</f>
        <v>23</v>
      </c>
      <c r="N260" s="1021">
        <f t="shared" si="23"/>
        <v>23</v>
      </c>
      <c r="O260" s="1035"/>
      <c r="P260" s="1023">
        <f t="shared" si="22"/>
        <v>6851520</v>
      </c>
      <c r="Q260" s="1371">
        <f t="shared" si="24"/>
        <v>2.9279999999999999</v>
      </c>
      <c r="R260" s="1448">
        <v>2340000</v>
      </c>
      <c r="S260" s="1460">
        <f t="shared" si="25"/>
        <v>6851520</v>
      </c>
      <c r="T260" s="1024">
        <f t="shared" si="28"/>
        <v>248</v>
      </c>
      <c r="U260" s="1025">
        <f>IFERROR(INDEX('[16]CN BC'!$M$10:$M$276,MATCH(B260,'[16]CN BC'!$H$10:$H$276,0)),"")</f>
        <v>0</v>
      </c>
      <c r="V260" s="1067" t="str">
        <f>VLOOKUP(B260,TH.T4!B267:AC597,28,FALSE)</f>
        <v>ĐL</v>
      </c>
      <c r="W260" s="1105"/>
      <c r="Y260" s="1038"/>
    </row>
    <row r="261" spans="1:35" s="1028" customFormat="1" ht="25.5" customHeight="1">
      <c r="A261" s="1014">
        <f>_xlfn.AGGREGATE(4,7,A$12:A260)+1</f>
        <v>249</v>
      </c>
      <c r="B261" s="1015" t="s">
        <v>1836</v>
      </c>
      <c r="C261" s="1033" t="s">
        <v>1976</v>
      </c>
      <c r="D261" s="1076" t="s">
        <v>1977</v>
      </c>
      <c r="E261" s="81" t="str">
        <f>VLOOKUP(B261,TH.Q2!B173:E504,4,FALSE)</f>
        <v>Giảng viên khoa Động lực</v>
      </c>
      <c r="F261" s="1109">
        <v>3</v>
      </c>
      <c r="G261" s="1019"/>
      <c r="H261" s="1248">
        <f t="shared" si="26"/>
        <v>0</v>
      </c>
      <c r="I261" s="1020"/>
      <c r="J261" s="1020" t="str">
        <f>VLOOKUP(B261,'[15]Gui chi Quynh'!$B$11:$E$396,4,FALSE)</f>
        <v>A4</v>
      </c>
      <c r="K261" s="1020">
        <f t="shared" si="27"/>
        <v>0.5</v>
      </c>
      <c r="L261" s="1021">
        <v>23</v>
      </c>
      <c r="M261" s="1021">
        <f>VLOOKUP(B261,'[16]CN BC'!$H$10:$J$275,3,FALSE)</f>
        <v>23</v>
      </c>
      <c r="N261" s="1021">
        <f t="shared" si="23"/>
        <v>23</v>
      </c>
      <c r="O261" s="1022"/>
      <c r="P261" s="1023">
        <f t="shared" si="22"/>
        <v>3510000</v>
      </c>
      <c r="Q261" s="1371">
        <f t="shared" si="24"/>
        <v>1.5</v>
      </c>
      <c r="R261" s="1448">
        <v>2340000</v>
      </c>
      <c r="S261" s="1460">
        <f t="shared" si="25"/>
        <v>3510000</v>
      </c>
      <c r="T261" s="1024">
        <f t="shared" si="28"/>
        <v>249</v>
      </c>
      <c r="U261" s="1025">
        <f>IFERROR(INDEX('[16]CN BC'!$M$10:$M$276,MATCH(B261,'[16]CN BC'!$H$10:$H$276,0)),"")</f>
        <v>0</v>
      </c>
      <c r="V261" s="1011" t="str">
        <f>VLOOKUP(B261,TH.T4!B268:AC598,28,FALSE)</f>
        <v>ĐL</v>
      </c>
      <c r="W261" s="1046"/>
      <c r="X261" s="1012"/>
      <c r="Y261" s="1027"/>
      <c r="Z261" s="1012"/>
      <c r="AA261" s="1012"/>
      <c r="AB261" s="1012"/>
      <c r="AC261" s="1012"/>
      <c r="AD261" s="1012"/>
      <c r="AE261" s="1012"/>
    </row>
    <row r="262" spans="1:35" s="1028" customFormat="1" ht="25.5" customHeight="1">
      <c r="A262" s="1014">
        <f>_xlfn.AGGREGATE(4,7,A$12:A261)+1</f>
        <v>250</v>
      </c>
      <c r="B262" s="1015" t="s">
        <v>1837</v>
      </c>
      <c r="C262" s="1033" t="s">
        <v>1978</v>
      </c>
      <c r="D262" s="1076" t="s">
        <v>1979</v>
      </c>
      <c r="E262" s="81" t="str">
        <f>VLOOKUP(B262,TH.Q2!B174:E505,4,FALSE)</f>
        <v>Giảng viên khoa Động lực</v>
      </c>
      <c r="F262" s="1104">
        <v>2.67</v>
      </c>
      <c r="G262" s="1019"/>
      <c r="H262" s="1248">
        <f t="shared" si="26"/>
        <v>0</v>
      </c>
      <c r="I262" s="1020"/>
      <c r="J262" s="1020" t="str">
        <f>VLOOKUP(B262,'[15]Gui chi Quynh'!$B$11:$E$396,4,FALSE)</f>
        <v>A4</v>
      </c>
      <c r="K262" s="1020">
        <f t="shared" si="27"/>
        <v>0.5</v>
      </c>
      <c r="L262" s="1021">
        <v>23</v>
      </c>
      <c r="M262" s="1021">
        <f>VLOOKUP(B262,'[16]CN BC'!$H$10:$J$275,3,FALSE)</f>
        <v>23</v>
      </c>
      <c r="N262" s="1021">
        <f t="shared" si="23"/>
        <v>23</v>
      </c>
      <c r="O262" s="1022"/>
      <c r="P262" s="1023">
        <f t="shared" si="22"/>
        <v>3123900</v>
      </c>
      <c r="Q262" s="1371">
        <f t="shared" si="24"/>
        <v>1.335</v>
      </c>
      <c r="R262" s="1448">
        <v>2340000</v>
      </c>
      <c r="S262" s="1460">
        <f t="shared" si="25"/>
        <v>3123900</v>
      </c>
      <c r="T262" s="1024">
        <f t="shared" si="28"/>
        <v>250</v>
      </c>
      <c r="U262" s="1025">
        <f>IFERROR(INDEX('[16]CN BC'!$M$10:$M$276,MATCH(B262,'[16]CN BC'!$H$10:$H$276,0)),"")</f>
        <v>0</v>
      </c>
      <c r="V262" s="1011" t="str">
        <f>VLOOKUP(B262,TH.T4!B269:AC599,28,FALSE)</f>
        <v>ĐL</v>
      </c>
      <c r="W262" s="1046"/>
      <c r="X262" s="1012"/>
      <c r="Y262" s="1027"/>
      <c r="Z262" s="1012"/>
      <c r="AA262" s="1012"/>
      <c r="AB262" s="1012"/>
      <c r="AC262" s="1012"/>
      <c r="AD262" s="1012"/>
      <c r="AE262" s="1012"/>
    </row>
    <row r="263" spans="1:35" s="1028" customFormat="1" ht="25.5" customHeight="1">
      <c r="A263" s="1014">
        <f>_xlfn.AGGREGATE(4,7,A$12:A262)+1</f>
        <v>251</v>
      </c>
      <c r="B263" s="1101" t="s">
        <v>1839</v>
      </c>
      <c r="C263" s="1033" t="s">
        <v>1980</v>
      </c>
      <c r="D263" s="1076" t="s">
        <v>1981</v>
      </c>
      <c r="E263" s="81" t="str">
        <f>VLOOKUP(B263,TH.Q2!B175:E506,4,FALSE)</f>
        <v>Giảng viên khoa Động lực</v>
      </c>
      <c r="F263" s="1109">
        <v>3</v>
      </c>
      <c r="G263" s="1019"/>
      <c r="H263" s="1248">
        <f t="shared" si="26"/>
        <v>0</v>
      </c>
      <c r="I263" s="1020"/>
      <c r="J263" s="1020" t="str">
        <f>VLOOKUP(B263,'[15]Gui chi Quynh'!$B$11:$E$396,4,FALSE)</f>
        <v>A4</v>
      </c>
      <c r="K263" s="1020">
        <f t="shared" si="27"/>
        <v>0.5</v>
      </c>
      <c r="L263" s="1021">
        <v>23</v>
      </c>
      <c r="M263" s="1021">
        <f>VLOOKUP(B263,'[16]CN BC'!$H$10:$J$275,3,FALSE)</f>
        <v>23</v>
      </c>
      <c r="N263" s="1021">
        <f t="shared" si="23"/>
        <v>23</v>
      </c>
      <c r="O263" s="1022"/>
      <c r="P263" s="1023">
        <f t="shared" si="22"/>
        <v>3510000</v>
      </c>
      <c r="Q263" s="1371">
        <f t="shared" si="24"/>
        <v>1.5</v>
      </c>
      <c r="R263" s="1448">
        <v>2340000</v>
      </c>
      <c r="S263" s="1460">
        <f t="shared" si="25"/>
        <v>3510000</v>
      </c>
      <c r="T263" s="1024">
        <f t="shared" si="28"/>
        <v>251</v>
      </c>
      <c r="U263" s="1025">
        <f>IFERROR(INDEX('[16]CN BC'!$M$10:$M$276,MATCH(B263,'[16]CN BC'!$H$10:$H$276,0)),"")</f>
        <v>0</v>
      </c>
      <c r="V263" s="1011" t="str">
        <f>VLOOKUP(B263,TH.T4!B270:AC600,28,FALSE)</f>
        <v>ĐL</v>
      </c>
      <c r="W263" s="1046"/>
      <c r="X263" s="1012"/>
      <c r="Y263" s="1027"/>
      <c r="Z263" s="1012"/>
      <c r="AA263" s="1012"/>
      <c r="AB263" s="1012"/>
      <c r="AC263" s="1012"/>
      <c r="AD263" s="1012"/>
      <c r="AE263" s="1012"/>
    </row>
    <row r="264" spans="1:35" s="1028" customFormat="1" ht="25.5" customHeight="1">
      <c r="A264" s="1014">
        <f>_xlfn.AGGREGATE(4,7,A$12:A263)+1</f>
        <v>252</v>
      </c>
      <c r="B264" s="1101" t="s">
        <v>1844</v>
      </c>
      <c r="C264" s="1033" t="s">
        <v>1982</v>
      </c>
      <c r="D264" s="1076" t="s">
        <v>1983</v>
      </c>
      <c r="E264" s="81" t="str">
        <f>VLOOKUP(B264,TH.Q2!B176:E507,4,FALSE)</f>
        <v>Giảng viên khoa Động lực</v>
      </c>
      <c r="F264" s="1109">
        <v>3.66</v>
      </c>
      <c r="G264" s="1019"/>
      <c r="H264" s="1248">
        <f t="shared" si="26"/>
        <v>0</v>
      </c>
      <c r="I264" s="1020"/>
      <c r="J264" s="1020" t="str">
        <f>VLOOKUP(B264,'[15]Gui chi Quynh'!$B$11:$E$396,4,FALSE)</f>
        <v>A4</v>
      </c>
      <c r="K264" s="1020">
        <f t="shared" si="27"/>
        <v>0.5</v>
      </c>
      <c r="L264" s="1021">
        <v>23</v>
      </c>
      <c r="M264" s="1021">
        <f>VLOOKUP(B264,'[16]CN BC'!$H$10:$J$275,3,FALSE)</f>
        <v>23</v>
      </c>
      <c r="N264" s="1021">
        <f t="shared" si="23"/>
        <v>23</v>
      </c>
      <c r="O264" s="1022"/>
      <c r="P264" s="1023">
        <f t="shared" si="22"/>
        <v>4282200</v>
      </c>
      <c r="Q264" s="1371">
        <f t="shared" si="24"/>
        <v>1.83</v>
      </c>
      <c r="R264" s="1448">
        <v>2340000</v>
      </c>
      <c r="S264" s="1460">
        <f t="shared" si="25"/>
        <v>4282200</v>
      </c>
      <c r="T264" s="1024">
        <f t="shared" si="28"/>
        <v>252</v>
      </c>
      <c r="U264" s="1025">
        <f>IFERROR(INDEX('[16]CN BC'!$M$10:$M$276,MATCH(B264,'[16]CN BC'!$H$10:$H$276,0)),"")</f>
        <v>0</v>
      </c>
      <c r="V264" s="1011" t="str">
        <f>VLOOKUP(B264,TH.T4!B271:AC601,28,FALSE)</f>
        <v>ĐL</v>
      </c>
      <c r="W264" s="1046"/>
      <c r="X264" s="1012"/>
      <c r="Y264" s="1027"/>
      <c r="Z264" s="1012"/>
      <c r="AA264" s="1012"/>
      <c r="AB264" s="1012"/>
      <c r="AC264" s="1012"/>
      <c r="AD264" s="1012"/>
      <c r="AE264" s="1012"/>
    </row>
    <row r="265" spans="1:35" s="1028" customFormat="1" ht="24" customHeight="1">
      <c r="A265" s="1014">
        <f>_xlfn.AGGREGATE(4,7,A$12:A264)+1</f>
        <v>253</v>
      </c>
      <c r="B265" s="1101" t="s">
        <v>1926</v>
      </c>
      <c r="C265" s="1033" t="s">
        <v>1984</v>
      </c>
      <c r="D265" s="1108" t="s">
        <v>1985</v>
      </c>
      <c r="E265" s="81" t="str">
        <f>VLOOKUP(B265,TH.Q2!B177:E508,4,FALSE)</f>
        <v>Giảng viên khoa Động lực</v>
      </c>
      <c r="F265" s="1110">
        <v>2.67</v>
      </c>
      <c r="G265" s="1019"/>
      <c r="H265" s="1248">
        <f t="shared" si="26"/>
        <v>0</v>
      </c>
      <c r="I265" s="1020"/>
      <c r="J265" s="1020" t="str">
        <f>VLOOKUP(B265,'[15]Gui chi Quynh'!$B$11:$E$396,4,FALSE)</f>
        <v>A3</v>
      </c>
      <c r="K265" s="1020">
        <f t="shared" si="27"/>
        <v>0.6</v>
      </c>
      <c r="L265" s="1021">
        <v>23</v>
      </c>
      <c r="M265" s="1021">
        <f>VLOOKUP(B265,'[16]CN BC'!$H$10:$J$275,3,FALSE)</f>
        <v>23</v>
      </c>
      <c r="N265" s="1021">
        <f t="shared" si="23"/>
        <v>23</v>
      </c>
      <c r="O265" s="1022"/>
      <c r="P265" s="1023">
        <f t="shared" si="22"/>
        <v>3748680</v>
      </c>
      <c r="Q265" s="1371">
        <f t="shared" si="24"/>
        <v>1.6020000000000001</v>
      </c>
      <c r="R265" s="1448">
        <v>2340000</v>
      </c>
      <c r="S265" s="1460">
        <f t="shared" si="25"/>
        <v>3748680</v>
      </c>
      <c r="T265" s="1024">
        <f t="shared" si="28"/>
        <v>253</v>
      </c>
      <c r="U265" s="1025">
        <f>IFERROR(INDEX('[16]CN BC'!$M$10:$M$276,MATCH(B265,'[16]CN BC'!$H$10:$H$276,0)),"")</f>
        <v>0</v>
      </c>
      <c r="V265" s="1011" t="str">
        <f>VLOOKUP(B265,TH.T4!B272:AC602,28,FALSE)</f>
        <v>ĐL</v>
      </c>
      <c r="W265" s="1046"/>
      <c r="X265" s="1012"/>
      <c r="Y265" s="1027"/>
      <c r="Z265" s="1012"/>
      <c r="AA265" s="1012"/>
      <c r="AB265" s="1012"/>
      <c r="AC265" s="1012"/>
      <c r="AD265" s="1012"/>
      <c r="AE265" s="1012"/>
    </row>
    <row r="266" spans="1:35" s="1028" customFormat="1" ht="24" customHeight="1">
      <c r="A266" s="1014">
        <f>_xlfn.AGGREGATE(4,7,A$12:A265)+1</f>
        <v>254</v>
      </c>
      <c r="B266" s="1101" t="s">
        <v>1941</v>
      </c>
      <c r="C266" s="1033" t="s">
        <v>1989</v>
      </c>
      <c r="D266" s="1108" t="s">
        <v>1988</v>
      </c>
      <c r="E266" s="81" t="str">
        <f>VLOOKUP(B266,TH.Q2!B178:E509,4,FALSE)</f>
        <v>Giảng viên khoa Động lực</v>
      </c>
      <c r="F266" s="1110">
        <v>2.34</v>
      </c>
      <c r="G266" s="1019"/>
      <c r="H266" s="1248">
        <f t="shared" si="26"/>
        <v>0</v>
      </c>
      <c r="I266" s="1020"/>
      <c r="J266" s="1020" t="str">
        <f>VLOOKUP(B266,'[15]Gui chi Quynh'!$B$11:$E$396,4,FALSE)</f>
        <v>A4</v>
      </c>
      <c r="K266" s="1020">
        <f t="shared" si="27"/>
        <v>0.5</v>
      </c>
      <c r="L266" s="1021">
        <v>23</v>
      </c>
      <c r="M266" s="1021">
        <f>VLOOKUP(B266,'[16]CN BC'!$H$10:$J$275,3,FALSE)</f>
        <v>23</v>
      </c>
      <c r="N266" s="1021">
        <f t="shared" si="23"/>
        <v>23</v>
      </c>
      <c r="O266" s="1022"/>
      <c r="P266" s="1023">
        <f t="shared" si="22"/>
        <v>2737800</v>
      </c>
      <c r="Q266" s="1371">
        <f t="shared" si="24"/>
        <v>1.17</v>
      </c>
      <c r="R266" s="1448">
        <v>2340000</v>
      </c>
      <c r="S266" s="1460">
        <f t="shared" si="25"/>
        <v>2737800</v>
      </c>
      <c r="T266" s="1024">
        <f t="shared" si="28"/>
        <v>254</v>
      </c>
      <c r="U266" s="1025">
        <f>IFERROR(INDEX('[16]CN BC'!$M$10:$M$276,MATCH(B266,'[16]CN BC'!$H$10:$H$276,0)),"")</f>
        <v>0</v>
      </c>
      <c r="V266" s="1011" t="str">
        <f>VLOOKUP(B266,TH.T4!B274:AC604,28,FALSE)</f>
        <v>ĐL</v>
      </c>
      <c r="W266" s="1046"/>
      <c r="X266" s="1012"/>
      <c r="Y266" s="1027"/>
      <c r="Z266" s="1012"/>
      <c r="AA266" s="1012"/>
      <c r="AB266" s="1012"/>
      <c r="AC266" s="1012"/>
      <c r="AD266" s="1012"/>
      <c r="AE266" s="1012"/>
    </row>
    <row r="267" spans="1:35" s="1028" customFormat="1" ht="24" customHeight="1">
      <c r="A267" s="1014">
        <f>_xlfn.AGGREGATE(4,7,A$12:A266)+1</f>
        <v>255</v>
      </c>
      <c r="B267" s="1101" t="s">
        <v>1945</v>
      </c>
      <c r="C267" s="1014" t="s">
        <v>1948</v>
      </c>
      <c r="D267" s="1030" t="s">
        <v>1949</v>
      </c>
      <c r="E267" s="81" t="str">
        <f>VLOOKUP(B267,TH.Q2!B180:E511,4,FALSE)</f>
        <v>Giảng viên khoa Động lực</v>
      </c>
      <c r="F267" s="1110">
        <v>3.66</v>
      </c>
      <c r="G267" s="1019"/>
      <c r="H267" s="1248">
        <f t="shared" si="26"/>
        <v>0</v>
      </c>
      <c r="I267" s="1020"/>
      <c r="J267" s="1020" t="str">
        <f>VLOOKUP(B267,'[15]Gui chi Quynh'!$B$11:$E$396,4,FALSE)</f>
        <v>A4</v>
      </c>
      <c r="K267" s="1020">
        <f t="shared" si="27"/>
        <v>0.5</v>
      </c>
      <c r="L267" s="1021">
        <v>23</v>
      </c>
      <c r="M267" s="1021">
        <f>VLOOKUP(B267,'[16]CN BC'!$H$10:$J$275,3,FALSE)</f>
        <v>23</v>
      </c>
      <c r="N267" s="1021">
        <f t="shared" si="23"/>
        <v>23</v>
      </c>
      <c r="O267" s="1022"/>
      <c r="P267" s="1023">
        <f t="shared" si="22"/>
        <v>4282200</v>
      </c>
      <c r="Q267" s="1371">
        <f t="shared" si="24"/>
        <v>1.83</v>
      </c>
      <c r="R267" s="1448">
        <v>2340000</v>
      </c>
      <c r="S267" s="1460">
        <f t="shared" si="25"/>
        <v>4282200</v>
      </c>
      <c r="T267" s="1024">
        <f t="shared" si="28"/>
        <v>255</v>
      </c>
      <c r="U267" s="1025">
        <f>IFERROR(INDEX('[16]CN BC'!$M$10:$M$276,MATCH(B267,'[16]CN BC'!$H$10:$H$276,0)),"")</f>
        <v>0</v>
      </c>
      <c r="V267" s="1011" t="str">
        <f>VLOOKUP(B267,TH.T4!B276:AC606,28,FALSE)</f>
        <v>ĐL</v>
      </c>
      <c r="W267" s="1046"/>
      <c r="X267" s="1012"/>
      <c r="Y267" s="1038"/>
    </row>
    <row r="268" spans="1:35" s="1028" customFormat="1" ht="24" customHeight="1">
      <c r="A268" s="1014">
        <f>_xlfn.AGGREGATE(4,7,A$12:A267)+1</f>
        <v>256</v>
      </c>
      <c r="B268" s="1101" t="s">
        <v>2003</v>
      </c>
      <c r="C268" s="1014"/>
      <c r="D268" s="1030"/>
      <c r="E268" s="81" t="str">
        <f>VLOOKUP(B268,TH.Q2!B181:E512,4,FALSE)</f>
        <v>Giảng viên khoa Động lực</v>
      </c>
      <c r="F268" s="1109">
        <v>3.33</v>
      </c>
      <c r="G268" s="1019"/>
      <c r="H268" s="1248">
        <f t="shared" si="26"/>
        <v>0</v>
      </c>
      <c r="I268" s="1020"/>
      <c r="J268" s="1020" t="str">
        <f>VLOOKUP(B268,'[15]Gui chi Quynh'!$B$11:$E$396,4,FALSE)</f>
        <v>A4</v>
      </c>
      <c r="K268" s="1020">
        <f t="shared" si="27"/>
        <v>0.5</v>
      </c>
      <c r="L268" s="1021">
        <v>23</v>
      </c>
      <c r="M268" s="1021">
        <f>VLOOKUP(B268,'[16]CN BC'!$H$10:$J$275,3,FALSE)</f>
        <v>23</v>
      </c>
      <c r="N268" s="1021">
        <f t="shared" si="23"/>
        <v>23</v>
      </c>
      <c r="O268" s="1022"/>
      <c r="P268" s="1023">
        <f t="shared" si="22"/>
        <v>3896100.0000000005</v>
      </c>
      <c r="Q268" s="1371">
        <f t="shared" si="24"/>
        <v>1.6650000000000003</v>
      </c>
      <c r="R268" s="1448">
        <v>2340000</v>
      </c>
      <c r="S268" s="1460">
        <f t="shared" si="25"/>
        <v>3896100.0000000005</v>
      </c>
      <c r="T268" s="1024">
        <f t="shared" si="28"/>
        <v>256</v>
      </c>
      <c r="U268" s="1025">
        <f>IFERROR(INDEX('[16]CN BC'!$M$10:$M$276,MATCH(B268,'[16]CN BC'!$H$10:$H$276,0)),"")</f>
        <v>0</v>
      </c>
      <c r="V268" s="1011" t="str">
        <f>VLOOKUP(B268,TH.T4!B277:AC607,28,FALSE)</f>
        <v>ĐL</v>
      </c>
      <c r="W268" s="1046"/>
      <c r="X268" s="1012"/>
      <c r="Y268" s="1038"/>
    </row>
    <row r="269" spans="1:35" s="1028" customFormat="1" ht="24" customHeight="1">
      <c r="A269" s="1014">
        <f>_xlfn.AGGREGATE(4,7,A$12:A268)+1</f>
        <v>257</v>
      </c>
      <c r="B269" s="1101" t="s">
        <v>2010</v>
      </c>
      <c r="C269" s="1014"/>
      <c r="D269" s="1030"/>
      <c r="E269" s="81" t="str">
        <f>VLOOKUP(B269,TH.Q2!B182:E513,4,FALSE)</f>
        <v>Giảng viên khoa Động lực</v>
      </c>
      <c r="F269" s="1109">
        <v>2.34</v>
      </c>
      <c r="G269" s="1019"/>
      <c r="H269" s="1248">
        <f t="shared" si="26"/>
        <v>0</v>
      </c>
      <c r="I269" s="1020"/>
      <c r="J269" s="1020" t="str">
        <f>VLOOKUP(B269,'[15]Gui chi Quynh'!$B$11:$E$396,4,FALSE)</f>
        <v>A4</v>
      </c>
      <c r="K269" s="1020">
        <f t="shared" si="27"/>
        <v>0.5</v>
      </c>
      <c r="L269" s="1021">
        <v>23</v>
      </c>
      <c r="M269" s="1021">
        <f>VLOOKUP(B269,'[16]CN BC'!$H$10:$J$275,3,FALSE)</f>
        <v>23</v>
      </c>
      <c r="N269" s="1021">
        <f t="shared" si="23"/>
        <v>23</v>
      </c>
      <c r="O269" s="1022"/>
      <c r="P269" s="1023">
        <f t="shared" ref="P269:P278" si="29">(((F269+H269+I269)*$P$9/L269*N269)*K269)+O269</f>
        <v>2737800</v>
      </c>
      <c r="Q269" s="1371">
        <f t="shared" si="24"/>
        <v>1.17</v>
      </c>
      <c r="R269" s="1448">
        <v>2340000</v>
      </c>
      <c r="S269" s="1460">
        <f t="shared" si="25"/>
        <v>2737800</v>
      </c>
      <c r="T269" s="1024">
        <f t="shared" si="28"/>
        <v>257</v>
      </c>
      <c r="U269" s="1025">
        <f>IFERROR(INDEX('[16]CN BC'!$M$10:$M$276,MATCH(B269,'[16]CN BC'!$H$10:$H$276,0)),"")</f>
        <v>0</v>
      </c>
      <c r="V269" s="1011" t="str">
        <f>VLOOKUP(B269,TH.T4!B278:AC608,28,FALSE)</f>
        <v>ĐL</v>
      </c>
      <c r="W269" s="1105"/>
      <c r="Y269" s="1038"/>
    </row>
    <row r="270" spans="1:35" s="1028" customFormat="1" ht="33" customHeight="1">
      <c r="A270" s="1014">
        <f>_xlfn.AGGREGATE(4,7,A$12:A269)+1</f>
        <v>258</v>
      </c>
      <c r="B270" s="1015" t="s">
        <v>1554</v>
      </c>
      <c r="C270" s="1033" t="s">
        <v>1818</v>
      </c>
      <c r="D270" s="1074" t="s">
        <v>1570</v>
      </c>
      <c r="E270" s="81" t="str">
        <f>VLOOKUP(B270,TH.Q2!B183:E514,4,FALSE)</f>
        <v>Giảng viên khoa Xây dựng - Nhiệt lạnh</v>
      </c>
      <c r="F270" s="1040">
        <v>3.66</v>
      </c>
      <c r="G270" s="1019"/>
      <c r="H270" s="1255">
        <f t="shared" si="26"/>
        <v>0</v>
      </c>
      <c r="I270" s="1020">
        <v>0.45</v>
      </c>
      <c r="J270" s="1020" t="str">
        <f>VLOOKUP(B270,'[15]Gui chi Quynh'!$B$11:$E$396,4,FALSE)</f>
        <v>A4</v>
      </c>
      <c r="K270" s="1020">
        <f t="shared" si="27"/>
        <v>0.5</v>
      </c>
      <c r="L270" s="1021">
        <v>23</v>
      </c>
      <c r="M270" s="1021">
        <f>VLOOKUP(B270,'[16]CN BC'!$H$10:$J$275,3,FALSE)</f>
        <v>23</v>
      </c>
      <c r="N270" s="1021">
        <f t="shared" ref="N270:N278" si="30">IF(M270&gt;=L270,L270,IF(M270&lt;L270,M270))</f>
        <v>23</v>
      </c>
      <c r="O270" s="1022"/>
      <c r="P270" s="1023">
        <f t="shared" si="29"/>
        <v>4808700</v>
      </c>
      <c r="Q270" s="1371">
        <f t="shared" ref="Q270:Q333" si="31">P270/R270</f>
        <v>2.0550000000000002</v>
      </c>
      <c r="R270" s="1448">
        <v>2340000</v>
      </c>
      <c r="S270" s="1460">
        <f t="shared" ref="S270:S333" si="32">Q270*R270</f>
        <v>4808700</v>
      </c>
      <c r="T270" s="1024">
        <f t="shared" si="28"/>
        <v>258</v>
      </c>
      <c r="U270" s="1025">
        <f>IFERROR(INDEX('[16]CN BC'!$M$10:$M$276,MATCH(B270,'[16]CN BC'!$H$10:$H$276,0)),"")</f>
        <v>0</v>
      </c>
      <c r="V270" s="1011" t="str">
        <f>VLOOKUP(B270,TH.T4!B279:AC609,28,FALSE)</f>
        <v>XD-NL</v>
      </c>
      <c r="W270" s="1012"/>
      <c r="X270" s="1012"/>
      <c r="Y270" s="1027"/>
      <c r="Z270" s="1012"/>
      <c r="AA270" s="1012"/>
      <c r="AB270" s="1012"/>
      <c r="AC270" s="1012"/>
      <c r="AD270" s="1012"/>
      <c r="AE270" s="1012"/>
    </row>
    <row r="271" spans="1:35" s="1028" customFormat="1" ht="33" customHeight="1">
      <c r="A271" s="1014">
        <f>_xlfn.AGGREGATE(4,7,A$12:A270)+1</f>
        <v>259</v>
      </c>
      <c r="B271" s="1015" t="s">
        <v>1920</v>
      </c>
      <c r="C271" s="1033" t="s">
        <v>1819</v>
      </c>
      <c r="D271" s="1034" t="s">
        <v>1414</v>
      </c>
      <c r="E271" s="81" t="str">
        <f>VLOOKUP(B271,TH.Q2!B184:E515,4,FALSE)</f>
        <v>Giảng viên khoa Xây dựng - Nhiệt lạnh</v>
      </c>
      <c r="F271" s="1018">
        <v>4.6500000000000004</v>
      </c>
      <c r="G271" s="1019"/>
      <c r="H271" s="1255">
        <f t="shared" ref="H271:H278" si="33">ROUND(F271*G271,3)</f>
        <v>0</v>
      </c>
      <c r="I271" s="1020">
        <v>0.25</v>
      </c>
      <c r="J271" s="1020" t="str">
        <f>VLOOKUP(B271,'[15]Gui chi Quynh'!$B$11:$E$396,4,FALSE)</f>
        <v>A4</v>
      </c>
      <c r="K271" s="1020">
        <f t="shared" ref="K271:K278" si="34">IF(J271="A1",0.8,IF(J271="A2",0.7,IF(J271="A3",0.6,IF(J271="A4",0.5,IF(J271="B1",0.35,IF(J271="B2",0.25,IF(J271="C1",0.15,IF(J271="C2",0.1,0))))))))</f>
        <v>0.5</v>
      </c>
      <c r="L271" s="1021">
        <v>23</v>
      </c>
      <c r="M271" s="1021">
        <f>VLOOKUP(B271,'[16]CN BC'!$H$10:$J$275,3,FALSE)</f>
        <v>23</v>
      </c>
      <c r="N271" s="1021">
        <f t="shared" si="30"/>
        <v>23</v>
      </c>
      <c r="O271" s="1022"/>
      <c r="P271" s="1023">
        <f t="shared" si="29"/>
        <v>5733000</v>
      </c>
      <c r="Q271" s="1371">
        <f t="shared" si="31"/>
        <v>2.4500000000000002</v>
      </c>
      <c r="R271" s="1448">
        <v>2340000</v>
      </c>
      <c r="S271" s="1460">
        <f t="shared" si="32"/>
        <v>5733000</v>
      </c>
      <c r="T271" s="1024">
        <f t="shared" si="28"/>
        <v>259</v>
      </c>
      <c r="U271" s="1025">
        <f>IFERROR(INDEX('[16]CN BC'!$M$10:$M$276,MATCH(B271,'[16]CN BC'!$H$10:$H$276,0)),"")</f>
        <v>0</v>
      </c>
      <c r="V271" s="1011" t="str">
        <f>VLOOKUP(B271,TH.T4!B280:AC610,28,FALSE)</f>
        <v>XD-NL</v>
      </c>
      <c r="W271" s="1012"/>
      <c r="X271" s="1012"/>
      <c r="Y271" s="1027"/>
      <c r="Z271" s="1012"/>
      <c r="AA271" s="1012"/>
      <c r="AB271" s="1012"/>
      <c r="AC271" s="1012"/>
      <c r="AD271" s="1012"/>
      <c r="AE271" s="1012"/>
    </row>
    <row r="272" spans="1:35" s="1028" customFormat="1" ht="33" customHeight="1">
      <c r="A272" s="1014">
        <f>_xlfn.AGGREGATE(4,7,A$12:A271)+1</f>
        <v>260</v>
      </c>
      <c r="B272" s="1015" t="s">
        <v>1921</v>
      </c>
      <c r="C272" s="1029" t="s">
        <v>1820</v>
      </c>
      <c r="D272" s="1034" t="s">
        <v>1415</v>
      </c>
      <c r="E272" s="81" t="str">
        <f>VLOOKUP(B272,TH.Q2!B185:E516,4,FALSE)</f>
        <v>Giảng viên khoa Xây dựng - Nhiệt lạnh</v>
      </c>
      <c r="F272" s="1018">
        <v>4.6500000000000004</v>
      </c>
      <c r="G272" s="1019"/>
      <c r="H272" s="1255">
        <f t="shared" si="33"/>
        <v>0</v>
      </c>
      <c r="I272" s="1020">
        <v>0.25</v>
      </c>
      <c r="J272" s="1020" t="str">
        <f>VLOOKUP(B272,'[15]Gui chi Quynh'!$B$11:$E$396,4,FALSE)</f>
        <v>A4</v>
      </c>
      <c r="K272" s="1020">
        <f t="shared" si="34"/>
        <v>0.5</v>
      </c>
      <c r="L272" s="1021">
        <v>23</v>
      </c>
      <c r="M272" s="1021">
        <f>VLOOKUP(B272,'[16]CN BC'!$H$10:$J$275,3,FALSE)</f>
        <v>23</v>
      </c>
      <c r="N272" s="1021">
        <f t="shared" si="30"/>
        <v>23</v>
      </c>
      <c r="O272" s="1022"/>
      <c r="P272" s="1023">
        <f t="shared" si="29"/>
        <v>5733000</v>
      </c>
      <c r="Q272" s="1371">
        <f t="shared" si="31"/>
        <v>2.4500000000000002</v>
      </c>
      <c r="R272" s="1448">
        <v>2340000</v>
      </c>
      <c r="S272" s="1460">
        <f t="shared" si="32"/>
        <v>5733000</v>
      </c>
      <c r="T272" s="1024">
        <f t="shared" si="28"/>
        <v>260</v>
      </c>
      <c r="U272" s="1025">
        <f>IFERROR(INDEX('[16]CN BC'!$M$10:$M$276,MATCH(B272,'[16]CN BC'!$H$10:$H$276,0)),"")</f>
        <v>0</v>
      </c>
      <c r="V272" s="1011" t="str">
        <f>VLOOKUP(B272,TH.T4!B281:AC611,28,FALSE)</f>
        <v>XD-NL</v>
      </c>
      <c r="W272" s="1012"/>
      <c r="X272" s="1012"/>
      <c r="Y272" s="1027"/>
      <c r="Z272" s="1012"/>
      <c r="AA272" s="1012"/>
      <c r="AB272" s="1012"/>
      <c r="AC272" s="1012"/>
      <c r="AD272" s="1012"/>
      <c r="AE272" s="1012"/>
      <c r="AF272" s="1012"/>
      <c r="AG272" s="1012"/>
      <c r="AH272" s="1012"/>
      <c r="AI272" s="1012"/>
    </row>
    <row r="273" spans="1:35" s="1028" customFormat="1" ht="33" customHeight="1">
      <c r="A273" s="1014">
        <f>_xlfn.AGGREGATE(4,7,A$12:A272)+1</f>
        <v>261</v>
      </c>
      <c r="B273" s="1015" t="s">
        <v>1922</v>
      </c>
      <c r="C273" s="1033" t="s">
        <v>1821</v>
      </c>
      <c r="D273" s="1034" t="s">
        <v>392</v>
      </c>
      <c r="E273" s="81" t="str">
        <f>VLOOKUP(B273,TH.Q2!B186:E517,4,FALSE)</f>
        <v>Giảng viên khoa Xây dựng - Nhiệt lạnh</v>
      </c>
      <c r="F273" s="1040">
        <v>3.66</v>
      </c>
      <c r="G273" s="1019"/>
      <c r="H273" s="1248">
        <f t="shared" si="33"/>
        <v>0</v>
      </c>
      <c r="I273" s="1020"/>
      <c r="J273" s="1020" t="str">
        <f>VLOOKUP(B273,'[15]Gui chi Quynh'!$B$11:$E$396,4,FALSE)</f>
        <v>A4</v>
      </c>
      <c r="K273" s="1020">
        <f t="shared" si="34"/>
        <v>0.5</v>
      </c>
      <c r="L273" s="1021">
        <v>23</v>
      </c>
      <c r="M273" s="1021">
        <f>VLOOKUP(B273,'[16]CN BC'!$H$10:$J$275,3,FALSE)</f>
        <v>23</v>
      </c>
      <c r="N273" s="1021">
        <f t="shared" si="30"/>
        <v>23</v>
      </c>
      <c r="O273" s="1022"/>
      <c r="P273" s="1023">
        <f t="shared" si="29"/>
        <v>4282200</v>
      </c>
      <c r="Q273" s="1371">
        <f t="shared" si="31"/>
        <v>1.83</v>
      </c>
      <c r="R273" s="1448">
        <v>2340000</v>
      </c>
      <c r="S273" s="1460">
        <f t="shared" si="32"/>
        <v>4282200</v>
      </c>
      <c r="T273" s="1024">
        <f t="shared" si="28"/>
        <v>261</v>
      </c>
      <c r="U273" s="1025">
        <f>IFERROR(INDEX('[16]CN BC'!$M$10:$M$276,MATCH(B273,'[16]CN BC'!$H$10:$H$276,0)),"")</f>
        <v>0</v>
      </c>
      <c r="V273" s="1011" t="str">
        <f>VLOOKUP(B273,TH.T4!B282:AC612,28,FALSE)</f>
        <v>XD-NL</v>
      </c>
      <c r="Y273" s="1038"/>
    </row>
    <row r="274" spans="1:35" s="1028" customFormat="1" ht="33" customHeight="1">
      <c r="A274" s="1014">
        <f>_xlfn.AGGREGATE(4,7,A$12:A273)+1</f>
        <v>262</v>
      </c>
      <c r="B274" s="1015" t="s">
        <v>1923</v>
      </c>
      <c r="C274" s="1033" t="s">
        <v>1822</v>
      </c>
      <c r="D274" s="1047" t="s">
        <v>511</v>
      </c>
      <c r="E274" s="81" t="str">
        <f>VLOOKUP(B274,TH.Q2!B187:E518,4,FALSE)</f>
        <v>Giảng viên khoa Xây dựng - Nhiệt lạnh</v>
      </c>
      <c r="F274" s="1040">
        <v>3.66</v>
      </c>
      <c r="G274" s="1019"/>
      <c r="H274" s="1248">
        <f t="shared" si="33"/>
        <v>0</v>
      </c>
      <c r="I274" s="1020"/>
      <c r="J274" s="1020" t="str">
        <f>VLOOKUP(B274,'[15]Gui chi Quynh'!$B$11:$E$396,4,FALSE)</f>
        <v>A4</v>
      </c>
      <c r="K274" s="1020">
        <f t="shared" si="34"/>
        <v>0.5</v>
      </c>
      <c r="L274" s="1021">
        <v>23</v>
      </c>
      <c r="M274" s="1021">
        <f>VLOOKUP(B274,'[16]CN BC'!$H$10:$J$275,3,FALSE)</f>
        <v>23</v>
      </c>
      <c r="N274" s="1021">
        <f t="shared" si="30"/>
        <v>23</v>
      </c>
      <c r="O274" s="1022"/>
      <c r="P274" s="1023">
        <f t="shared" si="29"/>
        <v>4282200</v>
      </c>
      <c r="Q274" s="1371">
        <f t="shared" si="31"/>
        <v>1.83</v>
      </c>
      <c r="R274" s="1448">
        <v>2340000</v>
      </c>
      <c r="S274" s="1460">
        <f t="shared" si="32"/>
        <v>4282200</v>
      </c>
      <c r="T274" s="1024">
        <f t="shared" si="28"/>
        <v>262</v>
      </c>
      <c r="U274" s="1025">
        <f>IFERROR(INDEX('[16]CN BC'!$M$10:$M$276,MATCH(B274,'[16]CN BC'!$H$10:$H$276,0)),"")</f>
        <v>0</v>
      </c>
      <c r="V274" s="1011" t="str">
        <f>VLOOKUP(B274,TH.T4!B283:AC613,28,FALSE)</f>
        <v>XD-NL</v>
      </c>
      <c r="W274" s="1012"/>
      <c r="X274" s="1012"/>
      <c r="Y274" s="1038"/>
    </row>
    <row r="275" spans="1:35" s="1028" customFormat="1" ht="33" customHeight="1">
      <c r="A275" s="1014">
        <f>_xlfn.AGGREGATE(4,7,A$12:A274)+1</f>
        <v>263</v>
      </c>
      <c r="B275" s="1015" t="s">
        <v>1552</v>
      </c>
      <c r="C275" s="1033" t="s">
        <v>1823</v>
      </c>
      <c r="D275" s="1034" t="s">
        <v>1418</v>
      </c>
      <c r="E275" s="81" t="str">
        <f>VLOOKUP(B275,TH.Q2!B188:E519,4,FALSE)</f>
        <v>Giảng viên khoa Xây dựng - Nhiệt lạnh</v>
      </c>
      <c r="F275" s="1018">
        <v>4.32</v>
      </c>
      <c r="G275" s="1019"/>
      <c r="H275" s="1248">
        <f t="shared" si="33"/>
        <v>0</v>
      </c>
      <c r="I275" s="1020"/>
      <c r="J275" s="1020" t="str">
        <f>VLOOKUP(B275,'[15]Gui chi Quynh'!$B$11:$E$396,4,FALSE)</f>
        <v>A4</v>
      </c>
      <c r="K275" s="1020">
        <f t="shared" si="34"/>
        <v>0.5</v>
      </c>
      <c r="L275" s="1021">
        <v>23</v>
      </c>
      <c r="M275" s="1021">
        <f>VLOOKUP(B275,'[16]CN BC'!$H$10:$J$275,3,FALSE)</f>
        <v>23</v>
      </c>
      <c r="N275" s="1021">
        <f t="shared" si="30"/>
        <v>23</v>
      </c>
      <c r="O275" s="1022"/>
      <c r="P275" s="1023">
        <f t="shared" si="29"/>
        <v>5054400</v>
      </c>
      <c r="Q275" s="1371">
        <f t="shared" si="31"/>
        <v>2.16</v>
      </c>
      <c r="R275" s="1448">
        <v>2340000</v>
      </c>
      <c r="S275" s="1460">
        <f t="shared" si="32"/>
        <v>5054400</v>
      </c>
      <c r="T275" s="1024">
        <f t="shared" si="28"/>
        <v>263</v>
      </c>
      <c r="U275" s="1025">
        <f>IFERROR(INDEX('[16]CN BC'!$M$10:$M$276,MATCH(B275,'[16]CN BC'!$H$10:$H$276,0)),"")</f>
        <v>0</v>
      </c>
      <c r="V275" s="1011" t="str">
        <f>VLOOKUP(B275,TH.T4!B284:AC614,28,FALSE)</f>
        <v>XD-NL</v>
      </c>
      <c r="W275" s="1012"/>
      <c r="X275" s="1012"/>
      <c r="Y275" s="1038"/>
    </row>
    <row r="276" spans="1:35" s="1028" customFormat="1" ht="33" customHeight="1">
      <c r="A276" s="1014">
        <f>_xlfn.AGGREGATE(4,7,A$12:A275)+1</f>
        <v>264</v>
      </c>
      <c r="B276" s="1015" t="s">
        <v>1940</v>
      </c>
      <c r="C276" s="1033" t="s">
        <v>1991</v>
      </c>
      <c r="D276" s="1034" t="s">
        <v>1992</v>
      </c>
      <c r="E276" s="81" t="str">
        <f>VLOOKUP(B276,TH.Q2!B189:E520,4,FALSE)</f>
        <v>Giảng viên khoa Xây dựng - Nhiệt lạnh</v>
      </c>
      <c r="F276" s="1040">
        <v>3.33</v>
      </c>
      <c r="G276" s="1019"/>
      <c r="H276" s="1248">
        <f t="shared" si="33"/>
        <v>0</v>
      </c>
      <c r="I276" s="1020"/>
      <c r="J276" s="1020" t="str">
        <f>VLOOKUP(B276,'[15]Gui chi Quynh'!$B$11:$E$396,4,FALSE)</f>
        <v>A3</v>
      </c>
      <c r="K276" s="1020">
        <f t="shared" si="34"/>
        <v>0.6</v>
      </c>
      <c r="L276" s="1021">
        <v>23</v>
      </c>
      <c r="M276" s="1021">
        <f>VLOOKUP(B276,'[16]CN BC'!$H$10:$J$275,3,FALSE)</f>
        <v>23</v>
      </c>
      <c r="N276" s="1021">
        <f t="shared" si="30"/>
        <v>23</v>
      </c>
      <c r="O276" s="1022"/>
      <c r="P276" s="1023">
        <f t="shared" si="29"/>
        <v>4675320</v>
      </c>
      <c r="Q276" s="1371">
        <f t="shared" si="31"/>
        <v>1.998</v>
      </c>
      <c r="R276" s="1448">
        <v>2340000</v>
      </c>
      <c r="S276" s="1460">
        <f t="shared" si="32"/>
        <v>4675320</v>
      </c>
      <c r="T276" s="1024">
        <f t="shared" si="28"/>
        <v>264</v>
      </c>
      <c r="U276" s="1025">
        <f>IFERROR(INDEX('[16]CN BC'!$M$10:$M$276,MATCH(B276,'[16]CN BC'!$H$10:$H$276,0)),"")</f>
        <v>0</v>
      </c>
      <c r="V276" s="1011" t="str">
        <f>VLOOKUP(B276,TH.T4!B285:AC615,28,FALSE)</f>
        <v>XD-NL</v>
      </c>
      <c r="W276" s="1012"/>
      <c r="X276" s="1012"/>
      <c r="Y276" s="1027"/>
      <c r="Z276" s="1012"/>
      <c r="AA276" s="1012"/>
      <c r="AB276" s="1012"/>
      <c r="AC276" s="1012"/>
      <c r="AD276" s="1012"/>
      <c r="AE276" s="1012"/>
    </row>
    <row r="277" spans="1:35" s="1012" customFormat="1" ht="33" customHeight="1">
      <c r="A277" s="1014">
        <f>_xlfn.AGGREGATE(4,7,A$12:A276)+1</f>
        <v>265</v>
      </c>
      <c r="B277" s="1050" t="s">
        <v>1553</v>
      </c>
      <c r="C277" s="1029" t="s">
        <v>1824</v>
      </c>
      <c r="D277" s="1111">
        <v>1603205246186</v>
      </c>
      <c r="E277" s="81" t="str">
        <f>VLOOKUP(B277,TH.Q2!B190:E521,4,FALSE)</f>
        <v>Giảng viên khoa Xây dựng - Nhiệt lạnh</v>
      </c>
      <c r="F277" s="1018">
        <v>4.9800000000000004</v>
      </c>
      <c r="G277" s="1019">
        <v>0.05</v>
      </c>
      <c r="H277" s="1248">
        <f t="shared" si="33"/>
        <v>0.249</v>
      </c>
      <c r="I277" s="1020"/>
      <c r="J277" s="1020" t="str">
        <f>VLOOKUP(B277,'[15]Gui chi Quynh'!$B$11:$E$396,4,FALSE)</f>
        <v>A4</v>
      </c>
      <c r="K277" s="1020">
        <f t="shared" si="34"/>
        <v>0.5</v>
      </c>
      <c r="L277" s="1021">
        <v>23</v>
      </c>
      <c r="M277" s="1021">
        <f>VLOOKUP(B277,'[16]CN BC'!$H$10:$J$275,3,FALSE)</f>
        <v>23</v>
      </c>
      <c r="N277" s="1021">
        <f t="shared" si="30"/>
        <v>23</v>
      </c>
      <c r="O277" s="1022"/>
      <c r="P277" s="1023">
        <f t="shared" si="29"/>
        <v>6117930</v>
      </c>
      <c r="Q277" s="1371">
        <f t="shared" si="31"/>
        <v>2.6145</v>
      </c>
      <c r="R277" s="1448">
        <v>2340000</v>
      </c>
      <c r="S277" s="1460">
        <f t="shared" si="32"/>
        <v>6117930</v>
      </c>
      <c r="T277" s="1024">
        <f t="shared" si="28"/>
        <v>265</v>
      </c>
      <c r="U277" s="1025">
        <f>IFERROR(INDEX('[16]CN BC'!$M$10:$M$276,MATCH(B277,'[16]CN BC'!$H$10:$H$276,0)),"")</f>
        <v>0</v>
      </c>
      <c r="V277" s="1011" t="str">
        <f>VLOOKUP(B277,TH.T4!B286:AC616,28,FALSE)</f>
        <v>XD-NL</v>
      </c>
      <c r="Y277" s="1027"/>
    </row>
    <row r="278" spans="1:35" s="1028" customFormat="1" ht="33" customHeight="1">
      <c r="A278" s="1014">
        <f>_xlfn.AGGREGATE(4,7,A$12:A277)+1</f>
        <v>266</v>
      </c>
      <c r="B278" s="1015" t="s">
        <v>1560</v>
      </c>
      <c r="C278" s="1112" t="s">
        <v>1825</v>
      </c>
      <c r="D278" s="1113">
        <v>1603215002692</v>
      </c>
      <c r="E278" s="81" t="str">
        <f>VLOOKUP(B278,TH.Q2!B191:E522,4,FALSE)</f>
        <v>Phó Trưởng khoa Xây dựng - Nhiệt lạnh</v>
      </c>
      <c r="F278" s="1211">
        <v>3.33</v>
      </c>
      <c r="G278" s="1209"/>
      <c r="H278" s="1257">
        <f t="shared" si="33"/>
        <v>0</v>
      </c>
      <c r="I278" s="1020">
        <v>0.35</v>
      </c>
      <c r="J278" s="1020" t="str">
        <f>VLOOKUP(B278,'[15]Gui chi Quynh'!$B$11:$E$396,4,FALSE)</f>
        <v>A2</v>
      </c>
      <c r="K278" s="1020">
        <f t="shared" si="34"/>
        <v>0.7</v>
      </c>
      <c r="L278" s="1021">
        <v>23</v>
      </c>
      <c r="M278" s="1021">
        <f>VLOOKUP(B278,'[16]CN BC'!$H$10:$J$275,3,FALSE)</f>
        <v>23</v>
      </c>
      <c r="N278" s="1021">
        <f t="shared" si="30"/>
        <v>23</v>
      </c>
      <c r="O278" s="1022"/>
      <c r="P278" s="1023">
        <f t="shared" si="29"/>
        <v>6027840</v>
      </c>
      <c r="Q278" s="1371">
        <f t="shared" si="31"/>
        <v>2.5760000000000001</v>
      </c>
      <c r="R278" s="1448">
        <v>2340000</v>
      </c>
      <c r="S278" s="1460">
        <f t="shared" si="32"/>
        <v>6027840</v>
      </c>
      <c r="T278" s="1024">
        <f t="shared" si="28"/>
        <v>266</v>
      </c>
      <c r="U278" s="1025">
        <f>IFERROR(INDEX('[16]CN BC'!$M$10:$M$276,MATCH(B278,'[16]CN BC'!$H$10:$H$276,0)),"")</f>
        <v>0</v>
      </c>
      <c r="V278" s="1011" t="str">
        <f>VLOOKUP(B278,TH.T4!B287:AC617,28,FALSE)</f>
        <v>XD-NL</v>
      </c>
      <c r="W278" s="1012"/>
      <c r="X278" s="1012"/>
      <c r="Y278" s="1027"/>
      <c r="Z278" s="1012"/>
      <c r="AA278" s="1012"/>
      <c r="AB278" s="1012"/>
      <c r="AC278" s="1012"/>
      <c r="AD278" s="1012"/>
      <c r="AE278" s="1012"/>
      <c r="AF278" s="1012"/>
      <c r="AG278" s="1012"/>
      <c r="AH278" s="1012"/>
      <c r="AI278" s="1012"/>
    </row>
    <row r="279" spans="1:35" s="1028" customFormat="1" ht="33" customHeight="1">
      <c r="A279" s="1014">
        <f>_xlfn.AGGREGATE(4,7,A$12:A278)+1</f>
        <v>267</v>
      </c>
      <c r="B279" s="1330" t="s">
        <v>2029</v>
      </c>
      <c r="C279" s="1349"/>
      <c r="D279" s="1350"/>
      <c r="E279" s="81" t="str">
        <f>VLOOKUP(B279,TH.Q2!B192:E523,4,FALSE)</f>
        <v xml:space="preserve">NV Bảo vệ </v>
      </c>
      <c r="F279" s="1355"/>
      <c r="G279" s="1352"/>
      <c r="H279" s="1356"/>
      <c r="I279" s="1357"/>
      <c r="J279" s="1357"/>
      <c r="K279" s="1357"/>
      <c r="L279" s="1358"/>
      <c r="M279" s="1358"/>
      <c r="N279" s="1358"/>
      <c r="O279" s="1359"/>
      <c r="P279" s="1023">
        <f>VLOOKUP(B279,'111'!B13:V73,21,FALSE)</f>
        <v>2564863</v>
      </c>
      <c r="Q279" s="1371">
        <f t="shared" si="31"/>
        <v>1.0960952991452992</v>
      </c>
      <c r="R279" s="1448">
        <v>2340000</v>
      </c>
      <c r="S279" s="1460">
        <f t="shared" si="32"/>
        <v>2564863</v>
      </c>
      <c r="T279" s="1024">
        <f t="shared" si="28"/>
        <v>267</v>
      </c>
      <c r="U279" s="1025">
        <f>VLOOKUP(B279,'[16]CN HĐ'!$H$10:$M$73,6,FALSE)</f>
        <v>0</v>
      </c>
      <c r="V279" s="1011"/>
      <c r="W279" s="1012"/>
      <c r="X279" s="1012"/>
      <c r="Y279" s="1027"/>
      <c r="Z279" s="1012"/>
      <c r="AA279" s="1012"/>
      <c r="AB279" s="1012"/>
      <c r="AC279" s="1012"/>
      <c r="AD279" s="1012"/>
      <c r="AE279" s="1012"/>
      <c r="AF279" s="1012"/>
      <c r="AG279" s="1012"/>
      <c r="AH279" s="1012"/>
      <c r="AI279" s="1012"/>
    </row>
    <row r="280" spans="1:35" s="1028" customFormat="1" ht="33" customHeight="1">
      <c r="A280" s="1014">
        <f>_xlfn.AGGREGATE(4,7,A$12:A279)+1</f>
        <v>268</v>
      </c>
      <c r="B280" s="1330" t="s">
        <v>2035</v>
      </c>
      <c r="C280" s="1349"/>
      <c r="D280" s="1350"/>
      <c r="E280" s="81" t="str">
        <f>VLOOKUP(B280,TH.Q2!B193:E524,4,FALSE)</f>
        <v>NV Bảo vệ</v>
      </c>
      <c r="F280" s="1355"/>
      <c r="G280" s="1352"/>
      <c r="H280" s="1356"/>
      <c r="I280" s="1357"/>
      <c r="J280" s="1357"/>
      <c r="K280" s="1357"/>
      <c r="L280" s="1358"/>
      <c r="M280" s="1358"/>
      <c r="N280" s="1358"/>
      <c r="O280" s="1359"/>
      <c r="P280" s="1023">
        <f>VLOOKUP(B280,'111'!B14:V74,21,FALSE)</f>
        <v>1913940</v>
      </c>
      <c r="Q280" s="1371">
        <f t="shared" si="31"/>
        <v>0.81792307692307697</v>
      </c>
      <c r="R280" s="1448">
        <v>2340000</v>
      </c>
      <c r="S280" s="1460">
        <f t="shared" si="32"/>
        <v>1913940.0000000002</v>
      </c>
      <c r="T280" s="1024">
        <f t="shared" si="28"/>
        <v>268</v>
      </c>
      <c r="U280" s="1025" t="str">
        <f>VLOOKUP(B280,'[16]CN HĐ'!$H$10:$M$73,6,FALSE)</f>
        <v>Trừ 1 ngày nghỉ phép 16/10</v>
      </c>
      <c r="V280" s="1011"/>
      <c r="W280" s="1012"/>
      <c r="X280" s="1012"/>
      <c r="Y280" s="1027"/>
      <c r="Z280" s="1012"/>
      <c r="AA280" s="1012"/>
      <c r="AB280" s="1012"/>
      <c r="AC280" s="1012"/>
      <c r="AD280" s="1012"/>
      <c r="AE280" s="1012"/>
      <c r="AF280" s="1012"/>
      <c r="AG280" s="1012"/>
      <c r="AH280" s="1012"/>
      <c r="AI280" s="1012"/>
    </row>
    <row r="281" spans="1:35" s="1028" customFormat="1" ht="33" customHeight="1">
      <c r="A281" s="1014">
        <f>_xlfn.AGGREGATE(4,7,A$12:A280)+1</f>
        <v>269</v>
      </c>
      <c r="B281" s="1330" t="s">
        <v>2037</v>
      </c>
      <c r="C281" s="1349"/>
      <c r="D281" s="1350"/>
      <c r="E281" s="81" t="str">
        <f>VLOOKUP(B281,TH.Q2!B194:E525,4,FALSE)</f>
        <v>NV Bảo vệ</v>
      </c>
      <c r="F281" s="1355"/>
      <c r="G281" s="1352"/>
      <c r="H281" s="1356"/>
      <c r="I281" s="1357"/>
      <c r="J281" s="1357"/>
      <c r="K281" s="1357"/>
      <c r="L281" s="1358"/>
      <c r="M281" s="1358"/>
      <c r="N281" s="1358"/>
      <c r="O281" s="1359"/>
      <c r="P281" s="1023">
        <f>VLOOKUP(B281,'111'!B15:V75,21,FALSE)</f>
        <v>5312507</v>
      </c>
      <c r="Q281" s="1371">
        <f t="shared" si="31"/>
        <v>2.2703021367521368</v>
      </c>
      <c r="R281" s="1448">
        <v>2340000</v>
      </c>
      <c r="S281" s="1460">
        <f t="shared" si="32"/>
        <v>5312507</v>
      </c>
      <c r="T281" s="1024">
        <f t="shared" si="28"/>
        <v>269</v>
      </c>
      <c r="U281" s="1025">
        <f>VLOOKUP(B281,'[16]CN HĐ'!$H$10:$M$73,6,FALSE)</f>
        <v>0</v>
      </c>
      <c r="V281" s="1011"/>
      <c r="W281" s="1012"/>
      <c r="X281" s="1012"/>
      <c r="Y281" s="1027"/>
      <c r="Z281" s="1012"/>
      <c r="AA281" s="1012"/>
      <c r="AB281" s="1012"/>
      <c r="AC281" s="1012"/>
      <c r="AD281" s="1012"/>
      <c r="AE281" s="1012"/>
      <c r="AF281" s="1012"/>
      <c r="AG281" s="1012"/>
      <c r="AH281" s="1012"/>
      <c r="AI281" s="1012"/>
    </row>
    <row r="282" spans="1:35" s="1028" customFormat="1" ht="33" customHeight="1">
      <c r="A282" s="1014">
        <f>_xlfn.AGGREGATE(4,7,A$12:A281)+1</f>
        <v>270</v>
      </c>
      <c r="B282" s="1330" t="s">
        <v>2039</v>
      </c>
      <c r="C282" s="1349"/>
      <c r="D282" s="1350"/>
      <c r="E282" s="81" t="str">
        <f>VLOOKUP(B282,TH.Q2!B195:E526,4,FALSE)</f>
        <v xml:space="preserve">NV Bảo vệ </v>
      </c>
      <c r="F282" s="1355"/>
      <c r="G282" s="1352"/>
      <c r="H282" s="1356"/>
      <c r="I282" s="1357"/>
      <c r="J282" s="1357"/>
      <c r="K282" s="1357"/>
      <c r="L282" s="1358"/>
      <c r="M282" s="1358"/>
      <c r="N282" s="1358"/>
      <c r="O282" s="1359"/>
      <c r="P282" s="1023">
        <f>VLOOKUP(B282,'111'!B15:V76,21,FALSE)</f>
        <v>2693106</v>
      </c>
      <c r="Q282" s="1371">
        <f t="shared" si="31"/>
        <v>1.1509</v>
      </c>
      <c r="R282" s="1448">
        <v>2340000</v>
      </c>
      <c r="S282" s="1460">
        <f t="shared" si="32"/>
        <v>2693106</v>
      </c>
      <c r="T282" s="1024">
        <f t="shared" ref="T282:T342" si="35">A282</f>
        <v>270</v>
      </c>
      <c r="U282" s="1025">
        <f>VLOOKUP(B282,'[16]CN HĐ'!$H$10:$M$73,6,FALSE)</f>
        <v>0</v>
      </c>
      <c r="V282" s="1011"/>
      <c r="W282" s="1012"/>
      <c r="X282" s="1012"/>
      <c r="Y282" s="1027"/>
      <c r="Z282" s="1012"/>
      <c r="AA282" s="1012"/>
      <c r="AB282" s="1012"/>
      <c r="AC282" s="1012"/>
      <c r="AD282" s="1012"/>
      <c r="AE282" s="1012"/>
      <c r="AF282" s="1012"/>
      <c r="AG282" s="1012"/>
      <c r="AH282" s="1012"/>
      <c r="AI282" s="1012"/>
    </row>
    <row r="283" spans="1:35" s="1028" customFormat="1" ht="33" customHeight="1">
      <c r="A283" s="1014">
        <f>_xlfn.AGGREGATE(4,7,A$12:A282)+1</f>
        <v>271</v>
      </c>
      <c r="B283" s="1330" t="s">
        <v>2041</v>
      </c>
      <c r="C283" s="1349"/>
      <c r="D283" s="1350"/>
      <c r="E283" s="81" t="str">
        <f>VLOOKUP(B283,TH.Q2!B196:E527,4,FALSE)</f>
        <v>Nhân viên bảo vệ</v>
      </c>
      <c r="F283" s="1355"/>
      <c r="G283" s="1352"/>
      <c r="H283" s="1356"/>
      <c r="I283" s="1357"/>
      <c r="J283" s="1357"/>
      <c r="K283" s="1357"/>
      <c r="L283" s="1358"/>
      <c r="M283" s="1358"/>
      <c r="N283" s="1358"/>
      <c r="O283" s="1359"/>
      <c r="P283" s="1023" t="e">
        <f>VLOOKUP(B283,'111'!B16:V77,21,FALSE)</f>
        <v>#N/A</v>
      </c>
      <c r="Q283" s="1371" t="e">
        <f t="shared" si="31"/>
        <v>#N/A</v>
      </c>
      <c r="R283" s="1448">
        <v>2340000</v>
      </c>
      <c r="S283" s="1460" t="e">
        <f t="shared" si="32"/>
        <v>#N/A</v>
      </c>
      <c r="T283" s="1024">
        <f t="shared" si="35"/>
        <v>271</v>
      </c>
      <c r="U283" s="1025">
        <f>VLOOKUP(B283,'[16]CN HĐ'!$H$10:$M$73,6,FALSE)</f>
        <v>0</v>
      </c>
      <c r="V283" s="1011"/>
      <c r="W283" s="1012"/>
      <c r="X283" s="1012"/>
      <c r="Y283" s="1027"/>
      <c r="Z283" s="1012"/>
      <c r="AA283" s="1012"/>
      <c r="AB283" s="1012"/>
      <c r="AC283" s="1012"/>
      <c r="AD283" s="1012"/>
      <c r="AE283" s="1012"/>
      <c r="AF283" s="1012"/>
      <c r="AG283" s="1012"/>
      <c r="AH283" s="1012"/>
      <c r="AI283" s="1012"/>
    </row>
    <row r="284" spans="1:35" s="1028" customFormat="1" ht="33" customHeight="1">
      <c r="A284" s="1014">
        <f>_xlfn.AGGREGATE(4,7,A$12:A283)+1</f>
        <v>272</v>
      </c>
      <c r="B284" s="1330" t="s">
        <v>2043</v>
      </c>
      <c r="C284" s="1349"/>
      <c r="D284" s="1350"/>
      <c r="E284" s="81" t="str">
        <f>VLOOKUP(B284,TH.Q2!B197:E528,4,FALSE)</f>
        <v xml:space="preserve">NV Bảo vệ </v>
      </c>
      <c r="F284" s="1355"/>
      <c r="G284" s="1352"/>
      <c r="H284" s="1356"/>
      <c r="I284" s="1357"/>
      <c r="J284" s="1357"/>
      <c r="K284" s="1357"/>
      <c r="L284" s="1358"/>
      <c r="M284" s="1358"/>
      <c r="N284" s="1358"/>
      <c r="O284" s="1359"/>
      <c r="P284" s="1023">
        <f>VLOOKUP(B284,'111'!B16:V78,21,FALSE)</f>
        <v>2598005</v>
      </c>
      <c r="Q284" s="1371">
        <f t="shared" si="31"/>
        <v>1.1102585470085471</v>
      </c>
      <c r="R284" s="1448">
        <v>2340000</v>
      </c>
      <c r="S284" s="1460">
        <f t="shared" si="32"/>
        <v>2598005</v>
      </c>
      <c r="T284" s="1024">
        <f t="shared" si="35"/>
        <v>272</v>
      </c>
      <c r="U284" s="1025" t="str">
        <f>VLOOKUP(B284,'[16]CN HĐ'!$H$10:$M$73,6,FALSE)</f>
        <v>Trừ 1 ngày nghỉ phép 5/10</v>
      </c>
      <c r="V284" s="1011"/>
      <c r="W284" s="1012"/>
      <c r="X284" s="1012"/>
      <c r="Y284" s="1027"/>
      <c r="Z284" s="1012"/>
      <c r="AA284" s="1012"/>
      <c r="AB284" s="1012"/>
      <c r="AC284" s="1012"/>
      <c r="AD284" s="1012"/>
      <c r="AE284" s="1012"/>
      <c r="AF284" s="1012"/>
      <c r="AG284" s="1012"/>
      <c r="AH284" s="1012"/>
      <c r="AI284" s="1012"/>
    </row>
    <row r="285" spans="1:35" s="1028" customFormat="1" ht="33" customHeight="1">
      <c r="A285" s="1014">
        <f>_xlfn.AGGREGATE(4,7,A$12:A284)+1</f>
        <v>273</v>
      </c>
      <c r="B285" s="1330" t="s">
        <v>2046</v>
      </c>
      <c r="C285" s="1349"/>
      <c r="D285" s="1350"/>
      <c r="E285" s="81" t="str">
        <f>VLOOKUP(B285,TH.Q2!B198:E529,4,FALSE)</f>
        <v>NV Bảo vệ</v>
      </c>
      <c r="F285" s="1355"/>
      <c r="G285" s="1352"/>
      <c r="H285" s="1356"/>
      <c r="I285" s="1357"/>
      <c r="J285" s="1357"/>
      <c r="K285" s="1357"/>
      <c r="L285" s="1358"/>
      <c r="M285" s="1358"/>
      <c r="N285" s="1358"/>
      <c r="O285" s="1359"/>
      <c r="P285" s="1023">
        <f>VLOOKUP(B285,'111'!B17:V78,21,FALSE)</f>
        <v>2791687</v>
      </c>
      <c r="Q285" s="1371">
        <f t="shared" si="31"/>
        <v>1.1930286324786326</v>
      </c>
      <c r="R285" s="1448">
        <v>2340000</v>
      </c>
      <c r="S285" s="1460">
        <f t="shared" si="32"/>
        <v>2791687</v>
      </c>
      <c r="T285" s="1024">
        <f t="shared" si="35"/>
        <v>273</v>
      </c>
      <c r="U285" s="1025">
        <f>VLOOKUP(B285,'[16]CN HĐ'!$H$10:$M$73,6,FALSE)</f>
        <v>0</v>
      </c>
      <c r="V285" s="1011"/>
      <c r="W285" s="1012"/>
      <c r="X285" s="1012"/>
      <c r="Y285" s="1027"/>
      <c r="Z285" s="1012"/>
      <c r="AA285" s="1012"/>
      <c r="AB285" s="1012"/>
      <c r="AC285" s="1012"/>
      <c r="AD285" s="1012"/>
      <c r="AE285" s="1012"/>
      <c r="AF285" s="1012"/>
      <c r="AG285" s="1012"/>
      <c r="AH285" s="1012"/>
      <c r="AI285" s="1012"/>
    </row>
    <row r="286" spans="1:35" s="1028" customFormat="1" ht="33" customHeight="1">
      <c r="A286" s="1014">
        <f>_xlfn.AGGREGATE(4,7,A$12:A285)+1</f>
        <v>274</v>
      </c>
      <c r="B286" s="1330" t="s">
        <v>2049</v>
      </c>
      <c r="C286" s="1349"/>
      <c r="D286" s="1350"/>
      <c r="E286" s="81" t="str">
        <f>VLOOKUP(B286,TH.Q2!B199:E530,4,FALSE)</f>
        <v>NV Bảo vệ</v>
      </c>
      <c r="F286" s="1355"/>
      <c r="G286" s="1352"/>
      <c r="H286" s="1356"/>
      <c r="I286" s="1357"/>
      <c r="J286" s="1357"/>
      <c r="K286" s="1357"/>
      <c r="L286" s="1358"/>
      <c r="M286" s="1358"/>
      <c r="N286" s="1358"/>
      <c r="O286" s="1359"/>
      <c r="P286" s="1023">
        <f>VLOOKUP(B286,'111'!B18:V79,21,FALSE)</f>
        <v>2658750</v>
      </c>
      <c r="Q286" s="1371">
        <f t="shared" si="31"/>
        <v>1.1362179487179487</v>
      </c>
      <c r="R286" s="1448">
        <v>2340000</v>
      </c>
      <c r="S286" s="1460">
        <f t="shared" si="32"/>
        <v>2658750</v>
      </c>
      <c r="T286" s="1024">
        <f t="shared" si="35"/>
        <v>274</v>
      </c>
      <c r="U286" s="1025">
        <f>VLOOKUP(B286,'[16]CN HĐ'!$H$10:$M$73,6,FALSE)</f>
        <v>0</v>
      </c>
      <c r="V286" s="1011"/>
      <c r="W286" s="1012"/>
      <c r="X286" s="1012"/>
      <c r="Y286" s="1027"/>
      <c r="Z286" s="1012"/>
      <c r="AA286" s="1012"/>
      <c r="AB286" s="1012"/>
      <c r="AC286" s="1012"/>
      <c r="AD286" s="1012"/>
      <c r="AE286" s="1012"/>
      <c r="AF286" s="1012"/>
      <c r="AG286" s="1012"/>
      <c r="AH286" s="1012"/>
      <c r="AI286" s="1012"/>
    </row>
    <row r="287" spans="1:35" s="1028" customFormat="1" ht="33" customHeight="1">
      <c r="A287" s="1014">
        <f>_xlfn.AGGREGATE(4,7,A$12:A286)+1</f>
        <v>275</v>
      </c>
      <c r="B287" s="1330" t="s">
        <v>2052</v>
      </c>
      <c r="C287" s="1349"/>
      <c r="D287" s="1350"/>
      <c r="E287" s="81" t="str">
        <f>VLOOKUP(B287,TH.Q2!B200:E531,4,FALSE)</f>
        <v>NV Bảo vệ</v>
      </c>
      <c r="F287" s="1355"/>
      <c r="G287" s="1352"/>
      <c r="H287" s="1356"/>
      <c r="I287" s="1357"/>
      <c r="J287" s="1357"/>
      <c r="K287" s="1357"/>
      <c r="L287" s="1358"/>
      <c r="M287" s="1358"/>
      <c r="N287" s="1358"/>
      <c r="O287" s="1359"/>
      <c r="P287" s="1023">
        <f>VLOOKUP(B287,'111'!B19:V80,21,FALSE)</f>
        <v>3949538</v>
      </c>
      <c r="Q287" s="1371">
        <f t="shared" si="31"/>
        <v>1.6878367521367521</v>
      </c>
      <c r="R287" s="1448">
        <v>2340000</v>
      </c>
      <c r="S287" s="1460">
        <f t="shared" si="32"/>
        <v>3949538</v>
      </c>
      <c r="T287" s="1024">
        <f t="shared" si="35"/>
        <v>275</v>
      </c>
      <c r="U287" s="1025">
        <f>VLOOKUP(B287,'[16]CN HĐ'!$H$10:$M$73,6,FALSE)</f>
        <v>0</v>
      </c>
      <c r="V287" s="1011"/>
      <c r="W287" s="1012"/>
      <c r="X287" s="1012"/>
      <c r="Y287" s="1027"/>
      <c r="Z287" s="1012"/>
      <c r="AA287" s="1012"/>
      <c r="AB287" s="1012"/>
      <c r="AC287" s="1012"/>
      <c r="AD287" s="1012"/>
      <c r="AE287" s="1012"/>
      <c r="AF287" s="1012"/>
      <c r="AG287" s="1012"/>
      <c r="AH287" s="1012"/>
      <c r="AI287" s="1012"/>
    </row>
    <row r="288" spans="1:35" s="1028" customFormat="1" ht="33" customHeight="1">
      <c r="A288" s="1014">
        <f>_xlfn.AGGREGATE(4,7,A$12:A287)+1</f>
        <v>276</v>
      </c>
      <c r="B288" s="1330" t="s">
        <v>2053</v>
      </c>
      <c r="C288" s="1349"/>
      <c r="D288" s="1350"/>
      <c r="E288" s="81" t="str">
        <f>VLOOKUP(B288,TH.Q2!B201:E532,4,FALSE)</f>
        <v>NV Bảo vệ</v>
      </c>
      <c r="F288" s="1355"/>
      <c r="G288" s="1352"/>
      <c r="H288" s="1356"/>
      <c r="I288" s="1357"/>
      <c r="J288" s="1357"/>
      <c r="K288" s="1357"/>
      <c r="L288" s="1358"/>
      <c r="M288" s="1358"/>
      <c r="N288" s="1358"/>
      <c r="O288" s="1359"/>
      <c r="P288" s="1023">
        <f>VLOOKUP(B288,'111'!B20:V81,21,FALSE)</f>
        <v>2187360</v>
      </c>
      <c r="Q288" s="1371">
        <f t="shared" si="31"/>
        <v>0.9347692307692308</v>
      </c>
      <c r="R288" s="1448">
        <v>2340000</v>
      </c>
      <c r="S288" s="1460">
        <f t="shared" si="32"/>
        <v>2187360</v>
      </c>
      <c r="T288" s="1024">
        <f t="shared" si="35"/>
        <v>276</v>
      </c>
      <c r="U288" s="1025">
        <f>VLOOKUP(B288,'[16]CN HĐ'!$H$10:$M$73,6,FALSE)</f>
        <v>0</v>
      </c>
      <c r="V288" s="1011"/>
      <c r="W288" s="1012"/>
      <c r="X288" s="1012"/>
      <c r="Y288" s="1027"/>
      <c r="Z288" s="1012"/>
      <c r="AA288" s="1012"/>
      <c r="AB288" s="1012"/>
      <c r="AC288" s="1012"/>
      <c r="AD288" s="1012"/>
      <c r="AE288" s="1012"/>
      <c r="AF288" s="1012"/>
      <c r="AG288" s="1012"/>
      <c r="AH288" s="1012"/>
      <c r="AI288" s="1012"/>
    </row>
    <row r="289" spans="1:35" s="1028" customFormat="1" ht="33" customHeight="1">
      <c r="A289" s="1014">
        <f>_xlfn.AGGREGATE(4,7,A$12:A288)+1</f>
        <v>277</v>
      </c>
      <c r="B289" s="1330" t="s">
        <v>2054</v>
      </c>
      <c r="C289" s="1349"/>
      <c r="D289" s="1350"/>
      <c r="E289" s="81" t="str">
        <f>VLOOKUP(B289,TH.Q2!B202:E533,4,FALSE)</f>
        <v>NV Lái xe</v>
      </c>
      <c r="F289" s="1355"/>
      <c r="G289" s="1352"/>
      <c r="H289" s="1356"/>
      <c r="I289" s="1357"/>
      <c r="J289" s="1357"/>
      <c r="K289" s="1357"/>
      <c r="L289" s="1358"/>
      <c r="M289" s="1358"/>
      <c r="N289" s="1358"/>
      <c r="O289" s="1359"/>
      <c r="P289" s="1023">
        <f>VLOOKUP(B289,'111'!B24:V82,21,FALSE)</f>
        <v>4563927</v>
      </c>
      <c r="Q289" s="1371">
        <f t="shared" si="31"/>
        <v>1.9503961538461538</v>
      </c>
      <c r="R289" s="1448">
        <v>2340000</v>
      </c>
      <c r="S289" s="1460">
        <f t="shared" si="32"/>
        <v>4563927</v>
      </c>
      <c r="T289" s="1024">
        <f t="shared" si="35"/>
        <v>277</v>
      </c>
      <c r="U289" s="1025">
        <f>VLOOKUP(B289,'[16]CN HĐ'!$H$10:$M$73,6,FALSE)</f>
        <v>0</v>
      </c>
      <c r="V289" s="1011"/>
      <c r="W289" s="1012"/>
      <c r="X289" s="1012"/>
      <c r="Y289" s="1027"/>
      <c r="Z289" s="1012"/>
      <c r="AA289" s="1012"/>
      <c r="AB289" s="1012"/>
      <c r="AC289" s="1012"/>
      <c r="AD289" s="1012"/>
      <c r="AE289" s="1012"/>
      <c r="AF289" s="1012"/>
      <c r="AG289" s="1012"/>
      <c r="AH289" s="1012"/>
      <c r="AI289" s="1012"/>
    </row>
    <row r="290" spans="1:35" s="1028" customFormat="1" ht="33" customHeight="1">
      <c r="A290" s="1014">
        <f>_xlfn.AGGREGATE(4,7,A$12:A289)+1</f>
        <v>278</v>
      </c>
      <c r="B290" s="1330" t="s">
        <v>2055</v>
      </c>
      <c r="C290" s="1349"/>
      <c r="D290" s="1350"/>
      <c r="E290" s="81" t="str">
        <f>VLOOKUP(B290,TH.Q2!B203:E534,4,FALSE)</f>
        <v>NV Phuc vụ Phòng TC - HC - TH</v>
      </c>
      <c r="F290" s="1355"/>
      <c r="G290" s="1352"/>
      <c r="H290" s="1356"/>
      <c r="I290" s="1357"/>
      <c r="J290" s="1357"/>
      <c r="K290" s="1357"/>
      <c r="L290" s="1358"/>
      <c r="M290" s="1358"/>
      <c r="N290" s="1358"/>
      <c r="O290" s="1359"/>
      <c r="P290" s="1023">
        <f>VLOOKUP(B290,'111'!B25:V83,21,FALSE)</f>
        <v>2411564</v>
      </c>
      <c r="Q290" s="1371">
        <f t="shared" si="31"/>
        <v>1.0305829059829059</v>
      </c>
      <c r="R290" s="1448">
        <v>2340000</v>
      </c>
      <c r="S290" s="1460">
        <f t="shared" si="32"/>
        <v>2411564</v>
      </c>
      <c r="T290" s="1024">
        <f t="shared" si="35"/>
        <v>278</v>
      </c>
      <c r="U290" s="1025">
        <f>VLOOKUP(B290,'[16]CN HĐ'!$H$10:$M$73,6,FALSE)</f>
        <v>0</v>
      </c>
      <c r="V290" s="1011"/>
      <c r="W290" s="1012"/>
      <c r="X290" s="1012"/>
      <c r="Y290" s="1027"/>
      <c r="Z290" s="1012"/>
      <c r="AA290" s="1012"/>
      <c r="AB290" s="1012"/>
      <c r="AC290" s="1012"/>
      <c r="AD290" s="1012"/>
      <c r="AE290" s="1012"/>
      <c r="AF290" s="1012"/>
      <c r="AG290" s="1012"/>
      <c r="AH290" s="1012"/>
      <c r="AI290" s="1012"/>
    </row>
    <row r="291" spans="1:35" s="1028" customFormat="1" ht="33" customHeight="1">
      <c r="A291" s="1078">
        <f>_xlfn.AGGREGATE(4,7,A$12:A290)+1</f>
        <v>279</v>
      </c>
      <c r="B291" s="1332" t="s">
        <v>2056</v>
      </c>
      <c r="C291" s="1451"/>
      <c r="D291" s="1452"/>
      <c r="E291" s="472" t="str">
        <f>VLOOKUP(B291,TH.Q2!B204:E535,4,FALSE)</f>
        <v>Nhân viên phòng Thanh tra GD - Công tác SV</v>
      </c>
      <c r="F291" s="1453"/>
      <c r="G291" s="1454"/>
      <c r="H291" s="1455"/>
      <c r="I291" s="1456"/>
      <c r="J291" s="1456"/>
      <c r="K291" s="1456"/>
      <c r="L291" s="1457"/>
      <c r="M291" s="1457"/>
      <c r="N291" s="1457"/>
      <c r="O291" s="1458"/>
      <c r="P291" s="1204">
        <f>VLOOKUP(B291,'111'!B22:V84,21,FALSE)</f>
        <v>3949538</v>
      </c>
      <c r="Q291" s="1420">
        <f t="shared" si="31"/>
        <v>1.6878367521367521</v>
      </c>
      <c r="R291" s="1459">
        <v>2340000</v>
      </c>
      <c r="S291" s="1461">
        <f t="shared" si="32"/>
        <v>3949538</v>
      </c>
      <c r="T291" s="1085">
        <f t="shared" si="35"/>
        <v>279</v>
      </c>
      <c r="U291" s="1205" t="s">
        <v>2397</v>
      </c>
      <c r="V291" s="1011"/>
      <c r="W291" s="1012"/>
      <c r="X291" s="1012"/>
      <c r="Y291" s="1027"/>
      <c r="Z291" s="1012"/>
      <c r="AA291" s="1012"/>
      <c r="AB291" s="1012"/>
      <c r="AC291" s="1012"/>
      <c r="AD291" s="1012"/>
      <c r="AE291" s="1012"/>
      <c r="AF291" s="1012"/>
      <c r="AG291" s="1012"/>
      <c r="AH291" s="1012"/>
      <c r="AI291" s="1012"/>
    </row>
    <row r="292" spans="1:35" s="1028" customFormat="1" ht="33" customHeight="1">
      <c r="A292" s="1014">
        <f>_xlfn.AGGREGATE(4,7,A$12:A291)+1</f>
        <v>280</v>
      </c>
      <c r="B292" s="1330" t="s">
        <v>2057</v>
      </c>
      <c r="C292" s="1349"/>
      <c r="D292" s="1350"/>
      <c r="E292" s="81" t="str">
        <f>VLOOKUP(B292,TH.Q2!B205:E536,4,FALSE)</f>
        <v>NV Phòng Tổ chức - Hành chính - Tổng hợp</v>
      </c>
      <c r="F292" s="1355"/>
      <c r="G292" s="1352"/>
      <c r="H292" s="1356"/>
      <c r="I292" s="1357"/>
      <c r="J292" s="1357"/>
      <c r="K292" s="1357"/>
      <c r="L292" s="1358"/>
      <c r="M292" s="1358"/>
      <c r="N292" s="1358"/>
      <c r="O292" s="1359"/>
      <c r="P292" s="1023">
        <f>VLOOKUP(B292,'111'!B22:V85,21,FALSE)</f>
        <v>7575759</v>
      </c>
      <c r="Q292" s="1371">
        <f t="shared" si="31"/>
        <v>3.2375038461538463</v>
      </c>
      <c r="R292" s="1448">
        <v>2340000</v>
      </c>
      <c r="S292" s="1460">
        <f t="shared" si="32"/>
        <v>7575759</v>
      </c>
      <c r="T292" s="1024">
        <f t="shared" si="35"/>
        <v>280</v>
      </c>
      <c r="U292" s="1025">
        <f>VLOOKUP(B292,'[16]CN HĐ'!$H$10:$M$73,6,FALSE)</f>
        <v>0</v>
      </c>
      <c r="V292" s="1011"/>
      <c r="W292" s="1012"/>
      <c r="X292" s="1012"/>
      <c r="Y292" s="1027"/>
      <c r="Z292" s="1012"/>
      <c r="AA292" s="1012"/>
      <c r="AB292" s="1012"/>
      <c r="AC292" s="1012"/>
      <c r="AD292" s="1012"/>
      <c r="AE292" s="1012"/>
      <c r="AF292" s="1012"/>
      <c r="AG292" s="1012"/>
      <c r="AH292" s="1012"/>
      <c r="AI292" s="1012"/>
    </row>
    <row r="293" spans="1:35" s="1028" customFormat="1" ht="33" customHeight="1">
      <c r="A293" s="1014">
        <f>_xlfn.AGGREGATE(4,7,A$12:A292)+1</f>
        <v>281</v>
      </c>
      <c r="B293" s="1330" t="s">
        <v>2059</v>
      </c>
      <c r="C293" s="1349"/>
      <c r="D293" s="1350"/>
      <c r="E293" s="81" t="str">
        <f>VLOOKUP(B293,TH.Q2!B206:E537,4,FALSE)</f>
        <v>Nhân viên bảo vệ</v>
      </c>
      <c r="F293" s="1355"/>
      <c r="G293" s="1352"/>
      <c r="H293" s="1356"/>
      <c r="I293" s="1357"/>
      <c r="J293" s="1357"/>
      <c r="K293" s="1357"/>
      <c r="L293" s="1358"/>
      <c r="M293" s="1358"/>
      <c r="N293" s="1358"/>
      <c r="O293" s="1359"/>
      <c r="P293" s="1023">
        <f>VLOOKUP(B293,'111'!B23:V86,21,FALSE)</f>
        <v>2187360</v>
      </c>
      <c r="Q293" s="1371">
        <f t="shared" si="31"/>
        <v>0.9347692307692308</v>
      </c>
      <c r="R293" s="1448">
        <v>2340000</v>
      </c>
      <c r="S293" s="1460">
        <f t="shared" si="32"/>
        <v>2187360</v>
      </c>
      <c r="T293" s="1024">
        <f t="shared" si="35"/>
        <v>281</v>
      </c>
      <c r="U293" s="1025" t="str">
        <f>VLOOKUP(B293,'[16]CN HĐ'!$H$10:$M$73,6,FALSE)</f>
        <v>Trừ 1 ngày nghỉ phép 4/10</v>
      </c>
      <c r="V293" s="1011"/>
      <c r="W293" s="1012"/>
      <c r="X293" s="1012"/>
      <c r="Y293" s="1027"/>
      <c r="Z293" s="1012"/>
      <c r="AA293" s="1012"/>
      <c r="AB293" s="1012"/>
      <c r="AC293" s="1012"/>
      <c r="AD293" s="1012"/>
      <c r="AE293" s="1012"/>
      <c r="AF293" s="1012"/>
      <c r="AG293" s="1012"/>
      <c r="AH293" s="1012"/>
      <c r="AI293" s="1012"/>
    </row>
    <row r="294" spans="1:35" s="1028" customFormat="1" ht="33" customHeight="1">
      <c r="A294" s="1014">
        <f>_xlfn.AGGREGATE(4,7,A$12:A293)+1</f>
        <v>282</v>
      </c>
      <c r="B294" s="1330" t="s">
        <v>2060</v>
      </c>
      <c r="C294" s="1349"/>
      <c r="D294" s="1350"/>
      <c r="E294" s="81" t="str">
        <f>VLOOKUP(B294,TH.Q2!B207:E538,4,FALSE)</f>
        <v>NV Phòng Tổ chức - Hành chính - Tổng hợp</v>
      </c>
      <c r="F294" s="1355"/>
      <c r="G294" s="1352"/>
      <c r="H294" s="1356"/>
      <c r="I294" s="1357"/>
      <c r="J294" s="1357"/>
      <c r="K294" s="1357"/>
      <c r="L294" s="1358"/>
      <c r="M294" s="1358"/>
      <c r="N294" s="1358"/>
      <c r="O294" s="1359"/>
      <c r="P294" s="1023">
        <f>VLOOKUP(B294,'111'!B26:V87,21,FALSE)</f>
        <v>6370346</v>
      </c>
      <c r="Q294" s="1371">
        <f t="shared" si="31"/>
        <v>2.7223700854700854</v>
      </c>
      <c r="R294" s="1448">
        <v>2340000</v>
      </c>
      <c r="S294" s="1460">
        <f t="shared" si="32"/>
        <v>6370346</v>
      </c>
      <c r="T294" s="1024">
        <f t="shared" si="35"/>
        <v>282</v>
      </c>
      <c r="U294" s="1025">
        <f>VLOOKUP(B294,'[16]CN HĐ'!$H$10:$M$73,6,FALSE)</f>
        <v>0</v>
      </c>
      <c r="V294" s="1011"/>
      <c r="W294" s="1012"/>
      <c r="X294" s="1012"/>
      <c r="Y294" s="1027"/>
      <c r="Z294" s="1012"/>
      <c r="AA294" s="1012"/>
      <c r="AB294" s="1012"/>
      <c r="AC294" s="1012"/>
      <c r="AD294" s="1012"/>
      <c r="AE294" s="1012"/>
      <c r="AF294" s="1012"/>
      <c r="AG294" s="1012"/>
      <c r="AH294" s="1012"/>
      <c r="AI294" s="1012"/>
    </row>
    <row r="295" spans="1:35" s="1028" customFormat="1" ht="33" customHeight="1">
      <c r="A295" s="1092">
        <f>_xlfn.AGGREGATE(4,7,A$12:A294)+1</f>
        <v>283</v>
      </c>
      <c r="B295" s="1342" t="s">
        <v>2062</v>
      </c>
      <c r="C295" s="1388"/>
      <c r="D295" s="1389"/>
      <c r="E295" s="554" t="str">
        <f>VLOOKUP(B295,TH.Q2!B208:E539,4,FALSE)</f>
        <v>NV P. QT 
Dịch vụ</v>
      </c>
      <c r="F295" s="1394"/>
      <c r="G295" s="1391"/>
      <c r="H295" s="1395"/>
      <c r="I295" s="1396"/>
      <c r="J295" s="1396"/>
      <c r="K295" s="1396"/>
      <c r="L295" s="1397"/>
      <c r="M295" s="1397"/>
      <c r="N295" s="1397"/>
      <c r="O295" s="1398"/>
      <c r="P295" s="1214">
        <f>VLOOKUP(B295,'111'!B28:V88,21,FALSE)</f>
        <v>7247855</v>
      </c>
      <c r="Q295" s="1400">
        <f t="shared" si="31"/>
        <v>3.0973739316239315</v>
      </c>
      <c r="R295" s="1450">
        <v>2340000</v>
      </c>
      <c r="S295" s="1462">
        <f t="shared" si="32"/>
        <v>7247855</v>
      </c>
      <c r="T295" s="1099">
        <f t="shared" si="35"/>
        <v>283</v>
      </c>
      <c r="U295" s="1215" t="str">
        <f>VLOOKUP(B295,'[16]CN HĐ'!$H$10:$M$73,6,FALSE)</f>
        <v>Nghỉ hộ sản hưởng chế độ BHXH từ 01/8/24</v>
      </c>
      <c r="V295" s="1011"/>
      <c r="W295" s="1012"/>
      <c r="X295" s="1012"/>
      <c r="Y295" s="1027"/>
      <c r="Z295" s="1012"/>
      <c r="AA295" s="1012"/>
      <c r="AB295" s="1012"/>
      <c r="AC295" s="1012"/>
      <c r="AD295" s="1012"/>
      <c r="AE295" s="1012"/>
      <c r="AF295" s="1012"/>
      <c r="AG295" s="1012"/>
      <c r="AH295" s="1012"/>
      <c r="AI295" s="1012"/>
    </row>
    <row r="296" spans="1:35" s="1028" customFormat="1" ht="33" customHeight="1">
      <c r="A296" s="1014">
        <f>_xlfn.AGGREGATE(4,7,A$12:A295)+1</f>
        <v>284</v>
      </c>
      <c r="B296" s="1330" t="s">
        <v>2065</v>
      </c>
      <c r="C296" s="1349"/>
      <c r="D296" s="1350"/>
      <c r="E296" s="81" t="str">
        <f>VLOOKUP(B296,TH.Q2!B209:E540,4,FALSE)</f>
        <v>NV Phòng Quản trị - Dịch vụ</v>
      </c>
      <c r="F296" s="1355"/>
      <c r="G296" s="1352"/>
      <c r="H296" s="1356"/>
      <c r="I296" s="1357"/>
      <c r="J296" s="1357"/>
      <c r="K296" s="1357"/>
      <c r="L296" s="1358"/>
      <c r="M296" s="1358"/>
      <c r="N296" s="1358"/>
      <c r="O296" s="1359"/>
      <c r="P296" s="1023">
        <f>VLOOKUP(B296,'111'!B29:V89,21,FALSE)</f>
        <v>7088449</v>
      </c>
      <c r="Q296" s="1371">
        <f t="shared" si="31"/>
        <v>3.0292517094017093</v>
      </c>
      <c r="R296" s="1448">
        <v>2340000</v>
      </c>
      <c r="S296" s="1460">
        <f t="shared" si="32"/>
        <v>7088449</v>
      </c>
      <c r="T296" s="1024">
        <f t="shared" si="35"/>
        <v>284</v>
      </c>
      <c r="U296" s="1025">
        <f>VLOOKUP(B296,'[16]CN HĐ'!$H$10:$M$73,6,FALSE)</f>
        <v>0</v>
      </c>
      <c r="V296" s="1011"/>
      <c r="W296" s="1012"/>
      <c r="X296" s="1012"/>
      <c r="Y296" s="1027"/>
      <c r="Z296" s="1012"/>
      <c r="AA296" s="1012"/>
      <c r="AB296" s="1012"/>
      <c r="AC296" s="1012"/>
      <c r="AD296" s="1012"/>
      <c r="AE296" s="1012"/>
      <c r="AF296" s="1012"/>
      <c r="AG296" s="1012"/>
      <c r="AH296" s="1012"/>
      <c r="AI296" s="1012"/>
    </row>
    <row r="297" spans="1:35" s="1028" customFormat="1" ht="33" customHeight="1">
      <c r="A297" s="1014">
        <f>_xlfn.AGGREGATE(4,7,A$12:A296)+1</f>
        <v>285</v>
      </c>
      <c r="B297" s="1330" t="s">
        <v>2067</v>
      </c>
      <c r="C297" s="1349"/>
      <c r="D297" s="1350"/>
      <c r="E297" s="81" t="str">
        <f>VLOOKUP(B297,TH.Q2!B210:E541,4,FALSE)</f>
        <v>NV bảo trì</v>
      </c>
      <c r="F297" s="1355"/>
      <c r="G297" s="1352"/>
      <c r="H297" s="1356"/>
      <c r="I297" s="1357"/>
      <c r="J297" s="1357"/>
      <c r="K297" s="1357"/>
      <c r="L297" s="1358"/>
      <c r="M297" s="1358"/>
      <c r="N297" s="1358"/>
      <c r="O297" s="1359"/>
      <c r="P297" s="1023">
        <f>VLOOKUP(B297,'111'!B30:V90,21,FALSE)</f>
        <v>7755205</v>
      </c>
      <c r="Q297" s="1371">
        <f t="shared" si="31"/>
        <v>3.3141901709401709</v>
      </c>
      <c r="R297" s="1448">
        <v>2340000</v>
      </c>
      <c r="S297" s="1460">
        <f t="shared" si="32"/>
        <v>7755205</v>
      </c>
      <c r="T297" s="1024">
        <f t="shared" si="35"/>
        <v>285</v>
      </c>
      <c r="U297" s="1025">
        <f>VLOOKUP(B297,'[16]CN HĐ'!$H$10:$M$73,6,FALSE)</f>
        <v>0</v>
      </c>
      <c r="V297" s="1011"/>
      <c r="W297" s="1012"/>
      <c r="X297" s="1012"/>
      <c r="Y297" s="1027"/>
      <c r="Z297" s="1012"/>
      <c r="AA297" s="1012"/>
      <c r="AB297" s="1012"/>
      <c r="AC297" s="1012"/>
      <c r="AD297" s="1012"/>
      <c r="AE297" s="1012"/>
      <c r="AF297" s="1012"/>
      <c r="AG297" s="1012"/>
      <c r="AH297" s="1012"/>
      <c r="AI297" s="1012"/>
    </row>
    <row r="298" spans="1:35" s="1028" customFormat="1" ht="33" customHeight="1">
      <c r="A298" s="1014">
        <f>_xlfn.AGGREGATE(4,7,A$12:A297)+1</f>
        <v>286</v>
      </c>
      <c r="B298" s="1330" t="s">
        <v>2069</v>
      </c>
      <c r="C298" s="1349"/>
      <c r="D298" s="1350"/>
      <c r="E298" s="81" t="str">
        <f>VLOOKUP(B298,TH.Q2!B211:E542,4,FALSE)</f>
        <v>NV P. QT 
Dịch vụ</v>
      </c>
      <c r="F298" s="1355"/>
      <c r="G298" s="1352"/>
      <c r="H298" s="1356"/>
      <c r="I298" s="1357"/>
      <c r="J298" s="1357"/>
      <c r="K298" s="1357"/>
      <c r="L298" s="1358"/>
      <c r="M298" s="1358"/>
      <c r="N298" s="1358"/>
      <c r="O298" s="1359"/>
      <c r="P298" s="1023">
        <f>VLOOKUP(B298,'111'!B31:V91,21,FALSE)</f>
        <v>6389497</v>
      </c>
      <c r="Q298" s="1371">
        <f t="shared" si="31"/>
        <v>2.7305542735042736</v>
      </c>
      <c r="R298" s="1448">
        <v>2340000</v>
      </c>
      <c r="S298" s="1460">
        <f t="shared" si="32"/>
        <v>6389497</v>
      </c>
      <c r="T298" s="1024">
        <f t="shared" si="35"/>
        <v>286</v>
      </c>
      <c r="U298" s="1025">
        <f>VLOOKUP(B298,'[16]CN HĐ'!$H$10:$M$73,6,FALSE)</f>
        <v>0</v>
      </c>
      <c r="V298" s="1011"/>
      <c r="W298" s="1012"/>
      <c r="X298" s="1012"/>
      <c r="Y298" s="1027"/>
      <c r="Z298" s="1012"/>
      <c r="AA298" s="1012"/>
      <c r="AB298" s="1012"/>
      <c r="AC298" s="1012"/>
      <c r="AD298" s="1012"/>
      <c r="AE298" s="1012"/>
      <c r="AF298" s="1012"/>
      <c r="AG298" s="1012"/>
      <c r="AH298" s="1012"/>
      <c r="AI298" s="1012"/>
    </row>
    <row r="299" spans="1:35" s="1028" customFormat="1" ht="33" customHeight="1">
      <c r="A299" s="1014">
        <f>_xlfn.AGGREGATE(4,7,A$12:A298)+1</f>
        <v>287</v>
      </c>
      <c r="B299" s="1330" t="s">
        <v>2073</v>
      </c>
      <c r="C299" s="1349"/>
      <c r="D299" s="1350"/>
      <c r="E299" s="81" t="str">
        <f>VLOOKUP(B299,TH.Q2!B212:E543,4,FALSE)</f>
        <v>NV P. QT 
Dịch vụ</v>
      </c>
      <c r="F299" s="1355"/>
      <c r="G299" s="1352"/>
      <c r="H299" s="1356"/>
      <c r="I299" s="1357"/>
      <c r="J299" s="1357"/>
      <c r="K299" s="1357"/>
      <c r="L299" s="1358"/>
      <c r="M299" s="1358"/>
      <c r="N299" s="1358"/>
      <c r="O299" s="1359"/>
      <c r="P299" s="1023">
        <f>VLOOKUP(B299,'111'!B32:V92,21,FALSE)</f>
        <v>5283316</v>
      </c>
      <c r="Q299" s="1371">
        <f t="shared" si="31"/>
        <v>2.2578273504273505</v>
      </c>
      <c r="R299" s="1448">
        <v>2340000</v>
      </c>
      <c r="S299" s="1460">
        <f t="shared" si="32"/>
        <v>5283316</v>
      </c>
      <c r="T299" s="1024">
        <f t="shared" si="35"/>
        <v>287</v>
      </c>
      <c r="U299" s="1025">
        <f>VLOOKUP(B299,'[16]CN HĐ'!$H$10:$M$73,6,FALSE)</f>
        <v>0</v>
      </c>
      <c r="V299" s="1011"/>
      <c r="W299" s="1012"/>
      <c r="X299" s="1012"/>
      <c r="Y299" s="1027"/>
      <c r="Z299" s="1012"/>
      <c r="AA299" s="1012"/>
      <c r="AB299" s="1012"/>
      <c r="AC299" s="1012"/>
      <c r="AD299" s="1012"/>
      <c r="AE299" s="1012"/>
      <c r="AF299" s="1012"/>
      <c r="AG299" s="1012"/>
      <c r="AH299" s="1012"/>
      <c r="AI299" s="1012"/>
    </row>
    <row r="300" spans="1:35" s="1028" customFormat="1" ht="33" customHeight="1">
      <c r="A300" s="1014">
        <f>_xlfn.AGGREGATE(4,7,A$12:A299)+1</f>
        <v>288</v>
      </c>
      <c r="B300" s="1330" t="s">
        <v>2075</v>
      </c>
      <c r="C300" s="1349"/>
      <c r="D300" s="1350"/>
      <c r="E300" s="81" t="str">
        <f>VLOOKUP(B300,TH.Q2!B213:E544,4,FALSE)</f>
        <v>NV Phục vụ</v>
      </c>
      <c r="F300" s="1355"/>
      <c r="G300" s="1352"/>
      <c r="H300" s="1356"/>
      <c r="I300" s="1357"/>
      <c r="J300" s="1357"/>
      <c r="K300" s="1357"/>
      <c r="L300" s="1358"/>
      <c r="M300" s="1358"/>
      <c r="N300" s="1358"/>
      <c r="O300" s="1359"/>
      <c r="P300" s="1023">
        <f>VLOOKUP(B300,'111'!B34:V93,21,FALSE)</f>
        <v>3741128</v>
      </c>
      <c r="Q300" s="1371">
        <f t="shared" si="31"/>
        <v>1.5987726495726495</v>
      </c>
      <c r="R300" s="1448">
        <v>2340000</v>
      </c>
      <c r="S300" s="1460">
        <f t="shared" si="32"/>
        <v>3741128</v>
      </c>
      <c r="T300" s="1024">
        <f t="shared" si="35"/>
        <v>288</v>
      </c>
      <c r="U300" s="1025">
        <f>VLOOKUP(B300,'[16]CN HĐ'!$H$10:$M$73,6,FALSE)</f>
        <v>0</v>
      </c>
      <c r="V300" s="1011"/>
      <c r="W300" s="1012"/>
      <c r="X300" s="1012"/>
      <c r="Y300" s="1027"/>
      <c r="Z300" s="1012"/>
      <c r="AA300" s="1012"/>
      <c r="AB300" s="1012"/>
      <c r="AC300" s="1012"/>
      <c r="AD300" s="1012"/>
      <c r="AE300" s="1012"/>
      <c r="AF300" s="1012"/>
      <c r="AG300" s="1012"/>
      <c r="AH300" s="1012"/>
      <c r="AI300" s="1012"/>
    </row>
    <row r="301" spans="1:35" s="1028" customFormat="1" ht="33" customHeight="1">
      <c r="A301" s="1014">
        <f>_xlfn.AGGREGATE(4,7,A$12:A300)+1</f>
        <v>289</v>
      </c>
      <c r="B301" s="1330" t="s">
        <v>2077</v>
      </c>
      <c r="C301" s="1349"/>
      <c r="D301" s="1350"/>
      <c r="E301" s="81" t="str">
        <f>VLOOKUP(B301,TH.Q2!B214:E545,4,FALSE)</f>
        <v>NV Phục vụ</v>
      </c>
      <c r="F301" s="1355"/>
      <c r="G301" s="1352"/>
      <c r="H301" s="1356"/>
      <c r="I301" s="1357"/>
      <c r="J301" s="1357"/>
      <c r="K301" s="1357"/>
      <c r="L301" s="1358"/>
      <c r="M301" s="1358"/>
      <c r="N301" s="1358"/>
      <c r="O301" s="1359"/>
      <c r="P301" s="1023" t="e">
        <f>VLOOKUP(B301,'111'!B35:V94,21,FALSE)</f>
        <v>#N/A</v>
      </c>
      <c r="Q301" s="1371" t="e">
        <f t="shared" si="31"/>
        <v>#N/A</v>
      </c>
      <c r="R301" s="1448">
        <v>2340000</v>
      </c>
      <c r="S301" s="1460" t="e">
        <f t="shared" si="32"/>
        <v>#N/A</v>
      </c>
      <c r="T301" s="1024">
        <f t="shared" si="35"/>
        <v>289</v>
      </c>
      <c r="U301" s="1025">
        <f>VLOOKUP(B301,'[16]CN HĐ'!$H$10:$M$73,6,FALSE)</f>
        <v>0</v>
      </c>
      <c r="V301" s="1011"/>
      <c r="W301" s="1012"/>
      <c r="X301" s="1012"/>
      <c r="Y301" s="1027"/>
      <c r="Z301" s="1012"/>
      <c r="AA301" s="1012"/>
      <c r="AB301" s="1012"/>
      <c r="AC301" s="1012"/>
      <c r="AD301" s="1012"/>
      <c r="AE301" s="1012"/>
      <c r="AF301" s="1012"/>
      <c r="AG301" s="1012"/>
      <c r="AH301" s="1012"/>
      <c r="AI301" s="1012"/>
    </row>
    <row r="302" spans="1:35" s="1028" customFormat="1" ht="33" customHeight="1">
      <c r="A302" s="1014">
        <f>_xlfn.AGGREGATE(4,7,A$12:A301)+1</f>
        <v>290</v>
      </c>
      <c r="B302" s="1330" t="s">
        <v>2080</v>
      </c>
      <c r="C302" s="1349"/>
      <c r="D302" s="1350"/>
      <c r="E302" s="81" t="str">
        <f>VLOOKUP(B302,TH.Q2!B215:E546,4,FALSE)</f>
        <v>NV Phục vụ</v>
      </c>
      <c r="F302" s="1355"/>
      <c r="G302" s="1352"/>
      <c r="H302" s="1356"/>
      <c r="I302" s="1357"/>
      <c r="J302" s="1357"/>
      <c r="K302" s="1357"/>
      <c r="L302" s="1358"/>
      <c r="M302" s="1358"/>
      <c r="N302" s="1358"/>
      <c r="O302" s="1359"/>
      <c r="P302" s="1023">
        <f>VLOOKUP(B302,'111'!B35:V95,21,FALSE)</f>
        <v>2296728</v>
      </c>
      <c r="Q302" s="1371">
        <f t="shared" si="31"/>
        <v>0.9815076923076923</v>
      </c>
      <c r="R302" s="1448">
        <v>2340000</v>
      </c>
      <c r="S302" s="1460">
        <f t="shared" si="32"/>
        <v>2296728</v>
      </c>
      <c r="T302" s="1024">
        <f t="shared" si="35"/>
        <v>290</v>
      </c>
      <c r="U302" s="1025">
        <f>VLOOKUP(B302,'[16]CN HĐ'!$H$10:$M$73,6,FALSE)</f>
        <v>0</v>
      </c>
      <c r="V302" s="1011"/>
      <c r="W302" s="1012"/>
      <c r="X302" s="1012"/>
      <c r="Y302" s="1027"/>
      <c r="Z302" s="1012"/>
      <c r="AA302" s="1012"/>
      <c r="AB302" s="1012"/>
      <c r="AC302" s="1012"/>
      <c r="AD302" s="1012"/>
      <c r="AE302" s="1012"/>
      <c r="AF302" s="1012"/>
      <c r="AG302" s="1012"/>
      <c r="AH302" s="1012"/>
      <c r="AI302" s="1012"/>
    </row>
    <row r="303" spans="1:35" s="1028" customFormat="1" ht="33" customHeight="1">
      <c r="A303" s="1014">
        <f>_xlfn.AGGREGATE(4,7,A$12:A302)+1</f>
        <v>291</v>
      </c>
      <c r="B303" s="1330" t="s">
        <v>2082</v>
      </c>
      <c r="C303" s="1349"/>
      <c r="D303" s="1350"/>
      <c r="E303" s="81" t="str">
        <f>VLOOKUP(B303,TH.Q2!B216:E547,4,FALSE)</f>
        <v>NV Phục vụ</v>
      </c>
      <c r="F303" s="1355"/>
      <c r="G303" s="1352"/>
      <c r="H303" s="1356"/>
      <c r="I303" s="1357"/>
      <c r="J303" s="1357"/>
      <c r="K303" s="1357"/>
      <c r="L303" s="1358"/>
      <c r="M303" s="1358"/>
      <c r="N303" s="1358"/>
      <c r="O303" s="1359"/>
      <c r="P303" s="1023">
        <f>VLOOKUP(B303,'111'!B36:V96,21,FALSE)</f>
        <v>2296728</v>
      </c>
      <c r="Q303" s="1371">
        <f t="shared" si="31"/>
        <v>0.9815076923076923</v>
      </c>
      <c r="R303" s="1448">
        <v>2340000</v>
      </c>
      <c r="S303" s="1460">
        <f t="shared" si="32"/>
        <v>2296728</v>
      </c>
      <c r="T303" s="1024">
        <f t="shared" si="35"/>
        <v>291</v>
      </c>
      <c r="U303" s="1025">
        <f>VLOOKUP(B303,'[16]CN HĐ'!$H$10:$M$73,6,FALSE)</f>
        <v>0</v>
      </c>
      <c r="V303" s="1011"/>
      <c r="W303" s="1012"/>
      <c r="X303" s="1012"/>
      <c r="Y303" s="1027"/>
      <c r="Z303" s="1012"/>
      <c r="AA303" s="1012"/>
      <c r="AB303" s="1012"/>
      <c r="AC303" s="1012"/>
      <c r="AD303" s="1012"/>
      <c r="AE303" s="1012"/>
      <c r="AF303" s="1012"/>
      <c r="AG303" s="1012"/>
      <c r="AH303" s="1012"/>
      <c r="AI303" s="1012"/>
    </row>
    <row r="304" spans="1:35" s="1028" customFormat="1" ht="33" customHeight="1">
      <c r="A304" s="1014">
        <f>_xlfn.AGGREGATE(4,7,A$12:A303)+1</f>
        <v>292</v>
      </c>
      <c r="B304" s="1330" t="s">
        <v>2084</v>
      </c>
      <c r="C304" s="1349"/>
      <c r="D304" s="1350"/>
      <c r="E304" s="81" t="str">
        <f>VLOOKUP(B304,TH.Q2!B217:E548,4,FALSE)</f>
        <v>NV Phục vụ</v>
      </c>
      <c r="F304" s="1355"/>
      <c r="G304" s="1352"/>
      <c r="H304" s="1356"/>
      <c r="I304" s="1357"/>
      <c r="J304" s="1357"/>
      <c r="K304" s="1357"/>
      <c r="L304" s="1358"/>
      <c r="M304" s="1358"/>
      <c r="N304" s="1358"/>
      <c r="O304" s="1359"/>
      <c r="P304" s="1023">
        <f>VLOOKUP(B304,'111'!B37:V97,21,FALSE)</f>
        <v>2296728</v>
      </c>
      <c r="Q304" s="1371">
        <f t="shared" si="31"/>
        <v>0.9815076923076923</v>
      </c>
      <c r="R304" s="1448">
        <v>2340000</v>
      </c>
      <c r="S304" s="1460">
        <f t="shared" si="32"/>
        <v>2296728</v>
      </c>
      <c r="T304" s="1024">
        <f t="shared" si="35"/>
        <v>292</v>
      </c>
      <c r="U304" s="1025">
        <f>VLOOKUP(B304,'[16]CN HĐ'!$H$10:$M$73,6,FALSE)</f>
        <v>0</v>
      </c>
      <c r="V304" s="1011"/>
      <c r="W304" s="1012"/>
      <c r="X304" s="1012"/>
      <c r="Y304" s="1027"/>
      <c r="Z304" s="1012"/>
      <c r="AA304" s="1012"/>
      <c r="AB304" s="1012"/>
      <c r="AC304" s="1012"/>
      <c r="AD304" s="1012"/>
      <c r="AE304" s="1012"/>
      <c r="AF304" s="1012"/>
      <c r="AG304" s="1012"/>
      <c r="AH304" s="1012"/>
      <c r="AI304" s="1012"/>
    </row>
    <row r="305" spans="1:35" s="1028" customFormat="1" ht="33" customHeight="1">
      <c r="A305" s="1014">
        <f>_xlfn.AGGREGATE(4,7,A$12:A304)+1</f>
        <v>293</v>
      </c>
      <c r="B305" s="1330" t="s">
        <v>2086</v>
      </c>
      <c r="C305" s="1349"/>
      <c r="D305" s="1350"/>
      <c r="E305" s="81" t="str">
        <f>VLOOKUP(B305,TH.Q2!B218:E549,4,FALSE)</f>
        <v>Nhân viên phòng Quản trị - Dịch vụ</v>
      </c>
      <c r="F305" s="1355"/>
      <c r="G305" s="1352"/>
      <c r="H305" s="1356"/>
      <c r="I305" s="1357"/>
      <c r="J305" s="1357"/>
      <c r="K305" s="1357"/>
      <c r="L305" s="1358"/>
      <c r="M305" s="1358"/>
      <c r="N305" s="1358"/>
      <c r="O305" s="1359"/>
      <c r="P305" s="1023">
        <f>VLOOKUP(B305,'111'!B38:V98,21,FALSE)</f>
        <v>2296728</v>
      </c>
      <c r="Q305" s="1371">
        <f t="shared" si="31"/>
        <v>0.9815076923076923</v>
      </c>
      <c r="R305" s="1448">
        <v>2340000</v>
      </c>
      <c r="S305" s="1460">
        <f t="shared" si="32"/>
        <v>2296728</v>
      </c>
      <c r="T305" s="1024">
        <f t="shared" si="35"/>
        <v>293</v>
      </c>
      <c r="U305" s="1025">
        <f>VLOOKUP(B305,'[16]CN HĐ'!$H$10:$M$73,6,FALSE)</f>
        <v>0</v>
      </c>
      <c r="V305" s="1011"/>
      <c r="W305" s="1012"/>
      <c r="X305" s="1012"/>
      <c r="Y305" s="1027"/>
      <c r="Z305" s="1012"/>
      <c r="AA305" s="1012"/>
      <c r="AB305" s="1012"/>
      <c r="AC305" s="1012"/>
      <c r="AD305" s="1012"/>
      <c r="AE305" s="1012"/>
      <c r="AF305" s="1012"/>
      <c r="AG305" s="1012"/>
      <c r="AH305" s="1012"/>
      <c r="AI305" s="1012"/>
    </row>
    <row r="306" spans="1:35" s="1028" customFormat="1" ht="33" customHeight="1">
      <c r="A306" s="1014">
        <f>_xlfn.AGGREGATE(4,7,A$12:A305)+1</f>
        <v>294</v>
      </c>
      <c r="B306" s="1330" t="s">
        <v>2087</v>
      </c>
      <c r="C306" s="1349"/>
      <c r="D306" s="1350"/>
      <c r="E306" s="81" t="str">
        <f>VLOOKUP(B306,TH.Q2!B219:E550,4,FALSE)</f>
        <v>Nhân viên phòng Quản trị - Dịch vụ</v>
      </c>
      <c r="F306" s="1355"/>
      <c r="G306" s="1352"/>
      <c r="H306" s="1356"/>
      <c r="I306" s="1357"/>
      <c r="J306" s="1357"/>
      <c r="K306" s="1357"/>
      <c r="L306" s="1358"/>
      <c r="M306" s="1358"/>
      <c r="N306" s="1358"/>
      <c r="O306" s="1359"/>
      <c r="P306" s="1023">
        <f>VLOOKUP(B306,'111'!B39:V99,21,FALSE)</f>
        <v>1913940</v>
      </c>
      <c r="Q306" s="1371">
        <f t="shared" si="31"/>
        <v>0.81792307692307697</v>
      </c>
      <c r="R306" s="1448">
        <v>2340000</v>
      </c>
      <c r="S306" s="1460">
        <f t="shared" si="32"/>
        <v>1913940.0000000002</v>
      </c>
      <c r="T306" s="1024">
        <f t="shared" si="35"/>
        <v>294</v>
      </c>
      <c r="U306" s="1025">
        <f>VLOOKUP(B306,'[16]CN HĐ'!$H$10:$M$73,6,FALSE)</f>
        <v>0</v>
      </c>
      <c r="V306" s="1011"/>
      <c r="W306" s="1012"/>
      <c r="X306" s="1012"/>
      <c r="Y306" s="1027"/>
      <c r="Z306" s="1012"/>
      <c r="AA306" s="1012"/>
      <c r="AB306" s="1012"/>
      <c r="AC306" s="1012"/>
      <c r="AD306" s="1012"/>
      <c r="AE306" s="1012"/>
      <c r="AF306" s="1012"/>
      <c r="AG306" s="1012"/>
      <c r="AH306" s="1012"/>
      <c r="AI306" s="1012"/>
    </row>
    <row r="307" spans="1:35" s="1028" customFormat="1" ht="33" customHeight="1">
      <c r="A307" s="1014">
        <f>_xlfn.AGGREGATE(4,7,A$12:A306)+1</f>
        <v>295</v>
      </c>
      <c r="B307" s="1330" t="s">
        <v>2245</v>
      </c>
      <c r="C307" s="1349"/>
      <c r="D307" s="1350"/>
      <c r="E307" s="81" t="str">
        <f>VLOOKUP(B307,TH.Q2!B220:E551,4,FALSE)</f>
        <v>Nhân viên phòng Quản trị - Dịch vụ</v>
      </c>
      <c r="F307" s="1355"/>
      <c r="G307" s="1352"/>
      <c r="H307" s="1356"/>
      <c r="I307" s="1357"/>
      <c r="J307" s="1357"/>
      <c r="K307" s="1357"/>
      <c r="L307" s="1358"/>
      <c r="M307" s="1358"/>
      <c r="N307" s="1358"/>
      <c r="O307" s="1359"/>
      <c r="P307" s="1023" t="e">
        <f>VLOOKUP(B307,'111'!B40:V100,21,FALSE)</f>
        <v>#N/A</v>
      </c>
      <c r="Q307" s="1371" t="e">
        <f t="shared" si="31"/>
        <v>#N/A</v>
      </c>
      <c r="R307" s="1448">
        <v>2340000</v>
      </c>
      <c r="S307" s="1460" t="e">
        <f t="shared" si="32"/>
        <v>#N/A</v>
      </c>
      <c r="T307" s="1024">
        <f t="shared" si="35"/>
        <v>295</v>
      </c>
      <c r="U307" s="1025">
        <f>VLOOKUP(B307,'[16]CN HĐ'!$H$10:$M$73,6,FALSE)</f>
        <v>0</v>
      </c>
      <c r="V307" s="1011"/>
      <c r="W307" s="1012"/>
      <c r="X307" s="1012"/>
      <c r="Y307" s="1027"/>
      <c r="Z307" s="1012"/>
      <c r="AA307" s="1012"/>
      <c r="AB307" s="1012"/>
      <c r="AC307" s="1012"/>
      <c r="AD307" s="1012"/>
      <c r="AE307" s="1012"/>
      <c r="AF307" s="1012"/>
      <c r="AG307" s="1012"/>
      <c r="AH307" s="1012"/>
      <c r="AI307" s="1012"/>
    </row>
    <row r="308" spans="1:35" s="1028" customFormat="1" ht="33" customHeight="1">
      <c r="A308" s="1014">
        <f>_xlfn.AGGREGATE(4,7,A$12:A307)+1</f>
        <v>296</v>
      </c>
      <c r="B308" s="1330" t="s">
        <v>2253</v>
      </c>
      <c r="C308" s="1349"/>
      <c r="D308" s="1350"/>
      <c r="E308" s="81" t="str">
        <f>VLOOKUP(B308,TH.Q2!B221:E552,4,FALSE)</f>
        <v>Nhân viên phòng Quản trị - Dịch vụ</v>
      </c>
      <c r="F308" s="1355"/>
      <c r="G308" s="1352"/>
      <c r="H308" s="1356"/>
      <c r="I308" s="1357"/>
      <c r="J308" s="1357"/>
      <c r="K308" s="1357"/>
      <c r="L308" s="1358"/>
      <c r="M308" s="1358"/>
      <c r="N308" s="1358"/>
      <c r="O308" s="1359"/>
      <c r="P308" s="1023">
        <f>VLOOKUP(B308,'111'!B40:V101,21,FALSE)</f>
        <v>4628321</v>
      </c>
      <c r="Q308" s="1371">
        <f t="shared" si="31"/>
        <v>1.9779149572649573</v>
      </c>
      <c r="R308" s="1448">
        <v>2340000</v>
      </c>
      <c r="S308" s="1460">
        <f t="shared" si="32"/>
        <v>4628321</v>
      </c>
      <c r="T308" s="1024">
        <f t="shared" si="35"/>
        <v>296</v>
      </c>
      <c r="U308" s="1025">
        <f>VLOOKUP(B308,'[16]CN HĐ'!$H$10:$M$73,6,FALSE)</f>
        <v>0</v>
      </c>
      <c r="V308" s="1011"/>
      <c r="W308" s="1012"/>
      <c r="X308" s="1012"/>
      <c r="Y308" s="1027"/>
      <c r="Z308" s="1012"/>
      <c r="AA308" s="1012"/>
      <c r="AB308" s="1012"/>
      <c r="AC308" s="1012"/>
      <c r="AD308" s="1012"/>
      <c r="AE308" s="1012"/>
      <c r="AF308" s="1012"/>
      <c r="AG308" s="1012"/>
      <c r="AH308" s="1012"/>
      <c r="AI308" s="1012"/>
    </row>
    <row r="309" spans="1:35" s="1028" customFormat="1" ht="33" customHeight="1">
      <c r="A309" s="1014">
        <f>_xlfn.AGGREGATE(4,7,A$12:A308)+1</f>
        <v>297</v>
      </c>
      <c r="B309" s="1330" t="s">
        <v>2088</v>
      </c>
      <c r="C309" s="1349"/>
      <c r="D309" s="1350"/>
      <c r="E309" s="81" t="str">
        <f>VLOOKUP(B309,TH.Q2!B222:E553,4,FALSE)</f>
        <v>Nhân viên phòng Quản trị - Dịch vụ</v>
      </c>
      <c r="F309" s="1355"/>
      <c r="G309" s="1352"/>
      <c r="H309" s="1356"/>
      <c r="I309" s="1357"/>
      <c r="J309" s="1357"/>
      <c r="K309" s="1357"/>
      <c r="L309" s="1358"/>
      <c r="M309" s="1358"/>
      <c r="N309" s="1358"/>
      <c r="O309" s="1359"/>
      <c r="P309" s="1023">
        <f>VLOOKUP(B309,'111'!B41:V102,21,FALSE)</f>
        <v>2916480</v>
      </c>
      <c r="Q309" s="1371">
        <f t="shared" si="31"/>
        <v>1.2463589743589745</v>
      </c>
      <c r="R309" s="1448">
        <v>2340000</v>
      </c>
      <c r="S309" s="1460">
        <f t="shared" si="32"/>
        <v>2916480.0000000005</v>
      </c>
      <c r="T309" s="1024">
        <f t="shared" si="35"/>
        <v>297</v>
      </c>
      <c r="U309" s="1025">
        <f>VLOOKUP(B309,'[16]CN HĐ'!$H$10:$M$73,6,FALSE)</f>
        <v>0</v>
      </c>
      <c r="V309" s="1011"/>
      <c r="W309" s="1012"/>
      <c r="X309" s="1012"/>
      <c r="Y309" s="1027"/>
      <c r="Z309" s="1012"/>
      <c r="AA309" s="1012"/>
      <c r="AB309" s="1012"/>
      <c r="AC309" s="1012"/>
      <c r="AD309" s="1012"/>
      <c r="AE309" s="1012"/>
      <c r="AF309" s="1012"/>
      <c r="AG309" s="1012"/>
      <c r="AH309" s="1012"/>
      <c r="AI309" s="1012"/>
    </row>
    <row r="310" spans="1:35" s="1028" customFormat="1" ht="33" customHeight="1">
      <c r="A310" s="1014">
        <f>_xlfn.AGGREGATE(4,7,A$12:A309)+1</f>
        <v>298</v>
      </c>
      <c r="B310" s="1330" t="s">
        <v>2089</v>
      </c>
      <c r="C310" s="1349"/>
      <c r="D310" s="1350"/>
      <c r="E310" s="81" t="str">
        <f>VLOOKUP(B310,TH.Q2!B223:E554,4,FALSE)</f>
        <v>Nhân viên Y tế</v>
      </c>
      <c r="F310" s="1355"/>
      <c r="G310" s="1352"/>
      <c r="H310" s="1356"/>
      <c r="I310" s="1357"/>
      <c r="J310" s="1357"/>
      <c r="K310" s="1357"/>
      <c r="L310" s="1358"/>
      <c r="M310" s="1358"/>
      <c r="N310" s="1358"/>
      <c r="O310" s="1359"/>
      <c r="P310" s="1023">
        <f>VLOOKUP(B310,'111'!B48:V103,21,FALSE)</f>
        <v>5096749</v>
      </c>
      <c r="Q310" s="1371">
        <f t="shared" si="31"/>
        <v>2.1780978632478631</v>
      </c>
      <c r="R310" s="1448">
        <v>2340000</v>
      </c>
      <c r="S310" s="1460">
        <f t="shared" si="32"/>
        <v>5096749</v>
      </c>
      <c r="T310" s="1024">
        <f t="shared" si="35"/>
        <v>298</v>
      </c>
      <c r="U310" s="1025">
        <f>VLOOKUP(B310,'[16]CN HĐ'!$H$10:$M$73,6,FALSE)</f>
        <v>0</v>
      </c>
      <c r="V310" s="1011"/>
      <c r="W310" s="1012"/>
      <c r="X310" s="1012"/>
      <c r="Y310" s="1027"/>
      <c r="Z310" s="1012"/>
      <c r="AA310" s="1012"/>
      <c r="AB310" s="1012"/>
      <c r="AC310" s="1012"/>
      <c r="AD310" s="1012"/>
      <c r="AE310" s="1012"/>
      <c r="AF310" s="1012"/>
      <c r="AG310" s="1012"/>
      <c r="AH310" s="1012"/>
      <c r="AI310" s="1012"/>
    </row>
    <row r="311" spans="1:35" s="1028" customFormat="1" ht="33" customHeight="1">
      <c r="A311" s="1014">
        <f>_xlfn.AGGREGATE(4,7,A$12:A310)+1</f>
        <v>299</v>
      </c>
      <c r="B311" s="1330" t="s">
        <v>2091</v>
      </c>
      <c r="C311" s="1349"/>
      <c r="D311" s="1350"/>
      <c r="E311" s="81" t="str">
        <f>VLOOKUP(B311,TH.Q2!B224:E555,4,FALSE)</f>
        <v>Nhân viên Ký túc xá</v>
      </c>
      <c r="F311" s="1355"/>
      <c r="G311" s="1352"/>
      <c r="H311" s="1356"/>
      <c r="I311" s="1357"/>
      <c r="J311" s="1357"/>
      <c r="K311" s="1357"/>
      <c r="L311" s="1358"/>
      <c r="M311" s="1358"/>
      <c r="N311" s="1358"/>
      <c r="O311" s="1359"/>
      <c r="P311" s="1023">
        <f>VLOOKUP(B311,'111'!B44:V104,21,FALSE)</f>
        <v>1746850</v>
      </c>
      <c r="Q311" s="1371">
        <f t="shared" si="31"/>
        <v>0.74651709401709399</v>
      </c>
      <c r="R311" s="1448">
        <v>2340000</v>
      </c>
      <c r="S311" s="1460">
        <f t="shared" si="32"/>
        <v>1746850</v>
      </c>
      <c r="T311" s="1024">
        <f t="shared" si="35"/>
        <v>299</v>
      </c>
      <c r="U311" s="1025">
        <f>VLOOKUP(B311,'[16]CN HĐ'!$H$10:$M$73,6,FALSE)</f>
        <v>0</v>
      </c>
      <c r="V311" s="1011"/>
      <c r="W311" s="1012"/>
      <c r="X311" s="1012"/>
      <c r="Y311" s="1027"/>
      <c r="Z311" s="1012"/>
      <c r="AA311" s="1012"/>
      <c r="AB311" s="1012"/>
      <c r="AC311" s="1012"/>
      <c r="AD311" s="1012"/>
      <c r="AE311" s="1012"/>
      <c r="AF311" s="1012"/>
      <c r="AG311" s="1012"/>
      <c r="AH311" s="1012"/>
      <c r="AI311" s="1012"/>
    </row>
    <row r="312" spans="1:35" s="1028" customFormat="1" ht="33" customHeight="1">
      <c r="A312" s="1014">
        <f>_xlfn.AGGREGATE(4,7,A$12:A311)+1</f>
        <v>300</v>
      </c>
      <c r="B312" s="1344" t="s">
        <v>2092</v>
      </c>
      <c r="C312" s="1349"/>
      <c r="D312" s="1350"/>
      <c r="E312" s="81" t="str">
        <f>VLOOKUP(B312,TH.Q2!B225:E556,4,FALSE)</f>
        <v>Nhân viên</v>
      </c>
      <c r="F312" s="1355"/>
      <c r="G312" s="1352"/>
      <c r="H312" s="1356"/>
      <c r="I312" s="1357"/>
      <c r="J312" s="1357"/>
      <c r="K312" s="1357"/>
      <c r="L312" s="1358"/>
      <c r="M312" s="1358"/>
      <c r="N312" s="1358"/>
      <c r="O312" s="1359"/>
      <c r="P312" s="1023">
        <f>VLOOKUP(B312,'111'!B49:V105,21,FALSE)</f>
        <v>13922658</v>
      </c>
      <c r="Q312" s="1371">
        <f t="shared" si="31"/>
        <v>5.9498538461538457</v>
      </c>
      <c r="R312" s="1448">
        <v>2340000</v>
      </c>
      <c r="S312" s="1460">
        <f t="shared" si="32"/>
        <v>13922657.999999998</v>
      </c>
      <c r="T312" s="1024">
        <f t="shared" si="35"/>
        <v>300</v>
      </c>
      <c r="U312" s="1025">
        <f>VLOOKUP(B312,'[16]CN HĐ'!$H$10:$M$73,6,FALSE)</f>
        <v>0</v>
      </c>
      <c r="V312" s="1011"/>
      <c r="W312" s="1012"/>
      <c r="X312" s="1012"/>
      <c r="Y312" s="1027"/>
      <c r="Z312" s="1012"/>
      <c r="AA312" s="1012"/>
      <c r="AB312" s="1012"/>
      <c r="AC312" s="1012"/>
      <c r="AD312" s="1012"/>
      <c r="AE312" s="1012"/>
      <c r="AF312" s="1012"/>
      <c r="AG312" s="1012"/>
      <c r="AH312" s="1012"/>
      <c r="AI312" s="1012"/>
    </row>
    <row r="313" spans="1:35" s="1028" customFormat="1" ht="33" customHeight="1">
      <c r="A313" s="1014">
        <f>_xlfn.AGGREGATE(4,7,A$12:A312)+1</f>
        <v>301</v>
      </c>
      <c r="B313" s="1330" t="s">
        <v>2094</v>
      </c>
      <c r="C313" s="1349"/>
      <c r="D313" s="1350"/>
      <c r="E313" s="81" t="str">
        <f>VLOOKUP(B313,TH.Q2!B226:E557,4,FALSE)</f>
        <v>NV Kế toán</v>
      </c>
      <c r="F313" s="1355"/>
      <c r="G313" s="1352"/>
      <c r="H313" s="1356"/>
      <c r="I313" s="1357"/>
      <c r="J313" s="1357"/>
      <c r="K313" s="1357"/>
      <c r="L313" s="1358"/>
      <c r="M313" s="1358"/>
      <c r="N313" s="1358"/>
      <c r="O313" s="1359"/>
      <c r="P313" s="1023">
        <f>VLOOKUP(B313,'111'!B50:V106,21,FALSE)</f>
        <v>7247855</v>
      </c>
      <c r="Q313" s="1371">
        <f t="shared" si="31"/>
        <v>3.0973739316239315</v>
      </c>
      <c r="R313" s="1448">
        <v>2340000</v>
      </c>
      <c r="S313" s="1460">
        <f t="shared" si="32"/>
        <v>7247855</v>
      </c>
      <c r="T313" s="1024">
        <f t="shared" si="35"/>
        <v>301</v>
      </c>
      <c r="U313" s="1025">
        <f>VLOOKUP(B313,'[16]CN HĐ'!$H$10:$M$73,6,FALSE)</f>
        <v>0</v>
      </c>
      <c r="V313" s="1011"/>
      <c r="W313" s="1012"/>
      <c r="X313" s="1012"/>
      <c r="Y313" s="1027"/>
      <c r="Z313" s="1012"/>
      <c r="AA313" s="1012"/>
      <c r="AB313" s="1012"/>
      <c r="AC313" s="1012"/>
      <c r="AD313" s="1012"/>
      <c r="AE313" s="1012"/>
      <c r="AF313" s="1012"/>
      <c r="AG313" s="1012"/>
      <c r="AH313" s="1012"/>
      <c r="AI313" s="1012"/>
    </row>
    <row r="314" spans="1:35" s="1028" customFormat="1" ht="33" customHeight="1">
      <c r="A314" s="1014">
        <f>_xlfn.AGGREGATE(4,7,A$12:A313)+1</f>
        <v>302</v>
      </c>
      <c r="B314" s="1330" t="s">
        <v>2098</v>
      </c>
      <c r="C314" s="1349"/>
      <c r="D314" s="1350"/>
      <c r="E314" s="81" t="str">
        <f>VLOOKUP(B314,TH.Q2!B227:E558,4,FALSE)</f>
        <v>NV Kế toán</v>
      </c>
      <c r="F314" s="1355"/>
      <c r="G314" s="1352"/>
      <c r="H314" s="1356"/>
      <c r="I314" s="1357"/>
      <c r="J314" s="1357"/>
      <c r="K314" s="1357"/>
      <c r="L314" s="1358"/>
      <c r="M314" s="1358"/>
      <c r="N314" s="1358"/>
      <c r="O314" s="1359"/>
      <c r="P314" s="1023">
        <f>VLOOKUP(B314,'111'!B51:V107,21,FALSE)</f>
        <v>5068575</v>
      </c>
      <c r="Q314" s="1371">
        <f t="shared" si="31"/>
        <v>2.1660576923076924</v>
      </c>
      <c r="R314" s="1448">
        <v>2340000</v>
      </c>
      <c r="S314" s="1460">
        <f t="shared" si="32"/>
        <v>5068575</v>
      </c>
      <c r="T314" s="1024">
        <f t="shared" si="35"/>
        <v>302</v>
      </c>
      <c r="U314" s="1025">
        <f>VLOOKUP(B314,'[16]CN HĐ'!$H$10:$M$73,6,FALSE)</f>
        <v>0</v>
      </c>
      <c r="V314" s="1011"/>
      <c r="W314" s="1012"/>
      <c r="X314" s="1012"/>
      <c r="Y314" s="1027"/>
      <c r="Z314" s="1012"/>
      <c r="AA314" s="1012"/>
      <c r="AB314" s="1012"/>
      <c r="AC314" s="1012"/>
      <c r="AD314" s="1012"/>
      <c r="AE314" s="1012"/>
      <c r="AF314" s="1012"/>
      <c r="AG314" s="1012"/>
      <c r="AH314" s="1012"/>
      <c r="AI314" s="1012"/>
    </row>
    <row r="315" spans="1:35" s="1028" customFormat="1" ht="33" customHeight="1">
      <c r="A315" s="1014">
        <f>_xlfn.AGGREGATE(4,7,A$12:A314)+1</f>
        <v>303</v>
      </c>
      <c r="B315" s="1330" t="s">
        <v>2099</v>
      </c>
      <c r="C315" s="1349"/>
      <c r="D315" s="1350"/>
      <c r="E315" s="81" t="str">
        <f>VLOOKUP(B315,TH.Q2!B228:E559,4,FALSE)</f>
        <v>NV Kế toán</v>
      </c>
      <c r="F315" s="1355"/>
      <c r="G315" s="1352"/>
      <c r="H315" s="1356"/>
      <c r="I315" s="1357"/>
      <c r="J315" s="1357"/>
      <c r="K315" s="1357"/>
      <c r="L315" s="1358"/>
      <c r="M315" s="1358"/>
      <c r="N315" s="1358"/>
      <c r="O315" s="1359"/>
      <c r="P315" s="1023">
        <f>VLOOKUP(B315,'111'!B52:V108,21,FALSE)</f>
        <v>5529354</v>
      </c>
      <c r="Q315" s="1371">
        <f t="shared" si="31"/>
        <v>2.362971794871795</v>
      </c>
      <c r="R315" s="1448">
        <v>2340000</v>
      </c>
      <c r="S315" s="1460">
        <f t="shared" si="32"/>
        <v>5529354</v>
      </c>
      <c r="T315" s="1024">
        <f t="shared" si="35"/>
        <v>303</v>
      </c>
      <c r="U315" s="1025">
        <f>VLOOKUP(B315,'[16]CN HĐ'!$H$10:$M$73,6,FALSE)</f>
        <v>0</v>
      </c>
      <c r="V315" s="1011"/>
      <c r="W315" s="1012"/>
      <c r="X315" s="1012"/>
      <c r="Y315" s="1027"/>
      <c r="Z315" s="1012"/>
      <c r="AA315" s="1012"/>
      <c r="AB315" s="1012"/>
      <c r="AC315" s="1012"/>
      <c r="AD315" s="1012"/>
      <c r="AE315" s="1012"/>
      <c r="AF315" s="1012"/>
      <c r="AG315" s="1012"/>
      <c r="AH315" s="1012"/>
      <c r="AI315" s="1012"/>
    </row>
    <row r="316" spans="1:35" s="1028" customFormat="1" ht="33" customHeight="1">
      <c r="A316" s="1014">
        <f>_xlfn.AGGREGATE(4,7,A$12:A315)+1</f>
        <v>304</v>
      </c>
      <c r="B316" s="1330" t="s">
        <v>2100</v>
      </c>
      <c r="C316" s="1349"/>
      <c r="D316" s="1350"/>
      <c r="E316" s="81" t="str">
        <f>VLOOKUP(B316,TH.Q2!B229:E560,4,FALSE)</f>
        <v>Nhân viên</v>
      </c>
      <c r="F316" s="1355"/>
      <c r="G316" s="1352"/>
      <c r="H316" s="1356"/>
      <c r="I316" s="1357"/>
      <c r="J316" s="1357"/>
      <c r="K316" s="1357"/>
      <c r="L316" s="1358"/>
      <c r="M316" s="1358"/>
      <c r="N316" s="1358"/>
      <c r="O316" s="1359"/>
      <c r="P316" s="1023">
        <f>VLOOKUP(B316,'111'!B43:V109,21,FALSE)</f>
        <v>9483508</v>
      </c>
      <c r="Q316" s="1371">
        <f t="shared" si="31"/>
        <v>4.0527811965811962</v>
      </c>
      <c r="R316" s="1448">
        <v>2340000</v>
      </c>
      <c r="S316" s="1460">
        <f t="shared" si="32"/>
        <v>9483507.9999999981</v>
      </c>
      <c r="T316" s="1024">
        <f t="shared" si="35"/>
        <v>304</v>
      </c>
      <c r="U316" s="1025">
        <f>VLOOKUP(B316,'[16]CN HĐ'!$H$10:$M$73,6,FALSE)</f>
        <v>0</v>
      </c>
      <c r="V316" s="1011"/>
      <c r="W316" s="1012"/>
      <c r="X316" s="1012"/>
      <c r="Y316" s="1027"/>
      <c r="Z316" s="1012"/>
      <c r="AA316" s="1012"/>
      <c r="AB316" s="1012"/>
      <c r="AC316" s="1012"/>
      <c r="AD316" s="1012"/>
      <c r="AE316" s="1012"/>
      <c r="AF316" s="1012"/>
      <c r="AG316" s="1012"/>
      <c r="AH316" s="1012"/>
      <c r="AI316" s="1012"/>
    </row>
    <row r="317" spans="1:35" s="1028" customFormat="1" ht="33" customHeight="1">
      <c r="A317" s="1014">
        <f>_xlfn.AGGREGATE(4,7,A$12:A316)+1</f>
        <v>305</v>
      </c>
      <c r="B317" s="1330" t="s">
        <v>2102</v>
      </c>
      <c r="C317" s="1349"/>
      <c r="D317" s="1350"/>
      <c r="E317" s="81" t="str">
        <f>VLOOKUP(B317,TH.Q2!B230:E561,4,FALSE)</f>
        <v>NV Phòng Quản trị - Dịch vụ</v>
      </c>
      <c r="F317" s="1355"/>
      <c r="G317" s="1352"/>
      <c r="H317" s="1356"/>
      <c r="I317" s="1357"/>
      <c r="J317" s="1357"/>
      <c r="K317" s="1357"/>
      <c r="L317" s="1358"/>
      <c r="M317" s="1358"/>
      <c r="N317" s="1358"/>
      <c r="O317" s="1359"/>
      <c r="P317" s="1023">
        <f>VLOOKUP(B317,'111'!B53:V110,21,FALSE)</f>
        <v>4402763</v>
      </c>
      <c r="Q317" s="1371">
        <f t="shared" si="31"/>
        <v>1.8815226495726496</v>
      </c>
      <c r="R317" s="1448">
        <v>2340000</v>
      </c>
      <c r="S317" s="1460">
        <f t="shared" si="32"/>
        <v>4402763</v>
      </c>
      <c r="T317" s="1024">
        <f t="shared" si="35"/>
        <v>305</v>
      </c>
      <c r="U317" s="1025">
        <f>VLOOKUP(B317,'[16]CN HĐ'!$H$10:$M$73,6,FALSE)</f>
        <v>0</v>
      </c>
      <c r="V317" s="1011"/>
      <c r="W317" s="1012"/>
      <c r="X317" s="1012"/>
      <c r="Y317" s="1027"/>
      <c r="Z317" s="1012"/>
      <c r="AA317" s="1012"/>
      <c r="AB317" s="1012"/>
      <c r="AC317" s="1012"/>
      <c r="AD317" s="1012"/>
      <c r="AE317" s="1012"/>
      <c r="AF317" s="1012"/>
      <c r="AG317" s="1012"/>
      <c r="AH317" s="1012"/>
      <c r="AI317" s="1012"/>
    </row>
    <row r="318" spans="1:35" s="1028" customFormat="1" ht="33" customHeight="1">
      <c r="A318" s="1014">
        <f>_xlfn.AGGREGATE(4,7,A$12:A317)+1</f>
        <v>306</v>
      </c>
      <c r="B318" s="1330" t="s">
        <v>2106</v>
      </c>
      <c r="C318" s="1349"/>
      <c r="D318" s="1350"/>
      <c r="E318" s="81" t="str">
        <f>VLOOKUP(B318,TH.Q2!B231:E562,4,FALSE)</f>
        <v>Nhân viên phòng Thanh tra GD - Quan hệ DN</v>
      </c>
      <c r="F318" s="1355"/>
      <c r="G318" s="1352"/>
      <c r="H318" s="1356"/>
      <c r="I318" s="1357"/>
      <c r="J318" s="1357"/>
      <c r="K318" s="1357"/>
      <c r="L318" s="1358"/>
      <c r="M318" s="1358"/>
      <c r="N318" s="1358"/>
      <c r="O318" s="1359"/>
      <c r="P318" s="1023">
        <f>VLOOKUP(B318,'111'!B27:V111,21,FALSE)</f>
        <v>5283316</v>
      </c>
      <c r="Q318" s="1371">
        <f t="shared" si="31"/>
        <v>2.2578273504273505</v>
      </c>
      <c r="R318" s="1448">
        <v>2340000</v>
      </c>
      <c r="S318" s="1460">
        <f t="shared" si="32"/>
        <v>5283316</v>
      </c>
      <c r="T318" s="1024">
        <f t="shared" si="35"/>
        <v>306</v>
      </c>
      <c r="U318" s="1025" t="str">
        <f>VLOOKUP(B318,'[16]CN HĐ'!$H$10:$M$73,6,FALSE)</f>
        <v>Trừ 1 ngày nghỉ phép 19/10</v>
      </c>
      <c r="V318" s="1011"/>
      <c r="W318" s="1012"/>
      <c r="X318" s="1012"/>
      <c r="Y318" s="1027"/>
      <c r="Z318" s="1012"/>
      <c r="AA318" s="1012"/>
      <c r="AB318" s="1012"/>
      <c r="AC318" s="1012"/>
      <c r="AD318" s="1012"/>
      <c r="AE318" s="1012"/>
      <c r="AF318" s="1012"/>
      <c r="AG318" s="1012"/>
      <c r="AH318" s="1012"/>
      <c r="AI318" s="1012"/>
    </row>
    <row r="319" spans="1:35" s="1028" customFormat="1" ht="33" customHeight="1">
      <c r="A319" s="1014">
        <f>_xlfn.AGGREGATE(4,7,A$12:A318)+1</f>
        <v>307</v>
      </c>
      <c r="B319" s="1330" t="s">
        <v>2108</v>
      </c>
      <c r="C319" s="1349"/>
      <c r="D319" s="1350"/>
      <c r="E319" s="81" t="str">
        <f>VLOOKUP(B319,TH.Q2!B232:E563,4,FALSE)</f>
        <v>Nhân viên phòng Thanh tra GD - Quan hệ DN</v>
      </c>
      <c r="F319" s="1355"/>
      <c r="G319" s="1352"/>
      <c r="H319" s="1356"/>
      <c r="I319" s="1357"/>
      <c r="J319" s="1357"/>
      <c r="K319" s="1357"/>
      <c r="L319" s="1358"/>
      <c r="M319" s="1358"/>
      <c r="N319" s="1358"/>
      <c r="O319" s="1359"/>
      <c r="P319" s="1023">
        <f>VLOOKUP(B319,'111'!B47:V112,21,FALSE)</f>
        <v>3620410</v>
      </c>
      <c r="Q319" s="1371">
        <f t="shared" si="31"/>
        <v>1.5471837606837606</v>
      </c>
      <c r="R319" s="1448">
        <v>2340000</v>
      </c>
      <c r="S319" s="1460">
        <f t="shared" si="32"/>
        <v>3620410</v>
      </c>
      <c r="T319" s="1024">
        <f t="shared" si="35"/>
        <v>307</v>
      </c>
      <c r="U319" s="1025">
        <f>VLOOKUP(B319,'[16]CN HĐ'!$H$10:$M$73,6,FALSE)</f>
        <v>0</v>
      </c>
      <c r="V319" s="1011"/>
      <c r="W319" s="1012"/>
      <c r="X319" s="1012"/>
      <c r="Y319" s="1027"/>
      <c r="Z319" s="1012"/>
      <c r="AA319" s="1012"/>
      <c r="AB319" s="1012"/>
      <c r="AC319" s="1012"/>
      <c r="AD319" s="1012"/>
      <c r="AE319" s="1012"/>
      <c r="AF319" s="1012"/>
      <c r="AG319" s="1012"/>
      <c r="AH319" s="1012"/>
      <c r="AI319" s="1012"/>
    </row>
    <row r="320" spans="1:35" s="1028" customFormat="1" ht="33" customHeight="1">
      <c r="A320" s="1014">
        <f>_xlfn.AGGREGATE(4,7,A$12:A319)+1</f>
        <v>308</v>
      </c>
      <c r="B320" s="1330" t="s">
        <v>2109</v>
      </c>
      <c r="C320" s="1349"/>
      <c r="D320" s="1350"/>
      <c r="E320" s="81" t="str">
        <f>VLOOKUP(B320,TH.Q2!B233:E564,4,FALSE)</f>
        <v>Nhân viên phòng Thanh tra GD - Quan hệ DN</v>
      </c>
      <c r="F320" s="1355"/>
      <c r="G320" s="1352"/>
      <c r="H320" s="1356"/>
      <c r="I320" s="1357"/>
      <c r="J320" s="1357"/>
      <c r="K320" s="1357"/>
      <c r="L320" s="1358"/>
      <c r="M320" s="1358"/>
      <c r="N320" s="1358"/>
      <c r="O320" s="1359"/>
      <c r="P320" s="1023">
        <f>VLOOKUP(B320,'111'!B54:V113,21,FALSE)</f>
        <v>0</v>
      </c>
      <c r="Q320" s="1371">
        <f t="shared" si="31"/>
        <v>0</v>
      </c>
      <c r="R320" s="1448">
        <v>2340000</v>
      </c>
      <c r="S320" s="1460">
        <f t="shared" si="32"/>
        <v>0</v>
      </c>
      <c r="T320" s="1024">
        <f t="shared" si="35"/>
        <v>308</v>
      </c>
      <c r="U320" s="1025" t="str">
        <f>VLOOKUP(B320,'[16]CN HĐ'!$H$10:$M$73,6,FALSE)</f>
        <v>Trừ 2 ngày nghỉ phép 7+19/10</v>
      </c>
      <c r="V320" s="1011"/>
      <c r="W320" s="1012"/>
      <c r="X320" s="1012"/>
      <c r="Y320" s="1027"/>
      <c r="Z320" s="1012"/>
      <c r="AA320" s="1012"/>
      <c r="AB320" s="1012"/>
      <c r="AC320" s="1012"/>
      <c r="AD320" s="1012"/>
      <c r="AE320" s="1012"/>
      <c r="AF320" s="1012"/>
      <c r="AG320" s="1012"/>
      <c r="AH320" s="1012"/>
      <c r="AI320" s="1012"/>
    </row>
    <row r="321" spans="1:35" s="1028" customFormat="1" ht="33" customHeight="1">
      <c r="A321" s="1014">
        <f>_xlfn.AGGREGATE(4,7,A$12:A320)+1</f>
        <v>309</v>
      </c>
      <c r="B321" s="1330" t="s">
        <v>2110</v>
      </c>
      <c r="C321" s="1349"/>
      <c r="D321" s="1350"/>
      <c r="E321" s="81" t="str">
        <f>VLOOKUP(B321,TH.Q2!B234:E565,4,FALSE)</f>
        <v>Nhân viên phòng Quản trị - Dịch vụ</v>
      </c>
      <c r="F321" s="1355"/>
      <c r="G321" s="1352"/>
      <c r="H321" s="1356"/>
      <c r="I321" s="1357"/>
      <c r="J321" s="1357"/>
      <c r="K321" s="1357"/>
      <c r="L321" s="1358"/>
      <c r="M321" s="1358"/>
      <c r="N321" s="1358"/>
      <c r="O321" s="1359"/>
      <c r="P321" s="1023">
        <f>VLOOKUP(B321,'111'!B42:V114,21,FALSE)</f>
        <v>3993436</v>
      </c>
      <c r="Q321" s="1371">
        <f t="shared" si="31"/>
        <v>1.7065965811965811</v>
      </c>
      <c r="R321" s="1448">
        <v>2340000</v>
      </c>
      <c r="S321" s="1460">
        <f t="shared" si="32"/>
        <v>3993435.9999999995</v>
      </c>
      <c r="T321" s="1024">
        <f t="shared" si="35"/>
        <v>309</v>
      </c>
      <c r="U321" s="1025" t="str">
        <f>VLOOKUP(B321,'[16]CN HĐ'!$H$10:$M$73,6,FALSE)</f>
        <v>Trừ 2 ngày nghỉ phép 26+28/10</v>
      </c>
      <c r="V321" s="1011"/>
      <c r="W321" s="1012"/>
      <c r="X321" s="1012"/>
      <c r="Y321" s="1027"/>
      <c r="Z321" s="1012"/>
      <c r="AA321" s="1012"/>
      <c r="AB321" s="1012"/>
      <c r="AC321" s="1012"/>
      <c r="AD321" s="1012"/>
      <c r="AE321" s="1012"/>
      <c r="AF321" s="1012"/>
      <c r="AG321" s="1012"/>
      <c r="AH321" s="1012"/>
      <c r="AI321" s="1012"/>
    </row>
    <row r="322" spans="1:35" s="1028" customFormat="1" ht="33" customHeight="1">
      <c r="A322" s="1014">
        <f>_xlfn.AGGREGATE(4,7,A$12:A321)+1</f>
        <v>310</v>
      </c>
      <c r="B322" s="1330" t="s">
        <v>2113</v>
      </c>
      <c r="C322" s="1349"/>
      <c r="D322" s="1350"/>
      <c r="E322" s="81" t="str">
        <f>VLOOKUP(B322,TH.Q2!B235:E566,4,FALSE)</f>
        <v>Nhân viên phòng Thanh tra GD - Quan hệ DN</v>
      </c>
      <c r="F322" s="1355"/>
      <c r="G322" s="1352"/>
      <c r="H322" s="1356"/>
      <c r="I322" s="1357"/>
      <c r="J322" s="1357"/>
      <c r="K322" s="1357"/>
      <c r="L322" s="1358"/>
      <c r="M322" s="1358"/>
      <c r="N322" s="1358"/>
      <c r="O322" s="1359"/>
      <c r="P322" s="1023">
        <f>VLOOKUP(B322,'111'!B46:V115,21,FALSE)</f>
        <v>3949538</v>
      </c>
      <c r="Q322" s="1371">
        <f t="shared" si="31"/>
        <v>1.6878367521367521</v>
      </c>
      <c r="R322" s="1448">
        <v>2340000</v>
      </c>
      <c r="S322" s="1460">
        <f t="shared" si="32"/>
        <v>3949538</v>
      </c>
      <c r="T322" s="1024">
        <f t="shared" si="35"/>
        <v>310</v>
      </c>
      <c r="U322" s="1025">
        <f>VLOOKUP(B322,'[16]CN HĐ'!$H$10:$M$73,6,FALSE)</f>
        <v>0</v>
      </c>
      <c r="V322" s="1011"/>
      <c r="W322" s="1012"/>
      <c r="X322" s="1012"/>
      <c r="Y322" s="1027"/>
      <c r="Z322" s="1012"/>
      <c r="AA322" s="1012"/>
      <c r="AB322" s="1012"/>
      <c r="AC322" s="1012"/>
      <c r="AD322" s="1012"/>
      <c r="AE322" s="1012"/>
      <c r="AF322" s="1012"/>
      <c r="AG322" s="1012"/>
      <c r="AH322" s="1012"/>
      <c r="AI322" s="1012"/>
    </row>
    <row r="323" spans="1:35" s="1028" customFormat="1" ht="33" customHeight="1">
      <c r="A323" s="1014">
        <f>_xlfn.AGGREGATE(4,7,A$12:A322)+1</f>
        <v>311</v>
      </c>
      <c r="B323" s="1330" t="s">
        <v>2114</v>
      </c>
      <c r="C323" s="1349"/>
      <c r="D323" s="1350"/>
      <c r="E323" s="81" t="str">
        <f>VLOOKUP(B323,TH.Q2!B236:E567,4,FALSE)</f>
        <v>Nhân viên phòng KHCN &amp; HTQT</v>
      </c>
      <c r="F323" s="1355"/>
      <c r="G323" s="1352"/>
      <c r="H323" s="1356"/>
      <c r="I323" s="1357"/>
      <c r="J323" s="1357"/>
      <c r="K323" s="1357"/>
      <c r="L323" s="1358"/>
      <c r="M323" s="1358"/>
      <c r="N323" s="1358"/>
      <c r="O323" s="1359"/>
      <c r="P323" s="1023">
        <f>VLOOKUP(B323,'111'!B55:V116,21,FALSE)</f>
        <v>7247855</v>
      </c>
      <c r="Q323" s="1371">
        <f t="shared" si="31"/>
        <v>3.0973739316239315</v>
      </c>
      <c r="R323" s="1448">
        <v>2340000</v>
      </c>
      <c r="S323" s="1460">
        <f t="shared" si="32"/>
        <v>7247855</v>
      </c>
      <c r="T323" s="1024">
        <f t="shared" si="35"/>
        <v>311</v>
      </c>
      <c r="U323" s="1025">
        <f>VLOOKUP(B323,'[16]CN HĐ'!$H$10:$M$73,6,FALSE)</f>
        <v>0</v>
      </c>
      <c r="V323" s="1011"/>
      <c r="W323" s="1012"/>
      <c r="X323" s="1012"/>
      <c r="Y323" s="1027"/>
      <c r="Z323" s="1012"/>
      <c r="AA323" s="1012"/>
      <c r="AB323" s="1012"/>
      <c r="AC323" s="1012"/>
      <c r="AD323" s="1012"/>
      <c r="AE323" s="1012"/>
      <c r="AF323" s="1012"/>
      <c r="AG323" s="1012"/>
      <c r="AH323" s="1012"/>
      <c r="AI323" s="1012"/>
    </row>
    <row r="324" spans="1:35" s="1028" customFormat="1" ht="33" customHeight="1">
      <c r="A324" s="1014">
        <f>_xlfn.AGGREGATE(4,7,A$12:A323)+1</f>
        <v>312</v>
      </c>
      <c r="B324" s="1330" t="s">
        <v>2117</v>
      </c>
      <c r="C324" s="1349"/>
      <c r="D324" s="1350"/>
      <c r="E324" s="81" t="str">
        <f>VLOOKUP(B324,TH.Q2!B237:E568,4,FALSE)</f>
        <v>Nhân viên phòng KHCN &amp; HTQT</v>
      </c>
      <c r="F324" s="1355"/>
      <c r="G324" s="1352"/>
      <c r="H324" s="1356"/>
      <c r="I324" s="1357"/>
      <c r="J324" s="1357"/>
      <c r="K324" s="1357"/>
      <c r="L324" s="1358"/>
      <c r="M324" s="1358"/>
      <c r="N324" s="1358"/>
      <c r="O324" s="1359"/>
      <c r="P324" s="1023">
        <f>VLOOKUP(B324,'111'!B56:V117,21,FALSE)</f>
        <v>5529354</v>
      </c>
      <c r="Q324" s="1371">
        <f t="shared" si="31"/>
        <v>2.362971794871795</v>
      </c>
      <c r="R324" s="1448">
        <v>2340000</v>
      </c>
      <c r="S324" s="1460">
        <f t="shared" si="32"/>
        <v>5529354</v>
      </c>
      <c r="T324" s="1024">
        <f t="shared" si="35"/>
        <v>312</v>
      </c>
      <c r="U324" s="1025">
        <f>VLOOKUP(B324,'[16]CN HĐ'!$H$10:$M$73,6,FALSE)</f>
        <v>0</v>
      </c>
      <c r="V324" s="1011"/>
      <c r="W324" s="1012"/>
      <c r="X324" s="1012"/>
      <c r="Y324" s="1027"/>
      <c r="Z324" s="1012"/>
      <c r="AA324" s="1012"/>
      <c r="AB324" s="1012"/>
      <c r="AC324" s="1012"/>
      <c r="AD324" s="1012"/>
      <c r="AE324" s="1012"/>
      <c r="AF324" s="1012"/>
      <c r="AG324" s="1012"/>
      <c r="AH324" s="1012"/>
      <c r="AI324" s="1012"/>
    </row>
    <row r="325" spans="1:35" s="1028" customFormat="1" ht="33" customHeight="1">
      <c r="A325" s="1014">
        <f>_xlfn.AGGREGATE(4,7,A$12:A324)+1</f>
        <v>313</v>
      </c>
      <c r="B325" s="1330" t="s">
        <v>2119</v>
      </c>
      <c r="C325" s="1349"/>
      <c r="D325" s="1350"/>
      <c r="E325" s="81" t="str">
        <f>VLOOKUP(B325,TH.Q2!B238:E569,4,FALSE)</f>
        <v>Nhân viên phòng Thanh tra GD - Quan hệ DN</v>
      </c>
      <c r="F325" s="1355"/>
      <c r="G325" s="1352"/>
      <c r="H325" s="1356"/>
      <c r="I325" s="1357"/>
      <c r="J325" s="1357"/>
      <c r="K325" s="1357"/>
      <c r="L325" s="1358"/>
      <c r="M325" s="1358"/>
      <c r="N325" s="1358"/>
      <c r="O325" s="1359"/>
      <c r="P325" s="1023">
        <f>VLOOKUP(B325,'111'!B57:V118,21,FALSE)</f>
        <v>4739446</v>
      </c>
      <c r="Q325" s="1371">
        <f t="shared" si="31"/>
        <v>2.0254042735042734</v>
      </c>
      <c r="R325" s="1448">
        <v>2340000</v>
      </c>
      <c r="S325" s="1460">
        <f t="shared" si="32"/>
        <v>4739446</v>
      </c>
      <c r="T325" s="1024">
        <f t="shared" si="35"/>
        <v>313</v>
      </c>
      <c r="U325" s="1025">
        <f>VLOOKUP(B325,'[16]CN HĐ'!$H$10:$M$73,6,FALSE)</f>
        <v>0</v>
      </c>
      <c r="V325" s="1011"/>
      <c r="W325" s="1012"/>
      <c r="X325" s="1012"/>
      <c r="Y325" s="1027"/>
      <c r="Z325" s="1012"/>
      <c r="AA325" s="1012"/>
      <c r="AB325" s="1012"/>
      <c r="AC325" s="1012"/>
      <c r="AD325" s="1012"/>
      <c r="AE325" s="1012"/>
      <c r="AF325" s="1012"/>
      <c r="AG325" s="1012"/>
      <c r="AH325" s="1012"/>
      <c r="AI325" s="1012"/>
    </row>
    <row r="326" spans="1:35" s="1028" customFormat="1" ht="33" customHeight="1">
      <c r="A326" s="1014">
        <f>_xlfn.AGGREGATE(4,7,A$12:A325)+1</f>
        <v>314</v>
      </c>
      <c r="B326" s="1330" t="s">
        <v>2123</v>
      </c>
      <c r="C326" s="1349"/>
      <c r="D326" s="1350"/>
      <c r="E326" s="81" t="str">
        <f>VLOOKUP(B326,TH.Q2!B239:E570,4,FALSE)</f>
        <v>Nhân viên phòng Thanh tra GD - Quan hệ DN</v>
      </c>
      <c r="F326" s="1355"/>
      <c r="G326" s="1352"/>
      <c r="H326" s="1356"/>
      <c r="I326" s="1357"/>
      <c r="J326" s="1357"/>
      <c r="K326" s="1357"/>
      <c r="L326" s="1358"/>
      <c r="M326" s="1358"/>
      <c r="N326" s="1358"/>
      <c r="O326" s="1359"/>
      <c r="P326" s="1023">
        <f>VLOOKUP(B326,'111'!B58:V119,21,FALSE)</f>
        <v>4402763</v>
      </c>
      <c r="Q326" s="1371">
        <f t="shared" si="31"/>
        <v>1.8815226495726496</v>
      </c>
      <c r="R326" s="1448">
        <v>2340000</v>
      </c>
      <c r="S326" s="1460">
        <f t="shared" si="32"/>
        <v>4402763</v>
      </c>
      <c r="T326" s="1024">
        <f t="shared" si="35"/>
        <v>314</v>
      </c>
      <c r="U326" s="1025" t="str">
        <f>VLOOKUP(B326,'[16]CN HĐ'!$H$10:$M$73,6,FALSE)</f>
        <v>Trừ 2 ngày nghỉ phép 14+15/10</v>
      </c>
      <c r="V326" s="1011"/>
      <c r="W326" s="1012"/>
      <c r="X326" s="1012"/>
      <c r="Y326" s="1027"/>
      <c r="Z326" s="1012"/>
      <c r="AA326" s="1012"/>
      <c r="AB326" s="1012"/>
      <c r="AC326" s="1012"/>
      <c r="AD326" s="1012"/>
      <c r="AE326" s="1012"/>
      <c r="AF326" s="1012"/>
      <c r="AG326" s="1012"/>
      <c r="AH326" s="1012"/>
      <c r="AI326" s="1012"/>
    </row>
    <row r="327" spans="1:35" s="1028" customFormat="1" ht="33" customHeight="1">
      <c r="A327" s="1014">
        <f>_xlfn.AGGREGATE(4,7,A$12:A326)+1</f>
        <v>315</v>
      </c>
      <c r="B327" s="1330" t="s">
        <v>2125</v>
      </c>
      <c r="C327" s="1349"/>
      <c r="D327" s="1350"/>
      <c r="E327" s="81" t="str">
        <f>VLOOKUP(B327,TH.Q2!B240:E571,4,FALSE)</f>
        <v>NV Phòng Tuyển sinh - Đào tạo</v>
      </c>
      <c r="F327" s="1355"/>
      <c r="G327" s="1352"/>
      <c r="H327" s="1356"/>
      <c r="I327" s="1357"/>
      <c r="J327" s="1357"/>
      <c r="K327" s="1357"/>
      <c r="L327" s="1358"/>
      <c r="M327" s="1358"/>
      <c r="N327" s="1358"/>
      <c r="O327" s="1359"/>
      <c r="P327" s="1023">
        <f>VLOOKUP(B327,'111'!B59:V120,21,FALSE)</f>
        <v>7580090</v>
      </c>
      <c r="Q327" s="1371">
        <f t="shared" si="31"/>
        <v>3.239354700854701</v>
      </c>
      <c r="R327" s="1448">
        <v>2340000</v>
      </c>
      <c r="S327" s="1460">
        <f t="shared" si="32"/>
        <v>7580090</v>
      </c>
      <c r="T327" s="1024">
        <f t="shared" si="35"/>
        <v>315</v>
      </c>
      <c r="U327" s="1025">
        <f>VLOOKUP(B327,'[16]CN HĐ'!$H$10:$M$73,6,FALSE)</f>
        <v>0</v>
      </c>
      <c r="V327" s="1011"/>
      <c r="W327" s="1012"/>
      <c r="X327" s="1012"/>
      <c r="Y327" s="1027"/>
      <c r="Z327" s="1012"/>
      <c r="AA327" s="1012"/>
      <c r="AB327" s="1012"/>
      <c r="AC327" s="1012"/>
      <c r="AD327" s="1012"/>
      <c r="AE327" s="1012"/>
      <c r="AF327" s="1012"/>
      <c r="AG327" s="1012"/>
      <c r="AH327" s="1012"/>
      <c r="AI327" s="1012"/>
    </row>
    <row r="328" spans="1:35" s="1028" customFormat="1" ht="33" customHeight="1">
      <c r="A328" s="1014">
        <f>_xlfn.AGGREGATE(4,7,A$12:A327)+1</f>
        <v>316</v>
      </c>
      <c r="B328" s="1330" t="s">
        <v>2128</v>
      </c>
      <c r="C328" s="1349"/>
      <c r="D328" s="1350"/>
      <c r="E328" s="81" t="str">
        <f>VLOOKUP(B328,TH.Q2!B241:E572,4,FALSE)</f>
        <v>NV phòng TS - Đào tạo</v>
      </c>
      <c r="F328" s="1355"/>
      <c r="G328" s="1352"/>
      <c r="H328" s="1356"/>
      <c r="I328" s="1357"/>
      <c r="J328" s="1357"/>
      <c r="K328" s="1357"/>
      <c r="L328" s="1358"/>
      <c r="M328" s="1358"/>
      <c r="N328" s="1358"/>
      <c r="O328" s="1359"/>
      <c r="P328" s="1023">
        <f>VLOOKUP(B328,'111'!B60:V121,21,FALSE)</f>
        <v>6319262</v>
      </c>
      <c r="Q328" s="1371">
        <f t="shared" si="31"/>
        <v>2.7005393162393161</v>
      </c>
      <c r="R328" s="1448">
        <v>2340000</v>
      </c>
      <c r="S328" s="1460">
        <f t="shared" si="32"/>
        <v>6319262</v>
      </c>
      <c r="T328" s="1024">
        <f t="shared" si="35"/>
        <v>316</v>
      </c>
      <c r="U328" s="1025">
        <f>VLOOKUP(B328,'[16]CN HĐ'!$H$10:$M$73,6,FALSE)</f>
        <v>0</v>
      </c>
      <c r="V328" s="1011"/>
      <c r="W328" s="1012"/>
      <c r="X328" s="1012"/>
      <c r="Y328" s="1027"/>
      <c r="Z328" s="1012"/>
      <c r="AA328" s="1012"/>
      <c r="AB328" s="1012"/>
      <c r="AC328" s="1012"/>
      <c r="AD328" s="1012"/>
      <c r="AE328" s="1012"/>
      <c r="AF328" s="1012"/>
      <c r="AG328" s="1012"/>
      <c r="AH328" s="1012"/>
      <c r="AI328" s="1012"/>
    </row>
    <row r="329" spans="1:35" s="1028" customFormat="1" ht="33" customHeight="1">
      <c r="A329" s="1014">
        <f>_xlfn.AGGREGATE(4,7,A$12:A328)+1</f>
        <v>317</v>
      </c>
      <c r="B329" s="1330" t="s">
        <v>2131</v>
      </c>
      <c r="C329" s="1349"/>
      <c r="D329" s="1350"/>
      <c r="E329" s="81" t="str">
        <f>VLOOKUP(B329,TH.Q2!B242:E573,4,FALSE)</f>
        <v>NV phòng TS - Đào tạo</v>
      </c>
      <c r="F329" s="1355"/>
      <c r="G329" s="1352"/>
      <c r="H329" s="1356"/>
      <c r="I329" s="1357"/>
      <c r="J329" s="1357"/>
      <c r="K329" s="1357"/>
      <c r="L329" s="1358"/>
      <c r="M329" s="1358"/>
      <c r="N329" s="1358"/>
      <c r="O329" s="1359"/>
      <c r="P329" s="1023">
        <f>VLOOKUP(B329,'111'!B61:V122,21,FALSE)</f>
        <v>8283263</v>
      </c>
      <c r="Q329" s="1371">
        <f t="shared" si="31"/>
        <v>3.539855982905983</v>
      </c>
      <c r="R329" s="1448">
        <v>2340000</v>
      </c>
      <c r="S329" s="1460">
        <f t="shared" si="32"/>
        <v>8283263</v>
      </c>
      <c r="T329" s="1024">
        <f t="shared" si="35"/>
        <v>317</v>
      </c>
      <c r="U329" s="1025">
        <f>VLOOKUP(B329,'[16]CN HĐ'!$H$10:$M$73,6,FALSE)</f>
        <v>0</v>
      </c>
      <c r="V329" s="1011"/>
      <c r="W329" s="1012"/>
      <c r="X329" s="1012"/>
      <c r="Y329" s="1027"/>
      <c r="Z329" s="1012"/>
      <c r="AA329" s="1012"/>
      <c r="AB329" s="1012"/>
      <c r="AC329" s="1012"/>
      <c r="AD329" s="1012"/>
      <c r="AE329" s="1012"/>
      <c r="AF329" s="1012"/>
      <c r="AG329" s="1012"/>
      <c r="AH329" s="1012"/>
      <c r="AI329" s="1012"/>
    </row>
    <row r="330" spans="1:35" s="1028" customFormat="1" ht="33" customHeight="1">
      <c r="A330" s="1014">
        <f>_xlfn.AGGREGATE(4,7,A$12:A329)+1</f>
        <v>318</v>
      </c>
      <c r="B330" s="1330" t="s">
        <v>2134</v>
      </c>
      <c r="C330" s="1349"/>
      <c r="D330" s="1350"/>
      <c r="E330" s="81" t="str">
        <f>VLOOKUP(B330,TH.Q2!B243:E574,4,FALSE)</f>
        <v>NV phòng TS - Đào tạo</v>
      </c>
      <c r="F330" s="1355"/>
      <c r="G330" s="1352"/>
      <c r="H330" s="1356"/>
      <c r="I330" s="1357"/>
      <c r="J330" s="1357"/>
      <c r="K330" s="1357"/>
      <c r="L330" s="1358"/>
      <c r="M330" s="1358"/>
      <c r="N330" s="1358"/>
      <c r="O330" s="1359"/>
      <c r="P330" s="1023">
        <f>VLOOKUP(B330,'111'!B62:V123,21,FALSE)</f>
        <v>9483506</v>
      </c>
      <c r="Q330" s="1371">
        <f t="shared" si="31"/>
        <v>4.0527803418803421</v>
      </c>
      <c r="R330" s="1448">
        <v>2340000</v>
      </c>
      <c r="S330" s="1460">
        <f t="shared" si="32"/>
        <v>9483506</v>
      </c>
      <c r="T330" s="1024">
        <f t="shared" si="35"/>
        <v>318</v>
      </c>
      <c r="U330" s="1025">
        <f>VLOOKUP(B330,'[16]CN HĐ'!$H$10:$M$73,6,FALSE)</f>
        <v>0</v>
      </c>
      <c r="V330" s="1011"/>
      <c r="W330" s="1012"/>
      <c r="X330" s="1012"/>
      <c r="Y330" s="1027"/>
      <c r="Z330" s="1012"/>
      <c r="AA330" s="1012"/>
      <c r="AB330" s="1012"/>
      <c r="AC330" s="1012"/>
      <c r="AD330" s="1012"/>
      <c r="AE330" s="1012"/>
      <c r="AF330" s="1012"/>
      <c r="AG330" s="1012"/>
      <c r="AH330" s="1012"/>
      <c r="AI330" s="1012"/>
    </row>
    <row r="331" spans="1:35" s="1028" customFormat="1" ht="33" customHeight="1">
      <c r="A331" s="1014">
        <f>_xlfn.AGGREGATE(4,7,A$12:A330)+1</f>
        <v>319</v>
      </c>
      <c r="B331" s="1330" t="s">
        <v>2137</v>
      </c>
      <c r="C331" s="1349"/>
      <c r="D331" s="1350"/>
      <c r="E331" s="81" t="str">
        <f>VLOOKUP(B331,TH.Q2!B244:E575,4,FALSE)</f>
        <v>NV phòng TS - Đào tạo</v>
      </c>
      <c r="F331" s="1355"/>
      <c r="G331" s="1352"/>
      <c r="H331" s="1356"/>
      <c r="I331" s="1357"/>
      <c r="J331" s="1357"/>
      <c r="K331" s="1357"/>
      <c r="L331" s="1358"/>
      <c r="M331" s="1358"/>
      <c r="N331" s="1358"/>
      <c r="O331" s="1359"/>
      <c r="P331" s="1023">
        <f>VLOOKUP(B331,'111'!B63:V124,21,FALSE)</f>
        <v>5905852</v>
      </c>
      <c r="Q331" s="1371">
        <f t="shared" si="31"/>
        <v>2.5238683760683762</v>
      </c>
      <c r="R331" s="1448">
        <v>2340000</v>
      </c>
      <c r="S331" s="1460">
        <f t="shared" si="32"/>
        <v>5905852</v>
      </c>
      <c r="T331" s="1024">
        <f t="shared" si="35"/>
        <v>319</v>
      </c>
      <c r="U331" s="1025">
        <f>VLOOKUP(B331,'[16]CN HĐ'!$H$10:$M$73,6,FALSE)</f>
        <v>0</v>
      </c>
      <c r="V331" s="1011"/>
      <c r="W331" s="1012"/>
      <c r="X331" s="1012"/>
      <c r="Y331" s="1027"/>
      <c r="Z331" s="1012"/>
      <c r="AA331" s="1012"/>
      <c r="AB331" s="1012"/>
      <c r="AC331" s="1012"/>
      <c r="AD331" s="1012"/>
      <c r="AE331" s="1012"/>
      <c r="AF331" s="1012"/>
      <c r="AG331" s="1012"/>
      <c r="AH331" s="1012"/>
      <c r="AI331" s="1012"/>
    </row>
    <row r="332" spans="1:35" s="1028" customFormat="1" ht="33" customHeight="1">
      <c r="A332" s="1014">
        <f>_xlfn.AGGREGATE(4,7,A$12:A331)+1</f>
        <v>320</v>
      </c>
      <c r="B332" s="1330" t="s">
        <v>2353</v>
      </c>
      <c r="C332" s="1349"/>
      <c r="D332" s="1350"/>
      <c r="E332" s="81" t="str">
        <f>VLOOKUP(B332,TH.Q2!B245:E576,4,FALSE)</f>
        <v>NV Phòng Tuyển sinh - Đào tạo</v>
      </c>
      <c r="F332" s="1355"/>
      <c r="G332" s="1352"/>
      <c r="H332" s="1356"/>
      <c r="I332" s="1357"/>
      <c r="J332" s="1357"/>
      <c r="K332" s="1357"/>
      <c r="L332" s="1358"/>
      <c r="M332" s="1358"/>
      <c r="N332" s="1358"/>
      <c r="O332" s="1359"/>
      <c r="P332" s="1023">
        <f>VLOOKUP(B332,'111'!B64:V125,21,FALSE)</f>
        <v>4728936</v>
      </c>
      <c r="Q332" s="1371">
        <f t="shared" si="31"/>
        <v>2.0209128205128204</v>
      </c>
      <c r="R332" s="1448">
        <v>2340000</v>
      </c>
      <c r="S332" s="1460">
        <f t="shared" si="32"/>
        <v>4728936</v>
      </c>
      <c r="T332" s="1024">
        <f t="shared" si="35"/>
        <v>320</v>
      </c>
      <c r="U332" s="1025">
        <f>VLOOKUP(B332,'[16]CN HĐ'!$H$10:$M$73,6,FALSE)</f>
        <v>0</v>
      </c>
      <c r="V332" s="1011"/>
      <c r="W332" s="1012"/>
      <c r="X332" s="1012"/>
      <c r="Y332" s="1027"/>
      <c r="Z332" s="1012"/>
      <c r="AA332" s="1012"/>
      <c r="AB332" s="1012"/>
      <c r="AC332" s="1012"/>
      <c r="AD332" s="1012"/>
      <c r="AE332" s="1012"/>
      <c r="AF332" s="1012"/>
      <c r="AG332" s="1012"/>
      <c r="AH332" s="1012"/>
      <c r="AI332" s="1012"/>
    </row>
    <row r="333" spans="1:35" s="1028" customFormat="1" ht="33" customHeight="1">
      <c r="A333" s="1014">
        <f>_xlfn.AGGREGATE(4,7,A$12:A332)+1</f>
        <v>321</v>
      </c>
      <c r="B333" s="1332" t="s">
        <v>2138</v>
      </c>
      <c r="C333" s="1451"/>
      <c r="D333" s="1452"/>
      <c r="E333" s="472" t="str">
        <f>VLOOKUP(B333,TH.Q2!B246:E577,4,FALSE)</f>
        <v>NV TT Điều hành và QLDL</v>
      </c>
      <c r="F333" s="1453"/>
      <c r="G333" s="1454"/>
      <c r="H333" s="1455"/>
      <c r="I333" s="1456"/>
      <c r="J333" s="1456"/>
      <c r="K333" s="1456"/>
      <c r="L333" s="1457"/>
      <c r="M333" s="1457"/>
      <c r="N333" s="1457"/>
      <c r="O333" s="1458"/>
      <c r="P333" s="1204">
        <f>VLOOKUP(B333,'111'!B65:V126,21,FALSE)</f>
        <v>0</v>
      </c>
      <c r="Q333" s="1420">
        <f t="shared" si="31"/>
        <v>0</v>
      </c>
      <c r="R333" s="1459">
        <v>2340000</v>
      </c>
      <c r="S333" s="1461">
        <f t="shared" si="32"/>
        <v>0</v>
      </c>
      <c r="T333" s="1085">
        <f t="shared" si="35"/>
        <v>321</v>
      </c>
      <c r="U333" s="1205" t="s">
        <v>2398</v>
      </c>
      <c r="V333" s="1011"/>
      <c r="W333" s="1012"/>
      <c r="X333" s="1012"/>
      <c r="Y333" s="1027"/>
      <c r="Z333" s="1012"/>
      <c r="AA333" s="1012"/>
      <c r="AB333" s="1012"/>
      <c r="AC333" s="1012"/>
      <c r="AD333" s="1012"/>
      <c r="AE333" s="1012"/>
      <c r="AF333" s="1012"/>
      <c r="AG333" s="1012"/>
      <c r="AH333" s="1012"/>
      <c r="AI333" s="1012"/>
    </row>
    <row r="334" spans="1:35" s="1028" customFormat="1" ht="33" customHeight="1">
      <c r="A334" s="1014">
        <f>_xlfn.AGGREGATE(4,7,A$12:A333)+1</f>
        <v>322</v>
      </c>
      <c r="B334" s="1330" t="s">
        <v>2142</v>
      </c>
      <c r="C334" s="1349"/>
      <c r="D334" s="1350"/>
      <c r="E334" s="81" t="str">
        <f>VLOOKUP(B334,TH.Q2!B247:E578,4,FALSE)</f>
        <v>NV TT Điều hành và QLDL</v>
      </c>
      <c r="F334" s="1355"/>
      <c r="G334" s="1352"/>
      <c r="H334" s="1356"/>
      <c r="I334" s="1357"/>
      <c r="J334" s="1357"/>
      <c r="K334" s="1357"/>
      <c r="L334" s="1358"/>
      <c r="M334" s="1358"/>
      <c r="N334" s="1358"/>
      <c r="O334" s="1359"/>
      <c r="P334" s="1023">
        <f>VLOOKUP(B334,'111'!B65:V127,21,FALSE)</f>
        <v>4859737</v>
      </c>
      <c r="Q334" s="1371">
        <f t="shared" ref="Q334:Q342" si="36">P334/R334</f>
        <v>2.0768106837606837</v>
      </c>
      <c r="R334" s="1448">
        <v>2340000</v>
      </c>
      <c r="S334" s="1460">
        <f t="shared" ref="S334:S342" si="37">Q334*R334</f>
        <v>4859737</v>
      </c>
      <c r="T334" s="1024">
        <f t="shared" si="35"/>
        <v>322</v>
      </c>
      <c r="U334" s="1025">
        <f>VLOOKUP(B334,'[16]CN HĐ'!$H$10:$M$73,6,FALSE)</f>
        <v>0</v>
      </c>
      <c r="V334" s="1011"/>
      <c r="W334" s="1012"/>
      <c r="X334" s="1012"/>
      <c r="Y334" s="1027"/>
      <c r="Z334" s="1012"/>
      <c r="AA334" s="1012"/>
      <c r="AB334" s="1012"/>
      <c r="AC334" s="1012"/>
      <c r="AD334" s="1012"/>
      <c r="AE334" s="1012"/>
      <c r="AF334" s="1012"/>
      <c r="AG334" s="1012"/>
      <c r="AH334" s="1012"/>
      <c r="AI334" s="1012"/>
    </row>
    <row r="335" spans="1:35" s="1028" customFormat="1" ht="33" customHeight="1">
      <c r="A335" s="1014">
        <f>_xlfn.AGGREGATE(4,7,A$12:A334)+1</f>
        <v>323</v>
      </c>
      <c r="B335" s="1330" t="s">
        <v>2143</v>
      </c>
      <c r="C335" s="1349"/>
      <c r="D335" s="1350"/>
      <c r="E335" s="81" t="str">
        <f>VLOOKUP(B335,TH.Q2!B248:E579,4,FALSE)</f>
        <v>NV TT Điều hành và QLDL</v>
      </c>
      <c r="F335" s="1355"/>
      <c r="G335" s="1352"/>
      <c r="H335" s="1356"/>
      <c r="I335" s="1357"/>
      <c r="J335" s="1357"/>
      <c r="K335" s="1357"/>
      <c r="L335" s="1358"/>
      <c r="M335" s="1358"/>
      <c r="N335" s="1358"/>
      <c r="O335" s="1359"/>
      <c r="P335" s="1023" t="e">
        <f>VLOOKUP(B335,'111'!B66:V128,21,FALSE)</f>
        <v>#N/A</v>
      </c>
      <c r="Q335" s="1371" t="e">
        <f t="shared" si="36"/>
        <v>#N/A</v>
      </c>
      <c r="R335" s="1448">
        <v>2340000</v>
      </c>
      <c r="S335" s="1460" t="e">
        <f t="shared" si="37"/>
        <v>#N/A</v>
      </c>
      <c r="T335" s="1024">
        <f t="shared" si="35"/>
        <v>323</v>
      </c>
      <c r="U335" s="1025" t="str">
        <f>VLOOKUP(B335,'[16]CN HĐ'!$H$10:$M$73,6,FALSE)</f>
        <v>Trừ 1 ngày nghỉ phép 14/10</v>
      </c>
      <c r="V335" s="1011"/>
      <c r="W335" s="1012"/>
      <c r="X335" s="1012"/>
      <c r="Y335" s="1027"/>
      <c r="Z335" s="1012"/>
      <c r="AA335" s="1012"/>
      <c r="AB335" s="1012"/>
      <c r="AC335" s="1012"/>
      <c r="AD335" s="1012"/>
      <c r="AE335" s="1012"/>
      <c r="AF335" s="1012"/>
      <c r="AG335" s="1012"/>
      <c r="AH335" s="1012"/>
      <c r="AI335" s="1012"/>
    </row>
    <row r="336" spans="1:35" s="1028" customFormat="1" ht="33" customHeight="1">
      <c r="A336" s="1092">
        <f>_xlfn.AGGREGATE(4,7,A$12:A335)+1</f>
        <v>324</v>
      </c>
      <c r="B336" s="1342" t="s">
        <v>2144</v>
      </c>
      <c r="C336" s="1388"/>
      <c r="D336" s="1389"/>
      <c r="E336" s="554" t="str">
        <f>VLOOKUP(B336,TH.Q2!B249:E580,4,FALSE)</f>
        <v>NV phòng Khảo thí và ĐBCL</v>
      </c>
      <c r="F336" s="1394"/>
      <c r="G336" s="1391"/>
      <c r="H336" s="1395"/>
      <c r="I336" s="1396"/>
      <c r="J336" s="1396"/>
      <c r="K336" s="1396"/>
      <c r="L336" s="1397"/>
      <c r="M336" s="1397"/>
      <c r="N336" s="1397"/>
      <c r="O336" s="1398"/>
      <c r="P336" s="1214">
        <f>VLOOKUP(B336,'111'!B66:V129,21,FALSE)</f>
        <v>6212447</v>
      </c>
      <c r="Q336" s="1400">
        <f t="shared" si="36"/>
        <v>2.6548918803418804</v>
      </c>
      <c r="R336" s="1450">
        <v>2340000</v>
      </c>
      <c r="S336" s="1462">
        <f t="shared" si="37"/>
        <v>6212447</v>
      </c>
      <c r="T336" s="1099">
        <f t="shared" si="35"/>
        <v>324</v>
      </c>
      <c r="U336" s="1215" t="str">
        <f>VLOOKUP(B336,'[16]CN HĐ'!$H$10:$M$73,6,FALSE)</f>
        <v>Nghỉ hộ sản hưởng chế độ BHXH từ 09/9/2024</v>
      </c>
      <c r="V336" s="1011"/>
      <c r="W336" s="1012"/>
      <c r="X336" s="1012"/>
      <c r="Y336" s="1027"/>
      <c r="Z336" s="1012"/>
      <c r="AA336" s="1012"/>
      <c r="AB336" s="1012"/>
      <c r="AC336" s="1012"/>
      <c r="AD336" s="1012"/>
      <c r="AE336" s="1012"/>
      <c r="AF336" s="1012"/>
      <c r="AG336" s="1012"/>
      <c r="AH336" s="1012"/>
      <c r="AI336" s="1012"/>
    </row>
    <row r="337" spans="1:35" s="1028" customFormat="1" ht="33" customHeight="1">
      <c r="A337" s="1014">
        <f>_xlfn.AGGREGATE(4,7,A$12:A336)+1</f>
        <v>325</v>
      </c>
      <c r="B337" s="1330" t="s">
        <v>2147</v>
      </c>
      <c r="C337" s="1349"/>
      <c r="D337" s="1350"/>
      <c r="E337" s="81" t="str">
        <f>VLOOKUP(B337,TH.Q2!B250:E581,4,FALSE)</f>
        <v>Khoa Động lực</v>
      </c>
      <c r="F337" s="1355"/>
      <c r="G337" s="1352"/>
      <c r="H337" s="1356"/>
      <c r="I337" s="1357"/>
      <c r="J337" s="1357"/>
      <c r="K337" s="1357"/>
      <c r="L337" s="1358"/>
      <c r="M337" s="1358"/>
      <c r="N337" s="1358"/>
      <c r="O337" s="1359"/>
      <c r="P337" s="1023">
        <f>VLOOKUP(B337,'111'!B67:V130,21,FALSE)</f>
        <v>7769340</v>
      </c>
      <c r="Q337" s="1371">
        <f t="shared" si="36"/>
        <v>3.3202307692307693</v>
      </c>
      <c r="R337" s="1448">
        <v>2340000</v>
      </c>
      <c r="S337" s="1460">
        <f t="shared" si="37"/>
        <v>7769340</v>
      </c>
      <c r="T337" s="1024">
        <f t="shared" si="35"/>
        <v>325</v>
      </c>
      <c r="U337" s="1025">
        <f>VLOOKUP(B337,'[16]CN HĐ'!$H$10:$M$73,6,FALSE)</f>
        <v>0</v>
      </c>
      <c r="V337" s="1011"/>
      <c r="W337" s="1012"/>
      <c r="X337" s="1012"/>
      <c r="Y337" s="1027"/>
      <c r="Z337" s="1012"/>
      <c r="AA337" s="1012"/>
      <c r="AB337" s="1012"/>
      <c r="AC337" s="1012"/>
      <c r="AD337" s="1012"/>
      <c r="AE337" s="1012"/>
      <c r="AF337" s="1012"/>
      <c r="AG337" s="1012"/>
      <c r="AH337" s="1012"/>
      <c r="AI337" s="1012"/>
    </row>
    <row r="338" spans="1:35" s="1028" customFormat="1" ht="33" customHeight="1">
      <c r="A338" s="1014">
        <f>_xlfn.AGGREGATE(4,7,A$12:A337)+1</f>
        <v>326</v>
      </c>
      <c r="B338" s="1330" t="s">
        <v>2149</v>
      </c>
      <c r="C338" s="1349"/>
      <c r="D338" s="1350"/>
      <c r="E338" s="81" t="str">
        <f>VLOOKUP(B338,TH.Q2!B251:E582,4,FALSE)</f>
        <v>NV - TT Đào tạo và Quản lý vật tư thiết bị</v>
      </c>
      <c r="F338" s="1355"/>
      <c r="G338" s="1352"/>
      <c r="H338" s="1356"/>
      <c r="I338" s="1357"/>
      <c r="J338" s="1357"/>
      <c r="K338" s="1357"/>
      <c r="L338" s="1358"/>
      <c r="M338" s="1358"/>
      <c r="N338" s="1358"/>
      <c r="O338" s="1359"/>
      <c r="P338" s="1023">
        <f>VLOOKUP(B338,'111'!B68:V131,21,FALSE)</f>
        <v>4402763</v>
      </c>
      <c r="Q338" s="1371">
        <f t="shared" si="36"/>
        <v>1.8815226495726496</v>
      </c>
      <c r="R338" s="1448">
        <v>2340000</v>
      </c>
      <c r="S338" s="1460">
        <f t="shared" si="37"/>
        <v>4402763</v>
      </c>
      <c r="T338" s="1024">
        <f t="shared" si="35"/>
        <v>326</v>
      </c>
      <c r="U338" s="1025">
        <f>VLOOKUP(B338,'[16]CN HĐ'!$H$10:$M$73,6,FALSE)</f>
        <v>0</v>
      </c>
      <c r="V338" s="1011"/>
      <c r="W338" s="1012"/>
      <c r="X338" s="1012"/>
      <c r="Y338" s="1027"/>
      <c r="Z338" s="1012"/>
      <c r="AA338" s="1012"/>
      <c r="AB338" s="1012"/>
      <c r="AC338" s="1012"/>
      <c r="AD338" s="1012"/>
      <c r="AE338" s="1012"/>
      <c r="AF338" s="1012"/>
      <c r="AG338" s="1012"/>
      <c r="AH338" s="1012"/>
      <c r="AI338" s="1012"/>
    </row>
    <row r="339" spans="1:35" s="1028" customFormat="1" ht="33" customHeight="1">
      <c r="A339" s="1014">
        <f>_xlfn.AGGREGATE(4,7,A$12:A338)+1</f>
        <v>327</v>
      </c>
      <c r="B339" s="1330" t="s">
        <v>2151</v>
      </c>
      <c r="C339" s="1349"/>
      <c r="D339" s="1350"/>
      <c r="E339" s="81" t="str">
        <f>VLOOKUP(B339,TH.Q2!B252:E583,4,FALSE)</f>
        <v>NV - TT Đào tạo và Quản lý vật tư thiết bị</v>
      </c>
      <c r="F339" s="1355"/>
      <c r="G339" s="1352"/>
      <c r="H339" s="1356"/>
      <c r="I339" s="1357"/>
      <c r="J339" s="1357"/>
      <c r="K339" s="1357"/>
      <c r="L339" s="1358"/>
      <c r="M339" s="1358"/>
      <c r="N339" s="1358"/>
      <c r="O339" s="1359"/>
      <c r="P339" s="1023">
        <f>VLOOKUP(B339,'111'!B69:V132,21,FALSE)</f>
        <v>2187360</v>
      </c>
      <c r="Q339" s="1371">
        <f t="shared" si="36"/>
        <v>0.9347692307692308</v>
      </c>
      <c r="R339" s="1448">
        <v>2340000</v>
      </c>
      <c r="S339" s="1460">
        <f t="shared" si="37"/>
        <v>2187360</v>
      </c>
      <c r="T339" s="1024">
        <f t="shared" si="35"/>
        <v>327</v>
      </c>
      <c r="U339" s="1025">
        <f>VLOOKUP(B339,'[16]CN HĐ'!$H$10:$M$73,6,FALSE)</f>
        <v>0</v>
      </c>
      <c r="V339" s="1011"/>
      <c r="W339" s="1012"/>
      <c r="X339" s="1012"/>
      <c r="Y339" s="1027"/>
      <c r="Z339" s="1012"/>
      <c r="AA339" s="1012"/>
      <c r="AB339" s="1012"/>
      <c r="AC339" s="1012"/>
      <c r="AD339" s="1012"/>
      <c r="AE339" s="1012"/>
      <c r="AF339" s="1012"/>
      <c r="AG339" s="1012"/>
      <c r="AH339" s="1012"/>
      <c r="AI339" s="1012"/>
    </row>
    <row r="340" spans="1:35" s="1028" customFormat="1" ht="33" customHeight="1">
      <c r="A340" s="1014">
        <f>_xlfn.AGGREGATE(4,7,A$12:A339)+1</f>
        <v>328</v>
      </c>
      <c r="B340" s="1330" t="s">
        <v>2152</v>
      </c>
      <c r="C340" s="1349"/>
      <c r="D340" s="1350"/>
      <c r="E340" s="81" t="str">
        <f>VLOOKUP(B340,TH.Q2!B253:E584,4,FALSE)</f>
        <v xml:space="preserve">NV Thư viện  </v>
      </c>
      <c r="F340" s="1355"/>
      <c r="G340" s="1352"/>
      <c r="H340" s="1356"/>
      <c r="I340" s="1357"/>
      <c r="J340" s="1357"/>
      <c r="K340" s="1357"/>
      <c r="L340" s="1358"/>
      <c r="M340" s="1358"/>
      <c r="N340" s="1358"/>
      <c r="O340" s="1359"/>
      <c r="P340" s="1023">
        <f>VLOOKUP(B340,'111'!B71:V133,21,FALSE)</f>
        <v>4521827</v>
      </c>
      <c r="Q340" s="1371">
        <f t="shared" si="36"/>
        <v>1.932404700854701</v>
      </c>
      <c r="R340" s="1448">
        <v>2340000</v>
      </c>
      <c r="S340" s="1460">
        <f t="shared" si="37"/>
        <v>4521827</v>
      </c>
      <c r="T340" s="1024">
        <f t="shared" si="35"/>
        <v>328</v>
      </c>
      <c r="U340" s="1025">
        <f>VLOOKUP(B340,'[16]CN HĐ'!$H$10:$M$73,6,FALSE)</f>
        <v>0</v>
      </c>
      <c r="V340" s="1011"/>
      <c r="W340" s="1012"/>
      <c r="X340" s="1012"/>
      <c r="Y340" s="1027"/>
      <c r="Z340" s="1012"/>
      <c r="AA340" s="1012"/>
      <c r="AB340" s="1012"/>
      <c r="AC340" s="1012"/>
      <c r="AD340" s="1012"/>
      <c r="AE340" s="1012"/>
      <c r="AF340" s="1012"/>
      <c r="AG340" s="1012"/>
      <c r="AH340" s="1012"/>
      <c r="AI340" s="1012"/>
    </row>
    <row r="341" spans="1:35" s="1028" customFormat="1" ht="33" customHeight="1">
      <c r="A341" s="1014">
        <f>_xlfn.AGGREGATE(4,7,A$12:A340)+1</f>
        <v>329</v>
      </c>
      <c r="B341" s="1330" t="s">
        <v>2155</v>
      </c>
      <c r="C341" s="1349"/>
      <c r="D341" s="1350"/>
      <c r="E341" s="81" t="str">
        <f>VLOOKUP(B341,TH.Q2!B254:E585,4,FALSE)</f>
        <v xml:space="preserve">NV Thư viện  </v>
      </c>
      <c r="F341" s="1355"/>
      <c r="G341" s="1352"/>
      <c r="H341" s="1356"/>
      <c r="I341" s="1357"/>
      <c r="J341" s="1357"/>
      <c r="K341" s="1357"/>
      <c r="L341" s="1358"/>
      <c r="M341" s="1358"/>
      <c r="N341" s="1358"/>
      <c r="O341" s="1359"/>
      <c r="P341" s="1023">
        <f>VLOOKUP(B341,'111'!B72:V134,21,FALSE)</f>
        <v>3486333</v>
      </c>
      <c r="Q341" s="1371">
        <f t="shared" si="36"/>
        <v>1.4898858974358975</v>
      </c>
      <c r="R341" s="1448">
        <v>2340000</v>
      </c>
      <c r="S341" s="1460">
        <f t="shared" si="37"/>
        <v>3486333</v>
      </c>
      <c r="T341" s="1024">
        <f t="shared" si="35"/>
        <v>329</v>
      </c>
      <c r="U341" s="1025">
        <f>VLOOKUP(B341,'[16]CN HĐ'!$H$10:$M$73,6,FALSE)</f>
        <v>0</v>
      </c>
      <c r="V341" s="1011"/>
      <c r="W341" s="1012"/>
      <c r="X341" s="1012"/>
      <c r="Y341" s="1027"/>
      <c r="Z341" s="1012"/>
      <c r="AA341" s="1012"/>
      <c r="AB341" s="1012"/>
      <c r="AC341" s="1012"/>
      <c r="AD341" s="1012"/>
      <c r="AE341" s="1012"/>
      <c r="AF341" s="1012"/>
      <c r="AG341" s="1012"/>
      <c r="AH341" s="1012"/>
      <c r="AI341" s="1012"/>
    </row>
    <row r="342" spans="1:35" s="1125" customFormat="1" ht="21.75" customHeight="1">
      <c r="A342" s="1014">
        <f>_xlfn.AGGREGATE(4,7,A$12:A341)+1</f>
        <v>330</v>
      </c>
      <c r="B342" s="1437" t="s">
        <v>2156</v>
      </c>
      <c r="C342" s="1438"/>
      <c r="D342" s="1439"/>
      <c r="E342" s="1440" t="str">
        <f>VLOOKUP(B342,TH.Q2!B255:E586,4,FALSE)</f>
        <v xml:space="preserve">NV Thư viện  </v>
      </c>
      <c r="F342" s="1441"/>
      <c r="G342" s="1441"/>
      <c r="H342" s="1441"/>
      <c r="I342" s="1441"/>
      <c r="J342" s="1441"/>
      <c r="K342" s="1441"/>
      <c r="L342" s="1442">
        <f t="shared" ref="L342" si="38">SUM(L13:L278)</f>
        <v>6118</v>
      </c>
      <c r="M342" s="1442"/>
      <c r="N342" s="1442"/>
      <c r="O342" s="1443"/>
      <c r="P342" s="1447">
        <f>VLOOKUP(B342,'111'!B73:V135,21,FALSE)</f>
        <v>5806026</v>
      </c>
      <c r="Q342" s="1449">
        <f t="shared" si="36"/>
        <v>2.4812076923076924</v>
      </c>
      <c r="R342" s="1448">
        <v>2340000</v>
      </c>
      <c r="S342" s="1460">
        <f t="shared" si="37"/>
        <v>5806026</v>
      </c>
      <c r="T342" s="1024">
        <f t="shared" si="35"/>
        <v>330</v>
      </c>
      <c r="U342" s="1387">
        <f>VLOOKUP(B342,'[16]CN HĐ'!$H$10:$M$73,6,FALSE)</f>
        <v>0</v>
      </c>
      <c r="V342" s="1124"/>
      <c r="Y342" s="1126"/>
    </row>
    <row r="343" spans="1:35" s="1125" customFormat="1" ht="21.75" customHeight="1">
      <c r="A343" s="1115"/>
      <c r="B343" s="1467" t="s">
        <v>2191</v>
      </c>
      <c r="C343" s="1444"/>
      <c r="D343" s="1445"/>
      <c r="E343" s="1446"/>
      <c r="F343" s="1119"/>
      <c r="G343" s="1119"/>
      <c r="H343" s="1119"/>
      <c r="I343" s="1119"/>
      <c r="J343" s="1119"/>
      <c r="K343" s="1119"/>
      <c r="L343" s="1120"/>
      <c r="M343" s="1120"/>
      <c r="N343" s="1120"/>
      <c r="O343" s="1121"/>
      <c r="P343" s="1120"/>
      <c r="Q343" s="1463" t="e">
        <f>SUM(Q13:Q342)</f>
        <v>#N/A</v>
      </c>
      <c r="R343" s="1120"/>
      <c r="S343" s="1120" t="e">
        <f>SUM(S13:S342)</f>
        <v>#N/A</v>
      </c>
      <c r="T343" s="1568"/>
      <c r="U343" s="1569"/>
      <c r="V343" s="1124"/>
      <c r="Y343" s="1126"/>
    </row>
    <row r="344" spans="1:35" ht="2.25" customHeight="1">
      <c r="L344" s="1007"/>
      <c r="M344" s="1007"/>
      <c r="N344" s="1007"/>
      <c r="O344" s="1007"/>
      <c r="P344" s="1259"/>
      <c r="Q344" s="1259"/>
      <c r="R344" s="1259"/>
      <c r="S344" s="1259"/>
    </row>
    <row r="345" spans="1:35" s="1003" customFormat="1" ht="21.75" customHeight="1">
      <c r="B345" s="1464" t="s">
        <v>2401</v>
      </c>
      <c r="C345" s="1464"/>
      <c r="D345" s="1464"/>
      <c r="E345" s="1464"/>
      <c r="F345" s="1464"/>
      <c r="G345" s="1464"/>
      <c r="H345" s="1464"/>
      <c r="I345" s="1464"/>
      <c r="J345" s="1464"/>
      <c r="K345" s="1464"/>
      <c r="L345" s="1464"/>
      <c r="M345" s="1464"/>
      <c r="N345" s="1464"/>
      <c r="O345" s="1464"/>
      <c r="P345" s="1261"/>
      <c r="Q345" s="1261"/>
      <c r="R345" s="1261"/>
      <c r="S345" s="1261"/>
      <c r="U345" s="1262"/>
      <c r="V345" s="1008"/>
      <c r="Y345" s="1009"/>
    </row>
    <row r="346" spans="1:35" s="1003" customFormat="1" ht="18" customHeight="1">
      <c r="B346" s="1263"/>
      <c r="C346" s="1004"/>
      <c r="D346" s="1004"/>
      <c r="E346" s="1004"/>
      <c r="F346" s="1260"/>
      <c r="G346" s="1260"/>
      <c r="H346" s="1260"/>
      <c r="I346" s="1260"/>
      <c r="J346" s="1321">
        <f>COUNTIF($J$13:$J$278,"A2")</f>
        <v>46</v>
      </c>
      <c r="K346" s="1260"/>
      <c r="L346" s="1580" t="s">
        <v>2396</v>
      </c>
      <c r="M346" s="1580"/>
      <c r="N346" s="1580"/>
      <c r="O346" s="1580"/>
      <c r="P346" s="1580"/>
      <c r="Q346" s="1580"/>
      <c r="R346" s="1580"/>
      <c r="S346" s="1580"/>
      <c r="T346" s="1580"/>
      <c r="U346" s="1580"/>
      <c r="V346" s="1008"/>
      <c r="Y346" s="1009"/>
    </row>
    <row r="347" spans="1:35">
      <c r="J347" s="1321">
        <f>COUNTIF($J$13:$J$278,"A3")</f>
        <v>93</v>
      </c>
      <c r="O347" s="1002" t="s">
        <v>2303</v>
      </c>
      <c r="P347" s="1002"/>
      <c r="Q347" s="1002"/>
      <c r="R347" s="1002"/>
      <c r="S347" s="1570" t="s">
        <v>2303</v>
      </c>
      <c r="T347" s="1570"/>
      <c r="U347" s="1570"/>
    </row>
    <row r="348" spans="1:35" s="1003" customFormat="1">
      <c r="A348" s="1570" t="s">
        <v>859</v>
      </c>
      <c r="B348" s="1570"/>
      <c r="C348" s="1570"/>
      <c r="D348" s="1570"/>
      <c r="E348" s="1570"/>
      <c r="F348" s="1570"/>
      <c r="G348" s="1570"/>
      <c r="H348" s="1570"/>
      <c r="I348" s="1570"/>
      <c r="J348" s="1570" t="s">
        <v>1191</v>
      </c>
      <c r="K348" s="1570"/>
      <c r="L348" s="1570"/>
      <c r="M348" s="1570"/>
      <c r="N348" s="1570"/>
      <c r="O348" s="1004" t="s">
        <v>2304</v>
      </c>
      <c r="P348" s="1004"/>
      <c r="Q348" s="1570" t="s">
        <v>1191</v>
      </c>
      <c r="R348" s="1570"/>
      <c r="S348" s="1570" t="s">
        <v>2304</v>
      </c>
      <c r="T348" s="1570"/>
      <c r="U348" s="1570"/>
      <c r="V348" s="1008"/>
      <c r="Y348" s="1009"/>
    </row>
    <row r="349" spans="1:35" s="1003" customFormat="1" ht="11.25" customHeight="1">
      <c r="A349" s="1218"/>
      <c r="B349" s="1218"/>
      <c r="C349" s="1004"/>
      <c r="D349" s="1004"/>
      <c r="E349" s="1004"/>
      <c r="F349" s="1218"/>
      <c r="G349" s="1218"/>
      <c r="H349" s="1218"/>
      <c r="I349" s="1218"/>
      <c r="J349" s="1218"/>
      <c r="K349" s="1218"/>
      <c r="L349" s="1218"/>
      <c r="M349" s="1218"/>
      <c r="N349" s="1218"/>
      <c r="O349" s="1004"/>
      <c r="P349" s="1570"/>
      <c r="Q349" s="1570"/>
      <c r="R349" s="1570"/>
      <c r="S349" s="1570"/>
      <c r="T349" s="1570"/>
      <c r="U349" s="1570"/>
      <c r="V349" s="1008"/>
      <c r="Y349" s="1009"/>
    </row>
    <row r="350" spans="1:35" s="1003" customFormat="1" ht="10.5" customHeight="1">
      <c r="A350" s="1218"/>
      <c r="B350" s="1218"/>
      <c r="C350" s="1004"/>
      <c r="D350" s="1004"/>
      <c r="E350" s="1004"/>
      <c r="F350" s="1218"/>
      <c r="G350" s="1218"/>
      <c r="H350" s="1218"/>
      <c r="I350" s="1218"/>
      <c r="J350" s="1436">
        <f>COUNTIF($J$13:$J$278,"A1")</f>
        <v>47</v>
      </c>
      <c r="K350" s="1218"/>
      <c r="L350" s="1218"/>
      <c r="M350" s="1218"/>
      <c r="N350" s="1218"/>
      <c r="O350" s="1004"/>
      <c r="P350" s="1218"/>
      <c r="Q350" s="1218"/>
      <c r="R350" s="1218"/>
      <c r="S350" s="1218"/>
      <c r="U350" s="1135"/>
      <c r="V350" s="1008"/>
      <c r="Y350" s="1009"/>
    </row>
    <row r="351" spans="1:35" s="1003" customFormat="1" ht="13.5" customHeight="1">
      <c r="J351" s="1436">
        <f>COUNTIF($J$13:$J$278,"A2")</f>
        <v>46</v>
      </c>
      <c r="L351" s="1218"/>
      <c r="M351" s="1218"/>
      <c r="N351" s="1218"/>
      <c r="O351" s="1006"/>
      <c r="P351" s="1006"/>
      <c r="Q351" s="1006"/>
      <c r="R351" s="1006"/>
      <c r="S351" s="1006"/>
      <c r="U351" s="1007"/>
      <c r="V351" s="1008"/>
      <c r="Y351" s="1009"/>
    </row>
    <row r="352" spans="1:35" s="1003" customFormat="1" ht="13.5" customHeight="1">
      <c r="J352" s="1436">
        <f>COUNTIF($J$13:$J$278,"A3")</f>
        <v>93</v>
      </c>
      <c r="L352" s="1218"/>
      <c r="M352" s="1218"/>
      <c r="N352" s="1218"/>
      <c r="O352" s="1006"/>
      <c r="P352" s="1006"/>
      <c r="Q352" s="1006"/>
      <c r="R352" s="1006"/>
      <c r="S352" s="1006"/>
      <c r="U352" s="1264"/>
      <c r="V352" s="1008"/>
      <c r="Y352" s="1009"/>
    </row>
    <row r="353" spans="1:25" s="1003" customFormat="1" ht="13.5" customHeight="1">
      <c r="J353" s="1436">
        <f>COUNTIF($J$13:$J$278,"A4")</f>
        <v>78</v>
      </c>
      <c r="L353" s="1218"/>
      <c r="M353" s="1218"/>
      <c r="N353" s="1218"/>
      <c r="O353" s="1006"/>
      <c r="P353" s="1265"/>
      <c r="Q353" s="1265"/>
      <c r="R353" s="1265"/>
      <c r="S353" s="1265"/>
      <c r="U353" s="1007"/>
      <c r="V353" s="1008"/>
      <c r="Y353" s="1009"/>
    </row>
    <row r="354" spans="1:25" s="1003" customFormat="1" ht="13.5" customHeight="1">
      <c r="F354" s="1006"/>
      <c r="G354" s="1006"/>
      <c r="H354" s="1006"/>
      <c r="I354" s="1006"/>
      <c r="J354" s="1436"/>
      <c r="K354" s="1006"/>
      <c r="L354" s="1006"/>
      <c r="M354" s="1006"/>
      <c r="N354" s="1006"/>
      <c r="O354" s="1006"/>
      <c r="P354" s="1006"/>
      <c r="Q354" s="1006"/>
      <c r="R354" s="1006"/>
      <c r="S354" s="1006"/>
      <c r="U354" s="1264"/>
      <c r="V354" s="1008"/>
      <c r="Y354" s="1009"/>
    </row>
    <row r="355" spans="1:25" s="1003" customFormat="1" ht="13.5" customHeight="1">
      <c r="F355" s="1006"/>
      <c r="G355" s="1006"/>
      <c r="H355" s="1006"/>
      <c r="I355" s="1006"/>
      <c r="J355" s="1006"/>
      <c r="K355" s="1006"/>
      <c r="L355" s="1006"/>
      <c r="M355" s="1006"/>
      <c r="N355" s="1006"/>
      <c r="O355" s="1006"/>
      <c r="P355" s="1006"/>
      <c r="Q355" s="1006"/>
      <c r="R355" s="1006"/>
      <c r="S355" s="1006"/>
      <c r="U355" s="1007"/>
      <c r="V355" s="1008"/>
      <c r="Y355" s="1009"/>
    </row>
    <row r="356" spans="1:25" s="1003" customFormat="1">
      <c r="A356" s="1570" t="s">
        <v>1827</v>
      </c>
      <c r="B356" s="1570"/>
      <c r="C356" s="1570"/>
      <c r="D356" s="1570"/>
      <c r="E356" s="1570"/>
      <c r="F356" s="1570"/>
      <c r="G356" s="1570"/>
      <c r="H356" s="1570"/>
      <c r="I356" s="1570"/>
      <c r="J356" s="1570" t="s">
        <v>1445</v>
      </c>
      <c r="K356" s="1570"/>
      <c r="L356" s="1570"/>
      <c r="M356" s="1570"/>
      <c r="N356" s="1570"/>
      <c r="O356" s="1004" t="s">
        <v>1447</v>
      </c>
      <c r="P356" s="1004"/>
      <c r="Q356" s="1570" t="s">
        <v>1445</v>
      </c>
      <c r="R356" s="1570"/>
      <c r="S356" s="1570" t="s">
        <v>1447</v>
      </c>
      <c r="T356" s="1570"/>
      <c r="U356" s="1570"/>
      <c r="V356" s="1008"/>
      <c r="Y356" s="1009"/>
    </row>
    <row r="357" spans="1:25" ht="15.75">
      <c r="A357" s="1267"/>
    </row>
    <row r="358" spans="1:25" ht="15.75" customHeight="1">
      <c r="A358" s="1267"/>
    </row>
    <row r="414" ht="15.75" customHeight="1"/>
  </sheetData>
  <mergeCells count="36">
    <mergeCell ref="A5:U5"/>
    <mergeCell ref="A1:G1"/>
    <mergeCell ref="J1:U1"/>
    <mergeCell ref="A2:G2"/>
    <mergeCell ref="J2:U2"/>
    <mergeCell ref="A3:G3"/>
    <mergeCell ref="X13:Y13"/>
    <mergeCell ref="A6:U6"/>
    <mergeCell ref="A7:U7"/>
    <mergeCell ref="L8:O8"/>
    <mergeCell ref="J9:K9"/>
    <mergeCell ref="A10:A11"/>
    <mergeCell ref="B10:B11"/>
    <mergeCell ref="E10:E11"/>
    <mergeCell ref="F10:I10"/>
    <mergeCell ref="J10:K10"/>
    <mergeCell ref="L10:N10"/>
    <mergeCell ref="A348:I348"/>
    <mergeCell ref="A356:I356"/>
    <mergeCell ref="L346:U346"/>
    <mergeCell ref="J348:N348"/>
    <mergeCell ref="Q348:R348"/>
    <mergeCell ref="S348:U348"/>
    <mergeCell ref="S356:U356"/>
    <mergeCell ref="Q356:R356"/>
    <mergeCell ref="S347:U347"/>
    <mergeCell ref="T343:U343"/>
    <mergeCell ref="P349:U349"/>
    <mergeCell ref="J356:N356"/>
    <mergeCell ref="Q10:Q11"/>
    <mergeCell ref="R10:R11"/>
    <mergeCell ref="S10:S11"/>
    <mergeCell ref="O10:O11"/>
    <mergeCell ref="P10:P11"/>
    <mergeCell ref="T10:U11"/>
    <mergeCell ref="T12:U12"/>
  </mergeCells>
  <conditionalFormatting sqref="A5">
    <cfRule type="cellIs" dxfId="202" priority="1" stopIfTrue="1" operator="equal">
      <formula>"KXL"</formula>
    </cfRule>
    <cfRule type="cellIs" dxfId="201" priority="2" stopIfTrue="1" operator="equal">
      <formula>"A DN"</formula>
    </cfRule>
    <cfRule type="cellIs" dxfId="200" priority="3" stopIfTrue="1" operator="equal">
      <formula>"C"</formula>
    </cfRule>
    <cfRule type="cellIs" dxfId="199" priority="4" stopIfTrue="1" operator="equal">
      <formula>"B"</formula>
    </cfRule>
  </conditionalFormatting>
  <conditionalFormatting sqref="A10:F10">
    <cfRule type="cellIs" dxfId="198" priority="17" stopIfTrue="1" operator="equal">
      <formula>"KXL"</formula>
    </cfRule>
    <cfRule type="cellIs" dxfId="197" priority="18" stopIfTrue="1" operator="equal">
      <formula>"A DN"</formula>
    </cfRule>
    <cfRule type="cellIs" dxfId="196" priority="19" stopIfTrue="1" operator="equal">
      <formula>"C"</formula>
    </cfRule>
    <cfRule type="cellIs" dxfId="195" priority="20" stopIfTrue="1" operator="equal">
      <formula>"B"</formula>
    </cfRule>
  </conditionalFormatting>
  <conditionalFormatting sqref="B51 W51:IR51 W64:IR64 W117:IR117">
    <cfRule type="cellIs" dxfId="194" priority="81" stopIfTrue="1" operator="equal">
      <formula>"A DN"</formula>
    </cfRule>
    <cfRule type="cellIs" dxfId="193" priority="80" stopIfTrue="1" operator="equal">
      <formula>"B"</formula>
    </cfRule>
    <cfRule type="cellIs" dxfId="192" priority="79" stopIfTrue="1" operator="equal">
      <formula>"C"</formula>
    </cfRule>
  </conditionalFormatting>
  <conditionalFormatting sqref="B64">
    <cfRule type="cellIs" dxfId="191" priority="78" stopIfTrue="1" operator="equal">
      <formula>"A DN"</formula>
    </cfRule>
    <cfRule type="cellIs" dxfId="190" priority="77" stopIfTrue="1" operator="equal">
      <formula>"B"</formula>
    </cfRule>
    <cfRule type="cellIs" dxfId="189" priority="76" stopIfTrue="1" operator="equal">
      <formula>"C"</formula>
    </cfRule>
  </conditionalFormatting>
  <conditionalFormatting sqref="B117">
    <cfRule type="cellIs" dxfId="188" priority="73" stopIfTrue="1" operator="equal">
      <formula>"C"</formula>
    </cfRule>
    <cfRule type="cellIs" dxfId="187" priority="75" stopIfTrue="1" operator="equal">
      <formula>"A DN"</formula>
    </cfRule>
    <cfRule type="cellIs" dxfId="186" priority="74" stopIfTrue="1" operator="equal">
      <formula>"B"</formula>
    </cfRule>
  </conditionalFormatting>
  <conditionalFormatting sqref="B118:B278">
    <cfRule type="cellIs" dxfId="185" priority="85" stopIfTrue="1" operator="equal">
      <formula>"B"</formula>
    </cfRule>
    <cfRule type="cellIs" dxfId="184" priority="84" stopIfTrue="1" operator="equal">
      <formula>"C"</formula>
    </cfRule>
    <cfRule type="cellIs" dxfId="183" priority="83" stopIfTrue="1" operator="equal">
      <formula>"A DN"</formula>
    </cfRule>
    <cfRule type="cellIs" dxfId="182" priority="82" stopIfTrue="1" operator="equal">
      <formula>"KXL"</formula>
    </cfRule>
  </conditionalFormatting>
  <conditionalFormatting sqref="B282:B294">
    <cfRule type="cellIs" dxfId="181" priority="5" stopIfTrue="1" operator="equal">
      <formula>"KXL"</formula>
    </cfRule>
    <cfRule type="cellIs" dxfId="180" priority="6" stopIfTrue="1" operator="equal">
      <formula>"A DN"</formula>
    </cfRule>
    <cfRule type="cellIs" dxfId="179" priority="7" stopIfTrue="1" operator="equal">
      <formula>"C"</formula>
    </cfRule>
    <cfRule type="cellIs" dxfId="178" priority="8" stopIfTrue="1" operator="equal">
      <formula>"B"</formula>
    </cfRule>
  </conditionalFormatting>
  <conditionalFormatting sqref="B299:B309">
    <cfRule type="cellIs" dxfId="177" priority="9" stopIfTrue="1" operator="equal">
      <formula>"KXL"</formula>
    </cfRule>
    <cfRule type="cellIs" dxfId="176" priority="10" stopIfTrue="1" operator="equal">
      <formula>"A DN"</formula>
    </cfRule>
    <cfRule type="cellIs" dxfId="175" priority="11" stopIfTrue="1" operator="equal">
      <formula>"C"</formula>
    </cfRule>
    <cfRule type="cellIs" dxfId="174" priority="12" stopIfTrue="1" operator="equal">
      <formula>"B"</formula>
    </cfRule>
  </conditionalFormatting>
  <conditionalFormatting sqref="C18:D18">
    <cfRule type="cellIs" dxfId="173" priority="65" stopIfTrue="1" operator="equal">
      <formula>"KXL"</formula>
    </cfRule>
    <cfRule type="cellIs" dxfId="172" priority="66" stopIfTrue="1" operator="equal">
      <formula>"A DN"</formula>
    </cfRule>
    <cfRule type="cellIs" dxfId="171" priority="68" stopIfTrue="1" operator="equal">
      <formula>"B"</formula>
    </cfRule>
    <cfRule type="cellIs" dxfId="170" priority="67" stopIfTrue="1" operator="equal">
      <formula>"C"</formula>
    </cfRule>
  </conditionalFormatting>
  <conditionalFormatting sqref="C37:D37 C38">
    <cfRule type="cellIs" dxfId="169" priority="64" stopIfTrue="1" operator="equal">
      <formula>"B"</formula>
    </cfRule>
    <cfRule type="cellIs" dxfId="168" priority="63" stopIfTrue="1" operator="equal">
      <formula>"C"</formula>
    </cfRule>
    <cfRule type="cellIs" dxfId="167" priority="61" stopIfTrue="1" operator="equal">
      <formula>"KXL"</formula>
    </cfRule>
    <cfRule type="cellIs" dxfId="166" priority="62" stopIfTrue="1" operator="equal">
      <formula>"A DN"</formula>
    </cfRule>
  </conditionalFormatting>
  <conditionalFormatting sqref="D117:D120">
    <cfRule type="cellIs" dxfId="165" priority="69" stopIfTrue="1" operator="equal">
      <formula>"KXL"</formula>
    </cfRule>
    <cfRule type="cellIs" dxfId="164" priority="72" stopIfTrue="1" operator="equal">
      <formula>"B"</formula>
    </cfRule>
    <cfRule type="cellIs" dxfId="163" priority="71" stopIfTrue="1" operator="equal">
      <formula>"C"</formula>
    </cfRule>
    <cfRule type="cellIs" dxfId="162" priority="70" stopIfTrue="1" operator="equal">
      <formula>"A DN"</formula>
    </cfRule>
  </conditionalFormatting>
  <conditionalFormatting sqref="F13:G38 I13:I38">
    <cfRule type="cellIs" dxfId="161" priority="33" stopIfTrue="1" operator="equal">
      <formula>"A DN"</formula>
    </cfRule>
    <cfRule type="cellIs" dxfId="160" priority="34" stopIfTrue="1" operator="equal">
      <formula>"C"</formula>
    </cfRule>
    <cfRule type="cellIs" dxfId="159" priority="35" stopIfTrue="1" operator="equal">
      <formula>"B"</formula>
    </cfRule>
  </conditionalFormatting>
  <conditionalFormatting sqref="F13:G50 I13:I50">
    <cfRule type="cellIs" dxfId="158" priority="32" stopIfTrue="1" operator="equal">
      <formula>"KXL"</formula>
    </cfRule>
  </conditionalFormatting>
  <conditionalFormatting sqref="F39:G50 I39:I50 F52:G63 I52:I63 F65:G83 I65:I84 F86:G116 I86:I116 F270:G341">
    <cfRule type="cellIs" dxfId="157" priority="52" stopIfTrue="1" operator="equal">
      <formula>"B"</formula>
    </cfRule>
  </conditionalFormatting>
  <conditionalFormatting sqref="F39:G51 I39:I51">
    <cfRule type="cellIs" dxfId="156" priority="48" stopIfTrue="1" operator="equal">
      <formula>"A DN"</formula>
    </cfRule>
  </conditionalFormatting>
  <conditionalFormatting sqref="F51:G51 I51">
    <cfRule type="cellIs" dxfId="155" priority="47" stopIfTrue="1" operator="equal">
      <formula>"B"</formula>
    </cfRule>
    <cfRule type="cellIs" dxfId="154" priority="46" stopIfTrue="1" operator="equal">
      <formula>"C"</formula>
    </cfRule>
  </conditionalFormatting>
  <conditionalFormatting sqref="F52:G63 I52:I63 I65:I84 F86:G116 I86:I116 F270:G341 F39:G50 I39:I50 F65:G83">
    <cfRule type="cellIs" dxfId="153" priority="51" stopIfTrue="1" operator="equal">
      <formula>"C"</formula>
    </cfRule>
  </conditionalFormatting>
  <conditionalFormatting sqref="F52:G63 I52:I63 I65:I84 F86:G116 I86:I116 F270:G341">
    <cfRule type="cellIs" dxfId="152" priority="49" stopIfTrue="1" operator="equal">
      <formula>"KXL"</formula>
    </cfRule>
    <cfRule type="cellIs" dxfId="151" priority="50" stopIfTrue="1" operator="equal">
      <formula>"A DN"</formula>
    </cfRule>
  </conditionalFormatting>
  <conditionalFormatting sqref="F64:G64 I64">
    <cfRule type="cellIs" dxfId="150" priority="43" stopIfTrue="1" operator="equal">
      <formula>"C"</formula>
    </cfRule>
    <cfRule type="cellIs" dxfId="149" priority="44" stopIfTrue="1" operator="equal">
      <formula>"B"</formula>
    </cfRule>
  </conditionalFormatting>
  <conditionalFormatting sqref="F65:G84">
    <cfRule type="cellIs" dxfId="148" priority="28" stopIfTrue="1" operator="equal">
      <formula>"KXL"</formula>
    </cfRule>
  </conditionalFormatting>
  <conditionalFormatting sqref="F84:G84">
    <cfRule type="cellIs" dxfId="147" priority="31" stopIfTrue="1" operator="equal">
      <formula>"B"</formula>
    </cfRule>
    <cfRule type="cellIs" dxfId="146" priority="29" stopIfTrue="1" operator="equal">
      <formula>"A DN"</formula>
    </cfRule>
    <cfRule type="cellIs" dxfId="145" priority="30" stopIfTrue="1" operator="equal">
      <formula>"C"</formula>
    </cfRule>
  </conditionalFormatting>
  <conditionalFormatting sqref="F117:G117 I117">
    <cfRule type="cellIs" dxfId="144" priority="41" stopIfTrue="1" operator="equal">
      <formula>"B"</formula>
    </cfRule>
    <cfRule type="cellIs" dxfId="143" priority="42" stopIfTrue="1" operator="equal">
      <formula>"A DN"</formula>
    </cfRule>
    <cfRule type="cellIs" dxfId="142" priority="40" stopIfTrue="1" operator="equal">
      <formula>"C"</formula>
    </cfRule>
  </conditionalFormatting>
  <conditionalFormatting sqref="F11:K11">
    <cfRule type="cellIs" dxfId="141" priority="14" stopIfTrue="1" operator="equal">
      <formula>"A DN"</formula>
    </cfRule>
    <cfRule type="cellIs" dxfId="140" priority="15" stopIfTrue="1" operator="equal">
      <formula>"C"</formula>
    </cfRule>
    <cfRule type="cellIs" dxfId="139" priority="16" stopIfTrue="1" operator="equal">
      <formula>"B"</formula>
    </cfRule>
    <cfRule type="cellIs" dxfId="138" priority="13" stopIfTrue="1" operator="equal">
      <formula>"KXL"</formula>
    </cfRule>
  </conditionalFormatting>
  <conditionalFormatting sqref="H1:I2 V1:IR2 A1:A3 H3:XFD3 A4:XFD4 AK5:XFD5 A6:XFD6 A7 V7:IR7 A8:XFD8 A9:I9 L9:XFD9 L10:M10 P10:T10 V10:XFD11 C11:D11 A12:T12 V12:IR12 A13:B13 V13:X13 Z13:IR13 D13:D15 K13:N341 P13:P342 W14:IR16 B14:B17 V14:V341 A14:A343 AA17:IR42 D19:D21 B19:B26 D24:D25 C27:D27 D28:D32 B28:B36 D34 D39:D43 B39:B50 W43:IR50 D45:D46 D52:D56 B52:B63 W52:IR63 D58 D60:D63 B65 D65 W65:IR65 C66:D66 X66:IR66 B67:B82 D68:D71 D75 D81 C86 W86:IR95 T86:T342 B87:B116 D90 D95 X96:IR96 W97:IR116 D108:D112 W118:IR194 F118:G258 I118:I341 D122:D125 D127:D130 D133:D135 D138:D143 D154:D165 D167 D169:D178 D180:D183 D185:D196 X195:IR195 W196:IR203 D198:D206 X204:IR204 W205:IR205 X206:IR206 W207:IR223 D208:D222 X224:IR224 D224:D239 W225:IR245 X246:IR246 D246:D258 W247:IR254 X255:IR255 W256:IR259 G259:G269 X260:IR269 D270:D276 W270:IR341 F342:O342 C342:D343 V342:IR348 F343:T343 A344:U344 A345:B345 P345:U345 A346:L346 A347:K347 O347 A348 A349:P349 V349:XFD349 A350:XFD355 A356 V356:IR356 A357:XFD65603">
    <cfRule type="cellIs" dxfId="137" priority="86" stopIfTrue="1" operator="equal">
      <formula>"KXL"</formula>
    </cfRule>
    <cfRule type="cellIs" dxfId="136" priority="87" stopIfTrue="1" operator="equal">
      <formula>"A DN"</formula>
    </cfRule>
    <cfRule type="cellIs" dxfId="135" priority="88" stopIfTrue="1" operator="equal">
      <formula>"C"</formula>
    </cfRule>
    <cfRule type="cellIs" dxfId="134" priority="89" stopIfTrue="1" operator="equal">
      <formula>"B"</formula>
    </cfRule>
  </conditionalFormatting>
  <conditionalFormatting sqref="I64 F64:G83">
    <cfRule type="cellIs" dxfId="133" priority="45" stopIfTrue="1" operator="equal">
      <formula>"A DN"</formula>
    </cfRule>
  </conditionalFormatting>
  <conditionalFormatting sqref="J13:J341">
    <cfRule type="cellIs" dxfId="132" priority="24" operator="equal">
      <formula>"C2"</formula>
    </cfRule>
    <cfRule type="cellIs" dxfId="131" priority="27" operator="equal">
      <formula>"B1"</formula>
    </cfRule>
    <cfRule type="cellIs" dxfId="130" priority="26" operator="equal">
      <formula>"B2"</formula>
    </cfRule>
    <cfRule type="cellIs" dxfId="129" priority="25" operator="equal">
      <formula>"C1"</formula>
    </cfRule>
    <cfRule type="cellIs" dxfId="128" priority="23" operator="equal">
      <formula>"D"</formula>
    </cfRule>
    <cfRule type="cellIs" dxfId="127" priority="22" operator="equal">
      <formula>"KXL"</formula>
    </cfRule>
    <cfRule type="cellIs" dxfId="126" priority="21" operator="equal">
      <formula>"A DN"</formula>
    </cfRule>
  </conditionalFormatting>
  <conditionalFormatting sqref="T13:T84">
    <cfRule type="cellIs" dxfId="125" priority="58" stopIfTrue="1" operator="equal">
      <formula>"A DN"</formula>
    </cfRule>
    <cfRule type="cellIs" dxfId="124" priority="57" stopIfTrue="1" operator="equal">
      <formula>"KXL"</formula>
    </cfRule>
    <cfRule type="cellIs" dxfId="123" priority="60" stopIfTrue="1" operator="equal">
      <formula>"B"</formula>
    </cfRule>
    <cfRule type="cellIs" dxfId="122" priority="59" stopIfTrue="1" operator="equal">
      <formula>"C"</formula>
    </cfRule>
  </conditionalFormatting>
  <conditionalFormatting sqref="W67:IR84 C83:D84">
    <cfRule type="cellIs" dxfId="121" priority="56" stopIfTrue="1" operator="equal">
      <formula>"B"</formula>
    </cfRule>
    <cfRule type="cellIs" dxfId="120" priority="54" stopIfTrue="1" operator="equal">
      <formula>"A DN"</formula>
    </cfRule>
    <cfRule type="cellIs" dxfId="119" priority="55" stopIfTrue="1" operator="equal">
      <formula>"C"</formula>
    </cfRule>
    <cfRule type="cellIs" dxfId="118" priority="53" stopIfTrue="1" operator="equal">
      <formula>"KXL"</formula>
    </cfRule>
  </conditionalFormatting>
  <dataValidations count="1">
    <dataValidation type="list" allowBlank="1" showInputMessage="1" showErrorMessage="1" sqref="Y17" xr:uid="{00000000-0002-0000-0500-000000000000}">
      <formula1>#REF!</formula1>
    </dataValidation>
  </dataValidations>
  <printOptions horizontalCentered="1"/>
  <pageMargins left="0.35433070866141736" right="0.15748031496062992" top="0.4" bottom="0.41" header="0.15748031496062992" footer="0.15748031496062992"/>
  <pageSetup paperSize="9" scale="85" orientation="portrait" r:id="rId1"/>
  <headerFooter alignWithMargins="0">
    <oddFooter>Page &amp;P of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X421"/>
  <sheetViews>
    <sheetView zoomScale="120" zoomScaleNormal="120" workbookViewId="0">
      <selection activeCell="A6" sqref="A6:AJ6"/>
    </sheetView>
  </sheetViews>
  <sheetFormatPr defaultRowHeight="15"/>
  <cols>
    <col min="1" max="1" width="5.5703125" style="1139" customWidth="1"/>
    <col min="2" max="2" width="23.85546875" style="1139" customWidth="1"/>
    <col min="3" max="3" width="17.7109375" style="1139" hidden="1" customWidth="1"/>
    <col min="4" max="4" width="16" style="1003" hidden="1" customWidth="1"/>
    <col min="5" max="5" width="18.5703125" style="1003" customWidth="1"/>
    <col min="6" max="6" width="7.42578125" style="1139" hidden="1" customWidth="1"/>
    <col min="7" max="8" width="7.42578125" style="1268" hidden="1" customWidth="1"/>
    <col min="9" max="19" width="7.42578125" style="1139" hidden="1" customWidth="1"/>
    <col min="20" max="20" width="8.28515625" style="1139" hidden="1" customWidth="1"/>
    <col min="21" max="25" width="7.42578125" style="1139" hidden="1" customWidth="1"/>
    <col min="26" max="26" width="7.140625" style="1139" hidden="1" customWidth="1"/>
    <col min="27" max="27" width="7.7109375" style="1139" hidden="1" customWidth="1"/>
    <col min="28" max="30" width="9.140625" style="1139" hidden="1" customWidth="1"/>
    <col min="31" max="31" width="18.85546875" style="1139" hidden="1" customWidth="1"/>
    <col min="32" max="32" width="14" style="1139" customWidth="1"/>
    <col min="33" max="33" width="12.140625" style="1139" customWidth="1"/>
    <col min="34" max="34" width="18" style="1139" customWidth="1"/>
    <col min="35" max="35" width="3.85546875" style="1139" customWidth="1"/>
    <col min="36" max="36" width="15.28515625" style="1007" customWidth="1"/>
    <col min="37" max="37" width="23.5703125" style="1138" bestFit="1" customWidth="1"/>
    <col min="38" max="38" width="7.28515625" style="1139" customWidth="1"/>
    <col min="39" max="39" width="12.85546875" style="1139" customWidth="1"/>
    <col min="40" max="40" width="50" style="1140" customWidth="1"/>
    <col min="41" max="16384" width="9.140625" style="1139"/>
  </cols>
  <sheetData>
    <row r="1" spans="1:40">
      <c r="A1" s="1589" t="s">
        <v>492</v>
      </c>
      <c r="B1" s="1589"/>
      <c r="C1" s="1589"/>
      <c r="D1" s="1589"/>
      <c r="E1" s="1589"/>
      <c r="F1" s="1003"/>
      <c r="G1" s="1003"/>
      <c r="H1" s="1003"/>
      <c r="I1" s="1003"/>
      <c r="J1" s="1003"/>
      <c r="K1" s="1003"/>
      <c r="L1" s="1003"/>
      <c r="M1" s="1003"/>
      <c r="N1" s="1003"/>
      <c r="O1" s="1003"/>
      <c r="P1" s="1003"/>
      <c r="Q1" s="1003"/>
      <c r="R1" s="1003"/>
      <c r="S1" s="1570" t="s">
        <v>849</v>
      </c>
      <c r="T1" s="1570"/>
      <c r="U1" s="1570"/>
      <c r="V1" s="1570"/>
      <c r="W1" s="1570"/>
      <c r="X1" s="1570"/>
      <c r="Y1" s="1570"/>
      <c r="Z1" s="1570"/>
      <c r="AA1" s="1570"/>
      <c r="AB1" s="1570"/>
      <c r="AC1" s="1570"/>
      <c r="AD1" s="1570"/>
      <c r="AE1" s="1570"/>
      <c r="AF1" s="1570"/>
      <c r="AG1" s="1570"/>
      <c r="AH1" s="1570"/>
      <c r="AI1" s="1570"/>
      <c r="AJ1" s="1570"/>
    </row>
    <row r="2" spans="1:40" ht="15" customHeight="1">
      <c r="A2" s="1570" t="s">
        <v>1563</v>
      </c>
      <c r="B2" s="1570"/>
      <c r="C2" s="1570"/>
      <c r="D2" s="1570"/>
      <c r="E2" s="1570"/>
      <c r="F2" s="1004"/>
      <c r="G2" s="1004"/>
      <c r="H2" s="1004"/>
      <c r="I2" s="1004"/>
      <c r="J2" s="1004"/>
      <c r="K2" s="1004"/>
      <c r="L2" s="1004"/>
      <c r="M2" s="1004"/>
      <c r="N2" s="1004"/>
      <c r="O2" s="1004"/>
      <c r="P2" s="1004"/>
      <c r="Q2" s="1004"/>
      <c r="R2" s="1004"/>
      <c r="S2" s="1570" t="s">
        <v>2179</v>
      </c>
      <c r="T2" s="1570"/>
      <c r="U2" s="1570"/>
      <c r="V2" s="1570"/>
      <c r="W2" s="1570"/>
      <c r="X2" s="1570"/>
      <c r="Y2" s="1570"/>
      <c r="Z2" s="1570"/>
      <c r="AA2" s="1570"/>
      <c r="AB2" s="1570"/>
      <c r="AC2" s="1570"/>
      <c r="AD2" s="1570"/>
      <c r="AE2" s="1570"/>
      <c r="AF2" s="1570"/>
      <c r="AG2" s="1570"/>
      <c r="AH2" s="1570"/>
      <c r="AI2" s="1570"/>
      <c r="AJ2" s="1570"/>
    </row>
    <row r="3" spans="1:40" ht="16.5" customHeight="1">
      <c r="A3" s="1570" t="s">
        <v>1564</v>
      </c>
      <c r="B3" s="1570"/>
      <c r="C3" s="1570"/>
      <c r="D3" s="1570"/>
      <c r="E3" s="1570"/>
      <c r="F3" s="1004"/>
      <c r="G3" s="1004"/>
      <c r="H3" s="1004"/>
      <c r="I3" s="1004"/>
      <c r="J3" s="1004"/>
      <c r="K3" s="1004"/>
      <c r="L3" s="1004"/>
      <c r="M3" s="1004"/>
      <c r="N3" s="1004"/>
      <c r="O3" s="1004"/>
      <c r="P3" s="1004"/>
      <c r="Q3" s="1004"/>
      <c r="R3" s="1004"/>
      <c r="S3" s="1004"/>
      <c r="T3" s="1004"/>
      <c r="U3" s="1004"/>
      <c r="V3" s="1004"/>
      <c r="W3" s="1004"/>
      <c r="X3" s="1218"/>
      <c r="Y3" s="1218"/>
      <c r="Z3" s="1218"/>
      <c r="AA3" s="1006"/>
      <c r="AB3" s="1006"/>
      <c r="AC3" s="1006"/>
      <c r="AD3" s="1006"/>
      <c r="AE3" s="1243"/>
      <c r="AF3" s="1243"/>
      <c r="AG3" s="1243"/>
      <c r="AH3" s="1600" t="s">
        <v>2180</v>
      </c>
      <c r="AI3" s="1600"/>
      <c r="AJ3" s="1600"/>
    </row>
    <row r="4" spans="1:40" ht="18" customHeight="1">
      <c r="A4" s="1244"/>
      <c r="B4" s="1244"/>
      <c r="C4" s="1244"/>
      <c r="D4" s="1244"/>
      <c r="E4" s="1244"/>
      <c r="F4" s="1244"/>
      <c r="G4" s="1244"/>
      <c r="H4" s="1244"/>
      <c r="I4" s="1244"/>
      <c r="J4" s="1244"/>
      <c r="K4" s="1244"/>
      <c r="L4" s="1244"/>
      <c r="M4" s="1244"/>
      <c r="N4" s="1244"/>
      <c r="O4" s="1244"/>
      <c r="P4" s="1244"/>
      <c r="Q4" s="1244"/>
      <c r="R4" s="1244"/>
      <c r="S4" s="1244"/>
      <c r="T4" s="1244"/>
      <c r="U4" s="1244"/>
      <c r="V4" s="1244"/>
      <c r="W4" s="1244"/>
      <c r="X4" s="1244"/>
      <c r="Y4" s="1244"/>
      <c r="Z4" s="1244"/>
      <c r="AA4" s="1006"/>
      <c r="AB4" s="1006"/>
      <c r="AC4" s="1006"/>
      <c r="AD4" s="1006"/>
      <c r="AE4" s="1243"/>
      <c r="AF4" s="1243"/>
      <c r="AG4" s="1243"/>
      <c r="AH4" s="1599" t="s">
        <v>2181</v>
      </c>
      <c r="AI4" s="1599"/>
      <c r="AJ4" s="1599"/>
    </row>
    <row r="5" spans="1:40" ht="18" customHeight="1">
      <c r="A5" s="1244"/>
      <c r="B5" s="1244"/>
      <c r="C5" s="1244"/>
      <c r="D5" s="1244"/>
      <c r="E5" s="1244"/>
      <c r="F5" s="1244"/>
      <c r="G5" s="1244"/>
      <c r="H5" s="1244"/>
      <c r="I5" s="1244"/>
      <c r="J5" s="1244"/>
      <c r="K5" s="1244"/>
      <c r="L5" s="1244"/>
      <c r="M5" s="1244"/>
      <c r="N5" s="1244"/>
      <c r="O5" s="1244"/>
      <c r="P5" s="1244"/>
      <c r="Q5" s="1244"/>
      <c r="R5" s="1244"/>
      <c r="S5" s="1244"/>
      <c r="T5" s="1244"/>
      <c r="U5" s="1244"/>
      <c r="V5" s="1244"/>
      <c r="W5" s="1244"/>
      <c r="X5" s="1244"/>
      <c r="Y5" s="1244"/>
      <c r="Z5" s="1244"/>
      <c r="AA5" s="1006"/>
      <c r="AB5" s="1006"/>
      <c r="AC5" s="1006"/>
      <c r="AD5" s="1006"/>
      <c r="AE5" s="1243"/>
      <c r="AF5" s="1243"/>
      <c r="AG5" s="1243"/>
      <c r="AH5" s="1599" t="s">
        <v>2182</v>
      </c>
      <c r="AI5" s="1599"/>
      <c r="AJ5" s="1599"/>
    </row>
    <row r="6" spans="1:40" s="670" customFormat="1" ht="18.75" customHeight="1">
      <c r="A6" s="1554" t="s">
        <v>2183</v>
      </c>
      <c r="B6" s="1554"/>
      <c r="C6" s="1554"/>
      <c r="D6" s="1554"/>
      <c r="E6" s="1554"/>
      <c r="F6" s="1554"/>
      <c r="G6" s="1554"/>
      <c r="H6" s="1554"/>
      <c r="I6" s="1554"/>
      <c r="J6" s="1554"/>
      <c r="K6" s="1554"/>
      <c r="L6" s="1554"/>
      <c r="M6" s="1554"/>
      <c r="N6" s="1554"/>
      <c r="O6" s="1554"/>
      <c r="P6" s="1554"/>
      <c r="Q6" s="1554"/>
      <c r="R6" s="1554"/>
      <c r="S6" s="1554"/>
      <c r="T6" s="1554"/>
      <c r="U6" s="1554"/>
      <c r="V6" s="1554"/>
      <c r="W6" s="1554"/>
      <c r="X6" s="1554"/>
      <c r="Y6" s="1554"/>
      <c r="Z6" s="1554"/>
      <c r="AA6" s="1554"/>
      <c r="AB6" s="1554"/>
      <c r="AC6" s="1554"/>
      <c r="AD6" s="1554"/>
      <c r="AE6" s="1554"/>
      <c r="AF6" s="1554"/>
      <c r="AG6" s="1554"/>
      <c r="AH6" s="1554"/>
      <c r="AI6" s="1554"/>
      <c r="AJ6" s="1554"/>
    </row>
    <row r="7" spans="1:40" s="670" customFormat="1" ht="18" customHeight="1">
      <c r="A7" s="1554" t="s">
        <v>2386</v>
      </c>
      <c r="B7" s="1554"/>
      <c r="C7" s="1554"/>
      <c r="D7" s="1554"/>
      <c r="E7" s="1554"/>
      <c r="F7" s="1554"/>
      <c r="G7" s="1554"/>
      <c r="H7" s="1554"/>
      <c r="I7" s="1554"/>
      <c r="J7" s="1554"/>
      <c r="K7" s="1554"/>
      <c r="L7" s="1554"/>
      <c r="M7" s="1554"/>
      <c r="N7" s="1554"/>
      <c r="O7" s="1554"/>
      <c r="P7" s="1554"/>
      <c r="Q7" s="1554"/>
      <c r="R7" s="1554"/>
      <c r="S7" s="1554"/>
      <c r="T7" s="1554"/>
      <c r="U7" s="1554"/>
      <c r="V7" s="1554"/>
      <c r="W7" s="1554"/>
      <c r="X7" s="1554"/>
      <c r="Y7" s="1554"/>
      <c r="Z7" s="1554"/>
      <c r="AA7" s="1554"/>
      <c r="AB7" s="1554"/>
      <c r="AC7" s="1554"/>
      <c r="AD7" s="1554"/>
      <c r="AE7" s="1554"/>
      <c r="AF7" s="1554"/>
      <c r="AG7" s="1554"/>
      <c r="AH7" s="1554"/>
      <c r="AI7" s="1554"/>
      <c r="AJ7" s="1554"/>
    </row>
    <row r="8" spans="1:40" ht="18.75" hidden="1" customHeight="1">
      <c r="A8" s="1582" t="s">
        <v>2373</v>
      </c>
      <c r="B8" s="1582"/>
      <c r="C8" s="1582"/>
      <c r="D8" s="1582"/>
      <c r="E8" s="1582"/>
      <c r="F8" s="1582"/>
      <c r="G8" s="1582"/>
      <c r="H8" s="1582"/>
      <c r="I8" s="1582"/>
      <c r="J8" s="1582"/>
      <c r="K8" s="1582"/>
      <c r="L8" s="1582"/>
      <c r="M8" s="1582"/>
      <c r="N8" s="1582"/>
      <c r="O8" s="1582"/>
      <c r="P8" s="1582"/>
      <c r="Q8" s="1582"/>
      <c r="R8" s="1582"/>
      <c r="S8" s="1582"/>
      <c r="T8" s="1582"/>
      <c r="U8" s="1582"/>
      <c r="V8" s="1582"/>
      <c r="W8" s="1582"/>
      <c r="X8" s="1582"/>
      <c r="Y8" s="1582"/>
      <c r="Z8" s="1582"/>
      <c r="AA8" s="1582"/>
      <c r="AB8" s="1582"/>
      <c r="AC8" s="1582"/>
      <c r="AD8" s="1582"/>
      <c r="AE8" s="1582"/>
      <c r="AF8" s="1582"/>
      <c r="AG8" s="1582"/>
      <c r="AH8" s="1582"/>
      <c r="AI8" s="1582"/>
      <c r="AJ8" s="1582"/>
    </row>
    <row r="9" spans="1:40" ht="18.75" hidden="1" customHeight="1">
      <c r="A9" s="1582" t="s">
        <v>1600</v>
      </c>
      <c r="B9" s="1582"/>
      <c r="C9" s="1582"/>
      <c r="D9" s="1582"/>
      <c r="E9" s="1582"/>
      <c r="F9" s="1582"/>
      <c r="G9" s="1582"/>
      <c r="H9" s="1582"/>
      <c r="I9" s="1582"/>
      <c r="J9" s="1582"/>
      <c r="K9" s="1582"/>
      <c r="L9" s="1582"/>
      <c r="M9" s="1582"/>
      <c r="N9" s="1582"/>
      <c r="O9" s="1582"/>
      <c r="P9" s="1582"/>
      <c r="Q9" s="1582"/>
      <c r="R9" s="1582"/>
      <c r="S9" s="1582"/>
      <c r="T9" s="1582"/>
      <c r="U9" s="1582"/>
      <c r="V9" s="1582"/>
      <c r="W9" s="1582"/>
      <c r="X9" s="1582"/>
      <c r="Y9" s="1582"/>
      <c r="Z9" s="1582"/>
      <c r="AA9" s="1582"/>
      <c r="AB9" s="1582"/>
      <c r="AC9" s="1582"/>
      <c r="AD9" s="1582"/>
      <c r="AE9" s="1582"/>
      <c r="AF9" s="1582"/>
      <c r="AG9" s="1582"/>
      <c r="AH9" s="1582"/>
      <c r="AI9" s="1582"/>
      <c r="AJ9" s="1582"/>
    </row>
    <row r="10" spans="1:40" ht="54" hidden="1" customHeight="1">
      <c r="A10" s="1583" t="s">
        <v>2261</v>
      </c>
      <c r="B10" s="1583"/>
      <c r="C10" s="1583"/>
      <c r="D10" s="1583"/>
      <c r="E10" s="1583"/>
      <c r="F10" s="1583"/>
      <c r="G10" s="1583"/>
      <c r="H10" s="1583"/>
      <c r="I10" s="1583"/>
      <c r="J10" s="1583"/>
      <c r="K10" s="1583"/>
      <c r="L10" s="1583"/>
      <c r="M10" s="1583"/>
      <c r="N10" s="1583"/>
      <c r="O10" s="1583"/>
      <c r="P10" s="1583"/>
      <c r="Q10" s="1583"/>
      <c r="R10" s="1583"/>
      <c r="S10" s="1583"/>
      <c r="T10" s="1583"/>
      <c r="U10" s="1583"/>
      <c r="V10" s="1583"/>
      <c r="W10" s="1583"/>
      <c r="X10" s="1583"/>
      <c r="Y10" s="1583"/>
      <c r="Z10" s="1583"/>
      <c r="AA10" s="1583"/>
      <c r="AB10" s="1583"/>
      <c r="AC10" s="1583"/>
      <c r="AD10" s="1583"/>
      <c r="AE10" s="1583"/>
      <c r="AF10" s="1583"/>
      <c r="AG10" s="1583"/>
      <c r="AH10" s="1583"/>
      <c r="AI10" s="1583"/>
      <c r="AJ10" s="1583"/>
    </row>
    <row r="11" spans="1:40" s="1003" customFormat="1" ht="16.5" hidden="1" customHeight="1">
      <c r="A11" s="1002" t="s">
        <v>2370</v>
      </c>
      <c r="C11" s="1004"/>
      <c r="D11" s="1004"/>
      <c r="E11" s="1004"/>
      <c r="F11" s="1218"/>
      <c r="G11" s="1005"/>
      <c r="H11" s="1005"/>
      <c r="I11" s="1006"/>
      <c r="J11" s="1006"/>
      <c r="K11" s="1006"/>
      <c r="L11" s="1006"/>
      <c r="M11" s="1006"/>
      <c r="N11" s="1006"/>
      <c r="O11" s="1006"/>
      <c r="P11" s="1006"/>
      <c r="Q11" s="1006"/>
      <c r="R11" s="1006"/>
      <c r="S11" s="1006"/>
      <c r="T11" s="1006"/>
      <c r="U11" s="1006"/>
      <c r="V11" s="1006"/>
      <c r="W11" s="1006"/>
      <c r="X11" s="1006"/>
      <c r="Y11" s="1006"/>
      <c r="Z11" s="1006"/>
      <c r="AA11" s="1584"/>
      <c r="AB11" s="1584"/>
      <c r="AC11" s="1584"/>
      <c r="AD11" s="1584"/>
      <c r="AE11" s="1216" t="s">
        <v>1181</v>
      </c>
      <c r="AF11" s="1216"/>
      <c r="AG11" s="1216"/>
      <c r="AH11" s="1216"/>
      <c r="AI11" s="1006"/>
      <c r="AJ11" s="1007"/>
      <c r="AK11" s="1008"/>
      <c r="AN11" s="1009"/>
    </row>
    <row r="12" spans="1:40" ht="17.25" hidden="1" customHeight="1">
      <c r="A12" s="1007"/>
      <c r="B12" s="1002"/>
      <c r="C12" s="1002"/>
      <c r="D12" s="1004"/>
      <c r="E12" s="1004"/>
      <c r="F12" s="1135"/>
      <c r="G12" s="1136"/>
      <c r="H12" s="1136"/>
      <c r="I12" s="1007"/>
      <c r="J12" s="1007"/>
      <c r="K12" s="1007"/>
      <c r="L12" s="1007"/>
      <c r="M12" s="1007"/>
      <c r="N12" s="1007"/>
      <c r="O12" s="1007"/>
      <c r="P12" s="1007"/>
      <c r="Q12" s="1007"/>
      <c r="R12" s="1007"/>
      <c r="S12" s="1007"/>
      <c r="T12" s="1585" t="s">
        <v>2372</v>
      </c>
      <c r="U12" s="1585"/>
      <c r="V12" s="1585"/>
      <c r="W12" s="1585"/>
      <c r="X12" s="1007"/>
      <c r="Y12" s="1007"/>
      <c r="Z12" s="1007"/>
      <c r="AA12" s="1007">
        <v>23</v>
      </c>
      <c r="AB12" s="1007">
        <v>22</v>
      </c>
      <c r="AC12" s="1007">
        <v>19</v>
      </c>
      <c r="AD12" s="1259" t="s">
        <v>2371</v>
      </c>
      <c r="AE12" s="1319">
        <v>2340000</v>
      </c>
      <c r="AF12" s="1137"/>
      <c r="AG12" s="1137"/>
      <c r="AH12" s="1137"/>
      <c r="AI12" s="1007"/>
    </row>
    <row r="13" spans="1:40" ht="11.25" customHeight="1">
      <c r="A13" s="1007"/>
      <c r="B13" s="1002"/>
      <c r="C13" s="1002"/>
      <c r="D13" s="1004"/>
      <c r="E13" s="1004"/>
      <c r="F13" s="1135"/>
      <c r="G13" s="1136"/>
      <c r="H13" s="1136"/>
      <c r="I13" s="1007"/>
      <c r="J13" s="1007"/>
      <c r="K13" s="1007"/>
      <c r="L13" s="1007"/>
      <c r="M13" s="1007"/>
      <c r="N13" s="1007"/>
      <c r="O13" s="1007"/>
      <c r="P13" s="1007"/>
      <c r="Q13" s="1007"/>
      <c r="R13" s="1007"/>
      <c r="S13" s="1007"/>
      <c r="T13" s="1320"/>
      <c r="U13" s="1320"/>
      <c r="V13" s="1320"/>
      <c r="W13" s="1320"/>
      <c r="X13" s="1007"/>
      <c r="Y13" s="1007"/>
      <c r="Z13" s="1007"/>
      <c r="AA13" s="1007"/>
      <c r="AB13" s="1007"/>
      <c r="AC13" s="1007"/>
      <c r="AD13" s="1259"/>
      <c r="AE13" s="1319"/>
      <c r="AF13" s="1137"/>
      <c r="AG13" s="1137"/>
      <c r="AH13" s="1137"/>
      <c r="AI13" s="1007"/>
    </row>
    <row r="14" spans="1:40" s="1379" customFormat="1" ht="15" customHeight="1">
      <c r="A14" s="1571" t="s">
        <v>853</v>
      </c>
      <c r="B14" s="1571" t="s">
        <v>854</v>
      </c>
      <c r="C14" s="1375" t="s">
        <v>1598</v>
      </c>
      <c r="D14" s="1376" t="s">
        <v>50</v>
      </c>
      <c r="E14" s="1571" t="s">
        <v>2176</v>
      </c>
      <c r="F14" s="1592" t="s">
        <v>2359</v>
      </c>
      <c r="G14" s="1593"/>
      <c r="H14" s="1593"/>
      <c r="I14" s="1594"/>
      <c r="J14" s="1592" t="s">
        <v>2263</v>
      </c>
      <c r="K14" s="1593"/>
      <c r="L14" s="1593"/>
      <c r="M14" s="1594"/>
      <c r="N14" s="1592" t="s">
        <v>2264</v>
      </c>
      <c r="O14" s="1593"/>
      <c r="P14" s="1593"/>
      <c r="Q14" s="1594"/>
      <c r="R14" s="1592" t="s">
        <v>860</v>
      </c>
      <c r="S14" s="1593"/>
      <c r="T14" s="1593"/>
      <c r="U14" s="1593"/>
      <c r="V14" s="1593"/>
      <c r="W14" s="1594"/>
      <c r="X14" s="1377"/>
      <c r="Y14" s="1377"/>
      <c r="Z14" s="1377"/>
      <c r="AA14" s="1592" t="s">
        <v>2268</v>
      </c>
      <c r="AB14" s="1593"/>
      <c r="AC14" s="1594"/>
      <c r="AD14" s="1571" t="s">
        <v>2269</v>
      </c>
      <c r="AE14" s="1571" t="s">
        <v>1100</v>
      </c>
      <c r="AF14" s="1571" t="s">
        <v>2172</v>
      </c>
      <c r="AG14" s="1571" t="s">
        <v>2173</v>
      </c>
      <c r="AH14" s="1571" t="s">
        <v>1100</v>
      </c>
      <c r="AI14" s="1574" t="s">
        <v>40</v>
      </c>
      <c r="AJ14" s="1575"/>
      <c r="AK14" s="1378"/>
      <c r="AN14" s="1380"/>
    </row>
    <row r="15" spans="1:40" s="1379" customFormat="1" ht="10.5" customHeight="1">
      <c r="A15" s="1573"/>
      <c r="B15" s="1573"/>
      <c r="C15" s="1375"/>
      <c r="D15" s="1376"/>
      <c r="E15" s="1573"/>
      <c r="F15" s="1571" t="s">
        <v>2356</v>
      </c>
      <c r="G15" s="1590" t="s">
        <v>2357</v>
      </c>
      <c r="H15" s="1590" t="s">
        <v>2262</v>
      </c>
      <c r="I15" s="1571" t="s">
        <v>2358</v>
      </c>
      <c r="J15" s="1571" t="s">
        <v>2356</v>
      </c>
      <c r="K15" s="1590" t="s">
        <v>2357</v>
      </c>
      <c r="L15" s="1590" t="s">
        <v>2262</v>
      </c>
      <c r="M15" s="1571" t="s">
        <v>2358</v>
      </c>
      <c r="N15" s="1571" t="s">
        <v>2356</v>
      </c>
      <c r="O15" s="1590" t="s">
        <v>2357</v>
      </c>
      <c r="P15" s="1590" t="s">
        <v>2262</v>
      </c>
      <c r="Q15" s="1571" t="s">
        <v>2358</v>
      </c>
      <c r="R15" s="1592" t="s">
        <v>2265</v>
      </c>
      <c r="S15" s="1594"/>
      <c r="T15" s="1592" t="s">
        <v>2266</v>
      </c>
      <c r="U15" s="1594"/>
      <c r="V15" s="1592" t="s">
        <v>2267</v>
      </c>
      <c r="W15" s="1594"/>
      <c r="X15" s="1571" t="s">
        <v>2265</v>
      </c>
      <c r="Y15" s="1571" t="s">
        <v>2266</v>
      </c>
      <c r="Z15" s="1571" t="s">
        <v>2267</v>
      </c>
      <c r="AA15" s="1571" t="s">
        <v>2265</v>
      </c>
      <c r="AB15" s="1571" t="s">
        <v>2266</v>
      </c>
      <c r="AC15" s="1571" t="s">
        <v>2267</v>
      </c>
      <c r="AD15" s="1573"/>
      <c r="AE15" s="1573"/>
      <c r="AF15" s="1573"/>
      <c r="AG15" s="1573"/>
      <c r="AH15" s="1573"/>
      <c r="AI15" s="1576"/>
      <c r="AJ15" s="1577"/>
      <c r="AK15" s="1378"/>
      <c r="AN15" s="1380"/>
    </row>
    <row r="16" spans="1:40" s="1240" customFormat="1" ht="4.5" hidden="1" customHeight="1">
      <c r="A16" s="1572"/>
      <c r="B16" s="1572"/>
      <c r="C16" s="1236"/>
      <c r="D16" s="1237"/>
      <c r="E16" s="1572"/>
      <c r="F16" s="1572"/>
      <c r="G16" s="1591"/>
      <c r="H16" s="1591"/>
      <c r="I16" s="1572"/>
      <c r="J16" s="1572"/>
      <c r="K16" s="1591"/>
      <c r="L16" s="1591"/>
      <c r="M16" s="1572"/>
      <c r="N16" s="1572"/>
      <c r="O16" s="1591"/>
      <c r="P16" s="1591"/>
      <c r="Q16" s="1572"/>
      <c r="R16" s="1242" t="s">
        <v>2270</v>
      </c>
      <c r="S16" s="1242" t="s">
        <v>2271</v>
      </c>
      <c r="T16" s="1242" t="s">
        <v>2270</v>
      </c>
      <c r="U16" s="1242" t="s">
        <v>2271</v>
      </c>
      <c r="V16" s="1242" t="s">
        <v>2270</v>
      </c>
      <c r="W16" s="1242" t="s">
        <v>2271</v>
      </c>
      <c r="X16" s="1572"/>
      <c r="Y16" s="1572"/>
      <c r="Z16" s="1572"/>
      <c r="AA16" s="1572"/>
      <c r="AB16" s="1572"/>
      <c r="AC16" s="1572"/>
      <c r="AD16" s="1572"/>
      <c r="AE16" s="1572"/>
      <c r="AF16" s="1572"/>
      <c r="AG16" s="1363"/>
      <c r="AH16" s="1363"/>
      <c r="AI16" s="1597"/>
      <c r="AJ16" s="1598"/>
      <c r="AK16" s="1239"/>
      <c r="AN16" s="1241"/>
    </row>
    <row r="17" spans="1:50" s="1012" customFormat="1" ht="15" customHeight="1">
      <c r="A17" s="1010" t="s">
        <v>1110</v>
      </c>
      <c r="B17" s="1010" t="s">
        <v>1111</v>
      </c>
      <c r="C17" s="1010" t="s">
        <v>1112</v>
      </c>
      <c r="D17" s="1010" t="s">
        <v>1113</v>
      </c>
      <c r="E17" s="1010" t="s">
        <v>1112</v>
      </c>
      <c r="F17" s="1010" t="s">
        <v>1114</v>
      </c>
      <c r="G17" s="1010" t="s">
        <v>1115</v>
      </c>
      <c r="H17" s="1010" t="s">
        <v>1116</v>
      </c>
      <c r="I17" s="1010" t="s">
        <v>1117</v>
      </c>
      <c r="J17" s="1010" t="s">
        <v>1118</v>
      </c>
      <c r="K17" s="1010" t="s">
        <v>1119</v>
      </c>
      <c r="L17" s="1010" t="s">
        <v>1120</v>
      </c>
      <c r="M17" s="1010" t="s">
        <v>1121</v>
      </c>
      <c r="N17" s="1010" t="s">
        <v>1122</v>
      </c>
      <c r="O17" s="1010" t="s">
        <v>1123</v>
      </c>
      <c r="P17" s="1010" t="s">
        <v>1124</v>
      </c>
      <c r="Q17" s="1010" t="s">
        <v>1125</v>
      </c>
      <c r="R17" s="1010" t="s">
        <v>1126</v>
      </c>
      <c r="S17" s="1010" t="s">
        <v>1127</v>
      </c>
      <c r="T17" s="1010" t="s">
        <v>1131</v>
      </c>
      <c r="U17" s="1010" t="s">
        <v>1132</v>
      </c>
      <c r="V17" s="1010" t="s">
        <v>1133</v>
      </c>
      <c r="W17" s="1010" t="s">
        <v>1142</v>
      </c>
      <c r="X17" s="1010"/>
      <c r="Y17" s="1010"/>
      <c r="Z17" s="1010"/>
      <c r="AA17" s="1010" t="s">
        <v>1143</v>
      </c>
      <c r="AB17" s="1010" t="s">
        <v>1144</v>
      </c>
      <c r="AC17" s="1010" t="s">
        <v>1145</v>
      </c>
      <c r="AD17" s="1010" t="s">
        <v>1146</v>
      </c>
      <c r="AE17" s="1010" t="s">
        <v>1147</v>
      </c>
      <c r="AF17" s="1217" t="s">
        <v>1113</v>
      </c>
      <c r="AG17" s="1217" t="s">
        <v>1114</v>
      </c>
      <c r="AH17" s="1217" t="s">
        <v>1115</v>
      </c>
      <c r="AI17" s="1578" t="s">
        <v>1116</v>
      </c>
      <c r="AJ17" s="1579"/>
      <c r="AK17" s="1011"/>
      <c r="AN17" s="1013"/>
    </row>
    <row r="18" spans="1:50" s="1028" customFormat="1" ht="24.75" customHeight="1">
      <c r="A18" s="1014">
        <f>_xlfn.AGGREGATE(4,7,A$17:A17)+1</f>
        <v>1</v>
      </c>
      <c r="B18" s="1361" t="s">
        <v>1433</v>
      </c>
      <c r="C18" s="1016" t="s">
        <v>1613</v>
      </c>
      <c r="D18" s="1017" t="s">
        <v>1435</v>
      </c>
      <c r="E18" s="1362" t="str">
        <f>VLOOKUP(B18,TH.T6!B23:J353,9,FALSE)</f>
        <v>Hiệu trưởng</v>
      </c>
      <c r="F18" s="1018">
        <v>5.76</v>
      </c>
      <c r="G18" s="1206">
        <v>0</v>
      </c>
      <c r="H18" s="1245">
        <f>ROUND(F18*G18,3)</f>
        <v>0</v>
      </c>
      <c r="I18" s="1207">
        <v>0.9</v>
      </c>
      <c r="J18" s="1208">
        <v>5.76</v>
      </c>
      <c r="K18" s="1206">
        <v>0</v>
      </c>
      <c r="L18" s="1245">
        <f>ROUND(J18*K18,3)</f>
        <v>0</v>
      </c>
      <c r="M18" s="1207">
        <v>0.9</v>
      </c>
      <c r="N18" s="1208">
        <v>5.76</v>
      </c>
      <c r="O18" s="1206">
        <v>0</v>
      </c>
      <c r="P18" s="1246">
        <f>ROUND(N18*O18,3)</f>
        <v>0</v>
      </c>
      <c r="Q18" s="1020">
        <v>0</v>
      </c>
      <c r="R18" s="1020" t="str">
        <f>IFERROR(INDEX('[18]Gui chi Quynh'!$E$11:$E$397,MATCH(B18,'[18]Gui chi Quynh'!$B$11:$B$397,0)),"")</f>
        <v>A1</v>
      </c>
      <c r="S18" s="1020">
        <f>IF(R18="A1",0.8,IF(R18="A2",0.7,IF(R18="A3",0.6,IF(R18="A4",0.5,IF(R18="B1",0.35,IF(R18="B2",0.25,IF(R18="C1",0.15,IF(R18="C2",0.1,0))))))))</f>
        <v>0.8</v>
      </c>
      <c r="T18" s="1020" t="str">
        <f>VLOOKUP(B18,'[19]Gui chi Quynh'!$B$11:$E$397,4,FALSE)</f>
        <v>A1</v>
      </c>
      <c r="U18" s="1020">
        <f>IF(T18="A1",0.8,IF(T18="A2",0.7,IF(T18="A3",0.6,IF(T18="A4",0.5,IF(T18="B1",0.35,IF(T18="B2",0.25,IF(T18="C1",0.15,IF(T18="C2",0.1,0))))))))</f>
        <v>0.8</v>
      </c>
      <c r="V18" s="1020" t="str">
        <f>VLOOKUP(B18,'[20]Gui chi Quynh'!$B$11:$E$396,4,FALSE)</f>
        <v>A1</v>
      </c>
      <c r="W18" s="1020">
        <f>IF(V18="A1",0.8,IF(V18="A2",0.7,IF(V18="A3",0.6,IF(V18="A4",0.5,IF(V18="B1",0.35,IF(V18="B2",0.25,IF(V18="C1",0.15,IF(V18="C2",0.1,0))))))))</f>
        <v>0.8</v>
      </c>
      <c r="X18" s="1020">
        <f>IFERROR(INDEX('[21]CN BC'!$J$10:$J$275,MATCH(B18,'[21]CN BC'!$H$10:$H$275,0)),"")</f>
        <v>26</v>
      </c>
      <c r="Y18" s="1020">
        <f>IFERROR(INDEX('[22]CN BC'!$J$10:$J$274,MATCH(B18,'[22]CN BC'!$H$10:$H$274,0)),"")</f>
        <v>27</v>
      </c>
      <c r="Z18" s="1020">
        <f>VLOOKUP(B18,'[23]CN BC'!$H$10:$J$275,3,FALSE)</f>
        <v>23</v>
      </c>
      <c r="AA18" s="1021">
        <f>IF(X18&gt;=$AA$12,$AA$12,IF(X18&lt;$AA$12,X18))</f>
        <v>23</v>
      </c>
      <c r="AB18" s="1021">
        <f>IF(Y18&gt;=$AB$12,$AB$12,IF(Y18&lt;$AB$12,Y18))</f>
        <v>22</v>
      </c>
      <c r="AC18" s="1021">
        <f>IF(Z18&gt;=$AC$12,$AC$12,IF(Z18&lt;$AC$12,Z18))</f>
        <v>19</v>
      </c>
      <c r="AD18" s="1022"/>
      <c r="AE18" s="1023">
        <f t="shared" ref="AE18:AE82" si="0">ROUND(((((((F18+H18+I18)*$AE$12/$AA$12*AA18)*S18)+((J18+L18+M18)*$AE$12/$AB$12*AB18)*U18)+((N18+P18+Q18)*$AE$12/$AC$12*AC18)*W18)+AD18),0)</f>
        <v>35717760</v>
      </c>
      <c r="AF18" s="1370">
        <f>AE18/AG18</f>
        <v>15.263999999999999</v>
      </c>
      <c r="AG18" s="1368">
        <v>2340000</v>
      </c>
      <c r="AH18" s="1372">
        <f>AF18*AG18</f>
        <v>35717760</v>
      </c>
      <c r="AI18" s="1024">
        <f t="shared" ref="AI18:AI81" si="1">A18</f>
        <v>1</v>
      </c>
      <c r="AJ18" s="1025">
        <f>IFERROR(INDEX('[17]CN BC'!$M$10:$M$276,MATCH(B18,'[17]CN BC'!$H$10:$H$276,0)),"")</f>
        <v>0</v>
      </c>
      <c r="AK18" s="1011" t="str">
        <f>VLOOKUP(B18,TH.T4!B21:AC350,28,FALSE)</f>
        <v>BGH</v>
      </c>
      <c r="AL18" s="1026"/>
      <c r="AM18" s="1581" t="str">
        <f>CONCATENATE(AJ30," và ",AK30)</f>
        <v xml:space="preserve"> và TCHC</v>
      </c>
      <c r="AN18" s="1581"/>
      <c r="AO18" s="1012"/>
      <c r="AP18" s="1012"/>
      <c r="AQ18" s="1012"/>
      <c r="AR18" s="1012"/>
      <c r="AS18" s="1012"/>
      <c r="AT18" s="1012"/>
      <c r="AU18" s="1012"/>
      <c r="AV18" s="1012"/>
      <c r="AW18" s="1012"/>
      <c r="AX18" s="1012"/>
    </row>
    <row r="19" spans="1:50" s="1028" customFormat="1" ht="27.75" customHeight="1">
      <c r="A19" s="1014">
        <f>_xlfn.AGGREGATE(4,7,A$17:A18)+1</f>
        <v>2</v>
      </c>
      <c r="B19" s="1015" t="s">
        <v>1447</v>
      </c>
      <c r="C19" s="1029" t="s">
        <v>1614</v>
      </c>
      <c r="D19" s="1030" t="s">
        <v>1442</v>
      </c>
      <c r="E19" s="81" t="str">
        <f>VLOOKUP(B19,TH.T6!B24:J354,9,FALSE)</f>
        <v>Phó Hiệu trưởng</v>
      </c>
      <c r="F19" s="1018">
        <v>4.9800000000000004</v>
      </c>
      <c r="G19" s="1019">
        <v>7.0000000000000007E-2</v>
      </c>
      <c r="H19" s="1247">
        <f t="shared" ref="H19:H82" si="2">ROUND(F19*G19,3)</f>
        <v>0.34899999999999998</v>
      </c>
      <c r="I19" s="1020">
        <v>0.7</v>
      </c>
      <c r="J19" s="1018">
        <v>4.9800000000000004</v>
      </c>
      <c r="K19" s="1019">
        <v>7.0000000000000007E-2</v>
      </c>
      <c r="L19" s="1247">
        <f t="shared" ref="L19:L82" si="3">ROUND(J19*K19,3)</f>
        <v>0.34899999999999998</v>
      </c>
      <c r="M19" s="1020">
        <v>0.7</v>
      </c>
      <c r="N19" s="1018">
        <v>4.9800000000000004</v>
      </c>
      <c r="O19" s="1019">
        <v>7.0000000000000007E-2</v>
      </c>
      <c r="P19" s="1248">
        <f t="shared" ref="P19:P82" si="4">ROUND(N19*O19,3)</f>
        <v>0.34899999999999998</v>
      </c>
      <c r="Q19" s="1020">
        <v>0.9</v>
      </c>
      <c r="R19" s="1020" t="str">
        <f>IFERROR(INDEX('[18]Gui chi Quynh'!$E$11:$E$397,MATCH(B19,'[18]Gui chi Quynh'!$B$11:$B$397,0)),"")</f>
        <v>A1</v>
      </c>
      <c r="S19" s="1020">
        <f t="shared" ref="S19:S82" si="5">IF(R19="A1",0.8,IF(R19="A2",0.7,IF(R19="A3",0.6,IF(R19="A4",0.5,IF(R19="B1",0.35,IF(R19="B2",0.25,IF(R19="C1",0.15,IF(R19="C2",0.1,0))))))))</f>
        <v>0.8</v>
      </c>
      <c r="T19" s="1020" t="str">
        <f>VLOOKUP(B19,'[19]Gui chi Quynh'!$B$11:$E$397,4,FALSE)</f>
        <v>A1</v>
      </c>
      <c r="U19" s="1020">
        <f t="shared" ref="U19:U82" si="6">IF(T19="A1",0.8,IF(T19="A2",0.7,IF(T19="A3",0.6,IF(T19="A4",0.5,IF(T19="B1",0.35,IF(T19="B2",0.25,IF(T19="C1",0.15,IF(T19="C2",0.1,0))))))))</f>
        <v>0.8</v>
      </c>
      <c r="V19" s="1020" t="str">
        <f>VLOOKUP(B19,'[20]Gui chi Quynh'!$B$11:$E$396,4,FALSE)</f>
        <v>A1</v>
      </c>
      <c r="W19" s="1020">
        <f t="shared" ref="W19:W82" si="7">IF(V19="A1",0.8,IF(V19="A2",0.7,IF(V19="A3",0.6,IF(V19="A4",0.5,IF(V19="B1",0.35,IF(V19="B2",0.25,IF(V19="C1",0.15,IF(V19="C2",0.1,0))))))))</f>
        <v>0.8</v>
      </c>
      <c r="X19" s="1020">
        <f>IFERROR(INDEX('[21]CN BC'!$J$10:$J$275,MATCH(B19,'[21]CN BC'!$H$10:$H$275,0)),"")</f>
        <v>29</v>
      </c>
      <c r="Y19" s="1020">
        <f>IFERROR(INDEX('[22]CN BC'!$J$10:$J$274,MATCH(B19,'[22]CN BC'!$H$10:$H$274,0)),"")</f>
        <v>28</v>
      </c>
      <c r="Z19" s="1020">
        <f>VLOOKUP(B19,'[23]CN BC'!$H$10:$J$275,3,FALSE)</f>
        <v>26</v>
      </c>
      <c r="AA19" s="1021">
        <f t="shared" ref="AA19:AA82" si="8">IF(X19&gt;=$AA$12,$AA$12,IF(X19&lt;$AA$12,X19))</f>
        <v>23</v>
      </c>
      <c r="AB19" s="1021">
        <f t="shared" ref="AB19:AB82" si="9">IF(Y19&gt;=$AB$12,$AB$12,IF(Y19&lt;$AB$12,Y19))</f>
        <v>22</v>
      </c>
      <c r="AC19" s="1021">
        <f t="shared" ref="AC19:AC82" si="10">IF(Z19&gt;=$AC$12,$AC$12,IF(Z19&lt;$AC$12,Z19))</f>
        <v>19</v>
      </c>
      <c r="AD19" s="1022"/>
      <c r="AE19" s="1023">
        <f t="shared" si="0"/>
        <v>34233264</v>
      </c>
      <c r="AF19" s="1371">
        <f t="shared" ref="AF19:AF82" si="11">AE19/AG19</f>
        <v>14.6296</v>
      </c>
      <c r="AG19" s="1102">
        <v>2340000</v>
      </c>
      <c r="AH19" s="1373">
        <f t="shared" ref="AH19:AH82" si="12">AF19*AG19</f>
        <v>34233264</v>
      </c>
      <c r="AI19" s="1024">
        <f t="shared" si="1"/>
        <v>2</v>
      </c>
      <c r="AJ19" s="1025">
        <f>IFERROR(INDEX('[17]CN BC'!$M$10:$M$276,MATCH(B19,'[17]CN BC'!$H$10:$H$276,0)),"")</f>
        <v>0</v>
      </c>
      <c r="AK19" s="1011" t="str">
        <f>VLOOKUP(B19,TH.T4!B22:AC352,28,FALSE)</f>
        <v>BGH</v>
      </c>
      <c r="AL19" s="1031"/>
      <c r="AM19" s="1032"/>
      <c r="AN19" s="1027"/>
      <c r="AO19" s="1012"/>
      <c r="AP19" s="1012"/>
      <c r="AQ19" s="1012"/>
      <c r="AR19" s="1012"/>
      <c r="AS19" s="1012"/>
      <c r="AT19" s="1012"/>
      <c r="AU19" s="1012"/>
      <c r="AV19" s="1012"/>
      <c r="AW19" s="1012"/>
      <c r="AX19" s="1012"/>
    </row>
    <row r="20" spans="1:50" s="1028" customFormat="1" ht="27" customHeight="1">
      <c r="A20" s="1014">
        <f>_xlfn.AGGREGATE(4,7,A$17:A19)+1</f>
        <v>3</v>
      </c>
      <c r="B20" s="1015" t="s">
        <v>1845</v>
      </c>
      <c r="C20" s="1033" t="s">
        <v>1615</v>
      </c>
      <c r="D20" s="1034" t="s">
        <v>1255</v>
      </c>
      <c r="E20" s="81" t="str">
        <f>VLOOKUP(B20,TH.T6!B25:J355,9,FALSE)</f>
        <v>Phó Hiệu trưởng</v>
      </c>
      <c r="F20" s="1018">
        <v>4.9800000000000004</v>
      </c>
      <c r="G20" s="1019">
        <v>0.08</v>
      </c>
      <c r="H20" s="1247">
        <f t="shared" si="2"/>
        <v>0.39800000000000002</v>
      </c>
      <c r="I20" s="1020">
        <v>0.7</v>
      </c>
      <c r="J20" s="1018">
        <v>4.9800000000000004</v>
      </c>
      <c r="K20" s="1019">
        <v>0.08</v>
      </c>
      <c r="L20" s="1247">
        <f t="shared" si="3"/>
        <v>0.39800000000000002</v>
      </c>
      <c r="M20" s="1020">
        <v>0.7</v>
      </c>
      <c r="N20" s="1018">
        <v>4.9800000000000004</v>
      </c>
      <c r="O20" s="1019">
        <v>0.08</v>
      </c>
      <c r="P20" s="1248">
        <f t="shared" si="4"/>
        <v>0.39800000000000002</v>
      </c>
      <c r="Q20" s="1020">
        <v>0.7</v>
      </c>
      <c r="R20" s="1020" t="str">
        <f>IFERROR(INDEX('[18]Gui chi Quynh'!$E$11:$E$397,MATCH(B20,'[18]Gui chi Quynh'!$B$11:$B$397,0)),"")</f>
        <v>A1</v>
      </c>
      <c r="S20" s="1020">
        <f t="shared" si="5"/>
        <v>0.8</v>
      </c>
      <c r="T20" s="1020" t="str">
        <f>VLOOKUP(B20,'[19]Gui chi Quynh'!$B$11:$E$397,4,FALSE)</f>
        <v>A1</v>
      </c>
      <c r="U20" s="1020">
        <f t="shared" si="6"/>
        <v>0.8</v>
      </c>
      <c r="V20" s="1020" t="str">
        <f>VLOOKUP(B20,'[20]Gui chi Quynh'!$B$11:$E$396,4,FALSE)</f>
        <v>A1</v>
      </c>
      <c r="W20" s="1020">
        <f t="shared" si="7"/>
        <v>0.8</v>
      </c>
      <c r="X20" s="1020">
        <f>IFERROR(INDEX('[21]CN BC'!$J$10:$J$275,MATCH(B20,'[21]CN BC'!$H$10:$H$275,0)),"")</f>
        <v>28</v>
      </c>
      <c r="Y20" s="1020">
        <f>IFERROR(INDEX('[22]CN BC'!$J$10:$J$274,MATCH(B20,'[22]CN BC'!$H$10:$H$274,0)),"")</f>
        <v>27</v>
      </c>
      <c r="Z20" s="1020">
        <f>VLOOKUP(B20,'[23]CN BC'!$H$10:$J$275,3,FALSE)</f>
        <v>25</v>
      </c>
      <c r="AA20" s="1021">
        <f t="shared" si="8"/>
        <v>23</v>
      </c>
      <c r="AB20" s="1021">
        <f t="shared" si="9"/>
        <v>22</v>
      </c>
      <c r="AC20" s="1021">
        <f t="shared" si="10"/>
        <v>19</v>
      </c>
      <c r="AD20" s="1022"/>
      <c r="AE20" s="1023">
        <f t="shared" si="0"/>
        <v>34134048</v>
      </c>
      <c r="AF20" s="1371">
        <f t="shared" si="11"/>
        <v>14.587199999999999</v>
      </c>
      <c r="AG20" s="1102">
        <v>2340000</v>
      </c>
      <c r="AH20" s="1373">
        <f t="shared" si="12"/>
        <v>34134048</v>
      </c>
      <c r="AI20" s="1024">
        <f t="shared" si="1"/>
        <v>3</v>
      </c>
      <c r="AJ20" s="1025">
        <f>IFERROR(INDEX('[17]CN BC'!$M$10:$M$276,MATCH(B20,'[17]CN BC'!$H$10:$H$276,0)),"")</f>
        <v>0</v>
      </c>
      <c r="AK20" s="1011" t="str">
        <f>VLOOKUP(B20,TH.T4!B23:AC353,28,FALSE)</f>
        <v>BGH</v>
      </c>
      <c r="AL20" s="1036"/>
      <c r="AM20" s="1037"/>
      <c r="AN20" s="1038"/>
    </row>
    <row r="21" spans="1:50" s="1028" customFormat="1" ht="24.75" customHeight="1">
      <c r="A21" s="1014">
        <f>_xlfn.AGGREGATE(4,7,A$17:A20)+1</f>
        <v>4</v>
      </c>
      <c r="B21" s="1015" t="s">
        <v>1533</v>
      </c>
      <c r="C21" s="1033" t="s">
        <v>1954</v>
      </c>
      <c r="D21" s="1039" t="s">
        <v>1937</v>
      </c>
      <c r="E21" s="81" t="str">
        <f>VLOOKUP(B21,TH.T6!B26:J356,9,FALSE)</f>
        <v>Phó Hiệu trưởng</v>
      </c>
      <c r="F21" s="1040">
        <v>4.9800000000000004</v>
      </c>
      <c r="G21" s="1019"/>
      <c r="H21" s="1247">
        <f t="shared" si="2"/>
        <v>0</v>
      </c>
      <c r="I21" s="1020">
        <v>0.7</v>
      </c>
      <c r="J21" s="1040">
        <v>4.9800000000000004</v>
      </c>
      <c r="K21" s="1019"/>
      <c r="L21" s="1247">
        <f t="shared" si="3"/>
        <v>0</v>
      </c>
      <c r="M21" s="1020">
        <v>0.7</v>
      </c>
      <c r="N21" s="1040">
        <v>4.9800000000000004</v>
      </c>
      <c r="O21" s="1019"/>
      <c r="P21" s="1248">
        <f t="shared" si="4"/>
        <v>0</v>
      </c>
      <c r="Q21" s="1020">
        <v>0.7</v>
      </c>
      <c r="R21" s="1020" t="str">
        <f>IFERROR(INDEX('[18]Gui chi Quynh'!$E$11:$E$397,MATCH(B21,'[18]Gui chi Quynh'!$B$11:$B$397,0)),"")</f>
        <v>A1</v>
      </c>
      <c r="S21" s="1020">
        <f t="shared" si="5"/>
        <v>0.8</v>
      </c>
      <c r="T21" s="1020" t="str">
        <f>VLOOKUP(B21,'[19]Gui chi Quynh'!$B$11:$E$397,4,FALSE)</f>
        <v>A1</v>
      </c>
      <c r="U21" s="1020">
        <f t="shared" si="6"/>
        <v>0.8</v>
      </c>
      <c r="V21" s="1020" t="str">
        <f>VLOOKUP(B21,'[20]Gui chi Quynh'!$B$11:$E$396,4,FALSE)</f>
        <v>A1</v>
      </c>
      <c r="W21" s="1020">
        <f t="shared" si="7"/>
        <v>0.8</v>
      </c>
      <c r="X21" s="1020">
        <f>IFERROR(INDEX('[21]CN BC'!$J$10:$J$275,MATCH(B21,'[21]CN BC'!$H$10:$H$275,0)),"")</f>
        <v>28</v>
      </c>
      <c r="Y21" s="1020">
        <f>IFERROR(INDEX('[22]CN BC'!$J$10:$J$274,MATCH(B21,'[22]CN BC'!$H$10:$H$274,0)),"")</f>
        <v>29</v>
      </c>
      <c r="Z21" s="1020">
        <f>VLOOKUP(B21,'[23]CN BC'!$H$10:$J$275,3,FALSE)</f>
        <v>26</v>
      </c>
      <c r="AA21" s="1021">
        <f t="shared" si="8"/>
        <v>23</v>
      </c>
      <c r="AB21" s="1021">
        <f t="shared" si="9"/>
        <v>22</v>
      </c>
      <c r="AC21" s="1021">
        <f t="shared" si="10"/>
        <v>19</v>
      </c>
      <c r="AD21" s="1022"/>
      <c r="AE21" s="1023">
        <f t="shared" si="0"/>
        <v>31898880</v>
      </c>
      <c r="AF21" s="1371">
        <f t="shared" si="11"/>
        <v>13.632</v>
      </c>
      <c r="AG21" s="1102">
        <v>2340000</v>
      </c>
      <c r="AH21" s="1373">
        <f t="shared" si="12"/>
        <v>31898880</v>
      </c>
      <c r="AI21" s="1024">
        <f t="shared" si="1"/>
        <v>4</v>
      </c>
      <c r="AJ21" s="1025">
        <f>IFERROR(INDEX('[17]CN BC'!$M$10:$M$276,MATCH(B21,'[17]CN BC'!$H$10:$H$276,0)),"")</f>
        <v>0</v>
      </c>
      <c r="AK21" s="1011" t="str">
        <f>VLOOKUP(B21,TH.T4!B24:AC354,28,FALSE)</f>
        <v>BGH</v>
      </c>
      <c r="AL21" s="1041"/>
      <c r="AM21" s="1041"/>
      <c r="AN21" s="1027"/>
      <c r="AO21" s="1012"/>
      <c r="AP21" s="1012"/>
      <c r="AQ21" s="1012"/>
      <c r="AR21" s="1012"/>
      <c r="AS21" s="1012"/>
      <c r="AT21" s="1012"/>
    </row>
    <row r="22" spans="1:50" s="1028" customFormat="1" ht="47.25" customHeight="1">
      <c r="A22" s="1014">
        <f>_xlfn.AGGREGATE(4,7,A$17:A21)+1</f>
        <v>5</v>
      </c>
      <c r="B22" s="1093" t="s">
        <v>1458</v>
      </c>
      <c r="C22" s="1092" t="s">
        <v>1995</v>
      </c>
      <c r="D22" s="1221" t="s">
        <v>1577</v>
      </c>
      <c r="E22" s="554" t="str">
        <f>VLOOKUP(B22,TH.T6!B27:J357,9,FALSE)</f>
        <v>Trưởng phòng TC - HC - TH</v>
      </c>
      <c r="F22" s="1095">
        <v>4.9800000000000004</v>
      </c>
      <c r="G22" s="1096">
        <v>0.05</v>
      </c>
      <c r="H22" s="1249">
        <f t="shared" si="2"/>
        <v>0.249</v>
      </c>
      <c r="I22" s="1097">
        <v>0.45</v>
      </c>
      <c r="J22" s="1095">
        <v>4.9800000000000004</v>
      </c>
      <c r="K22" s="1096">
        <v>0.05</v>
      </c>
      <c r="L22" s="1249">
        <f t="shared" si="3"/>
        <v>0.249</v>
      </c>
      <c r="M22" s="1097">
        <v>0.45</v>
      </c>
      <c r="N22" s="1095">
        <v>4.9800000000000004</v>
      </c>
      <c r="O22" s="1096">
        <v>0.06</v>
      </c>
      <c r="P22" s="1250">
        <f t="shared" si="4"/>
        <v>0.29899999999999999</v>
      </c>
      <c r="Q22" s="1097">
        <v>0.45</v>
      </c>
      <c r="R22" s="1097" t="str">
        <f>IFERROR(INDEX('[18]Gui chi Quynh'!$E$11:$E$397,MATCH(B22,'[18]Gui chi Quynh'!$B$11:$B$397,0)),"")</f>
        <v>A1</v>
      </c>
      <c r="S22" s="1097">
        <f t="shared" si="5"/>
        <v>0.8</v>
      </c>
      <c r="T22" s="1097" t="str">
        <f>VLOOKUP(B22,'[19]Gui chi Quynh'!$B$11:$E$397,4,FALSE)</f>
        <v>A1</v>
      </c>
      <c r="U22" s="1097">
        <f t="shared" si="6"/>
        <v>0.8</v>
      </c>
      <c r="V22" s="1097" t="str">
        <f>VLOOKUP(B22,'[20]Gui chi Quynh'!$B$11:$E$396,4,FALSE)</f>
        <v>A1</v>
      </c>
      <c r="W22" s="1097">
        <f t="shared" si="7"/>
        <v>0.8</v>
      </c>
      <c r="X22" s="1097">
        <f>IFERROR(INDEX('[21]CN BC'!$J$10:$J$275,MATCH(B22,'[21]CN BC'!$H$10:$H$275,0)),"")</f>
        <v>23</v>
      </c>
      <c r="Y22" s="1097">
        <f>IFERROR(INDEX('[22]CN BC'!$J$10:$J$274,MATCH(B22,'[22]CN BC'!$H$10:$H$274,0)),"")</f>
        <v>29</v>
      </c>
      <c r="Z22" s="1097">
        <f>VLOOKUP(B22,'[23]CN BC'!$H$10:$J$275,3,FALSE)</f>
        <v>25</v>
      </c>
      <c r="AA22" s="1213">
        <f t="shared" si="8"/>
        <v>23</v>
      </c>
      <c r="AB22" s="1213">
        <f t="shared" si="9"/>
        <v>22</v>
      </c>
      <c r="AC22" s="1213">
        <f t="shared" si="10"/>
        <v>19</v>
      </c>
      <c r="AD22" s="1098"/>
      <c r="AE22" s="1214">
        <f t="shared" si="0"/>
        <v>31986864</v>
      </c>
      <c r="AF22" s="1400">
        <f t="shared" si="11"/>
        <v>13.669600000000001</v>
      </c>
      <c r="AG22" s="1225">
        <v>2340000</v>
      </c>
      <c r="AH22" s="1401">
        <f t="shared" si="12"/>
        <v>31986864.000000004</v>
      </c>
      <c r="AI22" s="1099">
        <f t="shared" si="1"/>
        <v>5</v>
      </c>
      <c r="AJ22" s="1215" t="s">
        <v>2364</v>
      </c>
      <c r="AK22" s="1011" t="str">
        <f>VLOOKUP(B22,TH.T4!B25:AC355,28,FALSE)</f>
        <v>TCHC</v>
      </c>
      <c r="AL22" s="1128" t="s">
        <v>2272</v>
      </c>
      <c r="AM22" s="1128" t="s">
        <v>2273</v>
      </c>
      <c r="AN22" s="1128" t="s">
        <v>2274</v>
      </c>
      <c r="AO22" s="1251"/>
      <c r="AP22" s="1012"/>
      <c r="AQ22" s="1012"/>
      <c r="AR22" s="1012"/>
      <c r="AS22" s="1012"/>
      <c r="AT22" s="1012"/>
      <c r="AU22" s="1012"/>
      <c r="AV22" s="1012"/>
      <c r="AW22" s="1012"/>
      <c r="AX22" s="1012"/>
    </row>
    <row r="23" spans="1:50" s="1028" customFormat="1" ht="29.25" customHeight="1">
      <c r="A23" s="1014">
        <f>_xlfn.AGGREGATE(4,7,A$17:A22)+1</f>
        <v>6</v>
      </c>
      <c r="B23" s="1043" t="s">
        <v>1596</v>
      </c>
      <c r="C23" s="1044" t="s">
        <v>1623</v>
      </c>
      <c r="D23" s="1045">
        <v>1603205353720</v>
      </c>
      <c r="E23" s="81" t="str">
        <f>VLOOKUP(B23,TH.T6!B28:J358,9,FALSE)</f>
        <v>Phó Trưởng phòng Tổ chức - Hành chính - TH</v>
      </c>
      <c r="F23" s="1040">
        <v>3.33</v>
      </c>
      <c r="G23" s="1019"/>
      <c r="H23" s="1247">
        <f t="shared" si="2"/>
        <v>0</v>
      </c>
      <c r="I23" s="1020">
        <v>0.35</v>
      </c>
      <c r="J23" s="1040">
        <v>3.33</v>
      </c>
      <c r="K23" s="1019"/>
      <c r="L23" s="1247">
        <f t="shared" si="3"/>
        <v>0</v>
      </c>
      <c r="M23" s="1020">
        <v>0.35</v>
      </c>
      <c r="N23" s="1040">
        <v>3.33</v>
      </c>
      <c r="O23" s="1019"/>
      <c r="P23" s="1248">
        <f t="shared" si="4"/>
        <v>0</v>
      </c>
      <c r="Q23" s="1020">
        <v>0.35</v>
      </c>
      <c r="R23" s="1020" t="str">
        <f>IFERROR(INDEX('[18]Gui chi Quynh'!$E$11:$E$397,MATCH(B23,'[18]Gui chi Quynh'!$B$11:$B$397,0)),"")</f>
        <v>A1</v>
      </c>
      <c r="S23" s="1020">
        <f t="shared" si="5"/>
        <v>0.8</v>
      </c>
      <c r="T23" s="1020" t="str">
        <f>VLOOKUP(B23,'[19]Gui chi Quynh'!$B$11:$E$397,4,FALSE)</f>
        <v>A1</v>
      </c>
      <c r="U23" s="1020">
        <f t="shared" si="6"/>
        <v>0.8</v>
      </c>
      <c r="V23" s="1020" t="str">
        <f>VLOOKUP(B23,'[20]Gui chi Quynh'!$B$11:$E$396,4,FALSE)</f>
        <v>A1</v>
      </c>
      <c r="W23" s="1020">
        <f t="shared" si="7"/>
        <v>0.8</v>
      </c>
      <c r="X23" s="1020">
        <f>IFERROR(INDEX('[21]CN BC'!$J$10:$J$275,MATCH(B23,'[21]CN BC'!$H$10:$H$275,0)),"")</f>
        <v>24.5</v>
      </c>
      <c r="Y23" s="1020">
        <f>IFERROR(INDEX('[22]CN BC'!$J$10:$J$274,MATCH(B23,'[22]CN BC'!$H$10:$H$274,0)),"")</f>
        <v>26</v>
      </c>
      <c r="Z23" s="1020">
        <f>VLOOKUP(B23,'[23]CN BC'!$H$10:$J$275,3,FALSE)</f>
        <v>22</v>
      </c>
      <c r="AA23" s="1021">
        <f t="shared" si="8"/>
        <v>23</v>
      </c>
      <c r="AB23" s="1021">
        <f t="shared" si="9"/>
        <v>22</v>
      </c>
      <c r="AC23" s="1021">
        <f t="shared" si="10"/>
        <v>19</v>
      </c>
      <c r="AD23" s="1022"/>
      <c r="AE23" s="1023">
        <f t="shared" si="0"/>
        <v>20666880</v>
      </c>
      <c r="AF23" s="1371">
        <f t="shared" si="11"/>
        <v>8.8320000000000007</v>
      </c>
      <c r="AG23" s="1102">
        <v>2340000</v>
      </c>
      <c r="AH23" s="1373">
        <f t="shared" si="12"/>
        <v>20666880</v>
      </c>
      <c r="AI23" s="1024">
        <f t="shared" si="1"/>
        <v>6</v>
      </c>
      <c r="AJ23" s="1025">
        <f>IFERROR(INDEX('[17]CN BC'!$M$10:$M$276,MATCH(B23,'[17]CN BC'!$H$10:$H$276,0)),"")</f>
        <v>0</v>
      </c>
      <c r="AK23" s="1011" t="str">
        <f>VLOOKUP(B23,TH.T4!B26:AC356,28,FALSE)</f>
        <v>TCHC</v>
      </c>
      <c r="AL23" s="1129">
        <f>_xlfn.AGGREGATE(4,7,AL$22:AL22)+1</f>
        <v>1</v>
      </c>
      <c r="AM23" s="1129" t="s">
        <v>2014</v>
      </c>
      <c r="AN23" s="1130" t="s">
        <v>2275</v>
      </c>
      <c r="AO23" s="1131">
        <f t="shared" ref="AO23:AO47" si="13">SUMIF($T$20:$T$83,$W23,$P$20:$P$83)</f>
        <v>0</v>
      </c>
      <c r="AP23" s="1012"/>
      <c r="AQ23" s="1012"/>
      <c r="AR23" s="1012"/>
      <c r="AS23" s="1012"/>
      <c r="AT23" s="1012"/>
    </row>
    <row r="24" spans="1:50" s="1028" customFormat="1" ht="29.25" customHeight="1">
      <c r="A24" s="1014">
        <f>_xlfn.AGGREGATE(4,7,A$17:A23)+1</f>
        <v>7</v>
      </c>
      <c r="B24" s="1015" t="s">
        <v>1464</v>
      </c>
      <c r="C24" s="1033" t="s">
        <v>1660</v>
      </c>
      <c r="D24" s="1047">
        <v>1603205185719</v>
      </c>
      <c r="E24" s="81" t="str">
        <f>VLOOKUP(B24,TH.T6!B29:J359,9,FALSE)</f>
        <v>Phó Trưởng phòng Tổ chức - Hành chính - TH</v>
      </c>
      <c r="F24" s="1040">
        <v>3</v>
      </c>
      <c r="G24" s="1019"/>
      <c r="H24" s="1247">
        <f t="shared" si="2"/>
        <v>0</v>
      </c>
      <c r="I24" s="1020">
        <v>0.35</v>
      </c>
      <c r="J24" s="1040">
        <v>3</v>
      </c>
      <c r="K24" s="1019"/>
      <c r="L24" s="1247">
        <f t="shared" si="3"/>
        <v>0</v>
      </c>
      <c r="M24" s="1020">
        <v>0.35</v>
      </c>
      <c r="N24" s="1040">
        <v>3</v>
      </c>
      <c r="O24" s="1019"/>
      <c r="P24" s="1248">
        <f t="shared" si="4"/>
        <v>0</v>
      </c>
      <c r="Q24" s="1020">
        <v>0.35</v>
      </c>
      <c r="R24" s="1020" t="str">
        <f>IFERROR(INDEX('[18]Gui chi Quynh'!$E$11:$E$397,MATCH(B24,'[18]Gui chi Quynh'!$B$11:$B$397,0)),"")</f>
        <v>A1</v>
      </c>
      <c r="S24" s="1020">
        <f t="shared" si="5"/>
        <v>0.8</v>
      </c>
      <c r="T24" s="1020" t="str">
        <f>VLOOKUP(B24,'[19]Gui chi Quynh'!$B$11:$E$397,4,FALSE)</f>
        <v>A1</v>
      </c>
      <c r="U24" s="1020">
        <f t="shared" si="6"/>
        <v>0.8</v>
      </c>
      <c r="V24" s="1020" t="str">
        <f>VLOOKUP(B24,'[20]Gui chi Quynh'!$B$11:$E$396,4,FALSE)</f>
        <v>A1</v>
      </c>
      <c r="W24" s="1020">
        <f t="shared" si="7"/>
        <v>0.8</v>
      </c>
      <c r="X24" s="1020">
        <f>IFERROR(INDEX('[21]CN BC'!$J$10:$J$275,MATCH(B24,'[21]CN BC'!$H$10:$H$275,0)),"")</f>
        <v>25.5</v>
      </c>
      <c r="Y24" s="1020">
        <f>IFERROR(INDEX('[22]CN BC'!$J$10:$J$274,MATCH(B24,'[22]CN BC'!$H$10:$H$274,0)),"")</f>
        <v>27</v>
      </c>
      <c r="Z24" s="1020">
        <f>VLOOKUP(B24,'[23]CN BC'!$H$10:$J$275,3,FALSE)</f>
        <v>23</v>
      </c>
      <c r="AA24" s="1021">
        <f t="shared" si="8"/>
        <v>23</v>
      </c>
      <c r="AB24" s="1021">
        <f t="shared" si="9"/>
        <v>22</v>
      </c>
      <c r="AC24" s="1021">
        <f t="shared" si="10"/>
        <v>19</v>
      </c>
      <c r="AD24" s="1022"/>
      <c r="AE24" s="1023">
        <f t="shared" si="0"/>
        <v>18813600</v>
      </c>
      <c r="AF24" s="1371">
        <f t="shared" si="11"/>
        <v>8.0399999999999991</v>
      </c>
      <c r="AG24" s="1102">
        <v>2340000</v>
      </c>
      <c r="AH24" s="1373">
        <f t="shared" si="12"/>
        <v>18813599.999999996</v>
      </c>
      <c r="AI24" s="1024">
        <f t="shared" si="1"/>
        <v>7</v>
      </c>
      <c r="AJ24" s="1025">
        <f>IFERROR(INDEX('[17]CN BC'!$M$10:$M$276,MATCH(B24,'[17]CN BC'!$H$10:$H$276,0)),"")</f>
        <v>0</v>
      </c>
      <c r="AK24" s="1011" t="str">
        <f>VLOOKUP(B24,TH.T4!B27:AC357,28,FALSE)</f>
        <v>TCHC</v>
      </c>
      <c r="AL24" s="1129">
        <f>_xlfn.AGGREGATE(4,7,AL$22:AL23)+1</f>
        <v>2</v>
      </c>
      <c r="AM24" s="420" t="s">
        <v>2224</v>
      </c>
      <c r="AN24" s="1130" t="s">
        <v>2276</v>
      </c>
      <c r="AO24" s="1131">
        <f t="shared" si="13"/>
        <v>0</v>
      </c>
      <c r="AP24" s="1012"/>
      <c r="AQ24" s="1012"/>
      <c r="AR24" s="1012"/>
      <c r="AS24" s="1012"/>
      <c r="AT24" s="1012"/>
    </row>
    <row r="25" spans="1:50" s="1028" customFormat="1" ht="29.25" customHeight="1">
      <c r="A25" s="1014">
        <f>_xlfn.AGGREGATE(4,7,A$17:A24)+1</f>
        <v>8</v>
      </c>
      <c r="B25" s="1015" t="s">
        <v>1846</v>
      </c>
      <c r="C25" s="1033" t="s">
        <v>1618</v>
      </c>
      <c r="D25" s="1034" t="s">
        <v>1264</v>
      </c>
      <c r="E25" s="81" t="str">
        <f>VLOOKUP(B25,TH.T6!B30:J360,9,FALSE)</f>
        <v>NV Phòng Tổ chức - Hành chính - Tổng hợp</v>
      </c>
      <c r="F25" s="1018">
        <v>3.99</v>
      </c>
      <c r="G25" s="1019"/>
      <c r="H25" s="1247">
        <f t="shared" si="2"/>
        <v>0</v>
      </c>
      <c r="I25" s="1020"/>
      <c r="J25" s="1018">
        <v>3.99</v>
      </c>
      <c r="K25" s="1019"/>
      <c r="L25" s="1247">
        <f t="shared" si="3"/>
        <v>0</v>
      </c>
      <c r="M25" s="1020"/>
      <c r="N25" s="1018">
        <v>3.99</v>
      </c>
      <c r="O25" s="1019"/>
      <c r="P25" s="1248">
        <f t="shared" si="4"/>
        <v>0</v>
      </c>
      <c r="Q25" s="1020"/>
      <c r="R25" s="1020" t="str">
        <f>IFERROR(INDEX('[18]Gui chi Quynh'!$E$11:$E$397,MATCH(B25,'[18]Gui chi Quynh'!$B$11:$B$397,0)),"")</f>
        <v>A1</v>
      </c>
      <c r="S25" s="1020">
        <f t="shared" si="5"/>
        <v>0.8</v>
      </c>
      <c r="T25" s="1020" t="str">
        <f>VLOOKUP(B25,'[19]Gui chi Quynh'!$B$11:$E$397,4,FALSE)</f>
        <v>A1</v>
      </c>
      <c r="U25" s="1020">
        <f t="shared" si="6"/>
        <v>0.8</v>
      </c>
      <c r="V25" s="1020" t="str">
        <f>VLOOKUP(B25,'[20]Gui chi Quynh'!$B$11:$E$396,4,FALSE)</f>
        <v>A1</v>
      </c>
      <c r="W25" s="1020">
        <f t="shared" si="7"/>
        <v>0.8</v>
      </c>
      <c r="X25" s="1020">
        <f>IFERROR(INDEX('[21]CN BC'!$J$10:$J$275,MATCH(B25,'[21]CN BC'!$H$10:$H$275,0)),"")</f>
        <v>24</v>
      </c>
      <c r="Y25" s="1020">
        <f>IFERROR(INDEX('[22]CN BC'!$J$10:$J$274,MATCH(B25,'[22]CN BC'!$H$10:$H$274,0)),"")</f>
        <v>23.5</v>
      </c>
      <c r="Z25" s="1020">
        <f>VLOOKUP(B25,'[23]CN BC'!$H$10:$J$275,3,FALSE)</f>
        <v>19.5</v>
      </c>
      <c r="AA25" s="1021">
        <f t="shared" si="8"/>
        <v>23</v>
      </c>
      <c r="AB25" s="1021">
        <f t="shared" si="9"/>
        <v>22</v>
      </c>
      <c r="AC25" s="1021">
        <f t="shared" si="10"/>
        <v>19</v>
      </c>
      <c r="AD25" s="1022"/>
      <c r="AE25" s="1023">
        <f t="shared" si="0"/>
        <v>22407840</v>
      </c>
      <c r="AF25" s="1371">
        <f t="shared" si="11"/>
        <v>9.5760000000000005</v>
      </c>
      <c r="AG25" s="1102">
        <v>2340000</v>
      </c>
      <c r="AH25" s="1373">
        <f t="shared" si="12"/>
        <v>22407840</v>
      </c>
      <c r="AI25" s="1024">
        <f t="shared" si="1"/>
        <v>8</v>
      </c>
      <c r="AJ25" s="1025">
        <f>IFERROR(INDEX('[17]CN BC'!$M$10:$M$276,MATCH(B25,'[17]CN BC'!$H$10:$H$276,0)),"")</f>
        <v>0</v>
      </c>
      <c r="AK25" s="1011" t="str">
        <f>VLOOKUP(B25,TH.T4!B28:AC358,28,FALSE)</f>
        <v>TCHC</v>
      </c>
      <c r="AL25" s="1129">
        <f>_xlfn.AGGREGATE(4,7,AL$22:AL24)+1</f>
        <v>3</v>
      </c>
      <c r="AM25" s="1132" t="s">
        <v>527</v>
      </c>
      <c r="AN25" s="1133" t="s">
        <v>2277</v>
      </c>
      <c r="AO25" s="1134">
        <f t="shared" si="13"/>
        <v>0</v>
      </c>
      <c r="AP25" s="1012"/>
      <c r="AQ25" s="1012"/>
      <c r="AR25" s="1012"/>
      <c r="AS25" s="1012"/>
      <c r="AT25" s="1012"/>
    </row>
    <row r="26" spans="1:50" s="1028" customFormat="1" ht="29.25" customHeight="1">
      <c r="A26" s="1014">
        <f>_xlfn.AGGREGATE(4,7,A$17:A25)+1</f>
        <v>9</v>
      </c>
      <c r="B26" s="1015" t="s">
        <v>1827</v>
      </c>
      <c r="C26" s="1033" t="s">
        <v>1619</v>
      </c>
      <c r="D26" s="1034" t="s">
        <v>1265</v>
      </c>
      <c r="E26" s="81" t="str">
        <f>VLOOKUP(B26,TH.T6!B31:J361,9,FALSE)</f>
        <v>NV Phòng Tổ chức - Hành chính - Tổng hợp</v>
      </c>
      <c r="F26" s="1040">
        <v>3.99</v>
      </c>
      <c r="G26" s="1019"/>
      <c r="H26" s="1247">
        <f t="shared" si="2"/>
        <v>0</v>
      </c>
      <c r="I26" s="1020"/>
      <c r="J26" s="1040">
        <v>3.99</v>
      </c>
      <c r="K26" s="1019"/>
      <c r="L26" s="1247">
        <f t="shared" si="3"/>
        <v>0</v>
      </c>
      <c r="M26" s="1020"/>
      <c r="N26" s="1040">
        <v>3.99</v>
      </c>
      <c r="O26" s="1019"/>
      <c r="P26" s="1248">
        <f t="shared" si="4"/>
        <v>0</v>
      </c>
      <c r="Q26" s="1020"/>
      <c r="R26" s="1020" t="str">
        <f>IFERROR(INDEX('[18]Gui chi Quynh'!$E$11:$E$397,MATCH(B26,'[18]Gui chi Quynh'!$B$11:$B$397,0)),"")</f>
        <v>A2</v>
      </c>
      <c r="S26" s="1020">
        <f t="shared" si="5"/>
        <v>0.7</v>
      </c>
      <c r="T26" s="1020" t="str">
        <f>VLOOKUP(B26,'[19]Gui chi Quynh'!$B$11:$E$397,4,FALSE)</f>
        <v>A2</v>
      </c>
      <c r="U26" s="1020">
        <f t="shared" si="6"/>
        <v>0.7</v>
      </c>
      <c r="V26" s="1020" t="str">
        <f>VLOOKUP(B26,'[20]Gui chi Quynh'!$B$11:$E$396,4,FALSE)</f>
        <v>A2</v>
      </c>
      <c r="W26" s="1020">
        <f t="shared" si="7"/>
        <v>0.7</v>
      </c>
      <c r="X26" s="1020">
        <f>IFERROR(INDEX('[21]CN BC'!$J$10:$J$275,MATCH(B26,'[21]CN BC'!$H$10:$H$275,0)),"")</f>
        <v>25</v>
      </c>
      <c r="Y26" s="1020">
        <f>IFERROR(INDEX('[22]CN BC'!$J$10:$J$274,MATCH(B26,'[22]CN BC'!$H$10:$H$274,0)),"")</f>
        <v>23</v>
      </c>
      <c r="Z26" s="1020">
        <f>VLOOKUP(B26,'[23]CN BC'!$H$10:$J$275,3,FALSE)</f>
        <v>20</v>
      </c>
      <c r="AA26" s="1021">
        <f t="shared" si="8"/>
        <v>23</v>
      </c>
      <c r="AB26" s="1021">
        <f t="shared" si="9"/>
        <v>22</v>
      </c>
      <c r="AC26" s="1021">
        <f t="shared" si="10"/>
        <v>19</v>
      </c>
      <c r="AD26" s="1022"/>
      <c r="AE26" s="1023">
        <f t="shared" si="0"/>
        <v>19606860</v>
      </c>
      <c r="AF26" s="1371">
        <f t="shared" si="11"/>
        <v>8.3789999999999996</v>
      </c>
      <c r="AG26" s="1102">
        <v>2340000</v>
      </c>
      <c r="AH26" s="1373">
        <f t="shared" si="12"/>
        <v>19606860</v>
      </c>
      <c r="AI26" s="1024">
        <f t="shared" si="1"/>
        <v>9</v>
      </c>
      <c r="AJ26" s="1025">
        <f>IFERROR(INDEX('[17]CN BC'!$M$10:$M$276,MATCH(B26,'[17]CN BC'!$H$10:$H$276,0)),"")</f>
        <v>0</v>
      </c>
      <c r="AK26" s="1011" t="str">
        <f>VLOOKUP(B26,TH.T4!B29:AC359,28,FALSE)</f>
        <v>TCHC</v>
      </c>
      <c r="AL26" s="1129">
        <f>_xlfn.AGGREGATE(4,7,AL$22:AL25)+1</f>
        <v>4</v>
      </c>
      <c r="AM26" s="420" t="s">
        <v>2227</v>
      </c>
      <c r="AN26" s="1130" t="s">
        <v>2278</v>
      </c>
      <c r="AO26" s="1131">
        <f t="shared" si="13"/>
        <v>0</v>
      </c>
      <c r="AP26" s="1012"/>
      <c r="AQ26" s="1012"/>
      <c r="AR26" s="1012"/>
      <c r="AS26" s="1012"/>
      <c r="AT26" s="1012"/>
    </row>
    <row r="27" spans="1:50" s="1028" customFormat="1" ht="29.25" customHeight="1">
      <c r="A27" s="1014">
        <f>_xlfn.AGGREGATE(4,7,A$17:A26)+1</f>
        <v>10</v>
      </c>
      <c r="B27" s="1015" t="s">
        <v>1448</v>
      </c>
      <c r="C27" s="1033" t="s">
        <v>1620</v>
      </c>
      <c r="D27" s="1045" t="s">
        <v>1574</v>
      </c>
      <c r="E27" s="81" t="str">
        <f>VLOOKUP(B27,TH.T6!B32:J362,9,FALSE)</f>
        <v>NV Phòng Tổ chức - Hành chính - Tổng hợp</v>
      </c>
      <c r="F27" s="1018">
        <v>3.46</v>
      </c>
      <c r="G27" s="1019"/>
      <c r="H27" s="1247">
        <f t="shared" si="2"/>
        <v>0</v>
      </c>
      <c r="I27" s="1020"/>
      <c r="J27" s="1018">
        <v>3.46</v>
      </c>
      <c r="K27" s="1019"/>
      <c r="L27" s="1247">
        <f t="shared" si="3"/>
        <v>0</v>
      </c>
      <c r="M27" s="1020"/>
      <c r="N27" s="1018">
        <v>3.46</v>
      </c>
      <c r="O27" s="1019"/>
      <c r="P27" s="1248">
        <f t="shared" si="4"/>
        <v>0</v>
      </c>
      <c r="Q27" s="1020"/>
      <c r="R27" s="1020" t="str">
        <f>IFERROR(INDEX('[18]Gui chi Quynh'!$E$11:$E$397,MATCH(B27,'[18]Gui chi Quynh'!$B$11:$B$397,0)),"")</f>
        <v>A2</v>
      </c>
      <c r="S27" s="1020">
        <f t="shared" si="5"/>
        <v>0.7</v>
      </c>
      <c r="T27" s="1020" t="str">
        <f>VLOOKUP(B27,'[19]Gui chi Quynh'!$B$11:$E$397,4,FALSE)</f>
        <v>A2</v>
      </c>
      <c r="U27" s="1020">
        <f t="shared" si="6"/>
        <v>0.7</v>
      </c>
      <c r="V27" s="1020" t="str">
        <f>VLOOKUP(B27,'[20]Gui chi Quynh'!$B$11:$E$396,4,FALSE)</f>
        <v>A2</v>
      </c>
      <c r="W27" s="1020">
        <f t="shared" si="7"/>
        <v>0.7</v>
      </c>
      <c r="X27" s="1020">
        <f>IFERROR(INDEX('[21]CN BC'!$J$10:$J$275,MATCH(B27,'[21]CN BC'!$H$10:$H$275,0)),"")</f>
        <v>22.5</v>
      </c>
      <c r="Y27" s="1020">
        <f>IFERROR(INDEX('[22]CN BC'!$J$10:$J$274,MATCH(B27,'[22]CN BC'!$H$10:$H$274,0)),"")</f>
        <v>23.5</v>
      </c>
      <c r="Z27" s="1020">
        <f>VLOOKUP(B27,'[23]CN BC'!$H$10:$J$275,3,FALSE)</f>
        <v>19</v>
      </c>
      <c r="AA27" s="1021">
        <f t="shared" si="8"/>
        <v>22.5</v>
      </c>
      <c r="AB27" s="1021">
        <f t="shared" si="9"/>
        <v>22</v>
      </c>
      <c r="AC27" s="1021">
        <f t="shared" si="10"/>
        <v>19</v>
      </c>
      <c r="AD27" s="1022"/>
      <c r="AE27" s="1023">
        <f t="shared" si="0"/>
        <v>16879234</v>
      </c>
      <c r="AF27" s="1371">
        <f t="shared" si="11"/>
        <v>7.2133478632478631</v>
      </c>
      <c r="AG27" s="1102">
        <v>2340000</v>
      </c>
      <c r="AH27" s="1373">
        <f t="shared" si="12"/>
        <v>16879234</v>
      </c>
      <c r="AI27" s="1024">
        <f t="shared" si="1"/>
        <v>10</v>
      </c>
      <c r="AJ27" s="1025">
        <f>IFERROR(INDEX('[17]CN BC'!$M$10:$M$276,MATCH(B27,'[17]CN BC'!$H$10:$H$276,0)),"")</f>
        <v>0</v>
      </c>
      <c r="AK27" s="1011" t="str">
        <f>VLOOKUP(B27,TH.T4!B30:AC360,28,FALSE)</f>
        <v>TCHC</v>
      </c>
      <c r="AL27" s="1129">
        <f>_xlfn.AGGREGATE(4,7,AL$22:AL26)+1</f>
        <v>5</v>
      </c>
      <c r="AM27" s="1129" t="s">
        <v>2230</v>
      </c>
      <c r="AN27" s="1130" t="s">
        <v>2279</v>
      </c>
      <c r="AO27" s="1131">
        <f t="shared" si="13"/>
        <v>0</v>
      </c>
      <c r="AP27" s="1012"/>
      <c r="AQ27" s="1012"/>
      <c r="AR27" s="1012"/>
      <c r="AS27" s="1012"/>
      <c r="AT27" s="1012"/>
    </row>
    <row r="28" spans="1:50" s="1028" customFormat="1" ht="29.25" customHeight="1">
      <c r="A28" s="1014">
        <f>_xlfn.AGGREGATE(4,7,A$17:A27)+1</f>
        <v>11</v>
      </c>
      <c r="B28" s="1015" t="s">
        <v>1449</v>
      </c>
      <c r="C28" s="1029" t="s">
        <v>1621</v>
      </c>
      <c r="D28" s="1048">
        <v>1603205280047</v>
      </c>
      <c r="E28" s="81" t="str">
        <f>VLOOKUP(B28,TH.T6!B33:J363,9,FALSE)</f>
        <v>NV Phòng Tổ chức - Hành chính - Tổng hợp</v>
      </c>
      <c r="F28" s="1040">
        <v>3.66</v>
      </c>
      <c r="G28" s="1049"/>
      <c r="H28" s="1247">
        <f t="shared" si="2"/>
        <v>0</v>
      </c>
      <c r="I28" s="1020"/>
      <c r="J28" s="1040">
        <v>3.66</v>
      </c>
      <c r="K28" s="1049"/>
      <c r="L28" s="1247">
        <f t="shared" si="3"/>
        <v>0</v>
      </c>
      <c r="M28" s="1020"/>
      <c r="N28" s="1040">
        <v>3.66</v>
      </c>
      <c r="O28" s="1049"/>
      <c r="P28" s="1248">
        <f t="shared" si="4"/>
        <v>0</v>
      </c>
      <c r="Q28" s="1020"/>
      <c r="R28" s="1020" t="str">
        <f>IFERROR(INDEX('[18]Gui chi Quynh'!$E$11:$E$397,MATCH(B28,'[18]Gui chi Quynh'!$B$11:$B$397,0)),"")</f>
        <v>A3</v>
      </c>
      <c r="S28" s="1020">
        <f t="shared" si="5"/>
        <v>0.6</v>
      </c>
      <c r="T28" s="1020" t="str">
        <f>VLOOKUP(B28,'[19]Gui chi Quynh'!$B$11:$E$397,4,FALSE)</f>
        <v>A2</v>
      </c>
      <c r="U28" s="1020">
        <f t="shared" si="6"/>
        <v>0.7</v>
      </c>
      <c r="V28" s="1020" t="str">
        <f>VLOOKUP(B28,'[20]Gui chi Quynh'!$B$11:$E$396,4,FALSE)</f>
        <v>A3</v>
      </c>
      <c r="W28" s="1020">
        <f t="shared" si="7"/>
        <v>0.6</v>
      </c>
      <c r="X28" s="1020">
        <f>IFERROR(INDEX('[21]CN BC'!$J$10:$J$275,MATCH(B28,'[21]CN BC'!$H$10:$H$275,0)),"")</f>
        <v>23</v>
      </c>
      <c r="Y28" s="1020">
        <f>IFERROR(INDEX('[22]CN BC'!$J$10:$J$274,MATCH(B28,'[22]CN BC'!$H$10:$H$274,0)),"")</f>
        <v>22</v>
      </c>
      <c r="Z28" s="1020">
        <f>VLOOKUP(B28,'[23]CN BC'!$H$10:$J$275,3,FALSE)</f>
        <v>18</v>
      </c>
      <c r="AA28" s="1021">
        <f t="shared" si="8"/>
        <v>23</v>
      </c>
      <c r="AB28" s="1021">
        <f t="shared" si="9"/>
        <v>22</v>
      </c>
      <c r="AC28" s="1021">
        <f t="shared" si="10"/>
        <v>18</v>
      </c>
      <c r="AD28" s="1022"/>
      <c r="AE28" s="1023">
        <f t="shared" si="0"/>
        <v>16001905</v>
      </c>
      <c r="AF28" s="1371">
        <f t="shared" si="11"/>
        <v>6.8384209401709404</v>
      </c>
      <c r="AG28" s="1102">
        <v>2340000</v>
      </c>
      <c r="AH28" s="1373">
        <f t="shared" si="12"/>
        <v>16001905</v>
      </c>
      <c r="AI28" s="1024">
        <f t="shared" si="1"/>
        <v>11</v>
      </c>
      <c r="AJ28" s="1025">
        <f>IFERROR(INDEX('[17]CN BC'!$M$10:$M$276,MATCH(B28,'[17]CN BC'!$H$10:$H$276,0)),"")</f>
        <v>0</v>
      </c>
      <c r="AK28" s="1011" t="str">
        <f>VLOOKUP(B28,TH.T4!B31:AC361,28,FALSE)</f>
        <v>TCHC</v>
      </c>
      <c r="AL28" s="1129">
        <f>_xlfn.AGGREGATE(4,7,AL$22:AL27)+1</f>
        <v>6</v>
      </c>
      <c r="AM28" s="420" t="s">
        <v>2219</v>
      </c>
      <c r="AN28" s="1130" t="s">
        <v>2280</v>
      </c>
      <c r="AO28" s="1131">
        <f t="shared" si="13"/>
        <v>0</v>
      </c>
      <c r="AP28" s="1012"/>
      <c r="AQ28" s="1012"/>
      <c r="AR28" s="1012"/>
      <c r="AS28" s="1012"/>
      <c r="AT28" s="1012"/>
      <c r="AU28" s="1012"/>
      <c r="AV28" s="1012"/>
      <c r="AW28" s="1012"/>
      <c r="AX28" s="1012"/>
    </row>
    <row r="29" spans="1:50" s="1028" customFormat="1" ht="29.25" customHeight="1">
      <c r="A29" s="1014">
        <f>_xlfn.AGGREGATE(4,7,A$17:A28)+1</f>
        <v>12</v>
      </c>
      <c r="B29" s="1015" t="s">
        <v>1828</v>
      </c>
      <c r="C29" s="1033" t="s">
        <v>1622</v>
      </c>
      <c r="D29" s="1047" t="s">
        <v>385</v>
      </c>
      <c r="E29" s="81" t="str">
        <f>VLOOKUP(B29,TH.T6!B34:J364,9,FALSE)</f>
        <v>NV Phòng Tổ chức - Hành chính - Tổng hợp</v>
      </c>
      <c r="F29" s="1018">
        <v>3.66</v>
      </c>
      <c r="G29" s="1019"/>
      <c r="H29" s="1247">
        <f t="shared" si="2"/>
        <v>0</v>
      </c>
      <c r="I29" s="1020"/>
      <c r="J29" s="1018">
        <v>3.66</v>
      </c>
      <c r="K29" s="1019"/>
      <c r="L29" s="1247">
        <f t="shared" si="3"/>
        <v>0</v>
      </c>
      <c r="M29" s="1020"/>
      <c r="N29" s="1018">
        <v>3.66</v>
      </c>
      <c r="O29" s="1019"/>
      <c r="P29" s="1248">
        <f t="shared" si="4"/>
        <v>0</v>
      </c>
      <c r="Q29" s="1020"/>
      <c r="R29" s="1020" t="str">
        <f>IFERROR(INDEX('[18]Gui chi Quynh'!$E$11:$E$397,MATCH(B29,'[18]Gui chi Quynh'!$B$11:$B$397,0)),"")</f>
        <v>A2</v>
      </c>
      <c r="S29" s="1020">
        <f t="shared" si="5"/>
        <v>0.7</v>
      </c>
      <c r="T29" s="1020" t="str">
        <f>VLOOKUP(B29,'[19]Gui chi Quynh'!$B$11:$E$397,4,FALSE)</f>
        <v>A1</v>
      </c>
      <c r="U29" s="1020">
        <f t="shared" si="6"/>
        <v>0.8</v>
      </c>
      <c r="V29" s="1020" t="str">
        <f>VLOOKUP(B29,'[20]Gui chi Quynh'!$B$11:$E$396,4,FALSE)</f>
        <v>A1</v>
      </c>
      <c r="W29" s="1020">
        <f t="shared" si="7"/>
        <v>0.8</v>
      </c>
      <c r="X29" s="1020">
        <f>IFERROR(INDEX('[21]CN BC'!$J$10:$J$275,MATCH(B29,'[21]CN BC'!$H$10:$H$275,0)),"")</f>
        <v>24</v>
      </c>
      <c r="Y29" s="1020">
        <f>IFERROR(INDEX('[22]CN BC'!$J$10:$J$274,MATCH(B29,'[22]CN BC'!$H$10:$H$274,0)),"")</f>
        <v>23</v>
      </c>
      <c r="Z29" s="1020">
        <f>VLOOKUP(B29,'[23]CN BC'!$H$10:$J$275,3,FALSE)</f>
        <v>21</v>
      </c>
      <c r="AA29" s="1021">
        <f t="shared" si="8"/>
        <v>23</v>
      </c>
      <c r="AB29" s="1021">
        <f t="shared" si="9"/>
        <v>22</v>
      </c>
      <c r="AC29" s="1021">
        <f t="shared" si="10"/>
        <v>19</v>
      </c>
      <c r="AD29" s="1022"/>
      <c r="AE29" s="1023">
        <f t="shared" si="0"/>
        <v>19698120</v>
      </c>
      <c r="AF29" s="1371">
        <f t="shared" si="11"/>
        <v>8.4179999999999993</v>
      </c>
      <c r="AG29" s="1102">
        <v>2340000</v>
      </c>
      <c r="AH29" s="1373">
        <f t="shared" si="12"/>
        <v>19698120</v>
      </c>
      <c r="AI29" s="1024">
        <f t="shared" si="1"/>
        <v>12</v>
      </c>
      <c r="AJ29" s="1025">
        <f>IFERROR(INDEX('[17]CN BC'!$M$10:$M$276,MATCH(B29,'[17]CN BC'!$H$10:$H$276,0)),"")</f>
        <v>0</v>
      </c>
      <c r="AK29" s="1011" t="str">
        <f>VLOOKUP(B29,TH.T4!B32:AC362,28,FALSE)</f>
        <v>TCHC</v>
      </c>
      <c r="AL29" s="1132">
        <f>_xlfn.AGGREGATE(4,7,AL$22:AL28)+1</f>
        <v>7</v>
      </c>
      <c r="AM29" s="1132" t="s">
        <v>539</v>
      </c>
      <c r="AN29" s="1133" t="s">
        <v>2281</v>
      </c>
      <c r="AO29" s="1134">
        <f t="shared" si="13"/>
        <v>0</v>
      </c>
      <c r="AP29" s="1012"/>
      <c r="AQ29" s="1012"/>
      <c r="AR29" s="1012"/>
      <c r="AS29" s="1012"/>
      <c r="AT29" s="1012"/>
    </row>
    <row r="30" spans="1:50" s="1028" customFormat="1" ht="29.25" customHeight="1">
      <c r="A30" s="1014">
        <f>_xlfn.AGGREGATE(4,7,A$17:A29)+1</f>
        <v>13</v>
      </c>
      <c r="B30" s="1015" t="s">
        <v>1847</v>
      </c>
      <c r="C30" s="1029" t="s">
        <v>1643</v>
      </c>
      <c r="D30" s="1034" t="s">
        <v>8</v>
      </c>
      <c r="E30" s="81" t="str">
        <f>VLOOKUP(B30,TH.T6!B35:J365,9,FALSE)</f>
        <v>NV Phòng Tổ chức - Hành chính - Tổng hợp</v>
      </c>
      <c r="F30" s="1018">
        <v>3.66</v>
      </c>
      <c r="G30" s="1019"/>
      <c r="H30" s="1247">
        <f t="shared" si="2"/>
        <v>0</v>
      </c>
      <c r="I30" s="1020"/>
      <c r="J30" s="1018">
        <v>3.66</v>
      </c>
      <c r="K30" s="1019"/>
      <c r="L30" s="1247">
        <f t="shared" si="3"/>
        <v>0</v>
      </c>
      <c r="M30" s="1020"/>
      <c r="N30" s="1018">
        <v>3.66</v>
      </c>
      <c r="O30" s="1019"/>
      <c r="P30" s="1248">
        <f t="shared" si="4"/>
        <v>0</v>
      </c>
      <c r="Q30" s="1020"/>
      <c r="R30" s="1020" t="str">
        <f>IFERROR(INDEX('[18]Gui chi Quynh'!$E$11:$E$397,MATCH(B30,'[18]Gui chi Quynh'!$B$11:$B$397,0)),"")</f>
        <v>A3</v>
      </c>
      <c r="S30" s="1020">
        <f t="shared" si="5"/>
        <v>0.6</v>
      </c>
      <c r="T30" s="1020" t="str">
        <f>VLOOKUP(B30,'[19]Gui chi Quynh'!$B$11:$E$397,4,FALSE)</f>
        <v>A2</v>
      </c>
      <c r="U30" s="1020">
        <f t="shared" si="6"/>
        <v>0.7</v>
      </c>
      <c r="V30" s="1020" t="str">
        <f>VLOOKUP(B30,'[20]Gui chi Quynh'!$B$11:$E$396,4,FALSE)</f>
        <v>A3</v>
      </c>
      <c r="W30" s="1020">
        <f t="shared" si="7"/>
        <v>0.6</v>
      </c>
      <c r="X30" s="1020">
        <f>IFERROR(INDEX('[21]CN BC'!$J$10:$J$275,MATCH(B30,'[21]CN BC'!$H$10:$H$275,0)),"")</f>
        <v>21</v>
      </c>
      <c r="Y30" s="1020">
        <f>IFERROR(INDEX('[22]CN BC'!$J$10:$J$274,MATCH(B30,'[22]CN BC'!$H$10:$H$274,0)),"")</f>
        <v>22</v>
      </c>
      <c r="Z30" s="1020">
        <f>VLOOKUP(B30,'[23]CN BC'!$H$10:$J$275,3,FALSE)</f>
        <v>19</v>
      </c>
      <c r="AA30" s="1021">
        <f t="shared" si="8"/>
        <v>21</v>
      </c>
      <c r="AB30" s="1021">
        <f t="shared" si="9"/>
        <v>22</v>
      </c>
      <c r="AC30" s="1021">
        <f t="shared" si="10"/>
        <v>19</v>
      </c>
      <c r="AD30" s="1022"/>
      <c r="AE30" s="1023">
        <f t="shared" si="0"/>
        <v>15825522</v>
      </c>
      <c r="AF30" s="1371">
        <f t="shared" si="11"/>
        <v>6.7630435897435897</v>
      </c>
      <c r="AG30" s="1102">
        <v>2340000</v>
      </c>
      <c r="AH30" s="1373">
        <f t="shared" si="12"/>
        <v>15825522</v>
      </c>
      <c r="AI30" s="1024">
        <f t="shared" si="1"/>
        <v>13</v>
      </c>
      <c r="AJ30" s="1025"/>
      <c r="AK30" s="1011" t="str">
        <f>VLOOKUP(B30,TH.T4!B33:AC363,28,FALSE)</f>
        <v>TCHC</v>
      </c>
      <c r="AL30" s="1129">
        <f>_xlfn.AGGREGATE(4,7,AL$22:AL29)+1</f>
        <v>8</v>
      </c>
      <c r="AM30" s="1129" t="s">
        <v>2237</v>
      </c>
      <c r="AN30" s="1130" t="s">
        <v>2282</v>
      </c>
      <c r="AO30" s="1131">
        <f t="shared" si="13"/>
        <v>0</v>
      </c>
      <c r="AP30" s="1012"/>
      <c r="AQ30" s="1012"/>
      <c r="AR30" s="1012"/>
      <c r="AS30" s="1012"/>
      <c r="AT30" s="1012"/>
      <c r="AU30" s="1012"/>
      <c r="AV30" s="1012"/>
      <c r="AW30" s="1012"/>
      <c r="AX30" s="1012"/>
    </row>
    <row r="31" spans="1:50" s="1028" customFormat="1" ht="29.25" customHeight="1">
      <c r="A31" s="1014">
        <f>_xlfn.AGGREGATE(4,7,A$17:A30)+1</f>
        <v>14</v>
      </c>
      <c r="B31" s="1015" t="s">
        <v>1848</v>
      </c>
      <c r="C31" s="1033" t="s">
        <v>1644</v>
      </c>
      <c r="D31" s="1045">
        <v>1603205360856</v>
      </c>
      <c r="E31" s="81" t="str">
        <f>VLOOKUP(B31,TH.T6!B36:J366,9,FALSE)</f>
        <v>NV Phòng Tổ chức - Hành chính - Tổng hợp</v>
      </c>
      <c r="F31" s="1040">
        <v>3.33</v>
      </c>
      <c r="G31" s="1019"/>
      <c r="H31" s="1247">
        <f t="shared" si="2"/>
        <v>0</v>
      </c>
      <c r="I31" s="1020"/>
      <c r="J31" s="1040">
        <v>3.33</v>
      </c>
      <c r="K31" s="1019"/>
      <c r="L31" s="1247">
        <f t="shared" si="3"/>
        <v>0</v>
      </c>
      <c r="M31" s="1020"/>
      <c r="N31" s="1040">
        <v>3.33</v>
      </c>
      <c r="O31" s="1019"/>
      <c r="P31" s="1248">
        <f t="shared" si="4"/>
        <v>0</v>
      </c>
      <c r="Q31" s="1020"/>
      <c r="R31" s="1020" t="str">
        <f>IFERROR(INDEX('[18]Gui chi Quynh'!$E$11:$E$397,MATCH(B31,'[18]Gui chi Quynh'!$B$11:$B$397,0)),"")</f>
        <v>A2</v>
      </c>
      <c r="S31" s="1020">
        <f t="shared" si="5"/>
        <v>0.7</v>
      </c>
      <c r="T31" s="1020" t="str">
        <f>VLOOKUP(B31,'[19]Gui chi Quynh'!$B$11:$E$397,4,FALSE)</f>
        <v>A2</v>
      </c>
      <c r="U31" s="1020">
        <f t="shared" si="6"/>
        <v>0.7</v>
      </c>
      <c r="V31" s="1020" t="str">
        <f>VLOOKUP(B31,'[20]Gui chi Quynh'!$B$11:$E$396,4,FALSE)</f>
        <v>A1</v>
      </c>
      <c r="W31" s="1020">
        <f t="shared" si="7"/>
        <v>0.8</v>
      </c>
      <c r="X31" s="1020">
        <f>IFERROR(INDEX('[21]CN BC'!$J$10:$J$275,MATCH(B31,'[21]CN BC'!$H$10:$H$275,0)),"")</f>
        <v>23</v>
      </c>
      <c r="Y31" s="1020">
        <f>IFERROR(INDEX('[22]CN BC'!$J$10:$J$274,MATCH(B31,'[22]CN BC'!$H$10:$H$274,0)),"")</f>
        <v>22</v>
      </c>
      <c r="Z31" s="1020">
        <f>VLOOKUP(B31,'[23]CN BC'!$H$10:$J$275,3,FALSE)</f>
        <v>18</v>
      </c>
      <c r="AA31" s="1021">
        <f t="shared" si="8"/>
        <v>23</v>
      </c>
      <c r="AB31" s="1021">
        <f t="shared" si="9"/>
        <v>22</v>
      </c>
      <c r="AC31" s="1021">
        <f t="shared" si="10"/>
        <v>18</v>
      </c>
      <c r="AD31" s="1022"/>
      <c r="AE31" s="1023">
        <f t="shared" si="0"/>
        <v>16814747</v>
      </c>
      <c r="AF31" s="1371">
        <f t="shared" si="11"/>
        <v>7.1857893162393163</v>
      </c>
      <c r="AG31" s="1102">
        <v>2340000</v>
      </c>
      <c r="AH31" s="1373">
        <f t="shared" si="12"/>
        <v>16814747</v>
      </c>
      <c r="AI31" s="1024">
        <f t="shared" si="1"/>
        <v>14</v>
      </c>
      <c r="AJ31" s="1025">
        <f>IFERROR(INDEX('[17]CN BC'!$M$10:$M$276,MATCH(B31,'[17]CN BC'!$H$10:$H$276,0)),"")</f>
        <v>0</v>
      </c>
      <c r="AK31" s="1011" t="str">
        <f>VLOOKUP(B31,TH.T4!B34:AC364,28,FALSE)</f>
        <v>TCHC</v>
      </c>
      <c r="AL31" s="1129">
        <f>_xlfn.AGGREGATE(4,7,AL$22:AL30)+1</f>
        <v>9</v>
      </c>
      <c r="AM31" s="1129" t="s">
        <v>2238</v>
      </c>
      <c r="AN31" s="1130" t="s">
        <v>2283</v>
      </c>
      <c r="AO31" s="1131">
        <f t="shared" si="13"/>
        <v>0</v>
      </c>
    </row>
    <row r="32" spans="1:50" s="1028" customFormat="1" ht="29.25" customHeight="1">
      <c r="A32" s="1014">
        <f>_xlfn.AGGREGATE(4,7,A$17:A31)+1</f>
        <v>15</v>
      </c>
      <c r="B32" s="1043" t="s">
        <v>1603</v>
      </c>
      <c r="C32" s="1044" t="s">
        <v>1624</v>
      </c>
      <c r="D32" s="1045">
        <v>1603205545491</v>
      </c>
      <c r="E32" s="81" t="str">
        <f>VLOOKUP(B32,TH.T6!B37:J367,9,FALSE)</f>
        <v>NV Phòng Tổ chức - Hành chính - Tổng hợp</v>
      </c>
      <c r="F32" s="1040">
        <f>2.46+0.15</f>
        <v>2.61</v>
      </c>
      <c r="G32" s="1019"/>
      <c r="H32" s="1247">
        <f t="shared" si="2"/>
        <v>0</v>
      </c>
      <c r="I32" s="1020"/>
      <c r="J32" s="1040">
        <f>2.46+0.15</f>
        <v>2.61</v>
      </c>
      <c r="K32" s="1019"/>
      <c r="L32" s="1247">
        <f t="shared" si="3"/>
        <v>0</v>
      </c>
      <c r="M32" s="1020"/>
      <c r="N32" s="1040">
        <f>2.46+0.15</f>
        <v>2.61</v>
      </c>
      <c r="O32" s="1019"/>
      <c r="P32" s="1248">
        <f t="shared" si="4"/>
        <v>0</v>
      </c>
      <c r="Q32" s="1020"/>
      <c r="R32" s="1020" t="str">
        <f>IFERROR(INDEX('[18]Gui chi Quynh'!$E$11:$E$397,MATCH(B32,'[18]Gui chi Quynh'!$B$11:$B$397,0)),"")</f>
        <v>A2</v>
      </c>
      <c r="S32" s="1020">
        <f t="shared" si="5"/>
        <v>0.7</v>
      </c>
      <c r="T32" s="1020" t="str">
        <f>VLOOKUP(B32,'[19]Gui chi Quynh'!$B$11:$E$397,4,FALSE)</f>
        <v>A2</v>
      </c>
      <c r="U32" s="1020">
        <f t="shared" si="6"/>
        <v>0.7</v>
      </c>
      <c r="V32" s="1020" t="str">
        <f>VLOOKUP(B32,'[20]Gui chi Quynh'!$B$11:$E$396,4,FALSE)</f>
        <v>A2</v>
      </c>
      <c r="W32" s="1020">
        <f t="shared" si="7"/>
        <v>0.7</v>
      </c>
      <c r="X32" s="1020">
        <f>IFERROR(INDEX('[21]CN BC'!$J$10:$J$275,MATCH(B32,'[21]CN BC'!$H$10:$H$275,0)),"")</f>
        <v>24</v>
      </c>
      <c r="Y32" s="1020">
        <f>IFERROR(INDEX('[22]CN BC'!$J$10:$J$274,MATCH(B32,'[22]CN BC'!$H$10:$H$274,0)),"")</f>
        <v>24</v>
      </c>
      <c r="Z32" s="1020">
        <f>VLOOKUP(B32,'[23]CN BC'!$H$10:$J$275,3,FALSE)</f>
        <v>21.5</v>
      </c>
      <c r="AA32" s="1021">
        <f t="shared" si="8"/>
        <v>23</v>
      </c>
      <c r="AB32" s="1021">
        <f t="shared" si="9"/>
        <v>22</v>
      </c>
      <c r="AC32" s="1021">
        <f t="shared" si="10"/>
        <v>19</v>
      </c>
      <c r="AD32" s="1022"/>
      <c r="AE32" s="1023">
        <f t="shared" si="0"/>
        <v>12825540</v>
      </c>
      <c r="AF32" s="1371">
        <f t="shared" si="11"/>
        <v>5.4809999999999999</v>
      </c>
      <c r="AG32" s="1102">
        <v>2340000</v>
      </c>
      <c r="AH32" s="1373">
        <f t="shared" si="12"/>
        <v>12825540</v>
      </c>
      <c r="AI32" s="1024">
        <f t="shared" si="1"/>
        <v>15</v>
      </c>
      <c r="AJ32" s="1025">
        <f>IFERROR(INDEX('[17]CN BC'!$M$10:$M$276,MATCH(B32,'[17]CN BC'!$H$10:$H$276,0)),"")</f>
        <v>0</v>
      </c>
      <c r="AK32" s="1011" t="str">
        <f>VLOOKUP(B32,TH.T4!B35:AC365,28,FALSE)</f>
        <v>TCHC</v>
      </c>
      <c r="AL32" s="1129">
        <f>_xlfn.AGGREGATE(4,7,AL$22:AL31)+1</f>
        <v>10</v>
      </c>
      <c r="AM32" s="420" t="s">
        <v>2239</v>
      </c>
      <c r="AN32" s="1130" t="s">
        <v>2284</v>
      </c>
      <c r="AO32" s="1131">
        <f t="shared" si="13"/>
        <v>0</v>
      </c>
      <c r="AP32" s="1012"/>
      <c r="AQ32" s="1012"/>
      <c r="AR32" s="1012"/>
      <c r="AS32" s="1012"/>
      <c r="AT32" s="1012"/>
    </row>
    <row r="33" spans="1:50" s="1028" customFormat="1" ht="39.75" customHeight="1">
      <c r="A33" s="1014">
        <f>_xlfn.AGGREGATE(4,7,A$17:A32)+1</f>
        <v>16</v>
      </c>
      <c r="B33" s="1093" t="s">
        <v>1450</v>
      </c>
      <c r="C33" s="1094" t="s">
        <v>1625</v>
      </c>
      <c r="D33" s="1221" t="s">
        <v>1441</v>
      </c>
      <c r="E33" s="554" t="str">
        <f>VLOOKUP(B33,TH.T6!B38:J368,9,FALSE)</f>
        <v>Trưởng phòng Quản trị - Dịch vụ</v>
      </c>
      <c r="F33" s="1095">
        <v>4.9800000000000004</v>
      </c>
      <c r="G33" s="1096">
        <v>0.05</v>
      </c>
      <c r="H33" s="1249">
        <f t="shared" si="2"/>
        <v>0.249</v>
      </c>
      <c r="I33" s="1097">
        <v>0.45</v>
      </c>
      <c r="J33" s="1095">
        <v>4.9800000000000004</v>
      </c>
      <c r="K33" s="1096">
        <v>0.05</v>
      </c>
      <c r="L33" s="1249">
        <f t="shared" si="3"/>
        <v>0.249</v>
      </c>
      <c r="M33" s="1097">
        <v>0.45</v>
      </c>
      <c r="N33" s="1095">
        <v>4.9800000000000004</v>
      </c>
      <c r="O33" s="1096">
        <v>0.06</v>
      </c>
      <c r="P33" s="1250">
        <f t="shared" si="4"/>
        <v>0.29899999999999999</v>
      </c>
      <c r="Q33" s="1097">
        <v>0.45</v>
      </c>
      <c r="R33" s="1097" t="str">
        <f>IFERROR(INDEX('[18]Gui chi Quynh'!$E$11:$E$397,MATCH(B33,'[18]Gui chi Quynh'!$B$11:$B$397,0)),"")</f>
        <v>A1</v>
      </c>
      <c r="S33" s="1097">
        <f t="shared" si="5"/>
        <v>0.8</v>
      </c>
      <c r="T33" s="1097" t="str">
        <f>VLOOKUP(B33,'[19]Gui chi Quynh'!$B$11:$E$397,4,FALSE)</f>
        <v>A1</v>
      </c>
      <c r="U33" s="1097">
        <f t="shared" si="6"/>
        <v>0.8</v>
      </c>
      <c r="V33" s="1097" t="str">
        <f>VLOOKUP(B33,'[20]Gui chi Quynh'!$B$11:$E$396,4,FALSE)</f>
        <v>A1</v>
      </c>
      <c r="W33" s="1097">
        <f t="shared" si="7"/>
        <v>0.8</v>
      </c>
      <c r="X33" s="1097">
        <f>IFERROR(INDEX('[21]CN BC'!$J$10:$J$275,MATCH(B33,'[21]CN BC'!$H$10:$H$275,0)),"")</f>
        <v>24</v>
      </c>
      <c r="Y33" s="1097">
        <f>IFERROR(INDEX('[22]CN BC'!$J$10:$J$274,MATCH(B33,'[22]CN BC'!$H$10:$H$274,0)),"")</f>
        <v>26</v>
      </c>
      <c r="Z33" s="1097">
        <f>VLOOKUP(B33,'[23]CN BC'!$H$10:$J$275,3,FALSE)</f>
        <v>23</v>
      </c>
      <c r="AA33" s="1213">
        <f t="shared" si="8"/>
        <v>23</v>
      </c>
      <c r="AB33" s="1213">
        <f t="shared" si="9"/>
        <v>22</v>
      </c>
      <c r="AC33" s="1213">
        <f t="shared" si="10"/>
        <v>19</v>
      </c>
      <c r="AD33" s="1098"/>
      <c r="AE33" s="1214">
        <f t="shared" si="0"/>
        <v>31986864</v>
      </c>
      <c r="AF33" s="1400">
        <f t="shared" si="11"/>
        <v>13.669600000000001</v>
      </c>
      <c r="AG33" s="1225">
        <v>2340000</v>
      </c>
      <c r="AH33" s="1401">
        <f t="shared" si="12"/>
        <v>31986864.000000004</v>
      </c>
      <c r="AI33" s="1099">
        <f t="shared" si="1"/>
        <v>16</v>
      </c>
      <c r="AJ33" s="1215" t="s">
        <v>2364</v>
      </c>
      <c r="AK33" s="1011" t="str">
        <f>VLOOKUP(B33,TH.T4!B36:AC366,28,FALSE)</f>
        <v>QTDV</v>
      </c>
      <c r="AL33" s="1129">
        <f>_xlfn.AGGREGATE(4,7,AL$22:AL32)+1</f>
        <v>11</v>
      </c>
      <c r="AM33" s="420" t="s">
        <v>548</v>
      </c>
      <c r="AN33" s="1130" t="s">
        <v>2285</v>
      </c>
      <c r="AO33" s="1131">
        <f t="shared" si="13"/>
        <v>0</v>
      </c>
      <c r="AP33" s="1012"/>
      <c r="AQ33" s="1012"/>
      <c r="AR33" s="1012"/>
      <c r="AS33" s="1012"/>
      <c r="AT33" s="1012"/>
      <c r="AU33" s="1012"/>
      <c r="AV33" s="1012"/>
      <c r="AW33" s="1012"/>
      <c r="AX33" s="1012"/>
    </row>
    <row r="34" spans="1:50" s="1028" customFormat="1" ht="29.25" customHeight="1">
      <c r="A34" s="1014">
        <f>_xlfn.AGGREGATE(4,7,A$17:A33)+1</f>
        <v>17</v>
      </c>
      <c r="B34" s="1015" t="s">
        <v>1996</v>
      </c>
      <c r="C34" s="1029" t="s">
        <v>1626</v>
      </c>
      <c r="D34" s="1034" t="s">
        <v>1393</v>
      </c>
      <c r="E34" s="81" t="str">
        <f>VLOOKUP(B34,TH.T6!B39:J369,9,FALSE)</f>
        <v>Phó TP. Quản trị - 
Dịch vụ</v>
      </c>
      <c r="F34" s="1018">
        <v>4.9800000000000004</v>
      </c>
      <c r="G34" s="1019">
        <v>7.0000000000000007E-2</v>
      </c>
      <c r="H34" s="1247">
        <f t="shared" si="2"/>
        <v>0.34899999999999998</v>
      </c>
      <c r="I34" s="1020">
        <v>0.35</v>
      </c>
      <c r="J34" s="1018">
        <v>4.9800000000000004</v>
      </c>
      <c r="K34" s="1019">
        <v>7.0000000000000007E-2</v>
      </c>
      <c r="L34" s="1247">
        <f t="shared" si="3"/>
        <v>0.34899999999999998</v>
      </c>
      <c r="M34" s="1020">
        <v>0.35</v>
      </c>
      <c r="N34" s="1018">
        <v>4.9800000000000004</v>
      </c>
      <c r="O34" s="1019">
        <v>7.0000000000000007E-2</v>
      </c>
      <c r="P34" s="1248">
        <f t="shared" si="4"/>
        <v>0.34899999999999998</v>
      </c>
      <c r="Q34" s="1020">
        <v>0.35</v>
      </c>
      <c r="R34" s="1020" t="str">
        <f>IFERROR(INDEX('[18]Gui chi Quynh'!$E$11:$E$397,MATCH(B34,'[18]Gui chi Quynh'!$B$11:$B$397,0)),"")</f>
        <v>A2</v>
      </c>
      <c r="S34" s="1020">
        <f t="shared" si="5"/>
        <v>0.7</v>
      </c>
      <c r="T34" s="1020" t="str">
        <f>VLOOKUP(B34,'[19]Gui chi Quynh'!$B$11:$E$397,4,FALSE)</f>
        <v>A1</v>
      </c>
      <c r="U34" s="1020">
        <f t="shared" si="6"/>
        <v>0.8</v>
      </c>
      <c r="V34" s="1020" t="str">
        <f>VLOOKUP(B34,'[20]Gui chi Quynh'!$B$11:$E$396,4,FALSE)</f>
        <v>A2</v>
      </c>
      <c r="W34" s="1020">
        <f t="shared" si="7"/>
        <v>0.7</v>
      </c>
      <c r="X34" s="1020">
        <f>IFERROR(INDEX('[21]CN BC'!$J$10:$J$275,MATCH(B34,'[21]CN BC'!$H$10:$H$275,0)),"")</f>
        <v>22</v>
      </c>
      <c r="Y34" s="1020">
        <f>IFERROR(INDEX('[22]CN BC'!$J$10:$J$274,MATCH(B34,'[22]CN BC'!$H$10:$H$274,0)),"")</f>
        <v>26</v>
      </c>
      <c r="Z34" s="1020">
        <f>VLOOKUP(B34,'[23]CN BC'!$H$10:$J$275,3,FALSE)</f>
        <v>20</v>
      </c>
      <c r="AA34" s="1021">
        <f t="shared" si="8"/>
        <v>22</v>
      </c>
      <c r="AB34" s="1021">
        <f t="shared" si="9"/>
        <v>22</v>
      </c>
      <c r="AC34" s="1021">
        <f t="shared" si="10"/>
        <v>19</v>
      </c>
      <c r="AD34" s="1022"/>
      <c r="AE34" s="1023">
        <f t="shared" si="0"/>
        <v>28831048</v>
      </c>
      <c r="AF34" s="1371">
        <f t="shared" si="11"/>
        <v>12.320960683760683</v>
      </c>
      <c r="AG34" s="1102">
        <v>2340000</v>
      </c>
      <c r="AH34" s="1373">
        <f t="shared" si="12"/>
        <v>28831048</v>
      </c>
      <c r="AI34" s="1024">
        <f t="shared" si="1"/>
        <v>17</v>
      </c>
      <c r="AJ34" s="1025">
        <f>IFERROR(INDEX('[17]CN BC'!$M$10:$M$276,MATCH(B34,'[17]CN BC'!$H$10:$H$276,0)),"")</f>
        <v>0</v>
      </c>
      <c r="AK34" s="1011" t="str">
        <f>VLOOKUP(B34,TH.T4!B37:AC367,28,FALSE)</f>
        <v>QTDV</v>
      </c>
      <c r="AL34" s="1129">
        <f>_xlfn.AGGREGATE(4,7,AL$22:AL33)+1</f>
        <v>12</v>
      </c>
      <c r="AM34" s="1129" t="s">
        <v>2241</v>
      </c>
      <c r="AN34" s="1130" t="s">
        <v>2286</v>
      </c>
      <c r="AO34" s="1131">
        <f t="shared" si="13"/>
        <v>0</v>
      </c>
      <c r="AP34" s="1012"/>
      <c r="AQ34" s="1012"/>
      <c r="AR34" s="1012"/>
      <c r="AS34" s="1012"/>
      <c r="AT34" s="1012"/>
      <c r="AU34" s="1012"/>
      <c r="AV34" s="1012"/>
      <c r="AW34" s="1012"/>
      <c r="AX34" s="1012"/>
    </row>
    <row r="35" spans="1:50" s="1012" customFormat="1" ht="29.25" customHeight="1">
      <c r="A35" s="1014">
        <f>_xlfn.AGGREGATE(4,7,A$17:A34)+1</f>
        <v>18</v>
      </c>
      <c r="B35" s="1050" t="s">
        <v>1849</v>
      </c>
      <c r="C35" s="1029" t="s">
        <v>1627</v>
      </c>
      <c r="D35" s="1051" t="s">
        <v>1267</v>
      </c>
      <c r="E35" s="81" t="str">
        <f>VLOOKUP(B35,TH.T6!B40:J370,9,FALSE)</f>
        <v>NV Phòng Quản trị - Dịch vụ</v>
      </c>
      <c r="F35" s="1052">
        <v>3.65</v>
      </c>
      <c r="G35" s="1053"/>
      <c r="H35" s="1247">
        <f t="shared" si="2"/>
        <v>0</v>
      </c>
      <c r="I35" s="1054">
        <v>0.25</v>
      </c>
      <c r="J35" s="1052">
        <v>3.65</v>
      </c>
      <c r="K35" s="1053"/>
      <c r="L35" s="1247">
        <f t="shared" si="3"/>
        <v>0</v>
      </c>
      <c r="M35" s="1054">
        <v>0.25</v>
      </c>
      <c r="N35" s="1052">
        <v>3.65</v>
      </c>
      <c r="O35" s="1053"/>
      <c r="P35" s="1248">
        <f t="shared" si="4"/>
        <v>0</v>
      </c>
      <c r="Q35" s="1054">
        <v>0.25</v>
      </c>
      <c r="R35" s="1020" t="str">
        <f>IFERROR(INDEX('[18]Gui chi Quynh'!$E$11:$E$397,MATCH(B35,'[18]Gui chi Quynh'!$B$11:$B$397,0)),"")</f>
        <v>A2</v>
      </c>
      <c r="S35" s="1020">
        <f t="shared" si="5"/>
        <v>0.7</v>
      </c>
      <c r="T35" s="1020" t="str">
        <f>VLOOKUP(B35,'[19]Gui chi Quynh'!$B$11:$E$397,4,FALSE)</f>
        <v>A3</v>
      </c>
      <c r="U35" s="1020">
        <f t="shared" si="6"/>
        <v>0.6</v>
      </c>
      <c r="V35" s="1020" t="str">
        <f>VLOOKUP(B35,'[20]Gui chi Quynh'!$B$11:$E$396,4,FALSE)</f>
        <v>A1</v>
      </c>
      <c r="W35" s="1020">
        <f t="shared" si="7"/>
        <v>0.8</v>
      </c>
      <c r="X35" s="1020">
        <f>IFERROR(INDEX('[21]CN BC'!$J$10:$J$275,MATCH(B35,'[21]CN BC'!$H$10:$H$275,0)),"")</f>
        <v>27</v>
      </c>
      <c r="Y35" s="1020">
        <f>IFERROR(INDEX('[22]CN BC'!$J$10:$J$274,MATCH(B35,'[22]CN BC'!$H$10:$H$274,0)),"")</f>
        <v>26</v>
      </c>
      <c r="Z35" s="1020">
        <f>VLOOKUP(B35,'[23]CN BC'!$H$10:$J$275,3,FALSE)</f>
        <v>23</v>
      </c>
      <c r="AA35" s="1021">
        <f t="shared" si="8"/>
        <v>23</v>
      </c>
      <c r="AB35" s="1021">
        <f t="shared" si="9"/>
        <v>22</v>
      </c>
      <c r="AC35" s="1021">
        <f t="shared" si="10"/>
        <v>19</v>
      </c>
      <c r="AD35" s="1022"/>
      <c r="AE35" s="1023">
        <f t="shared" si="0"/>
        <v>19164600</v>
      </c>
      <c r="AF35" s="1371">
        <f t="shared" si="11"/>
        <v>8.19</v>
      </c>
      <c r="AG35" s="1102">
        <v>2340000</v>
      </c>
      <c r="AH35" s="1373">
        <f t="shared" si="12"/>
        <v>19164600</v>
      </c>
      <c r="AI35" s="1024">
        <f t="shared" si="1"/>
        <v>18</v>
      </c>
      <c r="AJ35" s="1025">
        <f>IFERROR(INDEX('[17]CN BC'!$M$10:$M$276,MATCH(B35,'[17]CN BC'!$H$10:$H$276,0)),"")</f>
        <v>0</v>
      </c>
      <c r="AK35" s="1011" t="str">
        <f>VLOOKUP(B35,TH.T4!B38:AC368,28,FALSE)</f>
        <v>QTDV</v>
      </c>
      <c r="AL35" s="1129">
        <f>_xlfn.AGGREGATE(4,7,AL$22:AL34)+1</f>
        <v>13</v>
      </c>
      <c r="AM35" s="1129" t="s">
        <v>2240</v>
      </c>
      <c r="AN35" s="1130" t="s">
        <v>2287</v>
      </c>
      <c r="AO35" s="1131">
        <f t="shared" si="13"/>
        <v>0</v>
      </c>
    </row>
    <row r="36" spans="1:50" s="1028" customFormat="1" ht="29.25" customHeight="1">
      <c r="A36" s="1014">
        <f>_xlfn.AGGREGATE(4,7,A$17:A35)+1</f>
        <v>19</v>
      </c>
      <c r="B36" s="1015" t="s">
        <v>1850</v>
      </c>
      <c r="C36" s="1033" t="s">
        <v>1628</v>
      </c>
      <c r="D36" s="1034" t="s">
        <v>1268</v>
      </c>
      <c r="E36" s="81" t="str">
        <f>VLOOKUP(B36,TH.T6!B41:J371,9,FALSE)</f>
        <v>NV Phòng Quản trị - Dịch vụ</v>
      </c>
      <c r="F36" s="1018">
        <v>3.46</v>
      </c>
      <c r="G36" s="1019"/>
      <c r="H36" s="1247">
        <f t="shared" si="2"/>
        <v>0</v>
      </c>
      <c r="I36" s="1020"/>
      <c r="J36" s="1018">
        <v>3.46</v>
      </c>
      <c r="K36" s="1019"/>
      <c r="L36" s="1247">
        <f t="shared" si="3"/>
        <v>0</v>
      </c>
      <c r="M36" s="1020"/>
      <c r="N36" s="1018">
        <v>3.46</v>
      </c>
      <c r="O36" s="1019"/>
      <c r="P36" s="1248">
        <f t="shared" si="4"/>
        <v>0</v>
      </c>
      <c r="Q36" s="1020"/>
      <c r="R36" s="1020" t="str">
        <f>IFERROR(INDEX('[18]Gui chi Quynh'!$E$11:$E$397,MATCH(B36,'[18]Gui chi Quynh'!$B$11:$B$397,0)),"")</f>
        <v>A1</v>
      </c>
      <c r="S36" s="1020">
        <f t="shared" si="5"/>
        <v>0.8</v>
      </c>
      <c r="T36" s="1020" t="str">
        <f>VLOOKUP(B36,'[19]Gui chi Quynh'!$B$11:$E$397,4,FALSE)</f>
        <v>A1</v>
      </c>
      <c r="U36" s="1020">
        <f t="shared" si="6"/>
        <v>0.8</v>
      </c>
      <c r="V36" s="1020" t="str">
        <f>VLOOKUP(B36,'[20]Gui chi Quynh'!$B$11:$E$396,4,FALSE)</f>
        <v>A3</v>
      </c>
      <c r="W36" s="1020">
        <f t="shared" si="7"/>
        <v>0.6</v>
      </c>
      <c r="X36" s="1020">
        <f>IFERROR(INDEX('[21]CN BC'!$J$10:$J$275,MATCH(B36,'[21]CN BC'!$H$10:$H$275,0)),"")</f>
        <v>23</v>
      </c>
      <c r="Y36" s="1020">
        <f>IFERROR(INDEX('[22]CN BC'!$J$10:$J$274,MATCH(B36,'[22]CN BC'!$H$10:$H$274,0)),"")</f>
        <v>22</v>
      </c>
      <c r="Z36" s="1020">
        <f>VLOOKUP(B36,'[23]CN BC'!$H$10:$J$275,3,FALSE)</f>
        <v>18</v>
      </c>
      <c r="AA36" s="1021">
        <f t="shared" si="8"/>
        <v>23</v>
      </c>
      <c r="AB36" s="1021">
        <f t="shared" si="9"/>
        <v>22</v>
      </c>
      <c r="AC36" s="1021">
        <f t="shared" si="10"/>
        <v>18</v>
      </c>
      <c r="AD36" s="1022"/>
      <c r="AE36" s="1023">
        <f t="shared" si="0"/>
        <v>17556404</v>
      </c>
      <c r="AF36" s="1371">
        <f t="shared" si="11"/>
        <v>7.5027367521367525</v>
      </c>
      <c r="AG36" s="1102">
        <v>2340000</v>
      </c>
      <c r="AH36" s="1373">
        <f t="shared" si="12"/>
        <v>17556404</v>
      </c>
      <c r="AI36" s="1024">
        <f t="shared" si="1"/>
        <v>19</v>
      </c>
      <c r="AJ36" s="1025">
        <f>IFERROR(INDEX('[17]CN BC'!$M$10:$M$276,MATCH(B36,'[17]CN BC'!$H$10:$H$276,0)),"")</f>
        <v>0</v>
      </c>
      <c r="AK36" s="1011" t="str">
        <f>VLOOKUP(B36,TH.T4!B39:AC369,28,FALSE)</f>
        <v>QTDV</v>
      </c>
      <c r="AL36" s="1129">
        <f>_xlfn.AGGREGATE(4,7,AL$22:AL35)+1</f>
        <v>14</v>
      </c>
      <c r="AM36" s="1129" t="s">
        <v>2226</v>
      </c>
      <c r="AN36" s="1130" t="s">
        <v>2288</v>
      </c>
      <c r="AO36" s="1131">
        <f t="shared" si="13"/>
        <v>0</v>
      </c>
      <c r="AP36" s="1012"/>
      <c r="AQ36" s="1012"/>
      <c r="AR36" s="1012"/>
      <c r="AS36" s="1012"/>
      <c r="AT36" s="1012"/>
    </row>
    <row r="37" spans="1:50" s="1012" customFormat="1" ht="29.25" customHeight="1">
      <c r="A37" s="1014">
        <f>_xlfn.AGGREGATE(4,7,A$17:A36)+1</f>
        <v>20</v>
      </c>
      <c r="B37" s="1050" t="s">
        <v>1451</v>
      </c>
      <c r="C37" s="1029" t="s">
        <v>1629</v>
      </c>
      <c r="D37" s="1055" t="s">
        <v>367</v>
      </c>
      <c r="E37" s="81" t="str">
        <f>VLOOKUP(B37,TH.T6!B42:J372,9,FALSE)</f>
        <v>Nhân viên phòng Quản trị - Dịch vụ</v>
      </c>
      <c r="F37" s="1052">
        <v>3.46</v>
      </c>
      <c r="G37" s="1053"/>
      <c r="H37" s="1247">
        <f t="shared" si="2"/>
        <v>0</v>
      </c>
      <c r="I37" s="1054"/>
      <c r="J37" s="1052">
        <v>3.46</v>
      </c>
      <c r="K37" s="1053"/>
      <c r="L37" s="1247">
        <f t="shared" si="3"/>
        <v>0</v>
      </c>
      <c r="M37" s="1054"/>
      <c r="N37" s="1052">
        <v>3.46</v>
      </c>
      <c r="O37" s="1053"/>
      <c r="P37" s="1248">
        <f t="shared" si="4"/>
        <v>0</v>
      </c>
      <c r="Q37" s="1054"/>
      <c r="R37" s="1020" t="str">
        <f>IFERROR(INDEX('[18]Gui chi Quynh'!$E$11:$E$397,MATCH(B37,'[18]Gui chi Quynh'!$B$11:$B$397,0)),"")</f>
        <v>A2</v>
      </c>
      <c r="S37" s="1020">
        <f t="shared" si="5"/>
        <v>0.7</v>
      </c>
      <c r="T37" s="1020" t="str">
        <f>VLOOKUP(B37,'[19]Gui chi Quynh'!$B$11:$E$397,4,FALSE)</f>
        <v>A1</v>
      </c>
      <c r="U37" s="1020">
        <f t="shared" si="6"/>
        <v>0.8</v>
      </c>
      <c r="V37" s="1020" t="str">
        <f>VLOOKUP(B37,'[20]Gui chi Quynh'!$B$11:$E$396,4,FALSE)</f>
        <v>A2</v>
      </c>
      <c r="W37" s="1020">
        <f t="shared" si="7"/>
        <v>0.7</v>
      </c>
      <c r="X37" s="1020">
        <f>IFERROR(INDEX('[21]CN BC'!$J$10:$J$275,MATCH(B37,'[21]CN BC'!$H$10:$H$275,0)),"")</f>
        <v>21</v>
      </c>
      <c r="Y37" s="1020">
        <f>IFERROR(INDEX('[22]CN BC'!$J$10:$J$274,MATCH(B37,'[22]CN BC'!$H$10:$H$274,0)),"")</f>
        <v>22</v>
      </c>
      <c r="Z37" s="1020">
        <f>VLOOKUP(B37,'[23]CN BC'!$H$10:$J$275,3,FALSE)</f>
        <v>19</v>
      </c>
      <c r="AA37" s="1021">
        <f t="shared" si="8"/>
        <v>21</v>
      </c>
      <c r="AB37" s="1021">
        <f t="shared" si="9"/>
        <v>22</v>
      </c>
      <c r="AC37" s="1021">
        <f t="shared" si="10"/>
        <v>19</v>
      </c>
      <c r="AD37" s="1022"/>
      <c r="AE37" s="1023">
        <f t="shared" si="0"/>
        <v>17319256</v>
      </c>
      <c r="AF37" s="1371">
        <f t="shared" si="11"/>
        <v>7.4013914529914526</v>
      </c>
      <c r="AG37" s="1102">
        <v>2340000</v>
      </c>
      <c r="AH37" s="1373">
        <f t="shared" si="12"/>
        <v>17319256</v>
      </c>
      <c r="AI37" s="1024">
        <f t="shared" si="1"/>
        <v>20</v>
      </c>
      <c r="AJ37" s="1025"/>
      <c r="AK37" s="1011" t="str">
        <f>VLOOKUP(B37,TH.T4!B40:AC370,28,FALSE)</f>
        <v>QTDV</v>
      </c>
      <c r="AL37" s="1129">
        <f>_xlfn.AGGREGATE(4,7,AL$22:AL36)+1</f>
        <v>15</v>
      </c>
      <c r="AM37" s="420" t="s">
        <v>2289</v>
      </c>
      <c r="AN37" s="1130" t="s">
        <v>2290</v>
      </c>
      <c r="AO37" s="1131">
        <f t="shared" si="13"/>
        <v>0</v>
      </c>
    </row>
    <row r="38" spans="1:50" s="1028" customFormat="1" ht="29.25" customHeight="1">
      <c r="A38" s="1014">
        <f>_xlfn.AGGREGATE(4,7,A$17:A37)+1</f>
        <v>21</v>
      </c>
      <c r="B38" s="1015" t="s">
        <v>1452</v>
      </c>
      <c r="C38" s="1033" t="s">
        <v>1630</v>
      </c>
      <c r="D38" s="1045">
        <v>1603205348129</v>
      </c>
      <c r="E38" s="81" t="str">
        <f>VLOOKUP(B38,TH.T6!B43:J373,9,FALSE)</f>
        <v>Nhân viên phòng Quản trị - Dịch vụ</v>
      </c>
      <c r="F38" s="1018">
        <v>3.34</v>
      </c>
      <c r="G38" s="1019"/>
      <c r="H38" s="1247">
        <f t="shared" si="2"/>
        <v>0</v>
      </c>
      <c r="I38" s="1020"/>
      <c r="J38" s="1018">
        <v>3.34</v>
      </c>
      <c r="K38" s="1019"/>
      <c r="L38" s="1247">
        <f t="shared" si="3"/>
        <v>0</v>
      </c>
      <c r="M38" s="1020"/>
      <c r="N38" s="1018">
        <v>3.34</v>
      </c>
      <c r="O38" s="1019"/>
      <c r="P38" s="1248">
        <f t="shared" si="4"/>
        <v>0</v>
      </c>
      <c r="Q38" s="1020"/>
      <c r="R38" s="1020" t="str">
        <f>IFERROR(INDEX('[18]Gui chi Quynh'!$E$11:$E$397,MATCH(B38,'[18]Gui chi Quynh'!$B$11:$B$397,0)),"")</f>
        <v>A3</v>
      </c>
      <c r="S38" s="1020">
        <f t="shared" si="5"/>
        <v>0.6</v>
      </c>
      <c r="T38" s="1020" t="str">
        <f>VLOOKUP(B38,'[19]Gui chi Quynh'!$B$11:$E$397,4,FALSE)</f>
        <v>A2</v>
      </c>
      <c r="U38" s="1020">
        <f t="shared" si="6"/>
        <v>0.7</v>
      </c>
      <c r="V38" s="1020" t="str">
        <f>VLOOKUP(B38,'[20]Gui chi Quynh'!$B$11:$E$396,4,FALSE)</f>
        <v>A2</v>
      </c>
      <c r="W38" s="1020">
        <f t="shared" si="7"/>
        <v>0.7</v>
      </c>
      <c r="X38" s="1020">
        <f>IFERROR(INDEX('[21]CN BC'!$J$10:$J$275,MATCH(B38,'[21]CN BC'!$H$10:$H$275,0)),"")</f>
        <v>23</v>
      </c>
      <c r="Y38" s="1020">
        <f>IFERROR(INDEX('[22]CN BC'!$J$10:$J$274,MATCH(B38,'[22]CN BC'!$H$10:$H$274,0)),"")</f>
        <v>22</v>
      </c>
      <c r="Z38" s="1020">
        <f>VLOOKUP(B38,'[23]CN BC'!$H$10:$J$275,3,FALSE)</f>
        <v>18</v>
      </c>
      <c r="AA38" s="1021">
        <f t="shared" si="8"/>
        <v>23</v>
      </c>
      <c r="AB38" s="1021">
        <f t="shared" si="9"/>
        <v>22</v>
      </c>
      <c r="AC38" s="1021">
        <f t="shared" si="10"/>
        <v>18</v>
      </c>
      <c r="AD38" s="1022"/>
      <c r="AE38" s="1023">
        <f t="shared" si="0"/>
        <v>15343257</v>
      </c>
      <c r="AF38" s="1371">
        <f t="shared" si="11"/>
        <v>6.5569474358974356</v>
      </c>
      <c r="AG38" s="1102">
        <v>2340000</v>
      </c>
      <c r="AH38" s="1373">
        <f t="shared" si="12"/>
        <v>15343257</v>
      </c>
      <c r="AI38" s="1024">
        <f t="shared" si="1"/>
        <v>21</v>
      </c>
      <c r="AJ38" s="1025">
        <f>IFERROR(INDEX('[17]CN BC'!$M$10:$M$276,MATCH(B38,'[17]CN BC'!$H$10:$H$276,0)),"")</f>
        <v>0</v>
      </c>
      <c r="AK38" s="1011" t="str">
        <f>VLOOKUP(B38,TH.T4!B41:AC371,28,FALSE)</f>
        <v>QTDV</v>
      </c>
      <c r="AL38" s="1129">
        <f>_xlfn.AGGREGATE(4,7,AL$22:AL37)+1</f>
        <v>16</v>
      </c>
      <c r="AM38" s="1129" t="s">
        <v>2233</v>
      </c>
      <c r="AN38" s="1130" t="s">
        <v>2291</v>
      </c>
      <c r="AO38" s="1131">
        <f t="shared" si="13"/>
        <v>0</v>
      </c>
      <c r="AP38" s="1012"/>
      <c r="AQ38" s="1012"/>
      <c r="AR38" s="1012"/>
      <c r="AS38" s="1012"/>
      <c r="AT38" s="1012"/>
    </row>
    <row r="39" spans="1:50" s="1012" customFormat="1" ht="24.75" customHeight="1">
      <c r="A39" s="1014">
        <f>_xlfn.AGGREGATE(4,7,A$17:A38)+1</f>
        <v>22</v>
      </c>
      <c r="B39" s="1050" t="s">
        <v>1453</v>
      </c>
      <c r="C39" s="1029" t="s">
        <v>1631</v>
      </c>
      <c r="D39" s="1055" t="s">
        <v>384</v>
      </c>
      <c r="E39" s="81" t="str">
        <f>VLOOKUP(B39,TH.T6!B44:J374,9,FALSE)</f>
        <v>Nhân viên phòng Quản trị - Dịch vụ</v>
      </c>
      <c r="F39" s="1056">
        <v>3.66</v>
      </c>
      <c r="G39" s="1053"/>
      <c r="H39" s="1247">
        <f t="shared" si="2"/>
        <v>0</v>
      </c>
      <c r="I39" s="1054"/>
      <c r="J39" s="1056">
        <v>3.66</v>
      </c>
      <c r="K39" s="1053"/>
      <c r="L39" s="1247">
        <f t="shared" si="3"/>
        <v>0</v>
      </c>
      <c r="M39" s="1054"/>
      <c r="N39" s="1056">
        <v>3.66</v>
      </c>
      <c r="O39" s="1053"/>
      <c r="P39" s="1248">
        <f t="shared" si="4"/>
        <v>0</v>
      </c>
      <c r="Q39" s="1054"/>
      <c r="R39" s="1020" t="str">
        <f>IFERROR(INDEX('[18]Gui chi Quynh'!$E$11:$E$397,MATCH(B39,'[18]Gui chi Quynh'!$B$11:$B$397,0)),"")</f>
        <v>A4</v>
      </c>
      <c r="S39" s="1020">
        <f t="shared" si="5"/>
        <v>0.5</v>
      </c>
      <c r="T39" s="1020" t="str">
        <f>VLOOKUP(B39,'[19]Gui chi Quynh'!$B$11:$E$397,4,FALSE)</f>
        <v>A4</v>
      </c>
      <c r="U39" s="1020">
        <f t="shared" si="6"/>
        <v>0.5</v>
      </c>
      <c r="V39" s="1020" t="str">
        <f>VLOOKUP(B39,'[20]Gui chi Quynh'!$B$11:$E$396,4,FALSE)</f>
        <v>A4</v>
      </c>
      <c r="W39" s="1020">
        <f t="shared" si="7"/>
        <v>0.5</v>
      </c>
      <c r="X39" s="1020">
        <f>IFERROR(INDEX('[21]CN BC'!$J$10:$J$275,MATCH(B39,'[21]CN BC'!$H$10:$H$275,0)),"")</f>
        <v>23</v>
      </c>
      <c r="Y39" s="1020">
        <f>IFERROR(INDEX('[22]CN BC'!$J$10:$J$274,MATCH(B39,'[22]CN BC'!$H$10:$H$274,0)),"")</f>
        <v>20</v>
      </c>
      <c r="Z39" s="1020">
        <f>VLOOKUP(B39,'[23]CN BC'!$H$10:$J$275,3,FALSE)</f>
        <v>18</v>
      </c>
      <c r="AA39" s="1021">
        <f t="shared" si="8"/>
        <v>23</v>
      </c>
      <c r="AB39" s="1021">
        <f t="shared" si="9"/>
        <v>20</v>
      </c>
      <c r="AC39" s="1021">
        <f t="shared" si="10"/>
        <v>18</v>
      </c>
      <c r="AD39" s="1022"/>
      <c r="AE39" s="1023">
        <f t="shared" si="0"/>
        <v>12231930</v>
      </c>
      <c r="AF39" s="1371">
        <f t="shared" si="11"/>
        <v>5.2273205128205129</v>
      </c>
      <c r="AG39" s="1102">
        <v>2340000</v>
      </c>
      <c r="AH39" s="1373">
        <f t="shared" si="12"/>
        <v>12231930</v>
      </c>
      <c r="AI39" s="1024">
        <f t="shared" si="1"/>
        <v>22</v>
      </c>
      <c r="AJ39" s="1025">
        <f>IFERROR(INDEX('[17]CN BC'!$M$10:$M$276,MATCH(B39,'[17]CN BC'!$H$10:$H$276,0)),"")</f>
        <v>0</v>
      </c>
      <c r="AK39" s="1011" t="str">
        <f>VLOOKUP(B39,TH.T4!B42:AC372,28,FALSE)</f>
        <v>QTDV</v>
      </c>
      <c r="AL39" s="1129">
        <f>_xlfn.AGGREGATE(4,7,AL$22:AL38)+1</f>
        <v>17</v>
      </c>
      <c r="AM39" s="1129" t="s">
        <v>2236</v>
      </c>
      <c r="AN39" s="1130" t="s">
        <v>2292</v>
      </c>
      <c r="AO39" s="1131">
        <f t="shared" si="13"/>
        <v>0</v>
      </c>
    </row>
    <row r="40" spans="1:50" s="1028" customFormat="1" ht="25.5" customHeight="1">
      <c r="A40" s="1014">
        <f>_xlfn.AGGREGATE(4,7,A$17:A39)+1</f>
        <v>23</v>
      </c>
      <c r="B40" s="1015" t="s">
        <v>1522</v>
      </c>
      <c r="C40" s="1033" t="s">
        <v>1633</v>
      </c>
      <c r="D40" s="1057">
        <v>1603205357238</v>
      </c>
      <c r="E40" s="81" t="s">
        <v>2384</v>
      </c>
      <c r="F40" s="1018">
        <v>3.03</v>
      </c>
      <c r="G40" s="1019"/>
      <c r="H40" s="1247">
        <f t="shared" si="2"/>
        <v>0</v>
      </c>
      <c r="I40" s="1020"/>
      <c r="J40" s="1018">
        <v>3.03</v>
      </c>
      <c r="K40" s="1019"/>
      <c r="L40" s="1247">
        <f t="shared" si="3"/>
        <v>0</v>
      </c>
      <c r="M40" s="1020"/>
      <c r="N40" s="1018">
        <v>3.03</v>
      </c>
      <c r="O40" s="1019"/>
      <c r="P40" s="1248">
        <f t="shared" si="4"/>
        <v>0</v>
      </c>
      <c r="Q40" s="1020"/>
      <c r="R40" s="1020" t="str">
        <f>IFERROR(INDEX('[18]Gui chi Quynh'!$E$11:$E$397,MATCH(B40,'[18]Gui chi Quynh'!$B$11:$B$397,0)),"")</f>
        <v>A2</v>
      </c>
      <c r="S40" s="1020">
        <f t="shared" si="5"/>
        <v>0.7</v>
      </c>
      <c r="T40" s="1020" t="str">
        <f>VLOOKUP(B40,'[19]Gui chi Quynh'!$B$11:$E$397,4,FALSE)</f>
        <v>A1</v>
      </c>
      <c r="U40" s="1020">
        <f t="shared" si="6"/>
        <v>0.8</v>
      </c>
      <c r="V40" s="1020" t="str">
        <f>VLOOKUP(B40,'[20]Gui chi Quynh'!$B$11:$E$396,4,FALSE)</f>
        <v>A1</v>
      </c>
      <c r="W40" s="1020">
        <f t="shared" si="7"/>
        <v>0.8</v>
      </c>
      <c r="X40" s="1020">
        <f>IFERROR(INDEX('[21]CN BC'!$J$10:$J$275,MATCH(B40,'[21]CN BC'!$H$10:$H$275,0)),"")</f>
        <v>25</v>
      </c>
      <c r="Y40" s="1020">
        <f>IFERROR(INDEX('[22]CN BC'!$J$10:$J$274,MATCH(B40,'[22]CN BC'!$H$10:$H$274,0)),"")</f>
        <v>22</v>
      </c>
      <c r="Z40" s="1020">
        <f>VLOOKUP(B40,'[23]CN BC'!$H$10:$J$275,3,FALSE)</f>
        <v>21</v>
      </c>
      <c r="AA40" s="1021">
        <f t="shared" si="8"/>
        <v>23</v>
      </c>
      <c r="AB40" s="1021">
        <f t="shared" si="9"/>
        <v>22</v>
      </c>
      <c r="AC40" s="1021">
        <f t="shared" si="10"/>
        <v>19</v>
      </c>
      <c r="AD40" s="1022"/>
      <c r="AE40" s="1023">
        <f t="shared" si="0"/>
        <v>16307460</v>
      </c>
      <c r="AF40" s="1371">
        <f t="shared" si="11"/>
        <v>6.9690000000000003</v>
      </c>
      <c r="AG40" s="1102">
        <v>2340000</v>
      </c>
      <c r="AH40" s="1373">
        <f t="shared" si="12"/>
        <v>16307460</v>
      </c>
      <c r="AI40" s="1024">
        <f t="shared" si="1"/>
        <v>23</v>
      </c>
      <c r="AJ40" s="1025">
        <f>IFERROR(INDEX('[17]CN BC'!$M$10:$M$276,MATCH(B40,'[17]CN BC'!$H$10:$H$276,0)),"")</f>
        <v>0</v>
      </c>
      <c r="AK40" s="1011" t="str">
        <f>VLOOKUP(B40,TH.T4!B43:AC373,28,FALSE)</f>
        <v>TTĐT</v>
      </c>
      <c r="AL40" s="1129">
        <f>_xlfn.AGGREGATE(4,7,AL$22:AL39)+1</f>
        <v>18</v>
      </c>
      <c r="AM40" s="1129" t="s">
        <v>2293</v>
      </c>
      <c r="AN40" s="1130" t="s">
        <v>2294</v>
      </c>
      <c r="AO40" s="1131">
        <f t="shared" si="13"/>
        <v>0</v>
      </c>
      <c r="AP40" s="1012"/>
      <c r="AQ40" s="1012"/>
      <c r="AR40" s="1012"/>
      <c r="AS40" s="1012"/>
      <c r="AT40" s="1012"/>
    </row>
    <row r="41" spans="1:50" s="1028" customFormat="1" ht="29.25" customHeight="1">
      <c r="A41" s="1014">
        <f>_xlfn.AGGREGATE(4,7,A$17:A40)+1</f>
        <v>24</v>
      </c>
      <c r="B41" s="1015" t="s">
        <v>1523</v>
      </c>
      <c r="C41" s="1033" t="s">
        <v>1634</v>
      </c>
      <c r="D41" s="1045">
        <v>1603205302590</v>
      </c>
      <c r="E41" s="81" t="s">
        <v>2384</v>
      </c>
      <c r="F41" s="1018">
        <v>3.34</v>
      </c>
      <c r="G41" s="1019"/>
      <c r="H41" s="1247">
        <f t="shared" si="2"/>
        <v>0</v>
      </c>
      <c r="I41" s="1020"/>
      <c r="J41" s="1018">
        <v>3.34</v>
      </c>
      <c r="K41" s="1019"/>
      <c r="L41" s="1247">
        <f t="shared" si="3"/>
        <v>0</v>
      </c>
      <c r="M41" s="1020"/>
      <c r="N41" s="1018">
        <v>3.34</v>
      </c>
      <c r="O41" s="1019"/>
      <c r="P41" s="1248">
        <f t="shared" si="4"/>
        <v>0</v>
      </c>
      <c r="Q41" s="1020"/>
      <c r="R41" s="1020" t="str">
        <f>IFERROR(INDEX('[18]Gui chi Quynh'!$E$11:$E$397,MATCH(B41,'[18]Gui chi Quynh'!$B$11:$B$397,0)),"")</f>
        <v>A2</v>
      </c>
      <c r="S41" s="1020">
        <f t="shared" si="5"/>
        <v>0.7</v>
      </c>
      <c r="T41" s="1020" t="str">
        <f>VLOOKUP(B41,'[19]Gui chi Quynh'!$B$11:$E$397,4,FALSE)</f>
        <v>A3</v>
      </c>
      <c r="U41" s="1020">
        <f t="shared" si="6"/>
        <v>0.6</v>
      </c>
      <c r="V41" s="1020" t="str">
        <f>VLOOKUP(B41,'[20]Gui chi Quynh'!$B$11:$E$396,4,FALSE)</f>
        <v>A2</v>
      </c>
      <c r="W41" s="1020">
        <f t="shared" si="7"/>
        <v>0.7</v>
      </c>
      <c r="X41" s="1020">
        <f>IFERROR(INDEX('[21]CN BC'!$J$10:$J$275,MATCH(B41,'[21]CN BC'!$H$10:$H$275,0)),"")</f>
        <v>23</v>
      </c>
      <c r="Y41" s="1020">
        <f>IFERROR(INDEX('[22]CN BC'!$J$10:$J$274,MATCH(B41,'[22]CN BC'!$H$10:$H$274,0)),"")</f>
        <v>24</v>
      </c>
      <c r="Z41" s="1020">
        <f>VLOOKUP(B41,'[23]CN BC'!$H$10:$J$275,3,FALSE)</f>
        <v>21</v>
      </c>
      <c r="AA41" s="1021">
        <f t="shared" si="8"/>
        <v>23</v>
      </c>
      <c r="AB41" s="1021">
        <f t="shared" si="9"/>
        <v>22</v>
      </c>
      <c r="AC41" s="1021">
        <f t="shared" si="10"/>
        <v>19</v>
      </c>
      <c r="AD41" s="1022"/>
      <c r="AE41" s="1023">
        <f t="shared" si="0"/>
        <v>15631200</v>
      </c>
      <c r="AF41" s="1371">
        <f t="shared" si="11"/>
        <v>6.68</v>
      </c>
      <c r="AG41" s="1102">
        <v>2340000</v>
      </c>
      <c r="AH41" s="1373">
        <f t="shared" si="12"/>
        <v>15631200</v>
      </c>
      <c r="AI41" s="1024">
        <f t="shared" si="1"/>
        <v>24</v>
      </c>
      <c r="AJ41" s="1025">
        <f>IFERROR(INDEX('[17]CN BC'!$M$10:$M$276,MATCH(B41,'[17]CN BC'!$H$10:$H$276,0)),"")</f>
        <v>0</v>
      </c>
      <c r="AK41" s="1011" t="str">
        <f>VLOOKUP(B41,TH.T4!B44:AC374,28,FALSE)</f>
        <v>TTĐT</v>
      </c>
      <c r="AL41" s="1129">
        <f>_xlfn.AGGREGATE(4,7,AL$22:AL40)+1</f>
        <v>19</v>
      </c>
      <c r="AM41" s="1129" t="s">
        <v>2229</v>
      </c>
      <c r="AN41" s="1130" t="s">
        <v>2295</v>
      </c>
      <c r="AO41" s="1131">
        <f t="shared" si="13"/>
        <v>0</v>
      </c>
      <c r="AP41" s="1012"/>
      <c r="AQ41" s="1012"/>
      <c r="AR41" s="1012"/>
      <c r="AS41" s="1012"/>
      <c r="AT41" s="1012"/>
    </row>
    <row r="42" spans="1:50" s="1028" customFormat="1" ht="26.25" customHeight="1">
      <c r="A42" s="1014">
        <f>_xlfn.AGGREGATE(4,7,A$17:A41)+1</f>
        <v>25</v>
      </c>
      <c r="B42" s="1043" t="s">
        <v>1606</v>
      </c>
      <c r="C42" s="1044" t="s">
        <v>1635</v>
      </c>
      <c r="D42" s="1058" t="s">
        <v>1604</v>
      </c>
      <c r="E42" s="81" t="s">
        <v>2383</v>
      </c>
      <c r="F42" s="1040">
        <v>3</v>
      </c>
      <c r="G42" s="1019"/>
      <c r="H42" s="1247">
        <f t="shared" si="2"/>
        <v>0</v>
      </c>
      <c r="I42" s="1020">
        <v>0.35</v>
      </c>
      <c r="J42" s="1040">
        <v>3</v>
      </c>
      <c r="K42" s="1019"/>
      <c r="L42" s="1247">
        <f t="shared" si="3"/>
        <v>0</v>
      </c>
      <c r="M42" s="1020">
        <v>0.35</v>
      </c>
      <c r="N42" s="1040">
        <v>3</v>
      </c>
      <c r="O42" s="1019"/>
      <c r="P42" s="1248">
        <f t="shared" si="4"/>
        <v>0</v>
      </c>
      <c r="Q42" s="1020">
        <v>0.35</v>
      </c>
      <c r="R42" s="1020" t="str">
        <f>IFERROR(INDEX('[18]Gui chi Quynh'!$E$11:$E$397,MATCH(B42,'[18]Gui chi Quynh'!$B$11:$B$397,0)),"")</f>
        <v>A1</v>
      </c>
      <c r="S42" s="1020">
        <f t="shared" si="5"/>
        <v>0.8</v>
      </c>
      <c r="T42" s="1020" t="str">
        <f>VLOOKUP(B42,'[19]Gui chi Quynh'!$B$11:$E$397,4,FALSE)</f>
        <v>A1</v>
      </c>
      <c r="U42" s="1020">
        <f t="shared" si="6"/>
        <v>0.8</v>
      </c>
      <c r="V42" s="1020" t="str">
        <f>VLOOKUP(B42,'[20]Gui chi Quynh'!$B$11:$E$396,4,FALSE)</f>
        <v>A1</v>
      </c>
      <c r="W42" s="1020">
        <f t="shared" si="7"/>
        <v>0.8</v>
      </c>
      <c r="X42" s="1020">
        <f>IFERROR(INDEX('[21]CN BC'!$J$10:$J$275,MATCH(B42,'[21]CN BC'!$H$10:$H$275,0)),"")</f>
        <v>27</v>
      </c>
      <c r="Y42" s="1020">
        <f>IFERROR(INDEX('[22]CN BC'!$J$10:$J$274,MATCH(B42,'[22]CN BC'!$H$10:$H$274,0)),"")</f>
        <v>30</v>
      </c>
      <c r="Z42" s="1020">
        <f>VLOOKUP(B42,'[23]CN BC'!$H$10:$J$275,3,FALSE)</f>
        <v>23</v>
      </c>
      <c r="AA42" s="1021">
        <f t="shared" si="8"/>
        <v>23</v>
      </c>
      <c r="AB42" s="1021">
        <f t="shared" si="9"/>
        <v>22</v>
      </c>
      <c r="AC42" s="1021">
        <f t="shared" si="10"/>
        <v>19</v>
      </c>
      <c r="AD42" s="1022"/>
      <c r="AE42" s="1023">
        <f t="shared" si="0"/>
        <v>18813600</v>
      </c>
      <c r="AF42" s="1371">
        <f t="shared" si="11"/>
        <v>8.0399999999999991</v>
      </c>
      <c r="AG42" s="1102">
        <v>2340000</v>
      </c>
      <c r="AH42" s="1373">
        <f t="shared" si="12"/>
        <v>18813599.999999996</v>
      </c>
      <c r="AI42" s="1024">
        <f t="shared" si="1"/>
        <v>25</v>
      </c>
      <c r="AJ42" s="1025">
        <f>IFERROR(INDEX('[17]CN BC'!$M$10:$M$276,MATCH(B42,'[17]CN BC'!$H$10:$H$276,0)),"")</f>
        <v>0</v>
      </c>
      <c r="AK42" s="1011" t="str">
        <f>VLOOKUP(B42,TH.T4!B45:AC375,28,FALSE)</f>
        <v>TTĐT</v>
      </c>
      <c r="AL42" s="1129">
        <f>_xlfn.AGGREGATE(4,7,AL$22:AL41)+1</f>
        <v>20</v>
      </c>
      <c r="AM42" s="1129" t="s">
        <v>2222</v>
      </c>
      <c r="AN42" s="1130" t="s">
        <v>2296</v>
      </c>
      <c r="AO42" s="1131">
        <f t="shared" si="13"/>
        <v>0</v>
      </c>
    </row>
    <row r="43" spans="1:50" s="1028" customFormat="1" ht="35.25" customHeight="1">
      <c r="A43" s="1014">
        <f>_xlfn.AGGREGATE(4,7,A$17:A42)+1</f>
        <v>26</v>
      </c>
      <c r="B43" s="1043" t="s">
        <v>1843</v>
      </c>
      <c r="C43" s="1044" t="s">
        <v>1955</v>
      </c>
      <c r="D43" s="1059" t="s">
        <v>1936</v>
      </c>
      <c r="E43" s="81" t="s">
        <v>2384</v>
      </c>
      <c r="F43" s="1018">
        <v>2.67</v>
      </c>
      <c r="G43" s="1019"/>
      <c r="H43" s="1247">
        <f t="shared" si="2"/>
        <v>0</v>
      </c>
      <c r="I43" s="1020"/>
      <c r="J43" s="1018">
        <v>2.67</v>
      </c>
      <c r="K43" s="1019"/>
      <c r="L43" s="1247">
        <f t="shared" si="3"/>
        <v>0</v>
      </c>
      <c r="M43" s="1020"/>
      <c r="N43" s="1018">
        <v>2.67</v>
      </c>
      <c r="O43" s="1019"/>
      <c r="P43" s="1248">
        <f t="shared" si="4"/>
        <v>0</v>
      </c>
      <c r="Q43" s="1020"/>
      <c r="R43" s="1020" t="str">
        <f>IFERROR(INDEX('[18]Gui chi Quynh'!$E$11:$E$397,MATCH(B43,'[18]Gui chi Quynh'!$B$11:$B$397,0)),"")</f>
        <v>A1</v>
      </c>
      <c r="S43" s="1020">
        <f t="shared" si="5"/>
        <v>0.8</v>
      </c>
      <c r="T43" s="1020" t="str">
        <f>VLOOKUP(B43,'[19]Gui chi Quynh'!$B$11:$E$397,4,FALSE)</f>
        <v>A1</v>
      </c>
      <c r="U43" s="1020">
        <f t="shared" si="6"/>
        <v>0.8</v>
      </c>
      <c r="V43" s="1020" t="str">
        <f>VLOOKUP(B43,'[20]Gui chi Quynh'!$B$11:$E$396,4,FALSE)</f>
        <v>A2</v>
      </c>
      <c r="W43" s="1020">
        <f t="shared" si="7"/>
        <v>0.7</v>
      </c>
      <c r="X43" s="1020">
        <f>IFERROR(INDEX('[21]CN BC'!$J$10:$J$275,MATCH(B43,'[21]CN BC'!$H$10:$H$275,0)),"")</f>
        <v>23</v>
      </c>
      <c r="Y43" s="1020">
        <f>IFERROR(INDEX('[22]CN BC'!$J$10:$J$274,MATCH(B43,'[22]CN BC'!$H$10:$H$274,0)),"")</f>
        <v>24</v>
      </c>
      <c r="Z43" s="1020">
        <f>VLOOKUP(B43,'[23]CN BC'!$H$10:$J$275,3,FALSE)</f>
        <v>23</v>
      </c>
      <c r="AA43" s="1021">
        <f t="shared" si="8"/>
        <v>23</v>
      </c>
      <c r="AB43" s="1021">
        <f t="shared" si="9"/>
        <v>22</v>
      </c>
      <c r="AC43" s="1021">
        <f t="shared" si="10"/>
        <v>19</v>
      </c>
      <c r="AD43" s="1022"/>
      <c r="AE43" s="1023">
        <f t="shared" si="0"/>
        <v>14369940</v>
      </c>
      <c r="AF43" s="1371">
        <f t="shared" si="11"/>
        <v>6.141</v>
      </c>
      <c r="AG43" s="1102">
        <v>2340000</v>
      </c>
      <c r="AH43" s="1373">
        <f t="shared" si="12"/>
        <v>14369940</v>
      </c>
      <c r="AI43" s="1024">
        <f t="shared" si="1"/>
        <v>26</v>
      </c>
      <c r="AJ43" s="1025">
        <f>IFERROR(INDEX('[17]CN BC'!$M$10:$M$276,MATCH(B43,'[17]CN BC'!$H$10:$H$276,0)),"")</f>
        <v>0</v>
      </c>
      <c r="AK43" s="1011" t="str">
        <f>VLOOKUP(B43,TH.T4!B46:AC376,28,FALSE)</f>
        <v>TTĐT</v>
      </c>
      <c r="AL43" s="1129">
        <f>_xlfn.AGGREGATE(4,7,AL$22:AL42)+1</f>
        <v>21</v>
      </c>
      <c r="AM43" s="1129" t="s">
        <v>2223</v>
      </c>
      <c r="AN43" s="1130" t="s">
        <v>2297</v>
      </c>
      <c r="AO43" s="1131">
        <f t="shared" si="13"/>
        <v>0</v>
      </c>
      <c r="AP43" s="1012"/>
      <c r="AQ43" s="1012"/>
      <c r="AR43" s="1012"/>
      <c r="AS43" s="1012"/>
      <c r="AT43" s="1012"/>
    </row>
    <row r="44" spans="1:50" s="1012" customFormat="1" ht="27" customHeight="1">
      <c r="A44" s="1014">
        <f>_xlfn.AGGREGATE(4,7,A$17:A43)+1</f>
        <v>27</v>
      </c>
      <c r="B44" s="1093" t="s">
        <v>1856</v>
      </c>
      <c r="C44" s="1094" t="s">
        <v>1652</v>
      </c>
      <c r="D44" s="1212" t="s">
        <v>1293</v>
      </c>
      <c r="E44" s="554" t="str">
        <f>VLOOKUP(B44,TH.T6!B49:J379,9,FALSE)</f>
        <v>Nhân viên phòng Quản trị - Dịch vụ</v>
      </c>
      <c r="F44" s="1095">
        <v>4.9800000000000004</v>
      </c>
      <c r="G44" s="1096">
        <v>0.05</v>
      </c>
      <c r="H44" s="1249">
        <f t="shared" si="2"/>
        <v>0.249</v>
      </c>
      <c r="I44" s="1097">
        <v>0.25</v>
      </c>
      <c r="J44" s="1095">
        <v>4.9800000000000004</v>
      </c>
      <c r="K44" s="1096">
        <v>0.05</v>
      </c>
      <c r="L44" s="1249">
        <f t="shared" si="3"/>
        <v>0.249</v>
      </c>
      <c r="M44" s="1097">
        <v>0.25</v>
      </c>
      <c r="N44" s="1095">
        <v>4.9800000000000004</v>
      </c>
      <c r="O44" s="1096">
        <v>0.06</v>
      </c>
      <c r="P44" s="1250">
        <f t="shared" si="4"/>
        <v>0.29899999999999999</v>
      </c>
      <c r="Q44" s="1097">
        <v>0.25</v>
      </c>
      <c r="R44" s="1097" t="str">
        <f>IFERROR(INDEX('[18]Gui chi Quynh'!$E$11:$E$397,MATCH(B44,'[18]Gui chi Quynh'!$B$11:$B$397,0)),"")</f>
        <v>A2</v>
      </c>
      <c r="S44" s="1097">
        <f t="shared" si="5"/>
        <v>0.7</v>
      </c>
      <c r="T44" s="1097" t="str">
        <f>VLOOKUP(B44,'[19]Gui chi Quynh'!$B$11:$E$397,4,FALSE)</f>
        <v>A3</v>
      </c>
      <c r="U44" s="1097">
        <f t="shared" si="6"/>
        <v>0.6</v>
      </c>
      <c r="V44" s="1097" t="str">
        <f>VLOOKUP(B44,'[20]Gui chi Quynh'!$B$11:$E$396,4,FALSE)</f>
        <v>A3</v>
      </c>
      <c r="W44" s="1097">
        <f t="shared" si="7"/>
        <v>0.6</v>
      </c>
      <c r="X44" s="1097">
        <f>IFERROR(INDEX('[21]CN BC'!$J$10:$J$275,MATCH(B44,'[21]CN BC'!$H$10:$H$275,0)),"")</f>
        <v>24</v>
      </c>
      <c r="Y44" s="1097">
        <f>IFERROR(INDEX('[22]CN BC'!$J$10:$J$274,MATCH(B44,'[22]CN BC'!$H$10:$H$274,0)),"")</f>
        <v>26</v>
      </c>
      <c r="Z44" s="1097">
        <f>VLOOKUP(B44,'[23]CN BC'!$H$10:$J$275,3,FALSE)</f>
        <v>23</v>
      </c>
      <c r="AA44" s="1213">
        <f t="shared" si="8"/>
        <v>23</v>
      </c>
      <c r="AB44" s="1213">
        <f t="shared" si="9"/>
        <v>22</v>
      </c>
      <c r="AC44" s="1213">
        <f t="shared" si="10"/>
        <v>19</v>
      </c>
      <c r="AD44" s="1098"/>
      <c r="AE44" s="1214">
        <f t="shared" si="0"/>
        <v>24429834</v>
      </c>
      <c r="AF44" s="1400">
        <f t="shared" si="11"/>
        <v>10.440099999999999</v>
      </c>
      <c r="AG44" s="1225">
        <v>2340000</v>
      </c>
      <c r="AH44" s="1401">
        <f t="shared" si="12"/>
        <v>24429834</v>
      </c>
      <c r="AI44" s="1099">
        <f t="shared" si="1"/>
        <v>27</v>
      </c>
      <c r="AJ44" s="1215" t="s">
        <v>2362</v>
      </c>
      <c r="AK44" s="1011" t="str">
        <f>VLOOKUP(B44,TH.T4!B47:AC377,28,FALSE)</f>
        <v>QTDV</v>
      </c>
      <c r="AL44" s="1129">
        <f>_xlfn.AGGREGATE(4,7,AL$22:AL43)+1</f>
        <v>22</v>
      </c>
      <c r="AM44" s="1129" t="s">
        <v>2298</v>
      </c>
      <c r="AN44" s="1130" t="s">
        <v>2299</v>
      </c>
      <c r="AO44" s="1131">
        <f t="shared" si="13"/>
        <v>0</v>
      </c>
    </row>
    <row r="45" spans="1:50" s="1028" customFormat="1" ht="30" customHeight="1">
      <c r="A45" s="1014">
        <f>_xlfn.AGGREGATE(4,7,A$17:A44)+1</f>
        <v>28</v>
      </c>
      <c r="B45" s="1015" t="s">
        <v>1462</v>
      </c>
      <c r="C45" s="1033" t="s">
        <v>1654</v>
      </c>
      <c r="D45" s="1047">
        <v>1603205182619</v>
      </c>
      <c r="E45" s="81" t="str">
        <f>VLOOKUP(B45,TH.T6!B50:J380,9,FALSE)</f>
        <v>Nhân viên phòng Quản trị - Dịch vụ</v>
      </c>
      <c r="F45" s="1018">
        <v>3.66</v>
      </c>
      <c r="G45" s="1019"/>
      <c r="H45" s="1247">
        <f t="shared" si="2"/>
        <v>0</v>
      </c>
      <c r="I45" s="1020"/>
      <c r="J45" s="1018">
        <v>3.66</v>
      </c>
      <c r="K45" s="1019"/>
      <c r="L45" s="1247">
        <f t="shared" si="3"/>
        <v>0</v>
      </c>
      <c r="M45" s="1020"/>
      <c r="N45" s="1018">
        <v>3.66</v>
      </c>
      <c r="O45" s="1019"/>
      <c r="P45" s="1248">
        <f t="shared" si="4"/>
        <v>0</v>
      </c>
      <c r="Q45" s="1020"/>
      <c r="R45" s="1020" t="str">
        <f>IFERROR(INDEX('[18]Gui chi Quynh'!$E$11:$E$397,MATCH(B45,'[18]Gui chi Quynh'!$B$11:$B$397,0)),"")</f>
        <v>A3</v>
      </c>
      <c r="S45" s="1020">
        <f t="shared" si="5"/>
        <v>0.6</v>
      </c>
      <c r="T45" s="1020" t="str">
        <f>VLOOKUP(B45,'[19]Gui chi Quynh'!$B$11:$E$397,4,FALSE)</f>
        <v>A3</v>
      </c>
      <c r="U45" s="1020">
        <f t="shared" si="6"/>
        <v>0.6</v>
      </c>
      <c r="V45" s="1020" t="str">
        <f>VLOOKUP(B45,'[20]Gui chi Quynh'!$B$11:$E$396,4,FALSE)</f>
        <v>A3</v>
      </c>
      <c r="W45" s="1020">
        <f t="shared" si="7"/>
        <v>0.6</v>
      </c>
      <c r="X45" s="1020">
        <f>IFERROR(INDEX('[21]CN BC'!$J$10:$J$275,MATCH(B45,'[21]CN BC'!$H$10:$H$275,0)),"")</f>
        <v>27</v>
      </c>
      <c r="Y45" s="1020">
        <f>IFERROR(INDEX('[22]CN BC'!$J$10:$J$274,MATCH(B45,'[22]CN BC'!$H$10:$H$274,0)),"")</f>
        <v>24</v>
      </c>
      <c r="Z45" s="1020">
        <f>VLOOKUP(B45,'[23]CN BC'!$H$10:$J$275,3,FALSE)</f>
        <v>23</v>
      </c>
      <c r="AA45" s="1021">
        <f t="shared" si="8"/>
        <v>23</v>
      </c>
      <c r="AB45" s="1021">
        <f t="shared" si="9"/>
        <v>22</v>
      </c>
      <c r="AC45" s="1021">
        <f t="shared" si="10"/>
        <v>19</v>
      </c>
      <c r="AD45" s="1022"/>
      <c r="AE45" s="1023">
        <f t="shared" si="0"/>
        <v>15415920</v>
      </c>
      <c r="AF45" s="1371">
        <f t="shared" si="11"/>
        <v>6.5880000000000001</v>
      </c>
      <c r="AG45" s="1102">
        <v>2340000</v>
      </c>
      <c r="AH45" s="1373">
        <f t="shared" si="12"/>
        <v>15415920</v>
      </c>
      <c r="AI45" s="1024">
        <f t="shared" si="1"/>
        <v>28</v>
      </c>
      <c r="AJ45" s="1025">
        <f>IFERROR(INDEX('[17]CN BC'!$M$10:$M$276,MATCH(B45,'[17]CN BC'!$H$10:$H$276,0)),"")</f>
        <v>0</v>
      </c>
      <c r="AK45" s="1011" t="str">
        <f>VLOOKUP(B45,TH.T4!B48:AC378,28,FALSE)</f>
        <v>QTDV</v>
      </c>
      <c r="AL45" s="1129">
        <f>_xlfn.AGGREGATE(4,7,AL$22:AL44)+1</f>
        <v>23</v>
      </c>
      <c r="AM45" s="1129" t="s">
        <v>2228</v>
      </c>
      <c r="AN45" s="1130" t="s">
        <v>2300</v>
      </c>
      <c r="AO45" s="1131">
        <f t="shared" si="13"/>
        <v>0</v>
      </c>
    </row>
    <row r="46" spans="1:50" s="1028" customFormat="1" ht="27" customHeight="1">
      <c r="A46" s="1014">
        <f>_xlfn.AGGREGATE(4,7,A$17:A45)+1</f>
        <v>29</v>
      </c>
      <c r="B46" s="1093" t="s">
        <v>2012</v>
      </c>
      <c r="C46" s="1094"/>
      <c r="D46" s="1222"/>
      <c r="E46" s="554" t="str">
        <f>VLOOKUP(B46,TH.T6!B51:J381,9,FALSE)</f>
        <v>Nhân viên phòng Quản trị - Dịch vụ</v>
      </c>
      <c r="F46" s="1095">
        <v>4.0599999999999996</v>
      </c>
      <c r="G46" s="1096">
        <v>0.1</v>
      </c>
      <c r="H46" s="1249">
        <f t="shared" si="2"/>
        <v>0.40600000000000003</v>
      </c>
      <c r="I46" s="1097">
        <v>0.35</v>
      </c>
      <c r="J46" s="1095">
        <v>4.0599999999999996</v>
      </c>
      <c r="K46" s="1096">
        <v>0.1</v>
      </c>
      <c r="L46" s="1249">
        <f t="shared" si="3"/>
        <v>0.40600000000000003</v>
      </c>
      <c r="M46" s="1097">
        <v>0.35</v>
      </c>
      <c r="N46" s="1095">
        <v>4.0599999999999996</v>
      </c>
      <c r="O46" s="1096">
        <v>0.11</v>
      </c>
      <c r="P46" s="1250">
        <f t="shared" si="4"/>
        <v>0.44700000000000001</v>
      </c>
      <c r="Q46" s="1097">
        <v>0.35</v>
      </c>
      <c r="R46" s="1097" t="str">
        <f>IFERROR(INDEX('[18]Gui chi Quynh'!$E$11:$E$397,MATCH(B46,'[18]Gui chi Quynh'!$B$11:$B$397,0)),"")</f>
        <v>A1</v>
      </c>
      <c r="S46" s="1097">
        <f t="shared" si="5"/>
        <v>0.8</v>
      </c>
      <c r="T46" s="1097" t="str">
        <f>VLOOKUP(B46,'[19]Gui chi Quynh'!$B$11:$E$397,4,FALSE)</f>
        <v>A1</v>
      </c>
      <c r="U46" s="1097">
        <f t="shared" si="6"/>
        <v>0.8</v>
      </c>
      <c r="V46" s="1097" t="str">
        <f>VLOOKUP(B46,'[20]Gui chi Quynh'!$B$11:$E$396,4,FALSE)</f>
        <v>A1</v>
      </c>
      <c r="W46" s="1097">
        <f t="shared" si="7"/>
        <v>0.8</v>
      </c>
      <c r="X46" s="1097">
        <f>IFERROR(INDEX('[21]CN BC'!$J$10:$J$275,MATCH(B46,'[21]CN BC'!$H$10:$H$275,0)),"")</f>
        <v>27</v>
      </c>
      <c r="Y46" s="1097">
        <f>IFERROR(INDEX('[22]CN BC'!$J$10:$J$274,MATCH(B46,'[22]CN BC'!$H$10:$H$274,0)),"")</f>
        <v>26</v>
      </c>
      <c r="Z46" s="1097">
        <f>VLOOKUP(B46,'[23]CN BC'!$H$10:$J$275,3,FALSE)</f>
        <v>23</v>
      </c>
      <c r="AA46" s="1213">
        <f t="shared" si="8"/>
        <v>23</v>
      </c>
      <c r="AB46" s="1213">
        <f t="shared" si="9"/>
        <v>22</v>
      </c>
      <c r="AC46" s="1213">
        <f t="shared" si="10"/>
        <v>19</v>
      </c>
      <c r="AD46" s="1098"/>
      <c r="AE46" s="1214">
        <f t="shared" si="0"/>
        <v>27123408</v>
      </c>
      <c r="AF46" s="1400">
        <f t="shared" si="11"/>
        <v>11.591200000000001</v>
      </c>
      <c r="AG46" s="1225">
        <v>2340000</v>
      </c>
      <c r="AH46" s="1401">
        <f t="shared" si="12"/>
        <v>27123408</v>
      </c>
      <c r="AI46" s="1099">
        <f t="shared" si="1"/>
        <v>29</v>
      </c>
      <c r="AJ46" s="1215" t="s">
        <v>2362</v>
      </c>
      <c r="AK46" s="1011" t="str">
        <f>VLOOKUP(B46,TH.T4!B49:AC379,28,FALSE)</f>
        <v>QTDV</v>
      </c>
      <c r="AL46" s="1129">
        <f>_xlfn.AGGREGATE(4,7,AL$22:AL45)+1</f>
        <v>24</v>
      </c>
      <c r="AM46" s="1129" t="s">
        <v>2235</v>
      </c>
      <c r="AN46" s="1130" t="s">
        <v>2301</v>
      </c>
      <c r="AO46" s="1131">
        <f t="shared" si="13"/>
        <v>0</v>
      </c>
    </row>
    <row r="47" spans="1:50" s="1012" customFormat="1" ht="27" customHeight="1">
      <c r="A47" s="1014">
        <f>_xlfn.AGGREGATE(4,7,A$17:A46)+1</f>
        <v>30</v>
      </c>
      <c r="B47" s="1050" t="s">
        <v>1852</v>
      </c>
      <c r="C47" s="1029" t="s">
        <v>1636</v>
      </c>
      <c r="D47" s="1051" t="s">
        <v>1258</v>
      </c>
      <c r="E47" s="81" t="str">
        <f>VLOOKUP(B47,TH.T6!B52:J382,9,FALSE)</f>
        <v>Trưởng TT Y tế</v>
      </c>
      <c r="F47" s="1056">
        <v>4.6500000000000004</v>
      </c>
      <c r="G47" s="1060"/>
      <c r="H47" s="1247">
        <f t="shared" si="2"/>
        <v>0</v>
      </c>
      <c r="I47" s="1054">
        <v>0.45</v>
      </c>
      <c r="J47" s="1056">
        <v>4.6500000000000004</v>
      </c>
      <c r="K47" s="1060"/>
      <c r="L47" s="1247">
        <f t="shared" si="3"/>
        <v>0</v>
      </c>
      <c r="M47" s="1054">
        <v>0.45</v>
      </c>
      <c r="N47" s="1056">
        <v>4.6500000000000004</v>
      </c>
      <c r="O47" s="1060"/>
      <c r="P47" s="1248">
        <f t="shared" si="4"/>
        <v>0</v>
      </c>
      <c r="Q47" s="1054">
        <v>0.45</v>
      </c>
      <c r="R47" s="1020" t="str">
        <f>IFERROR(INDEX('[18]Gui chi Quynh'!$E$11:$E$397,MATCH(B47,'[18]Gui chi Quynh'!$B$11:$B$397,0)),"")</f>
        <v>A2</v>
      </c>
      <c r="S47" s="1020">
        <f t="shared" si="5"/>
        <v>0.7</v>
      </c>
      <c r="T47" s="1020" t="str">
        <f>VLOOKUP(B47,'[19]Gui chi Quynh'!$B$11:$E$397,4,FALSE)</f>
        <v>A1</v>
      </c>
      <c r="U47" s="1020">
        <f t="shared" si="6"/>
        <v>0.8</v>
      </c>
      <c r="V47" s="1020" t="str">
        <f>VLOOKUP(B47,'[20]Gui chi Quynh'!$B$11:$E$396,4,FALSE)</f>
        <v>A2</v>
      </c>
      <c r="W47" s="1020">
        <f t="shared" si="7"/>
        <v>0.7</v>
      </c>
      <c r="X47" s="1020">
        <f>IFERROR(INDEX('[21]CN BC'!$J$10:$J$275,MATCH(B47,'[21]CN BC'!$H$10:$H$275,0)),"")</f>
        <v>25</v>
      </c>
      <c r="Y47" s="1020">
        <f>IFERROR(INDEX('[22]CN BC'!$J$10:$J$274,MATCH(B47,'[22]CN BC'!$H$10:$H$274,0)),"")</f>
        <v>26</v>
      </c>
      <c r="Z47" s="1020">
        <f>VLOOKUP(B47,'[23]CN BC'!$H$10:$J$275,3,FALSE)</f>
        <v>23</v>
      </c>
      <c r="AA47" s="1021">
        <f t="shared" si="8"/>
        <v>23</v>
      </c>
      <c r="AB47" s="1021">
        <f t="shared" si="9"/>
        <v>22</v>
      </c>
      <c r="AC47" s="1021">
        <f t="shared" si="10"/>
        <v>19</v>
      </c>
      <c r="AD47" s="1022"/>
      <c r="AE47" s="1023">
        <f t="shared" si="0"/>
        <v>26254800</v>
      </c>
      <c r="AF47" s="1371">
        <f t="shared" si="11"/>
        <v>11.22</v>
      </c>
      <c r="AG47" s="1102">
        <v>2340000</v>
      </c>
      <c r="AH47" s="1373">
        <f t="shared" si="12"/>
        <v>26254800</v>
      </c>
      <c r="AI47" s="1024">
        <f t="shared" si="1"/>
        <v>30</v>
      </c>
      <c r="AJ47" s="1025"/>
      <c r="AK47" s="1011" t="str">
        <f>VLOOKUP(B47,TH.T4!B50:AC380,28,FALSE)</f>
        <v>TTYT</v>
      </c>
      <c r="AL47" s="1129">
        <f>_xlfn.AGGREGATE(4,7,AL$22:AL46)+1</f>
        <v>25</v>
      </c>
      <c r="AM47" s="1132" t="s">
        <v>2225</v>
      </c>
      <c r="AN47" s="1133" t="s">
        <v>2302</v>
      </c>
      <c r="AO47" s="1134">
        <f t="shared" si="13"/>
        <v>0</v>
      </c>
    </row>
    <row r="48" spans="1:50" s="1012" customFormat="1" ht="27" customHeight="1">
      <c r="A48" s="1014">
        <f>_xlfn.AGGREGATE(4,7,A$17:A47)+1</f>
        <v>31</v>
      </c>
      <c r="B48" s="1050" t="s">
        <v>1454</v>
      </c>
      <c r="C48" s="1029" t="s">
        <v>1637</v>
      </c>
      <c r="D48" s="1055">
        <v>1603205247426</v>
      </c>
      <c r="E48" s="81" t="str">
        <f>VLOOKUP(B48,TH.T6!B53:J383,9,FALSE)</f>
        <v>Nhân viên Trung tâm Y tế</v>
      </c>
      <c r="F48" s="1052">
        <v>3.66</v>
      </c>
      <c r="G48" s="1053"/>
      <c r="H48" s="1247">
        <f t="shared" si="2"/>
        <v>0</v>
      </c>
      <c r="I48" s="1054"/>
      <c r="J48" s="1052">
        <v>3.66</v>
      </c>
      <c r="K48" s="1053"/>
      <c r="L48" s="1247">
        <f t="shared" si="3"/>
        <v>0</v>
      </c>
      <c r="M48" s="1054"/>
      <c r="N48" s="1052">
        <v>3.66</v>
      </c>
      <c r="O48" s="1053"/>
      <c r="P48" s="1248">
        <f t="shared" si="4"/>
        <v>0</v>
      </c>
      <c r="Q48" s="1054"/>
      <c r="R48" s="1020" t="str">
        <f>IFERROR(INDEX('[18]Gui chi Quynh'!$E$11:$E$397,MATCH(B48,'[18]Gui chi Quynh'!$B$11:$B$397,0)),"")</f>
        <v>A3</v>
      </c>
      <c r="S48" s="1020">
        <f t="shared" si="5"/>
        <v>0.6</v>
      </c>
      <c r="T48" s="1020" t="str">
        <f>VLOOKUP(B48,'[19]Gui chi Quynh'!$B$11:$E$397,4,FALSE)</f>
        <v>A3</v>
      </c>
      <c r="U48" s="1020">
        <f t="shared" si="6"/>
        <v>0.6</v>
      </c>
      <c r="V48" s="1020" t="str">
        <f>VLOOKUP(B48,'[20]Gui chi Quynh'!$B$11:$E$396,4,FALSE)</f>
        <v>A3</v>
      </c>
      <c r="W48" s="1020">
        <f t="shared" si="7"/>
        <v>0.6</v>
      </c>
      <c r="X48" s="1020">
        <f>IFERROR(INDEX('[21]CN BC'!$J$10:$J$275,MATCH(B48,'[21]CN BC'!$H$10:$H$275,0)),"")</f>
        <v>27</v>
      </c>
      <c r="Y48" s="1020">
        <f>IFERROR(INDEX('[22]CN BC'!$J$10:$J$274,MATCH(B48,'[22]CN BC'!$H$10:$H$274,0)),"")</f>
        <v>26</v>
      </c>
      <c r="Z48" s="1020">
        <f>VLOOKUP(B48,'[23]CN BC'!$H$10:$J$275,3,FALSE)</f>
        <v>23</v>
      </c>
      <c r="AA48" s="1021">
        <f t="shared" si="8"/>
        <v>23</v>
      </c>
      <c r="AB48" s="1021">
        <f t="shared" si="9"/>
        <v>22</v>
      </c>
      <c r="AC48" s="1021">
        <f t="shared" si="10"/>
        <v>19</v>
      </c>
      <c r="AD48" s="1022"/>
      <c r="AE48" s="1023">
        <f t="shared" si="0"/>
        <v>15415920</v>
      </c>
      <c r="AF48" s="1371">
        <f t="shared" si="11"/>
        <v>6.5880000000000001</v>
      </c>
      <c r="AG48" s="1102">
        <v>2340000</v>
      </c>
      <c r="AH48" s="1373">
        <f t="shared" si="12"/>
        <v>15415920</v>
      </c>
      <c r="AI48" s="1024">
        <f t="shared" si="1"/>
        <v>31</v>
      </c>
      <c r="AJ48" s="1025"/>
      <c r="AK48" s="1011" t="str">
        <f>VLOOKUP(B48,TH.T4!B51:AC381,28,FALSE)</f>
        <v>TTYT</v>
      </c>
      <c r="AN48" s="1027"/>
    </row>
    <row r="49" spans="1:50" s="1028" customFormat="1" ht="27" customHeight="1">
      <c r="A49" s="1014">
        <f>_xlfn.AGGREGATE(4,7,A$17:A48)+1</f>
        <v>32</v>
      </c>
      <c r="B49" s="1015" t="s">
        <v>1445</v>
      </c>
      <c r="C49" s="1029" t="s">
        <v>1638</v>
      </c>
      <c r="D49" s="1030" t="s">
        <v>1576</v>
      </c>
      <c r="E49" s="81" t="str">
        <f>VLOOKUP(B49,TH.T6!B54:J384,9,FALSE)</f>
        <v>TP. Kế hoạch - Tài chính</v>
      </c>
      <c r="F49" s="1040">
        <v>4.9800000000000004</v>
      </c>
      <c r="G49" s="1019">
        <v>0.37</v>
      </c>
      <c r="H49" s="1247">
        <f t="shared" si="2"/>
        <v>1.843</v>
      </c>
      <c r="I49" s="1020">
        <v>0.45</v>
      </c>
      <c r="J49" s="1040">
        <v>4.9800000000000004</v>
      </c>
      <c r="K49" s="1019">
        <v>0.37</v>
      </c>
      <c r="L49" s="1247">
        <f t="shared" si="3"/>
        <v>1.843</v>
      </c>
      <c r="M49" s="1020">
        <v>0.45</v>
      </c>
      <c r="N49" s="1040">
        <v>4.9800000000000004</v>
      </c>
      <c r="O49" s="1019">
        <v>0.37</v>
      </c>
      <c r="P49" s="1248">
        <f t="shared" si="4"/>
        <v>1.843</v>
      </c>
      <c r="Q49" s="1020">
        <v>0.45</v>
      </c>
      <c r="R49" s="1020" t="str">
        <f>IFERROR(INDEX('[18]Gui chi Quynh'!$E$11:$E$397,MATCH(B49,'[18]Gui chi Quynh'!$B$11:$B$397,0)),"")</f>
        <v>A1</v>
      </c>
      <c r="S49" s="1020">
        <f t="shared" si="5"/>
        <v>0.8</v>
      </c>
      <c r="T49" s="1020" t="str">
        <f>VLOOKUP(B49,'[19]Gui chi Quynh'!$B$11:$E$397,4,FALSE)</f>
        <v>A1</v>
      </c>
      <c r="U49" s="1020">
        <f t="shared" si="6"/>
        <v>0.8</v>
      </c>
      <c r="V49" s="1020" t="str">
        <f>VLOOKUP(B49,'[20]Gui chi Quynh'!$B$11:$E$396,4,FALSE)</f>
        <v>A1</v>
      </c>
      <c r="W49" s="1020">
        <f t="shared" si="7"/>
        <v>0.8</v>
      </c>
      <c r="X49" s="1020">
        <f>IFERROR(INDEX('[21]CN BC'!$J$10:$J$275,MATCH(B49,'[21]CN BC'!$H$10:$H$275,0)),"")</f>
        <v>26</v>
      </c>
      <c r="Y49" s="1020">
        <f>IFERROR(INDEX('[22]CN BC'!$J$10:$J$274,MATCH(B49,'[22]CN BC'!$H$10:$H$274,0)),"")</f>
        <v>28</v>
      </c>
      <c r="Z49" s="1020">
        <f>VLOOKUP(B49,'[23]CN BC'!$H$10:$J$275,3,FALSE)</f>
        <v>24</v>
      </c>
      <c r="AA49" s="1021">
        <f t="shared" si="8"/>
        <v>23</v>
      </c>
      <c r="AB49" s="1021">
        <f t="shared" si="9"/>
        <v>22</v>
      </c>
      <c r="AC49" s="1021">
        <f t="shared" si="10"/>
        <v>19</v>
      </c>
      <c r="AD49" s="1022"/>
      <c r="AE49" s="1023">
        <f t="shared" si="0"/>
        <v>40845168</v>
      </c>
      <c r="AF49" s="1371">
        <f t="shared" si="11"/>
        <v>17.455200000000001</v>
      </c>
      <c r="AG49" s="1102">
        <v>2340000</v>
      </c>
      <c r="AH49" s="1373">
        <f t="shared" si="12"/>
        <v>40845168</v>
      </c>
      <c r="AI49" s="1024">
        <f t="shared" si="1"/>
        <v>32</v>
      </c>
      <c r="AJ49" s="1025">
        <f>IFERROR(INDEX('[17]CN BC'!$M$10:$M$276,MATCH(B49,'[17]CN BC'!$H$10:$H$276,0)),"")</f>
        <v>0</v>
      </c>
      <c r="AK49" s="1011" t="str">
        <f>VLOOKUP(B49,TH.T4!B52:AC382,28,FALSE)</f>
        <v>KHTC</v>
      </c>
      <c r="AL49" s="1012"/>
      <c r="AM49" s="1012"/>
      <c r="AN49" s="1027"/>
      <c r="AO49" s="1012"/>
      <c r="AP49" s="1012"/>
      <c r="AQ49" s="1012"/>
      <c r="AR49" s="1012"/>
      <c r="AS49" s="1012"/>
      <c r="AT49" s="1012"/>
      <c r="AU49" s="1012"/>
      <c r="AV49" s="1012"/>
      <c r="AW49" s="1012"/>
      <c r="AX49" s="1012"/>
    </row>
    <row r="50" spans="1:50" s="1012" customFormat="1" ht="26.25" customHeight="1">
      <c r="A50" s="1014">
        <f>_xlfn.AGGREGATE(4,7,A$17:A49)+1</f>
        <v>33</v>
      </c>
      <c r="B50" s="1050" t="s">
        <v>1455</v>
      </c>
      <c r="C50" s="1029" t="s">
        <v>1640</v>
      </c>
      <c r="D50" s="1051" t="s">
        <v>368</v>
      </c>
      <c r="E50" s="81" t="str">
        <f>VLOOKUP(B50,TH.T6!B55:J385,9,FALSE)</f>
        <v>NV phòng KH-TC</v>
      </c>
      <c r="F50" s="1052">
        <v>3.99</v>
      </c>
      <c r="G50" s="1053"/>
      <c r="H50" s="1247">
        <f t="shared" si="2"/>
        <v>0</v>
      </c>
      <c r="I50" s="1054"/>
      <c r="J50" s="1052">
        <v>3.99</v>
      </c>
      <c r="K50" s="1053"/>
      <c r="L50" s="1247">
        <f t="shared" si="3"/>
        <v>0</v>
      </c>
      <c r="M50" s="1054"/>
      <c r="N50" s="1052">
        <v>3.99</v>
      </c>
      <c r="O50" s="1053"/>
      <c r="P50" s="1248">
        <f t="shared" si="4"/>
        <v>0</v>
      </c>
      <c r="Q50" s="1054"/>
      <c r="R50" s="1020" t="str">
        <f>IFERROR(INDEX('[18]Gui chi Quynh'!$E$11:$E$397,MATCH(B50,'[18]Gui chi Quynh'!$B$11:$B$397,0)),"")</f>
        <v>A1</v>
      </c>
      <c r="S50" s="1020">
        <f t="shared" si="5"/>
        <v>0.8</v>
      </c>
      <c r="T50" s="1020" t="str">
        <f>VLOOKUP(B50,'[19]Gui chi Quynh'!$B$11:$E$397,4,FALSE)</f>
        <v>A1</v>
      </c>
      <c r="U50" s="1020">
        <f t="shared" si="6"/>
        <v>0.8</v>
      </c>
      <c r="V50" s="1020" t="str">
        <f>VLOOKUP(B50,'[20]Gui chi Quynh'!$B$11:$E$396,4,FALSE)</f>
        <v>A1</v>
      </c>
      <c r="W50" s="1020">
        <f t="shared" si="7"/>
        <v>0.8</v>
      </c>
      <c r="X50" s="1020">
        <f>IFERROR(INDEX('[21]CN BC'!$J$10:$J$275,MATCH(B50,'[21]CN BC'!$H$10:$H$275,0)),"")</f>
        <v>27</v>
      </c>
      <c r="Y50" s="1020">
        <f>IFERROR(INDEX('[22]CN BC'!$J$10:$J$274,MATCH(B50,'[22]CN BC'!$H$10:$H$274,0)),"")</f>
        <v>26</v>
      </c>
      <c r="Z50" s="1020">
        <f>VLOOKUP(B50,'[23]CN BC'!$H$10:$J$275,3,FALSE)</f>
        <v>24</v>
      </c>
      <c r="AA50" s="1021">
        <f t="shared" si="8"/>
        <v>23</v>
      </c>
      <c r="AB50" s="1021">
        <f t="shared" si="9"/>
        <v>22</v>
      </c>
      <c r="AC50" s="1021">
        <f t="shared" si="10"/>
        <v>19</v>
      </c>
      <c r="AD50" s="1022"/>
      <c r="AE50" s="1023">
        <f t="shared" si="0"/>
        <v>22407840</v>
      </c>
      <c r="AF50" s="1371">
        <f t="shared" si="11"/>
        <v>9.5760000000000005</v>
      </c>
      <c r="AG50" s="1102">
        <v>2340000</v>
      </c>
      <c r="AH50" s="1373">
        <f t="shared" si="12"/>
        <v>22407840</v>
      </c>
      <c r="AI50" s="1024">
        <f t="shared" si="1"/>
        <v>33</v>
      </c>
      <c r="AJ50" s="1025">
        <f>IFERROR(INDEX('[17]CN BC'!$M$10:$M$276,MATCH(B50,'[17]CN BC'!$H$10:$H$276,0)),"")</f>
        <v>0</v>
      </c>
      <c r="AK50" s="1011" t="str">
        <f>VLOOKUP(B50,TH.T4!B53:AC383,28,FALSE)</f>
        <v>KHTC</v>
      </c>
      <c r="AN50" s="1027"/>
    </row>
    <row r="51" spans="1:50" s="1028" customFormat="1" ht="27" customHeight="1">
      <c r="A51" s="1014">
        <f>_xlfn.AGGREGATE(4,7,A$17:A50)+1</f>
        <v>34</v>
      </c>
      <c r="B51" s="1015" t="s">
        <v>1456</v>
      </c>
      <c r="C51" s="1033" t="s">
        <v>1641</v>
      </c>
      <c r="D51" s="1047">
        <v>1603205178873</v>
      </c>
      <c r="E51" s="81" t="str">
        <f>VLOOKUP(B51,TH.T6!B56:J386,9,FALSE)</f>
        <v>NV phòng KH-TC</v>
      </c>
      <c r="F51" s="1018">
        <v>3.66</v>
      </c>
      <c r="G51" s="1019"/>
      <c r="H51" s="1247">
        <f t="shared" si="2"/>
        <v>0</v>
      </c>
      <c r="I51" s="1020"/>
      <c r="J51" s="1018">
        <v>3.66</v>
      </c>
      <c r="K51" s="1019"/>
      <c r="L51" s="1247">
        <f t="shared" si="3"/>
        <v>0</v>
      </c>
      <c r="M51" s="1020"/>
      <c r="N51" s="1018">
        <v>3.66</v>
      </c>
      <c r="O51" s="1019"/>
      <c r="P51" s="1248">
        <f t="shared" si="4"/>
        <v>0</v>
      </c>
      <c r="Q51" s="1020"/>
      <c r="R51" s="1020" t="str">
        <f>IFERROR(INDEX('[18]Gui chi Quynh'!$E$11:$E$397,MATCH(B51,'[18]Gui chi Quynh'!$B$11:$B$397,0)),"")</f>
        <v>A1</v>
      </c>
      <c r="S51" s="1020">
        <f t="shared" si="5"/>
        <v>0.8</v>
      </c>
      <c r="T51" s="1020" t="str">
        <f>VLOOKUP(B51,'[19]Gui chi Quynh'!$B$11:$E$397,4,FALSE)</f>
        <v>A1</v>
      </c>
      <c r="U51" s="1020">
        <f t="shared" si="6"/>
        <v>0.8</v>
      </c>
      <c r="V51" s="1020" t="str">
        <f>VLOOKUP(B51,'[20]Gui chi Quynh'!$B$11:$E$396,4,FALSE)</f>
        <v>A1</v>
      </c>
      <c r="W51" s="1020">
        <f t="shared" si="7"/>
        <v>0.8</v>
      </c>
      <c r="X51" s="1020">
        <f>IFERROR(INDEX('[21]CN BC'!$J$10:$J$275,MATCH(B51,'[21]CN BC'!$H$10:$H$275,0)),"")</f>
        <v>24</v>
      </c>
      <c r="Y51" s="1020">
        <f>IFERROR(INDEX('[22]CN BC'!$J$10:$J$274,MATCH(B51,'[22]CN BC'!$H$10:$H$274,0)),"")</f>
        <v>26</v>
      </c>
      <c r="Z51" s="1020">
        <f>VLOOKUP(B51,'[23]CN BC'!$H$10:$J$275,3,FALSE)</f>
        <v>25</v>
      </c>
      <c r="AA51" s="1021">
        <f t="shared" si="8"/>
        <v>23</v>
      </c>
      <c r="AB51" s="1021">
        <f t="shared" si="9"/>
        <v>22</v>
      </c>
      <c r="AC51" s="1021">
        <f t="shared" si="10"/>
        <v>19</v>
      </c>
      <c r="AD51" s="1022"/>
      <c r="AE51" s="1023">
        <f t="shared" si="0"/>
        <v>20554560</v>
      </c>
      <c r="AF51" s="1371">
        <f t="shared" si="11"/>
        <v>8.7840000000000007</v>
      </c>
      <c r="AG51" s="1102">
        <v>2340000</v>
      </c>
      <c r="AH51" s="1373">
        <f t="shared" si="12"/>
        <v>20554560</v>
      </c>
      <c r="AI51" s="1024">
        <f t="shared" si="1"/>
        <v>34</v>
      </c>
      <c r="AJ51" s="1025"/>
      <c r="AK51" s="1011" t="str">
        <f>VLOOKUP(B51,TH.T4!B54:AC384,28,FALSE)</f>
        <v>KHTC</v>
      </c>
      <c r="AL51" s="1012"/>
      <c r="AM51" s="1012"/>
      <c r="AN51" s="1027"/>
      <c r="AO51" s="1012"/>
      <c r="AP51" s="1012"/>
      <c r="AQ51" s="1012"/>
      <c r="AR51" s="1012"/>
      <c r="AS51" s="1012"/>
      <c r="AT51" s="1012"/>
    </row>
    <row r="52" spans="1:50" s="1028" customFormat="1" ht="27" customHeight="1">
      <c r="A52" s="1014">
        <f>_xlfn.AGGREGATE(4,7,A$17:A51)+1</f>
        <v>35</v>
      </c>
      <c r="B52" s="1015" t="s">
        <v>1457</v>
      </c>
      <c r="C52" s="1033" t="s">
        <v>1642</v>
      </c>
      <c r="D52" s="1045">
        <v>1603205372861</v>
      </c>
      <c r="E52" s="81" t="str">
        <f>VLOOKUP(B52,TH.T6!B57:J387,9,FALSE)</f>
        <v>NV phòng KH-TC</v>
      </c>
      <c r="F52" s="1040">
        <v>3</v>
      </c>
      <c r="G52" s="1019"/>
      <c r="H52" s="1247">
        <f t="shared" si="2"/>
        <v>0</v>
      </c>
      <c r="I52" s="1020"/>
      <c r="J52" s="1040">
        <v>3</v>
      </c>
      <c r="K52" s="1019"/>
      <c r="L52" s="1247">
        <f t="shared" si="3"/>
        <v>0</v>
      </c>
      <c r="M52" s="1020"/>
      <c r="N52" s="1040">
        <v>3</v>
      </c>
      <c r="O52" s="1019"/>
      <c r="P52" s="1248">
        <f t="shared" si="4"/>
        <v>0</v>
      </c>
      <c r="Q52" s="1020"/>
      <c r="R52" s="1020" t="str">
        <f>IFERROR(INDEX('[18]Gui chi Quynh'!$E$11:$E$397,MATCH(B52,'[18]Gui chi Quynh'!$B$11:$B$397,0)),"")</f>
        <v>A2</v>
      </c>
      <c r="S52" s="1020">
        <f t="shared" si="5"/>
        <v>0.7</v>
      </c>
      <c r="T52" s="1020" t="str">
        <f>VLOOKUP(B52,'[19]Gui chi Quynh'!$B$11:$E$397,4,FALSE)</f>
        <v>A2</v>
      </c>
      <c r="U52" s="1020">
        <f t="shared" si="6"/>
        <v>0.7</v>
      </c>
      <c r="V52" s="1020" t="str">
        <f>VLOOKUP(B52,'[20]Gui chi Quynh'!$B$11:$E$396,4,FALSE)</f>
        <v>A2</v>
      </c>
      <c r="W52" s="1020">
        <f t="shared" si="7"/>
        <v>0.7</v>
      </c>
      <c r="X52" s="1020">
        <f>IFERROR(INDEX('[21]CN BC'!$J$10:$J$275,MATCH(B52,'[21]CN BC'!$H$10:$H$275,0)),"")</f>
        <v>26</v>
      </c>
      <c r="Y52" s="1020">
        <f>IFERROR(INDEX('[22]CN BC'!$J$10:$J$274,MATCH(B52,'[22]CN BC'!$H$10:$H$274,0)),"")</f>
        <v>25</v>
      </c>
      <c r="Z52" s="1020">
        <f>VLOOKUP(B52,'[23]CN BC'!$H$10:$J$275,3,FALSE)</f>
        <v>23</v>
      </c>
      <c r="AA52" s="1021">
        <f t="shared" si="8"/>
        <v>23</v>
      </c>
      <c r="AB52" s="1021">
        <f t="shared" si="9"/>
        <v>22</v>
      </c>
      <c r="AC52" s="1021">
        <f t="shared" si="10"/>
        <v>19</v>
      </c>
      <c r="AD52" s="1022"/>
      <c r="AE52" s="1023">
        <f t="shared" si="0"/>
        <v>14742000</v>
      </c>
      <c r="AF52" s="1371">
        <f t="shared" si="11"/>
        <v>6.3</v>
      </c>
      <c r="AG52" s="1102">
        <v>2340000</v>
      </c>
      <c r="AH52" s="1373">
        <f t="shared" si="12"/>
        <v>14742000</v>
      </c>
      <c r="AI52" s="1024">
        <f t="shared" si="1"/>
        <v>35</v>
      </c>
      <c r="AJ52" s="1025"/>
      <c r="AK52" s="1011" t="str">
        <f>VLOOKUP(B52,TH.T4!B55:AC385,28,FALSE)</f>
        <v>KHTC</v>
      </c>
      <c r="AL52" s="1012"/>
      <c r="AM52" s="1012"/>
      <c r="AN52" s="1027"/>
      <c r="AO52" s="1012"/>
      <c r="AP52" s="1012"/>
      <c r="AQ52" s="1012"/>
      <c r="AR52" s="1012"/>
      <c r="AS52" s="1012"/>
      <c r="AT52" s="1012"/>
    </row>
    <row r="53" spans="1:50" s="1028" customFormat="1" ht="27" customHeight="1">
      <c r="A53" s="1014">
        <f>_xlfn.AGGREGATE(4,7,A$17:A52)+1</f>
        <v>36</v>
      </c>
      <c r="B53" s="1015" t="s">
        <v>1859</v>
      </c>
      <c r="C53" s="1033" t="s">
        <v>1665</v>
      </c>
      <c r="D53" s="1057">
        <v>1603205185357</v>
      </c>
      <c r="E53" s="81" t="str">
        <f>VLOOKUP(B53,TH.T6!B58:J388,9,FALSE)</f>
        <v>NV Phòng KH-TC</v>
      </c>
      <c r="F53" s="1040">
        <v>3.66</v>
      </c>
      <c r="G53" s="1019"/>
      <c r="H53" s="1247">
        <f t="shared" si="2"/>
        <v>0</v>
      </c>
      <c r="I53" s="1020"/>
      <c r="J53" s="1040">
        <v>3.66</v>
      </c>
      <c r="K53" s="1019"/>
      <c r="L53" s="1247">
        <f t="shared" si="3"/>
        <v>0</v>
      </c>
      <c r="M53" s="1020"/>
      <c r="N53" s="1040">
        <v>3.66</v>
      </c>
      <c r="O53" s="1019"/>
      <c r="P53" s="1248">
        <f t="shared" si="4"/>
        <v>0</v>
      </c>
      <c r="Q53" s="1020"/>
      <c r="R53" s="1020" t="str">
        <f>IFERROR(INDEX('[18]Gui chi Quynh'!$E$11:$E$397,MATCH(B53,'[18]Gui chi Quynh'!$B$11:$B$397,0)),"")</f>
        <v>A1</v>
      </c>
      <c r="S53" s="1020">
        <f t="shared" si="5"/>
        <v>0.8</v>
      </c>
      <c r="T53" s="1020" t="str">
        <f>VLOOKUP(B53,'[19]Gui chi Quynh'!$B$11:$E$397,4,FALSE)</f>
        <v>A1</v>
      </c>
      <c r="U53" s="1020">
        <f t="shared" si="6"/>
        <v>0.8</v>
      </c>
      <c r="V53" s="1020" t="str">
        <f>VLOOKUP(B53,'[20]Gui chi Quynh'!$B$11:$E$396,4,FALSE)</f>
        <v>A1</v>
      </c>
      <c r="W53" s="1020">
        <f t="shared" si="7"/>
        <v>0.8</v>
      </c>
      <c r="X53" s="1020">
        <f>IFERROR(INDEX('[21]CN BC'!$J$10:$J$275,MATCH(B53,'[21]CN BC'!$H$10:$H$275,0)),"")</f>
        <v>27</v>
      </c>
      <c r="Y53" s="1020">
        <f>IFERROR(INDEX('[22]CN BC'!$J$10:$J$274,MATCH(B53,'[22]CN BC'!$H$10:$H$274,0)),"")</f>
        <v>27</v>
      </c>
      <c r="Z53" s="1020">
        <f>VLOOKUP(B53,'[23]CN BC'!$H$10:$J$275,3,FALSE)</f>
        <v>24</v>
      </c>
      <c r="AA53" s="1021">
        <f t="shared" si="8"/>
        <v>23</v>
      </c>
      <c r="AB53" s="1021">
        <f t="shared" si="9"/>
        <v>22</v>
      </c>
      <c r="AC53" s="1021">
        <f t="shared" si="10"/>
        <v>19</v>
      </c>
      <c r="AD53" s="1022"/>
      <c r="AE53" s="1023">
        <f t="shared" si="0"/>
        <v>20554560</v>
      </c>
      <c r="AF53" s="1371">
        <f t="shared" si="11"/>
        <v>8.7840000000000007</v>
      </c>
      <c r="AG53" s="1102">
        <v>2340000</v>
      </c>
      <c r="AH53" s="1373">
        <f t="shared" si="12"/>
        <v>20554560</v>
      </c>
      <c r="AI53" s="1024">
        <f t="shared" si="1"/>
        <v>36</v>
      </c>
      <c r="AJ53" s="1025"/>
      <c r="AK53" s="1011" t="str">
        <f>VLOOKUP(B53,TH.T4!B56:AC386,28,FALSE)</f>
        <v>KHTC</v>
      </c>
      <c r="AN53" s="1038"/>
    </row>
    <row r="54" spans="1:50" s="1028" customFormat="1" ht="30.75" customHeight="1">
      <c r="A54" s="1014">
        <f>_xlfn.AGGREGATE(4,7,A$17:A53)+1</f>
        <v>37</v>
      </c>
      <c r="B54" s="1015" t="s">
        <v>1459</v>
      </c>
      <c r="C54" s="1033" t="s">
        <v>1645</v>
      </c>
      <c r="D54" s="1045" t="s">
        <v>1578</v>
      </c>
      <c r="E54" s="81" t="str">
        <f>VLOOKUP(B54,TH.T6!B59:J389,9,FALSE)</f>
        <v>Trưởng phòng Thanh tra GD - Quan hệ DN</v>
      </c>
      <c r="F54" s="1018">
        <v>4.32</v>
      </c>
      <c r="G54" s="1019"/>
      <c r="H54" s="1247">
        <f t="shared" si="2"/>
        <v>0</v>
      </c>
      <c r="I54" s="1020">
        <v>0.45</v>
      </c>
      <c r="J54" s="1018">
        <v>4.32</v>
      </c>
      <c r="K54" s="1019"/>
      <c r="L54" s="1247">
        <f t="shared" si="3"/>
        <v>0</v>
      </c>
      <c r="M54" s="1020">
        <v>0.45</v>
      </c>
      <c r="N54" s="1018">
        <v>4.32</v>
      </c>
      <c r="O54" s="1019"/>
      <c r="P54" s="1248">
        <f t="shared" si="4"/>
        <v>0</v>
      </c>
      <c r="Q54" s="1020">
        <v>0.45</v>
      </c>
      <c r="R54" s="1020" t="str">
        <f>IFERROR(INDEX('[18]Gui chi Quynh'!$E$11:$E$397,MATCH(B54,'[18]Gui chi Quynh'!$B$11:$B$397,0)),"")</f>
        <v>A2</v>
      </c>
      <c r="S54" s="1020">
        <f t="shared" si="5"/>
        <v>0.7</v>
      </c>
      <c r="T54" s="1020" t="str">
        <f>VLOOKUP(B54,'[19]Gui chi Quynh'!$B$11:$E$397,4,FALSE)</f>
        <v>A2</v>
      </c>
      <c r="U54" s="1020">
        <f t="shared" si="6"/>
        <v>0.7</v>
      </c>
      <c r="V54" s="1020" t="str">
        <f>VLOOKUP(B54,'[20]Gui chi Quynh'!$B$11:$E$396,4,FALSE)</f>
        <v>A2</v>
      </c>
      <c r="W54" s="1020">
        <f t="shared" si="7"/>
        <v>0.7</v>
      </c>
      <c r="X54" s="1020">
        <f>IFERROR(INDEX('[21]CN BC'!$J$10:$J$275,MATCH(B54,'[21]CN BC'!$H$10:$H$275,0)),"")</f>
        <v>27</v>
      </c>
      <c r="Y54" s="1020">
        <f>IFERROR(INDEX('[22]CN BC'!$J$10:$J$274,MATCH(B54,'[22]CN BC'!$H$10:$H$274,0)),"")</f>
        <v>26</v>
      </c>
      <c r="Z54" s="1020">
        <f>VLOOKUP(B54,'[23]CN BC'!$H$10:$J$275,3,FALSE)</f>
        <v>23</v>
      </c>
      <c r="AA54" s="1021">
        <f t="shared" si="8"/>
        <v>23</v>
      </c>
      <c r="AB54" s="1021">
        <f t="shared" si="9"/>
        <v>22</v>
      </c>
      <c r="AC54" s="1021">
        <f t="shared" si="10"/>
        <v>19</v>
      </c>
      <c r="AD54" s="1022"/>
      <c r="AE54" s="1023">
        <f t="shared" si="0"/>
        <v>23439780</v>
      </c>
      <c r="AF54" s="1371">
        <f t="shared" si="11"/>
        <v>10.016999999999999</v>
      </c>
      <c r="AG54" s="1102">
        <v>2340000</v>
      </c>
      <c r="AH54" s="1373">
        <f t="shared" si="12"/>
        <v>23439780</v>
      </c>
      <c r="AI54" s="1024">
        <f t="shared" si="1"/>
        <v>37</v>
      </c>
      <c r="AJ54" s="1025"/>
      <c r="AK54" s="1011" t="str">
        <f>VLOOKUP(B54,TH.T4!B57:AC387,28,FALSE)</f>
        <v>TTrGD</v>
      </c>
      <c r="AL54" s="1012"/>
      <c r="AM54" s="1012"/>
      <c r="AN54" s="1027"/>
    </row>
    <row r="55" spans="1:50" s="1028" customFormat="1" ht="30.75" customHeight="1">
      <c r="A55" s="1014">
        <f>_xlfn.AGGREGATE(4,7,A$17:A54)+1</f>
        <v>38</v>
      </c>
      <c r="B55" s="1093" t="s">
        <v>1541</v>
      </c>
      <c r="C55" s="1094" t="s">
        <v>1802</v>
      </c>
      <c r="D55" s="1227">
        <v>1603205356140</v>
      </c>
      <c r="E55" s="554" t="str">
        <f>VLOOKUP(B55,TH.T6!B60:J390,9,FALSE)</f>
        <v>Nhân viên phòng Thanh tra GD - Quan hệ DN</v>
      </c>
      <c r="F55" s="1095">
        <v>3.99</v>
      </c>
      <c r="G55" s="1096"/>
      <c r="H55" s="1249">
        <f t="shared" si="2"/>
        <v>0</v>
      </c>
      <c r="I55" s="1097"/>
      <c r="J55" s="1095">
        <v>3.99</v>
      </c>
      <c r="K55" s="1096"/>
      <c r="L55" s="1249">
        <f t="shared" si="3"/>
        <v>0</v>
      </c>
      <c r="M55" s="1097"/>
      <c r="N55" s="1095">
        <v>4.32</v>
      </c>
      <c r="O55" s="1096"/>
      <c r="P55" s="1250">
        <f t="shared" si="4"/>
        <v>0</v>
      </c>
      <c r="Q55" s="1097"/>
      <c r="R55" s="1097" t="str">
        <f>IFERROR(INDEX('[18]Gui chi Quynh'!$E$11:$E$397,MATCH(B55,'[18]Gui chi Quynh'!$B$11:$B$397,0)),"")</f>
        <v>A3</v>
      </c>
      <c r="S55" s="1097">
        <f t="shared" si="5"/>
        <v>0.6</v>
      </c>
      <c r="T55" s="1097" t="str">
        <f>VLOOKUP(B55,'[19]Gui chi Quynh'!$B$11:$E$397,4,FALSE)</f>
        <v>A4</v>
      </c>
      <c r="U55" s="1097">
        <f t="shared" si="6"/>
        <v>0.5</v>
      </c>
      <c r="V55" s="1097" t="str">
        <f>VLOOKUP(B55,'[20]Gui chi Quynh'!$B$11:$E$396,4,FALSE)</f>
        <v>A3</v>
      </c>
      <c r="W55" s="1097">
        <f t="shared" si="7"/>
        <v>0.6</v>
      </c>
      <c r="X55" s="1097">
        <f>IFERROR(INDEX('[21]CN BC'!$J$10:$J$275,MATCH(B55,'[21]CN BC'!$H$10:$H$275,0)),"")</f>
        <v>23</v>
      </c>
      <c r="Y55" s="1097">
        <f>IFERROR(INDEX('[22]CN BC'!$J$10:$J$274,MATCH(B55,'[22]CN BC'!$H$10:$H$274,0)),"")</f>
        <v>22</v>
      </c>
      <c r="Z55" s="1097">
        <f>VLOOKUP(B55,'[23]CN BC'!$H$10:$J$275,3,FALSE)</f>
        <v>19</v>
      </c>
      <c r="AA55" s="1213">
        <f t="shared" si="8"/>
        <v>23</v>
      </c>
      <c r="AB55" s="1213">
        <f t="shared" si="9"/>
        <v>22</v>
      </c>
      <c r="AC55" s="1213">
        <f t="shared" si="10"/>
        <v>19</v>
      </c>
      <c r="AD55" s="1098"/>
      <c r="AE55" s="1214">
        <f t="shared" si="0"/>
        <v>16335540</v>
      </c>
      <c r="AF55" s="1400">
        <f t="shared" si="11"/>
        <v>6.9809999999999999</v>
      </c>
      <c r="AG55" s="1225">
        <v>2340000</v>
      </c>
      <c r="AH55" s="1401">
        <f t="shared" si="12"/>
        <v>16335540</v>
      </c>
      <c r="AI55" s="1099">
        <f t="shared" si="1"/>
        <v>38</v>
      </c>
      <c r="AJ55" s="1215" t="s">
        <v>2363</v>
      </c>
      <c r="AK55" s="1011" t="str">
        <f>VLOOKUP(B55,TH.T4!B58:AC388,28,FALSE)</f>
        <v>TTrGD</v>
      </c>
      <c r="AN55" s="1038"/>
    </row>
    <row r="56" spans="1:50" s="1028" customFormat="1" ht="30.75" customHeight="1">
      <c r="A56" s="1014">
        <f>_xlfn.AGGREGATE(4,7,A$17:A55)+1</f>
        <v>39</v>
      </c>
      <c r="B56" s="1061" t="s">
        <v>1556</v>
      </c>
      <c r="C56" s="1033" t="s">
        <v>1648</v>
      </c>
      <c r="D56" s="1057">
        <v>1603205182727</v>
      </c>
      <c r="E56" s="81" t="str">
        <f>VLOOKUP(B56,TH.T6!B61:J391,9,FALSE)</f>
        <v>Nhân viên phòng Thanh tra GD - Quan hệ DN</v>
      </c>
      <c r="F56" s="1040">
        <v>4.6500000000000004</v>
      </c>
      <c r="G56" s="1062"/>
      <c r="H56" s="1247">
        <f t="shared" si="2"/>
        <v>0</v>
      </c>
      <c r="I56" s="1018"/>
      <c r="J56" s="1040">
        <v>4.6500000000000004</v>
      </c>
      <c r="K56" s="1062"/>
      <c r="L56" s="1247">
        <f t="shared" si="3"/>
        <v>0</v>
      </c>
      <c r="M56" s="1018"/>
      <c r="N56" s="1040">
        <v>4.6500000000000004</v>
      </c>
      <c r="O56" s="1062"/>
      <c r="P56" s="1248">
        <f t="shared" si="4"/>
        <v>0</v>
      </c>
      <c r="Q56" s="1018"/>
      <c r="R56" s="1020" t="str">
        <f>IFERROR(INDEX('[18]Gui chi Quynh'!$E$11:$E$397,MATCH(B56,'[18]Gui chi Quynh'!$B$11:$B$397,0)),"")</f>
        <v>A3</v>
      </c>
      <c r="S56" s="1020">
        <f t="shared" si="5"/>
        <v>0.6</v>
      </c>
      <c r="T56" s="1020" t="str">
        <f>VLOOKUP(B56,'[19]Gui chi Quynh'!$B$11:$E$397,4,FALSE)</f>
        <v>A3</v>
      </c>
      <c r="U56" s="1020">
        <f t="shared" si="6"/>
        <v>0.6</v>
      </c>
      <c r="V56" s="1020" t="str">
        <f>VLOOKUP(B56,'[20]Gui chi Quynh'!$B$11:$E$396,4,FALSE)</f>
        <v>A3</v>
      </c>
      <c r="W56" s="1020">
        <f t="shared" si="7"/>
        <v>0.6</v>
      </c>
      <c r="X56" s="1020">
        <f>IFERROR(INDEX('[21]CN BC'!$J$10:$J$275,MATCH(B56,'[21]CN BC'!$H$10:$H$275,0)),"")</f>
        <v>22.5</v>
      </c>
      <c r="Y56" s="1020">
        <f>IFERROR(INDEX('[22]CN BC'!$J$10:$J$274,MATCH(B56,'[22]CN BC'!$H$10:$H$274,0)),"")</f>
        <v>23.5</v>
      </c>
      <c r="Z56" s="1020">
        <f>VLOOKUP(B56,'[23]CN BC'!$H$10:$J$275,3,FALSE)</f>
        <v>19.5</v>
      </c>
      <c r="AA56" s="1021">
        <f t="shared" si="8"/>
        <v>22.5</v>
      </c>
      <c r="AB56" s="1021">
        <f t="shared" si="9"/>
        <v>22</v>
      </c>
      <c r="AC56" s="1021">
        <f t="shared" si="10"/>
        <v>19</v>
      </c>
      <c r="AD56" s="1022"/>
      <c r="AE56" s="1023">
        <f t="shared" si="0"/>
        <v>19443874</v>
      </c>
      <c r="AF56" s="1371">
        <f t="shared" si="11"/>
        <v>8.3093478632478632</v>
      </c>
      <c r="AG56" s="1102">
        <v>2340000</v>
      </c>
      <c r="AH56" s="1373">
        <f t="shared" si="12"/>
        <v>19443874</v>
      </c>
      <c r="AI56" s="1024">
        <f t="shared" si="1"/>
        <v>39</v>
      </c>
      <c r="AJ56" s="1025"/>
      <c r="AK56" s="1011" t="str">
        <f>VLOOKUP(B56,TH.T4!B59:AC389,28,FALSE)</f>
        <v>TTrGD</v>
      </c>
      <c r="AL56" s="1012"/>
      <c r="AM56" s="1012"/>
      <c r="AN56" s="1027"/>
      <c r="AO56" s="1012"/>
      <c r="AP56" s="1012"/>
      <c r="AQ56" s="1012"/>
      <c r="AR56" s="1012"/>
      <c r="AS56" s="1012"/>
      <c r="AT56" s="1012"/>
    </row>
    <row r="57" spans="1:50" s="1028" customFormat="1" ht="50.25" customHeight="1">
      <c r="A57" s="1014">
        <f>_xlfn.AGGREGATE(4,7,A$17:A56)+1</f>
        <v>40</v>
      </c>
      <c r="B57" s="1093" t="s">
        <v>1854</v>
      </c>
      <c r="C57" s="1094" t="s">
        <v>1616</v>
      </c>
      <c r="D57" s="1212" t="s">
        <v>1260</v>
      </c>
      <c r="E57" s="554" t="str">
        <f>VLOOKUP(B57,TH.T6!B62:J392,9,FALSE)</f>
        <v>Nhân viên phòng Thanh tra GD - Quan hệ DN</v>
      </c>
      <c r="F57" s="1095">
        <v>4.9800000000000004</v>
      </c>
      <c r="G57" s="1096">
        <v>7.0000000000000007E-2</v>
      </c>
      <c r="H57" s="1249">
        <f t="shared" si="2"/>
        <v>0.34899999999999998</v>
      </c>
      <c r="I57" s="1097">
        <v>0.45</v>
      </c>
      <c r="J57" s="1095">
        <v>4.9800000000000004</v>
      </c>
      <c r="K57" s="1096">
        <v>7.0000000000000007E-2</v>
      </c>
      <c r="L57" s="1249">
        <f t="shared" si="3"/>
        <v>0.34899999999999998</v>
      </c>
      <c r="M57" s="1097">
        <v>0.45</v>
      </c>
      <c r="N57" s="1095">
        <v>4.9800000000000004</v>
      </c>
      <c r="O57" s="1096">
        <v>0.08</v>
      </c>
      <c r="P57" s="1250">
        <f t="shared" si="4"/>
        <v>0.39800000000000002</v>
      </c>
      <c r="Q57" s="1097"/>
      <c r="R57" s="1097" t="str">
        <f>IFERROR(INDEX('[18]Gui chi Quynh'!$E$11:$E$397,MATCH(B57,'[18]Gui chi Quynh'!$B$11:$B$397,0)),"")</f>
        <v>A1</v>
      </c>
      <c r="S57" s="1097">
        <f t="shared" si="5"/>
        <v>0.8</v>
      </c>
      <c r="T57" s="1097" t="str">
        <f>VLOOKUP(B57,'[19]Gui chi Quynh'!$B$11:$E$397,4,FALSE)</f>
        <v>A3</v>
      </c>
      <c r="U57" s="1097">
        <f t="shared" si="6"/>
        <v>0.6</v>
      </c>
      <c r="V57" s="1097" t="str">
        <f>VLOOKUP(B57,'[20]Gui chi Quynh'!$B$11:$E$396,4,FALSE)</f>
        <v>A3</v>
      </c>
      <c r="W57" s="1097">
        <f t="shared" si="7"/>
        <v>0.6</v>
      </c>
      <c r="X57" s="1097">
        <f>IFERROR(INDEX('[21]CN BC'!$J$10:$J$275,MATCH(B57,'[21]CN BC'!$H$10:$H$275,0)),"")</f>
        <v>25</v>
      </c>
      <c r="Y57" s="1097">
        <f>IFERROR(INDEX('[22]CN BC'!$J$10:$J$274,MATCH(B57,'[22]CN BC'!$H$10:$H$274,0)),"")</f>
        <v>23</v>
      </c>
      <c r="Z57" s="1097">
        <f>VLOOKUP(B57,'[23]CN BC'!$H$10:$J$275,3,FALSE)</f>
        <v>19</v>
      </c>
      <c r="AA57" s="1213">
        <f t="shared" si="8"/>
        <v>23</v>
      </c>
      <c r="AB57" s="1213">
        <f t="shared" si="9"/>
        <v>22</v>
      </c>
      <c r="AC57" s="1213">
        <f t="shared" si="10"/>
        <v>19</v>
      </c>
      <c r="AD57" s="1098"/>
      <c r="AE57" s="1214">
        <f t="shared" si="0"/>
        <v>26482716</v>
      </c>
      <c r="AF57" s="1400">
        <f t="shared" si="11"/>
        <v>11.317399999999999</v>
      </c>
      <c r="AG57" s="1225">
        <v>2340000</v>
      </c>
      <c r="AH57" s="1401">
        <f t="shared" si="12"/>
        <v>26482716</v>
      </c>
      <c r="AI57" s="1099">
        <f t="shared" si="1"/>
        <v>40</v>
      </c>
      <c r="AJ57" s="1215" t="s">
        <v>2360</v>
      </c>
      <c r="AK57" s="1011" t="str">
        <f>VLOOKUP(B57,TH.T4!B60:AC390,28,FALSE)</f>
        <v>TTrGD</v>
      </c>
      <c r="AL57" s="1013"/>
      <c r="AM57" s="1027"/>
      <c r="AN57" s="1027">
        <v>5000000</v>
      </c>
      <c r="AO57" s="1012"/>
      <c r="AP57" s="1012"/>
      <c r="AQ57" s="1012"/>
      <c r="AR57" s="1012"/>
      <c r="AS57" s="1012"/>
      <c r="AT57" s="1012"/>
      <c r="AU57" s="1012"/>
      <c r="AV57" s="1012"/>
      <c r="AW57" s="1012"/>
      <c r="AX57" s="1012"/>
    </row>
    <row r="58" spans="1:50" s="1028" customFormat="1" ht="36.75" customHeight="1">
      <c r="A58" s="1014">
        <f>_xlfn.AGGREGATE(4,7,A$17:A57)+1</f>
        <v>41</v>
      </c>
      <c r="B58" s="1015" t="s">
        <v>1460</v>
      </c>
      <c r="C58" s="1033" t="s">
        <v>1650</v>
      </c>
      <c r="D58" s="1047">
        <v>1603205189653</v>
      </c>
      <c r="E58" s="81" t="str">
        <f>VLOOKUP(B58,TH.T6!B63:J393,9,FALSE)</f>
        <v>Nhân viên phòng Thanh tra GD - Quan hệ DN</v>
      </c>
      <c r="F58" s="1018">
        <v>3.99</v>
      </c>
      <c r="G58" s="1019"/>
      <c r="H58" s="1247">
        <f t="shared" si="2"/>
        <v>0</v>
      </c>
      <c r="I58" s="1020"/>
      <c r="J58" s="1018">
        <v>3.99</v>
      </c>
      <c r="K58" s="1019"/>
      <c r="L58" s="1247">
        <f t="shared" si="3"/>
        <v>0</v>
      </c>
      <c r="M58" s="1020"/>
      <c r="N58" s="1018">
        <v>3.99</v>
      </c>
      <c r="O58" s="1019"/>
      <c r="P58" s="1248">
        <f t="shared" si="4"/>
        <v>0</v>
      </c>
      <c r="Q58" s="1020"/>
      <c r="R58" s="1020" t="str">
        <f>IFERROR(INDEX('[18]Gui chi Quynh'!$E$11:$E$397,MATCH(B58,'[18]Gui chi Quynh'!$B$11:$B$397,0)),"")</f>
        <v>A3</v>
      </c>
      <c r="S58" s="1020">
        <f t="shared" si="5"/>
        <v>0.6</v>
      </c>
      <c r="T58" s="1020" t="str">
        <f>VLOOKUP(B58,'[19]Gui chi Quynh'!$B$11:$E$397,4,FALSE)</f>
        <v>A3</v>
      </c>
      <c r="U58" s="1020">
        <f t="shared" si="6"/>
        <v>0.6</v>
      </c>
      <c r="V58" s="1020" t="str">
        <f>VLOOKUP(B58,'[20]Gui chi Quynh'!$B$11:$E$396,4,FALSE)</f>
        <v>A3</v>
      </c>
      <c r="W58" s="1020">
        <f t="shared" si="7"/>
        <v>0.6</v>
      </c>
      <c r="X58" s="1020">
        <f>IFERROR(INDEX('[21]CN BC'!$J$10:$J$275,MATCH(B58,'[21]CN BC'!$H$10:$H$275,0)),"")</f>
        <v>19</v>
      </c>
      <c r="Y58" s="1020">
        <f>IFERROR(INDEX('[22]CN BC'!$J$10:$J$274,MATCH(B58,'[22]CN BC'!$H$10:$H$274,0)),"")</f>
        <v>22</v>
      </c>
      <c r="Z58" s="1020">
        <f>VLOOKUP(B58,'[23]CN BC'!$H$10:$J$275,3,FALSE)</f>
        <v>20</v>
      </c>
      <c r="AA58" s="1021">
        <f t="shared" si="8"/>
        <v>19</v>
      </c>
      <c r="AB58" s="1021">
        <f t="shared" si="9"/>
        <v>22</v>
      </c>
      <c r="AC58" s="1021">
        <f t="shared" si="10"/>
        <v>19</v>
      </c>
      <c r="AD58" s="1022"/>
      <c r="AE58" s="1023">
        <f t="shared" si="0"/>
        <v>15831626</v>
      </c>
      <c r="AF58" s="1371">
        <f t="shared" si="11"/>
        <v>6.7656521367521369</v>
      </c>
      <c r="AG58" s="1102">
        <v>2340000</v>
      </c>
      <c r="AH58" s="1373">
        <f t="shared" si="12"/>
        <v>15831626</v>
      </c>
      <c r="AI58" s="1024">
        <f t="shared" si="1"/>
        <v>41</v>
      </c>
      <c r="AJ58" s="1025"/>
      <c r="AK58" s="1011" t="str">
        <f>VLOOKUP(B58,TH.T4!B61:AC391,28,FALSE)</f>
        <v>TTrGD</v>
      </c>
      <c r="AN58" s="1038"/>
    </row>
    <row r="59" spans="1:50" s="1028" customFormat="1" ht="36.75" customHeight="1">
      <c r="A59" s="1014">
        <f>_xlfn.AGGREGATE(4,7,A$17:A58)+1</f>
        <v>42</v>
      </c>
      <c r="B59" s="1015" t="s">
        <v>1461</v>
      </c>
      <c r="C59" s="1033" t="s">
        <v>1653</v>
      </c>
      <c r="D59" s="1034" t="s">
        <v>370</v>
      </c>
      <c r="E59" s="81" t="str">
        <f>VLOOKUP(B59,TH.T6!B64:J394,9,FALSE)</f>
        <v>Nhân viên phòng Thanh tra GD - Quan hệ DN</v>
      </c>
      <c r="F59" s="1040">
        <v>3.66</v>
      </c>
      <c r="G59" s="1019"/>
      <c r="H59" s="1247">
        <f t="shared" si="2"/>
        <v>0</v>
      </c>
      <c r="I59" s="1020"/>
      <c r="J59" s="1040">
        <v>3.66</v>
      </c>
      <c r="K59" s="1019"/>
      <c r="L59" s="1247">
        <f t="shared" si="3"/>
        <v>0</v>
      </c>
      <c r="M59" s="1020"/>
      <c r="N59" s="1040">
        <v>3.66</v>
      </c>
      <c r="O59" s="1019"/>
      <c r="P59" s="1248">
        <f t="shared" si="4"/>
        <v>0</v>
      </c>
      <c r="Q59" s="1020"/>
      <c r="R59" s="1020" t="str">
        <f>IFERROR(INDEX('[18]Gui chi Quynh'!$E$11:$E$397,MATCH(B59,'[18]Gui chi Quynh'!$B$11:$B$397,0)),"")</f>
        <v>A4</v>
      </c>
      <c r="S59" s="1020">
        <f t="shared" si="5"/>
        <v>0.5</v>
      </c>
      <c r="T59" s="1020" t="str">
        <f>VLOOKUP(B59,'[19]Gui chi Quynh'!$B$11:$E$397,4,FALSE)</f>
        <v>A4</v>
      </c>
      <c r="U59" s="1020">
        <f t="shared" si="6"/>
        <v>0.5</v>
      </c>
      <c r="V59" s="1020" t="str">
        <f>VLOOKUP(B59,'[20]Gui chi Quynh'!$B$11:$E$396,4,FALSE)</f>
        <v>A3</v>
      </c>
      <c r="W59" s="1020">
        <f t="shared" si="7"/>
        <v>0.6</v>
      </c>
      <c r="X59" s="1020">
        <f>IFERROR(INDEX('[21]CN BC'!$J$10:$J$275,MATCH(B59,'[21]CN BC'!$H$10:$H$275,0)),"")</f>
        <v>21</v>
      </c>
      <c r="Y59" s="1020">
        <f>IFERROR(INDEX('[22]CN BC'!$J$10:$J$274,MATCH(B59,'[22]CN BC'!$H$10:$H$274,0)),"")</f>
        <v>21</v>
      </c>
      <c r="Z59" s="1020">
        <f>VLOOKUP(B59,'[23]CN BC'!$H$10:$J$275,3,FALSE)</f>
        <v>20</v>
      </c>
      <c r="AA59" s="1021">
        <f t="shared" si="8"/>
        <v>21</v>
      </c>
      <c r="AB59" s="1021">
        <f t="shared" si="9"/>
        <v>21</v>
      </c>
      <c r="AC59" s="1021">
        <f t="shared" si="10"/>
        <v>19</v>
      </c>
      <c r="AD59" s="1022"/>
      <c r="AE59" s="1023">
        <f t="shared" si="0"/>
        <v>13136029</v>
      </c>
      <c r="AF59" s="1371">
        <f t="shared" si="11"/>
        <v>5.6136876068376065</v>
      </c>
      <c r="AG59" s="1102">
        <v>2340000</v>
      </c>
      <c r="AH59" s="1373">
        <f t="shared" si="12"/>
        <v>13136029</v>
      </c>
      <c r="AI59" s="1024">
        <f t="shared" si="1"/>
        <v>42</v>
      </c>
      <c r="AJ59" s="1025"/>
      <c r="AK59" s="1011" t="str">
        <f>VLOOKUP(B59,TH.T4!B62:AC392,28,FALSE)</f>
        <v>TTrGD</v>
      </c>
      <c r="AL59" s="1012"/>
      <c r="AM59" s="1012"/>
      <c r="AN59" s="1027"/>
      <c r="AO59" s="1012"/>
      <c r="AP59" s="1012"/>
      <c r="AQ59" s="1012"/>
      <c r="AR59" s="1012"/>
      <c r="AS59" s="1012"/>
      <c r="AT59" s="1012"/>
    </row>
    <row r="60" spans="1:50" s="1028" customFormat="1" ht="36.75" customHeight="1">
      <c r="A60" s="1014">
        <f>_xlfn.AGGREGATE(4,7,A$17:A59)+1</f>
        <v>43</v>
      </c>
      <c r="B60" s="1015" t="s">
        <v>848</v>
      </c>
      <c r="C60" s="1033" t="s">
        <v>1655</v>
      </c>
      <c r="D60" s="1034" t="s">
        <v>1263</v>
      </c>
      <c r="E60" s="81" t="str">
        <f>VLOOKUP(B60,TH.T6!B65:J395,9,FALSE)</f>
        <v>Nhân viên phòng Thanh tra GD - Quan hệ DN</v>
      </c>
      <c r="F60" s="1018">
        <v>4.32</v>
      </c>
      <c r="G60" s="1019"/>
      <c r="H60" s="1247">
        <f t="shared" si="2"/>
        <v>0</v>
      </c>
      <c r="I60" s="1020"/>
      <c r="J60" s="1018">
        <v>4.32</v>
      </c>
      <c r="K60" s="1019"/>
      <c r="L60" s="1247">
        <f t="shared" si="3"/>
        <v>0</v>
      </c>
      <c r="M60" s="1020"/>
      <c r="N60" s="1018">
        <v>4.32</v>
      </c>
      <c r="O60" s="1019"/>
      <c r="P60" s="1248">
        <f t="shared" si="4"/>
        <v>0</v>
      </c>
      <c r="Q60" s="1020"/>
      <c r="R60" s="1020" t="str">
        <f>IFERROR(INDEX('[18]Gui chi Quynh'!$E$11:$E$397,MATCH(B60,'[18]Gui chi Quynh'!$B$11:$B$397,0)),"")</f>
        <v>A3</v>
      </c>
      <c r="S60" s="1020">
        <f t="shared" si="5"/>
        <v>0.6</v>
      </c>
      <c r="T60" s="1020" t="str">
        <f>VLOOKUP(B60,'[19]Gui chi Quynh'!$B$11:$E$397,4,FALSE)</f>
        <v>A3</v>
      </c>
      <c r="U60" s="1020">
        <f t="shared" si="6"/>
        <v>0.6</v>
      </c>
      <c r="V60" s="1020" t="str">
        <f>VLOOKUP(B60,'[20]Gui chi Quynh'!$B$11:$E$396,4,FALSE)</f>
        <v>A2</v>
      </c>
      <c r="W60" s="1020">
        <f t="shared" si="7"/>
        <v>0.7</v>
      </c>
      <c r="X60" s="1020">
        <f>IFERROR(INDEX('[21]CN BC'!$J$10:$J$275,MATCH(B60,'[21]CN BC'!$H$10:$H$275,0)),"")</f>
        <v>24</v>
      </c>
      <c r="Y60" s="1020">
        <f>IFERROR(INDEX('[22]CN BC'!$J$10:$J$274,MATCH(B60,'[22]CN BC'!$H$10:$H$274,0)),"")</f>
        <v>22</v>
      </c>
      <c r="Z60" s="1020">
        <f>VLOOKUP(B60,'[23]CN BC'!$H$10:$J$275,3,FALSE)</f>
        <v>21</v>
      </c>
      <c r="AA60" s="1021">
        <f t="shared" si="8"/>
        <v>23</v>
      </c>
      <c r="AB60" s="1021">
        <f t="shared" si="9"/>
        <v>22</v>
      </c>
      <c r="AC60" s="1021">
        <f t="shared" si="10"/>
        <v>19</v>
      </c>
      <c r="AD60" s="1022"/>
      <c r="AE60" s="1023">
        <f t="shared" si="0"/>
        <v>19206720</v>
      </c>
      <c r="AF60" s="1371">
        <f t="shared" si="11"/>
        <v>8.2080000000000002</v>
      </c>
      <c r="AG60" s="1102">
        <v>2340000</v>
      </c>
      <c r="AH60" s="1373">
        <f t="shared" si="12"/>
        <v>19206720</v>
      </c>
      <c r="AI60" s="1024">
        <f t="shared" si="1"/>
        <v>43</v>
      </c>
      <c r="AJ60" s="1025"/>
      <c r="AK60" s="1011" t="str">
        <f>VLOOKUP(B60,TH.T4!B63:AC393,28,FALSE)</f>
        <v>TTrGD</v>
      </c>
      <c r="AL60" s="1012"/>
      <c r="AM60" s="1012"/>
      <c r="AN60" s="1027"/>
      <c r="AO60" s="1012"/>
      <c r="AP60" s="1012"/>
      <c r="AQ60" s="1012"/>
      <c r="AR60" s="1012"/>
      <c r="AS60" s="1012"/>
      <c r="AT60" s="1012"/>
    </row>
    <row r="61" spans="1:50" s="1028" customFormat="1" ht="36.75" customHeight="1">
      <c r="A61" s="1014">
        <f>_xlfn.AGGREGATE(4,7,A$17:A60)+1</f>
        <v>44</v>
      </c>
      <c r="B61" s="1015" t="s">
        <v>1857</v>
      </c>
      <c r="C61" s="1033" t="s">
        <v>1656</v>
      </c>
      <c r="D61" s="1047" t="s">
        <v>1358</v>
      </c>
      <c r="E61" s="81" t="str">
        <f>VLOOKUP(B61,TH.T6!B66:J396,9,FALSE)</f>
        <v>Nhân viên phòng Thanh tra GD - Quan hệ DN</v>
      </c>
      <c r="F61" s="1018">
        <v>4.32</v>
      </c>
      <c r="G61" s="1019"/>
      <c r="H61" s="1247">
        <f t="shared" si="2"/>
        <v>0</v>
      </c>
      <c r="I61" s="1020"/>
      <c r="J61" s="1018">
        <v>4.32</v>
      </c>
      <c r="K61" s="1019"/>
      <c r="L61" s="1247">
        <f t="shared" si="3"/>
        <v>0</v>
      </c>
      <c r="M61" s="1020"/>
      <c r="N61" s="1018">
        <v>4.32</v>
      </c>
      <c r="O61" s="1019"/>
      <c r="P61" s="1248">
        <f t="shared" si="4"/>
        <v>0</v>
      </c>
      <c r="Q61" s="1020"/>
      <c r="R61" s="1020" t="str">
        <f>IFERROR(INDEX('[18]Gui chi Quynh'!$E$11:$E$397,MATCH(B61,'[18]Gui chi Quynh'!$B$11:$B$397,0)),"")</f>
        <v>A4</v>
      </c>
      <c r="S61" s="1020">
        <f t="shared" si="5"/>
        <v>0.5</v>
      </c>
      <c r="T61" s="1020" t="str">
        <f>VLOOKUP(B61,'[19]Gui chi Quynh'!$B$11:$E$397,4,FALSE)</f>
        <v>A3</v>
      </c>
      <c r="U61" s="1020">
        <f t="shared" si="6"/>
        <v>0.6</v>
      </c>
      <c r="V61" s="1020" t="str">
        <f>VLOOKUP(B61,'[20]Gui chi Quynh'!$B$11:$E$396,4,FALSE)</f>
        <v>A4</v>
      </c>
      <c r="W61" s="1020">
        <f t="shared" si="7"/>
        <v>0.5</v>
      </c>
      <c r="X61" s="1020">
        <f>IFERROR(INDEX('[21]CN BC'!$J$10:$J$275,MATCH(B61,'[21]CN BC'!$H$10:$H$275,0)),"")</f>
        <v>24</v>
      </c>
      <c r="Y61" s="1020">
        <f>IFERROR(INDEX('[22]CN BC'!$J$10:$J$274,MATCH(B61,'[22]CN BC'!$H$10:$H$274,0)),"")</f>
        <v>22</v>
      </c>
      <c r="Z61" s="1020">
        <f>VLOOKUP(B61,'[23]CN BC'!$H$10:$J$275,3,FALSE)</f>
        <v>19</v>
      </c>
      <c r="AA61" s="1021">
        <f t="shared" si="8"/>
        <v>23</v>
      </c>
      <c r="AB61" s="1021">
        <f t="shared" si="9"/>
        <v>22</v>
      </c>
      <c r="AC61" s="1021">
        <f t="shared" si="10"/>
        <v>19</v>
      </c>
      <c r="AD61" s="1022"/>
      <c r="AE61" s="1023">
        <f t="shared" si="0"/>
        <v>16174080</v>
      </c>
      <c r="AF61" s="1371">
        <f t="shared" si="11"/>
        <v>6.9119999999999999</v>
      </c>
      <c r="AG61" s="1102">
        <v>2340000</v>
      </c>
      <c r="AH61" s="1373">
        <f t="shared" si="12"/>
        <v>16174080</v>
      </c>
      <c r="AI61" s="1024">
        <f t="shared" si="1"/>
        <v>44</v>
      </c>
      <c r="AJ61" s="1025"/>
      <c r="AK61" s="1011" t="str">
        <f>VLOOKUP(B61,TH.T4!B64:AC394,28,FALSE)</f>
        <v>TTrGD</v>
      </c>
      <c r="AL61" s="1012"/>
      <c r="AM61" s="1012"/>
      <c r="AN61" s="1027"/>
      <c r="AO61" s="1012"/>
      <c r="AP61" s="1012"/>
      <c r="AQ61" s="1012"/>
      <c r="AR61" s="1012"/>
      <c r="AS61" s="1012"/>
      <c r="AT61" s="1012"/>
    </row>
    <row r="62" spans="1:50" s="1028" customFormat="1" ht="36.75" customHeight="1">
      <c r="A62" s="1014">
        <f>_xlfn.AGGREGATE(4,7,A$17:A61)+1</f>
        <v>45</v>
      </c>
      <c r="B62" s="1015" t="s">
        <v>1851</v>
      </c>
      <c r="C62" s="1029" t="s">
        <v>1632</v>
      </c>
      <c r="D62" s="1063" t="s">
        <v>1575</v>
      </c>
      <c r="E62" s="81" t="str">
        <f>VLOOKUP(B62,TH.T6!B67:J397,9,FALSE)</f>
        <v>Nhân viên phòng Thanh tra GD - Quan hệ DN</v>
      </c>
      <c r="F62" s="1040">
        <v>3.66</v>
      </c>
      <c r="G62" s="1019"/>
      <c r="H62" s="1247">
        <f t="shared" si="2"/>
        <v>0</v>
      </c>
      <c r="I62" s="1020"/>
      <c r="J62" s="1040">
        <v>3.66</v>
      </c>
      <c r="K62" s="1019"/>
      <c r="L62" s="1247">
        <f t="shared" si="3"/>
        <v>0</v>
      </c>
      <c r="M62" s="1020"/>
      <c r="N62" s="1040">
        <v>3.66</v>
      </c>
      <c r="O62" s="1019"/>
      <c r="P62" s="1248">
        <f t="shared" si="4"/>
        <v>0</v>
      </c>
      <c r="Q62" s="1020"/>
      <c r="R62" s="1020" t="str">
        <f>IFERROR(INDEX('[18]Gui chi Quynh'!$E$11:$E$397,MATCH(B62,'[18]Gui chi Quynh'!$B$11:$B$397,0)),"")</f>
        <v>A4</v>
      </c>
      <c r="S62" s="1020">
        <f t="shared" si="5"/>
        <v>0.5</v>
      </c>
      <c r="T62" s="1020" t="str">
        <f>VLOOKUP(B62,'[19]Gui chi Quynh'!$B$11:$E$397,4,FALSE)</f>
        <v>A4</v>
      </c>
      <c r="U62" s="1020">
        <f t="shared" si="6"/>
        <v>0.5</v>
      </c>
      <c r="V62" s="1020" t="str">
        <f>VLOOKUP(B62,'[20]Gui chi Quynh'!$B$11:$E$396,4,FALSE)</f>
        <v>A3</v>
      </c>
      <c r="W62" s="1020">
        <f t="shared" si="7"/>
        <v>0.6</v>
      </c>
      <c r="X62" s="1020">
        <f>IFERROR(INDEX('[21]CN BC'!$J$10:$J$275,MATCH(B62,'[21]CN BC'!$H$10:$H$275,0)),"")</f>
        <v>24</v>
      </c>
      <c r="Y62" s="1020">
        <f>IFERROR(INDEX('[22]CN BC'!$J$10:$J$274,MATCH(B62,'[22]CN BC'!$H$10:$H$274,0)),"")</f>
        <v>19</v>
      </c>
      <c r="Z62" s="1020">
        <f>VLOOKUP(B62,'[23]CN BC'!$H$10:$J$275,3,FALSE)</f>
        <v>20</v>
      </c>
      <c r="AA62" s="1021">
        <f t="shared" si="8"/>
        <v>23</v>
      </c>
      <c r="AB62" s="1021">
        <f t="shared" si="9"/>
        <v>19</v>
      </c>
      <c r="AC62" s="1021">
        <f t="shared" si="10"/>
        <v>19</v>
      </c>
      <c r="AD62" s="1022"/>
      <c r="AE62" s="1023">
        <f t="shared" si="0"/>
        <v>13119104</v>
      </c>
      <c r="AF62" s="1371">
        <f t="shared" si="11"/>
        <v>5.6064547008547008</v>
      </c>
      <c r="AG62" s="1102">
        <v>2340000</v>
      </c>
      <c r="AH62" s="1373">
        <f t="shared" si="12"/>
        <v>13119104</v>
      </c>
      <c r="AI62" s="1024">
        <f t="shared" si="1"/>
        <v>45</v>
      </c>
      <c r="AJ62" s="1025"/>
      <c r="AK62" s="1011" t="str">
        <f>VLOOKUP(B62,TH.T4!B65:AC395,28,FALSE)</f>
        <v>TTrGD</v>
      </c>
      <c r="AL62" s="1012"/>
      <c r="AM62" s="1012"/>
      <c r="AN62" s="1027"/>
      <c r="AO62" s="1012"/>
      <c r="AP62" s="1012"/>
      <c r="AQ62" s="1012"/>
      <c r="AR62" s="1012"/>
      <c r="AS62" s="1012"/>
      <c r="AT62" s="1012"/>
      <c r="AU62" s="1012"/>
      <c r="AV62" s="1012"/>
      <c r="AW62" s="1012"/>
      <c r="AX62" s="1012"/>
    </row>
    <row r="63" spans="1:50" s="1028" customFormat="1" ht="36.75" customHeight="1">
      <c r="A63" s="1014">
        <f>_xlfn.AGGREGATE(4,7,A$17:A62)+1</f>
        <v>46</v>
      </c>
      <c r="B63" s="1015" t="s">
        <v>1561</v>
      </c>
      <c r="C63" s="1033" t="s">
        <v>1657</v>
      </c>
      <c r="D63" s="1030" t="s">
        <v>1562</v>
      </c>
      <c r="E63" s="81" t="str">
        <f>VLOOKUP(B63,TH.T6!B68:J398,9,FALSE)</f>
        <v>Nhân viên phòng Tuyển sinh - Đào tạo</v>
      </c>
      <c r="F63" s="1040">
        <v>3.66</v>
      </c>
      <c r="G63" s="1019"/>
      <c r="H63" s="1247">
        <f t="shared" si="2"/>
        <v>0</v>
      </c>
      <c r="I63" s="1020"/>
      <c r="J63" s="1040">
        <v>3.66</v>
      </c>
      <c r="K63" s="1019"/>
      <c r="L63" s="1247">
        <f t="shared" si="3"/>
        <v>0</v>
      </c>
      <c r="M63" s="1020"/>
      <c r="N63" s="1040">
        <v>3.66</v>
      </c>
      <c r="O63" s="1019"/>
      <c r="P63" s="1248">
        <f t="shared" si="4"/>
        <v>0</v>
      </c>
      <c r="Q63" s="1020"/>
      <c r="R63" s="1020" t="str">
        <f>IFERROR(INDEX('[18]Gui chi Quynh'!$E$11:$E$397,MATCH(B63,'[18]Gui chi Quynh'!$B$11:$B$397,0)),"")</f>
        <v>A2</v>
      </c>
      <c r="S63" s="1020">
        <f t="shared" si="5"/>
        <v>0.7</v>
      </c>
      <c r="T63" s="1020" t="str">
        <f>VLOOKUP(B63,'[19]Gui chi Quynh'!$B$11:$E$397,4,FALSE)</f>
        <v>A3</v>
      </c>
      <c r="U63" s="1020">
        <f t="shared" si="6"/>
        <v>0.6</v>
      </c>
      <c r="V63" s="1020" t="str">
        <f>VLOOKUP(B63,'[20]Gui chi Quynh'!$B$11:$E$396,4,FALSE)</f>
        <v>A3</v>
      </c>
      <c r="W63" s="1020">
        <f t="shared" si="7"/>
        <v>0.6</v>
      </c>
      <c r="X63" s="1020">
        <f>IFERROR(INDEX('[21]CN BC'!$J$10:$J$275,MATCH(B63,'[21]CN BC'!$H$10:$H$275,0)),"")</f>
        <v>20.5</v>
      </c>
      <c r="Y63" s="1020">
        <f>IFERROR(INDEX('[22]CN BC'!$J$10:$J$274,MATCH(B63,'[22]CN BC'!$H$10:$H$274,0)),"")</f>
        <v>22.5</v>
      </c>
      <c r="Z63" s="1020">
        <f>VLOOKUP(B63,'[23]CN BC'!$H$10:$J$275,3,FALSE)</f>
        <v>19</v>
      </c>
      <c r="AA63" s="1021">
        <f t="shared" si="8"/>
        <v>20.5</v>
      </c>
      <c r="AB63" s="1021">
        <f t="shared" si="9"/>
        <v>22</v>
      </c>
      <c r="AC63" s="1021">
        <f t="shared" si="10"/>
        <v>19</v>
      </c>
      <c r="AD63" s="1022"/>
      <c r="AE63" s="1023">
        <f t="shared" si="0"/>
        <v>15620721</v>
      </c>
      <c r="AF63" s="1371">
        <f t="shared" si="11"/>
        <v>6.6755217948717949</v>
      </c>
      <c r="AG63" s="1102">
        <v>2340000</v>
      </c>
      <c r="AH63" s="1373">
        <f t="shared" si="12"/>
        <v>15620721</v>
      </c>
      <c r="AI63" s="1024">
        <f t="shared" si="1"/>
        <v>46</v>
      </c>
      <c r="AJ63" s="1025"/>
      <c r="AK63" s="1011" t="str">
        <f>VLOOKUP(B63,TH.T4!B66:AC396,28,FALSE)</f>
        <v>TSĐT</v>
      </c>
      <c r="AL63" s="1012"/>
      <c r="AM63" s="1012"/>
      <c r="AN63" s="1038"/>
    </row>
    <row r="64" spans="1:50" s="1028" customFormat="1" ht="32.25" customHeight="1">
      <c r="A64" s="1014">
        <f>_xlfn.AGGREGATE(4,7,A$17:A63)+1</f>
        <v>47</v>
      </c>
      <c r="B64" s="1015" t="s">
        <v>1463</v>
      </c>
      <c r="C64" s="1033" t="s">
        <v>1617</v>
      </c>
      <c r="D64" s="1034" t="s">
        <v>1573</v>
      </c>
      <c r="E64" s="81" t="str">
        <f>VLOOKUP(B64,TH.T6!B69:J399,9,FALSE)</f>
        <v>Trưởng phòng Tuyển sinh - Đào tạo</v>
      </c>
      <c r="F64" s="1040">
        <v>4.74</v>
      </c>
      <c r="G64" s="1019"/>
      <c r="H64" s="1247">
        <f t="shared" si="2"/>
        <v>0</v>
      </c>
      <c r="I64" s="1020">
        <v>0.45</v>
      </c>
      <c r="J64" s="1040">
        <v>4.74</v>
      </c>
      <c r="K64" s="1019"/>
      <c r="L64" s="1247">
        <f t="shared" si="3"/>
        <v>0</v>
      </c>
      <c r="M64" s="1020">
        <v>0.45</v>
      </c>
      <c r="N64" s="1040">
        <v>4.74</v>
      </c>
      <c r="O64" s="1019"/>
      <c r="P64" s="1248">
        <f t="shared" si="4"/>
        <v>0</v>
      </c>
      <c r="Q64" s="1020">
        <v>0.45</v>
      </c>
      <c r="R64" s="1020" t="str">
        <f>IFERROR(INDEX('[18]Gui chi Quynh'!$E$11:$E$397,MATCH(B64,'[18]Gui chi Quynh'!$B$11:$B$397,0)),"")</f>
        <v>A1</v>
      </c>
      <c r="S64" s="1020">
        <f t="shared" si="5"/>
        <v>0.8</v>
      </c>
      <c r="T64" s="1020" t="str">
        <f>VLOOKUP(B64,'[19]Gui chi Quynh'!$B$11:$E$397,4,FALSE)</f>
        <v>A1</v>
      </c>
      <c r="U64" s="1020">
        <f t="shared" si="6"/>
        <v>0.8</v>
      </c>
      <c r="V64" s="1020" t="str">
        <f>VLOOKUP(B64,'[20]Gui chi Quynh'!$B$11:$E$396,4,FALSE)</f>
        <v>A1</v>
      </c>
      <c r="W64" s="1020">
        <f t="shared" si="7"/>
        <v>0.8</v>
      </c>
      <c r="X64" s="1020">
        <f>IFERROR(INDEX('[21]CN BC'!$J$10:$J$275,MATCH(B64,'[21]CN BC'!$H$10:$H$275,0)),"")</f>
        <v>25</v>
      </c>
      <c r="Y64" s="1020">
        <f>IFERROR(INDEX('[22]CN BC'!$J$10:$J$274,MATCH(B64,'[22]CN BC'!$H$10:$H$274,0)),"")</f>
        <v>24</v>
      </c>
      <c r="Z64" s="1020">
        <f>VLOOKUP(B64,'[23]CN BC'!$H$10:$J$275,3,FALSE)</f>
        <v>23.5</v>
      </c>
      <c r="AA64" s="1021">
        <f t="shared" si="8"/>
        <v>23</v>
      </c>
      <c r="AB64" s="1021">
        <f t="shared" si="9"/>
        <v>22</v>
      </c>
      <c r="AC64" s="1021">
        <f t="shared" si="10"/>
        <v>19</v>
      </c>
      <c r="AD64" s="1022"/>
      <c r="AE64" s="1023">
        <f t="shared" si="0"/>
        <v>29147040</v>
      </c>
      <c r="AF64" s="1371">
        <f t="shared" si="11"/>
        <v>12.456</v>
      </c>
      <c r="AG64" s="1102">
        <v>2340000</v>
      </c>
      <c r="AH64" s="1373">
        <f t="shared" si="12"/>
        <v>29147040</v>
      </c>
      <c r="AI64" s="1024">
        <f t="shared" si="1"/>
        <v>47</v>
      </c>
      <c r="AJ64" s="1025">
        <f>IFERROR(INDEX('[17]CN BC'!$M$10:$M$276,MATCH(B64,'[17]CN BC'!$H$10:$H$276,0)),"")</f>
        <v>0</v>
      </c>
      <c r="AK64" s="1011" t="str">
        <f>VLOOKUP(B64,TH.T4!B67:AC397,28,FALSE)</f>
        <v>TSĐT</v>
      </c>
      <c r="AL64" s="1013"/>
      <c r="AM64" s="1012"/>
      <c r="AN64" s="1027"/>
      <c r="AO64" s="1012"/>
      <c r="AP64" s="1012"/>
      <c r="AQ64" s="1012"/>
      <c r="AR64" s="1012"/>
      <c r="AS64" s="1012"/>
      <c r="AT64" s="1012"/>
    </row>
    <row r="65" spans="1:50" s="1012" customFormat="1" ht="32.25" customHeight="1">
      <c r="A65" s="1014">
        <f>_xlfn.AGGREGATE(4,7,A$17:A64)+1</f>
        <v>48</v>
      </c>
      <c r="B65" s="1050" t="s">
        <v>1902</v>
      </c>
      <c r="C65" s="1029" t="s">
        <v>1785</v>
      </c>
      <c r="D65" s="1051" t="s">
        <v>1391</v>
      </c>
      <c r="E65" s="81" t="str">
        <f>VLOOKUP(B65,TH.T6!B70:J400,9,FALSE)</f>
        <v>Phó TP. Tuyể sinh - Đào tạo</v>
      </c>
      <c r="F65" s="1052">
        <v>4.32</v>
      </c>
      <c r="G65" s="1053"/>
      <c r="H65" s="1247">
        <f t="shared" si="2"/>
        <v>0</v>
      </c>
      <c r="I65" s="1054">
        <v>0.35</v>
      </c>
      <c r="J65" s="1052">
        <v>4.32</v>
      </c>
      <c r="K65" s="1053"/>
      <c r="L65" s="1247">
        <f t="shared" si="3"/>
        <v>0</v>
      </c>
      <c r="M65" s="1054">
        <v>0.35</v>
      </c>
      <c r="N65" s="1052">
        <v>4.32</v>
      </c>
      <c r="O65" s="1053"/>
      <c r="P65" s="1248">
        <f t="shared" si="4"/>
        <v>0</v>
      </c>
      <c r="Q65" s="1054">
        <v>0.35</v>
      </c>
      <c r="R65" s="1020" t="str">
        <f>IFERROR(INDEX('[18]Gui chi Quynh'!$E$11:$E$397,MATCH(B65,'[18]Gui chi Quynh'!$B$11:$B$397,0)),"")</f>
        <v>A2</v>
      </c>
      <c r="S65" s="1020">
        <f t="shared" si="5"/>
        <v>0.7</v>
      </c>
      <c r="T65" s="1020" t="str">
        <f>VLOOKUP(B65,'[19]Gui chi Quynh'!$B$11:$E$397,4,FALSE)</f>
        <v>A1</v>
      </c>
      <c r="U65" s="1020">
        <f t="shared" si="6"/>
        <v>0.8</v>
      </c>
      <c r="V65" s="1020" t="str">
        <f>VLOOKUP(B65,'[20]Gui chi Quynh'!$B$11:$E$396,4,FALSE)</f>
        <v>A2</v>
      </c>
      <c r="W65" s="1020">
        <f t="shared" si="7"/>
        <v>0.7</v>
      </c>
      <c r="X65" s="1020">
        <f>IFERROR(INDEX('[21]CN BC'!$J$10:$J$275,MATCH(B65,'[21]CN BC'!$H$10:$H$275,0)),"")</f>
        <v>20.5</v>
      </c>
      <c r="Y65" s="1020">
        <f>IFERROR(INDEX('[22]CN BC'!$J$10:$J$274,MATCH(B65,'[22]CN BC'!$H$10:$H$274,0)),"")</f>
        <v>23</v>
      </c>
      <c r="Z65" s="1020">
        <f>VLOOKUP(B65,'[23]CN BC'!$H$10:$J$275,3,FALSE)</f>
        <v>18</v>
      </c>
      <c r="AA65" s="1021">
        <f t="shared" si="8"/>
        <v>20.5</v>
      </c>
      <c r="AB65" s="1021">
        <f t="shared" si="9"/>
        <v>22</v>
      </c>
      <c r="AC65" s="1021">
        <f t="shared" si="10"/>
        <v>18</v>
      </c>
      <c r="AD65" s="1022"/>
      <c r="AE65" s="1023">
        <f t="shared" si="0"/>
        <v>22807094</v>
      </c>
      <c r="AF65" s="1371">
        <f t="shared" si="11"/>
        <v>9.7466213675213673</v>
      </c>
      <c r="AG65" s="1102">
        <v>2340000</v>
      </c>
      <c r="AH65" s="1373">
        <f t="shared" si="12"/>
        <v>22807094</v>
      </c>
      <c r="AI65" s="1024">
        <f t="shared" si="1"/>
        <v>48</v>
      </c>
      <c r="AJ65" s="1025">
        <f>IFERROR(INDEX('[17]CN BC'!$M$10:$M$276,MATCH(B65,'[17]CN BC'!$H$10:$H$276,0)),"")</f>
        <v>0</v>
      </c>
      <c r="AK65" s="1011" t="str">
        <f>VLOOKUP(B65,TH.T4!B68:AC398,28,FALSE)</f>
        <v>TSĐT</v>
      </c>
      <c r="AN65" s="1027"/>
    </row>
    <row r="66" spans="1:50" s="1028" customFormat="1" ht="32.25" customHeight="1">
      <c r="A66" s="1014">
        <f>_xlfn.AGGREGATE(4,7,A$17:A65)+1</f>
        <v>49</v>
      </c>
      <c r="B66" s="1015" t="s">
        <v>1858</v>
      </c>
      <c r="C66" s="1033" t="s">
        <v>1659</v>
      </c>
      <c r="D66" s="1034" t="s">
        <v>1285</v>
      </c>
      <c r="E66" s="81" t="str">
        <f>VLOOKUP(B66,TH.T6!B71:J401,9,FALSE)</f>
        <v>Nhân viên phòng TS - Đào tạo</v>
      </c>
      <c r="F66" s="1018">
        <v>4.6500000000000004</v>
      </c>
      <c r="G66" s="1019"/>
      <c r="H66" s="1247">
        <f t="shared" si="2"/>
        <v>0</v>
      </c>
      <c r="I66" s="1020"/>
      <c r="J66" s="1018">
        <v>4.6500000000000004</v>
      </c>
      <c r="K66" s="1019"/>
      <c r="L66" s="1247">
        <f t="shared" si="3"/>
        <v>0</v>
      </c>
      <c r="M66" s="1020"/>
      <c r="N66" s="1018">
        <v>4.6500000000000004</v>
      </c>
      <c r="O66" s="1019"/>
      <c r="P66" s="1248">
        <f t="shared" si="4"/>
        <v>0</v>
      </c>
      <c r="Q66" s="1020"/>
      <c r="R66" s="1020" t="str">
        <f>IFERROR(INDEX('[18]Gui chi Quynh'!$E$11:$E$397,MATCH(B66,'[18]Gui chi Quynh'!$B$11:$B$397,0)),"")</f>
        <v>A3</v>
      </c>
      <c r="S66" s="1020">
        <f t="shared" si="5"/>
        <v>0.6</v>
      </c>
      <c r="T66" s="1020" t="str">
        <f>VLOOKUP(B66,'[19]Gui chi Quynh'!$B$11:$E$397,4,FALSE)</f>
        <v>A2</v>
      </c>
      <c r="U66" s="1020">
        <f t="shared" si="6"/>
        <v>0.7</v>
      </c>
      <c r="V66" s="1020" t="str">
        <f>VLOOKUP(B66,'[20]Gui chi Quynh'!$B$11:$E$396,4,FALSE)</f>
        <v>A2</v>
      </c>
      <c r="W66" s="1020">
        <f t="shared" si="7"/>
        <v>0.7</v>
      </c>
      <c r="X66" s="1020">
        <f>IFERROR(INDEX('[21]CN BC'!$J$10:$J$275,MATCH(B66,'[21]CN BC'!$H$10:$H$275,0)),"")</f>
        <v>21.5</v>
      </c>
      <c r="Y66" s="1020">
        <f>IFERROR(INDEX('[22]CN BC'!$J$10:$J$274,MATCH(B66,'[22]CN BC'!$H$10:$H$274,0)),"")</f>
        <v>23</v>
      </c>
      <c r="Z66" s="1020">
        <f>VLOOKUP(B66,'[23]CN BC'!$H$10:$J$275,3,FALSE)</f>
        <v>20.5</v>
      </c>
      <c r="AA66" s="1021">
        <f t="shared" si="8"/>
        <v>21.5</v>
      </c>
      <c r="AB66" s="1021">
        <f t="shared" si="9"/>
        <v>22</v>
      </c>
      <c r="AC66" s="1021">
        <f t="shared" si="10"/>
        <v>19</v>
      </c>
      <c r="AD66" s="1022"/>
      <c r="AE66" s="1023">
        <f t="shared" si="0"/>
        <v>21336222</v>
      </c>
      <c r="AF66" s="1371">
        <f t="shared" si="11"/>
        <v>9.1180435897435892</v>
      </c>
      <c r="AG66" s="1102">
        <v>2340000</v>
      </c>
      <c r="AH66" s="1373">
        <f t="shared" si="12"/>
        <v>21336222</v>
      </c>
      <c r="AI66" s="1024">
        <f t="shared" si="1"/>
        <v>49</v>
      </c>
      <c r="AJ66" s="1025">
        <f>IFERROR(INDEX('[17]CN BC'!$M$10:$M$276,MATCH(B66,'[17]CN BC'!$H$10:$H$276,0)),"")</f>
        <v>0</v>
      </c>
      <c r="AK66" s="1011" t="str">
        <f>VLOOKUP(B66,TH.T4!B69:AC399,28,FALSE)</f>
        <v>TSĐT</v>
      </c>
      <c r="AL66" s="1012"/>
      <c r="AM66" s="1012"/>
      <c r="AN66" s="1027"/>
      <c r="AO66" s="1012"/>
      <c r="AP66" s="1012"/>
      <c r="AQ66" s="1012"/>
      <c r="AR66" s="1012"/>
      <c r="AS66" s="1012"/>
      <c r="AT66" s="1012"/>
    </row>
    <row r="67" spans="1:50" s="1028" customFormat="1" ht="32.25" customHeight="1">
      <c r="A67" s="1014">
        <f>_xlfn.AGGREGATE(4,7,A$17:A66)+1</f>
        <v>50</v>
      </c>
      <c r="B67" s="1015" t="s">
        <v>1465</v>
      </c>
      <c r="C67" s="1033" t="s">
        <v>1661</v>
      </c>
      <c r="D67" s="1047">
        <v>1603205182394</v>
      </c>
      <c r="E67" s="81" t="str">
        <f>VLOOKUP(B67,TH.T6!B72:J402,9,FALSE)</f>
        <v>Nhân viên phòng TS - Đào tạo</v>
      </c>
      <c r="F67" s="1018">
        <v>3.99</v>
      </c>
      <c r="G67" s="1019"/>
      <c r="H67" s="1247">
        <f t="shared" si="2"/>
        <v>0</v>
      </c>
      <c r="I67" s="1020"/>
      <c r="J67" s="1018">
        <v>3.99</v>
      </c>
      <c r="K67" s="1019"/>
      <c r="L67" s="1247">
        <f t="shared" si="3"/>
        <v>0</v>
      </c>
      <c r="M67" s="1020"/>
      <c r="N67" s="1018">
        <v>3.99</v>
      </c>
      <c r="O67" s="1019"/>
      <c r="P67" s="1248">
        <f t="shared" si="4"/>
        <v>0</v>
      </c>
      <c r="Q67" s="1020"/>
      <c r="R67" s="1020" t="str">
        <f>IFERROR(INDEX('[18]Gui chi Quynh'!$E$11:$E$397,MATCH(B67,'[18]Gui chi Quynh'!$B$11:$B$397,0)),"")</f>
        <v>A2</v>
      </c>
      <c r="S67" s="1020">
        <f t="shared" si="5"/>
        <v>0.7</v>
      </c>
      <c r="T67" s="1020" t="str">
        <f>VLOOKUP(B67,'[19]Gui chi Quynh'!$B$11:$E$397,4,FALSE)</f>
        <v>A2</v>
      </c>
      <c r="U67" s="1020">
        <f t="shared" si="6"/>
        <v>0.7</v>
      </c>
      <c r="V67" s="1020" t="str">
        <f>VLOOKUP(B67,'[20]Gui chi Quynh'!$B$11:$E$396,4,FALSE)</f>
        <v>A2</v>
      </c>
      <c r="W67" s="1020">
        <f t="shared" si="7"/>
        <v>0.7</v>
      </c>
      <c r="X67" s="1020">
        <f>IFERROR(INDEX('[21]CN BC'!$J$10:$J$275,MATCH(B67,'[21]CN BC'!$H$10:$H$275,0)),"")</f>
        <v>23</v>
      </c>
      <c r="Y67" s="1020">
        <f>IFERROR(INDEX('[22]CN BC'!$J$10:$J$274,MATCH(B67,'[22]CN BC'!$H$10:$H$274,0)),"")</f>
        <v>23.5</v>
      </c>
      <c r="Z67" s="1020">
        <f>VLOOKUP(B67,'[23]CN BC'!$H$10:$J$275,3,FALSE)</f>
        <v>19.5</v>
      </c>
      <c r="AA67" s="1021">
        <f t="shared" si="8"/>
        <v>23</v>
      </c>
      <c r="AB67" s="1021">
        <f t="shared" si="9"/>
        <v>22</v>
      </c>
      <c r="AC67" s="1021">
        <f t="shared" si="10"/>
        <v>19</v>
      </c>
      <c r="AD67" s="1022"/>
      <c r="AE67" s="1023">
        <f t="shared" si="0"/>
        <v>19606860</v>
      </c>
      <c r="AF67" s="1371">
        <f t="shared" si="11"/>
        <v>8.3789999999999996</v>
      </c>
      <c r="AG67" s="1102">
        <v>2340000</v>
      </c>
      <c r="AH67" s="1373">
        <f t="shared" si="12"/>
        <v>19606860</v>
      </c>
      <c r="AI67" s="1024">
        <f t="shared" si="1"/>
        <v>50</v>
      </c>
      <c r="AJ67" s="1025">
        <f>IFERROR(INDEX('[17]CN BC'!$M$10:$M$276,MATCH(B67,'[17]CN BC'!$H$10:$H$276,0)),"")</f>
        <v>0</v>
      </c>
      <c r="AK67" s="1011" t="str">
        <f>VLOOKUP(B67,TH.T4!B70:AC400,28,FALSE)</f>
        <v>TSĐT</v>
      </c>
      <c r="AL67" s="1012"/>
      <c r="AM67" s="1012"/>
      <c r="AN67" s="1027"/>
      <c r="AO67" s="1012"/>
      <c r="AP67" s="1012"/>
      <c r="AQ67" s="1012"/>
      <c r="AR67" s="1012"/>
      <c r="AS67" s="1012"/>
      <c r="AT67" s="1012"/>
    </row>
    <row r="68" spans="1:50" s="1028" customFormat="1" ht="32.25" customHeight="1">
      <c r="A68" s="1014">
        <f>_xlfn.AGGREGATE(4,7,A$17:A67)+1</f>
        <v>51</v>
      </c>
      <c r="B68" s="1015" t="s">
        <v>844</v>
      </c>
      <c r="C68" s="1033" t="s">
        <v>1662</v>
      </c>
      <c r="D68" s="1047" t="s">
        <v>369</v>
      </c>
      <c r="E68" s="81" t="str">
        <f>VLOOKUP(B68,TH.T6!B73:J403,9,FALSE)</f>
        <v>Nhân viên phòng TS - Đào tạo</v>
      </c>
      <c r="F68" s="1018">
        <v>3.66</v>
      </c>
      <c r="G68" s="1019"/>
      <c r="H68" s="1247">
        <f t="shared" si="2"/>
        <v>0</v>
      </c>
      <c r="I68" s="1020"/>
      <c r="J68" s="1018">
        <v>3.66</v>
      </c>
      <c r="K68" s="1019"/>
      <c r="L68" s="1247">
        <f t="shared" si="3"/>
        <v>0</v>
      </c>
      <c r="M68" s="1020"/>
      <c r="N68" s="1018">
        <v>3.66</v>
      </c>
      <c r="O68" s="1019"/>
      <c r="P68" s="1248">
        <f t="shared" si="4"/>
        <v>0</v>
      </c>
      <c r="Q68" s="1020"/>
      <c r="R68" s="1020" t="str">
        <f>IFERROR(INDEX('[18]Gui chi Quynh'!$E$11:$E$397,MATCH(B68,'[18]Gui chi Quynh'!$B$11:$B$397,0)),"")</f>
        <v>A3</v>
      </c>
      <c r="S68" s="1020">
        <f t="shared" si="5"/>
        <v>0.6</v>
      </c>
      <c r="T68" s="1020" t="str">
        <f>VLOOKUP(B68,'[19]Gui chi Quynh'!$B$11:$E$397,4,FALSE)</f>
        <v>A2</v>
      </c>
      <c r="U68" s="1020">
        <f t="shared" si="6"/>
        <v>0.7</v>
      </c>
      <c r="V68" s="1020" t="str">
        <f>VLOOKUP(B68,'[20]Gui chi Quynh'!$B$11:$E$396,4,FALSE)</f>
        <v>A3</v>
      </c>
      <c r="W68" s="1020">
        <f t="shared" si="7"/>
        <v>0.6</v>
      </c>
      <c r="X68" s="1020">
        <f>IFERROR(INDEX('[21]CN BC'!$J$10:$J$275,MATCH(B68,'[21]CN BC'!$H$10:$H$275,0)),"")</f>
        <v>24.5</v>
      </c>
      <c r="Y68" s="1020">
        <f>IFERROR(INDEX('[22]CN BC'!$J$10:$J$274,MATCH(B68,'[22]CN BC'!$H$10:$H$274,0)),"")</f>
        <v>23</v>
      </c>
      <c r="Z68" s="1020">
        <f>VLOOKUP(B68,'[23]CN BC'!$H$10:$J$275,3,FALSE)</f>
        <v>19.5</v>
      </c>
      <c r="AA68" s="1021">
        <f t="shared" si="8"/>
        <v>23</v>
      </c>
      <c r="AB68" s="1021">
        <f t="shared" si="9"/>
        <v>22</v>
      </c>
      <c r="AC68" s="1021">
        <f t="shared" si="10"/>
        <v>19</v>
      </c>
      <c r="AD68" s="1022"/>
      <c r="AE68" s="1023">
        <f t="shared" si="0"/>
        <v>16272360</v>
      </c>
      <c r="AF68" s="1371">
        <f t="shared" si="11"/>
        <v>6.9539999999999997</v>
      </c>
      <c r="AG68" s="1102">
        <v>2340000</v>
      </c>
      <c r="AH68" s="1373">
        <f t="shared" si="12"/>
        <v>16272360</v>
      </c>
      <c r="AI68" s="1024">
        <f t="shared" si="1"/>
        <v>51</v>
      </c>
      <c r="AJ68" s="1025">
        <f>IFERROR(INDEX('[17]CN BC'!$M$10:$M$276,MATCH(B68,'[17]CN BC'!$H$10:$H$276,0)),"")</f>
        <v>0</v>
      </c>
      <c r="AK68" s="1011" t="str">
        <f>VLOOKUP(B68,TH.T4!B71:AC401,28,FALSE)</f>
        <v>TSĐT</v>
      </c>
      <c r="AL68" s="1012"/>
      <c r="AM68" s="1012"/>
      <c r="AN68" s="1027"/>
      <c r="AO68" s="1012"/>
      <c r="AP68" s="1012"/>
      <c r="AQ68" s="1012"/>
      <c r="AR68" s="1012"/>
      <c r="AS68" s="1012"/>
      <c r="AT68" s="1012"/>
    </row>
    <row r="69" spans="1:50" s="1028" customFormat="1" ht="32.25" customHeight="1">
      <c r="A69" s="1014">
        <f>_xlfn.AGGREGATE(4,7,A$17:A68)+1</f>
        <v>52</v>
      </c>
      <c r="B69" s="1061" t="s">
        <v>1557</v>
      </c>
      <c r="C69" s="1033" t="s">
        <v>1664</v>
      </c>
      <c r="D69" s="1057">
        <v>1603205182762</v>
      </c>
      <c r="E69" s="81" t="str">
        <f>VLOOKUP(B69,TH.T6!B74:J404,9,FALSE)</f>
        <v>Nhân viên phòng TS - Đào tạo</v>
      </c>
      <c r="F69" s="1040">
        <v>3.96</v>
      </c>
      <c r="G69" s="1062"/>
      <c r="H69" s="1247">
        <f t="shared" si="2"/>
        <v>0</v>
      </c>
      <c r="I69" s="1018"/>
      <c r="J69" s="1040">
        <v>3.96</v>
      </c>
      <c r="K69" s="1062"/>
      <c r="L69" s="1247">
        <f t="shared" si="3"/>
        <v>0</v>
      </c>
      <c r="M69" s="1018"/>
      <c r="N69" s="1040">
        <v>3.96</v>
      </c>
      <c r="O69" s="1062"/>
      <c r="P69" s="1248">
        <f t="shared" si="4"/>
        <v>0</v>
      </c>
      <c r="Q69" s="1018"/>
      <c r="R69" s="1020" t="str">
        <f>IFERROR(INDEX('[18]Gui chi Quynh'!$E$11:$E$397,MATCH(B69,'[18]Gui chi Quynh'!$B$11:$B$397,0)),"")</f>
        <v>A1</v>
      </c>
      <c r="S69" s="1020">
        <f t="shared" si="5"/>
        <v>0.8</v>
      </c>
      <c r="T69" s="1020" t="str">
        <f>VLOOKUP(B69,'[19]Gui chi Quynh'!$B$11:$E$397,4,FALSE)</f>
        <v>A1</v>
      </c>
      <c r="U69" s="1020">
        <f t="shared" si="6"/>
        <v>0.8</v>
      </c>
      <c r="V69" s="1020" t="str">
        <f>VLOOKUP(B69,'[20]Gui chi Quynh'!$B$11:$E$396,4,FALSE)</f>
        <v>A1</v>
      </c>
      <c r="W69" s="1020">
        <f t="shared" si="7"/>
        <v>0.8</v>
      </c>
      <c r="X69" s="1020">
        <f>IFERROR(INDEX('[21]CN BC'!$J$10:$J$275,MATCH(B69,'[21]CN BC'!$H$10:$H$275,0)),"")</f>
        <v>25</v>
      </c>
      <c r="Y69" s="1020">
        <f>IFERROR(INDEX('[22]CN BC'!$J$10:$J$274,MATCH(B69,'[22]CN BC'!$H$10:$H$274,0)),"")</f>
        <v>24</v>
      </c>
      <c r="Z69" s="1020">
        <f>VLOOKUP(B69,'[23]CN BC'!$H$10:$J$275,3,FALSE)</f>
        <v>22</v>
      </c>
      <c r="AA69" s="1021">
        <f t="shared" si="8"/>
        <v>23</v>
      </c>
      <c r="AB69" s="1021">
        <f t="shared" si="9"/>
        <v>22</v>
      </c>
      <c r="AC69" s="1021">
        <f t="shared" si="10"/>
        <v>19</v>
      </c>
      <c r="AD69" s="1022"/>
      <c r="AE69" s="1023">
        <f t="shared" si="0"/>
        <v>22239360</v>
      </c>
      <c r="AF69" s="1371">
        <f t="shared" si="11"/>
        <v>9.5039999999999996</v>
      </c>
      <c r="AG69" s="1102">
        <v>2340000</v>
      </c>
      <c r="AH69" s="1373">
        <f t="shared" si="12"/>
        <v>22239360</v>
      </c>
      <c r="AI69" s="1024">
        <f t="shared" si="1"/>
        <v>52</v>
      </c>
      <c r="AJ69" s="1025">
        <f>IFERROR(INDEX('[17]CN BC'!$M$10:$M$276,MATCH(B69,'[17]CN BC'!$H$10:$H$276,0)),"")</f>
        <v>0</v>
      </c>
      <c r="AK69" s="1011" t="str">
        <f>VLOOKUP(B69,TH.T4!B72:AC402,28,FALSE)</f>
        <v>TSĐT</v>
      </c>
      <c r="AL69" s="1012"/>
      <c r="AM69" s="1012"/>
      <c r="AN69" s="1027"/>
      <c r="AO69" s="1012"/>
      <c r="AP69" s="1012"/>
      <c r="AQ69" s="1012"/>
      <c r="AR69" s="1012"/>
      <c r="AS69" s="1012"/>
      <c r="AT69" s="1012"/>
    </row>
    <row r="70" spans="1:50" s="1028" customFormat="1" ht="32.25" customHeight="1">
      <c r="A70" s="1014">
        <f>_xlfn.AGGREGATE(4,7,A$17:A69)+1</f>
        <v>53</v>
      </c>
      <c r="B70" s="1015" t="s">
        <v>1524</v>
      </c>
      <c r="C70" s="1033" t="s">
        <v>1666</v>
      </c>
      <c r="D70" s="1047">
        <v>1603205182178</v>
      </c>
      <c r="E70" s="81" t="str">
        <f>VLOOKUP(B70,TH.T6!B75:J405,9,FALSE)</f>
        <v>Nhân viên phòng TS - Đào tạo</v>
      </c>
      <c r="F70" s="1018">
        <v>3.66</v>
      </c>
      <c r="G70" s="1019"/>
      <c r="H70" s="1247">
        <f t="shared" si="2"/>
        <v>0</v>
      </c>
      <c r="I70" s="1020"/>
      <c r="J70" s="1018">
        <v>3.66</v>
      </c>
      <c r="K70" s="1019"/>
      <c r="L70" s="1247">
        <f t="shared" si="3"/>
        <v>0</v>
      </c>
      <c r="M70" s="1020"/>
      <c r="N70" s="1018">
        <v>3.66</v>
      </c>
      <c r="O70" s="1019"/>
      <c r="P70" s="1248">
        <f t="shared" si="4"/>
        <v>0</v>
      </c>
      <c r="Q70" s="1020"/>
      <c r="R70" s="1020" t="str">
        <f>IFERROR(INDEX('[18]Gui chi Quynh'!$E$11:$E$397,MATCH(B70,'[18]Gui chi Quynh'!$B$11:$B$397,0)),"")</f>
        <v>A3</v>
      </c>
      <c r="S70" s="1020">
        <f t="shared" si="5"/>
        <v>0.6</v>
      </c>
      <c r="T70" s="1020" t="str">
        <f>VLOOKUP(B70,'[19]Gui chi Quynh'!$B$11:$E$397,4,FALSE)</f>
        <v>A2</v>
      </c>
      <c r="U70" s="1020">
        <f t="shared" si="6"/>
        <v>0.7</v>
      </c>
      <c r="V70" s="1020" t="str">
        <f>VLOOKUP(B70,'[20]Gui chi Quynh'!$B$11:$E$396,4,FALSE)</f>
        <v>A2</v>
      </c>
      <c r="W70" s="1020">
        <f t="shared" si="7"/>
        <v>0.7</v>
      </c>
      <c r="X70" s="1020">
        <f>IFERROR(INDEX('[21]CN BC'!$J$10:$J$275,MATCH(B70,'[21]CN BC'!$H$10:$H$275,0)),"")</f>
        <v>21</v>
      </c>
      <c r="Y70" s="1020">
        <f>IFERROR(INDEX('[22]CN BC'!$J$10:$J$274,MATCH(B70,'[22]CN BC'!$H$10:$H$274,0)),"")</f>
        <v>23</v>
      </c>
      <c r="Z70" s="1020">
        <f>VLOOKUP(B70,'[23]CN BC'!$H$10:$J$275,3,FALSE)</f>
        <v>21.5</v>
      </c>
      <c r="AA70" s="1021">
        <f t="shared" si="8"/>
        <v>21</v>
      </c>
      <c r="AB70" s="1021">
        <f t="shared" si="9"/>
        <v>22</v>
      </c>
      <c r="AC70" s="1021">
        <f t="shared" si="10"/>
        <v>19</v>
      </c>
      <c r="AD70" s="1022"/>
      <c r="AE70" s="1023">
        <f t="shared" si="0"/>
        <v>16681962</v>
      </c>
      <c r="AF70" s="1371">
        <f t="shared" si="11"/>
        <v>7.1290435897435893</v>
      </c>
      <c r="AG70" s="1102">
        <v>2340000</v>
      </c>
      <c r="AH70" s="1373">
        <f t="shared" si="12"/>
        <v>16681961.999999998</v>
      </c>
      <c r="AI70" s="1024">
        <f t="shared" si="1"/>
        <v>53</v>
      </c>
      <c r="AJ70" s="1025">
        <f>IFERROR(INDEX('[17]CN BC'!$M$10:$M$276,MATCH(B70,'[17]CN BC'!$H$10:$H$276,0)),"")</f>
        <v>0</v>
      </c>
      <c r="AK70" s="1011" t="str">
        <f>VLOOKUP(B70,TH.T4!B73:AC403,28,FALSE)</f>
        <v>TSĐT</v>
      </c>
      <c r="AL70" s="1012"/>
      <c r="AM70" s="1012"/>
      <c r="AN70" s="1027"/>
    </row>
    <row r="71" spans="1:50" s="1028" customFormat="1" ht="32.25" customHeight="1">
      <c r="A71" s="1014">
        <f>_xlfn.AGGREGATE(4,7,A$17:A70)+1</f>
        <v>54</v>
      </c>
      <c r="B71" s="1229" t="s">
        <v>1860</v>
      </c>
      <c r="C71" s="1230" t="s">
        <v>1667</v>
      </c>
      <c r="D71" s="1227">
        <v>1603205351697</v>
      </c>
      <c r="E71" s="554" t="str">
        <f>VLOOKUP(B71,TH.T6!B76:J406,9,FALSE)</f>
        <v>Nhân viên phòng TS - Đào tạo</v>
      </c>
      <c r="F71" s="1224">
        <v>3.33</v>
      </c>
      <c r="G71" s="1096"/>
      <c r="H71" s="1249">
        <f t="shared" si="2"/>
        <v>0</v>
      </c>
      <c r="I71" s="1097"/>
      <c r="J71" s="1224">
        <v>3.33</v>
      </c>
      <c r="K71" s="1096"/>
      <c r="L71" s="1249">
        <f t="shared" si="3"/>
        <v>0</v>
      </c>
      <c r="M71" s="1097"/>
      <c r="N71" s="1224">
        <v>3.66</v>
      </c>
      <c r="O71" s="1096"/>
      <c r="P71" s="1250">
        <f t="shared" si="4"/>
        <v>0</v>
      </c>
      <c r="Q71" s="1097"/>
      <c r="R71" s="1097" t="str">
        <f>IFERROR(INDEX('[18]Gui chi Quynh'!$E$11:$E$397,MATCH(B71,'[18]Gui chi Quynh'!$B$11:$B$397,0)),"")</f>
        <v>A2</v>
      </c>
      <c r="S71" s="1097">
        <f t="shared" si="5"/>
        <v>0.7</v>
      </c>
      <c r="T71" s="1097" t="str">
        <f>VLOOKUP(B71,'[19]Gui chi Quynh'!$B$11:$E$397,4,FALSE)</f>
        <v>A1</v>
      </c>
      <c r="U71" s="1097">
        <f t="shared" si="6"/>
        <v>0.8</v>
      </c>
      <c r="V71" s="1097" t="str">
        <f>VLOOKUP(B71,'[20]Gui chi Quynh'!$B$11:$E$396,4,FALSE)</f>
        <v>A2</v>
      </c>
      <c r="W71" s="1097">
        <f t="shared" si="7"/>
        <v>0.7</v>
      </c>
      <c r="X71" s="1097">
        <f>IFERROR(INDEX('[21]CN BC'!$J$10:$J$275,MATCH(B71,'[21]CN BC'!$H$10:$H$275,0)),"")</f>
        <v>24</v>
      </c>
      <c r="Y71" s="1097">
        <f>IFERROR(INDEX('[22]CN BC'!$J$10:$J$274,MATCH(B71,'[22]CN BC'!$H$10:$H$274,0)),"")</f>
        <v>22.5</v>
      </c>
      <c r="Z71" s="1097">
        <f>VLOOKUP(B71,'[23]CN BC'!$H$10:$J$275,3,FALSE)</f>
        <v>19.5</v>
      </c>
      <c r="AA71" s="1213">
        <f t="shared" si="8"/>
        <v>23</v>
      </c>
      <c r="AB71" s="1213">
        <f t="shared" si="9"/>
        <v>22</v>
      </c>
      <c r="AC71" s="1213">
        <f t="shared" si="10"/>
        <v>19</v>
      </c>
      <c r="AD71" s="1098"/>
      <c r="AE71" s="1214">
        <f t="shared" si="0"/>
        <v>17683380</v>
      </c>
      <c r="AF71" s="1400">
        <f t="shared" si="11"/>
        <v>7.5570000000000004</v>
      </c>
      <c r="AG71" s="1225">
        <v>2340000</v>
      </c>
      <c r="AH71" s="1401">
        <f t="shared" si="12"/>
        <v>17683380</v>
      </c>
      <c r="AI71" s="1099">
        <f t="shared" si="1"/>
        <v>54</v>
      </c>
      <c r="AJ71" s="1215" t="s">
        <v>2363</v>
      </c>
      <c r="AK71" s="1011" t="str">
        <f>VLOOKUP(B71,TH.T4!B74:AC404,28,FALSE)</f>
        <v>TSĐT</v>
      </c>
      <c r="AL71" s="1046"/>
      <c r="AM71" s="1012"/>
      <c r="AN71" s="1027"/>
      <c r="AO71" s="1012"/>
      <c r="AP71" s="1012"/>
      <c r="AQ71" s="1012"/>
      <c r="AR71" s="1012"/>
      <c r="AS71" s="1012"/>
      <c r="AT71" s="1012"/>
    </row>
    <row r="72" spans="1:50" s="1028" customFormat="1" ht="32.25" customHeight="1">
      <c r="A72" s="1014">
        <f>_xlfn.AGGREGATE(4,7,A$17:A71)+1</f>
        <v>55</v>
      </c>
      <c r="B72" s="1015" t="s">
        <v>1484</v>
      </c>
      <c r="C72" s="1033" t="s">
        <v>1649</v>
      </c>
      <c r="D72" s="1045">
        <v>1603205357194</v>
      </c>
      <c r="E72" s="81" t="str">
        <f>VLOOKUP(B72,TH.T6!B77:J407,9,FALSE)</f>
        <v>Nhân viên phòng Tuyển sinh - Đào tạo</v>
      </c>
      <c r="F72" s="1064">
        <v>3.33</v>
      </c>
      <c r="G72" s="1019"/>
      <c r="H72" s="1247">
        <f t="shared" si="2"/>
        <v>0</v>
      </c>
      <c r="I72" s="1020"/>
      <c r="J72" s="1064">
        <v>3.33</v>
      </c>
      <c r="K72" s="1019"/>
      <c r="L72" s="1247">
        <f t="shared" si="3"/>
        <v>0</v>
      </c>
      <c r="M72" s="1020"/>
      <c r="N72" s="1064">
        <v>3.33</v>
      </c>
      <c r="O72" s="1019"/>
      <c r="P72" s="1248">
        <f t="shared" si="4"/>
        <v>0</v>
      </c>
      <c r="Q72" s="1020"/>
      <c r="R72" s="1020" t="str">
        <f>IFERROR(INDEX('[18]Gui chi Quynh'!$E$11:$E$397,MATCH(B72,'[18]Gui chi Quynh'!$B$11:$B$397,0)),"")</f>
        <v>A3</v>
      </c>
      <c r="S72" s="1020">
        <f t="shared" si="5"/>
        <v>0.6</v>
      </c>
      <c r="T72" s="1020" t="str">
        <f>VLOOKUP(B72,'[19]Gui chi Quynh'!$B$11:$E$397,4,FALSE)</f>
        <v>A1</v>
      </c>
      <c r="U72" s="1020">
        <f t="shared" si="6"/>
        <v>0.8</v>
      </c>
      <c r="V72" s="1020" t="str">
        <f>VLOOKUP(B72,'[20]Gui chi Quynh'!$B$11:$E$396,4,FALSE)</f>
        <v>A2</v>
      </c>
      <c r="W72" s="1020">
        <f t="shared" si="7"/>
        <v>0.7</v>
      </c>
      <c r="X72" s="1020">
        <f>IFERROR(INDEX('[21]CN BC'!$J$10:$J$275,MATCH(B72,'[21]CN BC'!$H$10:$H$275,0)),"")</f>
        <v>23</v>
      </c>
      <c r="Y72" s="1020">
        <f>IFERROR(INDEX('[22]CN BC'!$J$10:$J$274,MATCH(B72,'[22]CN BC'!$H$10:$H$274,0)),"")</f>
        <v>24</v>
      </c>
      <c r="Z72" s="1020">
        <f>VLOOKUP(B72,'[23]CN BC'!$H$10:$J$275,3,FALSE)</f>
        <v>21</v>
      </c>
      <c r="AA72" s="1021">
        <f t="shared" si="8"/>
        <v>23</v>
      </c>
      <c r="AB72" s="1021">
        <f t="shared" si="9"/>
        <v>22</v>
      </c>
      <c r="AC72" s="1021">
        <f t="shared" si="10"/>
        <v>19</v>
      </c>
      <c r="AD72" s="1022"/>
      <c r="AE72" s="1023">
        <f t="shared" si="0"/>
        <v>16363620</v>
      </c>
      <c r="AF72" s="1371">
        <f t="shared" si="11"/>
        <v>6.9930000000000003</v>
      </c>
      <c r="AG72" s="1102">
        <v>2340000</v>
      </c>
      <c r="AH72" s="1373">
        <f t="shared" si="12"/>
        <v>16363620</v>
      </c>
      <c r="AI72" s="1024">
        <f t="shared" si="1"/>
        <v>55</v>
      </c>
      <c r="AJ72" s="1025">
        <f>IFERROR(INDEX('[17]CN BC'!$M$10:$M$276,MATCH(B72,'[17]CN BC'!$H$10:$H$276,0)),"")</f>
        <v>0</v>
      </c>
      <c r="AK72" s="1011" t="str">
        <f>VLOOKUP(B72,TH.T4!B75:AC405,28,FALSE)</f>
        <v>KTĐBCL</v>
      </c>
      <c r="AL72" s="1012"/>
      <c r="AM72" s="1012"/>
      <c r="AN72" s="1027"/>
    </row>
    <row r="73" spans="1:50" s="1012" customFormat="1" ht="32.25" customHeight="1">
      <c r="A73" s="1014">
        <f>_xlfn.AGGREGATE(4,7,A$17:A72)+1</f>
        <v>56</v>
      </c>
      <c r="B73" s="1050" t="s">
        <v>1861</v>
      </c>
      <c r="C73" s="1029" t="s">
        <v>1668</v>
      </c>
      <c r="D73" s="1051" t="s">
        <v>1361</v>
      </c>
      <c r="E73" s="81" t="str">
        <f>VLOOKUP(B73,TH.T6!B78:J408,9,FALSE)</f>
        <v>Trưởng phòng Khảo thí và ĐBCL</v>
      </c>
      <c r="F73" s="1052">
        <v>4.6500000000000004</v>
      </c>
      <c r="G73" s="1053"/>
      <c r="H73" s="1247">
        <f t="shared" si="2"/>
        <v>0</v>
      </c>
      <c r="I73" s="1020">
        <v>0.45</v>
      </c>
      <c r="J73" s="1052">
        <v>4.6500000000000004</v>
      </c>
      <c r="K73" s="1053"/>
      <c r="L73" s="1247">
        <f t="shared" si="3"/>
        <v>0</v>
      </c>
      <c r="M73" s="1020">
        <v>0.45</v>
      </c>
      <c r="N73" s="1052">
        <v>4.6500000000000004</v>
      </c>
      <c r="O73" s="1053"/>
      <c r="P73" s="1248">
        <f t="shared" si="4"/>
        <v>0</v>
      </c>
      <c r="Q73" s="1020">
        <v>0.45</v>
      </c>
      <c r="R73" s="1020" t="str">
        <f>IFERROR(INDEX('[18]Gui chi Quynh'!$E$11:$E$397,MATCH(B73,'[18]Gui chi Quynh'!$B$11:$B$397,0)),"")</f>
        <v>A2</v>
      </c>
      <c r="S73" s="1020">
        <f t="shared" si="5"/>
        <v>0.7</v>
      </c>
      <c r="T73" s="1020" t="str">
        <f>VLOOKUP(B73,'[19]Gui chi Quynh'!$B$11:$E$397,4,FALSE)</f>
        <v>A4</v>
      </c>
      <c r="U73" s="1020">
        <f t="shared" si="6"/>
        <v>0.5</v>
      </c>
      <c r="V73" s="1020" t="str">
        <f>VLOOKUP(B73,'[20]Gui chi Quynh'!$B$11:$E$396,4,FALSE)</f>
        <v>A2</v>
      </c>
      <c r="W73" s="1020">
        <f t="shared" si="7"/>
        <v>0.7</v>
      </c>
      <c r="X73" s="1020">
        <f>IFERROR(INDEX('[21]CN BC'!$J$10:$J$275,MATCH(B73,'[21]CN BC'!$H$10:$H$275,0)),"")</f>
        <v>27</v>
      </c>
      <c r="Y73" s="1020">
        <f>IFERROR(INDEX('[22]CN BC'!$J$10:$J$274,MATCH(B73,'[22]CN BC'!$H$10:$H$274,0)),"")</f>
        <v>20</v>
      </c>
      <c r="Z73" s="1020">
        <f>VLOOKUP(B73,'[23]CN BC'!$H$10:$J$275,3,FALSE)</f>
        <v>22</v>
      </c>
      <c r="AA73" s="1021">
        <f t="shared" si="8"/>
        <v>23</v>
      </c>
      <c r="AB73" s="1021">
        <f t="shared" si="9"/>
        <v>20</v>
      </c>
      <c r="AC73" s="1021">
        <f t="shared" si="10"/>
        <v>19</v>
      </c>
      <c r="AD73" s="1022"/>
      <c r="AE73" s="1023">
        <f t="shared" si="0"/>
        <v>22132145</v>
      </c>
      <c r="AF73" s="1371">
        <f t="shared" si="11"/>
        <v>9.4581816239316243</v>
      </c>
      <c r="AG73" s="1102">
        <v>2340000</v>
      </c>
      <c r="AH73" s="1373">
        <f t="shared" si="12"/>
        <v>22132145</v>
      </c>
      <c r="AI73" s="1024">
        <f t="shared" si="1"/>
        <v>56</v>
      </c>
      <c r="AJ73" s="1025">
        <f>IFERROR(INDEX('[17]CN BC'!$M$10:$M$276,MATCH(B73,'[17]CN BC'!$H$10:$H$276,0)),"")</f>
        <v>0</v>
      </c>
      <c r="AK73" s="1011" t="str">
        <f>VLOOKUP(B73,TH.T4!B76:AC406,28,FALSE)</f>
        <v>KTĐBCL</v>
      </c>
      <c r="AN73" s="1027"/>
    </row>
    <row r="74" spans="1:50" s="1012" customFormat="1" ht="32.25" customHeight="1">
      <c r="A74" s="1014">
        <f>_xlfn.AGGREGATE(4,7,A$17:A73)+1</f>
        <v>57</v>
      </c>
      <c r="B74" s="1050" t="s">
        <v>1853</v>
      </c>
      <c r="C74" s="1029" t="s">
        <v>1639</v>
      </c>
      <c r="D74" s="1051" t="s">
        <v>1271</v>
      </c>
      <c r="E74" s="81" t="str">
        <f>VLOOKUP(B74,TH.T6!B79:J409,9,FALSE)</f>
        <v>Phó TP. Kế hoạch - Tài chính</v>
      </c>
      <c r="F74" s="1018">
        <v>4.32</v>
      </c>
      <c r="G74" s="1053"/>
      <c r="H74" s="1247">
        <f t="shared" si="2"/>
        <v>0</v>
      </c>
      <c r="I74" s="1054">
        <v>0.35</v>
      </c>
      <c r="J74" s="1018">
        <v>4.32</v>
      </c>
      <c r="K74" s="1053"/>
      <c r="L74" s="1247">
        <f t="shared" si="3"/>
        <v>0</v>
      </c>
      <c r="M74" s="1054">
        <v>0.35</v>
      </c>
      <c r="N74" s="1018">
        <v>4.32</v>
      </c>
      <c r="O74" s="1053"/>
      <c r="P74" s="1248">
        <f t="shared" si="4"/>
        <v>0</v>
      </c>
      <c r="Q74" s="1054">
        <v>0.35</v>
      </c>
      <c r="R74" s="1020" t="str">
        <f>IFERROR(INDEX('[18]Gui chi Quynh'!$E$11:$E$397,MATCH(B74,'[18]Gui chi Quynh'!$B$11:$B$397,0)),"")</f>
        <v>A3</v>
      </c>
      <c r="S74" s="1020">
        <f t="shared" si="5"/>
        <v>0.6</v>
      </c>
      <c r="T74" s="1020" t="str">
        <f>VLOOKUP(B74,'[19]Gui chi Quynh'!$B$11:$E$397,4,FALSE)</f>
        <v>A2</v>
      </c>
      <c r="U74" s="1020">
        <f t="shared" si="6"/>
        <v>0.7</v>
      </c>
      <c r="V74" s="1020" t="str">
        <f>VLOOKUP(B74,'[20]Gui chi Quynh'!$B$11:$E$396,4,FALSE)</f>
        <v>A3</v>
      </c>
      <c r="W74" s="1020">
        <f t="shared" si="7"/>
        <v>0.6</v>
      </c>
      <c r="X74" s="1020">
        <f>IFERROR(INDEX('[21]CN BC'!$J$10:$J$275,MATCH(B74,'[21]CN BC'!$H$10:$H$275,0)),"")</f>
        <v>23</v>
      </c>
      <c r="Y74" s="1020">
        <f>IFERROR(INDEX('[22]CN BC'!$J$10:$J$274,MATCH(B74,'[22]CN BC'!$H$10:$H$274,0)),"")</f>
        <v>22</v>
      </c>
      <c r="Z74" s="1020">
        <f>VLOOKUP(B74,'[23]CN BC'!$H$10:$J$275,3,FALSE)</f>
        <v>21</v>
      </c>
      <c r="AA74" s="1021">
        <f t="shared" si="8"/>
        <v>23</v>
      </c>
      <c r="AB74" s="1021">
        <f t="shared" si="9"/>
        <v>22</v>
      </c>
      <c r="AC74" s="1021">
        <f t="shared" si="10"/>
        <v>19</v>
      </c>
      <c r="AD74" s="1022"/>
      <c r="AE74" s="1023">
        <f t="shared" si="0"/>
        <v>20762820</v>
      </c>
      <c r="AF74" s="1371">
        <f t="shared" si="11"/>
        <v>8.8729999999999993</v>
      </c>
      <c r="AG74" s="1102">
        <v>2340000</v>
      </c>
      <c r="AH74" s="1373">
        <f t="shared" si="12"/>
        <v>20762820</v>
      </c>
      <c r="AI74" s="1024">
        <f t="shared" si="1"/>
        <v>57</v>
      </c>
      <c r="AJ74" s="1025">
        <f>IFERROR(INDEX('[17]CN BC'!$M$10:$M$276,MATCH(B74,'[17]CN BC'!$H$10:$H$276,0)),"")</f>
        <v>0</v>
      </c>
      <c r="AK74" s="1011" t="str">
        <f>VLOOKUP(B74,TH.T4!B77:AC407,28,FALSE)</f>
        <v>KTĐBCL</v>
      </c>
      <c r="AL74" s="1011"/>
      <c r="AN74" s="1027"/>
    </row>
    <row r="75" spans="1:50" s="1028" customFormat="1" ht="32.25" customHeight="1">
      <c r="A75" s="1014">
        <f>_xlfn.AGGREGATE(4,7,A$17:A74)+1</f>
        <v>58</v>
      </c>
      <c r="B75" s="1015" t="s">
        <v>1862</v>
      </c>
      <c r="C75" s="1033" t="s">
        <v>1669</v>
      </c>
      <c r="D75" s="1034" t="s">
        <v>497</v>
      </c>
      <c r="E75" s="81" t="str">
        <f>VLOOKUP(B75,TH.T6!B80:J410,9,FALSE)</f>
        <v>Nhân viên phòng Khảo thí và ĐBCL</v>
      </c>
      <c r="F75" s="1018">
        <v>4.9800000000000004</v>
      </c>
      <c r="G75" s="1049">
        <v>0.2</v>
      </c>
      <c r="H75" s="1247">
        <f t="shared" si="2"/>
        <v>0.996</v>
      </c>
      <c r="I75" s="1020"/>
      <c r="J75" s="1018">
        <v>4.9800000000000004</v>
      </c>
      <c r="K75" s="1049">
        <v>0.2</v>
      </c>
      <c r="L75" s="1247">
        <f t="shared" si="3"/>
        <v>0.996</v>
      </c>
      <c r="M75" s="1020"/>
      <c r="N75" s="1018">
        <v>4.9800000000000004</v>
      </c>
      <c r="O75" s="1049">
        <v>0.2</v>
      </c>
      <c r="P75" s="1248">
        <f t="shared" si="4"/>
        <v>0.996</v>
      </c>
      <c r="Q75" s="1020"/>
      <c r="R75" s="1020" t="str">
        <f>IFERROR(INDEX('[18]Gui chi Quynh'!$E$11:$E$397,MATCH(B75,'[18]Gui chi Quynh'!$B$11:$B$397,0)),"")</f>
        <v>A3</v>
      </c>
      <c r="S75" s="1020">
        <f t="shared" si="5"/>
        <v>0.6</v>
      </c>
      <c r="T75" s="1020" t="str">
        <f>VLOOKUP(B75,'[19]Gui chi Quynh'!$B$11:$E$397,4,FALSE)</f>
        <v>A3</v>
      </c>
      <c r="U75" s="1020">
        <f t="shared" si="6"/>
        <v>0.6</v>
      </c>
      <c r="V75" s="1020" t="str">
        <f>VLOOKUP(B75,'[20]Gui chi Quynh'!$B$11:$E$396,4,FALSE)</f>
        <v>A3</v>
      </c>
      <c r="W75" s="1020">
        <f t="shared" si="7"/>
        <v>0.6</v>
      </c>
      <c r="X75" s="1020">
        <f>IFERROR(INDEX('[21]CN BC'!$J$10:$J$275,MATCH(B75,'[21]CN BC'!$H$10:$H$275,0)),"")</f>
        <v>23</v>
      </c>
      <c r="Y75" s="1020">
        <f>IFERROR(INDEX('[22]CN BC'!$J$10:$J$274,MATCH(B75,'[22]CN BC'!$H$10:$H$274,0)),"")</f>
        <v>23</v>
      </c>
      <c r="Z75" s="1020">
        <f>VLOOKUP(B75,'[23]CN BC'!$H$10:$J$275,3,FALSE)</f>
        <v>18</v>
      </c>
      <c r="AA75" s="1021">
        <f t="shared" si="8"/>
        <v>23</v>
      </c>
      <c r="AB75" s="1021">
        <f t="shared" si="9"/>
        <v>22</v>
      </c>
      <c r="AC75" s="1021">
        <f t="shared" si="10"/>
        <v>18</v>
      </c>
      <c r="AD75" s="1022"/>
      <c r="AE75" s="1023">
        <f t="shared" si="0"/>
        <v>24729317</v>
      </c>
      <c r="AF75" s="1371">
        <f t="shared" si="11"/>
        <v>10.568084188034188</v>
      </c>
      <c r="AG75" s="1102">
        <v>2340000</v>
      </c>
      <c r="AH75" s="1373">
        <f t="shared" si="12"/>
        <v>24729317</v>
      </c>
      <c r="AI75" s="1024">
        <f t="shared" si="1"/>
        <v>58</v>
      </c>
      <c r="AJ75" s="1025">
        <f>IFERROR(INDEX('[17]CN BC'!$M$10:$M$276,MATCH(B75,'[17]CN BC'!$H$10:$H$276,0)),"")</f>
        <v>0</v>
      </c>
      <c r="AK75" s="1011" t="str">
        <f>VLOOKUP(B75,TH.T4!B78:AC408,28,FALSE)</f>
        <v>KTĐBCL</v>
      </c>
      <c r="AN75" s="1038"/>
    </row>
    <row r="76" spans="1:50" s="1028" customFormat="1" ht="32.25" customHeight="1">
      <c r="A76" s="1014">
        <f>_xlfn.AGGREGATE(4,7,A$17:A75)+1</f>
        <v>59</v>
      </c>
      <c r="B76" s="1015" t="s">
        <v>842</v>
      </c>
      <c r="C76" s="1033" t="s">
        <v>1671</v>
      </c>
      <c r="D76" s="1034" t="s">
        <v>396</v>
      </c>
      <c r="E76" s="81" t="str">
        <f>VLOOKUP(B76,TH.T6!B81:J411,9,FALSE)</f>
        <v>Nhân viên phòng Khảo thí và ĐBCL</v>
      </c>
      <c r="F76" s="1018">
        <v>3.66</v>
      </c>
      <c r="G76" s="1019"/>
      <c r="H76" s="1247">
        <f t="shared" si="2"/>
        <v>0</v>
      </c>
      <c r="I76" s="1020"/>
      <c r="J76" s="1018">
        <v>3.66</v>
      </c>
      <c r="K76" s="1019"/>
      <c r="L76" s="1247">
        <f t="shared" si="3"/>
        <v>0</v>
      </c>
      <c r="M76" s="1020"/>
      <c r="N76" s="1018">
        <v>3.66</v>
      </c>
      <c r="O76" s="1019"/>
      <c r="P76" s="1248">
        <f t="shared" si="4"/>
        <v>0</v>
      </c>
      <c r="Q76" s="1020"/>
      <c r="R76" s="1020" t="str">
        <f>IFERROR(INDEX('[18]Gui chi Quynh'!$E$11:$E$397,MATCH(B76,'[18]Gui chi Quynh'!$B$11:$B$397,0)),"")</f>
        <v>A3</v>
      </c>
      <c r="S76" s="1020">
        <f t="shared" si="5"/>
        <v>0.6</v>
      </c>
      <c r="T76" s="1020" t="str">
        <f>VLOOKUP(B76,'[19]Gui chi Quynh'!$B$11:$E$397,4,FALSE)</f>
        <v>A1</v>
      </c>
      <c r="U76" s="1020">
        <f t="shared" si="6"/>
        <v>0.8</v>
      </c>
      <c r="V76" s="1020" t="str">
        <f>VLOOKUP(B76,'[20]Gui chi Quynh'!$B$11:$E$396,4,FALSE)</f>
        <v>A3</v>
      </c>
      <c r="W76" s="1020">
        <f t="shared" si="7"/>
        <v>0.6</v>
      </c>
      <c r="X76" s="1020">
        <f>IFERROR(INDEX('[21]CN BC'!$J$10:$J$275,MATCH(B76,'[21]CN BC'!$H$10:$H$275,0)),"")</f>
        <v>23</v>
      </c>
      <c r="Y76" s="1020">
        <f>IFERROR(INDEX('[22]CN BC'!$J$10:$J$274,MATCH(B76,'[22]CN BC'!$H$10:$H$274,0)),"")</f>
        <v>22</v>
      </c>
      <c r="Z76" s="1020">
        <f>VLOOKUP(B76,'[23]CN BC'!$H$10:$J$275,3,FALSE)</f>
        <v>20</v>
      </c>
      <c r="AA76" s="1021">
        <f t="shared" si="8"/>
        <v>23</v>
      </c>
      <c r="AB76" s="1021">
        <f t="shared" si="9"/>
        <v>22</v>
      </c>
      <c r="AC76" s="1021">
        <f t="shared" si="10"/>
        <v>19</v>
      </c>
      <c r="AD76" s="1022"/>
      <c r="AE76" s="1023">
        <f t="shared" si="0"/>
        <v>17128800</v>
      </c>
      <c r="AF76" s="1371">
        <f t="shared" si="11"/>
        <v>7.32</v>
      </c>
      <c r="AG76" s="1102">
        <v>2340000</v>
      </c>
      <c r="AH76" s="1373">
        <f t="shared" si="12"/>
        <v>17128800</v>
      </c>
      <c r="AI76" s="1024">
        <f t="shared" si="1"/>
        <v>59</v>
      </c>
      <c r="AJ76" s="1025">
        <f>IFERROR(INDEX('[17]CN BC'!$M$10:$M$276,MATCH(B76,'[17]CN BC'!$H$10:$H$276,0)),"")</f>
        <v>0</v>
      </c>
      <c r="AK76" s="1011" t="str">
        <f>VLOOKUP(B76,TH.T4!B79:AC409,28,FALSE)</f>
        <v>KTĐBCL</v>
      </c>
      <c r="AL76" s="1012"/>
      <c r="AM76" s="1012"/>
      <c r="AN76" s="1027"/>
      <c r="AO76" s="1012"/>
      <c r="AP76" s="1012"/>
      <c r="AQ76" s="1012"/>
      <c r="AR76" s="1012"/>
      <c r="AS76" s="1012"/>
      <c r="AT76" s="1012"/>
    </row>
    <row r="77" spans="1:50" s="1028" customFormat="1" ht="32.25" customHeight="1">
      <c r="A77" s="1014">
        <f>_xlfn.AGGREGATE(4,7,A$17:A76)+1</f>
        <v>60</v>
      </c>
      <c r="B77" s="1015" t="s">
        <v>1551</v>
      </c>
      <c r="C77" s="1029" t="s">
        <v>1672</v>
      </c>
      <c r="D77" s="1057">
        <v>1603205182756</v>
      </c>
      <c r="E77" s="81" t="str">
        <f>VLOOKUP(B77,TH.T6!B82:J412,9,FALSE)</f>
        <v>Nhân viên phòng Khảo thí và ĐBCL</v>
      </c>
      <c r="F77" s="1018">
        <v>3.66</v>
      </c>
      <c r="G77" s="1019"/>
      <c r="H77" s="1247">
        <f t="shared" si="2"/>
        <v>0</v>
      </c>
      <c r="I77" s="1020"/>
      <c r="J77" s="1018">
        <v>3.66</v>
      </c>
      <c r="K77" s="1019"/>
      <c r="L77" s="1247">
        <f t="shared" si="3"/>
        <v>0</v>
      </c>
      <c r="M77" s="1020"/>
      <c r="N77" s="1018">
        <v>3.66</v>
      </c>
      <c r="O77" s="1019"/>
      <c r="P77" s="1248">
        <f t="shared" si="4"/>
        <v>0</v>
      </c>
      <c r="Q77" s="1020"/>
      <c r="R77" s="1020" t="str">
        <f>IFERROR(INDEX('[18]Gui chi Quynh'!$E$11:$E$397,MATCH(B77,'[18]Gui chi Quynh'!$B$11:$B$397,0)),"")</f>
        <v>A3</v>
      </c>
      <c r="S77" s="1020">
        <f t="shared" si="5"/>
        <v>0.6</v>
      </c>
      <c r="T77" s="1020" t="str">
        <f>VLOOKUP(B77,'[19]Gui chi Quynh'!$B$11:$E$397,4,FALSE)</f>
        <v>A3</v>
      </c>
      <c r="U77" s="1020">
        <f t="shared" si="6"/>
        <v>0.6</v>
      </c>
      <c r="V77" s="1020" t="str">
        <f>VLOOKUP(B77,'[20]Gui chi Quynh'!$B$11:$E$396,4,FALSE)</f>
        <v>A2</v>
      </c>
      <c r="W77" s="1020">
        <f t="shared" si="7"/>
        <v>0.7</v>
      </c>
      <c r="X77" s="1020">
        <f>IFERROR(INDEX('[21]CN BC'!$J$10:$J$275,MATCH(B77,'[21]CN BC'!$H$10:$H$275,0)),"")</f>
        <v>22</v>
      </c>
      <c r="Y77" s="1020">
        <f>IFERROR(INDEX('[22]CN BC'!$J$10:$J$274,MATCH(B77,'[22]CN BC'!$H$10:$H$274,0)),"")</f>
        <v>21</v>
      </c>
      <c r="Z77" s="1020">
        <f>VLOOKUP(B77,'[23]CN BC'!$H$10:$J$275,3,FALSE)</f>
        <v>21</v>
      </c>
      <c r="AA77" s="1021">
        <f t="shared" si="8"/>
        <v>22</v>
      </c>
      <c r="AB77" s="1021">
        <f t="shared" si="9"/>
        <v>21</v>
      </c>
      <c r="AC77" s="1021">
        <f t="shared" si="10"/>
        <v>19</v>
      </c>
      <c r="AD77" s="1022"/>
      <c r="AE77" s="1023">
        <f t="shared" si="0"/>
        <v>15815366</v>
      </c>
      <c r="AF77" s="1371">
        <f t="shared" si="11"/>
        <v>6.7587034188034192</v>
      </c>
      <c r="AG77" s="1102">
        <v>2340000</v>
      </c>
      <c r="AH77" s="1373">
        <f t="shared" si="12"/>
        <v>15815366</v>
      </c>
      <c r="AI77" s="1024">
        <f t="shared" si="1"/>
        <v>60</v>
      </c>
      <c r="AJ77" s="1025">
        <f>IFERROR(INDEX('[17]CN BC'!$M$10:$M$276,MATCH(B77,'[17]CN BC'!$H$10:$H$276,0)),"")</f>
        <v>0</v>
      </c>
      <c r="AK77" s="1011" t="str">
        <f>VLOOKUP(B77,TH.T4!B80:AC410,28,FALSE)</f>
        <v>KTĐBCL</v>
      </c>
      <c r="AL77" s="1012"/>
      <c r="AM77" s="1219"/>
      <c r="AN77" s="1027"/>
      <c r="AO77" s="1012"/>
      <c r="AP77" s="1012"/>
      <c r="AQ77" s="1012"/>
      <c r="AR77" s="1012"/>
      <c r="AS77" s="1012"/>
      <c r="AT77" s="1012"/>
      <c r="AU77" s="1012"/>
      <c r="AV77" s="1012"/>
      <c r="AW77" s="1012"/>
      <c r="AX77" s="1012"/>
    </row>
    <row r="78" spans="1:50" s="1028" customFormat="1" ht="32.25" customHeight="1">
      <c r="A78" s="1014">
        <f>_xlfn.AGGREGATE(4,7,A$17:A77)+1</f>
        <v>61</v>
      </c>
      <c r="B78" s="1015" t="s">
        <v>1521</v>
      </c>
      <c r="C78" s="1029" t="s">
        <v>1673</v>
      </c>
      <c r="D78" s="1063">
        <v>1603205286752</v>
      </c>
      <c r="E78" s="81" t="str">
        <f>VLOOKUP(B78,TH.T6!B83:J413,9,FALSE)</f>
        <v>Nhân viên phòng Khảo thí và ĐBCL</v>
      </c>
      <c r="F78" s="1040">
        <v>3.66</v>
      </c>
      <c r="G78" s="1019"/>
      <c r="H78" s="1247">
        <f t="shared" si="2"/>
        <v>0</v>
      </c>
      <c r="I78" s="1020"/>
      <c r="J78" s="1040">
        <v>3.66</v>
      </c>
      <c r="K78" s="1019"/>
      <c r="L78" s="1247">
        <f t="shared" si="3"/>
        <v>0</v>
      </c>
      <c r="M78" s="1020"/>
      <c r="N78" s="1040">
        <v>3.66</v>
      </c>
      <c r="O78" s="1019"/>
      <c r="P78" s="1248">
        <f t="shared" si="4"/>
        <v>0</v>
      </c>
      <c r="Q78" s="1020"/>
      <c r="R78" s="1020" t="str">
        <f>IFERROR(INDEX('[18]Gui chi Quynh'!$E$11:$E$397,MATCH(B78,'[18]Gui chi Quynh'!$B$11:$B$397,0)),"")</f>
        <v>A3</v>
      </c>
      <c r="S78" s="1020">
        <f t="shared" si="5"/>
        <v>0.6</v>
      </c>
      <c r="T78" s="1020" t="str">
        <f>VLOOKUP(B78,'[19]Gui chi Quynh'!$B$11:$E$397,4,FALSE)</f>
        <v>A3</v>
      </c>
      <c r="U78" s="1020">
        <f t="shared" si="6"/>
        <v>0.6</v>
      </c>
      <c r="V78" s="1020" t="str">
        <f>VLOOKUP(B78,'[20]Gui chi Quynh'!$B$11:$E$396,4,FALSE)</f>
        <v>A2</v>
      </c>
      <c r="W78" s="1020">
        <f t="shared" si="7"/>
        <v>0.7</v>
      </c>
      <c r="X78" s="1020">
        <f>IFERROR(INDEX('[21]CN BC'!$J$10:$J$275,MATCH(B78,'[21]CN BC'!$H$10:$H$275,0)),"")</f>
        <v>23</v>
      </c>
      <c r="Y78" s="1020">
        <f>IFERROR(INDEX('[22]CN BC'!$J$10:$J$274,MATCH(B78,'[22]CN BC'!$H$10:$H$274,0)),"")</f>
        <v>23</v>
      </c>
      <c r="Z78" s="1020">
        <f>VLOOKUP(B78,'[23]CN BC'!$H$10:$J$275,3,FALSE)</f>
        <v>21</v>
      </c>
      <c r="AA78" s="1021">
        <f t="shared" si="8"/>
        <v>23</v>
      </c>
      <c r="AB78" s="1021">
        <f t="shared" si="9"/>
        <v>22</v>
      </c>
      <c r="AC78" s="1021">
        <f t="shared" si="10"/>
        <v>19</v>
      </c>
      <c r="AD78" s="1022"/>
      <c r="AE78" s="1023">
        <f t="shared" si="0"/>
        <v>16272360</v>
      </c>
      <c r="AF78" s="1371">
        <f t="shared" si="11"/>
        <v>6.9539999999999997</v>
      </c>
      <c r="AG78" s="1102">
        <v>2340000</v>
      </c>
      <c r="AH78" s="1373">
        <f t="shared" si="12"/>
        <v>16272360</v>
      </c>
      <c r="AI78" s="1024">
        <f t="shared" si="1"/>
        <v>61</v>
      </c>
      <c r="AJ78" s="1025">
        <f>IFERROR(INDEX('[17]CN BC'!$M$10:$M$276,MATCH(B78,'[17]CN BC'!$H$10:$H$276,0)),"")</f>
        <v>0</v>
      </c>
      <c r="AK78" s="1011" t="str">
        <f>VLOOKUP(B78,TH.T4!B81:AC411,28,FALSE)</f>
        <v>KTĐBCL</v>
      </c>
      <c r="AL78" s="1012"/>
      <c r="AM78" s="1012"/>
      <c r="AN78" s="1065"/>
      <c r="AO78" s="1012"/>
      <c r="AP78" s="1012"/>
      <c r="AQ78" s="1012"/>
      <c r="AR78" s="1012"/>
      <c r="AS78" s="1012"/>
      <c r="AT78" s="1012"/>
      <c r="AU78" s="1012"/>
      <c r="AV78" s="1012"/>
      <c r="AW78" s="1012"/>
      <c r="AX78" s="1012"/>
    </row>
    <row r="79" spans="1:50" s="1028" customFormat="1" ht="32.25" customHeight="1">
      <c r="A79" s="1014">
        <f>_xlfn.AGGREGATE(4,7,A$17:A78)+1</f>
        <v>62</v>
      </c>
      <c r="B79" s="1015" t="s">
        <v>1841</v>
      </c>
      <c r="C79" s="1033" t="s">
        <v>1956</v>
      </c>
      <c r="D79" s="1066" t="s">
        <v>1931</v>
      </c>
      <c r="E79" s="81" t="str">
        <f>VLOOKUP(B79,TH.T6!B84:J414,9,FALSE)</f>
        <v>Nhân viên phòng Khảo thí và ĐBCL</v>
      </c>
      <c r="F79" s="1040">
        <v>3</v>
      </c>
      <c r="G79" s="1019"/>
      <c r="H79" s="1247">
        <f t="shared" si="2"/>
        <v>0</v>
      </c>
      <c r="I79" s="1020">
        <v>0.35</v>
      </c>
      <c r="J79" s="1040">
        <v>3</v>
      </c>
      <c r="K79" s="1019"/>
      <c r="L79" s="1247">
        <f t="shared" si="3"/>
        <v>0</v>
      </c>
      <c r="M79" s="1020">
        <v>0.35</v>
      </c>
      <c r="N79" s="1040">
        <v>3</v>
      </c>
      <c r="O79" s="1019"/>
      <c r="P79" s="1248">
        <f t="shared" si="4"/>
        <v>0</v>
      </c>
      <c r="Q79" s="1020">
        <v>0.35</v>
      </c>
      <c r="R79" s="1020" t="str">
        <f>IFERROR(INDEX('[18]Gui chi Quynh'!$E$11:$E$397,MATCH(B79,'[18]Gui chi Quynh'!$B$11:$B$397,0)),"")</f>
        <v>A1</v>
      </c>
      <c r="S79" s="1020">
        <f t="shared" si="5"/>
        <v>0.8</v>
      </c>
      <c r="T79" s="1020" t="str">
        <f>VLOOKUP(B79,'[19]Gui chi Quynh'!$B$11:$E$397,4,FALSE)</f>
        <v>A1</v>
      </c>
      <c r="U79" s="1020">
        <f t="shared" si="6"/>
        <v>0.8</v>
      </c>
      <c r="V79" s="1020" t="str">
        <f>VLOOKUP(B79,'[20]Gui chi Quynh'!$B$11:$E$396,4,FALSE)</f>
        <v>A1</v>
      </c>
      <c r="W79" s="1020">
        <f t="shared" si="7"/>
        <v>0.8</v>
      </c>
      <c r="X79" s="1020">
        <f>IFERROR(INDEX('[21]CN BC'!$J$10:$J$275,MATCH(B79,'[21]CN BC'!$H$10:$H$275,0)),"")</f>
        <v>24</v>
      </c>
      <c r="Y79" s="1020">
        <f>IFERROR(INDEX('[22]CN BC'!$J$10:$J$274,MATCH(B79,'[22]CN BC'!$H$10:$H$274,0)),"")</f>
        <v>26</v>
      </c>
      <c r="Z79" s="1020">
        <f>VLOOKUP(B79,'[23]CN BC'!$H$10:$J$275,3,FALSE)</f>
        <v>23</v>
      </c>
      <c r="AA79" s="1021">
        <f t="shared" si="8"/>
        <v>23</v>
      </c>
      <c r="AB79" s="1021">
        <f t="shared" si="9"/>
        <v>22</v>
      </c>
      <c r="AC79" s="1021">
        <f t="shared" si="10"/>
        <v>19</v>
      </c>
      <c r="AD79" s="1022"/>
      <c r="AE79" s="1023">
        <f t="shared" si="0"/>
        <v>18813600</v>
      </c>
      <c r="AF79" s="1371">
        <f t="shared" si="11"/>
        <v>8.0399999999999991</v>
      </c>
      <c r="AG79" s="1102">
        <v>2340000</v>
      </c>
      <c r="AH79" s="1373">
        <f t="shared" si="12"/>
        <v>18813599.999999996</v>
      </c>
      <c r="AI79" s="1024">
        <f t="shared" si="1"/>
        <v>62</v>
      </c>
      <c r="AJ79" s="1025"/>
      <c r="AK79" s="1011" t="str">
        <f>VLOOKUP(B79,TH.T4!B82:AC412,28,FALSE)</f>
        <v>TTĐHDL</v>
      </c>
      <c r="AL79" s="1012"/>
      <c r="AM79" s="1012"/>
      <c r="AN79" s="1027"/>
      <c r="AO79" s="1012"/>
      <c r="AP79" s="1012"/>
      <c r="AQ79" s="1012"/>
      <c r="AR79" s="1012"/>
      <c r="AS79" s="1012"/>
      <c r="AT79" s="1012"/>
    </row>
    <row r="80" spans="1:50" s="1012" customFormat="1" ht="32.25" customHeight="1">
      <c r="A80" s="1014">
        <f>_xlfn.AGGREGATE(4,7,A$17:A79)+1</f>
        <v>63</v>
      </c>
      <c r="B80" s="1050" t="s">
        <v>1863</v>
      </c>
      <c r="C80" s="1029" t="s">
        <v>1675</v>
      </c>
      <c r="D80" s="1051" t="s">
        <v>1357</v>
      </c>
      <c r="E80" s="81" t="str">
        <f>VLOOKUP(B80,TH.T6!B85:J415,9,FALSE)</f>
        <v>Trưởng TT Điều hành và QLDL</v>
      </c>
      <c r="F80" s="1056">
        <v>3.66</v>
      </c>
      <c r="G80" s="1053"/>
      <c r="H80" s="1247">
        <f t="shared" si="2"/>
        <v>0</v>
      </c>
      <c r="I80" s="1054">
        <v>0.45</v>
      </c>
      <c r="J80" s="1056">
        <v>3.66</v>
      </c>
      <c r="K80" s="1053"/>
      <c r="L80" s="1247">
        <f t="shared" si="3"/>
        <v>0</v>
      </c>
      <c r="M80" s="1054">
        <v>0.45</v>
      </c>
      <c r="N80" s="1056">
        <v>3.66</v>
      </c>
      <c r="O80" s="1053"/>
      <c r="P80" s="1248">
        <f t="shared" si="4"/>
        <v>0</v>
      </c>
      <c r="Q80" s="1054">
        <v>0.45</v>
      </c>
      <c r="R80" s="1020" t="str">
        <f>IFERROR(INDEX('[18]Gui chi Quynh'!$E$11:$E$397,MATCH(B80,'[18]Gui chi Quynh'!$B$11:$B$397,0)),"")</f>
        <v>A1</v>
      </c>
      <c r="S80" s="1020">
        <f t="shared" si="5"/>
        <v>0.8</v>
      </c>
      <c r="T80" s="1020" t="str">
        <f>VLOOKUP(B80,'[19]Gui chi Quynh'!$B$11:$E$397,4,FALSE)</f>
        <v>A1</v>
      </c>
      <c r="U80" s="1020">
        <f t="shared" si="6"/>
        <v>0.8</v>
      </c>
      <c r="V80" s="1020" t="str">
        <f>VLOOKUP(B80,'[20]Gui chi Quynh'!$B$11:$E$396,4,FALSE)</f>
        <v>A1</v>
      </c>
      <c r="W80" s="1020">
        <f t="shared" si="7"/>
        <v>0.8</v>
      </c>
      <c r="X80" s="1020">
        <f>IFERROR(INDEX('[21]CN BC'!$J$10:$J$275,MATCH(B80,'[21]CN BC'!$H$10:$H$275,0)),"")</f>
        <v>27</v>
      </c>
      <c r="Y80" s="1020">
        <f>IFERROR(INDEX('[22]CN BC'!$J$10:$J$274,MATCH(B80,'[22]CN BC'!$H$10:$H$274,0)),"")</f>
        <v>25</v>
      </c>
      <c r="Z80" s="1020">
        <f>VLOOKUP(B80,'[23]CN BC'!$H$10:$J$275,3,FALSE)</f>
        <v>23</v>
      </c>
      <c r="AA80" s="1021">
        <f t="shared" si="8"/>
        <v>23</v>
      </c>
      <c r="AB80" s="1021">
        <f t="shared" si="9"/>
        <v>22</v>
      </c>
      <c r="AC80" s="1021">
        <f t="shared" si="10"/>
        <v>19</v>
      </c>
      <c r="AD80" s="1022"/>
      <c r="AE80" s="1023">
        <f t="shared" si="0"/>
        <v>23081760</v>
      </c>
      <c r="AF80" s="1371">
        <f t="shared" si="11"/>
        <v>9.8640000000000008</v>
      </c>
      <c r="AG80" s="1102">
        <v>2340000</v>
      </c>
      <c r="AH80" s="1373">
        <f t="shared" si="12"/>
        <v>23081760</v>
      </c>
      <c r="AI80" s="1024">
        <f t="shared" si="1"/>
        <v>63</v>
      </c>
      <c r="AJ80" s="1025"/>
      <c r="AK80" s="1011" t="str">
        <f>VLOOKUP(B80,TH.T4!B83:AC413,28,FALSE)</f>
        <v>TTĐHDL</v>
      </c>
      <c r="AN80" s="1027"/>
    </row>
    <row r="81" spans="1:50" s="1028" customFormat="1" ht="32.25" customHeight="1">
      <c r="A81" s="1014">
        <f>_xlfn.AGGREGATE(4,7,A$17:A80)+1</f>
        <v>64</v>
      </c>
      <c r="B81" s="1015" t="s">
        <v>1470</v>
      </c>
      <c r="C81" s="1029" t="s">
        <v>1679</v>
      </c>
      <c r="D81" s="1045" t="s">
        <v>1438</v>
      </c>
      <c r="E81" s="81" t="str">
        <f>VLOOKUP(B81,TH.T6!B86:J416,9,FALSE)</f>
        <v>NV Trung tâm ĐH và QLDL</v>
      </c>
      <c r="F81" s="1018">
        <v>3.66</v>
      </c>
      <c r="G81" s="1019"/>
      <c r="H81" s="1247">
        <f t="shared" si="2"/>
        <v>0</v>
      </c>
      <c r="I81" s="1020"/>
      <c r="J81" s="1018">
        <v>3.66</v>
      </c>
      <c r="K81" s="1019"/>
      <c r="L81" s="1247">
        <f t="shared" si="3"/>
        <v>0</v>
      </c>
      <c r="M81" s="1020"/>
      <c r="N81" s="1018">
        <v>3.66</v>
      </c>
      <c r="O81" s="1019"/>
      <c r="P81" s="1248">
        <f t="shared" si="4"/>
        <v>0</v>
      </c>
      <c r="Q81" s="1020"/>
      <c r="R81" s="1020" t="str">
        <f>IFERROR(INDEX('[18]Gui chi Quynh'!$E$11:$E$397,MATCH(B81,'[18]Gui chi Quynh'!$B$11:$B$397,0)),"")</f>
        <v>A1</v>
      </c>
      <c r="S81" s="1020">
        <f t="shared" si="5"/>
        <v>0.8</v>
      </c>
      <c r="T81" s="1020" t="str">
        <f>VLOOKUP(B81,'[19]Gui chi Quynh'!$B$11:$E$397,4,FALSE)</f>
        <v>A1</v>
      </c>
      <c r="U81" s="1020">
        <f t="shared" si="6"/>
        <v>0.8</v>
      </c>
      <c r="V81" s="1020" t="str">
        <f>VLOOKUP(B81,'[20]Gui chi Quynh'!$B$11:$E$396,4,FALSE)</f>
        <v>A2</v>
      </c>
      <c r="W81" s="1020">
        <f t="shared" si="7"/>
        <v>0.7</v>
      </c>
      <c r="X81" s="1020">
        <f>IFERROR(INDEX('[21]CN BC'!$J$10:$J$275,MATCH(B81,'[21]CN BC'!$H$10:$H$275,0)),"")</f>
        <v>22</v>
      </c>
      <c r="Y81" s="1020">
        <f>IFERROR(INDEX('[22]CN BC'!$J$10:$J$274,MATCH(B81,'[22]CN BC'!$H$10:$H$274,0)),"")</f>
        <v>25</v>
      </c>
      <c r="Z81" s="1020">
        <f>VLOOKUP(B81,'[23]CN BC'!$H$10:$J$275,3,FALSE)</f>
        <v>19</v>
      </c>
      <c r="AA81" s="1021">
        <f t="shared" si="8"/>
        <v>22</v>
      </c>
      <c r="AB81" s="1021">
        <f t="shared" si="9"/>
        <v>22</v>
      </c>
      <c r="AC81" s="1021">
        <f t="shared" si="10"/>
        <v>19</v>
      </c>
      <c r="AD81" s="1022"/>
      <c r="AE81" s="1023">
        <f t="shared" si="0"/>
        <v>19400228</v>
      </c>
      <c r="AF81" s="1371">
        <f t="shared" si="11"/>
        <v>8.2906957264957271</v>
      </c>
      <c r="AG81" s="1102">
        <v>2340000</v>
      </c>
      <c r="AH81" s="1373">
        <f t="shared" si="12"/>
        <v>19400228</v>
      </c>
      <c r="AI81" s="1024">
        <f t="shared" si="1"/>
        <v>64</v>
      </c>
      <c r="AJ81" s="1025"/>
      <c r="AK81" s="1011" t="str">
        <f>VLOOKUP(B81,TH.T4!B84:AC414,28,FALSE)</f>
        <v>TTĐHDL</v>
      </c>
      <c r="AL81" s="1011"/>
      <c r="AM81" s="1012"/>
      <c r="AN81" s="1065"/>
      <c r="AO81" s="1012"/>
      <c r="AP81" s="1012"/>
      <c r="AQ81" s="1012"/>
      <c r="AR81" s="1012"/>
      <c r="AS81" s="1012"/>
      <c r="AT81" s="1012"/>
      <c r="AU81" s="1012"/>
      <c r="AV81" s="1012"/>
      <c r="AW81" s="1012"/>
      <c r="AX81" s="1012"/>
    </row>
    <row r="82" spans="1:50" s="1028" customFormat="1" ht="32.25" customHeight="1">
      <c r="A82" s="1014">
        <f>_xlfn.AGGREGATE(4,7,A$17:A81)+1</f>
        <v>65</v>
      </c>
      <c r="B82" s="1015" t="s">
        <v>1466</v>
      </c>
      <c r="C82" s="1033" t="s">
        <v>1663</v>
      </c>
      <c r="D82" s="1045" t="s">
        <v>1579</v>
      </c>
      <c r="E82" s="81" t="str">
        <f>VLOOKUP(B82,TH.T6!B87:J417,9,FALSE)</f>
        <v>Nhân viên TT Điều hành và QLDL</v>
      </c>
      <c r="F82" s="1018">
        <v>3.26</v>
      </c>
      <c r="G82" s="1019"/>
      <c r="H82" s="1247">
        <f t="shared" si="2"/>
        <v>0</v>
      </c>
      <c r="I82" s="1020"/>
      <c r="J82" s="1018">
        <v>3.26</v>
      </c>
      <c r="K82" s="1019"/>
      <c r="L82" s="1247">
        <f t="shared" si="3"/>
        <v>0</v>
      </c>
      <c r="M82" s="1020"/>
      <c r="N82" s="1018">
        <v>3.26</v>
      </c>
      <c r="O82" s="1019"/>
      <c r="P82" s="1248">
        <f t="shared" si="4"/>
        <v>0</v>
      </c>
      <c r="Q82" s="1020"/>
      <c r="R82" s="1020" t="str">
        <f>IFERROR(INDEX('[18]Gui chi Quynh'!$E$11:$E$397,MATCH(B82,'[18]Gui chi Quynh'!$B$11:$B$397,0)),"")</f>
        <v>A1</v>
      </c>
      <c r="S82" s="1020">
        <f t="shared" si="5"/>
        <v>0.8</v>
      </c>
      <c r="T82" s="1020" t="str">
        <f>VLOOKUP(B82,'[19]Gui chi Quynh'!$B$11:$E$397,4,FALSE)</f>
        <v>A1</v>
      </c>
      <c r="U82" s="1020">
        <f t="shared" si="6"/>
        <v>0.8</v>
      </c>
      <c r="V82" s="1020" t="str">
        <f>VLOOKUP(B82,'[20]Gui chi Quynh'!$B$11:$E$396,4,FALSE)</f>
        <v>A1</v>
      </c>
      <c r="W82" s="1020">
        <f t="shared" si="7"/>
        <v>0.8</v>
      </c>
      <c r="X82" s="1020">
        <f>IFERROR(INDEX('[21]CN BC'!$J$10:$J$275,MATCH(B82,'[21]CN BC'!$H$10:$H$275,0)),"")</f>
        <v>25</v>
      </c>
      <c r="Y82" s="1020">
        <f>IFERROR(INDEX('[22]CN BC'!$J$10:$J$274,MATCH(B82,'[22]CN BC'!$H$10:$H$274,0)),"")</f>
        <v>22</v>
      </c>
      <c r="Z82" s="1020">
        <f>VLOOKUP(B82,'[23]CN BC'!$H$10:$J$275,3,FALSE)</f>
        <v>20</v>
      </c>
      <c r="AA82" s="1021">
        <f t="shared" si="8"/>
        <v>23</v>
      </c>
      <c r="AB82" s="1021">
        <f t="shared" si="9"/>
        <v>22</v>
      </c>
      <c r="AC82" s="1021">
        <f t="shared" si="10"/>
        <v>19</v>
      </c>
      <c r="AD82" s="1022"/>
      <c r="AE82" s="1023">
        <f t="shared" si="0"/>
        <v>18308160</v>
      </c>
      <c r="AF82" s="1371">
        <f t="shared" si="11"/>
        <v>7.8239999999999998</v>
      </c>
      <c r="AG82" s="1102">
        <v>2340000</v>
      </c>
      <c r="AH82" s="1373">
        <f t="shared" si="12"/>
        <v>18308160</v>
      </c>
      <c r="AI82" s="1024">
        <f t="shared" ref="AI82:AI144" si="14">A82</f>
        <v>65</v>
      </c>
      <c r="AJ82" s="1025"/>
      <c r="AK82" s="1011" t="str">
        <f>VLOOKUP(B82,TH.T4!B85:AC415,28,FALSE)</f>
        <v>TTĐHDL</v>
      </c>
      <c r="AL82" s="1012"/>
      <c r="AM82" s="1012"/>
      <c r="AN82" s="1027"/>
      <c r="AO82" s="1012"/>
      <c r="AP82" s="1012"/>
      <c r="AQ82" s="1012"/>
      <c r="AR82" s="1012"/>
      <c r="AS82" s="1012"/>
      <c r="AT82" s="1012"/>
    </row>
    <row r="83" spans="1:50" s="1028" customFormat="1" ht="23.25" customHeight="1">
      <c r="A83" s="1014">
        <f>_xlfn.AGGREGATE(4,7,A$17:A82)+1</f>
        <v>66</v>
      </c>
      <c r="B83" s="1015" t="s">
        <v>1834</v>
      </c>
      <c r="C83" s="1033" t="s">
        <v>1967</v>
      </c>
      <c r="D83" s="1066">
        <v>1603215005599</v>
      </c>
      <c r="E83" s="81" t="str">
        <f>VLOOKUP(B83,TH.T6!B88:J418,9,FALSE)</f>
        <v>Phụ trách TT Thư viện</v>
      </c>
      <c r="F83" s="1040">
        <v>3.66</v>
      </c>
      <c r="G83" s="1019"/>
      <c r="H83" s="1247">
        <f t="shared" ref="H83:H146" si="15">ROUND(F83*G83,3)</f>
        <v>0</v>
      </c>
      <c r="I83" s="1020">
        <v>0.45</v>
      </c>
      <c r="J83" s="1040">
        <v>3.66</v>
      </c>
      <c r="K83" s="1019"/>
      <c r="L83" s="1247">
        <f t="shared" ref="L83:L146" si="16">ROUND(J83*K83,3)</f>
        <v>0</v>
      </c>
      <c r="M83" s="1020">
        <v>0.45</v>
      </c>
      <c r="N83" s="1040">
        <v>3.66</v>
      </c>
      <c r="O83" s="1019"/>
      <c r="P83" s="1248">
        <f t="shared" ref="P83:P146" si="17">ROUND(N83*O83,3)</f>
        <v>0</v>
      </c>
      <c r="Q83" s="1020">
        <v>0.45</v>
      </c>
      <c r="R83" s="1020" t="str">
        <f>IFERROR(INDEX('[18]Gui chi Quynh'!$E$11:$E$397,MATCH(B83,'[18]Gui chi Quynh'!$B$11:$B$397,0)),"")</f>
        <v>A2</v>
      </c>
      <c r="S83" s="1020">
        <f t="shared" ref="S83:S146" si="18">IF(R83="A1",0.8,IF(R83="A2",0.7,IF(R83="A3",0.6,IF(R83="A4",0.5,IF(R83="B1",0.35,IF(R83="B2",0.25,IF(R83="C1",0.15,IF(R83="C2",0.1,0))))))))</f>
        <v>0.7</v>
      </c>
      <c r="T83" s="1020" t="str">
        <f>VLOOKUP(B83,'[19]Gui chi Quynh'!$B$11:$E$397,4,FALSE)</f>
        <v>A1</v>
      </c>
      <c r="U83" s="1020">
        <f t="shared" ref="U83:U146" si="19">IF(T83="A1",0.8,IF(T83="A2",0.7,IF(T83="A3",0.6,IF(T83="A4",0.5,IF(T83="B1",0.35,IF(T83="B2",0.25,IF(T83="C1",0.15,IF(T83="C2",0.1,0))))))))</f>
        <v>0.8</v>
      </c>
      <c r="V83" s="1020" t="str">
        <f>VLOOKUP(B83,'[20]Gui chi Quynh'!$B$11:$E$396,4,FALSE)</f>
        <v>A2</v>
      </c>
      <c r="W83" s="1020">
        <f t="shared" ref="W83:W146" si="20">IF(V83="A1",0.8,IF(V83="A2",0.7,IF(V83="A3",0.6,IF(V83="A4",0.5,IF(V83="B1",0.35,IF(V83="B2",0.25,IF(V83="C1",0.15,IF(V83="C2",0.1,0))))))))</f>
        <v>0.7</v>
      </c>
      <c r="X83" s="1020">
        <f>IFERROR(INDEX('[21]CN BC'!$J$10:$J$275,MATCH(B83,'[21]CN BC'!$H$10:$H$275,0)),"")</f>
        <v>23.5</v>
      </c>
      <c r="Y83" s="1020">
        <f>IFERROR(INDEX('[22]CN BC'!$J$10:$J$274,MATCH(B83,'[22]CN BC'!$H$10:$H$274,0)),"")</f>
        <v>22</v>
      </c>
      <c r="Z83" s="1020">
        <f>VLOOKUP(B83,'[23]CN BC'!$H$10:$J$275,3,FALSE)</f>
        <v>19</v>
      </c>
      <c r="AA83" s="1021">
        <f t="shared" ref="AA83:AA146" si="21">IF(X83&gt;=$AA$12,$AA$12,IF(X83&lt;$AA$12,X83))</f>
        <v>23</v>
      </c>
      <c r="AB83" s="1021">
        <f t="shared" ref="AB83:AB146" si="22">IF(Y83&gt;=$AB$12,$AB$12,IF(Y83&lt;$AB$12,Y83))</f>
        <v>22</v>
      </c>
      <c r="AC83" s="1021">
        <f t="shared" ref="AC83:AC146" si="23">IF(Z83&gt;=$AC$12,$AC$12,IF(Z83&lt;$AC$12,Z83))</f>
        <v>19</v>
      </c>
      <c r="AD83" s="1022"/>
      <c r="AE83" s="1023">
        <f t="shared" ref="AE83:AE146" si="24">ROUND(((((((F83+H83+I83)*$AE$12/$AA$12*AA83)*S83)+((J83+L83+M83)*$AE$12/$AB$12*AB83)*U83)+((N83+P83+Q83)*$AE$12/$AC$12*AC83)*W83)+AD83),0)</f>
        <v>21158280</v>
      </c>
      <c r="AF83" s="1371">
        <f t="shared" ref="AF83:AF145" si="25">AE83/AG83</f>
        <v>9.0419999999999998</v>
      </c>
      <c r="AG83" s="1102">
        <v>2340000</v>
      </c>
      <c r="AH83" s="1373">
        <f t="shared" ref="AH83:AH145" si="26">AF83*AG83</f>
        <v>21158280</v>
      </c>
      <c r="AI83" s="1024">
        <f t="shared" si="14"/>
        <v>66</v>
      </c>
      <c r="AJ83" s="1025"/>
      <c r="AK83" s="1011" t="str">
        <f>VLOOKUP(B83,TH.T4!B86:AC416,28,FALSE)</f>
        <v>TTTV</v>
      </c>
      <c r="AL83" s="1012"/>
      <c r="AM83" s="1012"/>
      <c r="AN83" s="1027"/>
      <c r="AO83" s="1012"/>
      <c r="AP83" s="1012"/>
      <c r="AQ83" s="1012"/>
      <c r="AR83" s="1012"/>
      <c r="AS83" s="1012"/>
      <c r="AT83" s="1012"/>
    </row>
    <row r="84" spans="1:50" s="1028" customFormat="1" ht="27" customHeight="1">
      <c r="A84" s="1014">
        <f>_xlfn.AGGREGATE(4,7,A$17:A83)+1</f>
        <v>67</v>
      </c>
      <c r="B84" s="1015" t="s">
        <v>1468</v>
      </c>
      <c r="C84" s="1033" t="s">
        <v>1676</v>
      </c>
      <c r="D84" s="1045" t="s">
        <v>1580</v>
      </c>
      <c r="E84" s="81" t="str">
        <f>VLOOKUP(B84,TH.T6!B89:J419,9,FALSE)</f>
        <v>Nhân viên TT Thư viện</v>
      </c>
      <c r="F84" s="1040">
        <v>3.33</v>
      </c>
      <c r="G84" s="1019"/>
      <c r="H84" s="1247">
        <f t="shared" si="15"/>
        <v>0</v>
      </c>
      <c r="I84" s="1020"/>
      <c r="J84" s="1040">
        <v>3.33</v>
      </c>
      <c r="K84" s="1019"/>
      <c r="L84" s="1247">
        <f t="shared" si="16"/>
        <v>0</v>
      </c>
      <c r="M84" s="1020"/>
      <c r="N84" s="1040">
        <v>3.33</v>
      </c>
      <c r="O84" s="1019"/>
      <c r="P84" s="1248">
        <f t="shared" si="17"/>
        <v>0</v>
      </c>
      <c r="Q84" s="1020"/>
      <c r="R84" s="1020" t="str">
        <f>IFERROR(INDEX('[18]Gui chi Quynh'!$E$11:$E$397,MATCH(B84,'[18]Gui chi Quynh'!$B$11:$B$397,0)),"")</f>
        <v>A3</v>
      </c>
      <c r="S84" s="1020">
        <f t="shared" si="18"/>
        <v>0.6</v>
      </c>
      <c r="T84" s="1020" t="str">
        <f>VLOOKUP(B84,'[19]Gui chi Quynh'!$B$11:$E$397,4,FALSE)</f>
        <v>A3</v>
      </c>
      <c r="U84" s="1020">
        <f t="shared" si="19"/>
        <v>0.6</v>
      </c>
      <c r="V84" s="1020" t="str">
        <f>VLOOKUP(B84,'[20]Gui chi Quynh'!$B$11:$E$396,4,FALSE)</f>
        <v>A3</v>
      </c>
      <c r="W84" s="1020">
        <f t="shared" si="20"/>
        <v>0.6</v>
      </c>
      <c r="X84" s="1020">
        <f>IFERROR(INDEX('[21]CN BC'!$J$10:$J$275,MATCH(B84,'[21]CN BC'!$H$10:$H$275,0)),"")</f>
        <v>23</v>
      </c>
      <c r="Y84" s="1020">
        <f>IFERROR(INDEX('[22]CN BC'!$J$10:$J$274,MATCH(B84,'[22]CN BC'!$H$10:$H$274,0)),"")</f>
        <v>25.5</v>
      </c>
      <c r="Z84" s="1020">
        <f>VLOOKUP(B84,'[23]CN BC'!$H$10:$J$275,3,FALSE)</f>
        <v>20</v>
      </c>
      <c r="AA84" s="1021">
        <f t="shared" si="21"/>
        <v>23</v>
      </c>
      <c r="AB84" s="1021">
        <f t="shared" si="22"/>
        <v>22</v>
      </c>
      <c r="AC84" s="1021">
        <f t="shared" si="23"/>
        <v>19</v>
      </c>
      <c r="AD84" s="1022"/>
      <c r="AE84" s="1023">
        <f t="shared" si="24"/>
        <v>14025960</v>
      </c>
      <c r="AF84" s="1371">
        <f t="shared" si="25"/>
        <v>5.9939999999999998</v>
      </c>
      <c r="AG84" s="1102">
        <v>2340000</v>
      </c>
      <c r="AH84" s="1373">
        <f t="shared" si="26"/>
        <v>14025960</v>
      </c>
      <c r="AI84" s="1024">
        <f t="shared" si="14"/>
        <v>67</v>
      </c>
      <c r="AJ84" s="1025"/>
      <c r="AK84" s="1011" t="str">
        <f>VLOOKUP(B84,TH.T4!B87:AC417,28,FALSE)</f>
        <v>TTTV</v>
      </c>
      <c r="AL84" s="1012"/>
      <c r="AM84" s="1012"/>
      <c r="AN84" s="1027"/>
      <c r="AO84" s="1012"/>
      <c r="AP84" s="1012"/>
      <c r="AQ84" s="1012"/>
      <c r="AR84" s="1012"/>
      <c r="AS84" s="1012"/>
      <c r="AT84" s="1012"/>
    </row>
    <row r="85" spans="1:50" s="1028" customFormat="1" ht="27" customHeight="1">
      <c r="A85" s="1014">
        <f>_xlfn.AGGREGATE(4,7,A$17:A84)+1</f>
        <v>68</v>
      </c>
      <c r="B85" s="1015" t="s">
        <v>1469</v>
      </c>
      <c r="C85" s="1033" t="s">
        <v>1677</v>
      </c>
      <c r="D85" s="1057">
        <v>1603205185623</v>
      </c>
      <c r="E85" s="81" t="str">
        <f>VLOOKUP(B85,TH.T6!B90:J420,9,FALSE)</f>
        <v>Nhân viên TT Thư viện</v>
      </c>
      <c r="F85" s="1040">
        <v>3.33</v>
      </c>
      <c r="G85" s="1019"/>
      <c r="H85" s="1247">
        <f t="shared" si="15"/>
        <v>0</v>
      </c>
      <c r="I85" s="1020"/>
      <c r="J85" s="1040">
        <v>3.33</v>
      </c>
      <c r="K85" s="1019"/>
      <c r="L85" s="1247">
        <f t="shared" si="16"/>
        <v>0</v>
      </c>
      <c r="M85" s="1020"/>
      <c r="N85" s="1040">
        <v>3.33</v>
      </c>
      <c r="O85" s="1019"/>
      <c r="P85" s="1248">
        <f t="shared" si="17"/>
        <v>0</v>
      </c>
      <c r="Q85" s="1020"/>
      <c r="R85" s="1020" t="str">
        <f>IFERROR(INDEX('[18]Gui chi Quynh'!$E$11:$E$397,MATCH(B85,'[18]Gui chi Quynh'!$B$11:$B$397,0)),"")</f>
        <v>A3</v>
      </c>
      <c r="S85" s="1020">
        <f t="shared" si="18"/>
        <v>0.6</v>
      </c>
      <c r="T85" s="1020" t="str">
        <f>VLOOKUP(B85,'[19]Gui chi Quynh'!$B$11:$E$397,4,FALSE)</f>
        <v>A3</v>
      </c>
      <c r="U85" s="1020">
        <f t="shared" si="19"/>
        <v>0.6</v>
      </c>
      <c r="V85" s="1020" t="str">
        <f>VLOOKUP(B85,'[20]Gui chi Quynh'!$B$11:$E$396,4,FALSE)</f>
        <v>A3</v>
      </c>
      <c r="W85" s="1020">
        <f t="shared" si="20"/>
        <v>0.6</v>
      </c>
      <c r="X85" s="1020">
        <f>IFERROR(INDEX('[21]CN BC'!$J$10:$J$275,MATCH(B85,'[21]CN BC'!$H$10:$H$275,0)),"")</f>
        <v>21</v>
      </c>
      <c r="Y85" s="1020">
        <f>IFERROR(INDEX('[22]CN BC'!$J$10:$J$274,MATCH(B85,'[22]CN BC'!$H$10:$H$274,0)),"")</f>
        <v>20</v>
      </c>
      <c r="Z85" s="1020">
        <f>VLOOKUP(B85,'[23]CN BC'!$H$10:$J$275,3,FALSE)</f>
        <v>19</v>
      </c>
      <c r="AA85" s="1021">
        <f t="shared" si="21"/>
        <v>21</v>
      </c>
      <c r="AB85" s="1021">
        <f t="shared" si="22"/>
        <v>20</v>
      </c>
      <c r="AC85" s="1021">
        <f t="shared" si="23"/>
        <v>19</v>
      </c>
      <c r="AD85" s="1022"/>
      <c r="AE85" s="1023">
        <f t="shared" si="24"/>
        <v>13194381</v>
      </c>
      <c r="AF85" s="1371">
        <f t="shared" si="25"/>
        <v>5.6386243589743588</v>
      </c>
      <c r="AG85" s="1102">
        <v>2340000</v>
      </c>
      <c r="AH85" s="1373">
        <f t="shared" si="26"/>
        <v>13194381</v>
      </c>
      <c r="AI85" s="1024">
        <f t="shared" si="14"/>
        <v>68</v>
      </c>
      <c r="AJ85" s="1025"/>
      <c r="AK85" s="1011" t="str">
        <f>VLOOKUP(B85,TH.T4!B88:AC418,28,FALSE)</f>
        <v>TTTV</v>
      </c>
      <c r="AL85" s="1012"/>
      <c r="AM85" s="1012"/>
      <c r="AN85" s="1027"/>
      <c r="AO85" s="1012"/>
      <c r="AP85" s="1012"/>
      <c r="AQ85" s="1012"/>
      <c r="AR85" s="1012"/>
      <c r="AS85" s="1012"/>
      <c r="AT85" s="1012"/>
    </row>
    <row r="86" spans="1:50" s="1028" customFormat="1" ht="27" customHeight="1">
      <c r="A86" s="1014">
        <f>_xlfn.AGGREGATE(4,7,A$17:A85)+1</f>
        <v>69</v>
      </c>
      <c r="B86" s="1093" t="s">
        <v>1864</v>
      </c>
      <c r="C86" s="1094" t="s">
        <v>1678</v>
      </c>
      <c r="D86" s="1212" t="s">
        <v>1402</v>
      </c>
      <c r="E86" s="554" t="str">
        <f>VLOOKUP(B86,TH.T6!B91:J421,9,FALSE)</f>
        <v>Nhân viên TT Thư viện</v>
      </c>
      <c r="F86" s="1095">
        <v>4.9800000000000004</v>
      </c>
      <c r="G86" s="1096">
        <v>0.05</v>
      </c>
      <c r="H86" s="1249">
        <f t="shared" si="15"/>
        <v>0.249</v>
      </c>
      <c r="I86" s="1097"/>
      <c r="J86" s="1095">
        <v>4.9800000000000004</v>
      </c>
      <c r="K86" s="1096">
        <v>0.05</v>
      </c>
      <c r="L86" s="1249">
        <f t="shared" si="16"/>
        <v>0.249</v>
      </c>
      <c r="M86" s="1097"/>
      <c r="N86" s="1095">
        <v>4.9800000000000004</v>
      </c>
      <c r="O86" s="1096">
        <v>0.06</v>
      </c>
      <c r="P86" s="1250">
        <f t="shared" si="17"/>
        <v>0.29899999999999999</v>
      </c>
      <c r="Q86" s="1097"/>
      <c r="R86" s="1097" t="str">
        <f>IFERROR(INDEX('[18]Gui chi Quynh'!$E$11:$E$397,MATCH(B86,'[18]Gui chi Quynh'!$B$11:$B$397,0)),"")</f>
        <v>A4</v>
      </c>
      <c r="S86" s="1097">
        <f t="shared" si="18"/>
        <v>0.5</v>
      </c>
      <c r="T86" s="1097" t="str">
        <f>VLOOKUP(B86,'[19]Gui chi Quynh'!$B$11:$E$397,4,FALSE)</f>
        <v>A4</v>
      </c>
      <c r="U86" s="1097">
        <f t="shared" si="19"/>
        <v>0.5</v>
      </c>
      <c r="V86" s="1097" t="str">
        <f>VLOOKUP(B86,'[20]Gui chi Quynh'!$B$11:$E$396,4,FALSE)</f>
        <v>A4</v>
      </c>
      <c r="W86" s="1097">
        <f t="shared" si="20"/>
        <v>0.5</v>
      </c>
      <c r="X86" s="1097">
        <f>IFERROR(INDEX('[21]CN BC'!$J$10:$J$275,MATCH(B86,'[21]CN BC'!$H$10:$H$275,0)),"")</f>
        <v>23</v>
      </c>
      <c r="Y86" s="1097">
        <f>IFERROR(INDEX('[22]CN BC'!$J$10:$J$274,MATCH(B86,'[22]CN BC'!$H$10:$H$274,0)),"")</f>
        <v>22</v>
      </c>
      <c r="Z86" s="1097">
        <f>VLOOKUP(B86,'[23]CN BC'!$H$10:$J$275,3,FALSE)</f>
        <v>19</v>
      </c>
      <c r="AA86" s="1213">
        <f t="shared" si="21"/>
        <v>23</v>
      </c>
      <c r="AB86" s="1213">
        <f t="shared" si="22"/>
        <v>22</v>
      </c>
      <c r="AC86" s="1213">
        <f t="shared" si="23"/>
        <v>19</v>
      </c>
      <c r="AD86" s="1098"/>
      <c r="AE86" s="1214">
        <f t="shared" si="24"/>
        <v>18412290</v>
      </c>
      <c r="AF86" s="1400">
        <f t="shared" si="25"/>
        <v>7.8685</v>
      </c>
      <c r="AG86" s="1225">
        <v>2340000</v>
      </c>
      <c r="AH86" s="1401">
        <f t="shared" si="26"/>
        <v>18412290</v>
      </c>
      <c r="AI86" s="1099">
        <f t="shared" si="14"/>
        <v>69</v>
      </c>
      <c r="AJ86" s="1215" t="s">
        <v>2362</v>
      </c>
      <c r="AK86" s="1067" t="str">
        <f>VLOOKUP(B86,TH.T4!B89:AC419,28,FALSE)</f>
        <v>TTTV</v>
      </c>
      <c r="AN86" s="1038"/>
    </row>
    <row r="87" spans="1:50" s="1028" customFormat="1" ht="33.75" customHeight="1">
      <c r="A87" s="1014">
        <f>_xlfn.AGGREGATE(4,7,A$17:A86)+1</f>
        <v>70</v>
      </c>
      <c r="B87" s="1015" t="s">
        <v>1471</v>
      </c>
      <c r="C87" s="1033" t="s">
        <v>1680</v>
      </c>
      <c r="D87" s="1045" t="s">
        <v>1581</v>
      </c>
      <c r="E87" s="81" t="str">
        <f>VLOOKUP(B87,TH.T6!B92:J422,9,FALSE)</f>
        <v>Trưởng phòng KHCN &amp; HTQT</v>
      </c>
      <c r="F87" s="1018">
        <v>4.9800000000000004</v>
      </c>
      <c r="G87" s="1019"/>
      <c r="H87" s="1247">
        <f t="shared" si="15"/>
        <v>0</v>
      </c>
      <c r="I87" s="1020">
        <v>0.45</v>
      </c>
      <c r="J87" s="1018">
        <v>4.9800000000000004</v>
      </c>
      <c r="K87" s="1019"/>
      <c r="L87" s="1247">
        <f t="shared" si="16"/>
        <v>0</v>
      </c>
      <c r="M87" s="1020">
        <v>0.45</v>
      </c>
      <c r="N87" s="1018">
        <v>4.9800000000000004</v>
      </c>
      <c r="O87" s="1019"/>
      <c r="P87" s="1248">
        <f t="shared" si="17"/>
        <v>0</v>
      </c>
      <c r="Q87" s="1020">
        <v>0.45</v>
      </c>
      <c r="R87" s="1020" t="str">
        <f>IFERROR(INDEX('[18]Gui chi Quynh'!$E$11:$E$397,MATCH(B87,'[18]Gui chi Quynh'!$B$11:$B$397,0)),"")</f>
        <v>A1</v>
      </c>
      <c r="S87" s="1020">
        <f t="shared" si="18"/>
        <v>0.8</v>
      </c>
      <c r="T87" s="1020" t="str">
        <f>VLOOKUP(B87,'[19]Gui chi Quynh'!$B$11:$E$397,4,FALSE)</f>
        <v>A2</v>
      </c>
      <c r="U87" s="1020">
        <f t="shared" si="19"/>
        <v>0.7</v>
      </c>
      <c r="V87" s="1020" t="str">
        <f>VLOOKUP(B87,'[20]Gui chi Quynh'!$B$11:$E$396,4,FALSE)</f>
        <v>A4</v>
      </c>
      <c r="W87" s="1020">
        <f t="shared" si="20"/>
        <v>0.5</v>
      </c>
      <c r="X87" s="1020">
        <f>IFERROR(INDEX('[21]CN BC'!$J$10:$J$275,MATCH(B87,'[21]CN BC'!$H$10:$H$275,0)),"")</f>
        <v>21</v>
      </c>
      <c r="Y87" s="1020">
        <f>IFERROR(INDEX('[22]CN BC'!$J$10:$J$274,MATCH(B87,'[22]CN BC'!$H$10:$H$274,0)),"")</f>
        <v>20</v>
      </c>
      <c r="Z87" s="1020">
        <f>VLOOKUP(B87,'[23]CN BC'!$H$10:$J$275,3,FALSE)</f>
        <v>16</v>
      </c>
      <c r="AA87" s="1021">
        <f t="shared" si="21"/>
        <v>21</v>
      </c>
      <c r="AB87" s="1021">
        <f t="shared" si="22"/>
        <v>20</v>
      </c>
      <c r="AC87" s="1021">
        <f t="shared" si="23"/>
        <v>16</v>
      </c>
      <c r="AD87" s="1022"/>
      <c r="AE87" s="1023">
        <f t="shared" si="24"/>
        <v>22716793</v>
      </c>
      <c r="AF87" s="1371">
        <f t="shared" si="25"/>
        <v>9.7080311965811958</v>
      </c>
      <c r="AG87" s="1102">
        <v>2340000</v>
      </c>
      <c r="AH87" s="1373">
        <f t="shared" si="26"/>
        <v>22716793</v>
      </c>
      <c r="AI87" s="1024">
        <f t="shared" si="14"/>
        <v>70</v>
      </c>
      <c r="AJ87" s="1025">
        <f>IFERROR(INDEX('[17]CN BC'!$M$10:$M$276,MATCH(B87,'[17]CN BC'!$H$10:$H$276,0)),"")</f>
        <v>0</v>
      </c>
      <c r="AK87" s="1011" t="str">
        <f>VLOOKUP(B87,TH.T4!B90:AC420,28,FALSE)</f>
        <v>QLKH</v>
      </c>
      <c r="AN87" s="1038"/>
    </row>
    <row r="88" spans="1:50" s="1028" customFormat="1" ht="33.75" customHeight="1">
      <c r="A88" s="1014">
        <f>_xlfn.AGGREGATE(4,7,A$17:A87)+1</f>
        <v>71</v>
      </c>
      <c r="B88" s="1043" t="s">
        <v>2009</v>
      </c>
      <c r="C88" s="1044"/>
      <c r="D88" s="1045"/>
      <c r="E88" s="81" t="str">
        <f>VLOOKUP(B88,TH.T6!B93:J423,9,FALSE)</f>
        <v>NV Phòng KHCN &amp; HTQT</v>
      </c>
      <c r="F88" s="1040">
        <v>3.66</v>
      </c>
      <c r="G88" s="1019"/>
      <c r="H88" s="1247">
        <f t="shared" si="15"/>
        <v>0</v>
      </c>
      <c r="I88" s="1020"/>
      <c r="J88" s="1040">
        <v>3.66</v>
      </c>
      <c r="K88" s="1019"/>
      <c r="L88" s="1247">
        <f t="shared" si="16"/>
        <v>0</v>
      </c>
      <c r="M88" s="1020"/>
      <c r="N88" s="1040">
        <v>3.66</v>
      </c>
      <c r="O88" s="1019"/>
      <c r="P88" s="1248">
        <f t="shared" si="17"/>
        <v>0</v>
      </c>
      <c r="Q88" s="1020"/>
      <c r="R88" s="1020" t="str">
        <f>IFERROR(INDEX('[18]Gui chi Quynh'!$E$11:$E$397,MATCH(B88,'[18]Gui chi Quynh'!$B$11:$B$397,0)),"")</f>
        <v>A2</v>
      </c>
      <c r="S88" s="1020">
        <f t="shared" si="18"/>
        <v>0.7</v>
      </c>
      <c r="T88" s="1020" t="str">
        <f>VLOOKUP(B88,'[19]Gui chi Quynh'!$B$11:$E$397,4,FALSE)</f>
        <v>A2</v>
      </c>
      <c r="U88" s="1020">
        <f t="shared" si="19"/>
        <v>0.7</v>
      </c>
      <c r="V88" s="1020" t="str">
        <f>VLOOKUP(B88,'[20]Gui chi Quynh'!$B$11:$E$396,4,FALSE)</f>
        <v>A2</v>
      </c>
      <c r="W88" s="1020">
        <f t="shared" si="20"/>
        <v>0.7</v>
      </c>
      <c r="X88" s="1020">
        <f>IFERROR(INDEX('[21]CN BC'!$J$10:$J$275,MATCH(B88,'[21]CN BC'!$H$10:$H$275,0)),"")</f>
        <v>27</v>
      </c>
      <c r="Y88" s="1020">
        <f>IFERROR(INDEX('[22]CN BC'!$J$10:$J$274,MATCH(B88,'[22]CN BC'!$H$10:$H$274,0)),"")</f>
        <v>25</v>
      </c>
      <c r="Z88" s="1020">
        <f>VLOOKUP(B88,'[23]CN BC'!$H$10:$J$275,3,FALSE)</f>
        <v>20</v>
      </c>
      <c r="AA88" s="1021">
        <f t="shared" si="21"/>
        <v>23</v>
      </c>
      <c r="AB88" s="1021">
        <f t="shared" si="22"/>
        <v>22</v>
      </c>
      <c r="AC88" s="1021">
        <f t="shared" si="23"/>
        <v>19</v>
      </c>
      <c r="AD88" s="1022"/>
      <c r="AE88" s="1023">
        <f t="shared" si="24"/>
        <v>17985240</v>
      </c>
      <c r="AF88" s="1371">
        <f t="shared" si="25"/>
        <v>7.6859999999999999</v>
      </c>
      <c r="AG88" s="1102">
        <v>2340000</v>
      </c>
      <c r="AH88" s="1373">
        <f t="shared" si="26"/>
        <v>17985240</v>
      </c>
      <c r="AI88" s="1024">
        <f t="shared" si="14"/>
        <v>71</v>
      </c>
      <c r="AJ88" s="1025">
        <f>IFERROR(INDEX('[17]CN BC'!$M$10:$M$276,MATCH(B88,'[17]CN BC'!$H$10:$H$276,0)),"")</f>
        <v>0</v>
      </c>
      <c r="AK88" s="1011" t="str">
        <f>VLOOKUP(B88,TH.T4!B91:AC421,28,FALSE)</f>
        <v>QLKH</v>
      </c>
      <c r="AN88" s="1038"/>
    </row>
    <row r="89" spans="1:50" s="1028" customFormat="1" ht="44.25" customHeight="1">
      <c r="A89" s="1014">
        <f>_xlfn.AGGREGATE(4,7,A$17:A88)+1</f>
        <v>72</v>
      </c>
      <c r="B89" s="1043" t="s">
        <v>1830</v>
      </c>
      <c r="C89" s="1044" t="s">
        <v>1829</v>
      </c>
      <c r="D89" s="1068">
        <v>1603205354978</v>
      </c>
      <c r="E89" s="81" t="s">
        <v>2382</v>
      </c>
      <c r="F89" s="1018">
        <v>2.67</v>
      </c>
      <c r="G89" s="1019"/>
      <c r="H89" s="1247">
        <f t="shared" si="15"/>
        <v>0</v>
      </c>
      <c r="I89" s="1020">
        <v>0.45</v>
      </c>
      <c r="J89" s="1018">
        <v>2.67</v>
      </c>
      <c r="K89" s="1019"/>
      <c r="L89" s="1247">
        <f t="shared" si="16"/>
        <v>0</v>
      </c>
      <c r="M89" s="1020">
        <v>0.45</v>
      </c>
      <c r="N89" s="1018">
        <v>2.67</v>
      </c>
      <c r="O89" s="1019"/>
      <c r="P89" s="1248">
        <f t="shared" si="17"/>
        <v>0</v>
      </c>
      <c r="Q89" s="1020">
        <v>0.45</v>
      </c>
      <c r="R89" s="1020" t="str">
        <f>IFERROR(INDEX('[18]Gui chi Quynh'!$E$11:$E$397,MATCH(B89,'[18]Gui chi Quynh'!$B$11:$B$397,0)),"")</f>
        <v>A1</v>
      </c>
      <c r="S89" s="1020">
        <f t="shared" si="18"/>
        <v>0.8</v>
      </c>
      <c r="T89" s="1020" t="str">
        <f>VLOOKUP(B89,'[19]Gui chi Quynh'!$B$11:$E$397,4,FALSE)</f>
        <v>A1</v>
      </c>
      <c r="U89" s="1020">
        <f t="shared" si="19"/>
        <v>0.8</v>
      </c>
      <c r="V89" s="1020" t="str">
        <f>VLOOKUP(B89,'[20]Gui chi Quynh'!$B$11:$E$396,4,FALSE)</f>
        <v>A1</v>
      </c>
      <c r="W89" s="1020">
        <f t="shared" si="20"/>
        <v>0.8</v>
      </c>
      <c r="X89" s="1020">
        <f>IFERROR(INDEX('[21]CN BC'!$J$10:$J$275,MATCH(B89,'[21]CN BC'!$H$10:$H$275,0)),"")</f>
        <v>31</v>
      </c>
      <c r="Y89" s="1020">
        <f>IFERROR(INDEX('[22]CN BC'!$J$10:$J$274,MATCH(B89,'[22]CN BC'!$H$10:$H$274,0)),"")</f>
        <v>30</v>
      </c>
      <c r="Z89" s="1020">
        <f>VLOOKUP(B89,'[23]CN BC'!$H$10:$J$275,3,FALSE)</f>
        <v>27</v>
      </c>
      <c r="AA89" s="1021">
        <f t="shared" si="21"/>
        <v>23</v>
      </c>
      <c r="AB89" s="1021">
        <f t="shared" si="22"/>
        <v>22</v>
      </c>
      <c r="AC89" s="1021">
        <f t="shared" si="23"/>
        <v>19</v>
      </c>
      <c r="AD89" s="1022"/>
      <c r="AE89" s="1023">
        <f t="shared" si="24"/>
        <v>17521920</v>
      </c>
      <c r="AF89" s="1371">
        <f t="shared" si="25"/>
        <v>7.4880000000000004</v>
      </c>
      <c r="AG89" s="1102">
        <v>2340000</v>
      </c>
      <c r="AH89" s="1373">
        <f t="shared" si="26"/>
        <v>17521920</v>
      </c>
      <c r="AI89" s="1069">
        <f t="shared" si="14"/>
        <v>72</v>
      </c>
      <c r="AJ89" s="1025">
        <f>IFERROR(INDEX('[17]CN BC'!$M$10:$M$276,MATCH(B89,'[17]CN BC'!$H$10:$H$276,0)),"")</f>
        <v>0</v>
      </c>
      <c r="AK89" s="1011" t="str">
        <f>VLOOKUP(B89,TH.T4!B92:AC422,28,FALSE)</f>
        <v>TTĐT</v>
      </c>
      <c r="AL89" s="1027"/>
      <c r="AM89" s="1012"/>
      <c r="AN89" s="1012"/>
      <c r="AO89" s="1012"/>
      <c r="AP89" s="1012"/>
      <c r="AQ89" s="1012"/>
      <c r="AR89" s="1012"/>
      <c r="AS89" s="1012"/>
      <c r="AT89" s="1012"/>
    </row>
    <row r="90" spans="1:50" s="1012" customFormat="1" ht="33.75" customHeight="1">
      <c r="A90" s="1014">
        <f>_xlfn.AGGREGATE(4,7,A$17:A89)+1</f>
        <v>73</v>
      </c>
      <c r="B90" s="1050" t="s">
        <v>2005</v>
      </c>
      <c r="C90" s="1070" t="s">
        <v>1826</v>
      </c>
      <c r="D90" s="1071" t="s">
        <v>12</v>
      </c>
      <c r="E90" s="81" t="s">
        <v>2381</v>
      </c>
      <c r="F90" s="1054">
        <v>3.34</v>
      </c>
      <c r="G90" s="1072"/>
      <c r="H90" s="1247">
        <f t="shared" si="15"/>
        <v>0</v>
      </c>
      <c r="I90" s="1072">
        <v>0</v>
      </c>
      <c r="J90" s="1054">
        <v>3.34</v>
      </c>
      <c r="K90" s="1072"/>
      <c r="L90" s="1247">
        <f t="shared" si="16"/>
        <v>0</v>
      </c>
      <c r="M90" s="1072">
        <v>0</v>
      </c>
      <c r="N90" s="1054">
        <v>3.34</v>
      </c>
      <c r="O90" s="1072"/>
      <c r="P90" s="1248">
        <f t="shared" si="17"/>
        <v>0</v>
      </c>
      <c r="Q90" s="1072">
        <v>0</v>
      </c>
      <c r="R90" s="1020" t="str">
        <f>IFERROR(INDEX('[18]Gui chi Quynh'!$E$11:$E$397,MATCH(B90,'[18]Gui chi Quynh'!$B$11:$B$397,0)),"")</f>
        <v>A4</v>
      </c>
      <c r="S90" s="1020">
        <f t="shared" si="18"/>
        <v>0.5</v>
      </c>
      <c r="T90" s="1020" t="str">
        <f>VLOOKUP(B90,'[19]Gui chi Quynh'!$B$11:$E$397,4,FALSE)</f>
        <v>A4</v>
      </c>
      <c r="U90" s="1020">
        <f t="shared" si="19"/>
        <v>0.5</v>
      </c>
      <c r="V90" s="1020" t="str">
        <f>VLOOKUP(B90,'[20]Gui chi Quynh'!$B$11:$E$396,4,FALSE)</f>
        <v>A3</v>
      </c>
      <c r="W90" s="1020">
        <f t="shared" si="20"/>
        <v>0.6</v>
      </c>
      <c r="X90" s="1020">
        <f>IFERROR(INDEX('[21]CN BC'!$J$10:$J$275,MATCH(B90,'[21]CN BC'!$H$10:$H$275,0)),"")</f>
        <v>29</v>
      </c>
      <c r="Y90" s="1020">
        <f>IFERROR(INDEX('[22]CN BC'!$J$10:$J$274,MATCH(B90,'[22]CN BC'!$H$10:$H$274,0)),"")</f>
        <v>26</v>
      </c>
      <c r="Z90" s="1020">
        <f>VLOOKUP(B90,'[23]CN BC'!$H$10:$J$275,3,FALSE)</f>
        <v>24</v>
      </c>
      <c r="AA90" s="1021">
        <f t="shared" si="21"/>
        <v>23</v>
      </c>
      <c r="AB90" s="1021">
        <f t="shared" si="22"/>
        <v>22</v>
      </c>
      <c r="AC90" s="1021">
        <f t="shared" si="23"/>
        <v>19</v>
      </c>
      <c r="AD90" s="1022"/>
      <c r="AE90" s="1023">
        <f t="shared" si="24"/>
        <v>12504960</v>
      </c>
      <c r="AF90" s="1371">
        <f t="shared" si="25"/>
        <v>5.3440000000000003</v>
      </c>
      <c r="AG90" s="1102">
        <v>2340000</v>
      </c>
      <c r="AH90" s="1373">
        <f t="shared" si="26"/>
        <v>12504960</v>
      </c>
      <c r="AI90" s="1073">
        <f t="shared" si="14"/>
        <v>73</v>
      </c>
      <c r="AJ90" s="1025">
        <f>IFERROR(INDEX('[17]CN BC'!$M$10:$M$276,MATCH(B90,'[17]CN BC'!$H$10:$H$276,0)),"")</f>
        <v>0</v>
      </c>
      <c r="AK90" s="1011" t="str">
        <f>VLOOKUP(B90,TH.T4!B93:AC423,28,FALSE)</f>
        <v>TTĐT</v>
      </c>
    </row>
    <row r="91" spans="1:50" s="1028" customFormat="1" ht="33.75" customHeight="1">
      <c r="A91" s="1014">
        <f>_xlfn.AGGREGATE(4,7,A$17:A90)+1</f>
        <v>74</v>
      </c>
      <c r="B91" s="1043" t="s">
        <v>1607</v>
      </c>
      <c r="C91" s="1044" t="s">
        <v>1957</v>
      </c>
      <c r="D91" s="1059">
        <v>1603215003961</v>
      </c>
      <c r="E91" s="81" t="str">
        <f>VLOOKUP(B91,TH.T6!B96:J426,9,FALSE)</f>
        <v>Trưởng khoa Xây dựng - Nhiệt lạnh</v>
      </c>
      <c r="F91" s="1040">
        <v>3.66</v>
      </c>
      <c r="G91" s="1019"/>
      <c r="H91" s="1247">
        <f t="shared" si="15"/>
        <v>0</v>
      </c>
      <c r="I91" s="1020">
        <v>0.45</v>
      </c>
      <c r="J91" s="1040">
        <v>3.66</v>
      </c>
      <c r="K91" s="1019"/>
      <c r="L91" s="1247">
        <f t="shared" si="16"/>
        <v>0</v>
      </c>
      <c r="M91" s="1020">
        <v>0.45</v>
      </c>
      <c r="N91" s="1040">
        <v>3.66</v>
      </c>
      <c r="O91" s="1019"/>
      <c r="P91" s="1248">
        <f t="shared" si="17"/>
        <v>0</v>
      </c>
      <c r="Q91" s="1020">
        <v>0.45</v>
      </c>
      <c r="R91" s="1020" t="str">
        <f>IFERROR(INDEX('[18]Gui chi Quynh'!$E$11:$E$397,MATCH(B91,'[18]Gui chi Quynh'!$B$11:$B$397,0)),"")</f>
        <v>A2</v>
      </c>
      <c r="S91" s="1020">
        <f t="shared" si="18"/>
        <v>0.7</v>
      </c>
      <c r="T91" s="1020" t="str">
        <f>VLOOKUP(B91,'[19]Gui chi Quynh'!$B$11:$E$397,4,FALSE)</f>
        <v>A2</v>
      </c>
      <c r="U91" s="1020">
        <f t="shared" si="19"/>
        <v>0.7</v>
      </c>
      <c r="V91" s="1020" t="str">
        <f>VLOOKUP(B91,'[20]Gui chi Quynh'!$B$11:$E$396,4,FALSE)</f>
        <v>A2</v>
      </c>
      <c r="W91" s="1020">
        <f t="shared" si="20"/>
        <v>0.7</v>
      </c>
      <c r="X91" s="1020">
        <f>IFERROR(INDEX('[21]CN BC'!$J$10:$J$275,MATCH(B91,'[21]CN BC'!$H$10:$H$275,0)),"")</f>
        <v>21</v>
      </c>
      <c r="Y91" s="1020">
        <f>IFERROR(INDEX('[22]CN BC'!$J$10:$J$274,MATCH(B91,'[22]CN BC'!$H$10:$H$274,0)),"")</f>
        <v>22</v>
      </c>
      <c r="Z91" s="1020">
        <f>VLOOKUP(B91,'[23]CN BC'!$H$10:$J$275,3,FALSE)</f>
        <v>19</v>
      </c>
      <c r="AA91" s="1021">
        <f t="shared" si="21"/>
        <v>21</v>
      </c>
      <c r="AB91" s="1021">
        <f t="shared" si="22"/>
        <v>22</v>
      </c>
      <c r="AC91" s="1021">
        <f t="shared" si="23"/>
        <v>19</v>
      </c>
      <c r="AD91" s="1022"/>
      <c r="AE91" s="1023">
        <f t="shared" si="24"/>
        <v>19611133</v>
      </c>
      <c r="AF91" s="1371">
        <f t="shared" si="25"/>
        <v>8.3808260683760682</v>
      </c>
      <c r="AG91" s="1102">
        <v>2340000</v>
      </c>
      <c r="AH91" s="1373">
        <f t="shared" si="26"/>
        <v>19611133</v>
      </c>
      <c r="AI91" s="1024">
        <f t="shared" si="14"/>
        <v>74</v>
      </c>
      <c r="AJ91" s="1025">
        <f>IFERROR(INDEX('[17]CN BC'!$M$10:$M$276,MATCH(B91,'[17]CN BC'!$H$10:$H$276,0)),"")</f>
        <v>0</v>
      </c>
      <c r="AK91" s="1011" t="str">
        <f>VLOOKUP(B91,TH.T4!B94:AC424,28,FALSE)</f>
        <v>XD-NL</v>
      </c>
      <c r="AN91" s="1038"/>
    </row>
    <row r="92" spans="1:50" s="1028" customFormat="1" ht="33.75" customHeight="1">
      <c r="A92" s="1014">
        <f>_xlfn.AGGREGATE(4,7,A$17:A91)+1</f>
        <v>75</v>
      </c>
      <c r="B92" s="1015" t="s">
        <v>1924</v>
      </c>
      <c r="C92" s="1033" t="s">
        <v>1958</v>
      </c>
      <c r="D92" s="1066" t="s">
        <v>1935</v>
      </c>
      <c r="E92" s="81" t="str">
        <f>VLOOKUP(B92,TH.T6!B97:J427,9,FALSE)</f>
        <v>Giảng viên khoa Xây dựng - Nhiệt lạnh</v>
      </c>
      <c r="F92" s="1040">
        <v>3</v>
      </c>
      <c r="G92" s="1019"/>
      <c r="H92" s="1247">
        <f t="shared" si="15"/>
        <v>0</v>
      </c>
      <c r="I92" s="1020"/>
      <c r="J92" s="1040">
        <v>3</v>
      </c>
      <c r="K92" s="1019"/>
      <c r="L92" s="1247">
        <f t="shared" si="16"/>
        <v>0</v>
      </c>
      <c r="M92" s="1020"/>
      <c r="N92" s="1040">
        <v>3</v>
      </c>
      <c r="O92" s="1019"/>
      <c r="P92" s="1248">
        <f t="shared" si="17"/>
        <v>0</v>
      </c>
      <c r="Q92" s="1020"/>
      <c r="R92" s="1020" t="str">
        <f>IFERROR(INDEX('[18]Gui chi Quynh'!$E$11:$E$397,MATCH(B92,'[18]Gui chi Quynh'!$B$11:$B$397,0)),"")</f>
        <v>A4</v>
      </c>
      <c r="S92" s="1020">
        <f t="shared" si="18"/>
        <v>0.5</v>
      </c>
      <c r="T92" s="1020" t="str">
        <f>VLOOKUP(B92,'[19]Gui chi Quynh'!$B$11:$E$397,4,FALSE)</f>
        <v>A DN</v>
      </c>
      <c r="U92" s="1020">
        <f t="shared" si="19"/>
        <v>0</v>
      </c>
      <c r="V92" s="1020" t="str">
        <f>VLOOKUP(B92,'[20]Gui chi Quynh'!$B$11:$E$396,4,FALSE)</f>
        <v>A3</v>
      </c>
      <c r="W92" s="1020">
        <f t="shared" si="20"/>
        <v>0.6</v>
      </c>
      <c r="X92" s="1020">
        <f>IFERROR(INDEX('[21]CN BC'!$J$10:$J$275,MATCH(B92,'[21]CN BC'!$H$10:$H$275,0)),"")</f>
        <v>23</v>
      </c>
      <c r="Y92" s="1020">
        <f>IFERROR(INDEX('[22]CN BC'!$J$10:$J$274,MATCH(B92,'[22]CN BC'!$H$10:$H$274,0)),"")</f>
        <v>0</v>
      </c>
      <c r="Z92" s="1020">
        <f>VLOOKUP(B92,'[23]CN BC'!$H$10:$J$275,3,FALSE)</f>
        <v>19</v>
      </c>
      <c r="AA92" s="1021">
        <f t="shared" si="21"/>
        <v>23</v>
      </c>
      <c r="AB92" s="1021">
        <f t="shared" si="22"/>
        <v>0</v>
      </c>
      <c r="AC92" s="1021">
        <f t="shared" si="23"/>
        <v>19</v>
      </c>
      <c r="AD92" s="1022"/>
      <c r="AE92" s="1023">
        <f t="shared" si="24"/>
        <v>7722000</v>
      </c>
      <c r="AF92" s="1371">
        <f t="shared" si="25"/>
        <v>3.3</v>
      </c>
      <c r="AG92" s="1102">
        <v>2340000</v>
      </c>
      <c r="AH92" s="1373">
        <f t="shared" si="26"/>
        <v>7722000</v>
      </c>
      <c r="AI92" s="1024">
        <f t="shared" si="14"/>
        <v>75</v>
      </c>
      <c r="AJ92" s="1025">
        <f>IFERROR(INDEX('[17]CN BC'!$M$10:$M$276,MATCH(B92,'[17]CN BC'!$H$10:$H$276,0)),"")</f>
        <v>0</v>
      </c>
      <c r="AK92" s="1011" t="str">
        <f>VLOOKUP(B92,TH.T4!B95:AC425,28,FALSE)</f>
        <v>XD-NL</v>
      </c>
      <c r="AN92" s="1038"/>
    </row>
    <row r="93" spans="1:50" s="1028" customFormat="1" ht="33.75" customHeight="1">
      <c r="A93" s="1014">
        <f>_xlfn.AGGREGATE(4,7,A$17:A92)+1</f>
        <v>76</v>
      </c>
      <c r="B93" s="1015" t="s">
        <v>1944</v>
      </c>
      <c r="C93" s="1033" t="s">
        <v>1959</v>
      </c>
      <c r="D93" s="1059"/>
      <c r="E93" s="81" t="str">
        <f>VLOOKUP(B93,TH.T6!B98:J428,9,FALSE)</f>
        <v>Giảng viên khoa Xây dựng - Nhiệt lạnh</v>
      </c>
      <c r="F93" s="1018">
        <v>2.34</v>
      </c>
      <c r="G93" s="1019"/>
      <c r="H93" s="1247">
        <f t="shared" si="15"/>
        <v>0</v>
      </c>
      <c r="I93" s="1020"/>
      <c r="J93" s="1018">
        <v>2.34</v>
      </c>
      <c r="K93" s="1019"/>
      <c r="L93" s="1247">
        <f t="shared" si="16"/>
        <v>0</v>
      </c>
      <c r="M93" s="1020"/>
      <c r="N93" s="1018">
        <v>2.34</v>
      </c>
      <c r="O93" s="1019"/>
      <c r="P93" s="1248">
        <f t="shared" si="17"/>
        <v>0</v>
      </c>
      <c r="Q93" s="1020"/>
      <c r="R93" s="1020" t="str">
        <f>IFERROR(INDEX('[18]Gui chi Quynh'!$E$11:$E$397,MATCH(B93,'[18]Gui chi Quynh'!$B$11:$B$397,0)),"")</f>
        <v>A4</v>
      </c>
      <c r="S93" s="1020">
        <f t="shared" si="18"/>
        <v>0.5</v>
      </c>
      <c r="T93" s="1020" t="str">
        <f>VLOOKUP(B93,'[19]Gui chi Quynh'!$B$11:$E$397,4,FALSE)</f>
        <v>A DN</v>
      </c>
      <c r="U93" s="1020">
        <f t="shared" si="19"/>
        <v>0</v>
      </c>
      <c r="V93" s="1020" t="str">
        <f>VLOOKUP(B93,'[20]Gui chi Quynh'!$B$11:$E$396,4,FALSE)</f>
        <v>A2</v>
      </c>
      <c r="W93" s="1020">
        <f t="shared" si="20"/>
        <v>0.7</v>
      </c>
      <c r="X93" s="1020">
        <f>IFERROR(INDEX('[21]CN BC'!$J$10:$J$275,MATCH(B93,'[21]CN BC'!$H$10:$H$275,0)),"")</f>
        <v>23</v>
      </c>
      <c r="Y93" s="1020">
        <f>IFERROR(INDEX('[22]CN BC'!$J$10:$J$274,MATCH(B93,'[22]CN BC'!$H$10:$H$274,0)),"")</f>
        <v>0</v>
      </c>
      <c r="Z93" s="1020">
        <f>VLOOKUP(B93,'[23]CN BC'!$H$10:$J$275,3,FALSE)</f>
        <v>19</v>
      </c>
      <c r="AA93" s="1021">
        <f t="shared" si="21"/>
        <v>23</v>
      </c>
      <c r="AB93" s="1021">
        <f t="shared" si="22"/>
        <v>0</v>
      </c>
      <c r="AC93" s="1021">
        <f t="shared" si="23"/>
        <v>19</v>
      </c>
      <c r="AD93" s="1022"/>
      <c r="AE93" s="1023">
        <f t="shared" si="24"/>
        <v>6570720</v>
      </c>
      <c r="AF93" s="1371">
        <f t="shared" si="25"/>
        <v>2.8079999999999998</v>
      </c>
      <c r="AG93" s="1102">
        <v>2340000</v>
      </c>
      <c r="AH93" s="1373">
        <f t="shared" si="26"/>
        <v>6570720</v>
      </c>
      <c r="AI93" s="1024">
        <f t="shared" si="14"/>
        <v>76</v>
      </c>
      <c r="AJ93" s="1025">
        <f>IFERROR(INDEX('[17]CN BC'!$M$10:$M$276,MATCH(B93,'[17]CN BC'!$H$10:$H$276,0)),"")</f>
        <v>0</v>
      </c>
      <c r="AK93" s="1011" t="str">
        <f>VLOOKUP(B93,TH.T4!B96:AC426,28,FALSE)</f>
        <v>XD-NL</v>
      </c>
      <c r="AN93" s="1038"/>
    </row>
    <row r="94" spans="1:50" s="1028" customFormat="1" ht="25.5" customHeight="1">
      <c r="A94" s="1014">
        <f>_xlfn.AGGREGATE(4,7,A$17:A93)+1</f>
        <v>77</v>
      </c>
      <c r="B94" s="1015" t="s">
        <v>1472</v>
      </c>
      <c r="C94" s="1029" t="s">
        <v>1682</v>
      </c>
      <c r="D94" s="1045" t="s">
        <v>1582</v>
      </c>
      <c r="E94" s="81" t="str">
        <f>VLOOKUP(B94,TH.T6!B99:J429,9,FALSE)</f>
        <v>Trưởng khoa Kinh tế</v>
      </c>
      <c r="F94" s="1040">
        <v>3.99</v>
      </c>
      <c r="G94" s="1019"/>
      <c r="H94" s="1247">
        <f t="shared" si="15"/>
        <v>0</v>
      </c>
      <c r="I94" s="1020">
        <v>0.45</v>
      </c>
      <c r="J94" s="1040">
        <v>3.99</v>
      </c>
      <c r="K94" s="1019"/>
      <c r="L94" s="1247">
        <f t="shared" si="16"/>
        <v>0</v>
      </c>
      <c r="M94" s="1020">
        <v>0.45</v>
      </c>
      <c r="N94" s="1040">
        <v>3.99</v>
      </c>
      <c r="O94" s="1019"/>
      <c r="P94" s="1248">
        <f t="shared" si="17"/>
        <v>0</v>
      </c>
      <c r="Q94" s="1020">
        <v>0.45</v>
      </c>
      <c r="R94" s="1020" t="str">
        <f>IFERROR(INDEX('[18]Gui chi Quynh'!$E$11:$E$397,MATCH(B94,'[18]Gui chi Quynh'!$B$11:$B$397,0)),"")</f>
        <v>A2</v>
      </c>
      <c r="S94" s="1020">
        <f t="shared" si="18"/>
        <v>0.7</v>
      </c>
      <c r="T94" s="1020" t="str">
        <f>VLOOKUP(B94,'[19]Gui chi Quynh'!$B$11:$E$397,4,FALSE)</f>
        <v>A2</v>
      </c>
      <c r="U94" s="1020">
        <f t="shared" si="19"/>
        <v>0.7</v>
      </c>
      <c r="V94" s="1020" t="str">
        <f>VLOOKUP(B94,'[20]Gui chi Quynh'!$B$11:$E$396,4,FALSE)</f>
        <v>A1</v>
      </c>
      <c r="W94" s="1020">
        <f t="shared" si="20"/>
        <v>0.8</v>
      </c>
      <c r="X94" s="1020">
        <f>IFERROR(INDEX('[21]CN BC'!$J$10:$J$275,MATCH(B94,'[21]CN BC'!$H$10:$H$275,0)),"")</f>
        <v>23</v>
      </c>
      <c r="Y94" s="1020">
        <f>IFERROR(INDEX('[22]CN BC'!$J$10:$J$274,MATCH(B94,'[22]CN BC'!$H$10:$H$274,0)),"")</f>
        <v>13</v>
      </c>
      <c r="Z94" s="1020">
        <f>VLOOKUP(B94,'[23]CN BC'!$H$10:$J$275,3,FALSE)</f>
        <v>19</v>
      </c>
      <c r="AA94" s="1021">
        <f t="shared" si="21"/>
        <v>23</v>
      </c>
      <c r="AB94" s="1021">
        <f t="shared" si="22"/>
        <v>13</v>
      </c>
      <c r="AC94" s="1021">
        <f t="shared" si="23"/>
        <v>19</v>
      </c>
      <c r="AD94" s="1022"/>
      <c r="AE94" s="1023">
        <f t="shared" si="24"/>
        <v>19881916</v>
      </c>
      <c r="AF94" s="1371">
        <f t="shared" si="25"/>
        <v>8.4965452991452999</v>
      </c>
      <c r="AG94" s="1102">
        <v>2340000</v>
      </c>
      <c r="AH94" s="1373">
        <f t="shared" si="26"/>
        <v>19881916</v>
      </c>
      <c r="AI94" s="1024">
        <f t="shared" si="14"/>
        <v>77</v>
      </c>
      <c r="AJ94" s="1025">
        <f>IFERROR(INDEX('[17]CN BC'!$M$10:$M$276,MATCH(B94,'[17]CN BC'!$H$10:$H$276,0)),"")</f>
        <v>0</v>
      </c>
      <c r="AK94" s="1011" t="str">
        <f>VLOOKUP(B94,TH.T4!B97:AC427,28,FALSE)</f>
        <v>KT</v>
      </c>
      <c r="AL94" s="1012"/>
      <c r="AM94" s="1012"/>
      <c r="AN94" s="1027"/>
      <c r="AO94" s="1012"/>
      <c r="AP94" s="1012"/>
      <c r="AQ94" s="1012"/>
      <c r="AR94" s="1012"/>
      <c r="AS94" s="1012"/>
      <c r="AT94" s="1012"/>
      <c r="AU94" s="1012"/>
      <c r="AV94" s="1012"/>
      <c r="AW94" s="1012"/>
      <c r="AX94" s="1012"/>
    </row>
    <row r="95" spans="1:50" s="1028" customFormat="1" ht="25.15" customHeight="1">
      <c r="A95" s="1014">
        <f>_xlfn.AGGREGATE(4,7,A$17:A94)+1</f>
        <v>78</v>
      </c>
      <c r="B95" s="1015" t="s">
        <v>1566</v>
      </c>
      <c r="C95" s="1033" t="s">
        <v>1681</v>
      </c>
      <c r="D95" s="1074" t="s">
        <v>1567</v>
      </c>
      <c r="E95" s="81" t="str">
        <f>VLOOKUP(B95,TH.T6!B100:J430,9,FALSE)</f>
        <v>Giảng viên khoa Kinh tế</v>
      </c>
      <c r="F95" s="1075">
        <v>3</v>
      </c>
      <c r="G95" s="1019"/>
      <c r="H95" s="1247">
        <f t="shared" si="15"/>
        <v>0</v>
      </c>
      <c r="I95" s="1020"/>
      <c r="J95" s="1075">
        <v>3</v>
      </c>
      <c r="K95" s="1019"/>
      <c r="L95" s="1247">
        <f t="shared" si="16"/>
        <v>0</v>
      </c>
      <c r="M95" s="1020"/>
      <c r="N95" s="1075">
        <v>3</v>
      </c>
      <c r="O95" s="1019"/>
      <c r="P95" s="1248">
        <f t="shared" si="17"/>
        <v>0</v>
      </c>
      <c r="Q95" s="1020"/>
      <c r="R95" s="1020" t="str">
        <f>IFERROR(INDEX('[18]Gui chi Quynh'!$E$11:$E$397,MATCH(B95,'[18]Gui chi Quynh'!$B$11:$B$397,0)),"")</f>
        <v>A3</v>
      </c>
      <c r="S95" s="1020">
        <f t="shared" si="18"/>
        <v>0.6</v>
      </c>
      <c r="T95" s="1020" t="str">
        <f>VLOOKUP(B95,'[19]Gui chi Quynh'!$B$11:$E$397,4,FALSE)</f>
        <v>A DN</v>
      </c>
      <c r="U95" s="1020">
        <f t="shared" si="19"/>
        <v>0</v>
      </c>
      <c r="V95" s="1020" t="str">
        <f>VLOOKUP(B95,'[20]Gui chi Quynh'!$B$11:$E$396,4,FALSE)</f>
        <v>A1</v>
      </c>
      <c r="W95" s="1020">
        <f t="shared" si="20"/>
        <v>0.8</v>
      </c>
      <c r="X95" s="1020">
        <f>IFERROR(INDEX('[21]CN BC'!$J$10:$J$275,MATCH(B95,'[21]CN BC'!$H$10:$H$275,0)),"")</f>
        <v>21</v>
      </c>
      <c r="Y95" s="1020">
        <f>IFERROR(INDEX('[22]CN BC'!$J$10:$J$274,MATCH(B95,'[22]CN BC'!$H$10:$H$274,0)),"")</f>
        <v>0</v>
      </c>
      <c r="Z95" s="1020">
        <f>VLOOKUP(B95,'[23]CN BC'!$H$10:$J$275,3,FALSE)</f>
        <v>19</v>
      </c>
      <c r="AA95" s="1021">
        <f t="shared" si="21"/>
        <v>21</v>
      </c>
      <c r="AB95" s="1021">
        <f t="shared" si="22"/>
        <v>0</v>
      </c>
      <c r="AC95" s="1021">
        <f t="shared" si="23"/>
        <v>19</v>
      </c>
      <c r="AD95" s="1022"/>
      <c r="AE95" s="1023">
        <f t="shared" si="24"/>
        <v>9461739</v>
      </c>
      <c r="AF95" s="1371">
        <f t="shared" si="25"/>
        <v>4.0434782051282054</v>
      </c>
      <c r="AG95" s="1102">
        <v>2340000</v>
      </c>
      <c r="AH95" s="1373">
        <f t="shared" si="26"/>
        <v>9461739</v>
      </c>
      <c r="AI95" s="1024">
        <f t="shared" si="14"/>
        <v>78</v>
      </c>
      <c r="AJ95" s="1025">
        <f>IFERROR(INDEX('[17]CN BC'!$M$10:$M$276,MATCH(B95,'[17]CN BC'!$H$10:$H$276,0)),"")</f>
        <v>0</v>
      </c>
      <c r="AK95" s="1011" t="str">
        <f>VLOOKUP(B95,TH.T4!B98:AC428,28,FALSE)</f>
        <v>KT</v>
      </c>
      <c r="AL95" s="1012"/>
      <c r="AM95" s="1012"/>
      <c r="AN95" s="1027"/>
    </row>
    <row r="96" spans="1:50" s="1028" customFormat="1" ht="25.15" customHeight="1">
      <c r="A96" s="1014">
        <f>_xlfn.AGGREGATE(4,7,A$17:A95)+1</f>
        <v>79</v>
      </c>
      <c r="B96" s="1015" t="s">
        <v>1831</v>
      </c>
      <c r="C96" s="1033" t="s">
        <v>1960</v>
      </c>
      <c r="D96" s="1076">
        <v>1603215005603</v>
      </c>
      <c r="E96" s="81" t="str">
        <f>VLOOKUP(B96,TH.T6!B101:J431,9,FALSE)</f>
        <v>Giảng viên khoa 
Kinh tế</v>
      </c>
      <c r="F96" s="1075">
        <v>3</v>
      </c>
      <c r="G96" s="1019"/>
      <c r="H96" s="1247">
        <f t="shared" si="15"/>
        <v>0</v>
      </c>
      <c r="I96" s="1020"/>
      <c r="J96" s="1075">
        <v>3</v>
      </c>
      <c r="K96" s="1019"/>
      <c r="L96" s="1247">
        <f t="shared" si="16"/>
        <v>0</v>
      </c>
      <c r="M96" s="1020"/>
      <c r="N96" s="1075">
        <v>3</v>
      </c>
      <c r="O96" s="1019"/>
      <c r="P96" s="1248">
        <f t="shared" si="17"/>
        <v>0</v>
      </c>
      <c r="Q96" s="1020"/>
      <c r="R96" s="1020" t="str">
        <f>IFERROR(INDEX('[18]Gui chi Quynh'!$E$11:$E$397,MATCH(B96,'[18]Gui chi Quynh'!$B$11:$B$397,0)),"")</f>
        <v>A3</v>
      </c>
      <c r="S96" s="1020">
        <f t="shared" si="18"/>
        <v>0.6</v>
      </c>
      <c r="T96" s="1020" t="str">
        <f>VLOOKUP(B96,'[19]Gui chi Quynh'!$B$11:$E$397,4,FALSE)</f>
        <v>A DN</v>
      </c>
      <c r="U96" s="1020">
        <f t="shared" si="19"/>
        <v>0</v>
      </c>
      <c r="V96" s="1020" t="str">
        <f>VLOOKUP(B96,'[20]Gui chi Quynh'!$B$11:$E$396,4,FALSE)</f>
        <v>A3</v>
      </c>
      <c r="W96" s="1020">
        <f t="shared" si="20"/>
        <v>0.6</v>
      </c>
      <c r="X96" s="1020">
        <f>IFERROR(INDEX('[21]CN BC'!$J$10:$J$275,MATCH(B96,'[21]CN BC'!$H$10:$H$275,0)),"")</f>
        <v>21</v>
      </c>
      <c r="Y96" s="1020">
        <f>IFERROR(INDEX('[22]CN BC'!$J$10:$J$274,MATCH(B96,'[22]CN BC'!$H$10:$H$274,0)),"")</f>
        <v>0</v>
      </c>
      <c r="Z96" s="1020">
        <f>VLOOKUP(B96,'[23]CN BC'!$H$10:$J$275,3,FALSE)</f>
        <v>19</v>
      </c>
      <c r="AA96" s="1021">
        <f t="shared" si="21"/>
        <v>21</v>
      </c>
      <c r="AB96" s="1021">
        <f t="shared" si="22"/>
        <v>0</v>
      </c>
      <c r="AC96" s="1021">
        <f t="shared" si="23"/>
        <v>19</v>
      </c>
      <c r="AD96" s="1022"/>
      <c r="AE96" s="1023">
        <f t="shared" si="24"/>
        <v>8057739</v>
      </c>
      <c r="AF96" s="1371">
        <f t="shared" si="25"/>
        <v>3.4434782051282053</v>
      </c>
      <c r="AG96" s="1102">
        <v>2340000</v>
      </c>
      <c r="AH96" s="1373">
        <f t="shared" si="26"/>
        <v>8057739.0000000009</v>
      </c>
      <c r="AI96" s="1024">
        <f t="shared" si="14"/>
        <v>79</v>
      </c>
      <c r="AJ96" s="1025">
        <f>IFERROR(INDEX('[17]CN BC'!$M$10:$M$276,MATCH(B96,'[17]CN BC'!$H$10:$H$276,0)),"")</f>
        <v>0</v>
      </c>
      <c r="AK96" s="1011" t="str">
        <f>VLOOKUP(B96,TH.T4!B99:AC429,28,FALSE)</f>
        <v>KT</v>
      </c>
      <c r="AL96" s="1012"/>
      <c r="AM96" s="1012"/>
      <c r="AN96" s="1027"/>
      <c r="AO96" s="1012"/>
      <c r="AP96" s="1012"/>
      <c r="AQ96" s="1012"/>
      <c r="AR96" s="1012"/>
      <c r="AS96" s="1012"/>
      <c r="AT96" s="1012"/>
    </row>
    <row r="97" spans="1:46" s="1028" customFormat="1" ht="26.25" customHeight="1">
      <c r="A97" s="1014">
        <f>_xlfn.AGGREGATE(4,7,A$17:A96)+1</f>
        <v>80</v>
      </c>
      <c r="B97" s="1015" t="s">
        <v>1473</v>
      </c>
      <c r="C97" s="1033" t="s">
        <v>1683</v>
      </c>
      <c r="D97" s="1045" t="s">
        <v>1583</v>
      </c>
      <c r="E97" s="81" t="str">
        <f>VLOOKUP(B97,TH.T6!B102:J432,9,FALSE)</f>
        <v>Phó Trưởng khoa Kinh tế</v>
      </c>
      <c r="F97" s="1040">
        <v>3.66</v>
      </c>
      <c r="G97" s="1019"/>
      <c r="H97" s="1247">
        <f t="shared" si="15"/>
        <v>0</v>
      </c>
      <c r="I97" s="1020">
        <v>0.35</v>
      </c>
      <c r="J97" s="1040">
        <v>3.66</v>
      </c>
      <c r="K97" s="1019"/>
      <c r="L97" s="1247">
        <f t="shared" si="16"/>
        <v>0</v>
      </c>
      <c r="M97" s="1020">
        <v>0.35</v>
      </c>
      <c r="N97" s="1040">
        <v>3.66</v>
      </c>
      <c r="O97" s="1019"/>
      <c r="P97" s="1248">
        <f t="shared" si="17"/>
        <v>0</v>
      </c>
      <c r="Q97" s="1020">
        <v>0.35</v>
      </c>
      <c r="R97" s="1020" t="str">
        <f>IFERROR(INDEX('[18]Gui chi Quynh'!$E$11:$E$397,MATCH(B97,'[18]Gui chi Quynh'!$B$11:$B$397,0)),"")</f>
        <v>A3</v>
      </c>
      <c r="S97" s="1020">
        <f t="shared" si="18"/>
        <v>0.6</v>
      </c>
      <c r="T97" s="1020" t="str">
        <f>VLOOKUP(B97,'[19]Gui chi Quynh'!$B$11:$E$397,4,FALSE)</f>
        <v>A4</v>
      </c>
      <c r="U97" s="1020">
        <f t="shared" si="19"/>
        <v>0.5</v>
      </c>
      <c r="V97" s="1020" t="str">
        <f>VLOOKUP(B97,'[20]Gui chi Quynh'!$B$11:$E$396,4,FALSE)</f>
        <v>A1</v>
      </c>
      <c r="W97" s="1020">
        <f t="shared" si="20"/>
        <v>0.8</v>
      </c>
      <c r="X97" s="1020">
        <f>IFERROR(INDEX('[21]CN BC'!$J$10:$J$275,MATCH(B97,'[21]CN BC'!$H$10:$H$275,0)),"")</f>
        <v>23</v>
      </c>
      <c r="Y97" s="1020">
        <f>IFERROR(INDEX('[22]CN BC'!$J$10:$J$274,MATCH(B97,'[22]CN BC'!$H$10:$H$274,0)),"")</f>
        <v>13</v>
      </c>
      <c r="Z97" s="1020">
        <f>VLOOKUP(B97,'[23]CN BC'!$H$10:$J$275,3,FALSE)</f>
        <v>19</v>
      </c>
      <c r="AA97" s="1021">
        <f t="shared" si="21"/>
        <v>23</v>
      </c>
      <c r="AB97" s="1021">
        <f t="shared" si="22"/>
        <v>13</v>
      </c>
      <c r="AC97" s="1021">
        <f t="shared" si="23"/>
        <v>19</v>
      </c>
      <c r="AD97" s="1022"/>
      <c r="AE97" s="1023">
        <f t="shared" si="24"/>
        <v>15909128</v>
      </c>
      <c r="AF97" s="1371">
        <f t="shared" si="25"/>
        <v>6.7987726495726495</v>
      </c>
      <c r="AG97" s="1102">
        <v>2340000</v>
      </c>
      <c r="AH97" s="1373">
        <f t="shared" si="26"/>
        <v>15909128</v>
      </c>
      <c r="AI97" s="1024">
        <f t="shared" si="14"/>
        <v>80</v>
      </c>
      <c r="AJ97" s="1025">
        <f>IFERROR(INDEX('[17]CN BC'!$M$10:$M$276,MATCH(B97,'[17]CN BC'!$H$10:$H$276,0)),"")</f>
        <v>0</v>
      </c>
      <c r="AK97" s="1011" t="str">
        <f>VLOOKUP(B97,TH.T4!B100:AC430,28,FALSE)</f>
        <v>KT</v>
      </c>
      <c r="AN97" s="1038"/>
    </row>
    <row r="98" spans="1:46" s="1028" customFormat="1" ht="26.25" customHeight="1">
      <c r="A98" s="1014">
        <f>_xlfn.AGGREGATE(4,7,A$17:A97)+1</f>
        <v>81</v>
      </c>
      <c r="B98" s="1077" t="s">
        <v>1928</v>
      </c>
      <c r="C98" s="1033" t="s">
        <v>1961</v>
      </c>
      <c r="D98" s="1059" t="s">
        <v>1934</v>
      </c>
      <c r="E98" s="81" t="str">
        <f>VLOOKUP(B98,TH.T6!B103:J433,9,FALSE)</f>
        <v>Giảng viên khoa Du lịch - Khách sạn</v>
      </c>
      <c r="F98" s="1075">
        <v>2.34</v>
      </c>
      <c r="G98" s="1019"/>
      <c r="H98" s="1247">
        <f t="shared" si="15"/>
        <v>0</v>
      </c>
      <c r="I98" s="1020"/>
      <c r="J98" s="1075">
        <v>2.34</v>
      </c>
      <c r="K98" s="1019"/>
      <c r="L98" s="1247">
        <f t="shared" si="16"/>
        <v>0</v>
      </c>
      <c r="M98" s="1020"/>
      <c r="N98" s="1075">
        <v>2.34</v>
      </c>
      <c r="O98" s="1019"/>
      <c r="P98" s="1248">
        <f t="shared" si="17"/>
        <v>0</v>
      </c>
      <c r="Q98" s="1020"/>
      <c r="R98" s="1020" t="str">
        <f>IFERROR(INDEX('[18]Gui chi Quynh'!$E$11:$E$397,MATCH(B98,'[18]Gui chi Quynh'!$B$11:$B$397,0)),"")</f>
        <v>A3</v>
      </c>
      <c r="S98" s="1020">
        <f t="shared" si="18"/>
        <v>0.6</v>
      </c>
      <c r="T98" s="1020" t="str">
        <f>VLOOKUP(B98,'[19]Gui chi Quynh'!$B$11:$E$397,4,FALSE)</f>
        <v>A DN</v>
      </c>
      <c r="U98" s="1020">
        <f t="shared" si="19"/>
        <v>0</v>
      </c>
      <c r="V98" s="1020" t="str">
        <f>VLOOKUP(B98,'[20]Gui chi Quynh'!$B$11:$E$396,4,FALSE)</f>
        <v>A3</v>
      </c>
      <c r="W98" s="1020">
        <f t="shared" si="20"/>
        <v>0.6</v>
      </c>
      <c r="X98" s="1020">
        <f>IFERROR(INDEX('[21]CN BC'!$J$10:$J$275,MATCH(B98,'[21]CN BC'!$H$10:$H$275,0)),"")</f>
        <v>21</v>
      </c>
      <c r="Y98" s="1020">
        <f>IFERROR(INDEX('[22]CN BC'!$J$10:$J$274,MATCH(B98,'[22]CN BC'!$H$10:$H$274,0)),"")</f>
        <v>0</v>
      </c>
      <c r="Z98" s="1020">
        <f>VLOOKUP(B98,'[23]CN BC'!$H$10:$J$275,3,FALSE)</f>
        <v>19</v>
      </c>
      <c r="AA98" s="1021">
        <f t="shared" si="21"/>
        <v>21</v>
      </c>
      <c r="AB98" s="1021">
        <f t="shared" si="22"/>
        <v>0</v>
      </c>
      <c r="AC98" s="1021">
        <f t="shared" si="23"/>
        <v>19</v>
      </c>
      <c r="AD98" s="1022"/>
      <c r="AE98" s="1023">
        <f t="shared" si="24"/>
        <v>6285037</v>
      </c>
      <c r="AF98" s="1371">
        <f t="shared" si="25"/>
        <v>2.6859132478632479</v>
      </c>
      <c r="AG98" s="1102">
        <v>2340000</v>
      </c>
      <c r="AH98" s="1373">
        <f t="shared" si="26"/>
        <v>6285037</v>
      </c>
      <c r="AI98" s="1024">
        <f t="shared" si="14"/>
        <v>81</v>
      </c>
      <c r="AJ98" s="1025">
        <f>IFERROR(INDEX('[17]CN BC'!$M$10:$M$276,MATCH(B98,'[17]CN BC'!$H$10:$H$276,0)),"")</f>
        <v>0</v>
      </c>
      <c r="AK98" s="1011" t="str">
        <f>VLOOKUP(B98,TH.T4!B101:AC431,28,FALSE)</f>
        <v>KT</v>
      </c>
      <c r="AN98" s="1038"/>
    </row>
    <row r="99" spans="1:46" s="1028" customFormat="1" ht="32.25" customHeight="1">
      <c r="A99" s="1014">
        <f>_xlfn.AGGREGATE(4,7,A$17:A98)+1</f>
        <v>82</v>
      </c>
      <c r="B99" s="1015" t="s">
        <v>1474</v>
      </c>
      <c r="C99" s="1033" t="s">
        <v>1684</v>
      </c>
      <c r="D99" s="1045" t="s">
        <v>1584</v>
      </c>
      <c r="E99" s="81" t="str">
        <f>VLOOKUP(B99,TH.T6!B104:J434,9,FALSE)</f>
        <v>Giảng viên khoa Kinh tế</v>
      </c>
      <c r="F99" s="1040">
        <v>3.33</v>
      </c>
      <c r="G99" s="1019"/>
      <c r="H99" s="1247">
        <f t="shared" si="15"/>
        <v>0</v>
      </c>
      <c r="I99" s="1020"/>
      <c r="J99" s="1040">
        <v>3.33</v>
      </c>
      <c r="K99" s="1019"/>
      <c r="L99" s="1247">
        <f t="shared" si="16"/>
        <v>0</v>
      </c>
      <c r="M99" s="1020"/>
      <c r="N99" s="1040">
        <v>3.33</v>
      </c>
      <c r="O99" s="1019"/>
      <c r="P99" s="1248">
        <f t="shared" si="17"/>
        <v>0</v>
      </c>
      <c r="Q99" s="1020"/>
      <c r="R99" s="1020" t="str">
        <f>IFERROR(INDEX('[18]Gui chi Quynh'!$E$11:$E$397,MATCH(B99,'[18]Gui chi Quynh'!$B$11:$B$397,0)),"")</f>
        <v>A3</v>
      </c>
      <c r="S99" s="1020">
        <f t="shared" si="18"/>
        <v>0.6</v>
      </c>
      <c r="T99" s="1020" t="str">
        <f>VLOOKUP(B99,'[19]Gui chi Quynh'!$B$11:$E$397,4,FALSE)</f>
        <v>A DN</v>
      </c>
      <c r="U99" s="1020">
        <f t="shared" si="19"/>
        <v>0</v>
      </c>
      <c r="V99" s="1020" t="str">
        <f>VLOOKUP(B99,'[20]Gui chi Quynh'!$B$11:$E$396,4,FALSE)</f>
        <v>A3</v>
      </c>
      <c r="W99" s="1020">
        <f t="shared" si="20"/>
        <v>0.6</v>
      </c>
      <c r="X99" s="1020">
        <f>IFERROR(INDEX('[21]CN BC'!$J$10:$J$275,MATCH(B99,'[21]CN BC'!$H$10:$H$275,0)),"")</f>
        <v>23</v>
      </c>
      <c r="Y99" s="1020">
        <f>IFERROR(INDEX('[22]CN BC'!$J$10:$J$274,MATCH(B99,'[22]CN BC'!$H$10:$H$274,0)),"")</f>
        <v>0</v>
      </c>
      <c r="Z99" s="1020">
        <f>VLOOKUP(B99,'[23]CN BC'!$H$10:$J$275,3,FALSE)</f>
        <v>19</v>
      </c>
      <c r="AA99" s="1021">
        <f t="shared" si="21"/>
        <v>23</v>
      </c>
      <c r="AB99" s="1021">
        <f t="shared" si="22"/>
        <v>0</v>
      </c>
      <c r="AC99" s="1021">
        <f t="shared" si="23"/>
        <v>19</v>
      </c>
      <c r="AD99" s="1022"/>
      <c r="AE99" s="1023">
        <f t="shared" si="24"/>
        <v>9350640</v>
      </c>
      <c r="AF99" s="1371">
        <f t="shared" si="25"/>
        <v>3.996</v>
      </c>
      <c r="AG99" s="1102">
        <v>2340000</v>
      </c>
      <c r="AH99" s="1373">
        <f t="shared" si="26"/>
        <v>9350640</v>
      </c>
      <c r="AI99" s="1024">
        <f t="shared" si="14"/>
        <v>82</v>
      </c>
      <c r="AJ99" s="1025">
        <f>IFERROR(INDEX('[17]CN BC'!$M$10:$M$276,MATCH(B99,'[17]CN BC'!$H$10:$H$276,0)),"")</f>
        <v>0</v>
      </c>
      <c r="AK99" s="1011" t="str">
        <f>VLOOKUP(B99,TH.T4!B102:AC432,28,FALSE)</f>
        <v>KT</v>
      </c>
      <c r="AN99" s="1038"/>
    </row>
    <row r="100" spans="1:46" s="1028" customFormat="1" ht="28.5" customHeight="1">
      <c r="A100" s="1014">
        <f>_xlfn.AGGREGATE(4,7,A$17:A99)+1</f>
        <v>83</v>
      </c>
      <c r="B100" s="1015" t="s">
        <v>1571</v>
      </c>
      <c r="C100" s="1033" t="s">
        <v>1685</v>
      </c>
      <c r="D100" s="1074" t="s">
        <v>1572</v>
      </c>
      <c r="E100" s="81" t="str">
        <f>VLOOKUP(B100,TH.T6!B105:J435,9,FALSE)</f>
        <v>Giảng viên khoa Kinh tế</v>
      </c>
      <c r="F100" s="1075">
        <v>3</v>
      </c>
      <c r="G100" s="1019"/>
      <c r="H100" s="1247">
        <f t="shared" si="15"/>
        <v>0</v>
      </c>
      <c r="I100" s="1020"/>
      <c r="J100" s="1075">
        <v>3</v>
      </c>
      <c r="K100" s="1019"/>
      <c r="L100" s="1247">
        <f t="shared" si="16"/>
        <v>0</v>
      </c>
      <c r="M100" s="1020"/>
      <c r="N100" s="1075">
        <v>3</v>
      </c>
      <c r="O100" s="1019"/>
      <c r="P100" s="1248">
        <f t="shared" si="17"/>
        <v>0</v>
      </c>
      <c r="Q100" s="1020"/>
      <c r="R100" s="1020" t="str">
        <f>IFERROR(INDEX('[18]Gui chi Quynh'!$E$11:$E$397,MATCH(B100,'[18]Gui chi Quynh'!$B$11:$B$397,0)),"")</f>
        <v>A3</v>
      </c>
      <c r="S100" s="1020">
        <f t="shared" si="18"/>
        <v>0.6</v>
      </c>
      <c r="T100" s="1020" t="str">
        <f>VLOOKUP(B100,'[19]Gui chi Quynh'!$B$11:$E$397,4,FALSE)</f>
        <v>A DN</v>
      </c>
      <c r="U100" s="1020">
        <f t="shared" si="19"/>
        <v>0</v>
      </c>
      <c r="V100" s="1020" t="str">
        <f>VLOOKUP(B100,'[20]Gui chi Quynh'!$B$11:$E$396,4,FALSE)</f>
        <v>A3</v>
      </c>
      <c r="W100" s="1020">
        <f t="shared" si="20"/>
        <v>0.6</v>
      </c>
      <c r="X100" s="1020">
        <f>IFERROR(INDEX('[21]CN BC'!$J$10:$J$275,MATCH(B100,'[21]CN BC'!$H$10:$H$275,0)),"")</f>
        <v>21</v>
      </c>
      <c r="Y100" s="1020">
        <f>IFERROR(INDEX('[22]CN BC'!$J$10:$J$274,MATCH(B100,'[22]CN BC'!$H$10:$H$274,0)),"")</f>
        <v>0</v>
      </c>
      <c r="Z100" s="1020">
        <f>VLOOKUP(B100,'[23]CN BC'!$H$10:$J$275,3,FALSE)</f>
        <v>19</v>
      </c>
      <c r="AA100" s="1021">
        <f t="shared" si="21"/>
        <v>21</v>
      </c>
      <c r="AB100" s="1021">
        <f t="shared" si="22"/>
        <v>0</v>
      </c>
      <c r="AC100" s="1021">
        <f t="shared" si="23"/>
        <v>19</v>
      </c>
      <c r="AD100" s="1022"/>
      <c r="AE100" s="1023">
        <f t="shared" si="24"/>
        <v>8057739</v>
      </c>
      <c r="AF100" s="1371">
        <f t="shared" si="25"/>
        <v>3.4434782051282053</v>
      </c>
      <c r="AG100" s="1102">
        <v>2340000</v>
      </c>
      <c r="AH100" s="1373">
        <f t="shared" si="26"/>
        <v>8057739.0000000009</v>
      </c>
      <c r="AI100" s="1024">
        <f t="shared" si="14"/>
        <v>83</v>
      </c>
      <c r="AJ100" s="1025">
        <f>IFERROR(INDEX('[17]CN BC'!$M$10:$M$276,MATCH(B100,'[17]CN BC'!$H$10:$H$276,0)),"")</f>
        <v>0</v>
      </c>
      <c r="AK100" s="1011" t="str">
        <f>VLOOKUP(B100,TH.T4!B103:AC433,28,FALSE)</f>
        <v>KT</v>
      </c>
      <c r="AL100" s="1012"/>
      <c r="AM100" s="1012"/>
      <c r="AN100" s="1027"/>
      <c r="AO100" s="1012"/>
      <c r="AP100" s="1012"/>
      <c r="AQ100" s="1012"/>
      <c r="AR100" s="1012"/>
      <c r="AS100" s="1012"/>
      <c r="AT100" s="1012"/>
    </row>
    <row r="101" spans="1:46" s="1028" customFormat="1" ht="28.5" customHeight="1">
      <c r="A101" s="1014">
        <f>_xlfn.AGGREGATE(4,7,A$17:A100)+1</f>
        <v>84</v>
      </c>
      <c r="B101" s="1015" t="s">
        <v>1475</v>
      </c>
      <c r="C101" s="1033" t="s">
        <v>1686</v>
      </c>
      <c r="D101" s="1045" t="s">
        <v>1585</v>
      </c>
      <c r="E101" s="81" t="str">
        <f>VLOOKUP(B101,TH.T6!B106:J436,9,FALSE)</f>
        <v>Giảng viên khoa Kinh tế</v>
      </c>
      <c r="F101" s="1040">
        <v>3.66</v>
      </c>
      <c r="G101" s="1019"/>
      <c r="H101" s="1247">
        <f t="shared" si="15"/>
        <v>0</v>
      </c>
      <c r="I101" s="1020"/>
      <c r="J101" s="1040">
        <v>3.66</v>
      </c>
      <c r="K101" s="1019"/>
      <c r="L101" s="1247">
        <f t="shared" si="16"/>
        <v>0</v>
      </c>
      <c r="M101" s="1020"/>
      <c r="N101" s="1040">
        <v>3.66</v>
      </c>
      <c r="O101" s="1019"/>
      <c r="P101" s="1248">
        <f t="shared" si="17"/>
        <v>0</v>
      </c>
      <c r="Q101" s="1020"/>
      <c r="R101" s="1020" t="str">
        <f>IFERROR(INDEX('[18]Gui chi Quynh'!$E$11:$E$397,MATCH(B101,'[18]Gui chi Quynh'!$B$11:$B$397,0)),"")</f>
        <v>A3</v>
      </c>
      <c r="S101" s="1020">
        <f t="shared" si="18"/>
        <v>0.6</v>
      </c>
      <c r="T101" s="1020" t="str">
        <f>VLOOKUP(B101,'[19]Gui chi Quynh'!$B$11:$E$397,4,FALSE)</f>
        <v>A DN</v>
      </c>
      <c r="U101" s="1020">
        <f t="shared" si="19"/>
        <v>0</v>
      </c>
      <c r="V101" s="1020" t="str">
        <f>VLOOKUP(B101,'[20]Gui chi Quynh'!$B$11:$E$396,4,FALSE)</f>
        <v>A2</v>
      </c>
      <c r="W101" s="1020">
        <f t="shared" si="20"/>
        <v>0.7</v>
      </c>
      <c r="X101" s="1020">
        <f>IFERROR(INDEX('[21]CN BC'!$J$10:$J$275,MATCH(B101,'[21]CN BC'!$H$10:$H$275,0)),"")</f>
        <v>23</v>
      </c>
      <c r="Y101" s="1020">
        <f>IFERROR(INDEX('[22]CN BC'!$J$10:$J$274,MATCH(B101,'[22]CN BC'!$H$10:$H$274,0)),"")</f>
        <v>0</v>
      </c>
      <c r="Z101" s="1020">
        <f>VLOOKUP(B101,'[23]CN BC'!$H$10:$J$275,3,FALSE)</f>
        <v>19</v>
      </c>
      <c r="AA101" s="1021">
        <f t="shared" si="21"/>
        <v>23</v>
      </c>
      <c r="AB101" s="1021">
        <f t="shared" si="22"/>
        <v>0</v>
      </c>
      <c r="AC101" s="1021">
        <f t="shared" si="23"/>
        <v>19</v>
      </c>
      <c r="AD101" s="1022"/>
      <c r="AE101" s="1023">
        <f t="shared" si="24"/>
        <v>11133720</v>
      </c>
      <c r="AF101" s="1371">
        <f t="shared" si="25"/>
        <v>4.758</v>
      </c>
      <c r="AG101" s="1102">
        <v>2340000</v>
      </c>
      <c r="AH101" s="1373">
        <f t="shared" si="26"/>
        <v>11133720</v>
      </c>
      <c r="AI101" s="1024">
        <f t="shared" si="14"/>
        <v>84</v>
      </c>
      <c r="AJ101" s="1025">
        <f>IFERROR(INDEX('[17]CN BC'!$M$10:$M$276,MATCH(B101,'[17]CN BC'!$H$10:$H$276,0)),"")</f>
        <v>0</v>
      </c>
      <c r="AK101" s="1011" t="str">
        <f>VLOOKUP(B101,TH.T4!B104:AC434,28,FALSE)</f>
        <v>KT</v>
      </c>
      <c r="AL101" s="1046"/>
      <c r="AM101" s="1012"/>
      <c r="AN101" s="1027"/>
    </row>
    <row r="102" spans="1:46" s="1028" customFormat="1" ht="28.5" customHeight="1">
      <c r="A102" s="1014">
        <f>_xlfn.AGGREGATE(4,7,A$17:A101)+1</f>
        <v>85</v>
      </c>
      <c r="B102" s="1015" t="s">
        <v>1476</v>
      </c>
      <c r="C102" s="1033" t="s">
        <v>1687</v>
      </c>
      <c r="D102" s="1045" t="s">
        <v>1586</v>
      </c>
      <c r="E102" s="81" t="str">
        <f>VLOOKUP(B102,TH.T6!B107:J437,9,FALSE)</f>
        <v>Giảng viên khoa Du lịch - Khách sạn</v>
      </c>
      <c r="F102" s="1040">
        <v>3</v>
      </c>
      <c r="G102" s="1019"/>
      <c r="H102" s="1247">
        <f t="shared" si="15"/>
        <v>0</v>
      </c>
      <c r="I102" s="1020"/>
      <c r="J102" s="1040">
        <v>3</v>
      </c>
      <c r="K102" s="1019"/>
      <c r="L102" s="1247">
        <f t="shared" si="16"/>
        <v>0</v>
      </c>
      <c r="M102" s="1020"/>
      <c r="N102" s="1040">
        <v>3</v>
      </c>
      <c r="O102" s="1019"/>
      <c r="P102" s="1248">
        <f t="shared" si="17"/>
        <v>0</v>
      </c>
      <c r="Q102" s="1020"/>
      <c r="R102" s="1020" t="str">
        <f>IFERROR(INDEX('[18]Gui chi Quynh'!$E$11:$E$397,MATCH(B102,'[18]Gui chi Quynh'!$B$11:$B$397,0)),"")</f>
        <v>A3</v>
      </c>
      <c r="S102" s="1020">
        <f t="shared" si="18"/>
        <v>0.6</v>
      </c>
      <c r="T102" s="1020" t="str">
        <f>VLOOKUP(B102,'[19]Gui chi Quynh'!$B$11:$E$397,4,FALSE)</f>
        <v>A DN</v>
      </c>
      <c r="U102" s="1020">
        <f t="shared" si="19"/>
        <v>0</v>
      </c>
      <c r="V102" s="1020" t="str">
        <f>VLOOKUP(B102,'[20]Gui chi Quynh'!$B$11:$E$396,4,FALSE)</f>
        <v>A4</v>
      </c>
      <c r="W102" s="1020">
        <f t="shared" si="20"/>
        <v>0.5</v>
      </c>
      <c r="X102" s="1020">
        <f>IFERROR(INDEX('[21]CN BC'!$J$10:$J$275,MATCH(B102,'[21]CN BC'!$H$10:$H$275,0)),"")</f>
        <v>23</v>
      </c>
      <c r="Y102" s="1020">
        <f>IFERROR(INDEX('[22]CN BC'!$J$10:$J$274,MATCH(B102,'[22]CN BC'!$H$10:$H$274,0)),"")</f>
        <v>0</v>
      </c>
      <c r="Z102" s="1020">
        <f>VLOOKUP(B102,'[23]CN BC'!$H$10:$J$275,3,FALSE)</f>
        <v>19</v>
      </c>
      <c r="AA102" s="1021">
        <f t="shared" si="21"/>
        <v>23</v>
      </c>
      <c r="AB102" s="1021">
        <f t="shared" si="22"/>
        <v>0</v>
      </c>
      <c r="AC102" s="1021">
        <f t="shared" si="23"/>
        <v>19</v>
      </c>
      <c r="AD102" s="1022"/>
      <c r="AE102" s="1023">
        <f t="shared" si="24"/>
        <v>7722000</v>
      </c>
      <c r="AF102" s="1371">
        <f t="shared" si="25"/>
        <v>3.3</v>
      </c>
      <c r="AG102" s="1102">
        <v>2340000</v>
      </c>
      <c r="AH102" s="1373">
        <f t="shared" si="26"/>
        <v>7722000</v>
      </c>
      <c r="AI102" s="1024">
        <f t="shared" si="14"/>
        <v>85</v>
      </c>
      <c r="AJ102" s="1025">
        <f>IFERROR(INDEX('[17]CN BC'!$M$10:$M$276,MATCH(B102,'[17]CN BC'!$H$10:$H$276,0)),"")</f>
        <v>0</v>
      </c>
      <c r="AK102" s="1011" t="s">
        <v>2236</v>
      </c>
      <c r="AL102" s="1012"/>
      <c r="AM102" s="1012"/>
      <c r="AN102" s="1027"/>
      <c r="AO102" s="1012"/>
      <c r="AP102" s="1012"/>
      <c r="AQ102" s="1012"/>
      <c r="AR102" s="1012"/>
      <c r="AS102" s="1012"/>
      <c r="AT102" s="1012"/>
    </row>
    <row r="103" spans="1:46" s="1028" customFormat="1" ht="28.5" customHeight="1">
      <c r="A103" s="1014">
        <f>_xlfn.AGGREGATE(4,7,A$17:A102)+1</f>
        <v>86</v>
      </c>
      <c r="B103" s="1015" t="s">
        <v>1477</v>
      </c>
      <c r="C103" s="1033" t="s">
        <v>1688</v>
      </c>
      <c r="D103" s="1045" t="s">
        <v>1587</v>
      </c>
      <c r="E103" s="81" t="str">
        <f>VLOOKUP(B103,TH.T6!B108:J438,9,FALSE)</f>
        <v>Giảng viên khoa Du lịch - Khách sạn</v>
      </c>
      <c r="F103" s="1040">
        <v>3.66</v>
      </c>
      <c r="G103" s="1019"/>
      <c r="H103" s="1247">
        <f t="shared" si="15"/>
        <v>0</v>
      </c>
      <c r="I103" s="1020">
        <v>0.25</v>
      </c>
      <c r="J103" s="1040">
        <v>3.66</v>
      </c>
      <c r="K103" s="1019"/>
      <c r="L103" s="1247">
        <f t="shared" si="16"/>
        <v>0</v>
      </c>
      <c r="M103" s="1020">
        <v>0.25</v>
      </c>
      <c r="N103" s="1040">
        <v>3.66</v>
      </c>
      <c r="O103" s="1019"/>
      <c r="P103" s="1248">
        <f t="shared" si="17"/>
        <v>0</v>
      </c>
      <c r="Q103" s="1020">
        <v>0.25</v>
      </c>
      <c r="R103" s="1020" t="str">
        <f>IFERROR(INDEX('[18]Gui chi Quynh'!$E$11:$E$397,MATCH(B103,'[18]Gui chi Quynh'!$B$11:$B$397,0)),"")</f>
        <v>A1</v>
      </c>
      <c r="S103" s="1020">
        <f t="shared" si="18"/>
        <v>0.8</v>
      </c>
      <c r="T103" s="1020" t="str">
        <f>VLOOKUP(B103,'[19]Gui chi Quynh'!$B$11:$E$397,4,FALSE)</f>
        <v>A DN</v>
      </c>
      <c r="U103" s="1020">
        <f t="shared" si="19"/>
        <v>0</v>
      </c>
      <c r="V103" s="1020" t="str">
        <f>VLOOKUP(B103,'[20]Gui chi Quynh'!$B$11:$E$396,4,FALSE)</f>
        <v>A1</v>
      </c>
      <c r="W103" s="1020">
        <f t="shared" si="20"/>
        <v>0.8</v>
      </c>
      <c r="X103" s="1020">
        <f>IFERROR(INDEX('[21]CN BC'!$J$10:$J$275,MATCH(B103,'[21]CN BC'!$H$10:$H$275,0)),"")</f>
        <v>23</v>
      </c>
      <c r="Y103" s="1020">
        <f>IFERROR(INDEX('[22]CN BC'!$J$10:$J$274,MATCH(B103,'[22]CN BC'!$H$10:$H$274,0)),"")</f>
        <v>0</v>
      </c>
      <c r="Z103" s="1020">
        <f>VLOOKUP(B103,'[23]CN BC'!$H$10:$J$275,3,FALSE)</f>
        <v>19</v>
      </c>
      <c r="AA103" s="1021">
        <f t="shared" si="21"/>
        <v>23</v>
      </c>
      <c r="AB103" s="1021">
        <f t="shared" si="22"/>
        <v>0</v>
      </c>
      <c r="AC103" s="1021">
        <f t="shared" si="23"/>
        <v>19</v>
      </c>
      <c r="AD103" s="1022"/>
      <c r="AE103" s="1023">
        <f t="shared" si="24"/>
        <v>14639040</v>
      </c>
      <c r="AF103" s="1371">
        <f t="shared" si="25"/>
        <v>6.2560000000000002</v>
      </c>
      <c r="AG103" s="1102">
        <v>2340000</v>
      </c>
      <c r="AH103" s="1373">
        <f t="shared" si="26"/>
        <v>14639040</v>
      </c>
      <c r="AI103" s="1024">
        <f t="shared" si="14"/>
        <v>86</v>
      </c>
      <c r="AJ103" s="1025">
        <f>IFERROR(INDEX('[17]CN BC'!$M$10:$M$276,MATCH(B103,'[17]CN BC'!$H$10:$H$276,0)),"")</f>
        <v>0</v>
      </c>
      <c r="AK103" s="1011" t="str">
        <f>VLOOKUP(B103,TH.T4!B106:AC436,28,FALSE)</f>
        <v>DLKS</v>
      </c>
      <c r="AL103" s="1012"/>
      <c r="AM103" s="1012"/>
      <c r="AN103" s="1027"/>
      <c r="AO103" s="1012"/>
      <c r="AP103" s="1012"/>
      <c r="AQ103" s="1012"/>
      <c r="AR103" s="1012"/>
      <c r="AS103" s="1012"/>
      <c r="AT103" s="1012"/>
    </row>
    <row r="104" spans="1:46" s="1028" customFormat="1" ht="28.5" customHeight="1">
      <c r="A104" s="1014">
        <f>_xlfn.AGGREGATE(4,7,A$17:A103)+1</f>
        <v>87</v>
      </c>
      <c r="B104" s="1077" t="s">
        <v>1842</v>
      </c>
      <c r="C104" s="1033" t="s">
        <v>1962</v>
      </c>
      <c r="D104" s="1059" t="s">
        <v>1933</v>
      </c>
      <c r="E104" s="81" t="str">
        <f>VLOOKUP(B104,TH.T6!B109:J439,9,FALSE)</f>
        <v>Giảng viên khoa Kinh tế</v>
      </c>
      <c r="F104" s="1040">
        <v>3</v>
      </c>
      <c r="G104" s="1019"/>
      <c r="H104" s="1247">
        <f t="shared" si="15"/>
        <v>0</v>
      </c>
      <c r="I104" s="1020"/>
      <c r="J104" s="1040">
        <v>3</v>
      </c>
      <c r="K104" s="1019"/>
      <c r="L104" s="1247">
        <f t="shared" si="16"/>
        <v>0</v>
      </c>
      <c r="M104" s="1020"/>
      <c r="N104" s="1040">
        <v>3</v>
      </c>
      <c r="O104" s="1019"/>
      <c r="P104" s="1248">
        <f t="shared" si="17"/>
        <v>0</v>
      </c>
      <c r="Q104" s="1020"/>
      <c r="R104" s="1020" t="str">
        <f>IFERROR(INDEX('[18]Gui chi Quynh'!$E$11:$E$397,MATCH(B104,'[18]Gui chi Quynh'!$B$11:$B$397,0)),"")</f>
        <v>A3</v>
      </c>
      <c r="S104" s="1020">
        <f t="shared" si="18"/>
        <v>0.6</v>
      </c>
      <c r="T104" s="1020" t="str">
        <f>VLOOKUP(B104,'[19]Gui chi Quynh'!$B$11:$E$397,4,FALSE)</f>
        <v>A DN</v>
      </c>
      <c r="U104" s="1020">
        <f t="shared" si="19"/>
        <v>0</v>
      </c>
      <c r="V104" s="1020" t="str">
        <f>VLOOKUP(B104,'[20]Gui chi Quynh'!$B$11:$E$396,4,FALSE)</f>
        <v>A1</v>
      </c>
      <c r="W104" s="1020">
        <f t="shared" si="20"/>
        <v>0.8</v>
      </c>
      <c r="X104" s="1020">
        <f>IFERROR(INDEX('[21]CN BC'!$J$10:$J$275,MATCH(B104,'[21]CN BC'!$H$10:$H$275,0)),"")</f>
        <v>23</v>
      </c>
      <c r="Y104" s="1020">
        <f>IFERROR(INDEX('[22]CN BC'!$J$10:$J$274,MATCH(B104,'[22]CN BC'!$H$10:$H$274,0)),"")</f>
        <v>0</v>
      </c>
      <c r="Z104" s="1020">
        <f>VLOOKUP(B104,'[23]CN BC'!$H$10:$J$275,3,FALSE)</f>
        <v>19</v>
      </c>
      <c r="AA104" s="1021">
        <f t="shared" si="21"/>
        <v>23</v>
      </c>
      <c r="AB104" s="1021">
        <f t="shared" si="22"/>
        <v>0</v>
      </c>
      <c r="AC104" s="1021">
        <f t="shared" si="23"/>
        <v>19</v>
      </c>
      <c r="AD104" s="1022"/>
      <c r="AE104" s="1023">
        <f t="shared" si="24"/>
        <v>9828000</v>
      </c>
      <c r="AF104" s="1371">
        <f t="shared" si="25"/>
        <v>4.2</v>
      </c>
      <c r="AG104" s="1102">
        <v>2340000</v>
      </c>
      <c r="AH104" s="1373">
        <f t="shared" si="26"/>
        <v>9828000</v>
      </c>
      <c r="AI104" s="1024">
        <f t="shared" si="14"/>
        <v>87</v>
      </c>
      <c r="AJ104" s="1025" t="str">
        <f>IFERROR(INDEX('[17]CN BC'!$M$10:$M$276,MATCH(B104,'[17]CN BC'!$H$10:$H$276,0)),"")</f>
        <v>Hỗ trợ công việc phòng KHTC</v>
      </c>
      <c r="AK104" s="1011" t="str">
        <f>VLOOKUP(B104,TH.T4!B107:AC437,28,FALSE)</f>
        <v>KT</v>
      </c>
      <c r="AL104" s="1012"/>
      <c r="AM104" s="1012"/>
      <c r="AN104" s="1027"/>
      <c r="AO104" s="1012"/>
      <c r="AP104" s="1012"/>
      <c r="AQ104" s="1012"/>
      <c r="AR104" s="1012"/>
      <c r="AS104" s="1012"/>
      <c r="AT104" s="1012"/>
    </row>
    <row r="105" spans="1:46" s="1028" customFormat="1" ht="28.5" customHeight="1">
      <c r="A105" s="1014">
        <f>_xlfn.AGGREGATE(4,7,A$17:A104)+1</f>
        <v>88</v>
      </c>
      <c r="B105" s="1077" t="s">
        <v>1946</v>
      </c>
      <c r="C105" s="1014" t="s">
        <v>1950</v>
      </c>
      <c r="D105" s="1059" t="s">
        <v>1951</v>
      </c>
      <c r="E105" s="81" t="str">
        <f>VLOOKUP(B105,TH.T6!B110:J440,9,FALSE)</f>
        <v>Trưởng khoa Du lịch - Khách sạn</v>
      </c>
      <c r="F105" s="1075">
        <v>2.67</v>
      </c>
      <c r="G105" s="1019"/>
      <c r="H105" s="1247">
        <f t="shared" si="15"/>
        <v>0</v>
      </c>
      <c r="I105" s="1020">
        <v>0.45</v>
      </c>
      <c r="J105" s="1075">
        <v>2.67</v>
      </c>
      <c r="K105" s="1019"/>
      <c r="L105" s="1247">
        <f t="shared" si="16"/>
        <v>0</v>
      </c>
      <c r="M105" s="1020">
        <v>0.45</v>
      </c>
      <c r="N105" s="1075">
        <v>2.67</v>
      </c>
      <c r="O105" s="1019"/>
      <c r="P105" s="1248">
        <f t="shared" si="17"/>
        <v>0</v>
      </c>
      <c r="Q105" s="1020">
        <v>0.45</v>
      </c>
      <c r="R105" s="1020" t="str">
        <f>IFERROR(INDEX('[18]Gui chi Quynh'!$E$11:$E$397,MATCH(B105,'[18]Gui chi Quynh'!$B$11:$B$397,0)),"")</f>
        <v>A1</v>
      </c>
      <c r="S105" s="1020">
        <f t="shared" si="18"/>
        <v>0.8</v>
      </c>
      <c r="T105" s="1020" t="str">
        <f>VLOOKUP(B105,'[19]Gui chi Quynh'!$B$11:$E$397,4,FALSE)</f>
        <v>A1</v>
      </c>
      <c r="U105" s="1020">
        <f t="shared" si="19"/>
        <v>0.8</v>
      </c>
      <c r="V105" s="1020" t="str">
        <f>VLOOKUP(B105,'[20]Gui chi Quynh'!$B$11:$E$396,4,FALSE)</f>
        <v>A1</v>
      </c>
      <c r="W105" s="1020">
        <f t="shared" si="20"/>
        <v>0.8</v>
      </c>
      <c r="X105" s="1020">
        <f>IFERROR(INDEX('[21]CN BC'!$J$10:$J$275,MATCH(B105,'[21]CN BC'!$H$10:$H$275,0)),"")</f>
        <v>21</v>
      </c>
      <c r="Y105" s="1020">
        <f>IFERROR(INDEX('[22]CN BC'!$J$10:$J$274,MATCH(B105,'[22]CN BC'!$H$10:$H$274,0)),"")</f>
        <v>22</v>
      </c>
      <c r="Z105" s="1020">
        <f>VLOOKUP(B105,'[23]CN BC'!$H$10:$J$275,3,FALSE)</f>
        <v>19</v>
      </c>
      <c r="AA105" s="1021">
        <f t="shared" si="21"/>
        <v>21</v>
      </c>
      <c r="AB105" s="1021">
        <f t="shared" si="22"/>
        <v>22</v>
      </c>
      <c r="AC105" s="1021">
        <f t="shared" si="23"/>
        <v>19</v>
      </c>
      <c r="AD105" s="1022"/>
      <c r="AE105" s="1023">
        <f t="shared" si="24"/>
        <v>17014038</v>
      </c>
      <c r="AF105" s="1371">
        <f t="shared" si="25"/>
        <v>7.2709564102564102</v>
      </c>
      <c r="AG105" s="1102">
        <v>2340000</v>
      </c>
      <c r="AH105" s="1373">
        <f t="shared" si="26"/>
        <v>17014038</v>
      </c>
      <c r="AI105" s="1024">
        <f t="shared" si="14"/>
        <v>88</v>
      </c>
      <c r="AJ105" s="1025">
        <f>IFERROR(INDEX('[17]CN BC'!$M$10:$M$276,MATCH(B105,'[17]CN BC'!$H$10:$H$276,0)),"")</f>
        <v>0</v>
      </c>
      <c r="AK105" s="1011" t="str">
        <f>VLOOKUP(B105,TH.T4!B108:AC438,28,FALSE)</f>
        <v>DLKS</v>
      </c>
      <c r="AL105" s="1012"/>
      <c r="AM105" s="1012"/>
      <c r="AN105" s="1027"/>
      <c r="AO105" s="1012"/>
      <c r="AP105" s="1012"/>
      <c r="AQ105" s="1012"/>
      <c r="AR105" s="1012"/>
      <c r="AS105" s="1012"/>
      <c r="AT105" s="1012"/>
    </row>
    <row r="106" spans="1:46" s="1028" customFormat="1" ht="36.75" customHeight="1">
      <c r="A106" s="1014">
        <f>_xlfn.AGGREGATE(4,7,A$17:A105)+1</f>
        <v>89</v>
      </c>
      <c r="B106" s="1079" t="s">
        <v>1947</v>
      </c>
      <c r="C106" s="1078" t="s">
        <v>1952</v>
      </c>
      <c r="D106" s="1080" t="s">
        <v>1953</v>
      </c>
      <c r="E106" s="472" t="str">
        <f>VLOOKUP(B106,TH.T6!B111:J441,9,FALSE)</f>
        <v>Giảng viên khoa Du lịch - Khách sạn</v>
      </c>
      <c r="F106" s="1081">
        <v>2.34</v>
      </c>
      <c r="G106" s="1082"/>
      <c r="H106" s="1252">
        <f t="shared" si="15"/>
        <v>0</v>
      </c>
      <c r="I106" s="1083"/>
      <c r="J106" s="1081">
        <v>2.34</v>
      </c>
      <c r="K106" s="1082"/>
      <c r="L106" s="1252">
        <f t="shared" si="16"/>
        <v>0</v>
      </c>
      <c r="M106" s="1083"/>
      <c r="N106" s="1081">
        <v>2.34</v>
      </c>
      <c r="O106" s="1082"/>
      <c r="P106" s="1253">
        <f t="shared" si="17"/>
        <v>0</v>
      </c>
      <c r="Q106" s="1083"/>
      <c r="R106" s="1083" t="str">
        <f>IFERROR(INDEX('[18]Gui chi Quynh'!$E$11:$E$397,MATCH(B106,'[18]Gui chi Quynh'!$B$11:$B$397,0)),"")</f>
        <v>A DN</v>
      </c>
      <c r="S106" s="1083">
        <f t="shared" si="18"/>
        <v>0</v>
      </c>
      <c r="T106" s="1083" t="str">
        <f>VLOOKUP(B106,'[19]Gui chi Quynh'!$B$11:$E$397,4,FALSE)</f>
        <v>A DN</v>
      </c>
      <c r="U106" s="1083">
        <f t="shared" si="19"/>
        <v>0</v>
      </c>
      <c r="V106" s="1083" t="str">
        <f>VLOOKUP(B106,'[20]Gui chi Quynh'!$B$11:$E$396,4,FALSE)</f>
        <v>A DN</v>
      </c>
      <c r="W106" s="1083">
        <f t="shared" si="20"/>
        <v>0</v>
      </c>
      <c r="X106" s="1083">
        <f>IFERROR(INDEX('[21]CN BC'!$J$10:$J$275,MATCH(B106,'[21]CN BC'!$H$10:$H$275,0)),"")</f>
        <v>0</v>
      </c>
      <c r="Y106" s="1083">
        <f>IFERROR(INDEX('[22]CN BC'!$J$10:$J$274,MATCH(B106,'[22]CN BC'!$H$10:$H$274,0)),"")</f>
        <v>0</v>
      </c>
      <c r="Z106" s="1083">
        <f>VLOOKUP(B106,'[23]CN BC'!$H$10:$J$275,3,FALSE)</f>
        <v>0</v>
      </c>
      <c r="AA106" s="1203">
        <f t="shared" si="21"/>
        <v>0</v>
      </c>
      <c r="AB106" s="1203">
        <f t="shared" si="22"/>
        <v>0</v>
      </c>
      <c r="AC106" s="1203">
        <f t="shared" si="23"/>
        <v>0</v>
      </c>
      <c r="AD106" s="1084"/>
      <c r="AE106" s="1204">
        <f t="shared" si="24"/>
        <v>0</v>
      </c>
      <c r="AF106" s="1420">
        <f t="shared" si="25"/>
        <v>0</v>
      </c>
      <c r="AG106" s="1364">
        <v>2340000</v>
      </c>
      <c r="AH106" s="1421">
        <f t="shared" si="26"/>
        <v>0</v>
      </c>
      <c r="AI106" s="1085">
        <f t="shared" si="14"/>
        <v>89</v>
      </c>
      <c r="AJ106" s="1205" t="str">
        <f>IFERROR(INDEX('[17]CN BC'!$M$10:$M$276,MATCH(B106,'[17]CN BC'!$H$10:$H$276,0)),"")</f>
        <v>Đi du học nước ngoài từ 28/2/2023</v>
      </c>
      <c r="AK106" s="1011" t="str">
        <f>VLOOKUP(B106,TH.T4!B109:AC439,28,FALSE)</f>
        <v>DLKS</v>
      </c>
      <c r="AL106" s="1012"/>
      <c r="AM106" s="1012"/>
      <c r="AN106" s="1027"/>
      <c r="AO106" s="1012"/>
      <c r="AP106" s="1012"/>
      <c r="AQ106" s="1012"/>
      <c r="AR106" s="1012"/>
      <c r="AS106" s="1012"/>
      <c r="AT106" s="1012"/>
    </row>
    <row r="107" spans="1:46" s="1028" customFormat="1" ht="28.5" customHeight="1">
      <c r="A107" s="1014">
        <f>_xlfn.AGGREGATE(4,7,A$17:A106)+1</f>
        <v>90</v>
      </c>
      <c r="B107" s="1077" t="s">
        <v>1997</v>
      </c>
      <c r="C107" s="1014"/>
      <c r="D107" s="1059"/>
      <c r="E107" s="81" t="str">
        <f>VLOOKUP(B107,TH.T6!B112:J442,9,FALSE)</f>
        <v>Giảng viên khoa Kinh tế</v>
      </c>
      <c r="F107" s="1075">
        <v>2.34</v>
      </c>
      <c r="G107" s="1019"/>
      <c r="H107" s="1247">
        <f t="shared" si="15"/>
        <v>0</v>
      </c>
      <c r="I107" s="1020"/>
      <c r="J107" s="1075">
        <v>2.34</v>
      </c>
      <c r="K107" s="1019"/>
      <c r="L107" s="1247">
        <f t="shared" si="16"/>
        <v>0</v>
      </c>
      <c r="M107" s="1020"/>
      <c r="N107" s="1075">
        <v>2.34</v>
      </c>
      <c r="O107" s="1019"/>
      <c r="P107" s="1248">
        <f t="shared" si="17"/>
        <v>0</v>
      </c>
      <c r="Q107" s="1020"/>
      <c r="R107" s="1020" t="str">
        <f>IFERROR(INDEX('[18]Gui chi Quynh'!$E$11:$E$397,MATCH(B107,'[18]Gui chi Quynh'!$B$11:$B$397,0)),"")</f>
        <v>A3</v>
      </c>
      <c r="S107" s="1020">
        <f t="shared" si="18"/>
        <v>0.6</v>
      </c>
      <c r="T107" s="1020" t="str">
        <f>VLOOKUP(B107,'[19]Gui chi Quynh'!$B$11:$E$397,4,FALSE)</f>
        <v>A DN</v>
      </c>
      <c r="U107" s="1020">
        <f t="shared" si="19"/>
        <v>0</v>
      </c>
      <c r="V107" s="1020" t="str">
        <f>VLOOKUP(B107,'[20]Gui chi Quynh'!$B$11:$E$396,4,FALSE)</f>
        <v>A2</v>
      </c>
      <c r="W107" s="1020">
        <f t="shared" si="20"/>
        <v>0.7</v>
      </c>
      <c r="X107" s="1020">
        <f>IFERROR(INDEX('[21]CN BC'!$J$10:$J$275,MATCH(B107,'[21]CN BC'!$H$10:$H$275,0)),"")</f>
        <v>23</v>
      </c>
      <c r="Y107" s="1020">
        <f>IFERROR(INDEX('[22]CN BC'!$J$10:$J$274,MATCH(B107,'[22]CN BC'!$H$10:$H$274,0)),"")</f>
        <v>0</v>
      </c>
      <c r="Z107" s="1020">
        <f>VLOOKUP(B107,'[23]CN BC'!$H$10:$J$275,3,FALSE)</f>
        <v>19</v>
      </c>
      <c r="AA107" s="1021">
        <f t="shared" si="21"/>
        <v>23</v>
      </c>
      <c r="AB107" s="1021">
        <f t="shared" si="22"/>
        <v>0</v>
      </c>
      <c r="AC107" s="1021">
        <f t="shared" si="23"/>
        <v>19</v>
      </c>
      <c r="AD107" s="1022"/>
      <c r="AE107" s="1023">
        <f t="shared" si="24"/>
        <v>7118280</v>
      </c>
      <c r="AF107" s="1371">
        <f t="shared" si="25"/>
        <v>3.0419999999999998</v>
      </c>
      <c r="AG107" s="1102">
        <v>2340000</v>
      </c>
      <c r="AH107" s="1373">
        <f t="shared" si="26"/>
        <v>7118280</v>
      </c>
      <c r="AI107" s="1024">
        <f t="shared" si="14"/>
        <v>90</v>
      </c>
      <c r="AJ107" s="1025">
        <f>IFERROR(INDEX('[17]CN BC'!$M$10:$M$276,MATCH(B107,'[17]CN BC'!$H$10:$H$276,0)),"")</f>
        <v>0</v>
      </c>
      <c r="AK107" s="1011" t="str">
        <f>VLOOKUP(B107,TH.T4!B110:AC440,28,FALSE)</f>
        <v>KT</v>
      </c>
      <c r="AL107" s="1012"/>
      <c r="AM107" s="1012"/>
      <c r="AN107" s="1038"/>
    </row>
    <row r="108" spans="1:46" s="1028" customFormat="1" ht="28.5" customHeight="1">
      <c r="A108" s="1014">
        <f>_xlfn.AGGREGATE(4,7,A$17:A107)+1</f>
        <v>91</v>
      </c>
      <c r="B108" s="1077" t="s">
        <v>1998</v>
      </c>
      <c r="C108" s="1014"/>
      <c r="D108" s="1059"/>
      <c r="E108" s="81" t="str">
        <f>VLOOKUP(B108,TH.T6!B113:J443,9,FALSE)</f>
        <v>Giảng viên khoa Du lịch - Khách sạn</v>
      </c>
      <c r="F108" s="1040">
        <v>3.33</v>
      </c>
      <c r="G108" s="1019"/>
      <c r="H108" s="1247">
        <f t="shared" si="15"/>
        <v>0</v>
      </c>
      <c r="I108" s="1020"/>
      <c r="J108" s="1040">
        <v>3.33</v>
      </c>
      <c r="K108" s="1019"/>
      <c r="L108" s="1247">
        <f t="shared" si="16"/>
        <v>0</v>
      </c>
      <c r="M108" s="1020"/>
      <c r="N108" s="1040">
        <v>3.33</v>
      </c>
      <c r="O108" s="1019"/>
      <c r="P108" s="1248">
        <f t="shared" si="17"/>
        <v>0</v>
      </c>
      <c r="Q108" s="1020"/>
      <c r="R108" s="1020" t="str">
        <f>IFERROR(INDEX('[18]Gui chi Quynh'!$E$11:$E$397,MATCH(B108,'[18]Gui chi Quynh'!$B$11:$B$397,0)),"")</f>
        <v>A2</v>
      </c>
      <c r="S108" s="1020">
        <f t="shared" si="18"/>
        <v>0.7</v>
      </c>
      <c r="T108" s="1020" t="str">
        <f>VLOOKUP(B108,'[19]Gui chi Quynh'!$B$11:$E$397,4,FALSE)</f>
        <v>A DN</v>
      </c>
      <c r="U108" s="1020">
        <f t="shared" si="19"/>
        <v>0</v>
      </c>
      <c r="V108" s="1020" t="str">
        <f>VLOOKUP(B108,'[20]Gui chi Quynh'!$B$11:$E$396,4,FALSE)</f>
        <v>A2</v>
      </c>
      <c r="W108" s="1020">
        <f t="shared" si="20"/>
        <v>0.7</v>
      </c>
      <c r="X108" s="1020">
        <f>IFERROR(INDEX('[21]CN BC'!$J$10:$J$275,MATCH(B108,'[21]CN BC'!$H$10:$H$275,0)),"")</f>
        <v>23</v>
      </c>
      <c r="Y108" s="1020">
        <f>IFERROR(INDEX('[22]CN BC'!$J$10:$J$274,MATCH(B108,'[22]CN BC'!$H$10:$H$274,0)),"")</f>
        <v>0</v>
      </c>
      <c r="Z108" s="1020">
        <f>VLOOKUP(B108,'[23]CN BC'!$H$10:$J$275,3,FALSE)</f>
        <v>19</v>
      </c>
      <c r="AA108" s="1021">
        <f t="shared" si="21"/>
        <v>23</v>
      </c>
      <c r="AB108" s="1021">
        <f t="shared" si="22"/>
        <v>0</v>
      </c>
      <c r="AC108" s="1021">
        <f t="shared" si="23"/>
        <v>19</v>
      </c>
      <c r="AD108" s="1022"/>
      <c r="AE108" s="1023">
        <f t="shared" si="24"/>
        <v>10909080</v>
      </c>
      <c r="AF108" s="1371">
        <f t="shared" si="25"/>
        <v>4.6619999999999999</v>
      </c>
      <c r="AG108" s="1102">
        <v>2340000</v>
      </c>
      <c r="AH108" s="1373">
        <f t="shared" si="26"/>
        <v>10909080</v>
      </c>
      <c r="AI108" s="1024">
        <f t="shared" si="14"/>
        <v>91</v>
      </c>
      <c r="AJ108" s="1025">
        <f>IFERROR(INDEX('[17]CN BC'!$M$10:$M$276,MATCH(B108,'[17]CN BC'!$H$10:$H$276,0)),"")</f>
        <v>0</v>
      </c>
      <c r="AK108" s="1011" t="str">
        <f>VLOOKUP(B108,TH.T4!B111:AC441,28,FALSE)</f>
        <v>DLKS</v>
      </c>
      <c r="AL108" s="1012"/>
      <c r="AM108" s="1012"/>
      <c r="AN108" s="1038"/>
    </row>
    <row r="109" spans="1:46" s="1028" customFormat="1" ht="28.5" customHeight="1">
      <c r="A109" s="1014">
        <f>_xlfn.AGGREGATE(4,7,A$17:A108)+1</f>
        <v>92</v>
      </c>
      <c r="B109" s="1077" t="s">
        <v>1999</v>
      </c>
      <c r="C109" s="1014"/>
      <c r="D109" s="1059"/>
      <c r="E109" s="81" t="str">
        <f>VLOOKUP(B109,TH.T6!B114:J444,9,FALSE)</f>
        <v>Giảng viên khoa Kinh tế</v>
      </c>
      <c r="F109" s="1040">
        <v>3.66</v>
      </c>
      <c r="G109" s="1019"/>
      <c r="H109" s="1247">
        <f t="shared" si="15"/>
        <v>0</v>
      </c>
      <c r="I109" s="1020"/>
      <c r="J109" s="1040">
        <v>3.66</v>
      </c>
      <c r="K109" s="1019"/>
      <c r="L109" s="1247">
        <f t="shared" si="16"/>
        <v>0</v>
      </c>
      <c r="M109" s="1020"/>
      <c r="N109" s="1040">
        <v>3.66</v>
      </c>
      <c r="O109" s="1019"/>
      <c r="P109" s="1248">
        <f t="shared" si="17"/>
        <v>0</v>
      </c>
      <c r="Q109" s="1020"/>
      <c r="R109" s="1020" t="str">
        <f>IFERROR(INDEX('[18]Gui chi Quynh'!$E$11:$E$397,MATCH(B109,'[18]Gui chi Quynh'!$B$11:$B$397,0)),"")</f>
        <v>A3</v>
      </c>
      <c r="S109" s="1020">
        <f t="shared" si="18"/>
        <v>0.6</v>
      </c>
      <c r="T109" s="1020" t="str">
        <f>VLOOKUP(B109,'[19]Gui chi Quynh'!$B$11:$E$397,4,FALSE)</f>
        <v>A DN</v>
      </c>
      <c r="U109" s="1020">
        <f t="shared" si="19"/>
        <v>0</v>
      </c>
      <c r="V109" s="1020" t="str">
        <f>VLOOKUP(B109,'[20]Gui chi Quynh'!$B$11:$E$396,4,FALSE)</f>
        <v>A2</v>
      </c>
      <c r="W109" s="1020">
        <f t="shared" si="20"/>
        <v>0.7</v>
      </c>
      <c r="X109" s="1020">
        <f>IFERROR(INDEX('[21]CN BC'!$J$10:$J$275,MATCH(B109,'[21]CN BC'!$H$10:$H$275,0)),"")</f>
        <v>23</v>
      </c>
      <c r="Y109" s="1020">
        <f>IFERROR(INDEX('[22]CN BC'!$J$10:$J$274,MATCH(B109,'[22]CN BC'!$H$10:$H$274,0)),"")</f>
        <v>0</v>
      </c>
      <c r="Z109" s="1020">
        <f>VLOOKUP(B109,'[23]CN BC'!$H$10:$J$275,3,FALSE)</f>
        <v>19</v>
      </c>
      <c r="AA109" s="1021">
        <f t="shared" si="21"/>
        <v>23</v>
      </c>
      <c r="AB109" s="1021">
        <f t="shared" si="22"/>
        <v>0</v>
      </c>
      <c r="AC109" s="1021">
        <f t="shared" si="23"/>
        <v>19</v>
      </c>
      <c r="AD109" s="1022"/>
      <c r="AE109" s="1023">
        <f t="shared" si="24"/>
        <v>11133720</v>
      </c>
      <c r="AF109" s="1371">
        <f t="shared" si="25"/>
        <v>4.758</v>
      </c>
      <c r="AG109" s="1102">
        <v>2340000</v>
      </c>
      <c r="AH109" s="1373">
        <f t="shared" si="26"/>
        <v>11133720</v>
      </c>
      <c r="AI109" s="1024">
        <f t="shared" si="14"/>
        <v>92</v>
      </c>
      <c r="AJ109" s="1025">
        <f>IFERROR(INDEX('[17]CN BC'!$M$10:$M$276,MATCH(B109,'[17]CN BC'!$H$10:$H$276,0)),"")</f>
        <v>0</v>
      </c>
      <c r="AK109" s="1011" t="str">
        <f>VLOOKUP(B109,TH.T4!B112:AC442,28,FALSE)</f>
        <v>KT</v>
      </c>
      <c r="AL109" s="1012"/>
      <c r="AM109" s="1012"/>
      <c r="AN109" s="1038"/>
    </row>
    <row r="110" spans="1:46" s="1028" customFormat="1" ht="28.5" customHeight="1">
      <c r="A110" s="1014">
        <f>_xlfn.AGGREGATE(4,7,A$17:A109)+1</f>
        <v>93</v>
      </c>
      <c r="B110" s="1077" t="s">
        <v>2001</v>
      </c>
      <c r="C110" s="1014"/>
      <c r="D110" s="1059"/>
      <c r="E110" s="81" t="str">
        <f>VLOOKUP(B110,TH.T6!B115:J445,9,FALSE)</f>
        <v>Giảng viên khoa Kinh tế</v>
      </c>
      <c r="F110" s="1040">
        <v>3</v>
      </c>
      <c r="G110" s="1019"/>
      <c r="H110" s="1247">
        <f t="shared" si="15"/>
        <v>0</v>
      </c>
      <c r="I110" s="1020"/>
      <c r="J110" s="1040">
        <v>3</v>
      </c>
      <c r="K110" s="1019"/>
      <c r="L110" s="1247">
        <f t="shared" si="16"/>
        <v>0</v>
      </c>
      <c r="M110" s="1020"/>
      <c r="N110" s="1040">
        <v>3</v>
      </c>
      <c r="O110" s="1019"/>
      <c r="P110" s="1248">
        <f t="shared" si="17"/>
        <v>0</v>
      </c>
      <c r="Q110" s="1020"/>
      <c r="R110" s="1020" t="str">
        <f>IFERROR(INDEX('[18]Gui chi Quynh'!$E$11:$E$397,MATCH(B110,'[18]Gui chi Quynh'!$B$11:$B$397,0)),"")</f>
        <v>A3</v>
      </c>
      <c r="S110" s="1020">
        <f t="shared" si="18"/>
        <v>0.6</v>
      </c>
      <c r="T110" s="1020" t="str">
        <f>VLOOKUP(B110,'[19]Gui chi Quynh'!$B$11:$E$397,4,FALSE)</f>
        <v>A DN</v>
      </c>
      <c r="U110" s="1020">
        <f t="shared" si="19"/>
        <v>0</v>
      </c>
      <c r="V110" s="1020" t="str">
        <f>VLOOKUP(B110,'[20]Gui chi Quynh'!$B$11:$E$396,4,FALSE)</f>
        <v>A2</v>
      </c>
      <c r="W110" s="1020">
        <f t="shared" si="20"/>
        <v>0.7</v>
      </c>
      <c r="X110" s="1020">
        <f>IFERROR(INDEX('[21]CN BC'!$J$10:$J$275,MATCH(B110,'[21]CN BC'!$H$10:$H$275,0)),"")</f>
        <v>23</v>
      </c>
      <c r="Y110" s="1020">
        <f>IFERROR(INDEX('[22]CN BC'!$J$10:$J$274,MATCH(B110,'[22]CN BC'!$H$10:$H$274,0)),"")</f>
        <v>0</v>
      </c>
      <c r="Z110" s="1020">
        <f>VLOOKUP(B110,'[23]CN BC'!$H$10:$J$275,3,FALSE)</f>
        <v>19</v>
      </c>
      <c r="AA110" s="1021">
        <f t="shared" si="21"/>
        <v>23</v>
      </c>
      <c r="AB110" s="1021">
        <f t="shared" si="22"/>
        <v>0</v>
      </c>
      <c r="AC110" s="1021">
        <f t="shared" si="23"/>
        <v>19</v>
      </c>
      <c r="AD110" s="1022"/>
      <c r="AE110" s="1023">
        <f t="shared" si="24"/>
        <v>9126000</v>
      </c>
      <c r="AF110" s="1371">
        <f t="shared" si="25"/>
        <v>3.9</v>
      </c>
      <c r="AG110" s="1102">
        <v>2340000</v>
      </c>
      <c r="AH110" s="1373">
        <f t="shared" si="26"/>
        <v>9126000</v>
      </c>
      <c r="AI110" s="1024">
        <f t="shared" si="14"/>
        <v>93</v>
      </c>
      <c r="AJ110" s="1025">
        <f>IFERROR(INDEX('[17]CN BC'!$M$10:$M$276,MATCH(B110,'[17]CN BC'!$H$10:$H$276,0)),"")</f>
        <v>0</v>
      </c>
      <c r="AK110" s="1011" t="str">
        <f>VLOOKUP(B110,TH.T4!B113:AC443,28,FALSE)</f>
        <v>DLKS</v>
      </c>
      <c r="AL110" s="1012"/>
      <c r="AM110" s="1012"/>
      <c r="AN110" s="1038"/>
    </row>
    <row r="111" spans="1:46" s="1028" customFormat="1" ht="42" customHeight="1">
      <c r="A111" s="1014">
        <f>_xlfn.AGGREGATE(4,7,A$17:A110)+1</f>
        <v>94</v>
      </c>
      <c r="B111" s="1314" t="s">
        <v>2021</v>
      </c>
      <c r="C111" s="1283"/>
      <c r="D111" s="1315"/>
      <c r="E111" s="1381" t="str">
        <f>VLOOKUP(B111,TH.T6!B23:J353,9,FALSE)</f>
        <v>Giảng viên khoa Kinh tế</v>
      </c>
      <c r="F111" s="1287">
        <v>3.66</v>
      </c>
      <c r="G111" s="1288"/>
      <c r="H111" s="1289">
        <f t="shared" si="15"/>
        <v>0</v>
      </c>
      <c r="I111" s="1290"/>
      <c r="J111" s="1287">
        <v>3.66</v>
      </c>
      <c r="K111" s="1288"/>
      <c r="L111" s="1289">
        <f t="shared" si="16"/>
        <v>0</v>
      </c>
      <c r="M111" s="1290"/>
      <c r="N111" s="1287">
        <v>3.66</v>
      </c>
      <c r="O111" s="1288"/>
      <c r="P111" s="1291">
        <f t="shared" si="17"/>
        <v>0</v>
      </c>
      <c r="Q111" s="1290"/>
      <c r="R111" s="1290" t="str">
        <f>IFERROR(INDEX('[18]Gui chi Quynh'!$E$11:$E$397,MATCH(B111,'[18]Gui chi Quynh'!$B$11:$B$397,0)),"")</f>
        <v>A3</v>
      </c>
      <c r="S111" s="1290">
        <f t="shared" si="18"/>
        <v>0.6</v>
      </c>
      <c r="T111" s="1290" t="str">
        <f>VLOOKUP(B111,'[19]Gui chi Quynh'!$B$11:$E$397,4,FALSE)</f>
        <v>A DN</v>
      </c>
      <c r="U111" s="1290">
        <f t="shared" si="19"/>
        <v>0</v>
      </c>
      <c r="V111" s="1290" t="str">
        <f>VLOOKUP(B111,'[20]Gui chi Quynh'!$B$11:$E$396,4,FALSE)</f>
        <v>KXL</v>
      </c>
      <c r="W111" s="1290">
        <f t="shared" si="20"/>
        <v>0</v>
      </c>
      <c r="X111" s="1290">
        <f>IFERROR(INDEX('[21]CN BC'!$J$10:$J$275,MATCH(B111,'[21]CN BC'!$H$10:$H$275,0)),"")</f>
        <v>23</v>
      </c>
      <c r="Y111" s="1290">
        <f>IFERROR(INDEX('[22]CN BC'!$J$10:$J$274,MATCH(B111,'[22]CN BC'!$H$10:$H$274,0)),"")</f>
        <v>0</v>
      </c>
      <c r="Z111" s="1290">
        <f>VLOOKUP(B111,'[23]CN BC'!$H$10:$J$275,3,FALSE)</f>
        <v>0</v>
      </c>
      <c r="AA111" s="1292">
        <f t="shared" si="21"/>
        <v>23</v>
      </c>
      <c r="AB111" s="1292">
        <f t="shared" si="22"/>
        <v>0</v>
      </c>
      <c r="AC111" s="1292">
        <f t="shared" si="23"/>
        <v>0</v>
      </c>
      <c r="AD111" s="1293"/>
      <c r="AE111" s="1294">
        <f t="shared" si="24"/>
        <v>5138640</v>
      </c>
      <c r="AF111" s="1382">
        <f t="shared" si="25"/>
        <v>2.1960000000000002</v>
      </c>
      <c r="AG111" s="1365">
        <v>2340000</v>
      </c>
      <c r="AH111" s="1383">
        <f t="shared" si="26"/>
        <v>5138640</v>
      </c>
      <c r="AI111" s="1295">
        <f t="shared" si="14"/>
        <v>94</v>
      </c>
      <c r="AJ111" s="1296" t="s">
        <v>2369</v>
      </c>
      <c r="AK111" s="1011" t="str">
        <f>VLOOKUP(B111,TH.T4!B114:AC444,28,FALSE)</f>
        <v>KT</v>
      </c>
      <c r="AN111" s="1038"/>
    </row>
    <row r="112" spans="1:46" s="1028" customFormat="1" ht="25.5" customHeight="1">
      <c r="A112" s="1014">
        <f>_xlfn.AGGREGATE(4,7,A$17:A111)+1</f>
        <v>95</v>
      </c>
      <c r="B112" s="1015" t="s">
        <v>1478</v>
      </c>
      <c r="C112" s="1033" t="s">
        <v>1689</v>
      </c>
      <c r="D112" s="1034" t="s">
        <v>371</v>
      </c>
      <c r="E112" s="81" t="str">
        <f>VLOOKUP(B112,TH.T6!B24:J354,9,FALSE)</f>
        <v>Giảng viên khoa May - Thời trang</v>
      </c>
      <c r="F112" s="1040">
        <v>3.66</v>
      </c>
      <c r="G112" s="1019"/>
      <c r="H112" s="1247">
        <f t="shared" si="15"/>
        <v>0</v>
      </c>
      <c r="I112" s="1020"/>
      <c r="J112" s="1040">
        <v>3.66</v>
      </c>
      <c r="K112" s="1019"/>
      <c r="L112" s="1247">
        <f t="shared" si="16"/>
        <v>0</v>
      </c>
      <c r="M112" s="1020"/>
      <c r="N112" s="1040">
        <v>3.66</v>
      </c>
      <c r="O112" s="1019"/>
      <c r="P112" s="1248">
        <f t="shared" si="17"/>
        <v>0</v>
      </c>
      <c r="Q112" s="1020"/>
      <c r="R112" s="1020" t="str">
        <f>IFERROR(INDEX('[18]Gui chi Quynh'!$E$11:$E$397,MATCH(B112,'[18]Gui chi Quynh'!$B$11:$B$397,0)),"")</f>
        <v>A3</v>
      </c>
      <c r="S112" s="1020">
        <f t="shared" si="18"/>
        <v>0.6</v>
      </c>
      <c r="T112" s="1020" t="str">
        <f>VLOOKUP(B112,'[19]Gui chi Quynh'!$B$11:$E$397,4,FALSE)</f>
        <v>A DN</v>
      </c>
      <c r="U112" s="1020">
        <f t="shared" si="19"/>
        <v>0</v>
      </c>
      <c r="V112" s="1020" t="str">
        <f>VLOOKUP(B112,'[20]Gui chi Quynh'!$B$11:$E$396,4,FALSE)</f>
        <v>A3</v>
      </c>
      <c r="W112" s="1020">
        <f t="shared" si="20"/>
        <v>0.6</v>
      </c>
      <c r="X112" s="1020">
        <f>IFERROR(INDEX('[21]CN BC'!$J$10:$J$275,MATCH(B112,'[21]CN BC'!$H$10:$H$275,0)),"")</f>
        <v>23</v>
      </c>
      <c r="Y112" s="1020">
        <f>IFERROR(INDEX('[22]CN BC'!$J$10:$J$274,MATCH(B112,'[22]CN BC'!$H$10:$H$274,0)),"")</f>
        <v>0</v>
      </c>
      <c r="Z112" s="1020">
        <f>VLOOKUP(B112,'[23]CN BC'!$H$10:$J$275,3,FALSE)</f>
        <v>19</v>
      </c>
      <c r="AA112" s="1021">
        <f t="shared" si="21"/>
        <v>23</v>
      </c>
      <c r="AB112" s="1021">
        <f t="shared" si="22"/>
        <v>0</v>
      </c>
      <c r="AC112" s="1021">
        <f t="shared" si="23"/>
        <v>19</v>
      </c>
      <c r="AD112" s="1022"/>
      <c r="AE112" s="1023">
        <f t="shared" si="24"/>
        <v>10277280</v>
      </c>
      <c r="AF112" s="1371">
        <f t="shared" si="25"/>
        <v>4.3920000000000003</v>
      </c>
      <c r="AG112" s="1102">
        <v>2340000</v>
      </c>
      <c r="AH112" s="1373">
        <f t="shared" si="26"/>
        <v>10277280</v>
      </c>
      <c r="AI112" s="1024">
        <f t="shared" si="14"/>
        <v>95</v>
      </c>
      <c r="AJ112" s="1025">
        <f>IFERROR(INDEX('[17]CN BC'!$M$10:$M$276,MATCH(B112,'[17]CN BC'!$H$10:$H$276,0)),"")</f>
        <v>0</v>
      </c>
      <c r="AK112" s="1011" t="str">
        <f>VLOOKUP(B112,TH.T4!B115:AC445,28,FALSE)</f>
        <v>M-TT</v>
      </c>
      <c r="AL112" s="1012"/>
      <c r="AM112" s="1012"/>
      <c r="AN112" s="1027"/>
      <c r="AO112" s="1012"/>
      <c r="AP112" s="1012"/>
      <c r="AQ112" s="1012"/>
      <c r="AR112" s="1012"/>
      <c r="AS112" s="1012"/>
      <c r="AT112" s="1012"/>
    </row>
    <row r="113" spans="1:50" s="1028" customFormat="1" ht="29.25" customHeight="1">
      <c r="A113" s="1014">
        <f>_xlfn.AGGREGATE(4,7,A$17:A112)+1</f>
        <v>96</v>
      </c>
      <c r="B113" s="1050" t="s">
        <v>1479</v>
      </c>
      <c r="C113" s="1029" t="s">
        <v>1690</v>
      </c>
      <c r="D113" s="1051" t="s">
        <v>372</v>
      </c>
      <c r="E113" s="81" t="str">
        <f>VLOOKUP(B113,TH.T6!B25:J355,9,FALSE)</f>
        <v>Giảng viên khoa May - Thời trang</v>
      </c>
      <c r="F113" s="1056">
        <v>3.66</v>
      </c>
      <c r="G113" s="1053"/>
      <c r="H113" s="1247">
        <f t="shared" si="15"/>
        <v>0</v>
      </c>
      <c r="I113" s="1054"/>
      <c r="J113" s="1056">
        <v>3.66</v>
      </c>
      <c r="K113" s="1053"/>
      <c r="L113" s="1247">
        <f t="shared" si="16"/>
        <v>0</v>
      </c>
      <c r="M113" s="1054"/>
      <c r="N113" s="1056">
        <v>3.66</v>
      </c>
      <c r="O113" s="1053"/>
      <c r="P113" s="1248">
        <f t="shared" si="17"/>
        <v>0</v>
      </c>
      <c r="Q113" s="1054"/>
      <c r="R113" s="1020" t="str">
        <f>IFERROR(INDEX('[18]Gui chi Quynh'!$E$11:$E$397,MATCH(B113,'[18]Gui chi Quynh'!$B$11:$B$397,0)),"")</f>
        <v>A4</v>
      </c>
      <c r="S113" s="1020">
        <f t="shared" si="18"/>
        <v>0.5</v>
      </c>
      <c r="T113" s="1020" t="str">
        <f>VLOOKUP(B113,'[19]Gui chi Quynh'!$B$11:$E$397,4,FALSE)</f>
        <v>A DN</v>
      </c>
      <c r="U113" s="1020">
        <f t="shared" si="19"/>
        <v>0</v>
      </c>
      <c r="V113" s="1020" t="str">
        <f>VLOOKUP(B113,'[20]Gui chi Quynh'!$B$11:$E$396,4,FALSE)</f>
        <v>A3</v>
      </c>
      <c r="W113" s="1020">
        <f t="shared" si="20"/>
        <v>0.6</v>
      </c>
      <c r="X113" s="1020">
        <f>IFERROR(INDEX('[21]CN BC'!$J$10:$J$275,MATCH(B113,'[21]CN BC'!$H$10:$H$275,0)),"")</f>
        <v>21</v>
      </c>
      <c r="Y113" s="1020">
        <f>IFERROR(INDEX('[22]CN BC'!$J$10:$J$274,MATCH(B113,'[22]CN BC'!$H$10:$H$274,0)),"")</f>
        <v>0</v>
      </c>
      <c r="Z113" s="1020">
        <f>VLOOKUP(B113,'[23]CN BC'!$H$10:$J$275,3,FALSE)</f>
        <v>19</v>
      </c>
      <c r="AA113" s="1021">
        <f t="shared" si="21"/>
        <v>21</v>
      </c>
      <c r="AB113" s="1021">
        <f t="shared" si="22"/>
        <v>0</v>
      </c>
      <c r="AC113" s="1021">
        <f t="shared" si="23"/>
        <v>19</v>
      </c>
      <c r="AD113" s="1022"/>
      <c r="AE113" s="1023">
        <f t="shared" si="24"/>
        <v>9048475</v>
      </c>
      <c r="AF113" s="1371">
        <f t="shared" si="25"/>
        <v>3.8668696581196582</v>
      </c>
      <c r="AG113" s="1102">
        <v>2340000</v>
      </c>
      <c r="AH113" s="1373">
        <f t="shared" si="26"/>
        <v>9048475</v>
      </c>
      <c r="AI113" s="1024">
        <f t="shared" si="14"/>
        <v>96</v>
      </c>
      <c r="AJ113" s="1025">
        <f>IFERROR(INDEX('[17]CN BC'!$M$10:$M$276,MATCH(B113,'[17]CN BC'!$H$10:$H$276,0)),"")</f>
        <v>0</v>
      </c>
      <c r="AK113" s="1011" t="str">
        <f>VLOOKUP(B113,TH.T4!B116:AC446,28,FALSE)</f>
        <v>M-TT</v>
      </c>
      <c r="AL113" s="1012"/>
      <c r="AM113" s="1012"/>
      <c r="AN113" s="1027"/>
      <c r="AO113" s="1012"/>
      <c r="AP113" s="1012"/>
      <c r="AQ113" s="1012"/>
      <c r="AR113" s="1012"/>
      <c r="AS113" s="1012"/>
      <c r="AT113" s="1012"/>
      <c r="AU113" s="1012"/>
      <c r="AV113" s="1012"/>
      <c r="AW113" s="1012"/>
      <c r="AX113" s="1012"/>
    </row>
    <row r="114" spans="1:50" s="1028" customFormat="1" ht="30" customHeight="1">
      <c r="A114" s="1014">
        <f>_xlfn.AGGREGATE(4,7,A$17:A113)+1</f>
        <v>97</v>
      </c>
      <c r="B114" s="1015" t="s">
        <v>1480</v>
      </c>
      <c r="C114" s="1029" t="s">
        <v>1691</v>
      </c>
      <c r="D114" s="1045" t="s">
        <v>735</v>
      </c>
      <c r="E114" s="81" t="str">
        <f>VLOOKUP(B114,TH.T6!B26:J356,9,FALSE)</f>
        <v>Phó Trưởng khoa May - Thời trang</v>
      </c>
      <c r="F114" s="1040">
        <v>3.33</v>
      </c>
      <c r="G114" s="1019"/>
      <c r="H114" s="1247">
        <f t="shared" si="15"/>
        <v>0</v>
      </c>
      <c r="I114" s="1020">
        <v>0.45</v>
      </c>
      <c r="J114" s="1040">
        <v>3.33</v>
      </c>
      <c r="K114" s="1019"/>
      <c r="L114" s="1247">
        <f t="shared" si="16"/>
        <v>0</v>
      </c>
      <c r="M114" s="1020">
        <v>0.45</v>
      </c>
      <c r="N114" s="1040">
        <v>3.33</v>
      </c>
      <c r="O114" s="1019"/>
      <c r="P114" s="1248">
        <f t="shared" si="17"/>
        <v>0</v>
      </c>
      <c r="Q114" s="1020">
        <v>0.45</v>
      </c>
      <c r="R114" s="1020" t="str">
        <f>IFERROR(INDEX('[18]Gui chi Quynh'!$E$11:$E$397,MATCH(B114,'[18]Gui chi Quynh'!$B$11:$B$397,0)),"")</f>
        <v>A2</v>
      </c>
      <c r="S114" s="1020">
        <f t="shared" si="18"/>
        <v>0.7</v>
      </c>
      <c r="T114" s="1020" t="str">
        <f>VLOOKUP(B114,'[19]Gui chi Quynh'!$B$11:$E$397,4,FALSE)</f>
        <v>A2</v>
      </c>
      <c r="U114" s="1020">
        <f t="shared" si="19"/>
        <v>0.7</v>
      </c>
      <c r="V114" s="1020" t="str">
        <f>VLOOKUP(B114,'[20]Gui chi Quynh'!$B$11:$E$396,4,FALSE)</f>
        <v>A2</v>
      </c>
      <c r="W114" s="1020">
        <f t="shared" si="20"/>
        <v>0.7</v>
      </c>
      <c r="X114" s="1020">
        <f>IFERROR(INDEX('[21]CN BC'!$J$10:$J$275,MATCH(B114,'[21]CN BC'!$H$10:$H$275,0)),"")</f>
        <v>23</v>
      </c>
      <c r="Y114" s="1020">
        <f>IFERROR(INDEX('[22]CN BC'!$J$10:$J$274,MATCH(B114,'[22]CN BC'!$H$10:$H$274,0)),"")</f>
        <v>22</v>
      </c>
      <c r="Z114" s="1020">
        <f>VLOOKUP(B114,'[23]CN BC'!$H$10:$J$275,3,FALSE)</f>
        <v>19</v>
      </c>
      <c r="AA114" s="1021">
        <f t="shared" si="21"/>
        <v>23</v>
      </c>
      <c r="AB114" s="1021">
        <f t="shared" si="22"/>
        <v>22</v>
      </c>
      <c r="AC114" s="1021">
        <f t="shared" si="23"/>
        <v>19</v>
      </c>
      <c r="AD114" s="1022"/>
      <c r="AE114" s="1023">
        <f t="shared" si="24"/>
        <v>18574920</v>
      </c>
      <c r="AF114" s="1371">
        <f t="shared" si="25"/>
        <v>7.9379999999999997</v>
      </c>
      <c r="AG114" s="1102">
        <v>2340000</v>
      </c>
      <c r="AH114" s="1373">
        <f t="shared" si="26"/>
        <v>18574920</v>
      </c>
      <c r="AI114" s="1024">
        <f t="shared" si="14"/>
        <v>97</v>
      </c>
      <c r="AJ114" s="1025">
        <f>IFERROR(INDEX('[17]CN BC'!$M$10:$M$276,MATCH(B114,'[17]CN BC'!$H$10:$H$276,0)),"")</f>
        <v>0</v>
      </c>
      <c r="AK114" s="1011" t="str">
        <f>VLOOKUP(B114,TH.T4!B117:AC447,28,FALSE)</f>
        <v>M-TT</v>
      </c>
      <c r="AL114" s="1012"/>
      <c r="AM114" s="1012"/>
      <c r="AN114" s="1027"/>
      <c r="AO114" s="1012"/>
      <c r="AP114" s="1012"/>
      <c r="AQ114" s="1012"/>
      <c r="AR114" s="1012"/>
      <c r="AS114" s="1012"/>
      <c r="AT114" s="1012"/>
      <c r="AU114" s="1012"/>
      <c r="AV114" s="1012"/>
      <c r="AW114" s="1012"/>
      <c r="AX114" s="1012"/>
    </row>
    <row r="115" spans="1:50" s="1028" customFormat="1" ht="30" customHeight="1">
      <c r="A115" s="1014">
        <f>_xlfn.AGGREGATE(4,7,A$17:A114)+1</f>
        <v>98</v>
      </c>
      <c r="B115" s="1015" t="s">
        <v>1481</v>
      </c>
      <c r="C115" s="1033" t="s">
        <v>1692</v>
      </c>
      <c r="D115" s="1045">
        <v>1603205353742</v>
      </c>
      <c r="E115" s="81" t="str">
        <f>VLOOKUP(B115,TH.T6!B27:J357,9,FALSE)</f>
        <v>Giảng viên khoa May - Thời trang</v>
      </c>
      <c r="F115" s="1040">
        <v>3.33</v>
      </c>
      <c r="G115" s="1019"/>
      <c r="H115" s="1247">
        <f t="shared" si="15"/>
        <v>0</v>
      </c>
      <c r="I115" s="1020"/>
      <c r="J115" s="1040">
        <v>3.33</v>
      </c>
      <c r="K115" s="1019"/>
      <c r="L115" s="1247">
        <f t="shared" si="16"/>
        <v>0</v>
      </c>
      <c r="M115" s="1020"/>
      <c r="N115" s="1040">
        <v>3.33</v>
      </c>
      <c r="O115" s="1019"/>
      <c r="P115" s="1248">
        <f t="shared" si="17"/>
        <v>0</v>
      </c>
      <c r="Q115" s="1020"/>
      <c r="R115" s="1020" t="str">
        <f>IFERROR(INDEX('[18]Gui chi Quynh'!$E$11:$E$397,MATCH(B115,'[18]Gui chi Quynh'!$B$11:$B$397,0)),"")</f>
        <v>A3</v>
      </c>
      <c r="S115" s="1020">
        <f t="shared" si="18"/>
        <v>0.6</v>
      </c>
      <c r="T115" s="1020" t="str">
        <f>VLOOKUP(B115,'[19]Gui chi Quynh'!$B$11:$E$397,4,FALSE)</f>
        <v>A DN</v>
      </c>
      <c r="U115" s="1020">
        <f t="shared" si="19"/>
        <v>0</v>
      </c>
      <c r="V115" s="1020" t="str">
        <f>VLOOKUP(B115,'[20]Gui chi Quynh'!$B$11:$E$396,4,FALSE)</f>
        <v>A3</v>
      </c>
      <c r="W115" s="1020">
        <f t="shared" si="20"/>
        <v>0.6</v>
      </c>
      <c r="X115" s="1020">
        <f>IFERROR(INDEX('[21]CN BC'!$J$10:$J$275,MATCH(B115,'[21]CN BC'!$H$10:$H$275,0)),"")</f>
        <v>23</v>
      </c>
      <c r="Y115" s="1020">
        <f>IFERROR(INDEX('[22]CN BC'!$J$10:$J$274,MATCH(B115,'[22]CN BC'!$H$10:$H$274,0)),"")</f>
        <v>0</v>
      </c>
      <c r="Z115" s="1020">
        <f>VLOOKUP(B115,'[23]CN BC'!$H$10:$J$275,3,FALSE)</f>
        <v>19</v>
      </c>
      <c r="AA115" s="1021">
        <f t="shared" si="21"/>
        <v>23</v>
      </c>
      <c r="AB115" s="1021">
        <f t="shared" si="22"/>
        <v>0</v>
      </c>
      <c r="AC115" s="1021">
        <f t="shared" si="23"/>
        <v>19</v>
      </c>
      <c r="AD115" s="1022"/>
      <c r="AE115" s="1023">
        <f t="shared" si="24"/>
        <v>9350640</v>
      </c>
      <c r="AF115" s="1371">
        <f t="shared" si="25"/>
        <v>3.996</v>
      </c>
      <c r="AG115" s="1102">
        <v>2340000</v>
      </c>
      <c r="AH115" s="1373">
        <f t="shared" si="26"/>
        <v>9350640</v>
      </c>
      <c r="AI115" s="1024">
        <f t="shared" si="14"/>
        <v>98</v>
      </c>
      <c r="AJ115" s="1025">
        <f>IFERROR(INDEX('[17]CN BC'!$M$10:$M$276,MATCH(B115,'[17]CN BC'!$H$10:$H$276,0)),"")</f>
        <v>0</v>
      </c>
      <c r="AK115" s="1011" t="str">
        <f>VLOOKUP(B115,TH.T4!B118:AC448,28,FALSE)</f>
        <v>M-TT</v>
      </c>
      <c r="AL115" s="1012"/>
      <c r="AM115" s="1012"/>
      <c r="AN115" s="1027"/>
      <c r="AO115" s="1012"/>
      <c r="AP115" s="1012"/>
      <c r="AQ115" s="1012"/>
      <c r="AR115" s="1012"/>
      <c r="AS115" s="1012"/>
      <c r="AT115" s="1012"/>
    </row>
    <row r="116" spans="1:50" s="1028" customFormat="1" ht="30" customHeight="1">
      <c r="A116" s="1014">
        <f>_xlfn.AGGREGATE(4,7,A$17:A115)+1</f>
        <v>99</v>
      </c>
      <c r="B116" s="1015" t="s">
        <v>1865</v>
      </c>
      <c r="C116" s="1029" t="s">
        <v>1693</v>
      </c>
      <c r="D116" s="1045">
        <v>1603205357136</v>
      </c>
      <c r="E116" s="81" t="str">
        <f>VLOOKUP(B116,TH.T6!B28:J358,9,FALSE)</f>
        <v>Giảng viên khoa May - Thời trang</v>
      </c>
      <c r="F116" s="1040">
        <v>3.33</v>
      </c>
      <c r="G116" s="1019"/>
      <c r="H116" s="1247">
        <f t="shared" si="15"/>
        <v>0</v>
      </c>
      <c r="I116" s="1020"/>
      <c r="J116" s="1040">
        <v>3.33</v>
      </c>
      <c r="K116" s="1019"/>
      <c r="L116" s="1247">
        <f t="shared" si="16"/>
        <v>0</v>
      </c>
      <c r="M116" s="1020"/>
      <c r="N116" s="1040">
        <v>3.33</v>
      </c>
      <c r="O116" s="1019"/>
      <c r="P116" s="1248">
        <f t="shared" si="17"/>
        <v>0</v>
      </c>
      <c r="Q116" s="1020"/>
      <c r="R116" s="1020" t="str">
        <f>IFERROR(INDEX('[18]Gui chi Quynh'!$E$11:$E$397,MATCH(B116,'[18]Gui chi Quynh'!$B$11:$B$397,0)),"")</f>
        <v>A3</v>
      </c>
      <c r="S116" s="1020">
        <f t="shared" si="18"/>
        <v>0.6</v>
      </c>
      <c r="T116" s="1020" t="str">
        <f>VLOOKUP(B116,'[19]Gui chi Quynh'!$B$11:$E$397,4,FALSE)</f>
        <v>A DN</v>
      </c>
      <c r="U116" s="1020">
        <f t="shared" si="19"/>
        <v>0</v>
      </c>
      <c r="V116" s="1020" t="str">
        <f>VLOOKUP(B116,'[20]Gui chi Quynh'!$B$11:$E$396,4,FALSE)</f>
        <v>A2</v>
      </c>
      <c r="W116" s="1020">
        <f t="shared" si="20"/>
        <v>0.7</v>
      </c>
      <c r="X116" s="1020">
        <f>IFERROR(INDEX('[21]CN BC'!$J$10:$J$275,MATCH(B116,'[21]CN BC'!$H$10:$H$275,0)),"")</f>
        <v>23</v>
      </c>
      <c r="Y116" s="1020">
        <f>IFERROR(INDEX('[22]CN BC'!$J$10:$J$274,MATCH(B116,'[22]CN BC'!$H$10:$H$274,0)),"")</f>
        <v>0</v>
      </c>
      <c r="Z116" s="1020">
        <f>VLOOKUP(B116,'[23]CN BC'!$H$10:$J$275,3,FALSE)</f>
        <v>19</v>
      </c>
      <c r="AA116" s="1021">
        <f t="shared" si="21"/>
        <v>23</v>
      </c>
      <c r="AB116" s="1021">
        <f t="shared" si="22"/>
        <v>0</v>
      </c>
      <c r="AC116" s="1021">
        <f t="shared" si="23"/>
        <v>19</v>
      </c>
      <c r="AD116" s="1022"/>
      <c r="AE116" s="1023">
        <f t="shared" si="24"/>
        <v>10129860</v>
      </c>
      <c r="AF116" s="1371">
        <f t="shared" si="25"/>
        <v>4.3289999999999997</v>
      </c>
      <c r="AG116" s="1102">
        <v>2340000</v>
      </c>
      <c r="AH116" s="1373">
        <f t="shared" si="26"/>
        <v>10129860</v>
      </c>
      <c r="AI116" s="1024">
        <f t="shared" si="14"/>
        <v>99</v>
      </c>
      <c r="AJ116" s="1025">
        <f>IFERROR(INDEX('[17]CN BC'!$M$10:$M$276,MATCH(B116,'[17]CN BC'!$H$10:$H$276,0)),"")</f>
        <v>0</v>
      </c>
      <c r="AK116" s="1011" t="str">
        <f>VLOOKUP(B116,TH.T4!B119:AC449,28,FALSE)</f>
        <v>M-TT</v>
      </c>
      <c r="AL116" s="1012"/>
      <c r="AM116" s="1012"/>
      <c r="AN116" s="1027"/>
      <c r="AO116" s="1012"/>
      <c r="AP116" s="1012"/>
      <c r="AQ116" s="1012"/>
      <c r="AR116" s="1012"/>
      <c r="AS116" s="1012"/>
      <c r="AT116" s="1012"/>
      <c r="AU116" s="1012"/>
      <c r="AV116" s="1012"/>
      <c r="AW116" s="1012"/>
      <c r="AX116" s="1012"/>
    </row>
    <row r="117" spans="1:50" s="1028" customFormat="1" ht="30" customHeight="1">
      <c r="A117" s="1014">
        <f>_xlfn.AGGREGATE(4,7,A$17:A116)+1</f>
        <v>100</v>
      </c>
      <c r="B117" s="1015" t="s">
        <v>1482</v>
      </c>
      <c r="C117" s="1029" t="s">
        <v>1694</v>
      </c>
      <c r="D117" s="1030" t="s">
        <v>1422</v>
      </c>
      <c r="E117" s="81" t="str">
        <f>VLOOKUP(B117,TH.T6!B29:J359,9,FALSE)</f>
        <v>Giảng viên khoa May - Thời trang</v>
      </c>
      <c r="F117" s="1040">
        <v>3.33</v>
      </c>
      <c r="G117" s="1019"/>
      <c r="H117" s="1247">
        <f t="shared" si="15"/>
        <v>0</v>
      </c>
      <c r="I117" s="1020"/>
      <c r="J117" s="1040">
        <v>3.33</v>
      </c>
      <c r="K117" s="1019"/>
      <c r="L117" s="1247">
        <f t="shared" si="16"/>
        <v>0</v>
      </c>
      <c r="M117" s="1020"/>
      <c r="N117" s="1040">
        <v>3.33</v>
      </c>
      <c r="O117" s="1019"/>
      <c r="P117" s="1248">
        <f t="shared" si="17"/>
        <v>0</v>
      </c>
      <c r="Q117" s="1020"/>
      <c r="R117" s="1020" t="str">
        <f>IFERROR(INDEX('[18]Gui chi Quynh'!$E$11:$E$397,MATCH(B117,'[18]Gui chi Quynh'!$B$11:$B$397,0)),"")</f>
        <v>A4</v>
      </c>
      <c r="S117" s="1020">
        <f t="shared" si="18"/>
        <v>0.5</v>
      </c>
      <c r="T117" s="1020" t="str">
        <f>VLOOKUP(B117,'[19]Gui chi Quynh'!$B$11:$E$397,4,FALSE)</f>
        <v>A DN</v>
      </c>
      <c r="U117" s="1020">
        <f t="shared" si="19"/>
        <v>0</v>
      </c>
      <c r="V117" s="1020" t="str">
        <f>VLOOKUP(B117,'[20]Gui chi Quynh'!$B$11:$E$396,4,FALSE)</f>
        <v>A3</v>
      </c>
      <c r="W117" s="1020">
        <f t="shared" si="20"/>
        <v>0.6</v>
      </c>
      <c r="X117" s="1020">
        <f>IFERROR(INDEX('[21]CN BC'!$J$10:$J$275,MATCH(B117,'[21]CN BC'!$H$10:$H$275,0)),"")</f>
        <v>23</v>
      </c>
      <c r="Y117" s="1020">
        <f>IFERROR(INDEX('[22]CN BC'!$J$10:$J$274,MATCH(B117,'[22]CN BC'!$H$10:$H$274,0)),"")</f>
        <v>0</v>
      </c>
      <c r="Z117" s="1020">
        <f>VLOOKUP(B117,'[23]CN BC'!$H$10:$J$275,3,FALSE)</f>
        <v>19</v>
      </c>
      <c r="AA117" s="1021">
        <f t="shared" si="21"/>
        <v>23</v>
      </c>
      <c r="AB117" s="1021">
        <f t="shared" si="22"/>
        <v>0</v>
      </c>
      <c r="AC117" s="1021">
        <f t="shared" si="23"/>
        <v>19</v>
      </c>
      <c r="AD117" s="1022"/>
      <c r="AE117" s="1023">
        <f t="shared" si="24"/>
        <v>8571420</v>
      </c>
      <c r="AF117" s="1371">
        <f t="shared" si="25"/>
        <v>3.6629999999999998</v>
      </c>
      <c r="AG117" s="1102">
        <v>2340000</v>
      </c>
      <c r="AH117" s="1373">
        <f t="shared" si="26"/>
        <v>8571420</v>
      </c>
      <c r="AI117" s="1024">
        <f t="shared" si="14"/>
        <v>100</v>
      </c>
      <c r="AJ117" s="1025">
        <f>IFERROR(INDEX('[17]CN BC'!$M$10:$M$276,MATCH(B117,'[17]CN BC'!$H$10:$H$276,0)),"")</f>
        <v>0</v>
      </c>
      <c r="AK117" s="1011" t="str">
        <f>VLOOKUP(B117,TH.T4!B120:AC450,28,FALSE)</f>
        <v>M-TT</v>
      </c>
      <c r="AL117" s="1012"/>
      <c r="AM117" s="1012"/>
      <c r="AN117" s="1027"/>
      <c r="AO117" s="1012"/>
      <c r="AP117" s="1012"/>
      <c r="AQ117" s="1012"/>
      <c r="AR117" s="1012"/>
      <c r="AS117" s="1012"/>
      <c r="AT117" s="1012"/>
      <c r="AU117" s="1012"/>
      <c r="AV117" s="1012"/>
      <c r="AW117" s="1012"/>
      <c r="AX117" s="1012"/>
    </row>
    <row r="118" spans="1:50" s="1028" customFormat="1" ht="30" customHeight="1">
      <c r="A118" s="1014">
        <f>_xlfn.AGGREGATE(4,7,A$17:A117)+1</f>
        <v>101</v>
      </c>
      <c r="B118" s="1015" t="s">
        <v>1483</v>
      </c>
      <c r="C118" s="1029" t="s">
        <v>1695</v>
      </c>
      <c r="D118" s="1030" t="s">
        <v>1432</v>
      </c>
      <c r="E118" s="81" t="str">
        <f>VLOOKUP(B118,TH.T6!B30:J360,9,FALSE)</f>
        <v>Giảng viên khoa Du lịch - Khách sạn</v>
      </c>
      <c r="F118" s="1018">
        <v>4.9800000000000004</v>
      </c>
      <c r="G118" s="1019">
        <v>0.05</v>
      </c>
      <c r="H118" s="1247">
        <f t="shared" si="15"/>
        <v>0.249</v>
      </c>
      <c r="I118" s="1020">
        <v>0.25</v>
      </c>
      <c r="J118" s="1018">
        <v>4.9800000000000004</v>
      </c>
      <c r="K118" s="1019">
        <v>0.05</v>
      </c>
      <c r="L118" s="1254">
        <f t="shared" si="16"/>
        <v>0.249</v>
      </c>
      <c r="M118" s="1020">
        <v>0.25</v>
      </c>
      <c r="N118" s="1018">
        <v>4.9800000000000004</v>
      </c>
      <c r="O118" s="1019">
        <v>0.05</v>
      </c>
      <c r="P118" s="1255">
        <f t="shared" si="17"/>
        <v>0.249</v>
      </c>
      <c r="Q118" s="1020">
        <v>0.25</v>
      </c>
      <c r="R118" s="1020" t="str">
        <f>IFERROR(INDEX('[18]Gui chi Quynh'!$E$11:$E$397,MATCH(B118,'[18]Gui chi Quynh'!$B$11:$B$397,0)),"")</f>
        <v>A2</v>
      </c>
      <c r="S118" s="1020">
        <f t="shared" si="18"/>
        <v>0.7</v>
      </c>
      <c r="T118" s="1020" t="str">
        <f>VLOOKUP(B118,'[19]Gui chi Quynh'!$B$11:$E$397,4,FALSE)</f>
        <v>A DN</v>
      </c>
      <c r="U118" s="1020">
        <f t="shared" si="19"/>
        <v>0</v>
      </c>
      <c r="V118" s="1020" t="str">
        <f>VLOOKUP(B118,'[20]Gui chi Quynh'!$B$11:$E$396,4,FALSE)</f>
        <v>A1</v>
      </c>
      <c r="W118" s="1020">
        <f t="shared" si="20"/>
        <v>0.8</v>
      </c>
      <c r="X118" s="1020">
        <f>IFERROR(INDEX('[21]CN BC'!$J$10:$J$275,MATCH(B118,'[21]CN BC'!$H$10:$H$275,0)),"")</f>
        <v>23</v>
      </c>
      <c r="Y118" s="1020">
        <f>IFERROR(INDEX('[22]CN BC'!$J$10:$J$274,MATCH(B118,'[22]CN BC'!$H$10:$H$274,0)),"")</f>
        <v>0</v>
      </c>
      <c r="Z118" s="1020">
        <f>VLOOKUP(B118,'[23]CN BC'!$H$10:$J$275,3,FALSE)</f>
        <v>19</v>
      </c>
      <c r="AA118" s="1021">
        <f t="shared" si="21"/>
        <v>23</v>
      </c>
      <c r="AB118" s="1021">
        <f t="shared" si="22"/>
        <v>0</v>
      </c>
      <c r="AC118" s="1021">
        <f t="shared" si="23"/>
        <v>19</v>
      </c>
      <c r="AD118" s="1022"/>
      <c r="AE118" s="1023">
        <f t="shared" si="24"/>
        <v>19231290</v>
      </c>
      <c r="AF118" s="1371">
        <f t="shared" si="25"/>
        <v>8.2185000000000006</v>
      </c>
      <c r="AG118" s="1102">
        <v>2340000</v>
      </c>
      <c r="AH118" s="1373">
        <f t="shared" si="26"/>
        <v>19231290</v>
      </c>
      <c r="AI118" s="1024">
        <f t="shared" si="14"/>
        <v>101</v>
      </c>
      <c r="AJ118" s="1025">
        <f>IFERROR(INDEX('[17]CN BC'!$M$10:$M$276,MATCH(B118,'[17]CN BC'!$H$10:$H$276,0)),"")</f>
        <v>0</v>
      </c>
      <c r="AK118" s="1011" t="str">
        <f>VLOOKUP(B118,TH.T4!B121:AC451,28,FALSE)</f>
        <v>DLKS</v>
      </c>
      <c r="AL118" s="1012"/>
      <c r="AM118" s="1012"/>
      <c r="AN118" s="1027"/>
      <c r="AO118" s="1012"/>
      <c r="AP118" s="1012"/>
      <c r="AQ118" s="1012"/>
      <c r="AR118" s="1012"/>
      <c r="AS118" s="1012"/>
      <c r="AT118" s="1012"/>
      <c r="AU118" s="1012"/>
      <c r="AV118" s="1012"/>
      <c r="AW118" s="1012"/>
      <c r="AX118" s="1012"/>
    </row>
    <row r="119" spans="1:50" s="1028" customFormat="1" ht="30" customHeight="1">
      <c r="A119" s="1014">
        <f>_xlfn.AGGREGATE(4,7,A$17:A118)+1</f>
        <v>102</v>
      </c>
      <c r="B119" s="1050" t="s">
        <v>1568</v>
      </c>
      <c r="C119" s="1029" t="s">
        <v>1696</v>
      </c>
      <c r="D119" s="1042" t="s">
        <v>1569</v>
      </c>
      <c r="E119" s="81" t="str">
        <f>VLOOKUP(B119,TH.T6!B31:J361,9,FALSE)</f>
        <v>Giảng viên khoa May - Thời trang</v>
      </c>
      <c r="F119" s="1056">
        <v>3.33</v>
      </c>
      <c r="G119" s="1053"/>
      <c r="H119" s="1247">
        <f t="shared" si="15"/>
        <v>0</v>
      </c>
      <c r="I119" s="1020"/>
      <c r="J119" s="1040">
        <v>3.33</v>
      </c>
      <c r="K119" s="1019"/>
      <c r="L119" s="1254">
        <f t="shared" si="16"/>
        <v>0</v>
      </c>
      <c r="M119" s="1020"/>
      <c r="N119" s="1040">
        <v>3.33</v>
      </c>
      <c r="O119" s="1019"/>
      <c r="P119" s="1255">
        <f t="shared" si="17"/>
        <v>0</v>
      </c>
      <c r="Q119" s="1020"/>
      <c r="R119" s="1020" t="str">
        <f>IFERROR(INDEX('[18]Gui chi Quynh'!$E$11:$E$397,MATCH(B119,'[18]Gui chi Quynh'!$B$11:$B$397,0)),"")</f>
        <v>A4</v>
      </c>
      <c r="S119" s="1020">
        <f t="shared" si="18"/>
        <v>0.5</v>
      </c>
      <c r="T119" s="1020" t="str">
        <f>VLOOKUP(B119,'[19]Gui chi Quynh'!$B$11:$E$397,4,FALSE)</f>
        <v>A DN</v>
      </c>
      <c r="U119" s="1020">
        <f t="shared" si="19"/>
        <v>0</v>
      </c>
      <c r="V119" s="1020" t="str">
        <f>VLOOKUP(B119,'[20]Gui chi Quynh'!$B$11:$E$396,4,FALSE)</f>
        <v>A3</v>
      </c>
      <c r="W119" s="1020">
        <f t="shared" si="20"/>
        <v>0.6</v>
      </c>
      <c r="X119" s="1020">
        <f>IFERROR(INDEX('[21]CN BC'!$J$10:$J$275,MATCH(B119,'[21]CN BC'!$H$10:$H$275,0)),"")</f>
        <v>21</v>
      </c>
      <c r="Y119" s="1020">
        <f>IFERROR(INDEX('[22]CN BC'!$J$10:$J$274,MATCH(B119,'[22]CN BC'!$H$10:$H$274,0)),"")</f>
        <v>0</v>
      </c>
      <c r="Z119" s="1020">
        <f>VLOOKUP(B119,'[23]CN BC'!$H$10:$J$275,3,FALSE)</f>
        <v>19</v>
      </c>
      <c r="AA119" s="1021">
        <f t="shared" si="21"/>
        <v>21</v>
      </c>
      <c r="AB119" s="1021">
        <f t="shared" si="22"/>
        <v>0</v>
      </c>
      <c r="AC119" s="1021">
        <f t="shared" si="23"/>
        <v>19</v>
      </c>
      <c r="AD119" s="1022"/>
      <c r="AE119" s="1023">
        <f t="shared" si="24"/>
        <v>8232629</v>
      </c>
      <c r="AF119" s="1371">
        <f t="shared" si="25"/>
        <v>3.5182175213675215</v>
      </c>
      <c r="AG119" s="1102">
        <v>2340000</v>
      </c>
      <c r="AH119" s="1373">
        <f t="shared" si="26"/>
        <v>8232629</v>
      </c>
      <c r="AI119" s="1024">
        <f t="shared" si="14"/>
        <v>102</v>
      </c>
      <c r="AJ119" s="1025">
        <f>IFERROR(INDEX('[17]CN BC'!$M$10:$M$276,MATCH(B119,'[17]CN BC'!$H$10:$H$276,0)),"")</f>
        <v>0</v>
      </c>
      <c r="AK119" s="1011" t="str">
        <f>VLOOKUP(B119,TH.T4!B122:AC452,28,FALSE)</f>
        <v>M-TT</v>
      </c>
      <c r="AL119" s="1012"/>
      <c r="AM119" s="1012"/>
      <c r="AN119" s="1027"/>
      <c r="AO119" s="1012"/>
      <c r="AP119" s="1012"/>
      <c r="AQ119" s="1012"/>
      <c r="AR119" s="1012"/>
      <c r="AS119" s="1012"/>
      <c r="AT119" s="1012"/>
      <c r="AU119" s="1012"/>
      <c r="AV119" s="1012"/>
      <c r="AW119" s="1012"/>
      <c r="AX119" s="1012"/>
    </row>
    <row r="120" spans="1:50" s="1028" customFormat="1" ht="30" customHeight="1">
      <c r="A120" s="1014">
        <f>_xlfn.AGGREGATE(4,7,A$17:A119)+1</f>
        <v>103</v>
      </c>
      <c r="B120" s="1015" t="s">
        <v>1832</v>
      </c>
      <c r="C120" s="1033" t="s">
        <v>1963</v>
      </c>
      <c r="D120" s="1086">
        <v>1603215005610</v>
      </c>
      <c r="E120" s="81" t="str">
        <f>VLOOKUP(B120,TH.T6!B32:J362,9,FALSE)</f>
        <v>Giảng viên khoa May - Thời trang</v>
      </c>
      <c r="F120" s="1040">
        <v>3</v>
      </c>
      <c r="G120" s="1019"/>
      <c r="H120" s="1247">
        <f t="shared" si="15"/>
        <v>0</v>
      </c>
      <c r="I120" s="1020"/>
      <c r="J120" s="1040">
        <v>3</v>
      </c>
      <c r="K120" s="1019"/>
      <c r="L120" s="1247">
        <f t="shared" si="16"/>
        <v>0</v>
      </c>
      <c r="M120" s="1020"/>
      <c r="N120" s="1040">
        <v>3</v>
      </c>
      <c r="O120" s="1019"/>
      <c r="P120" s="1248">
        <f t="shared" si="17"/>
        <v>0</v>
      </c>
      <c r="Q120" s="1020"/>
      <c r="R120" s="1020" t="str">
        <f>IFERROR(INDEX('[18]Gui chi Quynh'!$E$11:$E$397,MATCH(B120,'[18]Gui chi Quynh'!$B$11:$B$397,0)),"")</f>
        <v>A4</v>
      </c>
      <c r="S120" s="1020">
        <f t="shared" si="18"/>
        <v>0.5</v>
      </c>
      <c r="T120" s="1020" t="str">
        <f>VLOOKUP(B120,'[19]Gui chi Quynh'!$B$11:$E$397,4,FALSE)</f>
        <v>A DN</v>
      </c>
      <c r="U120" s="1020">
        <f t="shared" si="19"/>
        <v>0</v>
      </c>
      <c r="V120" s="1020" t="str">
        <f>VLOOKUP(B120,'[20]Gui chi Quynh'!$B$11:$E$396,4,FALSE)</f>
        <v>A3</v>
      </c>
      <c r="W120" s="1020">
        <f t="shared" si="20"/>
        <v>0.6</v>
      </c>
      <c r="X120" s="1020">
        <f>IFERROR(INDEX('[21]CN BC'!$J$10:$J$275,MATCH(B120,'[21]CN BC'!$H$10:$H$275,0)),"")</f>
        <v>21</v>
      </c>
      <c r="Y120" s="1020">
        <f>IFERROR(INDEX('[22]CN BC'!$J$10:$J$274,MATCH(B120,'[22]CN BC'!$H$10:$H$274,0)),"")</f>
        <v>0</v>
      </c>
      <c r="Z120" s="1020">
        <f>VLOOKUP(B120,'[23]CN BC'!$H$10:$J$275,3,FALSE)</f>
        <v>19</v>
      </c>
      <c r="AA120" s="1021">
        <f t="shared" si="21"/>
        <v>21</v>
      </c>
      <c r="AB120" s="1021">
        <f t="shared" si="22"/>
        <v>0</v>
      </c>
      <c r="AC120" s="1021">
        <f t="shared" si="23"/>
        <v>19</v>
      </c>
      <c r="AD120" s="1022"/>
      <c r="AE120" s="1023">
        <f t="shared" si="24"/>
        <v>7416783</v>
      </c>
      <c r="AF120" s="1371">
        <f t="shared" si="25"/>
        <v>3.1695653846153844</v>
      </c>
      <c r="AG120" s="1102">
        <v>2340000</v>
      </c>
      <c r="AH120" s="1373">
        <f t="shared" si="26"/>
        <v>7416782.9999999991</v>
      </c>
      <c r="AI120" s="1024">
        <f t="shared" si="14"/>
        <v>103</v>
      </c>
      <c r="AJ120" s="1025">
        <f>IFERROR(INDEX('[17]CN BC'!$M$10:$M$276,MATCH(B120,'[17]CN BC'!$H$10:$H$276,0)),"")</f>
        <v>0</v>
      </c>
      <c r="AK120" s="1011" t="str">
        <f>VLOOKUP(B120,TH.T4!B123:AC453,28,FALSE)</f>
        <v>M-TT</v>
      </c>
      <c r="AL120" s="1012"/>
      <c r="AM120" s="1012"/>
      <c r="AN120" s="1027"/>
      <c r="AO120" s="1012"/>
      <c r="AP120" s="1012"/>
      <c r="AQ120" s="1012"/>
      <c r="AR120" s="1012"/>
      <c r="AS120" s="1012"/>
      <c r="AT120" s="1012"/>
    </row>
    <row r="121" spans="1:50" s="1012" customFormat="1" ht="27" customHeight="1">
      <c r="A121" s="1014">
        <f>_xlfn.AGGREGATE(4,7,A$17:A120)+1</f>
        <v>104</v>
      </c>
      <c r="B121" s="1050" t="s">
        <v>1555</v>
      </c>
      <c r="C121" s="1029" t="s">
        <v>1658</v>
      </c>
      <c r="D121" s="1051" t="s">
        <v>1278</v>
      </c>
      <c r="E121" s="81" t="str">
        <f>VLOOKUP(B121,TH.T6!B33:J363,9,FALSE)</f>
        <v>Trưởng khoa KHCB</v>
      </c>
      <c r="F121" s="1052">
        <v>4.9800000000000004</v>
      </c>
      <c r="G121" s="1087"/>
      <c r="H121" s="1247">
        <f t="shared" si="15"/>
        <v>0</v>
      </c>
      <c r="I121" s="1088">
        <v>0.45</v>
      </c>
      <c r="J121" s="1052">
        <v>4.9800000000000004</v>
      </c>
      <c r="K121" s="1087"/>
      <c r="L121" s="1247">
        <f t="shared" si="16"/>
        <v>0</v>
      </c>
      <c r="M121" s="1088">
        <v>0.45</v>
      </c>
      <c r="N121" s="1052">
        <v>4.9800000000000004</v>
      </c>
      <c r="O121" s="1087"/>
      <c r="P121" s="1248">
        <f t="shared" si="17"/>
        <v>0</v>
      </c>
      <c r="Q121" s="1088">
        <v>0.45</v>
      </c>
      <c r="R121" s="1020" t="str">
        <f>IFERROR(INDEX('[18]Gui chi Quynh'!$E$11:$E$397,MATCH(B121,'[18]Gui chi Quynh'!$B$11:$B$397,0)),"")</f>
        <v>A2</v>
      </c>
      <c r="S121" s="1020">
        <f t="shared" si="18"/>
        <v>0.7</v>
      </c>
      <c r="T121" s="1020" t="str">
        <f>VLOOKUP(B121,'[19]Gui chi Quynh'!$B$11:$E$397,4,FALSE)</f>
        <v>A2</v>
      </c>
      <c r="U121" s="1020">
        <f t="shared" si="19"/>
        <v>0.7</v>
      </c>
      <c r="V121" s="1020" t="str">
        <f>VLOOKUP(B121,'[20]Gui chi Quynh'!$B$11:$E$396,4,FALSE)</f>
        <v>A2</v>
      </c>
      <c r="W121" s="1020">
        <f t="shared" si="20"/>
        <v>0.7</v>
      </c>
      <c r="X121" s="1020">
        <f>IFERROR(INDEX('[21]CN BC'!$J$10:$J$275,MATCH(B121,'[21]CN BC'!$H$10:$H$275,0)),"")</f>
        <v>22</v>
      </c>
      <c r="Y121" s="1020">
        <f>IFERROR(INDEX('[22]CN BC'!$J$10:$J$274,MATCH(B121,'[22]CN BC'!$H$10:$H$274,0)),"")</f>
        <v>22</v>
      </c>
      <c r="Z121" s="1020">
        <f>VLOOKUP(B121,'[23]CN BC'!$H$10:$J$275,3,FALSE)</f>
        <v>19</v>
      </c>
      <c r="AA121" s="1021">
        <f t="shared" si="21"/>
        <v>22</v>
      </c>
      <c r="AB121" s="1021">
        <f t="shared" si="22"/>
        <v>22</v>
      </c>
      <c r="AC121" s="1021">
        <f t="shared" si="23"/>
        <v>19</v>
      </c>
      <c r="AD121" s="1022"/>
      <c r="AE121" s="1023">
        <f t="shared" si="24"/>
        <v>26296310</v>
      </c>
      <c r="AF121" s="1371">
        <f t="shared" si="25"/>
        <v>11.237739316239317</v>
      </c>
      <c r="AG121" s="1102">
        <v>2340000</v>
      </c>
      <c r="AH121" s="1373">
        <f t="shared" si="26"/>
        <v>26296310</v>
      </c>
      <c r="AI121" s="1024">
        <f t="shared" si="14"/>
        <v>104</v>
      </c>
      <c r="AJ121" s="1025">
        <f>IFERROR(INDEX('[17]CN BC'!$M$10:$M$276,MATCH(B121,'[17]CN BC'!$H$10:$H$276,0)),"")</f>
        <v>0</v>
      </c>
      <c r="AK121" s="1011" t="str">
        <f>VLOOKUP(B121,TH.T4!B124:AC454,28,FALSE)</f>
        <v>KHCB</v>
      </c>
      <c r="AN121" s="1027"/>
    </row>
    <row r="122" spans="1:50" s="1028" customFormat="1" ht="28.5" customHeight="1">
      <c r="A122" s="1014">
        <f>_xlfn.AGGREGATE(4,7,A$17:A121)+1</f>
        <v>105</v>
      </c>
      <c r="B122" s="1015" t="s">
        <v>1866</v>
      </c>
      <c r="C122" s="1033" t="s">
        <v>1697</v>
      </c>
      <c r="D122" s="1034" t="s">
        <v>1300</v>
      </c>
      <c r="E122" s="81" t="str">
        <f>VLOOKUP(B122,TH.T6!B34:J364,9,FALSE)</f>
        <v>Giảng viên Khoa KHCB</v>
      </c>
      <c r="F122" s="1018">
        <v>4.9800000000000004</v>
      </c>
      <c r="G122" s="1019">
        <v>7.0000000000000007E-2</v>
      </c>
      <c r="H122" s="1247">
        <f t="shared" si="15"/>
        <v>0.34899999999999998</v>
      </c>
      <c r="I122" s="1020">
        <v>0.25</v>
      </c>
      <c r="J122" s="1018">
        <v>4.9800000000000004</v>
      </c>
      <c r="K122" s="1019">
        <v>7.0000000000000007E-2</v>
      </c>
      <c r="L122" s="1247">
        <f t="shared" si="16"/>
        <v>0.34899999999999998</v>
      </c>
      <c r="M122" s="1020">
        <v>0.25</v>
      </c>
      <c r="N122" s="1018">
        <v>4.9800000000000004</v>
      </c>
      <c r="O122" s="1019">
        <v>7.0000000000000007E-2</v>
      </c>
      <c r="P122" s="1248">
        <f t="shared" si="17"/>
        <v>0.34899999999999998</v>
      </c>
      <c r="Q122" s="1020">
        <v>0.25</v>
      </c>
      <c r="R122" s="1020" t="str">
        <f>IFERROR(INDEX('[18]Gui chi Quynh'!$E$11:$E$397,MATCH(B122,'[18]Gui chi Quynh'!$B$11:$B$397,0)),"")</f>
        <v>A4</v>
      </c>
      <c r="S122" s="1020">
        <f t="shared" si="18"/>
        <v>0.5</v>
      </c>
      <c r="T122" s="1020" t="str">
        <f>VLOOKUP(B122,'[19]Gui chi Quynh'!$B$11:$E$397,4,FALSE)</f>
        <v>A DN</v>
      </c>
      <c r="U122" s="1020">
        <f t="shared" si="19"/>
        <v>0</v>
      </c>
      <c r="V122" s="1020" t="str">
        <f>VLOOKUP(B122,'[20]Gui chi Quynh'!$B$11:$E$396,4,FALSE)</f>
        <v>A4</v>
      </c>
      <c r="W122" s="1020">
        <f t="shared" si="20"/>
        <v>0.5</v>
      </c>
      <c r="X122" s="1020">
        <f>IFERROR(INDEX('[21]CN BC'!$J$10:$J$275,MATCH(B122,'[21]CN BC'!$H$10:$H$275,0)),"")</f>
        <v>23</v>
      </c>
      <c r="Y122" s="1020">
        <f>IFERROR(INDEX('[22]CN BC'!$J$10:$J$274,MATCH(B122,'[22]CN BC'!$H$10:$H$274,0)),"")</f>
        <v>0</v>
      </c>
      <c r="Z122" s="1020">
        <f>VLOOKUP(B122,'[23]CN BC'!$H$10:$J$275,3,FALSE)</f>
        <v>19</v>
      </c>
      <c r="AA122" s="1021">
        <f t="shared" si="21"/>
        <v>23</v>
      </c>
      <c r="AB122" s="1021">
        <f t="shared" si="22"/>
        <v>0</v>
      </c>
      <c r="AC122" s="1021">
        <f t="shared" si="23"/>
        <v>19</v>
      </c>
      <c r="AD122" s="1022"/>
      <c r="AE122" s="1023">
        <f t="shared" si="24"/>
        <v>13054860</v>
      </c>
      <c r="AF122" s="1371">
        <f t="shared" si="25"/>
        <v>5.5789999999999997</v>
      </c>
      <c r="AG122" s="1102">
        <v>2340000</v>
      </c>
      <c r="AH122" s="1373">
        <f t="shared" si="26"/>
        <v>13054860</v>
      </c>
      <c r="AI122" s="1024">
        <f t="shared" si="14"/>
        <v>105</v>
      </c>
      <c r="AJ122" s="1025">
        <f>IFERROR(INDEX('[17]CN BC'!$M$10:$M$276,MATCH(B122,'[17]CN BC'!$H$10:$H$276,0)),"")</f>
        <v>0</v>
      </c>
      <c r="AK122" s="1011" t="str">
        <f>VLOOKUP(B122,TH.T4!B125:AC455,28,FALSE)</f>
        <v>KHCB</v>
      </c>
      <c r="AL122" s="1012"/>
      <c r="AM122" s="1012"/>
      <c r="AN122" s="1038"/>
    </row>
    <row r="123" spans="1:50" s="1012" customFormat="1" ht="30" customHeight="1">
      <c r="A123" s="1014">
        <f>_xlfn.AGGREGATE(4,7,A$17:A122)+1</f>
        <v>106</v>
      </c>
      <c r="B123" s="1050" t="s">
        <v>1867</v>
      </c>
      <c r="C123" s="1029" t="s">
        <v>1698</v>
      </c>
      <c r="D123" s="1051" t="s">
        <v>1299</v>
      </c>
      <c r="E123" s="81" t="str">
        <f>VLOOKUP(B123,TH.T6!B35:J365,9,FALSE)</f>
        <v>Giảng viên Khoa KHCB</v>
      </c>
      <c r="F123" s="1052">
        <v>4.32</v>
      </c>
      <c r="G123" s="1053"/>
      <c r="H123" s="1247">
        <f t="shared" si="15"/>
        <v>0</v>
      </c>
      <c r="I123" s="1054"/>
      <c r="J123" s="1052">
        <v>4.32</v>
      </c>
      <c r="K123" s="1053"/>
      <c r="L123" s="1247">
        <f t="shared" si="16"/>
        <v>0</v>
      </c>
      <c r="M123" s="1054"/>
      <c r="N123" s="1052">
        <v>4.32</v>
      </c>
      <c r="O123" s="1053"/>
      <c r="P123" s="1248">
        <f t="shared" si="17"/>
        <v>0</v>
      </c>
      <c r="Q123" s="1054"/>
      <c r="R123" s="1020" t="str">
        <f>IFERROR(INDEX('[18]Gui chi Quynh'!$E$11:$E$397,MATCH(B123,'[18]Gui chi Quynh'!$B$11:$B$397,0)),"")</f>
        <v>A4</v>
      </c>
      <c r="S123" s="1020">
        <f t="shared" si="18"/>
        <v>0.5</v>
      </c>
      <c r="T123" s="1020" t="str">
        <f>VLOOKUP(B123,'[19]Gui chi Quynh'!$B$11:$E$397,4,FALSE)</f>
        <v>A DN</v>
      </c>
      <c r="U123" s="1020">
        <f t="shared" si="19"/>
        <v>0</v>
      </c>
      <c r="V123" s="1020" t="str">
        <f>VLOOKUP(B123,'[20]Gui chi Quynh'!$B$11:$E$396,4,FALSE)</f>
        <v>A3</v>
      </c>
      <c r="W123" s="1020">
        <f t="shared" si="20"/>
        <v>0.6</v>
      </c>
      <c r="X123" s="1020">
        <f>IFERROR(INDEX('[21]CN BC'!$J$10:$J$275,MATCH(B123,'[21]CN BC'!$H$10:$H$275,0)),"")</f>
        <v>23</v>
      </c>
      <c r="Y123" s="1020">
        <f>IFERROR(INDEX('[22]CN BC'!$J$10:$J$274,MATCH(B123,'[22]CN BC'!$H$10:$H$274,0)),"")</f>
        <v>0</v>
      </c>
      <c r="Z123" s="1020">
        <f>VLOOKUP(B123,'[23]CN BC'!$H$10:$J$275,3,FALSE)</f>
        <v>19</v>
      </c>
      <c r="AA123" s="1021">
        <f t="shared" si="21"/>
        <v>23</v>
      </c>
      <c r="AB123" s="1021">
        <f t="shared" si="22"/>
        <v>0</v>
      </c>
      <c r="AC123" s="1021">
        <f t="shared" si="23"/>
        <v>19</v>
      </c>
      <c r="AD123" s="1022"/>
      <c r="AE123" s="1023">
        <f t="shared" si="24"/>
        <v>11119680</v>
      </c>
      <c r="AF123" s="1371">
        <f t="shared" si="25"/>
        <v>4.7519999999999998</v>
      </c>
      <c r="AG123" s="1102">
        <v>2340000</v>
      </c>
      <c r="AH123" s="1373">
        <f t="shared" si="26"/>
        <v>11119680</v>
      </c>
      <c r="AI123" s="1024">
        <f t="shared" si="14"/>
        <v>106</v>
      </c>
      <c r="AJ123" s="1025">
        <f>IFERROR(INDEX('[17]CN BC'!$M$10:$M$276,MATCH(B123,'[17]CN BC'!$H$10:$H$276,0)),"")</f>
        <v>0</v>
      </c>
      <c r="AK123" s="1011" t="str">
        <f>VLOOKUP(B123,TH.T4!B126:AC456,28,FALSE)</f>
        <v>KHCB</v>
      </c>
      <c r="AN123" s="1027"/>
    </row>
    <row r="124" spans="1:50" s="1028" customFormat="1" ht="30" customHeight="1">
      <c r="A124" s="1014">
        <f>_xlfn.AGGREGATE(4,7,A$17:A123)+1</f>
        <v>107</v>
      </c>
      <c r="B124" s="1093" t="s">
        <v>1485</v>
      </c>
      <c r="C124" s="1094" t="s">
        <v>1699</v>
      </c>
      <c r="D124" s="1212" t="s">
        <v>373</v>
      </c>
      <c r="E124" s="554" t="str">
        <f>VLOOKUP(B124,TH.T6!B36:J366,9,FALSE)</f>
        <v>Giảng viên khoa KHCB</v>
      </c>
      <c r="F124" s="1095">
        <v>3.99</v>
      </c>
      <c r="G124" s="1096"/>
      <c r="H124" s="1249">
        <f t="shared" si="15"/>
        <v>0</v>
      </c>
      <c r="I124" s="1097"/>
      <c r="J124" s="1095">
        <v>3.99</v>
      </c>
      <c r="K124" s="1096"/>
      <c r="L124" s="1249">
        <f t="shared" si="16"/>
        <v>0</v>
      </c>
      <c r="M124" s="1097"/>
      <c r="N124" s="1095">
        <v>4.32</v>
      </c>
      <c r="O124" s="1096"/>
      <c r="P124" s="1250">
        <f t="shared" si="17"/>
        <v>0</v>
      </c>
      <c r="Q124" s="1097"/>
      <c r="R124" s="1097" t="str">
        <f>IFERROR(INDEX('[18]Gui chi Quynh'!$E$11:$E$397,MATCH(B124,'[18]Gui chi Quynh'!$B$11:$B$397,0)),"")</f>
        <v>A4</v>
      </c>
      <c r="S124" s="1097">
        <f t="shared" si="18"/>
        <v>0.5</v>
      </c>
      <c r="T124" s="1097" t="str">
        <f>VLOOKUP(B124,'[19]Gui chi Quynh'!$B$11:$E$397,4,FALSE)</f>
        <v>A DN</v>
      </c>
      <c r="U124" s="1097">
        <f t="shared" si="19"/>
        <v>0</v>
      </c>
      <c r="V124" s="1097" t="str">
        <f>VLOOKUP(B124,'[20]Gui chi Quynh'!$B$11:$E$396,4,FALSE)</f>
        <v>A4</v>
      </c>
      <c r="W124" s="1097">
        <f t="shared" si="20"/>
        <v>0.5</v>
      </c>
      <c r="X124" s="1097">
        <f>IFERROR(INDEX('[21]CN BC'!$J$10:$J$275,MATCH(B124,'[21]CN BC'!$H$10:$H$275,0)),"")</f>
        <v>23</v>
      </c>
      <c r="Y124" s="1097">
        <f>IFERROR(INDEX('[22]CN BC'!$J$10:$J$274,MATCH(B124,'[22]CN BC'!$H$10:$H$274,0)),"")</f>
        <v>0</v>
      </c>
      <c r="Z124" s="1097">
        <f>VLOOKUP(B124,'[23]CN BC'!$H$10:$J$275,3,FALSE)</f>
        <v>19</v>
      </c>
      <c r="AA124" s="1213">
        <f t="shared" si="21"/>
        <v>23</v>
      </c>
      <c r="AB124" s="1213">
        <f t="shared" si="22"/>
        <v>0</v>
      </c>
      <c r="AC124" s="1213">
        <f t="shared" si="23"/>
        <v>19</v>
      </c>
      <c r="AD124" s="1098"/>
      <c r="AE124" s="1214">
        <f t="shared" si="24"/>
        <v>9722700</v>
      </c>
      <c r="AF124" s="1400">
        <f t="shared" si="25"/>
        <v>4.1550000000000002</v>
      </c>
      <c r="AG124" s="1225">
        <v>2340000</v>
      </c>
      <c r="AH124" s="1401">
        <f t="shared" si="26"/>
        <v>9722700</v>
      </c>
      <c r="AI124" s="1099">
        <f t="shared" si="14"/>
        <v>107</v>
      </c>
      <c r="AJ124" s="1215" t="s">
        <v>2362</v>
      </c>
      <c r="AK124" s="1011" t="str">
        <f>VLOOKUP(B124,TH.T4!B127:AC457,28,FALSE)</f>
        <v>KHCB</v>
      </c>
      <c r="AL124" s="1012"/>
      <c r="AM124" s="1012"/>
      <c r="AN124" s="1027"/>
      <c r="AO124" s="1012"/>
      <c r="AP124" s="1012"/>
      <c r="AQ124" s="1012"/>
      <c r="AR124" s="1012"/>
      <c r="AS124" s="1012"/>
      <c r="AT124" s="1012"/>
      <c r="AU124" s="1012"/>
      <c r="AV124" s="1012"/>
      <c r="AW124" s="1012"/>
      <c r="AX124" s="1012"/>
    </row>
    <row r="125" spans="1:50" s="1028" customFormat="1" ht="30" customHeight="1">
      <c r="A125" s="1014">
        <f>_xlfn.AGGREGATE(4,7,A$17:A124)+1</f>
        <v>108</v>
      </c>
      <c r="B125" s="1015" t="s">
        <v>1559</v>
      </c>
      <c r="C125" s="1029" t="s">
        <v>1647</v>
      </c>
      <c r="D125" s="1034" t="s">
        <v>406</v>
      </c>
      <c r="E125" s="81" t="str">
        <f>VLOOKUP(B125,TH.T6!B37:J367,9,FALSE)</f>
        <v>Giảng viên khoa KHCB</v>
      </c>
      <c r="F125" s="1040">
        <v>3.66</v>
      </c>
      <c r="G125" s="1049"/>
      <c r="H125" s="1247">
        <f t="shared" si="15"/>
        <v>0</v>
      </c>
      <c r="I125" s="1020"/>
      <c r="J125" s="1040">
        <v>3.66</v>
      </c>
      <c r="K125" s="1049"/>
      <c r="L125" s="1247">
        <f t="shared" si="16"/>
        <v>0</v>
      </c>
      <c r="M125" s="1020"/>
      <c r="N125" s="1040">
        <v>3.66</v>
      </c>
      <c r="O125" s="1049"/>
      <c r="P125" s="1248">
        <f t="shared" si="17"/>
        <v>0</v>
      </c>
      <c r="Q125" s="1020"/>
      <c r="R125" s="1020" t="str">
        <f>IFERROR(INDEX('[18]Gui chi Quynh'!$E$11:$E$397,MATCH(B125,'[18]Gui chi Quynh'!$B$11:$B$397,0)),"")</f>
        <v>A4</v>
      </c>
      <c r="S125" s="1020">
        <f t="shared" si="18"/>
        <v>0.5</v>
      </c>
      <c r="T125" s="1020" t="str">
        <f>VLOOKUP(B125,'[19]Gui chi Quynh'!$B$11:$E$397,4,FALSE)</f>
        <v>A DN</v>
      </c>
      <c r="U125" s="1020">
        <f t="shared" si="19"/>
        <v>0</v>
      </c>
      <c r="V125" s="1020" t="str">
        <f>VLOOKUP(B125,'[20]Gui chi Quynh'!$B$11:$E$396,4,FALSE)</f>
        <v>A4</v>
      </c>
      <c r="W125" s="1020">
        <f t="shared" si="20"/>
        <v>0.5</v>
      </c>
      <c r="X125" s="1020">
        <f>IFERROR(INDEX('[21]CN BC'!$J$10:$J$275,MATCH(B125,'[21]CN BC'!$H$10:$H$275,0)),"")</f>
        <v>23</v>
      </c>
      <c r="Y125" s="1020">
        <f>IFERROR(INDEX('[22]CN BC'!$J$10:$J$274,MATCH(B125,'[22]CN BC'!$H$10:$H$274,0)),"")</f>
        <v>0</v>
      </c>
      <c r="Z125" s="1020">
        <f>VLOOKUP(B125,'[23]CN BC'!$H$10:$J$275,3,FALSE)</f>
        <v>19</v>
      </c>
      <c r="AA125" s="1021">
        <f t="shared" si="21"/>
        <v>23</v>
      </c>
      <c r="AB125" s="1021">
        <f t="shared" si="22"/>
        <v>0</v>
      </c>
      <c r="AC125" s="1021">
        <f t="shared" si="23"/>
        <v>19</v>
      </c>
      <c r="AD125" s="1022"/>
      <c r="AE125" s="1023">
        <f t="shared" si="24"/>
        <v>8564400</v>
      </c>
      <c r="AF125" s="1371">
        <f t="shared" si="25"/>
        <v>3.66</v>
      </c>
      <c r="AG125" s="1102">
        <v>2340000</v>
      </c>
      <c r="AH125" s="1373">
        <f t="shared" si="26"/>
        <v>8564400</v>
      </c>
      <c r="AI125" s="1024">
        <f t="shared" si="14"/>
        <v>108</v>
      </c>
      <c r="AJ125" s="1025">
        <f>IFERROR(INDEX('[17]CN BC'!$M$10:$M$276,MATCH(B125,'[17]CN BC'!$H$10:$H$276,0)),"")</f>
        <v>0</v>
      </c>
      <c r="AK125" s="1011" t="str">
        <f>VLOOKUP(B125,TH.T4!B128:AC458,28,FALSE)</f>
        <v>KHCB</v>
      </c>
      <c r="AL125" s="1012"/>
      <c r="AM125" s="1012"/>
      <c r="AN125" s="1027"/>
      <c r="AO125" s="1012"/>
      <c r="AP125" s="1012"/>
      <c r="AQ125" s="1012"/>
      <c r="AR125" s="1012"/>
      <c r="AS125" s="1012"/>
      <c r="AT125" s="1012"/>
      <c r="AU125" s="1012"/>
      <c r="AV125" s="1012"/>
      <c r="AW125" s="1012"/>
      <c r="AX125" s="1012"/>
    </row>
    <row r="126" spans="1:50" s="1028" customFormat="1" ht="30" customHeight="1">
      <c r="A126" s="1014">
        <f>_xlfn.AGGREGATE(4,7,A$17:A125)+1</f>
        <v>109</v>
      </c>
      <c r="B126" s="1015" t="s">
        <v>1868</v>
      </c>
      <c r="C126" s="1033" t="s">
        <v>1700</v>
      </c>
      <c r="D126" s="1034" t="s">
        <v>1303</v>
      </c>
      <c r="E126" s="81" t="str">
        <f>VLOOKUP(B126,TH.T6!B38:J368,9,FALSE)</f>
        <v>Giảng viên Khoa KHCB</v>
      </c>
      <c r="F126" s="1018">
        <v>4.6500000000000004</v>
      </c>
      <c r="G126" s="1019"/>
      <c r="H126" s="1247">
        <f t="shared" si="15"/>
        <v>0</v>
      </c>
      <c r="I126" s="1020"/>
      <c r="J126" s="1018">
        <v>4.6500000000000004</v>
      </c>
      <c r="K126" s="1019"/>
      <c r="L126" s="1247">
        <f t="shared" si="16"/>
        <v>0</v>
      </c>
      <c r="M126" s="1020"/>
      <c r="N126" s="1018">
        <v>4.6500000000000004</v>
      </c>
      <c r="O126" s="1019"/>
      <c r="P126" s="1248">
        <f t="shared" si="17"/>
        <v>0</v>
      </c>
      <c r="Q126" s="1020"/>
      <c r="R126" s="1020" t="str">
        <f>IFERROR(INDEX('[18]Gui chi Quynh'!$E$11:$E$397,MATCH(B126,'[18]Gui chi Quynh'!$B$11:$B$397,0)),"")</f>
        <v>A4</v>
      </c>
      <c r="S126" s="1020">
        <f t="shared" si="18"/>
        <v>0.5</v>
      </c>
      <c r="T126" s="1020" t="str">
        <f>VLOOKUP(B126,'[19]Gui chi Quynh'!$B$11:$E$397,4,FALSE)</f>
        <v>A DN</v>
      </c>
      <c r="U126" s="1020">
        <f t="shared" si="19"/>
        <v>0</v>
      </c>
      <c r="V126" s="1020" t="str">
        <f>VLOOKUP(B126,'[20]Gui chi Quynh'!$B$11:$E$396,4,FALSE)</f>
        <v>A3</v>
      </c>
      <c r="W126" s="1020">
        <f t="shared" si="20"/>
        <v>0.6</v>
      </c>
      <c r="X126" s="1020">
        <f>IFERROR(INDEX('[21]CN BC'!$J$10:$J$275,MATCH(B126,'[21]CN BC'!$H$10:$H$275,0)),"")</f>
        <v>21</v>
      </c>
      <c r="Y126" s="1020">
        <f>IFERROR(INDEX('[22]CN BC'!$J$10:$J$274,MATCH(B126,'[22]CN BC'!$H$10:$H$274,0)),"")</f>
        <v>0</v>
      </c>
      <c r="Z126" s="1020">
        <f>VLOOKUP(B126,'[23]CN BC'!$H$10:$J$275,3,FALSE)</f>
        <v>19</v>
      </c>
      <c r="AA126" s="1021">
        <f t="shared" si="21"/>
        <v>21</v>
      </c>
      <c r="AB126" s="1021">
        <f t="shared" si="22"/>
        <v>0</v>
      </c>
      <c r="AC126" s="1021">
        <f t="shared" si="23"/>
        <v>19</v>
      </c>
      <c r="AD126" s="1022"/>
      <c r="AE126" s="1023">
        <f t="shared" si="24"/>
        <v>11496013</v>
      </c>
      <c r="AF126" s="1371">
        <f t="shared" si="25"/>
        <v>4.9128260683760683</v>
      </c>
      <c r="AG126" s="1102">
        <v>2340000</v>
      </c>
      <c r="AH126" s="1373">
        <f t="shared" si="26"/>
        <v>11496013</v>
      </c>
      <c r="AI126" s="1024">
        <f t="shared" si="14"/>
        <v>109</v>
      </c>
      <c r="AJ126" s="1025">
        <f>IFERROR(INDEX('[17]CN BC'!$M$10:$M$276,MATCH(B126,'[17]CN BC'!$H$10:$H$276,0)),"")</f>
        <v>0</v>
      </c>
      <c r="AK126" s="1011" t="str">
        <f>VLOOKUP(B126,TH.T4!B129:AC459,28,FALSE)</f>
        <v>KHCB</v>
      </c>
      <c r="AL126" s="1012"/>
      <c r="AM126" s="1012"/>
      <c r="AN126" s="1027"/>
      <c r="AO126" s="1012"/>
      <c r="AP126" s="1012"/>
      <c r="AQ126" s="1012"/>
      <c r="AR126" s="1012"/>
      <c r="AS126" s="1012"/>
      <c r="AT126" s="1012"/>
    </row>
    <row r="127" spans="1:50" s="1028" customFormat="1" ht="30" customHeight="1">
      <c r="A127" s="1014">
        <f>_xlfn.AGGREGATE(4,7,A$17:A126)+1</f>
        <v>110</v>
      </c>
      <c r="B127" s="1015" t="s">
        <v>1869</v>
      </c>
      <c r="C127" s="1029" t="s">
        <v>1701</v>
      </c>
      <c r="D127" s="1034" t="s">
        <v>1304</v>
      </c>
      <c r="E127" s="81" t="str">
        <f>VLOOKUP(B127,TH.T6!B39:J369,9,FALSE)</f>
        <v>Giảng viên Khoa KHCB</v>
      </c>
      <c r="F127" s="1040">
        <v>4.32</v>
      </c>
      <c r="G127" s="1019"/>
      <c r="H127" s="1247">
        <f t="shared" si="15"/>
        <v>0</v>
      </c>
      <c r="I127" s="1020"/>
      <c r="J127" s="1040">
        <v>4.32</v>
      </c>
      <c r="K127" s="1019"/>
      <c r="L127" s="1247">
        <f t="shared" si="16"/>
        <v>0</v>
      </c>
      <c r="M127" s="1020"/>
      <c r="N127" s="1040">
        <v>4.32</v>
      </c>
      <c r="O127" s="1019"/>
      <c r="P127" s="1248">
        <f t="shared" si="17"/>
        <v>0</v>
      </c>
      <c r="Q127" s="1020"/>
      <c r="R127" s="1020" t="str">
        <f>IFERROR(INDEX('[18]Gui chi Quynh'!$E$11:$E$397,MATCH(B127,'[18]Gui chi Quynh'!$B$11:$B$397,0)),"")</f>
        <v>A3</v>
      </c>
      <c r="S127" s="1020">
        <f t="shared" si="18"/>
        <v>0.6</v>
      </c>
      <c r="T127" s="1020" t="str">
        <f>VLOOKUP(B127,'[19]Gui chi Quynh'!$B$11:$E$397,4,FALSE)</f>
        <v>A DN</v>
      </c>
      <c r="U127" s="1020">
        <f t="shared" si="19"/>
        <v>0</v>
      </c>
      <c r="V127" s="1020" t="str">
        <f>VLOOKUP(B127,'[20]Gui chi Quynh'!$B$11:$E$396,4,FALSE)</f>
        <v>A3</v>
      </c>
      <c r="W127" s="1020">
        <f t="shared" si="20"/>
        <v>0.6</v>
      </c>
      <c r="X127" s="1020">
        <f>IFERROR(INDEX('[21]CN BC'!$J$10:$J$275,MATCH(B127,'[21]CN BC'!$H$10:$H$275,0)),"")</f>
        <v>21</v>
      </c>
      <c r="Y127" s="1020">
        <f>IFERROR(INDEX('[22]CN BC'!$J$10:$J$274,MATCH(B127,'[22]CN BC'!$H$10:$H$274,0)),"")</f>
        <v>0</v>
      </c>
      <c r="Z127" s="1020">
        <f>VLOOKUP(B127,'[23]CN BC'!$H$10:$J$275,3,FALSE)</f>
        <v>19</v>
      </c>
      <c r="AA127" s="1021">
        <f t="shared" si="21"/>
        <v>21</v>
      </c>
      <c r="AB127" s="1021">
        <f t="shared" si="22"/>
        <v>0</v>
      </c>
      <c r="AC127" s="1021">
        <f t="shared" si="23"/>
        <v>19</v>
      </c>
      <c r="AD127" s="1022"/>
      <c r="AE127" s="1023">
        <f t="shared" si="24"/>
        <v>11603144</v>
      </c>
      <c r="AF127" s="1371">
        <f t="shared" si="25"/>
        <v>4.9586085470085468</v>
      </c>
      <c r="AG127" s="1102">
        <v>2340000</v>
      </c>
      <c r="AH127" s="1373">
        <f t="shared" si="26"/>
        <v>11603144</v>
      </c>
      <c r="AI127" s="1024">
        <f t="shared" si="14"/>
        <v>110</v>
      </c>
      <c r="AJ127" s="1025">
        <f>IFERROR(INDEX('[17]CN BC'!$M$10:$M$276,MATCH(B127,'[17]CN BC'!$H$10:$H$276,0)),"")</f>
        <v>0</v>
      </c>
      <c r="AK127" s="1011" t="str">
        <f>VLOOKUP(B127,TH.T4!B130:AC460,28,FALSE)</f>
        <v>KHCB</v>
      </c>
      <c r="AL127" s="1012"/>
      <c r="AM127" s="1012"/>
      <c r="AN127" s="1027"/>
      <c r="AO127" s="1012"/>
      <c r="AP127" s="1012"/>
      <c r="AQ127" s="1012"/>
      <c r="AR127" s="1012"/>
      <c r="AS127" s="1012"/>
      <c r="AT127" s="1012"/>
      <c r="AU127" s="1012"/>
      <c r="AV127" s="1012"/>
      <c r="AW127" s="1012"/>
      <c r="AX127" s="1012"/>
    </row>
    <row r="128" spans="1:50" s="1028" customFormat="1" ht="30" customHeight="1">
      <c r="A128" s="1014">
        <f>_xlfn.AGGREGATE(4,7,A$17:A127)+1</f>
        <v>111</v>
      </c>
      <c r="B128" s="1093" t="s">
        <v>1870</v>
      </c>
      <c r="C128" s="1094" t="s">
        <v>1702</v>
      </c>
      <c r="D128" s="1212" t="s">
        <v>1306</v>
      </c>
      <c r="E128" s="554" t="str">
        <f>VLOOKUP(B128,TH.T6!B40:J370,9,FALSE)</f>
        <v>Giảng viên Khoa KHCB</v>
      </c>
      <c r="F128" s="1095">
        <v>4.9800000000000004</v>
      </c>
      <c r="G128" s="1096">
        <v>0.08</v>
      </c>
      <c r="H128" s="1249">
        <f t="shared" si="15"/>
        <v>0.39800000000000002</v>
      </c>
      <c r="I128" s="1097"/>
      <c r="J128" s="1095">
        <v>4.9800000000000004</v>
      </c>
      <c r="K128" s="1096">
        <v>0.08</v>
      </c>
      <c r="L128" s="1249">
        <f t="shared" si="16"/>
        <v>0.39800000000000002</v>
      </c>
      <c r="M128" s="1097"/>
      <c r="N128" s="1095">
        <v>4.9800000000000004</v>
      </c>
      <c r="O128" s="1096">
        <v>0.09</v>
      </c>
      <c r="P128" s="1250">
        <f t="shared" si="17"/>
        <v>0.44800000000000001</v>
      </c>
      <c r="Q128" s="1097"/>
      <c r="R128" s="1097" t="str">
        <f>IFERROR(INDEX('[18]Gui chi Quynh'!$E$11:$E$397,MATCH(B128,'[18]Gui chi Quynh'!$B$11:$B$397,0)),"")</f>
        <v>A3</v>
      </c>
      <c r="S128" s="1097">
        <f t="shared" si="18"/>
        <v>0.6</v>
      </c>
      <c r="T128" s="1097" t="str">
        <f>VLOOKUP(B128,'[19]Gui chi Quynh'!$B$11:$E$397,4,FALSE)</f>
        <v>A DN</v>
      </c>
      <c r="U128" s="1097">
        <f t="shared" si="19"/>
        <v>0</v>
      </c>
      <c r="V128" s="1097" t="str">
        <f>VLOOKUP(B128,'[20]Gui chi Quynh'!$B$11:$E$396,4,FALSE)</f>
        <v>A3</v>
      </c>
      <c r="W128" s="1097">
        <f t="shared" si="20"/>
        <v>0.6</v>
      </c>
      <c r="X128" s="1097">
        <f>IFERROR(INDEX('[21]CN BC'!$J$10:$J$275,MATCH(B128,'[21]CN BC'!$H$10:$H$275,0)),"")</f>
        <v>22</v>
      </c>
      <c r="Y128" s="1097">
        <f>IFERROR(INDEX('[22]CN BC'!$J$10:$J$274,MATCH(B128,'[22]CN BC'!$H$10:$H$274,0)),"")</f>
        <v>0</v>
      </c>
      <c r="Z128" s="1097">
        <f>VLOOKUP(B128,'[23]CN BC'!$H$10:$J$275,3,FALSE)</f>
        <v>19</v>
      </c>
      <c r="AA128" s="1213">
        <f t="shared" si="21"/>
        <v>22</v>
      </c>
      <c r="AB128" s="1213">
        <f t="shared" si="22"/>
        <v>0</v>
      </c>
      <c r="AC128" s="1213">
        <f t="shared" si="23"/>
        <v>19</v>
      </c>
      <c r="AD128" s="1098"/>
      <c r="AE128" s="1214">
        <f t="shared" si="24"/>
        <v>14843332</v>
      </c>
      <c r="AF128" s="1400">
        <f t="shared" si="25"/>
        <v>6.3433042735042733</v>
      </c>
      <c r="AG128" s="1225">
        <v>2340000</v>
      </c>
      <c r="AH128" s="1401">
        <f t="shared" si="26"/>
        <v>14843332</v>
      </c>
      <c r="AI128" s="1099">
        <f t="shared" si="14"/>
        <v>111</v>
      </c>
      <c r="AJ128" s="1215" t="s">
        <v>2362</v>
      </c>
      <c r="AK128" s="1011" t="str">
        <f>VLOOKUP(B128,TH.T4!B131:AC461,28,FALSE)</f>
        <v>KHCB</v>
      </c>
      <c r="AL128" s="1012"/>
      <c r="AM128" s="1012"/>
      <c r="AN128" s="1038"/>
    </row>
    <row r="129" spans="1:50" s="1028" customFormat="1" ht="26.25" customHeight="1">
      <c r="A129" s="1014">
        <f>_xlfn.AGGREGATE(4,7,A$17:A128)+1</f>
        <v>112</v>
      </c>
      <c r="B129" s="1015" t="s">
        <v>847</v>
      </c>
      <c r="C129" s="1033" t="s">
        <v>1703</v>
      </c>
      <c r="D129" s="1034" t="s">
        <v>1307</v>
      </c>
      <c r="E129" s="81" t="str">
        <f>VLOOKUP(B129,TH.T6!B41:J371,9,FALSE)</f>
        <v>Giảng viên khoa KHCB</v>
      </c>
      <c r="F129" s="1040">
        <v>3.99</v>
      </c>
      <c r="G129" s="1019"/>
      <c r="H129" s="1247">
        <f t="shared" si="15"/>
        <v>0</v>
      </c>
      <c r="I129" s="1020"/>
      <c r="J129" s="1040">
        <v>3.99</v>
      </c>
      <c r="K129" s="1019"/>
      <c r="L129" s="1247">
        <f t="shared" si="16"/>
        <v>0</v>
      </c>
      <c r="M129" s="1020"/>
      <c r="N129" s="1040">
        <v>3.99</v>
      </c>
      <c r="O129" s="1019"/>
      <c r="P129" s="1248">
        <f t="shared" si="17"/>
        <v>0</v>
      </c>
      <c r="Q129" s="1020"/>
      <c r="R129" s="1020" t="str">
        <f>IFERROR(INDEX('[18]Gui chi Quynh'!$E$11:$E$397,MATCH(B129,'[18]Gui chi Quynh'!$B$11:$B$397,0)),"")</f>
        <v>A4</v>
      </c>
      <c r="S129" s="1020">
        <f t="shared" si="18"/>
        <v>0.5</v>
      </c>
      <c r="T129" s="1020" t="str">
        <f>VLOOKUP(B129,'[19]Gui chi Quynh'!$B$11:$E$397,4,FALSE)</f>
        <v>A DN</v>
      </c>
      <c r="U129" s="1020">
        <f t="shared" si="19"/>
        <v>0</v>
      </c>
      <c r="V129" s="1020" t="str">
        <f>VLOOKUP(B129,'[20]Gui chi Quynh'!$B$11:$E$396,4,FALSE)</f>
        <v>A4</v>
      </c>
      <c r="W129" s="1020">
        <f t="shared" si="20"/>
        <v>0.5</v>
      </c>
      <c r="X129" s="1020">
        <f>IFERROR(INDEX('[21]CN BC'!$J$10:$J$275,MATCH(B129,'[21]CN BC'!$H$10:$H$275,0)),"")</f>
        <v>21</v>
      </c>
      <c r="Y129" s="1020">
        <f>IFERROR(INDEX('[22]CN BC'!$J$10:$J$274,MATCH(B129,'[22]CN BC'!$H$10:$H$274,0)),"")</f>
        <v>0</v>
      </c>
      <c r="Z129" s="1020">
        <f>VLOOKUP(B129,'[23]CN BC'!$H$10:$J$275,3,FALSE)</f>
        <v>19</v>
      </c>
      <c r="AA129" s="1021">
        <f t="shared" si="21"/>
        <v>21</v>
      </c>
      <c r="AB129" s="1021">
        <f t="shared" si="22"/>
        <v>0</v>
      </c>
      <c r="AC129" s="1021">
        <f t="shared" si="23"/>
        <v>19</v>
      </c>
      <c r="AD129" s="1022"/>
      <c r="AE129" s="1023">
        <f t="shared" si="24"/>
        <v>8930661</v>
      </c>
      <c r="AF129" s="1371">
        <f t="shared" si="25"/>
        <v>3.8165217948717949</v>
      </c>
      <c r="AG129" s="1102">
        <v>2340000</v>
      </c>
      <c r="AH129" s="1373">
        <f t="shared" si="26"/>
        <v>8930661</v>
      </c>
      <c r="AI129" s="1089">
        <f t="shared" si="14"/>
        <v>112</v>
      </c>
      <c r="AJ129" s="1025">
        <f>IFERROR(INDEX('[17]CN BC'!$M$10:$M$276,MATCH(B129,'[17]CN BC'!$H$10:$H$276,0)),"")</f>
        <v>0</v>
      </c>
      <c r="AK129" s="1011" t="str">
        <f>VLOOKUP(B129,TH.T4!B132:AC462,28,FALSE)</f>
        <v>KHCB</v>
      </c>
      <c r="AN129" s="1038"/>
    </row>
    <row r="130" spans="1:50" s="1028" customFormat="1" ht="30" customHeight="1">
      <c r="A130" s="1014">
        <f>_xlfn.AGGREGATE(4,7,A$17:A129)+1</f>
        <v>113</v>
      </c>
      <c r="B130" s="1015" t="s">
        <v>1486</v>
      </c>
      <c r="C130" s="1029" t="s">
        <v>1704</v>
      </c>
      <c r="D130" s="1045" t="s">
        <v>1588</v>
      </c>
      <c r="E130" s="81" t="str">
        <f>VLOOKUP(B130,TH.T6!B42:J372,9,FALSE)</f>
        <v>Giảng viên khoa KHCB</v>
      </c>
      <c r="F130" s="1040">
        <v>3.66</v>
      </c>
      <c r="G130" s="1019"/>
      <c r="H130" s="1247">
        <f t="shared" si="15"/>
        <v>0</v>
      </c>
      <c r="I130" s="1020"/>
      <c r="J130" s="1040">
        <v>3.66</v>
      </c>
      <c r="K130" s="1019"/>
      <c r="L130" s="1247">
        <f t="shared" si="16"/>
        <v>0</v>
      </c>
      <c r="M130" s="1020"/>
      <c r="N130" s="1040">
        <v>3.66</v>
      </c>
      <c r="O130" s="1019"/>
      <c r="P130" s="1248">
        <f t="shared" si="17"/>
        <v>0</v>
      </c>
      <c r="Q130" s="1020"/>
      <c r="R130" s="1020" t="str">
        <f>IFERROR(INDEX('[18]Gui chi Quynh'!$E$11:$E$397,MATCH(B130,'[18]Gui chi Quynh'!$B$11:$B$397,0)),"")</f>
        <v>A4</v>
      </c>
      <c r="S130" s="1020">
        <f t="shared" si="18"/>
        <v>0.5</v>
      </c>
      <c r="T130" s="1020" t="str">
        <f>VLOOKUP(B130,'[19]Gui chi Quynh'!$B$11:$E$397,4,FALSE)</f>
        <v>A DN</v>
      </c>
      <c r="U130" s="1020">
        <f t="shared" si="19"/>
        <v>0</v>
      </c>
      <c r="V130" s="1020" t="str">
        <f>VLOOKUP(B130,'[20]Gui chi Quynh'!$B$11:$E$396,4,FALSE)</f>
        <v>A4</v>
      </c>
      <c r="W130" s="1020">
        <f t="shared" si="20"/>
        <v>0.5</v>
      </c>
      <c r="X130" s="1020">
        <f>IFERROR(INDEX('[21]CN BC'!$J$10:$J$275,MATCH(B130,'[21]CN BC'!$H$10:$H$275,0)),"")</f>
        <v>23</v>
      </c>
      <c r="Y130" s="1020">
        <f>IFERROR(INDEX('[22]CN BC'!$J$10:$J$274,MATCH(B130,'[22]CN BC'!$H$10:$H$274,0)),"")</f>
        <v>0</v>
      </c>
      <c r="Z130" s="1020">
        <f>VLOOKUP(B130,'[23]CN BC'!$H$10:$J$275,3,FALSE)</f>
        <v>19</v>
      </c>
      <c r="AA130" s="1021">
        <f t="shared" si="21"/>
        <v>23</v>
      </c>
      <c r="AB130" s="1021">
        <f t="shared" si="22"/>
        <v>0</v>
      </c>
      <c r="AC130" s="1021">
        <f t="shared" si="23"/>
        <v>19</v>
      </c>
      <c r="AD130" s="1022"/>
      <c r="AE130" s="1023">
        <f t="shared" si="24"/>
        <v>8564400</v>
      </c>
      <c r="AF130" s="1371">
        <f t="shared" si="25"/>
        <v>3.66</v>
      </c>
      <c r="AG130" s="1102">
        <v>2340000</v>
      </c>
      <c r="AH130" s="1373">
        <f t="shared" si="26"/>
        <v>8564400</v>
      </c>
      <c r="AI130" s="1089">
        <f t="shared" si="14"/>
        <v>113</v>
      </c>
      <c r="AJ130" s="1025">
        <f>IFERROR(INDEX('[17]CN BC'!$M$10:$M$276,MATCH(B130,'[17]CN BC'!$H$10:$H$276,0)),"")</f>
        <v>0</v>
      </c>
      <c r="AK130" s="1011" t="str">
        <f>VLOOKUP(B130,TH.T4!B133:AC463,28,FALSE)</f>
        <v>KHCB</v>
      </c>
      <c r="AL130" s="1012"/>
      <c r="AM130" s="1012"/>
      <c r="AN130" s="1027"/>
      <c r="AO130" s="1012"/>
      <c r="AP130" s="1012"/>
      <c r="AQ130" s="1012"/>
      <c r="AR130" s="1012"/>
      <c r="AS130" s="1012"/>
      <c r="AT130" s="1012"/>
      <c r="AU130" s="1012"/>
      <c r="AV130" s="1012"/>
      <c r="AW130" s="1012"/>
      <c r="AX130" s="1012"/>
    </row>
    <row r="131" spans="1:50" s="1012" customFormat="1" ht="30" customHeight="1">
      <c r="A131" s="1014">
        <f>_xlfn.AGGREGATE(4,7,A$17:A130)+1</f>
        <v>114</v>
      </c>
      <c r="B131" s="1015" t="s">
        <v>1871</v>
      </c>
      <c r="C131" s="1033" t="s">
        <v>1705</v>
      </c>
      <c r="D131" s="1034" t="s">
        <v>1309</v>
      </c>
      <c r="E131" s="81" t="str">
        <f>VLOOKUP(B131,TH.T6!B43:J373,9,FALSE)</f>
        <v>Phó TK Khoa KHCB</v>
      </c>
      <c r="F131" s="1018">
        <v>4.9800000000000004</v>
      </c>
      <c r="G131" s="1019"/>
      <c r="H131" s="1247">
        <f t="shared" si="15"/>
        <v>0</v>
      </c>
      <c r="I131" s="1020">
        <v>0.35</v>
      </c>
      <c r="J131" s="1018">
        <v>4.9800000000000004</v>
      </c>
      <c r="K131" s="1019"/>
      <c r="L131" s="1247">
        <f t="shared" si="16"/>
        <v>0</v>
      </c>
      <c r="M131" s="1020">
        <v>0.35</v>
      </c>
      <c r="N131" s="1018">
        <v>4.9800000000000004</v>
      </c>
      <c r="O131" s="1019"/>
      <c r="P131" s="1248">
        <f t="shared" si="17"/>
        <v>0</v>
      </c>
      <c r="Q131" s="1020">
        <v>0.35</v>
      </c>
      <c r="R131" s="1020" t="str">
        <f>IFERROR(INDEX('[18]Gui chi Quynh'!$E$11:$E$397,MATCH(B131,'[18]Gui chi Quynh'!$B$11:$B$397,0)),"")</f>
        <v>A3</v>
      </c>
      <c r="S131" s="1020">
        <f t="shared" si="18"/>
        <v>0.6</v>
      </c>
      <c r="T131" s="1020" t="str">
        <f>VLOOKUP(B131,'[19]Gui chi Quynh'!$B$11:$E$397,4,FALSE)</f>
        <v>A3</v>
      </c>
      <c r="U131" s="1020">
        <f t="shared" si="19"/>
        <v>0.6</v>
      </c>
      <c r="V131" s="1020" t="str">
        <f>VLOOKUP(B131,'[20]Gui chi Quynh'!$B$11:$E$396,4,FALSE)</f>
        <v>A3</v>
      </c>
      <c r="W131" s="1020">
        <f t="shared" si="20"/>
        <v>0.6</v>
      </c>
      <c r="X131" s="1020">
        <f>IFERROR(INDEX('[21]CN BC'!$J$10:$J$275,MATCH(B131,'[21]CN BC'!$H$10:$H$275,0)),"")</f>
        <v>21</v>
      </c>
      <c r="Y131" s="1020">
        <f>IFERROR(INDEX('[22]CN BC'!$J$10:$J$274,MATCH(B131,'[22]CN BC'!$H$10:$H$274,0)),"")</f>
        <v>22</v>
      </c>
      <c r="Z131" s="1020">
        <f>VLOOKUP(B131,'[23]CN BC'!$H$10:$J$275,3,FALSE)</f>
        <v>19</v>
      </c>
      <c r="AA131" s="1021">
        <f t="shared" si="21"/>
        <v>21</v>
      </c>
      <c r="AB131" s="1021">
        <f t="shared" si="22"/>
        <v>22</v>
      </c>
      <c r="AC131" s="1021">
        <f t="shared" si="23"/>
        <v>19</v>
      </c>
      <c r="AD131" s="1022"/>
      <c r="AE131" s="1023">
        <f t="shared" si="24"/>
        <v>21799237</v>
      </c>
      <c r="AF131" s="1371">
        <f t="shared" si="25"/>
        <v>9.3159132478632483</v>
      </c>
      <c r="AG131" s="1102">
        <v>2340000</v>
      </c>
      <c r="AH131" s="1373">
        <f t="shared" si="26"/>
        <v>21799237</v>
      </c>
      <c r="AI131" s="1089">
        <f t="shared" si="14"/>
        <v>114</v>
      </c>
      <c r="AJ131" s="1025">
        <f>IFERROR(INDEX('[17]CN BC'!$M$10:$M$276,MATCH(B131,'[17]CN BC'!$H$10:$H$276,0)),"")</f>
        <v>0</v>
      </c>
      <c r="AK131" s="1011" t="str">
        <f>VLOOKUP(B131,TH.T4!B134:AC464,28,FALSE)</f>
        <v>KHCB</v>
      </c>
      <c r="AN131" s="1027"/>
    </row>
    <row r="132" spans="1:50" s="1028" customFormat="1" ht="30" customHeight="1">
      <c r="A132" s="1014">
        <f>_xlfn.AGGREGATE(4,7,A$17:A131)+1</f>
        <v>115</v>
      </c>
      <c r="B132" s="1093" t="s">
        <v>1872</v>
      </c>
      <c r="C132" s="1094" t="s">
        <v>1706</v>
      </c>
      <c r="D132" s="1212" t="s">
        <v>1311</v>
      </c>
      <c r="E132" s="554" t="str">
        <f>VLOOKUP(B132,TH.T6!B44:J374,9,FALSE)</f>
        <v>Giảng viên Khoa KHCB</v>
      </c>
      <c r="F132" s="1095">
        <v>4.9800000000000004</v>
      </c>
      <c r="G132" s="1096">
        <v>0.05</v>
      </c>
      <c r="H132" s="1249">
        <f t="shared" si="15"/>
        <v>0.249</v>
      </c>
      <c r="I132" s="1097"/>
      <c r="J132" s="1095">
        <v>4.9800000000000004</v>
      </c>
      <c r="K132" s="1096">
        <v>0.05</v>
      </c>
      <c r="L132" s="1249">
        <f t="shared" si="16"/>
        <v>0.249</v>
      </c>
      <c r="M132" s="1097"/>
      <c r="N132" s="1095">
        <v>4.9800000000000004</v>
      </c>
      <c r="O132" s="1096">
        <v>0.06</v>
      </c>
      <c r="P132" s="1250">
        <f t="shared" si="17"/>
        <v>0.29899999999999999</v>
      </c>
      <c r="Q132" s="1097"/>
      <c r="R132" s="1097" t="str">
        <f>IFERROR(INDEX('[18]Gui chi Quynh'!$E$11:$E$397,MATCH(B132,'[18]Gui chi Quynh'!$B$11:$B$397,0)),"")</f>
        <v>A4</v>
      </c>
      <c r="S132" s="1097">
        <f t="shared" si="18"/>
        <v>0.5</v>
      </c>
      <c r="T132" s="1097" t="str">
        <f>VLOOKUP(B132,'[19]Gui chi Quynh'!$B$11:$E$397,4,FALSE)</f>
        <v>A DN</v>
      </c>
      <c r="U132" s="1097">
        <f t="shared" si="19"/>
        <v>0</v>
      </c>
      <c r="V132" s="1097" t="str">
        <f>VLOOKUP(B132,'[20]Gui chi Quynh'!$B$11:$E$396,4,FALSE)</f>
        <v>A4</v>
      </c>
      <c r="W132" s="1097">
        <f t="shared" si="20"/>
        <v>0.5</v>
      </c>
      <c r="X132" s="1097">
        <f>IFERROR(INDEX('[21]CN BC'!$J$10:$J$275,MATCH(B132,'[21]CN BC'!$H$10:$H$275,0)),"")</f>
        <v>23</v>
      </c>
      <c r="Y132" s="1097">
        <f>IFERROR(INDEX('[22]CN BC'!$J$10:$J$274,MATCH(B132,'[22]CN BC'!$H$10:$H$274,0)),"")</f>
        <v>0</v>
      </c>
      <c r="Z132" s="1097">
        <f>VLOOKUP(B132,'[23]CN BC'!$H$10:$J$275,3,FALSE)</f>
        <v>19</v>
      </c>
      <c r="AA132" s="1213">
        <f t="shared" si="21"/>
        <v>23</v>
      </c>
      <c r="AB132" s="1213">
        <f t="shared" si="22"/>
        <v>0</v>
      </c>
      <c r="AC132" s="1213">
        <f t="shared" si="23"/>
        <v>19</v>
      </c>
      <c r="AD132" s="1098"/>
      <c r="AE132" s="1214">
        <f t="shared" si="24"/>
        <v>12294360</v>
      </c>
      <c r="AF132" s="1400">
        <f t="shared" si="25"/>
        <v>5.2539999999999996</v>
      </c>
      <c r="AG132" s="1225">
        <v>2340000</v>
      </c>
      <c r="AH132" s="1401">
        <f t="shared" si="26"/>
        <v>12294359.999999998</v>
      </c>
      <c r="AI132" s="1220">
        <f t="shared" si="14"/>
        <v>115</v>
      </c>
      <c r="AJ132" s="1215" t="s">
        <v>2362</v>
      </c>
      <c r="AK132" s="1011" t="str">
        <f>VLOOKUP(B132,TH.T4!B135:AC465,28,FALSE)</f>
        <v>KHCB</v>
      </c>
      <c r="AL132" s="1012"/>
      <c r="AM132" s="1012"/>
      <c r="AN132" s="1038"/>
    </row>
    <row r="133" spans="1:50" s="1028" customFormat="1" ht="32.25" customHeight="1">
      <c r="A133" s="1014">
        <f>_xlfn.AGGREGATE(4,7,A$17:A132)+1</f>
        <v>116</v>
      </c>
      <c r="B133" s="1015" t="s">
        <v>1487</v>
      </c>
      <c r="C133" s="1033" t="s">
        <v>1707</v>
      </c>
      <c r="D133" s="1034" t="s">
        <v>1312</v>
      </c>
      <c r="E133" s="81" t="str">
        <f>VLOOKUP(B133,TH.T6!B45:J375,9,FALSE)</f>
        <v>Giảng viên khoa KHCB</v>
      </c>
      <c r="F133" s="1040">
        <v>3.99</v>
      </c>
      <c r="G133" s="1019"/>
      <c r="H133" s="1247">
        <f t="shared" si="15"/>
        <v>0</v>
      </c>
      <c r="I133" s="1020"/>
      <c r="J133" s="1040">
        <v>3.99</v>
      </c>
      <c r="K133" s="1019"/>
      <c r="L133" s="1247">
        <f t="shared" si="16"/>
        <v>0</v>
      </c>
      <c r="M133" s="1020"/>
      <c r="N133" s="1040">
        <v>3.99</v>
      </c>
      <c r="O133" s="1019"/>
      <c r="P133" s="1248">
        <f t="shared" si="17"/>
        <v>0</v>
      </c>
      <c r="Q133" s="1020"/>
      <c r="R133" s="1020" t="str">
        <f>IFERROR(INDEX('[18]Gui chi Quynh'!$E$11:$E$397,MATCH(B133,'[18]Gui chi Quynh'!$B$11:$B$397,0)),"")</f>
        <v>A4</v>
      </c>
      <c r="S133" s="1020">
        <f t="shared" si="18"/>
        <v>0.5</v>
      </c>
      <c r="T133" s="1020" t="str">
        <f>VLOOKUP(B133,'[19]Gui chi Quynh'!$B$11:$E$397,4,FALSE)</f>
        <v>A DN</v>
      </c>
      <c r="U133" s="1020">
        <f t="shared" si="19"/>
        <v>0</v>
      </c>
      <c r="V133" s="1020" t="str">
        <f>VLOOKUP(B133,'[20]Gui chi Quynh'!$B$11:$E$396,4,FALSE)</f>
        <v>A3</v>
      </c>
      <c r="W133" s="1020">
        <f t="shared" si="20"/>
        <v>0.6</v>
      </c>
      <c r="X133" s="1020">
        <f>IFERROR(INDEX('[21]CN BC'!$J$10:$J$275,MATCH(B133,'[21]CN BC'!$H$10:$H$275,0)),"")</f>
        <v>23</v>
      </c>
      <c r="Y133" s="1020">
        <f>IFERROR(INDEX('[22]CN BC'!$J$10:$J$274,MATCH(B133,'[22]CN BC'!$H$10:$H$274,0)),"")</f>
        <v>0</v>
      </c>
      <c r="Z133" s="1020">
        <f>VLOOKUP(B133,'[23]CN BC'!$H$10:$J$275,3,FALSE)</f>
        <v>19</v>
      </c>
      <c r="AA133" s="1021">
        <f t="shared" si="21"/>
        <v>23</v>
      </c>
      <c r="AB133" s="1021">
        <f t="shared" si="22"/>
        <v>0</v>
      </c>
      <c r="AC133" s="1021">
        <f t="shared" si="23"/>
        <v>19</v>
      </c>
      <c r="AD133" s="1022"/>
      <c r="AE133" s="1023">
        <f t="shared" si="24"/>
        <v>10270260</v>
      </c>
      <c r="AF133" s="1371">
        <f t="shared" si="25"/>
        <v>4.3890000000000002</v>
      </c>
      <c r="AG133" s="1102">
        <v>2340000</v>
      </c>
      <c r="AH133" s="1373">
        <f t="shared" si="26"/>
        <v>10270260</v>
      </c>
      <c r="AI133" s="1024">
        <f t="shared" si="14"/>
        <v>116</v>
      </c>
      <c r="AJ133" s="1025">
        <f>IFERROR(INDEX('[17]CN BC'!$M$10:$M$276,MATCH(B133,'[17]CN BC'!$H$10:$H$276,0)),"")</f>
        <v>0</v>
      </c>
      <c r="AK133" s="1011" t="str">
        <f>VLOOKUP(B133,TH.T4!B136:AC466,28,FALSE)</f>
        <v>KHCB</v>
      </c>
      <c r="AL133" s="1012"/>
      <c r="AM133" s="1012"/>
      <c r="AN133" s="1038"/>
    </row>
    <row r="134" spans="1:50" s="1028" customFormat="1" ht="30" customHeight="1">
      <c r="A134" s="1014">
        <f>_xlfn.AGGREGATE(4,7,A$17:A133)+1</f>
        <v>117</v>
      </c>
      <c r="B134" s="1015" t="s">
        <v>1488</v>
      </c>
      <c r="C134" s="1033" t="s">
        <v>1708</v>
      </c>
      <c r="D134" s="1034" t="s">
        <v>374</v>
      </c>
      <c r="E134" s="81" t="str">
        <f>VLOOKUP(B134,TH.T6!B46:J376,9,FALSE)</f>
        <v>Giảng viên khoa KHCB</v>
      </c>
      <c r="F134" s="1040">
        <v>3.66</v>
      </c>
      <c r="G134" s="1019"/>
      <c r="H134" s="1247">
        <f t="shared" si="15"/>
        <v>0</v>
      </c>
      <c r="I134" s="1020"/>
      <c r="J134" s="1040">
        <v>3.66</v>
      </c>
      <c r="K134" s="1019"/>
      <c r="L134" s="1247">
        <f t="shared" si="16"/>
        <v>0</v>
      </c>
      <c r="M134" s="1020"/>
      <c r="N134" s="1040">
        <v>3.66</v>
      </c>
      <c r="O134" s="1019"/>
      <c r="P134" s="1248">
        <f t="shared" si="17"/>
        <v>0</v>
      </c>
      <c r="Q134" s="1020"/>
      <c r="R134" s="1020" t="str">
        <f>IFERROR(INDEX('[18]Gui chi Quynh'!$E$11:$E$397,MATCH(B134,'[18]Gui chi Quynh'!$B$11:$B$397,0)),"")</f>
        <v>A3</v>
      </c>
      <c r="S134" s="1020">
        <f t="shared" si="18"/>
        <v>0.6</v>
      </c>
      <c r="T134" s="1020" t="str">
        <f>VLOOKUP(B134,'[19]Gui chi Quynh'!$B$11:$E$397,4,FALSE)</f>
        <v>A DN</v>
      </c>
      <c r="U134" s="1020">
        <f t="shared" si="19"/>
        <v>0</v>
      </c>
      <c r="V134" s="1020" t="str">
        <f>VLOOKUP(B134,'[20]Gui chi Quynh'!$B$11:$E$396,4,FALSE)</f>
        <v>A3</v>
      </c>
      <c r="W134" s="1020">
        <f t="shared" si="20"/>
        <v>0.6</v>
      </c>
      <c r="X134" s="1020">
        <f>IFERROR(INDEX('[21]CN BC'!$J$10:$J$275,MATCH(B134,'[21]CN BC'!$H$10:$H$275,0)),"")</f>
        <v>21</v>
      </c>
      <c r="Y134" s="1020">
        <f>IFERROR(INDEX('[22]CN BC'!$J$10:$J$274,MATCH(B134,'[22]CN BC'!$H$10:$H$274,0)),"")</f>
        <v>0</v>
      </c>
      <c r="Z134" s="1020">
        <f>VLOOKUP(B134,'[23]CN BC'!$H$10:$J$275,3,FALSE)</f>
        <v>19</v>
      </c>
      <c r="AA134" s="1021">
        <f t="shared" si="21"/>
        <v>21</v>
      </c>
      <c r="AB134" s="1021">
        <f t="shared" si="22"/>
        <v>0</v>
      </c>
      <c r="AC134" s="1021">
        <f t="shared" si="23"/>
        <v>19</v>
      </c>
      <c r="AD134" s="1022"/>
      <c r="AE134" s="1023">
        <f t="shared" si="24"/>
        <v>9830442</v>
      </c>
      <c r="AF134" s="1371">
        <f t="shared" si="25"/>
        <v>4.2010435897435894</v>
      </c>
      <c r="AG134" s="1102">
        <v>2340000</v>
      </c>
      <c r="AH134" s="1373">
        <f t="shared" si="26"/>
        <v>9830442</v>
      </c>
      <c r="AI134" s="1024">
        <f t="shared" si="14"/>
        <v>117</v>
      </c>
      <c r="AJ134" s="1025">
        <f>IFERROR(INDEX('[17]CN BC'!$M$10:$M$276,MATCH(B134,'[17]CN BC'!$H$10:$H$276,0)),"")</f>
        <v>0</v>
      </c>
      <c r="AK134" s="1011" t="str">
        <f>VLOOKUP(B134,TH.T4!B137:AC467,28,FALSE)</f>
        <v>KHCB</v>
      </c>
      <c r="AL134" s="1012"/>
      <c r="AM134" s="1012"/>
      <c r="AN134" s="1027"/>
      <c r="AO134" s="1012"/>
      <c r="AP134" s="1012"/>
      <c r="AQ134" s="1012"/>
      <c r="AR134" s="1012"/>
      <c r="AS134" s="1012"/>
      <c r="AT134" s="1012"/>
    </row>
    <row r="135" spans="1:50" s="1028" customFormat="1" ht="30" customHeight="1">
      <c r="A135" s="1014">
        <f>_xlfn.AGGREGATE(4,7,A$17:A134)+1</f>
        <v>118</v>
      </c>
      <c r="B135" s="1015" t="s">
        <v>1489</v>
      </c>
      <c r="C135" s="1033" t="s">
        <v>1709</v>
      </c>
      <c r="D135" s="1030" t="s">
        <v>1424</v>
      </c>
      <c r="E135" s="81" t="str">
        <f>VLOOKUP(B135,TH.T6!B47:J377,9,FALSE)</f>
        <v>Giảng viên khoa KHCB</v>
      </c>
      <c r="F135" s="1040">
        <v>3.33</v>
      </c>
      <c r="G135" s="1019"/>
      <c r="H135" s="1247">
        <f t="shared" si="15"/>
        <v>0</v>
      </c>
      <c r="I135" s="1020"/>
      <c r="J135" s="1040">
        <v>3.33</v>
      </c>
      <c r="K135" s="1019"/>
      <c r="L135" s="1247">
        <f t="shared" si="16"/>
        <v>0</v>
      </c>
      <c r="M135" s="1020"/>
      <c r="N135" s="1040">
        <v>3.33</v>
      </c>
      <c r="O135" s="1019"/>
      <c r="P135" s="1248">
        <f t="shared" si="17"/>
        <v>0</v>
      </c>
      <c r="Q135" s="1020"/>
      <c r="R135" s="1020" t="str">
        <f>IFERROR(INDEX('[18]Gui chi Quynh'!$E$11:$E$397,MATCH(B135,'[18]Gui chi Quynh'!$B$11:$B$397,0)),"")</f>
        <v>A4</v>
      </c>
      <c r="S135" s="1020">
        <f t="shared" si="18"/>
        <v>0.5</v>
      </c>
      <c r="T135" s="1020" t="str">
        <f>VLOOKUP(B135,'[19]Gui chi Quynh'!$B$11:$E$397,4,FALSE)</f>
        <v>A DN</v>
      </c>
      <c r="U135" s="1020">
        <f t="shared" si="19"/>
        <v>0</v>
      </c>
      <c r="V135" s="1020" t="str">
        <f>VLOOKUP(B135,'[20]Gui chi Quynh'!$B$11:$E$396,4,FALSE)</f>
        <v>A3</v>
      </c>
      <c r="W135" s="1020">
        <f t="shared" si="20"/>
        <v>0.6</v>
      </c>
      <c r="X135" s="1020">
        <f>IFERROR(INDEX('[21]CN BC'!$J$10:$J$275,MATCH(B135,'[21]CN BC'!$H$10:$H$275,0)),"")</f>
        <v>23</v>
      </c>
      <c r="Y135" s="1020">
        <f>IFERROR(INDEX('[22]CN BC'!$J$10:$J$274,MATCH(B135,'[22]CN BC'!$H$10:$H$274,0)),"")</f>
        <v>0</v>
      </c>
      <c r="Z135" s="1020">
        <f>VLOOKUP(B135,'[23]CN BC'!$H$10:$J$275,3,FALSE)</f>
        <v>19</v>
      </c>
      <c r="AA135" s="1021">
        <f t="shared" si="21"/>
        <v>23</v>
      </c>
      <c r="AB135" s="1021">
        <f t="shared" si="22"/>
        <v>0</v>
      </c>
      <c r="AC135" s="1021">
        <f t="shared" si="23"/>
        <v>19</v>
      </c>
      <c r="AD135" s="1022"/>
      <c r="AE135" s="1023">
        <f t="shared" si="24"/>
        <v>8571420</v>
      </c>
      <c r="AF135" s="1371">
        <f t="shared" si="25"/>
        <v>3.6629999999999998</v>
      </c>
      <c r="AG135" s="1102">
        <v>2340000</v>
      </c>
      <c r="AH135" s="1373">
        <f t="shared" si="26"/>
        <v>8571420</v>
      </c>
      <c r="AI135" s="1024">
        <f t="shared" si="14"/>
        <v>118</v>
      </c>
      <c r="AJ135" s="1025">
        <f>IFERROR(INDEX('[17]CN BC'!$M$10:$M$276,MATCH(B135,'[17]CN BC'!$H$10:$H$276,0)),"")</f>
        <v>0</v>
      </c>
      <c r="AK135" s="1011" t="str">
        <f>VLOOKUP(B135,TH.T4!B138:AC468,28,FALSE)</f>
        <v>KHCB</v>
      </c>
      <c r="AL135" s="1012"/>
      <c r="AM135" s="1012"/>
      <c r="AN135" s="1027"/>
      <c r="AO135" s="1012"/>
      <c r="AP135" s="1012"/>
      <c r="AQ135" s="1012"/>
      <c r="AR135" s="1012"/>
      <c r="AS135" s="1012"/>
      <c r="AT135" s="1012"/>
    </row>
    <row r="136" spans="1:50" s="1028" customFormat="1" ht="42" customHeight="1">
      <c r="A136" s="1014">
        <f>_xlfn.AGGREGATE(4,7,A$17:A135)+1</f>
        <v>119</v>
      </c>
      <c r="B136" s="1015" t="s">
        <v>1490</v>
      </c>
      <c r="C136" s="1033" t="s">
        <v>1710</v>
      </c>
      <c r="D136" s="1030" t="s">
        <v>1425</v>
      </c>
      <c r="E136" s="81" t="str">
        <f>VLOOKUP(B136,TH.T6!B48:J378,9,FALSE)</f>
        <v>Giảng viên khoa KHCB</v>
      </c>
      <c r="F136" s="1040">
        <v>3.33</v>
      </c>
      <c r="G136" s="1019"/>
      <c r="H136" s="1247">
        <f t="shared" si="15"/>
        <v>0</v>
      </c>
      <c r="I136" s="1020"/>
      <c r="J136" s="1040">
        <v>3.33</v>
      </c>
      <c r="K136" s="1019"/>
      <c r="L136" s="1247">
        <f t="shared" si="16"/>
        <v>0</v>
      </c>
      <c r="M136" s="1020"/>
      <c r="N136" s="1040">
        <v>3.33</v>
      </c>
      <c r="O136" s="1019"/>
      <c r="P136" s="1248">
        <f t="shared" si="17"/>
        <v>0</v>
      </c>
      <c r="Q136" s="1020"/>
      <c r="R136" s="1020" t="str">
        <f>IFERROR(INDEX('[18]Gui chi Quynh'!$E$11:$E$397,MATCH(B136,'[18]Gui chi Quynh'!$B$11:$B$397,0)),"")</f>
        <v>A4</v>
      </c>
      <c r="S136" s="1020">
        <f t="shared" si="18"/>
        <v>0.5</v>
      </c>
      <c r="T136" s="1020" t="str">
        <f>VLOOKUP(B136,'[19]Gui chi Quynh'!$B$11:$E$397,4,FALSE)</f>
        <v>A DN</v>
      </c>
      <c r="U136" s="1020">
        <f t="shared" si="19"/>
        <v>0</v>
      </c>
      <c r="V136" s="1020" t="str">
        <f>VLOOKUP(B136,'[20]Gui chi Quynh'!$B$11:$E$396,4,FALSE)</f>
        <v>A4</v>
      </c>
      <c r="W136" s="1020">
        <f t="shared" si="20"/>
        <v>0.5</v>
      </c>
      <c r="X136" s="1020">
        <f>IFERROR(INDEX('[21]CN BC'!$J$10:$J$275,MATCH(B136,'[21]CN BC'!$H$10:$H$275,0)),"")</f>
        <v>21</v>
      </c>
      <c r="Y136" s="1020">
        <f>IFERROR(INDEX('[22]CN BC'!$J$10:$J$274,MATCH(B136,'[22]CN BC'!$H$10:$H$274,0)),"")</f>
        <v>0</v>
      </c>
      <c r="Z136" s="1020">
        <f>VLOOKUP(B136,'[23]CN BC'!$H$10:$J$275,3,FALSE)</f>
        <v>19</v>
      </c>
      <c r="AA136" s="1021">
        <f t="shared" si="21"/>
        <v>21</v>
      </c>
      <c r="AB136" s="1021">
        <f t="shared" si="22"/>
        <v>0</v>
      </c>
      <c r="AC136" s="1021">
        <f t="shared" si="23"/>
        <v>19</v>
      </c>
      <c r="AD136" s="1022"/>
      <c r="AE136" s="1023">
        <f t="shared" si="24"/>
        <v>7453409</v>
      </c>
      <c r="AF136" s="1371">
        <f t="shared" si="25"/>
        <v>3.1852175213675213</v>
      </c>
      <c r="AG136" s="1102">
        <v>2340000</v>
      </c>
      <c r="AH136" s="1373">
        <f t="shared" si="26"/>
        <v>7453409</v>
      </c>
      <c r="AI136" s="1024">
        <f t="shared" si="14"/>
        <v>119</v>
      </c>
      <c r="AJ136" s="1025">
        <f>IFERROR(INDEX('[17]CN BC'!$M$10:$M$276,MATCH(B136,'[17]CN BC'!$H$10:$H$276,0)),"")</f>
        <v>0</v>
      </c>
      <c r="AK136" s="1067" t="str">
        <f>VLOOKUP(B136,TH.T4!B139:AC469,28,FALSE)</f>
        <v>KHCB</v>
      </c>
      <c r="AN136" s="1038"/>
    </row>
    <row r="137" spans="1:50" s="1028" customFormat="1" ht="30" customHeight="1">
      <c r="A137" s="1014">
        <f>_xlfn.AGGREGATE(4,7,A$17:A136)+1</f>
        <v>120</v>
      </c>
      <c r="B137" s="1093" t="s">
        <v>1873</v>
      </c>
      <c r="C137" s="1094" t="s">
        <v>1711</v>
      </c>
      <c r="D137" s="1212" t="s">
        <v>1322</v>
      </c>
      <c r="E137" s="554" t="str">
        <f>VLOOKUP(B137,TH.T6!B49:J379,9,FALSE)</f>
        <v>Giảng viên Khoa KHCB</v>
      </c>
      <c r="F137" s="1224">
        <v>3.99</v>
      </c>
      <c r="G137" s="1096"/>
      <c r="H137" s="1249">
        <f t="shared" si="15"/>
        <v>0</v>
      </c>
      <c r="I137" s="1097">
        <f>0.25</f>
        <v>0.25</v>
      </c>
      <c r="J137" s="1224">
        <v>3.99</v>
      </c>
      <c r="K137" s="1096"/>
      <c r="L137" s="1249">
        <f t="shared" si="16"/>
        <v>0</v>
      </c>
      <c r="M137" s="1097">
        <f>0.25</f>
        <v>0.25</v>
      </c>
      <c r="N137" s="1224">
        <v>4.32</v>
      </c>
      <c r="O137" s="1096"/>
      <c r="P137" s="1250">
        <f t="shared" si="17"/>
        <v>0</v>
      </c>
      <c r="Q137" s="1097">
        <f>0.25</f>
        <v>0.25</v>
      </c>
      <c r="R137" s="1097" t="str">
        <f>IFERROR(INDEX('[18]Gui chi Quynh'!$E$11:$E$397,MATCH(B137,'[18]Gui chi Quynh'!$B$11:$B$397,0)),"")</f>
        <v>A3</v>
      </c>
      <c r="S137" s="1097">
        <f t="shared" si="18"/>
        <v>0.6</v>
      </c>
      <c r="T137" s="1097" t="str">
        <f>VLOOKUP(B137,'[19]Gui chi Quynh'!$B$11:$E$397,4,FALSE)</f>
        <v>A DN</v>
      </c>
      <c r="U137" s="1097">
        <f t="shared" si="19"/>
        <v>0</v>
      </c>
      <c r="V137" s="1097" t="str">
        <f>VLOOKUP(B137,'[20]Gui chi Quynh'!$B$11:$E$396,4,FALSE)</f>
        <v>A4</v>
      </c>
      <c r="W137" s="1097">
        <f t="shared" si="20"/>
        <v>0.5</v>
      </c>
      <c r="X137" s="1097">
        <f>IFERROR(INDEX('[21]CN BC'!$J$10:$J$275,MATCH(B137,'[21]CN BC'!$H$10:$H$275,0)),"")</f>
        <v>22</v>
      </c>
      <c r="Y137" s="1097">
        <f>IFERROR(INDEX('[22]CN BC'!$J$10:$J$274,MATCH(B137,'[22]CN BC'!$H$10:$H$274,0)),"")</f>
        <v>0</v>
      </c>
      <c r="Z137" s="1097">
        <f>VLOOKUP(B137,'[23]CN BC'!$H$10:$J$275,3,FALSE)</f>
        <v>19</v>
      </c>
      <c r="AA137" s="1213">
        <f t="shared" si="21"/>
        <v>22</v>
      </c>
      <c r="AB137" s="1213">
        <f t="shared" si="22"/>
        <v>0</v>
      </c>
      <c r="AC137" s="1213">
        <f t="shared" si="23"/>
        <v>19</v>
      </c>
      <c r="AD137" s="1098"/>
      <c r="AE137" s="1214">
        <f t="shared" si="24"/>
        <v>11041036</v>
      </c>
      <c r="AF137" s="1400">
        <f t="shared" si="25"/>
        <v>4.7183914529914528</v>
      </c>
      <c r="AG137" s="1225">
        <v>2340000</v>
      </c>
      <c r="AH137" s="1401">
        <f t="shared" si="26"/>
        <v>11041036</v>
      </c>
      <c r="AI137" s="1099">
        <f t="shared" si="14"/>
        <v>120</v>
      </c>
      <c r="AJ137" s="1215" t="s">
        <v>2363</v>
      </c>
      <c r="AK137" s="1011" t="str">
        <f>VLOOKUP(B137,TH.T4!B140:AC470,28,FALSE)</f>
        <v>KHCB</v>
      </c>
      <c r="AL137" s="1012"/>
      <c r="AM137" s="1012"/>
      <c r="AN137" s="1027"/>
      <c r="AO137" s="1012"/>
      <c r="AP137" s="1012"/>
      <c r="AQ137" s="1012"/>
      <c r="AR137" s="1012"/>
      <c r="AS137" s="1012"/>
      <c r="AT137" s="1012"/>
      <c r="AU137" s="1012"/>
      <c r="AV137" s="1012"/>
      <c r="AW137" s="1012"/>
      <c r="AX137" s="1012"/>
    </row>
    <row r="138" spans="1:50" s="1028" customFormat="1" ht="30" customHeight="1">
      <c r="A138" s="1014">
        <f>_xlfn.AGGREGATE(4,7,A$17:A137)+1</f>
        <v>121</v>
      </c>
      <c r="B138" s="1015" t="s">
        <v>1491</v>
      </c>
      <c r="C138" s="1033" t="s">
        <v>1712</v>
      </c>
      <c r="D138" s="1034" t="s">
        <v>1323</v>
      </c>
      <c r="E138" s="81" t="str">
        <f>VLOOKUP(B138,TH.T6!B50:J380,9,FALSE)</f>
        <v>Giảng viên khoa KHCB</v>
      </c>
      <c r="F138" s="1040">
        <v>4.32</v>
      </c>
      <c r="G138" s="1019"/>
      <c r="H138" s="1247">
        <f t="shared" si="15"/>
        <v>0</v>
      </c>
      <c r="I138" s="1020"/>
      <c r="J138" s="1040">
        <v>4.32</v>
      </c>
      <c r="K138" s="1019"/>
      <c r="L138" s="1247">
        <f t="shared" si="16"/>
        <v>0</v>
      </c>
      <c r="M138" s="1020"/>
      <c r="N138" s="1040">
        <v>4.32</v>
      </c>
      <c r="O138" s="1019"/>
      <c r="P138" s="1248">
        <f t="shared" si="17"/>
        <v>0</v>
      </c>
      <c r="Q138" s="1020"/>
      <c r="R138" s="1020" t="str">
        <f>IFERROR(INDEX('[18]Gui chi Quynh'!$E$11:$E$397,MATCH(B138,'[18]Gui chi Quynh'!$B$11:$B$397,0)),"")</f>
        <v>A3</v>
      </c>
      <c r="S138" s="1020">
        <f t="shared" si="18"/>
        <v>0.6</v>
      </c>
      <c r="T138" s="1020" t="str">
        <f>VLOOKUP(B138,'[19]Gui chi Quynh'!$B$11:$E$397,4,FALSE)</f>
        <v>A DN</v>
      </c>
      <c r="U138" s="1020">
        <f t="shared" si="19"/>
        <v>0</v>
      </c>
      <c r="V138" s="1020" t="str">
        <f>VLOOKUP(B138,'[20]Gui chi Quynh'!$B$11:$E$396,4,FALSE)</f>
        <v>A4</v>
      </c>
      <c r="W138" s="1020">
        <f t="shared" si="20"/>
        <v>0.5</v>
      </c>
      <c r="X138" s="1020">
        <f>IFERROR(INDEX('[21]CN BC'!$J$10:$J$275,MATCH(B138,'[21]CN BC'!$H$10:$H$275,0)),"")</f>
        <v>22</v>
      </c>
      <c r="Y138" s="1020">
        <f>IFERROR(INDEX('[22]CN BC'!$J$10:$J$274,MATCH(B138,'[22]CN BC'!$H$10:$H$274,0)),"")</f>
        <v>0</v>
      </c>
      <c r="Z138" s="1020">
        <f>VLOOKUP(B138,'[23]CN BC'!$H$10:$J$275,3,FALSE)</f>
        <v>19</v>
      </c>
      <c r="AA138" s="1021">
        <f t="shared" si="21"/>
        <v>22</v>
      </c>
      <c r="AB138" s="1021">
        <f t="shared" si="22"/>
        <v>0</v>
      </c>
      <c r="AC138" s="1021">
        <f t="shared" si="23"/>
        <v>19</v>
      </c>
      <c r="AD138" s="1022"/>
      <c r="AE138" s="1023">
        <f t="shared" si="24"/>
        <v>10855972</v>
      </c>
      <c r="AF138" s="1371">
        <f t="shared" si="25"/>
        <v>4.6393042735042735</v>
      </c>
      <c r="AG138" s="1102">
        <v>2340000</v>
      </c>
      <c r="AH138" s="1373">
        <f t="shared" si="26"/>
        <v>10855972</v>
      </c>
      <c r="AI138" s="1024">
        <f t="shared" si="14"/>
        <v>121</v>
      </c>
      <c r="AJ138" s="1025">
        <f>IFERROR(INDEX('[17]CN BC'!$M$10:$M$276,MATCH(B138,'[17]CN BC'!$H$10:$H$276,0)),"")</f>
        <v>0</v>
      </c>
      <c r="AK138" s="1011" t="str">
        <f>VLOOKUP(B138,TH.T4!B141:AC471,28,FALSE)</f>
        <v>KHCB</v>
      </c>
      <c r="AL138" s="1012"/>
      <c r="AM138" s="1012"/>
      <c r="AN138" s="1027"/>
      <c r="AO138" s="1012"/>
      <c r="AP138" s="1012"/>
      <c r="AQ138" s="1012"/>
      <c r="AR138" s="1012"/>
      <c r="AS138" s="1012"/>
      <c r="AT138" s="1012"/>
    </row>
    <row r="139" spans="1:50" s="1028" customFormat="1" ht="30" customHeight="1">
      <c r="A139" s="1014">
        <f>_xlfn.AGGREGATE(4,7,A$17:A138)+1</f>
        <v>122</v>
      </c>
      <c r="B139" s="1015" t="s">
        <v>845</v>
      </c>
      <c r="C139" s="1033" t="s">
        <v>1713</v>
      </c>
      <c r="D139" s="1034" t="s">
        <v>1324</v>
      </c>
      <c r="E139" s="81" t="str">
        <f>VLOOKUP(B139,TH.T6!B51:J381,9,FALSE)</f>
        <v>Giảng viên khoa KHCB</v>
      </c>
      <c r="F139" s="1040">
        <v>3.99</v>
      </c>
      <c r="G139" s="1019"/>
      <c r="H139" s="1247">
        <f t="shared" si="15"/>
        <v>0</v>
      </c>
      <c r="I139" s="1020"/>
      <c r="J139" s="1040">
        <v>3.99</v>
      </c>
      <c r="K139" s="1019"/>
      <c r="L139" s="1247">
        <f t="shared" si="16"/>
        <v>0</v>
      </c>
      <c r="M139" s="1020"/>
      <c r="N139" s="1040">
        <v>3.99</v>
      </c>
      <c r="O139" s="1019"/>
      <c r="P139" s="1248">
        <f t="shared" si="17"/>
        <v>0</v>
      </c>
      <c r="Q139" s="1020"/>
      <c r="R139" s="1020" t="str">
        <f>IFERROR(INDEX('[18]Gui chi Quynh'!$E$11:$E$397,MATCH(B139,'[18]Gui chi Quynh'!$B$11:$B$397,0)),"")</f>
        <v>A3</v>
      </c>
      <c r="S139" s="1020">
        <f t="shared" si="18"/>
        <v>0.6</v>
      </c>
      <c r="T139" s="1020" t="str">
        <f>VLOOKUP(B139,'[19]Gui chi Quynh'!$B$11:$E$397,4,FALSE)</f>
        <v>A DN</v>
      </c>
      <c r="U139" s="1020">
        <f t="shared" si="19"/>
        <v>0</v>
      </c>
      <c r="V139" s="1020" t="str">
        <f>VLOOKUP(B139,'[20]Gui chi Quynh'!$B$11:$E$396,4,FALSE)</f>
        <v>A4</v>
      </c>
      <c r="W139" s="1020">
        <f t="shared" si="20"/>
        <v>0.5</v>
      </c>
      <c r="X139" s="1020">
        <f>IFERROR(INDEX('[21]CN BC'!$J$10:$J$275,MATCH(B139,'[21]CN BC'!$H$10:$H$275,0)),"")</f>
        <v>22</v>
      </c>
      <c r="Y139" s="1020">
        <f>IFERROR(INDEX('[22]CN BC'!$J$10:$J$274,MATCH(B139,'[22]CN BC'!$H$10:$H$274,0)),"")</f>
        <v>0</v>
      </c>
      <c r="Z139" s="1020">
        <f>VLOOKUP(B139,'[23]CN BC'!$H$10:$J$275,3,FALSE)</f>
        <v>19</v>
      </c>
      <c r="AA139" s="1021">
        <f t="shared" si="21"/>
        <v>22</v>
      </c>
      <c r="AB139" s="1021">
        <f t="shared" si="22"/>
        <v>0</v>
      </c>
      <c r="AC139" s="1021">
        <f t="shared" si="23"/>
        <v>19</v>
      </c>
      <c r="AD139" s="1022"/>
      <c r="AE139" s="1023">
        <f t="shared" si="24"/>
        <v>10026697</v>
      </c>
      <c r="AF139" s="1371">
        <f t="shared" si="25"/>
        <v>4.2849132478632477</v>
      </c>
      <c r="AG139" s="1102">
        <v>2340000</v>
      </c>
      <c r="AH139" s="1373">
        <f t="shared" si="26"/>
        <v>10026697</v>
      </c>
      <c r="AI139" s="1024">
        <f t="shared" si="14"/>
        <v>122</v>
      </c>
      <c r="AJ139" s="1025">
        <f>IFERROR(INDEX('[17]CN BC'!$M$10:$M$276,MATCH(B139,'[17]CN BC'!$H$10:$H$276,0)),"")</f>
        <v>0</v>
      </c>
      <c r="AK139" s="1011" t="str">
        <f>VLOOKUP(B139,TH.T4!B142:AC472,28,FALSE)</f>
        <v>KHCB</v>
      </c>
      <c r="AL139" s="1012"/>
      <c r="AM139" s="1012"/>
      <c r="AN139" s="1027"/>
      <c r="AO139" s="1012"/>
      <c r="AP139" s="1012"/>
      <c r="AQ139" s="1012"/>
      <c r="AR139" s="1012"/>
      <c r="AS139" s="1012"/>
      <c r="AT139" s="1012"/>
    </row>
    <row r="140" spans="1:50" s="1028" customFormat="1" ht="31.5" customHeight="1">
      <c r="A140" s="1014">
        <f>_xlfn.AGGREGATE(4,7,A$17:A139)+1</f>
        <v>123</v>
      </c>
      <c r="B140" s="1015" t="s">
        <v>1492</v>
      </c>
      <c r="C140" s="1029" t="s">
        <v>1714</v>
      </c>
      <c r="D140" s="1090" t="s">
        <v>1938</v>
      </c>
      <c r="E140" s="81" t="str">
        <f>VLOOKUP(B140,TH.T6!B52:J382,9,FALSE)</f>
        <v>Giảng viên khoa KHCB</v>
      </c>
      <c r="F140" s="1040">
        <v>3.99</v>
      </c>
      <c r="G140" s="1019"/>
      <c r="H140" s="1247">
        <f t="shared" si="15"/>
        <v>0</v>
      </c>
      <c r="I140" s="1020"/>
      <c r="J140" s="1040">
        <v>3.99</v>
      </c>
      <c r="K140" s="1019"/>
      <c r="L140" s="1247">
        <f t="shared" si="16"/>
        <v>0</v>
      </c>
      <c r="M140" s="1020"/>
      <c r="N140" s="1040">
        <v>3.99</v>
      </c>
      <c r="O140" s="1019"/>
      <c r="P140" s="1248">
        <f t="shared" si="17"/>
        <v>0</v>
      </c>
      <c r="Q140" s="1020"/>
      <c r="R140" s="1020" t="str">
        <f>IFERROR(INDEX('[18]Gui chi Quynh'!$E$11:$E$397,MATCH(B140,'[18]Gui chi Quynh'!$B$11:$B$397,0)),"")</f>
        <v>A3</v>
      </c>
      <c r="S140" s="1020">
        <f t="shared" si="18"/>
        <v>0.6</v>
      </c>
      <c r="T140" s="1020" t="str">
        <f>VLOOKUP(B140,'[19]Gui chi Quynh'!$B$11:$E$397,4,FALSE)</f>
        <v>A DN</v>
      </c>
      <c r="U140" s="1020">
        <f t="shared" si="19"/>
        <v>0</v>
      </c>
      <c r="V140" s="1020" t="str">
        <f>VLOOKUP(B140,'[20]Gui chi Quynh'!$B$11:$E$396,4,FALSE)</f>
        <v>A4</v>
      </c>
      <c r="W140" s="1020">
        <f t="shared" si="20"/>
        <v>0.5</v>
      </c>
      <c r="X140" s="1020">
        <f>IFERROR(INDEX('[21]CN BC'!$J$10:$J$275,MATCH(B140,'[21]CN BC'!$H$10:$H$275,0)),"")</f>
        <v>22</v>
      </c>
      <c r="Y140" s="1020">
        <f>IFERROR(INDEX('[22]CN BC'!$J$10:$J$274,MATCH(B140,'[22]CN BC'!$H$10:$H$274,0)),"")</f>
        <v>0</v>
      </c>
      <c r="Z140" s="1020">
        <f>VLOOKUP(B140,'[23]CN BC'!$H$10:$J$275,3,FALSE)</f>
        <v>19</v>
      </c>
      <c r="AA140" s="1021">
        <f t="shared" si="21"/>
        <v>22</v>
      </c>
      <c r="AB140" s="1021">
        <f t="shared" si="22"/>
        <v>0</v>
      </c>
      <c r="AC140" s="1021">
        <f t="shared" si="23"/>
        <v>19</v>
      </c>
      <c r="AD140" s="1022"/>
      <c r="AE140" s="1023">
        <f t="shared" si="24"/>
        <v>10026697</v>
      </c>
      <c r="AF140" s="1371">
        <f t="shared" si="25"/>
        <v>4.2849132478632477</v>
      </c>
      <c r="AG140" s="1102">
        <v>2340000</v>
      </c>
      <c r="AH140" s="1373">
        <f t="shared" si="26"/>
        <v>10026697</v>
      </c>
      <c r="AI140" s="1024">
        <f t="shared" si="14"/>
        <v>123</v>
      </c>
      <c r="AJ140" s="1025">
        <f>IFERROR(INDEX('[17]CN BC'!$M$10:$M$276,MATCH(B140,'[17]CN BC'!$H$10:$H$276,0)),"")</f>
        <v>0</v>
      </c>
      <c r="AK140" s="1011" t="str">
        <f>VLOOKUP(B140,TH.T4!B143:AC473,28,FALSE)</f>
        <v>KHCB</v>
      </c>
      <c r="AL140" s="1012"/>
      <c r="AM140" s="1012"/>
      <c r="AN140" s="1027"/>
      <c r="AO140" s="1012"/>
      <c r="AP140" s="1012"/>
      <c r="AQ140" s="1012"/>
      <c r="AR140" s="1012"/>
      <c r="AS140" s="1012"/>
      <c r="AT140" s="1012"/>
      <c r="AU140" s="1012"/>
      <c r="AV140" s="1012"/>
      <c r="AW140" s="1012"/>
      <c r="AX140" s="1012"/>
    </row>
    <row r="141" spans="1:50" s="1028" customFormat="1" ht="31.5" customHeight="1">
      <c r="A141" s="1014">
        <f>_xlfn.AGGREGATE(4,7,A$17:A140)+1</f>
        <v>124</v>
      </c>
      <c r="B141" s="1015" t="s">
        <v>1558</v>
      </c>
      <c r="C141" s="1033" t="s">
        <v>1715</v>
      </c>
      <c r="D141" s="1034" t="s">
        <v>21</v>
      </c>
      <c r="E141" s="81" t="str">
        <f>VLOOKUP(B141,TH.T6!B53:J383,9,FALSE)</f>
        <v>Giảng viên khoa KHCB</v>
      </c>
      <c r="F141" s="1040">
        <v>4.32</v>
      </c>
      <c r="G141" s="1019"/>
      <c r="H141" s="1247">
        <f t="shared" si="15"/>
        <v>0</v>
      </c>
      <c r="I141" s="1020"/>
      <c r="J141" s="1040">
        <v>4.32</v>
      </c>
      <c r="K141" s="1019"/>
      <c r="L141" s="1247">
        <f t="shared" si="16"/>
        <v>0</v>
      </c>
      <c r="M141" s="1020"/>
      <c r="N141" s="1040">
        <v>4.32</v>
      </c>
      <c r="O141" s="1019"/>
      <c r="P141" s="1248">
        <f t="shared" si="17"/>
        <v>0</v>
      </c>
      <c r="Q141" s="1020"/>
      <c r="R141" s="1020" t="str">
        <f>IFERROR(INDEX('[18]Gui chi Quynh'!$E$11:$E$397,MATCH(B141,'[18]Gui chi Quynh'!$B$11:$B$397,0)),"")</f>
        <v>A3</v>
      </c>
      <c r="S141" s="1020">
        <f t="shared" si="18"/>
        <v>0.6</v>
      </c>
      <c r="T141" s="1020" t="str">
        <f>VLOOKUP(B141,'[19]Gui chi Quynh'!$B$11:$E$397,4,FALSE)</f>
        <v>A DN</v>
      </c>
      <c r="U141" s="1020">
        <f t="shared" si="19"/>
        <v>0</v>
      </c>
      <c r="V141" s="1020" t="str">
        <f>VLOOKUP(B141,'[20]Gui chi Quynh'!$B$11:$E$396,4,FALSE)</f>
        <v>A4</v>
      </c>
      <c r="W141" s="1020">
        <f t="shared" si="20"/>
        <v>0.5</v>
      </c>
      <c r="X141" s="1020">
        <f>IFERROR(INDEX('[21]CN BC'!$J$10:$J$275,MATCH(B141,'[21]CN BC'!$H$10:$H$275,0)),"")</f>
        <v>22</v>
      </c>
      <c r="Y141" s="1020">
        <f>IFERROR(INDEX('[22]CN BC'!$J$10:$J$274,MATCH(B141,'[22]CN BC'!$H$10:$H$274,0)),"")</f>
        <v>0</v>
      </c>
      <c r="Z141" s="1020">
        <f>VLOOKUP(B141,'[23]CN BC'!$H$10:$J$275,3,FALSE)</f>
        <v>19</v>
      </c>
      <c r="AA141" s="1021">
        <f t="shared" si="21"/>
        <v>22</v>
      </c>
      <c r="AB141" s="1021">
        <f t="shared" si="22"/>
        <v>0</v>
      </c>
      <c r="AC141" s="1021">
        <f t="shared" si="23"/>
        <v>19</v>
      </c>
      <c r="AD141" s="1022"/>
      <c r="AE141" s="1023">
        <f t="shared" si="24"/>
        <v>10855972</v>
      </c>
      <c r="AF141" s="1371">
        <f t="shared" si="25"/>
        <v>4.6393042735042735</v>
      </c>
      <c r="AG141" s="1102">
        <v>2340000</v>
      </c>
      <c r="AH141" s="1373">
        <f t="shared" si="26"/>
        <v>10855972</v>
      </c>
      <c r="AI141" s="1024">
        <f t="shared" si="14"/>
        <v>124</v>
      </c>
      <c r="AJ141" s="1025">
        <f>IFERROR(INDEX('[17]CN BC'!$M$10:$M$276,MATCH(B141,'[17]CN BC'!$H$10:$H$276,0)),"")</f>
        <v>0</v>
      </c>
      <c r="AK141" s="1011" t="str">
        <f>VLOOKUP(B141,TH.T4!B144:AC474,28,FALSE)</f>
        <v>KHCB</v>
      </c>
      <c r="AL141" s="1012"/>
      <c r="AM141" s="1012"/>
      <c r="AN141" s="1027"/>
      <c r="AO141" s="1012"/>
      <c r="AP141" s="1012"/>
      <c r="AQ141" s="1012"/>
      <c r="AR141" s="1012"/>
      <c r="AS141" s="1012"/>
      <c r="AT141" s="1012"/>
    </row>
    <row r="142" spans="1:50" s="1028" customFormat="1" ht="31.5" customHeight="1">
      <c r="A142" s="1014">
        <f>_xlfn.AGGREGATE(4,7,A$17:A141)+1</f>
        <v>125</v>
      </c>
      <c r="B142" s="1015" t="s">
        <v>1493</v>
      </c>
      <c r="C142" s="1033" t="s">
        <v>1716</v>
      </c>
      <c r="D142" s="1034" t="s">
        <v>1330</v>
      </c>
      <c r="E142" s="81" t="str">
        <f>VLOOKUP(B142,TH.T6!B54:J384,9,FALSE)</f>
        <v>Giảng viên khoa Ngoại ngữ</v>
      </c>
      <c r="F142" s="1018">
        <v>4.6500000000000004</v>
      </c>
      <c r="G142" s="1019"/>
      <c r="H142" s="1247">
        <f t="shared" si="15"/>
        <v>0</v>
      </c>
      <c r="I142" s="1020"/>
      <c r="J142" s="1018">
        <v>4.6500000000000004</v>
      </c>
      <c r="K142" s="1019"/>
      <c r="L142" s="1247">
        <f t="shared" si="16"/>
        <v>0</v>
      </c>
      <c r="M142" s="1020"/>
      <c r="N142" s="1018">
        <v>4.6500000000000004</v>
      </c>
      <c r="O142" s="1019"/>
      <c r="P142" s="1248">
        <f t="shared" si="17"/>
        <v>0</v>
      </c>
      <c r="Q142" s="1020"/>
      <c r="R142" s="1020" t="str">
        <f>IFERROR(INDEX('[18]Gui chi Quynh'!$E$11:$E$397,MATCH(B142,'[18]Gui chi Quynh'!$B$11:$B$397,0)),"")</f>
        <v>A3</v>
      </c>
      <c r="S142" s="1020">
        <f t="shared" si="18"/>
        <v>0.6</v>
      </c>
      <c r="T142" s="1020" t="str">
        <f>VLOOKUP(B142,'[19]Gui chi Quynh'!$B$11:$E$397,4,FALSE)</f>
        <v>A DN</v>
      </c>
      <c r="U142" s="1020">
        <f t="shared" si="19"/>
        <v>0</v>
      </c>
      <c r="V142" s="1020" t="str">
        <f>VLOOKUP(B142,'[20]Gui chi Quynh'!$B$11:$E$396,4,FALSE)</f>
        <v>A4</v>
      </c>
      <c r="W142" s="1020">
        <f t="shared" si="20"/>
        <v>0.5</v>
      </c>
      <c r="X142" s="1020">
        <f>IFERROR(INDEX('[21]CN BC'!$J$10:$J$275,MATCH(B142,'[21]CN BC'!$H$10:$H$275,0)),"")</f>
        <v>21</v>
      </c>
      <c r="Y142" s="1020">
        <f>IFERROR(INDEX('[22]CN BC'!$J$10:$J$274,MATCH(B142,'[22]CN BC'!$H$10:$H$274,0)),"")</f>
        <v>0</v>
      </c>
      <c r="Z142" s="1020">
        <f>VLOOKUP(B142,'[23]CN BC'!$H$10:$J$275,3,FALSE)</f>
        <v>19</v>
      </c>
      <c r="AA142" s="1021">
        <f t="shared" si="21"/>
        <v>21</v>
      </c>
      <c r="AB142" s="1021">
        <f t="shared" si="22"/>
        <v>0</v>
      </c>
      <c r="AC142" s="1021">
        <f t="shared" si="23"/>
        <v>19</v>
      </c>
      <c r="AD142" s="1022"/>
      <c r="AE142" s="1023">
        <f t="shared" si="24"/>
        <v>11401396</v>
      </c>
      <c r="AF142" s="1371">
        <f t="shared" si="25"/>
        <v>4.8723914529914527</v>
      </c>
      <c r="AG142" s="1102">
        <v>2340000</v>
      </c>
      <c r="AH142" s="1373">
        <f t="shared" si="26"/>
        <v>11401396</v>
      </c>
      <c r="AI142" s="1024">
        <f t="shared" si="14"/>
        <v>125</v>
      </c>
      <c r="AJ142" s="1025">
        <f>IFERROR(INDEX('[17]CN BC'!$M$10:$M$276,MATCH(B142,'[17]CN BC'!$H$10:$H$276,0)),"")</f>
        <v>0</v>
      </c>
      <c r="AK142" s="1011" t="str">
        <f>VLOOKUP(B142,TH.T4!B145:AC475,28,FALSE)</f>
        <v>NN</v>
      </c>
      <c r="AL142" s="1012"/>
      <c r="AM142" s="1012"/>
      <c r="AN142" s="1027"/>
    </row>
    <row r="143" spans="1:50" s="1028" customFormat="1" ht="31.5" customHeight="1">
      <c r="A143" s="1014">
        <f>_xlfn.AGGREGATE(4,7,A$17:A142)+1</f>
        <v>126</v>
      </c>
      <c r="B143" s="1015" t="s">
        <v>1874</v>
      </c>
      <c r="C143" s="1033" t="s">
        <v>1717</v>
      </c>
      <c r="D143" s="1034" t="s">
        <v>1331</v>
      </c>
      <c r="E143" s="81" t="str">
        <f>VLOOKUP(B143,TH.T6!B55:J385,9,FALSE)</f>
        <v>Giảng viên khoa Ngoại ngữ</v>
      </c>
      <c r="F143" s="1018">
        <v>4.6500000000000004</v>
      </c>
      <c r="G143" s="1019"/>
      <c r="H143" s="1247">
        <f t="shared" si="15"/>
        <v>0</v>
      </c>
      <c r="I143" s="1020"/>
      <c r="J143" s="1018">
        <v>4.6500000000000004</v>
      </c>
      <c r="K143" s="1019"/>
      <c r="L143" s="1247">
        <f t="shared" si="16"/>
        <v>0</v>
      </c>
      <c r="M143" s="1020"/>
      <c r="N143" s="1018">
        <v>4.6500000000000004</v>
      </c>
      <c r="O143" s="1019"/>
      <c r="P143" s="1248">
        <f t="shared" si="17"/>
        <v>0</v>
      </c>
      <c r="Q143" s="1020"/>
      <c r="R143" s="1020" t="str">
        <f>IFERROR(INDEX('[18]Gui chi Quynh'!$E$11:$E$397,MATCH(B143,'[18]Gui chi Quynh'!$B$11:$B$397,0)),"")</f>
        <v>A3</v>
      </c>
      <c r="S143" s="1020">
        <f t="shared" si="18"/>
        <v>0.6</v>
      </c>
      <c r="T143" s="1020" t="str">
        <f>VLOOKUP(B143,'[19]Gui chi Quynh'!$B$11:$E$397,4,FALSE)</f>
        <v>A DN</v>
      </c>
      <c r="U143" s="1020">
        <f t="shared" si="19"/>
        <v>0</v>
      </c>
      <c r="V143" s="1020" t="str">
        <f>VLOOKUP(B143,'[20]Gui chi Quynh'!$B$11:$E$396,4,FALSE)</f>
        <v>A4</v>
      </c>
      <c r="W143" s="1020">
        <f t="shared" si="20"/>
        <v>0.5</v>
      </c>
      <c r="X143" s="1020">
        <f>IFERROR(INDEX('[21]CN BC'!$J$10:$J$275,MATCH(B143,'[21]CN BC'!$H$10:$H$275,0)),"")</f>
        <v>23</v>
      </c>
      <c r="Y143" s="1020">
        <f>IFERROR(INDEX('[22]CN BC'!$J$10:$J$274,MATCH(B143,'[22]CN BC'!$H$10:$H$274,0)),"")</f>
        <v>0</v>
      </c>
      <c r="Z143" s="1020">
        <f>VLOOKUP(B143,'[23]CN BC'!$H$10:$J$275,3,FALSE)</f>
        <v>19</v>
      </c>
      <c r="AA143" s="1021">
        <f t="shared" si="21"/>
        <v>23</v>
      </c>
      <c r="AB143" s="1021">
        <f t="shared" si="22"/>
        <v>0</v>
      </c>
      <c r="AC143" s="1021">
        <f t="shared" si="23"/>
        <v>19</v>
      </c>
      <c r="AD143" s="1022"/>
      <c r="AE143" s="1023">
        <f t="shared" si="24"/>
        <v>11969100</v>
      </c>
      <c r="AF143" s="1371">
        <f t="shared" si="25"/>
        <v>5.1150000000000002</v>
      </c>
      <c r="AG143" s="1102">
        <v>2340000</v>
      </c>
      <c r="AH143" s="1373">
        <f t="shared" si="26"/>
        <v>11969100</v>
      </c>
      <c r="AI143" s="1024">
        <f t="shared" si="14"/>
        <v>126</v>
      </c>
      <c r="AJ143" s="1025">
        <f>IFERROR(INDEX('[17]CN BC'!$M$10:$M$276,MATCH(B143,'[17]CN BC'!$H$10:$H$276,0)),"")</f>
        <v>0</v>
      </c>
      <c r="AK143" s="1011" t="str">
        <f>VLOOKUP(B143,TH.T4!B146:AC476,28,FALSE)</f>
        <v>NN</v>
      </c>
      <c r="AL143" s="1012"/>
      <c r="AM143" s="1012"/>
      <c r="AN143" s="1027"/>
      <c r="AO143" s="1012"/>
      <c r="AP143" s="1012"/>
      <c r="AQ143" s="1012"/>
      <c r="AR143" s="1012"/>
      <c r="AS143" s="1012"/>
      <c r="AT143" s="1012"/>
    </row>
    <row r="144" spans="1:50" s="1028" customFormat="1" ht="31.5" customHeight="1">
      <c r="A144" s="1014">
        <f>_xlfn.AGGREGATE(4,7,A$17:A143)+1</f>
        <v>127</v>
      </c>
      <c r="B144" s="1015" t="s">
        <v>1875</v>
      </c>
      <c r="C144" s="1033" t="s">
        <v>1718</v>
      </c>
      <c r="D144" s="1034" t="s">
        <v>1332</v>
      </c>
      <c r="E144" s="81" t="str">
        <f>VLOOKUP(B144,TH.T6!B56:J386,9,FALSE)</f>
        <v>Giảng viên khoa Ngoại ngữ</v>
      </c>
      <c r="F144" s="1018">
        <v>4.6500000000000004</v>
      </c>
      <c r="G144" s="1019"/>
      <c r="H144" s="1247">
        <f t="shared" si="15"/>
        <v>0</v>
      </c>
      <c r="I144" s="1020"/>
      <c r="J144" s="1018">
        <v>4.6500000000000004</v>
      </c>
      <c r="K144" s="1019"/>
      <c r="L144" s="1247">
        <f t="shared" si="16"/>
        <v>0</v>
      </c>
      <c r="M144" s="1020"/>
      <c r="N144" s="1018">
        <v>4.6500000000000004</v>
      </c>
      <c r="O144" s="1019"/>
      <c r="P144" s="1248">
        <f t="shared" si="17"/>
        <v>0</v>
      </c>
      <c r="Q144" s="1020"/>
      <c r="R144" s="1020" t="str">
        <f>IFERROR(INDEX('[18]Gui chi Quynh'!$E$11:$E$397,MATCH(B144,'[18]Gui chi Quynh'!$B$11:$B$397,0)),"")</f>
        <v>A3</v>
      </c>
      <c r="S144" s="1020">
        <f t="shared" si="18"/>
        <v>0.6</v>
      </c>
      <c r="T144" s="1020" t="str">
        <f>VLOOKUP(B144,'[19]Gui chi Quynh'!$B$11:$E$397,4,FALSE)</f>
        <v>A DN</v>
      </c>
      <c r="U144" s="1020">
        <f t="shared" si="19"/>
        <v>0</v>
      </c>
      <c r="V144" s="1020" t="str">
        <f>VLOOKUP(B144,'[20]Gui chi Quynh'!$B$11:$E$396,4,FALSE)</f>
        <v>A4</v>
      </c>
      <c r="W144" s="1020">
        <f t="shared" si="20"/>
        <v>0.5</v>
      </c>
      <c r="X144" s="1020">
        <f>IFERROR(INDEX('[21]CN BC'!$J$10:$J$275,MATCH(B144,'[21]CN BC'!$H$10:$H$275,0)),"")</f>
        <v>23</v>
      </c>
      <c r="Y144" s="1020">
        <f>IFERROR(INDEX('[22]CN BC'!$J$10:$J$274,MATCH(B144,'[22]CN BC'!$H$10:$H$274,0)),"")</f>
        <v>0</v>
      </c>
      <c r="Z144" s="1020">
        <f>VLOOKUP(B144,'[23]CN BC'!$H$10:$J$275,3,FALSE)</f>
        <v>19</v>
      </c>
      <c r="AA144" s="1021">
        <f t="shared" si="21"/>
        <v>23</v>
      </c>
      <c r="AB144" s="1021">
        <f t="shared" si="22"/>
        <v>0</v>
      </c>
      <c r="AC144" s="1021">
        <f t="shared" si="23"/>
        <v>19</v>
      </c>
      <c r="AD144" s="1022"/>
      <c r="AE144" s="1023">
        <f t="shared" si="24"/>
        <v>11969100</v>
      </c>
      <c r="AF144" s="1371">
        <f t="shared" si="25"/>
        <v>5.1150000000000002</v>
      </c>
      <c r="AG144" s="1102">
        <v>2340000</v>
      </c>
      <c r="AH144" s="1373">
        <f t="shared" si="26"/>
        <v>11969100</v>
      </c>
      <c r="AI144" s="1024">
        <f t="shared" si="14"/>
        <v>127</v>
      </c>
      <c r="AJ144" s="1025">
        <f>IFERROR(INDEX('[17]CN BC'!$M$10:$M$276,MATCH(B144,'[17]CN BC'!$H$10:$H$276,0)),"")</f>
        <v>0</v>
      </c>
      <c r="AK144" s="1011" t="str">
        <f>VLOOKUP(B144,TH.T4!B147:AC477,28,FALSE)</f>
        <v>NN</v>
      </c>
      <c r="AL144" s="1012"/>
      <c r="AM144" s="1012"/>
      <c r="AN144" s="1027"/>
    </row>
    <row r="145" spans="1:50" s="1028" customFormat="1" ht="31.5" customHeight="1">
      <c r="A145" s="1014">
        <f>_xlfn.AGGREGATE(4,7,A$17:A144)+1</f>
        <v>128</v>
      </c>
      <c r="B145" s="1015" t="s">
        <v>1494</v>
      </c>
      <c r="C145" s="1033" t="s">
        <v>1719</v>
      </c>
      <c r="D145" s="1034" t="s">
        <v>1333</v>
      </c>
      <c r="E145" s="81" t="str">
        <f>VLOOKUP(B145,TH.T6!B57:J387,9,FALSE)</f>
        <v>Giảng viên khoa Ngoại ngữ</v>
      </c>
      <c r="F145" s="1040">
        <v>3.99</v>
      </c>
      <c r="G145" s="1019"/>
      <c r="H145" s="1247">
        <f t="shared" si="15"/>
        <v>0</v>
      </c>
      <c r="I145" s="1020"/>
      <c r="J145" s="1040">
        <v>3.99</v>
      </c>
      <c r="K145" s="1019"/>
      <c r="L145" s="1247">
        <f t="shared" si="16"/>
        <v>0</v>
      </c>
      <c r="M145" s="1020"/>
      <c r="N145" s="1040">
        <v>3.99</v>
      </c>
      <c r="O145" s="1019"/>
      <c r="P145" s="1248">
        <f t="shared" si="17"/>
        <v>0</v>
      </c>
      <c r="Q145" s="1020"/>
      <c r="R145" s="1020" t="str">
        <f>IFERROR(INDEX('[18]Gui chi Quynh'!$E$11:$E$397,MATCH(B145,'[18]Gui chi Quynh'!$B$11:$B$397,0)),"")</f>
        <v>A3</v>
      </c>
      <c r="S145" s="1020">
        <f t="shared" si="18"/>
        <v>0.6</v>
      </c>
      <c r="T145" s="1020" t="str">
        <f>VLOOKUP(B145,'[19]Gui chi Quynh'!$B$11:$E$397,4,FALSE)</f>
        <v>A DN</v>
      </c>
      <c r="U145" s="1020">
        <f t="shared" si="19"/>
        <v>0</v>
      </c>
      <c r="V145" s="1020" t="str">
        <f>VLOOKUP(B145,'[20]Gui chi Quynh'!$B$11:$E$396,4,FALSE)</f>
        <v>A4</v>
      </c>
      <c r="W145" s="1020">
        <f t="shared" si="20"/>
        <v>0.5</v>
      </c>
      <c r="X145" s="1020">
        <f>IFERROR(INDEX('[21]CN BC'!$J$10:$J$275,MATCH(B145,'[21]CN BC'!$H$10:$H$275,0)),"")</f>
        <v>23</v>
      </c>
      <c r="Y145" s="1020">
        <f>IFERROR(INDEX('[22]CN BC'!$J$10:$J$274,MATCH(B145,'[22]CN BC'!$H$10:$H$274,0)),"")</f>
        <v>0</v>
      </c>
      <c r="Z145" s="1020">
        <f>VLOOKUP(B145,'[23]CN BC'!$H$10:$J$275,3,FALSE)</f>
        <v>19</v>
      </c>
      <c r="AA145" s="1021">
        <f t="shared" si="21"/>
        <v>23</v>
      </c>
      <c r="AB145" s="1021">
        <f t="shared" si="22"/>
        <v>0</v>
      </c>
      <c r="AC145" s="1021">
        <f t="shared" si="23"/>
        <v>19</v>
      </c>
      <c r="AD145" s="1022"/>
      <c r="AE145" s="1023">
        <f t="shared" si="24"/>
        <v>10270260</v>
      </c>
      <c r="AF145" s="1371">
        <f t="shared" si="25"/>
        <v>4.3890000000000002</v>
      </c>
      <c r="AG145" s="1102">
        <v>2340000</v>
      </c>
      <c r="AH145" s="1373">
        <f t="shared" si="26"/>
        <v>10270260</v>
      </c>
      <c r="AI145" s="1024">
        <f t="shared" ref="AI145:AI155" si="27">A145</f>
        <v>128</v>
      </c>
      <c r="AJ145" s="1025">
        <f>IFERROR(INDEX('[17]CN BC'!$M$10:$M$276,MATCH(B145,'[17]CN BC'!$H$10:$H$276,0)),"")</f>
        <v>0</v>
      </c>
      <c r="AK145" s="1011" t="str">
        <f>VLOOKUP(B145,TH.T4!B148:AC478,28,FALSE)</f>
        <v>NN</v>
      </c>
      <c r="AL145" s="1012"/>
      <c r="AM145" s="1012"/>
      <c r="AN145" s="1027"/>
      <c r="AO145" s="1012"/>
      <c r="AP145" s="1012"/>
      <c r="AQ145" s="1012"/>
      <c r="AR145" s="1012"/>
      <c r="AS145" s="1012"/>
      <c r="AT145" s="1012"/>
    </row>
    <row r="146" spans="1:50" s="1028" customFormat="1" ht="31.5" customHeight="1">
      <c r="A146" s="1014">
        <f>_xlfn.AGGREGATE(4,7,A$17:A145)+1</f>
        <v>129</v>
      </c>
      <c r="B146" s="1015" t="s">
        <v>1495</v>
      </c>
      <c r="C146" s="1033" t="s">
        <v>1720</v>
      </c>
      <c r="D146" s="1034" t="s">
        <v>1335</v>
      </c>
      <c r="E146" s="81" t="str">
        <f>VLOOKUP(B146,TH.T6!B58:J388,9,FALSE)</f>
        <v>Giảng viên khoa Ngoại ngữ</v>
      </c>
      <c r="F146" s="1018">
        <v>4.9800000000000004</v>
      </c>
      <c r="G146" s="1019"/>
      <c r="H146" s="1247">
        <f t="shared" si="15"/>
        <v>0</v>
      </c>
      <c r="I146" s="1020"/>
      <c r="J146" s="1018">
        <v>4.9800000000000004</v>
      </c>
      <c r="K146" s="1019"/>
      <c r="L146" s="1247">
        <f t="shared" si="16"/>
        <v>0</v>
      </c>
      <c r="M146" s="1020"/>
      <c r="N146" s="1018">
        <v>4.9800000000000004</v>
      </c>
      <c r="O146" s="1019"/>
      <c r="P146" s="1248">
        <f t="shared" si="17"/>
        <v>0</v>
      </c>
      <c r="Q146" s="1020"/>
      <c r="R146" s="1020" t="str">
        <f>IFERROR(INDEX('[18]Gui chi Quynh'!$E$11:$E$397,MATCH(B146,'[18]Gui chi Quynh'!$B$11:$B$397,0)),"")</f>
        <v>A3</v>
      </c>
      <c r="S146" s="1020">
        <f t="shared" si="18"/>
        <v>0.6</v>
      </c>
      <c r="T146" s="1020" t="str">
        <f>VLOOKUP(B146,'[19]Gui chi Quynh'!$B$11:$E$397,4,FALSE)</f>
        <v>A DN</v>
      </c>
      <c r="U146" s="1020">
        <f t="shared" si="19"/>
        <v>0</v>
      </c>
      <c r="V146" s="1020" t="str">
        <f>VLOOKUP(B146,'[20]Gui chi Quynh'!$B$11:$E$396,4,FALSE)</f>
        <v>A4</v>
      </c>
      <c r="W146" s="1020">
        <f t="shared" si="20"/>
        <v>0.5</v>
      </c>
      <c r="X146" s="1020">
        <f>IFERROR(INDEX('[21]CN BC'!$J$10:$J$275,MATCH(B146,'[21]CN BC'!$H$10:$H$275,0)),"")</f>
        <v>21</v>
      </c>
      <c r="Y146" s="1020">
        <f>IFERROR(INDEX('[22]CN BC'!$J$10:$J$274,MATCH(B146,'[22]CN BC'!$H$10:$H$274,0)),"")</f>
        <v>0</v>
      </c>
      <c r="Z146" s="1020">
        <f>VLOOKUP(B146,'[23]CN BC'!$H$10:$J$275,3,FALSE)</f>
        <v>19</v>
      </c>
      <c r="AA146" s="1021">
        <f t="shared" si="21"/>
        <v>21</v>
      </c>
      <c r="AB146" s="1021">
        <f t="shared" si="22"/>
        <v>0</v>
      </c>
      <c r="AC146" s="1021">
        <f t="shared" si="23"/>
        <v>19</v>
      </c>
      <c r="AD146" s="1022"/>
      <c r="AE146" s="1023">
        <f t="shared" si="24"/>
        <v>12210527</v>
      </c>
      <c r="AF146" s="1371">
        <f t="shared" ref="AF146:AF209" si="28">AE146/AG146</f>
        <v>5.2181739316239319</v>
      </c>
      <c r="AG146" s="1102">
        <v>2340000</v>
      </c>
      <c r="AH146" s="1373">
        <f t="shared" ref="AH146:AH209" si="29">AF146*AG146</f>
        <v>12210527</v>
      </c>
      <c r="AI146" s="1024">
        <f t="shared" si="27"/>
        <v>129</v>
      </c>
      <c r="AJ146" s="1025">
        <f>IFERROR(INDEX('[17]CN BC'!$M$10:$M$276,MATCH(B146,'[17]CN BC'!$H$10:$H$276,0)),"")</f>
        <v>0</v>
      </c>
      <c r="AK146" s="1011" t="str">
        <f>VLOOKUP(B146,TH.T4!B149:AC479,28,FALSE)</f>
        <v>NN</v>
      </c>
      <c r="AL146" s="1012"/>
      <c r="AM146" s="1012"/>
      <c r="AN146" s="1027"/>
      <c r="AO146" s="1012"/>
      <c r="AP146" s="1012"/>
      <c r="AQ146" s="1012"/>
      <c r="AR146" s="1012"/>
      <c r="AS146" s="1012"/>
      <c r="AT146" s="1012"/>
    </row>
    <row r="147" spans="1:50" s="1028" customFormat="1" ht="31.5" customHeight="1">
      <c r="A147" s="1014">
        <f>_xlfn.AGGREGATE(4,7,A$17:A146)+1</f>
        <v>130</v>
      </c>
      <c r="B147" s="1015" t="s">
        <v>1876</v>
      </c>
      <c r="C147" s="1033" t="s">
        <v>1721</v>
      </c>
      <c r="D147" s="1034" t="s">
        <v>504</v>
      </c>
      <c r="E147" s="81" t="str">
        <f>VLOOKUP(B147,TH.T6!B59:J389,9,FALSE)</f>
        <v>Giảng viên khoa Ngoại ngữ</v>
      </c>
      <c r="F147" s="1040">
        <v>3.99</v>
      </c>
      <c r="G147" s="1019"/>
      <c r="H147" s="1247">
        <f t="shared" ref="H147:H211" si="30">ROUND(F147*G147,3)</f>
        <v>0</v>
      </c>
      <c r="I147" s="1020"/>
      <c r="J147" s="1040">
        <v>3.99</v>
      </c>
      <c r="K147" s="1019"/>
      <c r="L147" s="1247">
        <f t="shared" ref="L147:L211" si="31">ROUND(J147*K147,3)</f>
        <v>0</v>
      </c>
      <c r="M147" s="1020"/>
      <c r="N147" s="1040">
        <v>3.99</v>
      </c>
      <c r="O147" s="1019"/>
      <c r="P147" s="1248">
        <f t="shared" ref="P147:P211" si="32">ROUND(N147*O147,3)</f>
        <v>0</v>
      </c>
      <c r="Q147" s="1020"/>
      <c r="R147" s="1020" t="str">
        <f>IFERROR(INDEX('[18]Gui chi Quynh'!$E$11:$E$397,MATCH(B147,'[18]Gui chi Quynh'!$B$11:$B$397,0)),"")</f>
        <v>A3</v>
      </c>
      <c r="S147" s="1020">
        <f t="shared" ref="S147:S211" si="33">IF(R147="A1",0.8,IF(R147="A2",0.7,IF(R147="A3",0.6,IF(R147="A4",0.5,IF(R147="B1",0.35,IF(R147="B2",0.25,IF(R147="C1",0.15,IF(R147="C2",0.1,0))))))))</f>
        <v>0.6</v>
      </c>
      <c r="T147" s="1020" t="str">
        <f>VLOOKUP(B147,'[19]Gui chi Quynh'!$B$11:$E$397,4,FALSE)</f>
        <v>A DN</v>
      </c>
      <c r="U147" s="1020">
        <f t="shared" ref="U147:U210" si="34">IF(T147="A1",0.8,IF(T147="A2",0.7,IF(T147="A3",0.6,IF(T147="A4",0.5,IF(T147="B1",0.35,IF(T147="B2",0.25,IF(T147="C1",0.15,IF(T147="C2",0.1,0))))))))</f>
        <v>0</v>
      </c>
      <c r="V147" s="1020" t="str">
        <f>VLOOKUP(B147,'[20]Gui chi Quynh'!$B$11:$E$396,4,FALSE)</f>
        <v>A3</v>
      </c>
      <c r="W147" s="1020">
        <f t="shared" ref="W147:W210" si="35">IF(V147="A1",0.8,IF(V147="A2",0.7,IF(V147="A3",0.6,IF(V147="A4",0.5,IF(V147="B1",0.35,IF(V147="B2",0.25,IF(V147="C1",0.15,IF(V147="C2",0.1,0))))))))</f>
        <v>0.6</v>
      </c>
      <c r="X147" s="1020">
        <f>IFERROR(INDEX('[21]CN BC'!$J$10:$J$275,MATCH(B147,'[21]CN BC'!$H$10:$H$275,0)),"")</f>
        <v>21</v>
      </c>
      <c r="Y147" s="1020">
        <f>IFERROR(INDEX('[22]CN BC'!$J$10:$J$274,MATCH(B147,'[22]CN BC'!$H$10:$H$274,0)),"")</f>
        <v>0</v>
      </c>
      <c r="Z147" s="1020">
        <f>VLOOKUP(B147,'[23]CN BC'!$H$10:$J$275,3,FALSE)</f>
        <v>19</v>
      </c>
      <c r="AA147" s="1021">
        <f t="shared" ref="AA147:AA211" si="36">IF(X147&gt;=$AA$12,$AA$12,IF(X147&lt;$AA$12,X147))</f>
        <v>21</v>
      </c>
      <c r="AB147" s="1021">
        <f t="shared" ref="AB147:AB210" si="37">IF(Y147&gt;=$AB$12,$AB$12,IF(Y147&lt;$AB$12,Y147))</f>
        <v>0</v>
      </c>
      <c r="AC147" s="1021">
        <f t="shared" ref="AC147:AC211" si="38">IF(Z147&gt;=$AC$12,$AC$12,IF(Z147&lt;$AC$12,Z147))</f>
        <v>19</v>
      </c>
      <c r="AD147" s="1022"/>
      <c r="AE147" s="1023">
        <f t="shared" ref="AE147:AE210" si="39">ROUND(((((((F147+H147+I147)*$AE$12/$AA$12*AA147)*S147)+((J147+L147+M147)*$AE$12/$AB$12*AB147)*U147)+((N147+P147+Q147)*$AE$12/$AC$12*AC147)*W147)+AD147),0)</f>
        <v>10716793</v>
      </c>
      <c r="AF147" s="1371">
        <f t="shared" si="28"/>
        <v>4.5798260683760681</v>
      </c>
      <c r="AG147" s="1102">
        <v>2340000</v>
      </c>
      <c r="AH147" s="1373">
        <f t="shared" si="29"/>
        <v>10716793</v>
      </c>
      <c r="AI147" s="1024">
        <f t="shared" si="27"/>
        <v>130</v>
      </c>
      <c r="AJ147" s="1025">
        <f>IFERROR(INDEX('[17]CN BC'!$M$10:$M$276,MATCH(B147,'[17]CN BC'!$H$10:$H$276,0)),"")</f>
        <v>0</v>
      </c>
      <c r="AK147" s="1011" t="str">
        <f>VLOOKUP(B147,TH.T4!B150:AC480,28,FALSE)</f>
        <v>NN</v>
      </c>
      <c r="AL147" s="1012"/>
      <c r="AM147" s="1012"/>
      <c r="AN147" s="1027"/>
      <c r="AO147" s="1012"/>
      <c r="AP147" s="1012"/>
      <c r="AQ147" s="1012"/>
      <c r="AR147" s="1012"/>
      <c r="AS147" s="1012"/>
      <c r="AT147" s="1012"/>
    </row>
    <row r="148" spans="1:50" s="1028" customFormat="1" ht="31.5" customHeight="1">
      <c r="A148" s="1014">
        <f>_xlfn.AGGREGATE(4,7,A$17:A147)+1</f>
        <v>131</v>
      </c>
      <c r="B148" s="1015" t="s">
        <v>1496</v>
      </c>
      <c r="C148" s="1033" t="s">
        <v>1722</v>
      </c>
      <c r="D148" s="1030" t="s">
        <v>1589</v>
      </c>
      <c r="E148" s="81" t="str">
        <f>VLOOKUP(B148,TH.T6!B60:J390,9,FALSE)</f>
        <v>Giảng viên khoa Ngoại ngữ</v>
      </c>
      <c r="F148" s="1040">
        <v>3.33</v>
      </c>
      <c r="G148" s="1019"/>
      <c r="H148" s="1247">
        <f t="shared" si="30"/>
        <v>0</v>
      </c>
      <c r="I148" s="1020">
        <v>0.45</v>
      </c>
      <c r="J148" s="1040">
        <v>3.33</v>
      </c>
      <c r="K148" s="1019"/>
      <c r="L148" s="1247">
        <f t="shared" si="31"/>
        <v>0</v>
      </c>
      <c r="M148" s="1020">
        <v>0.45</v>
      </c>
      <c r="N148" s="1040">
        <v>3.33</v>
      </c>
      <c r="O148" s="1019"/>
      <c r="P148" s="1248">
        <f t="shared" si="32"/>
        <v>0</v>
      </c>
      <c r="Q148" s="1020">
        <v>0.45</v>
      </c>
      <c r="R148" s="1020" t="str">
        <f>IFERROR(INDEX('[18]Gui chi Quynh'!$E$11:$E$397,MATCH(B148,'[18]Gui chi Quynh'!$B$11:$B$397,0)),"")</f>
        <v>A2</v>
      </c>
      <c r="S148" s="1020">
        <f t="shared" si="33"/>
        <v>0.7</v>
      </c>
      <c r="T148" s="1020" t="str">
        <f>VLOOKUP(B148,'[19]Gui chi Quynh'!$B$11:$E$397,4,FALSE)</f>
        <v>A2</v>
      </c>
      <c r="U148" s="1020">
        <f t="shared" si="34"/>
        <v>0.7</v>
      </c>
      <c r="V148" s="1020" t="str">
        <f>VLOOKUP(B148,'[20]Gui chi Quynh'!$B$11:$E$396,4,FALSE)</f>
        <v>A2</v>
      </c>
      <c r="W148" s="1020">
        <f t="shared" si="35"/>
        <v>0.7</v>
      </c>
      <c r="X148" s="1020">
        <f>IFERROR(INDEX('[21]CN BC'!$J$10:$J$275,MATCH(B148,'[21]CN BC'!$H$10:$H$275,0)),"")</f>
        <v>23</v>
      </c>
      <c r="Y148" s="1020">
        <f>IFERROR(INDEX('[22]CN BC'!$J$10:$J$274,MATCH(B148,'[22]CN BC'!$H$10:$H$274,0)),"")</f>
        <v>22</v>
      </c>
      <c r="Z148" s="1020">
        <f>VLOOKUP(B148,'[23]CN BC'!$H$10:$J$275,3,FALSE)</f>
        <v>19</v>
      </c>
      <c r="AA148" s="1021">
        <f t="shared" si="36"/>
        <v>23</v>
      </c>
      <c r="AB148" s="1021">
        <f t="shared" si="37"/>
        <v>22</v>
      </c>
      <c r="AC148" s="1021">
        <f t="shared" si="38"/>
        <v>19</v>
      </c>
      <c r="AD148" s="1022"/>
      <c r="AE148" s="1023">
        <f t="shared" si="39"/>
        <v>18574920</v>
      </c>
      <c r="AF148" s="1371">
        <f t="shared" si="28"/>
        <v>7.9379999999999997</v>
      </c>
      <c r="AG148" s="1102">
        <v>2340000</v>
      </c>
      <c r="AH148" s="1373">
        <f t="shared" si="29"/>
        <v>18574920</v>
      </c>
      <c r="AI148" s="1024">
        <f t="shared" si="27"/>
        <v>131</v>
      </c>
      <c r="AJ148" s="1025">
        <f>IFERROR(INDEX('[17]CN BC'!$M$10:$M$276,MATCH(B148,'[17]CN BC'!$H$10:$H$276,0)),"")</f>
        <v>0</v>
      </c>
      <c r="AK148" s="1011" t="str">
        <f>VLOOKUP(B148,TH.T4!B151:AC481,28,FALSE)</f>
        <v>NN</v>
      </c>
      <c r="AL148" s="1012"/>
      <c r="AM148" s="1012"/>
      <c r="AN148" s="1027"/>
      <c r="AO148" s="1012"/>
      <c r="AP148" s="1012"/>
      <c r="AQ148" s="1012"/>
      <c r="AR148" s="1012"/>
      <c r="AS148" s="1012"/>
      <c r="AT148" s="1012"/>
    </row>
    <row r="149" spans="1:50" s="1028" customFormat="1" ht="31.5" customHeight="1">
      <c r="A149" s="1014">
        <f>_xlfn.AGGREGATE(4,7,A$17:A148)+1</f>
        <v>132</v>
      </c>
      <c r="B149" s="1015" t="s">
        <v>1497</v>
      </c>
      <c r="C149" s="1033" t="s">
        <v>1723</v>
      </c>
      <c r="D149" s="1030" t="s">
        <v>1590</v>
      </c>
      <c r="E149" s="81" t="str">
        <f>VLOOKUP(B149,TH.T6!B61:J391,9,FALSE)</f>
        <v>Giảng viên khoa Ngoại ngữ</v>
      </c>
      <c r="F149" s="1040">
        <v>3</v>
      </c>
      <c r="G149" s="1019"/>
      <c r="H149" s="1247">
        <f t="shared" si="30"/>
        <v>0</v>
      </c>
      <c r="I149" s="1020"/>
      <c r="J149" s="1040">
        <v>3</v>
      </c>
      <c r="K149" s="1019"/>
      <c r="L149" s="1247">
        <f t="shared" si="31"/>
        <v>0</v>
      </c>
      <c r="M149" s="1020"/>
      <c r="N149" s="1040">
        <v>3</v>
      </c>
      <c r="O149" s="1019"/>
      <c r="P149" s="1248">
        <f t="shared" si="32"/>
        <v>0</v>
      </c>
      <c r="Q149" s="1020"/>
      <c r="R149" s="1020" t="str">
        <f>IFERROR(INDEX('[18]Gui chi Quynh'!$E$11:$E$397,MATCH(B149,'[18]Gui chi Quynh'!$B$11:$B$397,0)),"")</f>
        <v>A3</v>
      </c>
      <c r="S149" s="1020">
        <f t="shared" si="33"/>
        <v>0.6</v>
      </c>
      <c r="T149" s="1020" t="str">
        <f>VLOOKUP(B149,'[19]Gui chi Quynh'!$B$11:$E$397,4,FALSE)</f>
        <v>A DN</v>
      </c>
      <c r="U149" s="1020">
        <f t="shared" si="34"/>
        <v>0</v>
      </c>
      <c r="V149" s="1020" t="str">
        <f>VLOOKUP(B149,'[20]Gui chi Quynh'!$B$11:$E$396,4,FALSE)</f>
        <v>A4</v>
      </c>
      <c r="W149" s="1020">
        <f t="shared" si="35"/>
        <v>0.5</v>
      </c>
      <c r="X149" s="1020">
        <f>IFERROR(INDEX('[21]CN BC'!$J$10:$J$275,MATCH(B149,'[21]CN BC'!$H$10:$H$275,0)),"")</f>
        <v>23</v>
      </c>
      <c r="Y149" s="1020">
        <f>IFERROR(INDEX('[22]CN BC'!$J$10:$J$274,MATCH(B149,'[22]CN BC'!$H$10:$H$274,0)),"")</f>
        <v>0</v>
      </c>
      <c r="Z149" s="1020">
        <f>VLOOKUP(B149,'[23]CN BC'!$H$10:$J$275,3,FALSE)</f>
        <v>19</v>
      </c>
      <c r="AA149" s="1021">
        <f t="shared" si="36"/>
        <v>23</v>
      </c>
      <c r="AB149" s="1021">
        <f t="shared" si="37"/>
        <v>0</v>
      </c>
      <c r="AC149" s="1021">
        <f t="shared" si="38"/>
        <v>19</v>
      </c>
      <c r="AD149" s="1022"/>
      <c r="AE149" s="1023">
        <f t="shared" si="39"/>
        <v>7722000</v>
      </c>
      <c r="AF149" s="1371">
        <f t="shared" si="28"/>
        <v>3.3</v>
      </c>
      <c r="AG149" s="1102">
        <v>2340000</v>
      </c>
      <c r="AH149" s="1373">
        <f t="shared" si="29"/>
        <v>7722000</v>
      </c>
      <c r="AI149" s="1024">
        <f t="shared" si="27"/>
        <v>132</v>
      </c>
      <c r="AJ149" s="1025">
        <f>IFERROR(INDEX('[17]CN BC'!$M$10:$M$276,MATCH(B149,'[17]CN BC'!$H$10:$H$276,0)),"")</f>
        <v>0</v>
      </c>
      <c r="AK149" s="1011" t="str">
        <f>VLOOKUP(B149,TH.T4!B152:AC482,28,FALSE)</f>
        <v>NN</v>
      </c>
      <c r="AL149" s="1012"/>
      <c r="AM149" s="1012"/>
      <c r="AN149" s="1027"/>
      <c r="AO149" s="1012"/>
      <c r="AP149" s="1012"/>
      <c r="AQ149" s="1012"/>
      <c r="AR149" s="1012"/>
      <c r="AS149" s="1012"/>
      <c r="AT149" s="1012"/>
    </row>
    <row r="150" spans="1:50" s="1028" customFormat="1" ht="31.5" customHeight="1">
      <c r="A150" s="1014">
        <f>_xlfn.AGGREGATE(4,7,A$17:A149)+1</f>
        <v>133</v>
      </c>
      <c r="B150" s="1015" t="s">
        <v>1929</v>
      </c>
      <c r="C150" s="1033" t="s">
        <v>1964</v>
      </c>
      <c r="D150" s="1066" t="s">
        <v>1932</v>
      </c>
      <c r="E150" s="81" t="str">
        <f>VLOOKUP(B150,TH.T6!B62:J392,9,FALSE)</f>
        <v>Giảng viên khoa Ngoại ngữ</v>
      </c>
      <c r="F150" s="1018">
        <v>2.34</v>
      </c>
      <c r="G150" s="1019"/>
      <c r="H150" s="1247">
        <f t="shared" si="30"/>
        <v>0</v>
      </c>
      <c r="I150" s="1020"/>
      <c r="J150" s="1018">
        <v>2.34</v>
      </c>
      <c r="K150" s="1019"/>
      <c r="L150" s="1247">
        <f t="shared" si="31"/>
        <v>0</v>
      </c>
      <c r="M150" s="1020"/>
      <c r="N150" s="1018">
        <v>2.34</v>
      </c>
      <c r="O150" s="1019"/>
      <c r="P150" s="1248">
        <f t="shared" si="32"/>
        <v>0</v>
      </c>
      <c r="Q150" s="1020"/>
      <c r="R150" s="1020" t="str">
        <f>IFERROR(INDEX('[18]Gui chi Quynh'!$E$11:$E$397,MATCH(B150,'[18]Gui chi Quynh'!$B$11:$B$397,0)),"")</f>
        <v>A4</v>
      </c>
      <c r="S150" s="1020">
        <f t="shared" si="33"/>
        <v>0.5</v>
      </c>
      <c r="T150" s="1020" t="str">
        <f>VLOOKUP(B150,'[19]Gui chi Quynh'!$B$11:$E$397,4,FALSE)</f>
        <v>A DN</v>
      </c>
      <c r="U150" s="1020">
        <f t="shared" si="34"/>
        <v>0</v>
      </c>
      <c r="V150" s="1020" t="str">
        <f>VLOOKUP(B150,'[20]Gui chi Quynh'!$B$11:$E$396,4,FALSE)</f>
        <v>A4</v>
      </c>
      <c r="W150" s="1020">
        <f t="shared" si="35"/>
        <v>0.5</v>
      </c>
      <c r="X150" s="1020">
        <f>IFERROR(INDEX('[21]CN BC'!$J$10:$J$275,MATCH(B150,'[21]CN BC'!$H$10:$H$275,0)),"")</f>
        <v>23</v>
      </c>
      <c r="Y150" s="1020">
        <f>IFERROR(INDEX('[22]CN BC'!$J$10:$J$274,MATCH(B150,'[22]CN BC'!$H$10:$H$274,0)),"")</f>
        <v>0</v>
      </c>
      <c r="Z150" s="1020">
        <f>VLOOKUP(B150,'[23]CN BC'!$H$10:$J$275,3,FALSE)</f>
        <v>19</v>
      </c>
      <c r="AA150" s="1021">
        <f t="shared" si="36"/>
        <v>23</v>
      </c>
      <c r="AB150" s="1021">
        <f t="shared" si="37"/>
        <v>0</v>
      </c>
      <c r="AC150" s="1021">
        <f t="shared" si="38"/>
        <v>19</v>
      </c>
      <c r="AD150" s="1022"/>
      <c r="AE150" s="1023">
        <f t="shared" si="39"/>
        <v>5475600</v>
      </c>
      <c r="AF150" s="1371">
        <f t="shared" si="28"/>
        <v>2.34</v>
      </c>
      <c r="AG150" s="1102">
        <v>2340000</v>
      </c>
      <c r="AH150" s="1373">
        <f t="shared" si="29"/>
        <v>5475600</v>
      </c>
      <c r="AI150" s="1024">
        <f t="shared" si="27"/>
        <v>133</v>
      </c>
      <c r="AJ150" s="1025">
        <f>IFERROR(INDEX('[17]CN BC'!$M$10:$M$276,MATCH(B150,'[17]CN BC'!$H$10:$H$276,0)),"")</f>
        <v>0</v>
      </c>
      <c r="AK150" s="1011" t="str">
        <f>VLOOKUP(B150,TH.T4!B153:AC483,28,FALSE)</f>
        <v>NN</v>
      </c>
      <c r="AL150" s="1012"/>
      <c r="AM150" s="1012"/>
      <c r="AN150" s="1027"/>
      <c r="AO150" s="1012"/>
      <c r="AP150" s="1012"/>
      <c r="AQ150" s="1012"/>
      <c r="AR150" s="1012"/>
      <c r="AS150" s="1012"/>
      <c r="AT150" s="1012"/>
    </row>
    <row r="151" spans="1:50" s="1028" customFormat="1" ht="31.5" customHeight="1">
      <c r="A151" s="1014">
        <f>_xlfn.AGGREGATE(4,7,A$17:A150)+1</f>
        <v>134</v>
      </c>
      <c r="B151" s="1015" t="s">
        <v>1498</v>
      </c>
      <c r="C151" s="1033" t="s">
        <v>1724</v>
      </c>
      <c r="D151" s="1030" t="s">
        <v>1591</v>
      </c>
      <c r="E151" s="81" t="str">
        <f>VLOOKUP(B151,TH.T6!B63:J393,9,FALSE)</f>
        <v>Giảng viên khoa Ngoại ngữ</v>
      </c>
      <c r="F151" s="1040">
        <v>3</v>
      </c>
      <c r="G151" s="1019"/>
      <c r="H151" s="1247">
        <f t="shared" si="30"/>
        <v>0</v>
      </c>
      <c r="I151" s="1020"/>
      <c r="J151" s="1040">
        <v>3</v>
      </c>
      <c r="K151" s="1019"/>
      <c r="L151" s="1247">
        <f t="shared" si="31"/>
        <v>0</v>
      </c>
      <c r="M151" s="1020"/>
      <c r="N151" s="1040">
        <v>3</v>
      </c>
      <c r="O151" s="1019"/>
      <c r="P151" s="1248">
        <f t="shared" si="32"/>
        <v>0</v>
      </c>
      <c r="Q151" s="1020"/>
      <c r="R151" s="1020" t="str">
        <f>IFERROR(INDEX('[18]Gui chi Quynh'!$E$11:$E$397,MATCH(B151,'[18]Gui chi Quynh'!$B$11:$B$397,0)),"")</f>
        <v>A3</v>
      </c>
      <c r="S151" s="1020">
        <f t="shared" si="33"/>
        <v>0.6</v>
      </c>
      <c r="T151" s="1020" t="str">
        <f>VLOOKUP(B151,'[19]Gui chi Quynh'!$B$11:$E$397,4,FALSE)</f>
        <v>A DN</v>
      </c>
      <c r="U151" s="1020">
        <f t="shared" si="34"/>
        <v>0</v>
      </c>
      <c r="V151" s="1020" t="str">
        <f>VLOOKUP(B151,'[20]Gui chi Quynh'!$B$11:$E$396,4,FALSE)</f>
        <v>A4</v>
      </c>
      <c r="W151" s="1020">
        <f t="shared" si="35"/>
        <v>0.5</v>
      </c>
      <c r="X151" s="1020">
        <f>IFERROR(INDEX('[21]CN BC'!$J$10:$J$275,MATCH(B151,'[21]CN BC'!$H$10:$H$275,0)),"")</f>
        <v>23</v>
      </c>
      <c r="Y151" s="1020">
        <f>IFERROR(INDEX('[22]CN BC'!$J$10:$J$274,MATCH(B151,'[22]CN BC'!$H$10:$H$274,0)),"")</f>
        <v>0</v>
      </c>
      <c r="Z151" s="1020">
        <f>VLOOKUP(B151,'[23]CN BC'!$H$10:$J$275,3,FALSE)</f>
        <v>19</v>
      </c>
      <c r="AA151" s="1021">
        <f t="shared" si="36"/>
        <v>23</v>
      </c>
      <c r="AB151" s="1021">
        <f t="shared" si="37"/>
        <v>0</v>
      </c>
      <c r="AC151" s="1021">
        <f t="shared" si="38"/>
        <v>19</v>
      </c>
      <c r="AD151" s="1022"/>
      <c r="AE151" s="1023">
        <f t="shared" si="39"/>
        <v>7722000</v>
      </c>
      <c r="AF151" s="1371">
        <f t="shared" si="28"/>
        <v>3.3</v>
      </c>
      <c r="AG151" s="1102">
        <v>2340000</v>
      </c>
      <c r="AH151" s="1373">
        <f t="shared" si="29"/>
        <v>7722000</v>
      </c>
      <c r="AI151" s="1024">
        <f t="shared" si="27"/>
        <v>134</v>
      </c>
      <c r="AJ151" s="1025">
        <f>IFERROR(INDEX('[17]CN BC'!$M$10:$M$276,MATCH(B151,'[17]CN BC'!$H$10:$H$276,0)),"")</f>
        <v>0</v>
      </c>
      <c r="AK151" s="1011" t="str">
        <f>VLOOKUP(B151,TH.T4!B154:AC484,28,FALSE)</f>
        <v>NN</v>
      </c>
      <c r="AL151" s="1012"/>
      <c r="AM151" s="1012"/>
      <c r="AN151" s="1038"/>
    </row>
    <row r="152" spans="1:50" s="1028" customFormat="1" ht="30.75" customHeight="1">
      <c r="A152" s="1014">
        <f>_xlfn.AGGREGATE(4,7,A$17:A151)+1</f>
        <v>135</v>
      </c>
      <c r="B152" s="1015" t="s">
        <v>1925</v>
      </c>
      <c r="C152" s="1033" t="s">
        <v>1965</v>
      </c>
      <c r="D152" s="1091" t="s">
        <v>1930</v>
      </c>
      <c r="E152" s="81" t="str">
        <f>VLOOKUP(B152,TH.T6!B64:J394,9,FALSE)</f>
        <v>Giảng viên khoa Ngoại ngữ</v>
      </c>
      <c r="F152" s="1018">
        <v>2.67</v>
      </c>
      <c r="G152" s="1019"/>
      <c r="H152" s="1247">
        <f t="shared" si="30"/>
        <v>0</v>
      </c>
      <c r="I152" s="1020"/>
      <c r="J152" s="1018">
        <v>2.67</v>
      </c>
      <c r="K152" s="1019"/>
      <c r="L152" s="1247">
        <f t="shared" si="31"/>
        <v>0</v>
      </c>
      <c r="M152" s="1020"/>
      <c r="N152" s="1018">
        <v>2.67</v>
      </c>
      <c r="O152" s="1019"/>
      <c r="P152" s="1248">
        <f t="shared" si="32"/>
        <v>0</v>
      </c>
      <c r="Q152" s="1020"/>
      <c r="R152" s="1020" t="str">
        <f>IFERROR(INDEX('[18]Gui chi Quynh'!$E$11:$E$397,MATCH(B152,'[18]Gui chi Quynh'!$B$11:$B$397,0)),"")</f>
        <v>A3</v>
      </c>
      <c r="S152" s="1020">
        <f t="shared" si="33"/>
        <v>0.6</v>
      </c>
      <c r="T152" s="1020" t="str">
        <f>VLOOKUP(B152,'[19]Gui chi Quynh'!$B$11:$E$397,4,FALSE)</f>
        <v>A DN</v>
      </c>
      <c r="U152" s="1020">
        <f t="shared" si="34"/>
        <v>0</v>
      </c>
      <c r="V152" s="1020" t="str">
        <f>VLOOKUP(B152,'[20]Gui chi Quynh'!$B$11:$E$396,4,FALSE)</f>
        <v>A3</v>
      </c>
      <c r="W152" s="1020">
        <f t="shared" si="35"/>
        <v>0.6</v>
      </c>
      <c r="X152" s="1020">
        <f>IFERROR(INDEX('[21]CN BC'!$J$10:$J$275,MATCH(B152,'[21]CN BC'!$H$10:$H$275,0)),"")</f>
        <v>23</v>
      </c>
      <c r="Y152" s="1020">
        <f>IFERROR(INDEX('[22]CN BC'!$J$10:$J$274,MATCH(B152,'[22]CN BC'!$H$10:$H$274,0)),"")</f>
        <v>0</v>
      </c>
      <c r="Z152" s="1020">
        <f>VLOOKUP(B152,'[23]CN BC'!$H$10:$J$275,3,FALSE)</f>
        <v>19</v>
      </c>
      <c r="AA152" s="1021">
        <f t="shared" si="36"/>
        <v>23</v>
      </c>
      <c r="AB152" s="1021">
        <f t="shared" si="37"/>
        <v>0</v>
      </c>
      <c r="AC152" s="1021">
        <f t="shared" si="38"/>
        <v>19</v>
      </c>
      <c r="AD152" s="1022"/>
      <c r="AE152" s="1023">
        <f t="shared" si="39"/>
        <v>7497360</v>
      </c>
      <c r="AF152" s="1371">
        <f t="shared" si="28"/>
        <v>3.2040000000000002</v>
      </c>
      <c r="AG152" s="1102">
        <v>2340000</v>
      </c>
      <c r="AH152" s="1373">
        <f t="shared" si="29"/>
        <v>7497360</v>
      </c>
      <c r="AI152" s="1024">
        <f t="shared" si="27"/>
        <v>135</v>
      </c>
      <c r="AJ152" s="1025">
        <f>IFERROR(INDEX('[17]CN BC'!$M$10:$M$276,MATCH(B152,'[17]CN BC'!$H$10:$H$276,0)),"")</f>
        <v>0</v>
      </c>
      <c r="AK152" s="1011" t="str">
        <f>VLOOKUP(B152,TH.T4!B155:AC485,28,FALSE)</f>
        <v>NN</v>
      </c>
      <c r="AL152" s="1012"/>
      <c r="AM152" s="1012"/>
      <c r="AN152" s="1038"/>
    </row>
    <row r="153" spans="1:50" s="1028" customFormat="1" ht="40.5" customHeight="1">
      <c r="A153" s="1014">
        <f>_xlfn.AGGREGATE(4,7,A$17:A152)+1</f>
        <v>136</v>
      </c>
      <c r="B153" s="1284" t="s">
        <v>2018</v>
      </c>
      <c r="C153" s="1285"/>
      <c r="D153" s="1312"/>
      <c r="E153" s="1381" t="str">
        <f>VLOOKUP(B153,TH.T6!B65:J395,9,FALSE)</f>
        <v>Giảng viên khoa Ngoại ngữ</v>
      </c>
      <c r="F153" s="1313">
        <v>1.9890000000000001</v>
      </c>
      <c r="G153" s="1288"/>
      <c r="H153" s="1289">
        <f t="shared" si="30"/>
        <v>0</v>
      </c>
      <c r="I153" s="1290"/>
      <c r="J153" s="1313">
        <v>1.9890000000000001</v>
      </c>
      <c r="K153" s="1288"/>
      <c r="L153" s="1289">
        <f t="shared" si="31"/>
        <v>0</v>
      </c>
      <c r="M153" s="1290"/>
      <c r="N153" s="1313">
        <v>1.9890000000000001</v>
      </c>
      <c r="O153" s="1288"/>
      <c r="P153" s="1291">
        <f t="shared" si="32"/>
        <v>0</v>
      </c>
      <c r="Q153" s="1290"/>
      <c r="R153" s="1290" t="str">
        <f>IFERROR(INDEX('[18]Gui chi Quynh'!$E$11:$E$397,MATCH(B153,'[18]Gui chi Quynh'!$B$11:$B$397,0)),"")</f>
        <v>A DN</v>
      </c>
      <c r="S153" s="1290">
        <f t="shared" si="33"/>
        <v>0</v>
      </c>
      <c r="T153" s="1290" t="str">
        <f>VLOOKUP(B153,'[19]Gui chi Quynh'!$B$11:$E$397,4,FALSE)</f>
        <v>A DN</v>
      </c>
      <c r="U153" s="1290">
        <f t="shared" si="34"/>
        <v>0</v>
      </c>
      <c r="V153" s="1290" t="str">
        <f>VLOOKUP(B153,'[20]Gui chi Quynh'!$B$11:$E$396,4,FALSE)</f>
        <v>A4</v>
      </c>
      <c r="W153" s="1290">
        <f t="shared" si="35"/>
        <v>0.5</v>
      </c>
      <c r="X153" s="1290">
        <f>IFERROR(INDEX('[21]CN BC'!$J$10:$J$275,MATCH(B153,'[21]CN BC'!$H$10:$H$275,0)),"")</f>
        <v>0</v>
      </c>
      <c r="Y153" s="1290">
        <f>IFERROR(INDEX('[22]CN BC'!$J$10:$J$274,MATCH(B153,'[22]CN BC'!$H$10:$H$274,0)),"")</f>
        <v>0</v>
      </c>
      <c r="Z153" s="1290">
        <f>VLOOKUP(B153,'[23]CN BC'!$H$10:$J$275,3,FALSE)</f>
        <v>16</v>
      </c>
      <c r="AA153" s="1292">
        <f t="shared" si="36"/>
        <v>0</v>
      </c>
      <c r="AB153" s="1292">
        <f t="shared" si="37"/>
        <v>0</v>
      </c>
      <c r="AC153" s="1292">
        <f t="shared" si="38"/>
        <v>16</v>
      </c>
      <c r="AD153" s="1293"/>
      <c r="AE153" s="1294">
        <f t="shared" si="39"/>
        <v>1959688</v>
      </c>
      <c r="AF153" s="1382">
        <f t="shared" si="28"/>
        <v>0.83747350427350431</v>
      </c>
      <c r="AG153" s="1365">
        <v>2340000</v>
      </c>
      <c r="AH153" s="1383">
        <f t="shared" si="29"/>
        <v>1959688</v>
      </c>
      <c r="AI153" s="1295">
        <f t="shared" si="27"/>
        <v>136</v>
      </c>
      <c r="AJ153" s="1296" t="s">
        <v>2368</v>
      </c>
      <c r="AK153" s="1011" t="str">
        <f>VLOOKUP(B153,TH.T4!B156:AC486,28,FALSE)</f>
        <v>NN</v>
      </c>
      <c r="AN153" s="1038"/>
    </row>
    <row r="154" spans="1:50" s="1028" customFormat="1" ht="30.75" customHeight="1">
      <c r="A154" s="1014">
        <f>_xlfn.AGGREGATE(4,7,A$17:A153)+1</f>
        <v>137</v>
      </c>
      <c r="B154" s="1015" t="s">
        <v>2024</v>
      </c>
      <c r="C154" s="1033"/>
      <c r="D154" s="1091"/>
      <c r="E154" s="81" t="str">
        <f>VLOOKUP(B154,TH.T6!B66:J396,9,FALSE)</f>
        <v>Giảng viên khoa Ngoại ngữ</v>
      </c>
      <c r="F154" s="1018">
        <v>1.9890000000000001</v>
      </c>
      <c r="G154" s="1019"/>
      <c r="H154" s="1247">
        <f t="shared" si="30"/>
        <v>0</v>
      </c>
      <c r="I154" s="1020"/>
      <c r="J154" s="1018">
        <v>1.9890000000000001</v>
      </c>
      <c r="K154" s="1019"/>
      <c r="L154" s="1247">
        <f t="shared" si="31"/>
        <v>0</v>
      </c>
      <c r="M154" s="1020"/>
      <c r="N154" s="1018">
        <v>1.9890000000000001</v>
      </c>
      <c r="O154" s="1019"/>
      <c r="P154" s="1248">
        <f t="shared" si="32"/>
        <v>0</v>
      </c>
      <c r="Q154" s="1020"/>
      <c r="R154" s="1020" t="str">
        <f>IFERROR(INDEX('[18]Gui chi Quynh'!$E$11:$E$397,MATCH(B154,'[18]Gui chi Quynh'!$B$11:$B$397,0)),"")</f>
        <v>A3</v>
      </c>
      <c r="S154" s="1020">
        <f t="shared" si="33"/>
        <v>0.6</v>
      </c>
      <c r="T154" s="1020" t="str">
        <f>VLOOKUP(B154,'[19]Gui chi Quynh'!$B$11:$E$397,4,FALSE)</f>
        <v>A DN</v>
      </c>
      <c r="U154" s="1020">
        <f t="shared" si="34"/>
        <v>0</v>
      </c>
      <c r="V154" s="1020" t="str">
        <f>VLOOKUP(B154,'[20]Gui chi Quynh'!$B$11:$E$396,4,FALSE)</f>
        <v>A3</v>
      </c>
      <c r="W154" s="1020">
        <f t="shared" si="35"/>
        <v>0.6</v>
      </c>
      <c r="X154" s="1020">
        <f>IFERROR(INDEX('[21]CN BC'!$J$10:$J$275,MATCH(B154,'[21]CN BC'!$H$10:$H$275,0)),"")</f>
        <v>23</v>
      </c>
      <c r="Y154" s="1020">
        <f>IFERROR(INDEX('[22]CN BC'!$J$10:$J$274,MATCH(B154,'[22]CN BC'!$H$10:$H$274,0)),"")</f>
        <v>0</v>
      </c>
      <c r="Z154" s="1020">
        <f>VLOOKUP(B154,'[23]CN BC'!$H$10:$J$275,3,FALSE)</f>
        <v>19</v>
      </c>
      <c r="AA154" s="1021">
        <f t="shared" si="36"/>
        <v>23</v>
      </c>
      <c r="AB154" s="1021">
        <f t="shared" si="37"/>
        <v>0</v>
      </c>
      <c r="AC154" s="1021">
        <f t="shared" si="38"/>
        <v>19</v>
      </c>
      <c r="AD154" s="1022"/>
      <c r="AE154" s="1023">
        <f t="shared" si="39"/>
        <v>5585112</v>
      </c>
      <c r="AF154" s="1371">
        <f t="shared" si="28"/>
        <v>2.3868</v>
      </c>
      <c r="AG154" s="1102">
        <v>2340000</v>
      </c>
      <c r="AH154" s="1373">
        <f t="shared" si="29"/>
        <v>5585112</v>
      </c>
      <c r="AI154" s="1024">
        <f t="shared" si="27"/>
        <v>137</v>
      </c>
      <c r="AJ154" s="1025">
        <f>IFERROR(INDEX('[17]CN BC'!$M$10:$M$276,MATCH(B154,'[17]CN BC'!$H$10:$H$276,0)),"")</f>
        <v>0</v>
      </c>
      <c r="AK154" s="1011" t="str">
        <f>VLOOKUP(B154,TH.T4!B157:AC487,28,FALSE)</f>
        <v>NN</v>
      </c>
      <c r="AN154" s="1038"/>
    </row>
    <row r="155" spans="1:50" s="1028" customFormat="1" ht="30.75" customHeight="1">
      <c r="A155" s="1014">
        <f>_xlfn.AGGREGATE(4,7,A$17:A154)+1</f>
        <v>138</v>
      </c>
      <c r="B155" s="1015" t="s">
        <v>2006</v>
      </c>
      <c r="C155" s="1033"/>
      <c r="D155" s="1091"/>
      <c r="E155" s="81" t="str">
        <f>VLOOKUP(B155,TH.T6!B67:J397,9,FALSE)</f>
        <v>Giảng viên khoa Ngoại ngữ</v>
      </c>
      <c r="F155" s="1018">
        <v>2.34</v>
      </c>
      <c r="G155" s="1019"/>
      <c r="H155" s="1247">
        <f t="shared" si="30"/>
        <v>0</v>
      </c>
      <c r="I155" s="1020"/>
      <c r="J155" s="1018">
        <v>2.34</v>
      </c>
      <c r="K155" s="1019"/>
      <c r="L155" s="1247">
        <f t="shared" si="31"/>
        <v>0</v>
      </c>
      <c r="M155" s="1020"/>
      <c r="N155" s="1018">
        <v>2.34</v>
      </c>
      <c r="O155" s="1019"/>
      <c r="P155" s="1248">
        <f t="shared" si="32"/>
        <v>0</v>
      </c>
      <c r="Q155" s="1020"/>
      <c r="R155" s="1020" t="str">
        <f>IFERROR(INDEX('[18]Gui chi Quynh'!$E$11:$E$397,MATCH(B155,'[18]Gui chi Quynh'!$B$11:$B$397,0)),"")</f>
        <v>A3</v>
      </c>
      <c r="S155" s="1020">
        <f t="shared" si="33"/>
        <v>0.6</v>
      </c>
      <c r="T155" s="1020" t="str">
        <f>VLOOKUP(B155,'[19]Gui chi Quynh'!$B$11:$E$397,4,FALSE)</f>
        <v>A DN</v>
      </c>
      <c r="U155" s="1020">
        <f t="shared" si="34"/>
        <v>0</v>
      </c>
      <c r="V155" s="1020" t="str">
        <f>VLOOKUP(B155,'[20]Gui chi Quynh'!$B$11:$E$396,4,FALSE)</f>
        <v>A3</v>
      </c>
      <c r="W155" s="1020">
        <f t="shared" si="35"/>
        <v>0.6</v>
      </c>
      <c r="X155" s="1020">
        <f>IFERROR(INDEX('[21]CN BC'!$J$10:$J$275,MATCH(B155,'[21]CN BC'!$H$10:$H$275,0)),"")</f>
        <v>23</v>
      </c>
      <c r="Y155" s="1020">
        <f>IFERROR(INDEX('[22]CN BC'!$J$10:$J$274,MATCH(B155,'[22]CN BC'!$H$10:$H$274,0)),"")</f>
        <v>0</v>
      </c>
      <c r="Z155" s="1020">
        <f>VLOOKUP(B155,'[23]CN BC'!$H$10:$J$275,3,FALSE)</f>
        <v>19</v>
      </c>
      <c r="AA155" s="1021">
        <f t="shared" si="36"/>
        <v>23</v>
      </c>
      <c r="AB155" s="1021">
        <f t="shared" si="37"/>
        <v>0</v>
      </c>
      <c r="AC155" s="1021">
        <f t="shared" si="38"/>
        <v>19</v>
      </c>
      <c r="AD155" s="1022"/>
      <c r="AE155" s="1023">
        <f t="shared" si="39"/>
        <v>6570720</v>
      </c>
      <c r="AF155" s="1371">
        <f t="shared" si="28"/>
        <v>2.8079999999999998</v>
      </c>
      <c r="AG155" s="1102">
        <v>2340000</v>
      </c>
      <c r="AH155" s="1373">
        <f t="shared" si="29"/>
        <v>6570720</v>
      </c>
      <c r="AI155" s="1024">
        <f t="shared" si="27"/>
        <v>138</v>
      </c>
      <c r="AJ155" s="1025">
        <f>IFERROR(INDEX('[17]CN BC'!$M$10:$M$276,MATCH(B155,'[17]CN BC'!$H$10:$H$276,0)),"")</f>
        <v>0</v>
      </c>
      <c r="AK155" s="1011" t="str">
        <f>VLOOKUP(B155,TH.T4!B158:AC488,28,FALSE)</f>
        <v>NN</v>
      </c>
      <c r="AN155" s="1038"/>
    </row>
    <row r="156" spans="1:50" s="1028" customFormat="1" ht="30.75" customHeight="1">
      <c r="A156" s="1014">
        <f>_xlfn.AGGREGATE(4,7,A$17:A155)+1</f>
        <v>139</v>
      </c>
      <c r="B156" s="1297" t="s">
        <v>2345</v>
      </c>
      <c r="C156" s="1298"/>
      <c r="D156" s="1310"/>
      <c r="E156" s="689" t="s">
        <v>2374</v>
      </c>
      <c r="F156" s="1311"/>
      <c r="G156" s="1301"/>
      <c r="H156" s="1302"/>
      <c r="I156" s="1303"/>
      <c r="J156" s="1311">
        <v>1.9890000000000001</v>
      </c>
      <c r="K156" s="1301"/>
      <c r="L156" s="1302">
        <f t="shared" si="31"/>
        <v>0</v>
      </c>
      <c r="M156" s="1303"/>
      <c r="N156" s="1311">
        <v>1.9890000000000001</v>
      </c>
      <c r="O156" s="1301"/>
      <c r="P156" s="1304">
        <f t="shared" si="32"/>
        <v>0</v>
      </c>
      <c r="Q156" s="1303"/>
      <c r="R156" s="1303"/>
      <c r="S156" s="1303">
        <f t="shared" si="33"/>
        <v>0</v>
      </c>
      <c r="T156" s="1303" t="str">
        <f>VLOOKUP(B156,'[19]Gui chi Quynh'!$B$11:$E$397,4,FALSE)</f>
        <v>A DN</v>
      </c>
      <c r="U156" s="1303">
        <f t="shared" si="34"/>
        <v>0</v>
      </c>
      <c r="V156" s="1303" t="str">
        <f>VLOOKUP(B156,'[20]Gui chi Quynh'!$B$11:$E$396,4,FALSE)</f>
        <v>A3</v>
      </c>
      <c r="W156" s="1303">
        <f t="shared" si="35"/>
        <v>0.6</v>
      </c>
      <c r="X156" s="1303">
        <v>0</v>
      </c>
      <c r="Y156" s="1303">
        <v>0</v>
      </c>
      <c r="Z156" s="1303">
        <f>VLOOKUP(B156,'[23]CN BC'!$H$10:$J$275,3,FALSE)</f>
        <v>19</v>
      </c>
      <c r="AA156" s="1305">
        <f t="shared" si="36"/>
        <v>0</v>
      </c>
      <c r="AB156" s="1305">
        <f t="shared" si="37"/>
        <v>0</v>
      </c>
      <c r="AC156" s="1305">
        <f t="shared" si="38"/>
        <v>19</v>
      </c>
      <c r="AD156" s="1306"/>
      <c r="AE156" s="1307">
        <f t="shared" si="39"/>
        <v>2792556</v>
      </c>
      <c r="AF156" s="1422">
        <f t="shared" si="28"/>
        <v>1.1934</v>
      </c>
      <c r="AG156" s="1366">
        <v>2340000</v>
      </c>
      <c r="AH156" s="1423">
        <f t="shared" si="29"/>
        <v>2792556</v>
      </c>
      <c r="AI156" s="1308"/>
      <c r="AJ156" s="1309" t="s">
        <v>2355</v>
      </c>
      <c r="AK156" s="1067"/>
      <c r="AN156" s="1038"/>
    </row>
    <row r="157" spans="1:50" s="1028" customFormat="1" ht="30" customHeight="1">
      <c r="A157" s="1014">
        <f>_xlfn.AGGREGATE(4,7,A$17:A156)+1</f>
        <v>140</v>
      </c>
      <c r="B157" s="1015" t="s">
        <v>1499</v>
      </c>
      <c r="C157" s="1033" t="s">
        <v>1725</v>
      </c>
      <c r="D157" s="1034" t="s">
        <v>378</v>
      </c>
      <c r="E157" s="81" t="str">
        <f>VLOOKUP(B157,TH.T6!B69:J399,9,FALSE)</f>
        <v>Phó Trưởng khoa LLCT</v>
      </c>
      <c r="F157" s="1040">
        <v>3.99</v>
      </c>
      <c r="G157" s="1100"/>
      <c r="H157" s="1247">
        <f t="shared" si="30"/>
        <v>0</v>
      </c>
      <c r="I157" s="1020">
        <v>0.35</v>
      </c>
      <c r="J157" s="1040">
        <v>3.99</v>
      </c>
      <c r="K157" s="1100"/>
      <c r="L157" s="1247">
        <f t="shared" si="31"/>
        <v>0</v>
      </c>
      <c r="M157" s="1020">
        <v>0.35</v>
      </c>
      <c r="N157" s="1040">
        <v>3.99</v>
      </c>
      <c r="O157" s="1100"/>
      <c r="P157" s="1248">
        <f t="shared" si="32"/>
        <v>0</v>
      </c>
      <c r="Q157" s="1020">
        <v>0.35</v>
      </c>
      <c r="R157" s="1020" t="str">
        <f>IFERROR(INDEX('[18]Gui chi Quynh'!$E$11:$E$397,MATCH(B157,'[18]Gui chi Quynh'!$B$11:$B$397,0)),"")</f>
        <v>A3</v>
      </c>
      <c r="S157" s="1020">
        <f t="shared" si="33"/>
        <v>0.6</v>
      </c>
      <c r="T157" s="1020" t="str">
        <f>VLOOKUP(B157,'[19]Gui chi Quynh'!$B$11:$E$397,4,FALSE)</f>
        <v>A3</v>
      </c>
      <c r="U157" s="1020">
        <f t="shared" si="34"/>
        <v>0.6</v>
      </c>
      <c r="V157" s="1020" t="str">
        <f>VLOOKUP(B157,'[20]Gui chi Quynh'!$B$11:$E$396,4,FALSE)</f>
        <v>A4</v>
      </c>
      <c r="W157" s="1020">
        <f t="shared" si="35"/>
        <v>0.5</v>
      </c>
      <c r="X157" s="1020">
        <f>IFERROR(INDEX('[21]CN BC'!$J$10:$J$275,MATCH(B157,'[21]CN BC'!$H$10:$H$275,0)),"")</f>
        <v>21</v>
      </c>
      <c r="Y157" s="1020">
        <f>IFERROR(INDEX('[22]CN BC'!$J$10:$J$274,MATCH(B157,'[22]CN BC'!$H$10:$H$274,0)),"")</f>
        <v>22</v>
      </c>
      <c r="Z157" s="1020">
        <f>VLOOKUP(B157,'[23]CN BC'!$H$10:$J$275,3,FALSE)</f>
        <v>19</v>
      </c>
      <c r="AA157" s="1021">
        <f t="shared" si="36"/>
        <v>21</v>
      </c>
      <c r="AB157" s="1021">
        <f t="shared" si="37"/>
        <v>22</v>
      </c>
      <c r="AC157" s="1021">
        <f t="shared" si="38"/>
        <v>19</v>
      </c>
      <c r="AD157" s="1022"/>
      <c r="AE157" s="1023">
        <f t="shared" si="39"/>
        <v>16734663</v>
      </c>
      <c r="AF157" s="1371">
        <f t="shared" si="28"/>
        <v>7.1515653846153846</v>
      </c>
      <c r="AG157" s="1102">
        <v>2340000</v>
      </c>
      <c r="AH157" s="1373">
        <f t="shared" si="29"/>
        <v>16734663</v>
      </c>
      <c r="AI157" s="1024">
        <f t="shared" ref="AI157:AI220" si="40">A157</f>
        <v>140</v>
      </c>
      <c r="AJ157" s="1025">
        <f>IFERROR(INDEX('[17]CN BC'!$M$10:$M$276,MATCH(B157,'[17]CN BC'!$H$10:$H$276,0)),"")</f>
        <v>0</v>
      </c>
      <c r="AK157" s="1011" t="str">
        <f>VLOOKUP(B157,TH.T4!B159:AC489,28,FALSE)</f>
        <v>LLCT</v>
      </c>
      <c r="AL157" s="1012"/>
      <c r="AM157" s="1012"/>
      <c r="AN157" s="1038"/>
    </row>
    <row r="158" spans="1:50" s="1012" customFormat="1" ht="28.5" customHeight="1">
      <c r="A158" s="1014">
        <f>_xlfn.AGGREGATE(4,7,A$17:A157)+1</f>
        <v>141</v>
      </c>
      <c r="B158" s="1093" t="s">
        <v>843</v>
      </c>
      <c r="C158" s="1094" t="s">
        <v>1726</v>
      </c>
      <c r="D158" s="1212" t="s">
        <v>1316</v>
      </c>
      <c r="E158" s="554" t="str">
        <f>VLOOKUP(B158,TH.T6!B70:J400,9,FALSE)</f>
        <v>Phó Trưởng khoa LLCT</v>
      </c>
      <c r="F158" s="1224">
        <v>3.99</v>
      </c>
      <c r="G158" s="1096"/>
      <c r="H158" s="1249">
        <f t="shared" si="30"/>
        <v>0</v>
      </c>
      <c r="I158" s="1097">
        <v>0.45</v>
      </c>
      <c r="J158" s="1224">
        <v>3.99</v>
      </c>
      <c r="K158" s="1096"/>
      <c r="L158" s="1249">
        <f t="shared" si="31"/>
        <v>0</v>
      </c>
      <c r="M158" s="1097">
        <v>0.45</v>
      </c>
      <c r="N158" s="1224">
        <v>4.32</v>
      </c>
      <c r="O158" s="1096"/>
      <c r="P158" s="1250">
        <f t="shared" si="32"/>
        <v>0</v>
      </c>
      <c r="Q158" s="1097">
        <v>0.45</v>
      </c>
      <c r="R158" s="1097" t="str">
        <f>IFERROR(INDEX('[18]Gui chi Quynh'!$E$11:$E$397,MATCH(B158,'[18]Gui chi Quynh'!$B$11:$B$397,0)),"")</f>
        <v>A2</v>
      </c>
      <c r="S158" s="1097">
        <f t="shared" si="33"/>
        <v>0.7</v>
      </c>
      <c r="T158" s="1097" t="str">
        <f>VLOOKUP(B158,'[19]Gui chi Quynh'!$B$11:$E$397,4,FALSE)</f>
        <v>A2</v>
      </c>
      <c r="U158" s="1097">
        <f t="shared" si="34"/>
        <v>0.7</v>
      </c>
      <c r="V158" s="1097" t="str">
        <f>VLOOKUP(B158,'[20]Gui chi Quynh'!$B$11:$E$396,4,FALSE)</f>
        <v>A2</v>
      </c>
      <c r="W158" s="1097">
        <f t="shared" si="35"/>
        <v>0.7</v>
      </c>
      <c r="X158" s="1097">
        <f>IFERROR(INDEX('[21]CN BC'!$J$10:$J$275,MATCH(B158,'[21]CN BC'!$H$10:$H$275,0)),"")</f>
        <v>23</v>
      </c>
      <c r="Y158" s="1097">
        <f>IFERROR(INDEX('[22]CN BC'!$J$10:$J$274,MATCH(B158,'[22]CN BC'!$H$10:$H$274,0)),"")</f>
        <v>22</v>
      </c>
      <c r="Z158" s="1097">
        <f>VLOOKUP(B158,'[23]CN BC'!$H$10:$J$275,3,FALSE)</f>
        <v>19</v>
      </c>
      <c r="AA158" s="1213">
        <f t="shared" si="36"/>
        <v>23</v>
      </c>
      <c r="AB158" s="1213">
        <f t="shared" si="37"/>
        <v>22</v>
      </c>
      <c r="AC158" s="1213">
        <f t="shared" si="38"/>
        <v>19</v>
      </c>
      <c r="AD158" s="1098"/>
      <c r="AE158" s="1214">
        <f t="shared" si="39"/>
        <v>22358700</v>
      </c>
      <c r="AF158" s="1400">
        <f t="shared" si="28"/>
        <v>9.5549999999999997</v>
      </c>
      <c r="AG158" s="1225">
        <v>2340000</v>
      </c>
      <c r="AH158" s="1401">
        <f t="shared" si="29"/>
        <v>22358700</v>
      </c>
      <c r="AI158" s="1099">
        <f t="shared" si="40"/>
        <v>141</v>
      </c>
      <c r="AJ158" s="1215" t="s">
        <v>2363</v>
      </c>
      <c r="AK158" s="1011" t="str">
        <f>VLOOKUP(B158,TH.T4!B160:AC490,28,FALSE)</f>
        <v>LLCT</v>
      </c>
      <c r="AN158" s="1027"/>
    </row>
    <row r="159" spans="1:50" s="1028" customFormat="1" ht="28.5" customHeight="1">
      <c r="A159" s="1014">
        <f>_xlfn.AGGREGATE(4,7,A$17:A158)+1</f>
        <v>142</v>
      </c>
      <c r="B159" s="1093" t="s">
        <v>846</v>
      </c>
      <c r="C159" s="1094" t="s">
        <v>1727</v>
      </c>
      <c r="D159" s="1212" t="s">
        <v>1317</v>
      </c>
      <c r="E159" s="554" t="str">
        <f>VLOOKUP(B159,TH.T6!B71:J401,9,FALSE)</f>
        <v>Trưởng BM khoa LLCT</v>
      </c>
      <c r="F159" s="1224">
        <v>3.99</v>
      </c>
      <c r="G159" s="1096"/>
      <c r="H159" s="1249">
        <f t="shared" si="30"/>
        <v>0</v>
      </c>
      <c r="I159" s="1097">
        <v>0.25</v>
      </c>
      <c r="J159" s="1224">
        <v>3.99</v>
      </c>
      <c r="K159" s="1096"/>
      <c r="L159" s="1249">
        <f t="shared" si="31"/>
        <v>0</v>
      </c>
      <c r="M159" s="1097">
        <v>0.25</v>
      </c>
      <c r="N159" s="1224">
        <v>4.32</v>
      </c>
      <c r="O159" s="1096"/>
      <c r="P159" s="1250">
        <f t="shared" si="32"/>
        <v>0</v>
      </c>
      <c r="Q159" s="1097">
        <v>0.25</v>
      </c>
      <c r="R159" s="1097" t="str">
        <f>IFERROR(INDEX('[18]Gui chi Quynh'!$E$11:$E$397,MATCH(B159,'[18]Gui chi Quynh'!$B$11:$B$397,0)),"")</f>
        <v>A3</v>
      </c>
      <c r="S159" s="1097">
        <f t="shared" si="33"/>
        <v>0.6</v>
      </c>
      <c r="T159" s="1097" t="str">
        <f>VLOOKUP(B159,'[19]Gui chi Quynh'!$B$11:$E$397,4,FALSE)</f>
        <v>A DN</v>
      </c>
      <c r="U159" s="1097">
        <f t="shared" si="34"/>
        <v>0</v>
      </c>
      <c r="V159" s="1097" t="str">
        <f>VLOOKUP(B159,'[20]Gui chi Quynh'!$B$11:$E$396,4,FALSE)</f>
        <v>A3</v>
      </c>
      <c r="W159" s="1097">
        <f t="shared" si="35"/>
        <v>0.6</v>
      </c>
      <c r="X159" s="1097">
        <f>IFERROR(INDEX('[21]CN BC'!$J$10:$J$275,MATCH(B159,'[21]CN BC'!$H$10:$H$275,0)),"")</f>
        <v>23</v>
      </c>
      <c r="Y159" s="1097">
        <f>IFERROR(INDEX('[22]CN BC'!$J$10:$J$274,MATCH(B159,'[22]CN BC'!$H$10:$H$274,0)),"")</f>
        <v>0</v>
      </c>
      <c r="Z159" s="1097">
        <f>VLOOKUP(B159,'[23]CN BC'!$H$10:$J$275,3,FALSE)</f>
        <v>19</v>
      </c>
      <c r="AA159" s="1213">
        <f t="shared" si="36"/>
        <v>23</v>
      </c>
      <c r="AB159" s="1213">
        <f t="shared" si="37"/>
        <v>0</v>
      </c>
      <c r="AC159" s="1213">
        <f t="shared" si="38"/>
        <v>19</v>
      </c>
      <c r="AD159" s="1098"/>
      <c r="AE159" s="1214">
        <f t="shared" si="39"/>
        <v>12369240</v>
      </c>
      <c r="AF159" s="1400">
        <f t="shared" si="28"/>
        <v>5.2859999999999996</v>
      </c>
      <c r="AG159" s="1225">
        <v>2340000</v>
      </c>
      <c r="AH159" s="1401">
        <f t="shared" si="29"/>
        <v>12369239.999999998</v>
      </c>
      <c r="AI159" s="1099">
        <f t="shared" si="40"/>
        <v>142</v>
      </c>
      <c r="AJ159" s="1215" t="s">
        <v>2363</v>
      </c>
      <c r="AK159" s="1011" t="str">
        <f>VLOOKUP(B159,TH.T4!B161:AC491,28,FALSE)</f>
        <v>LLCT</v>
      </c>
      <c r="AL159" s="1012"/>
      <c r="AM159" s="1012"/>
      <c r="AN159" s="1027"/>
      <c r="AO159" s="1012"/>
      <c r="AP159" s="1012"/>
      <c r="AQ159" s="1012"/>
      <c r="AR159" s="1012"/>
      <c r="AS159" s="1012"/>
      <c r="AT159" s="1012"/>
      <c r="AU159" s="1012"/>
      <c r="AV159" s="1012"/>
      <c r="AW159" s="1012"/>
      <c r="AX159" s="1012"/>
    </row>
    <row r="160" spans="1:50" s="1028" customFormat="1" ht="33" customHeight="1">
      <c r="A160" s="1014">
        <f>_xlfn.AGGREGATE(4,7,A$17:A159)+1</f>
        <v>143</v>
      </c>
      <c r="B160" s="1015" t="s">
        <v>1500</v>
      </c>
      <c r="C160" s="1033" t="s">
        <v>1728</v>
      </c>
      <c r="D160" s="1034" t="s">
        <v>377</v>
      </c>
      <c r="E160" s="81" t="str">
        <f>VLOOKUP(B160,TH.T6!B72:J402,9,FALSE)</f>
        <v>Giảng viên khoa LLCT</v>
      </c>
      <c r="F160" s="1040">
        <v>3.99</v>
      </c>
      <c r="G160" s="1019"/>
      <c r="H160" s="1247">
        <f t="shared" si="30"/>
        <v>0</v>
      </c>
      <c r="I160" s="1020"/>
      <c r="J160" s="1040">
        <v>3.99</v>
      </c>
      <c r="K160" s="1019"/>
      <c r="L160" s="1247">
        <f t="shared" si="31"/>
        <v>0</v>
      </c>
      <c r="M160" s="1020"/>
      <c r="N160" s="1040">
        <v>3.99</v>
      </c>
      <c r="O160" s="1019"/>
      <c r="P160" s="1248">
        <f t="shared" si="32"/>
        <v>0</v>
      </c>
      <c r="Q160" s="1020"/>
      <c r="R160" s="1020" t="str">
        <f>IFERROR(INDEX('[18]Gui chi Quynh'!$E$11:$E$397,MATCH(B160,'[18]Gui chi Quynh'!$B$11:$B$397,0)),"")</f>
        <v>A3</v>
      </c>
      <c r="S160" s="1020">
        <f t="shared" si="33"/>
        <v>0.6</v>
      </c>
      <c r="T160" s="1020" t="str">
        <f>VLOOKUP(B160,'[19]Gui chi Quynh'!$B$11:$E$397,4,FALSE)</f>
        <v>A DN</v>
      </c>
      <c r="U160" s="1020">
        <f t="shared" si="34"/>
        <v>0</v>
      </c>
      <c r="V160" s="1020" t="str">
        <f>VLOOKUP(B160,'[20]Gui chi Quynh'!$B$11:$E$396,4,FALSE)</f>
        <v>A3</v>
      </c>
      <c r="W160" s="1020">
        <f t="shared" si="35"/>
        <v>0.6</v>
      </c>
      <c r="X160" s="1020">
        <f>IFERROR(INDEX('[21]CN BC'!$J$10:$J$275,MATCH(B160,'[21]CN BC'!$H$10:$H$275,0)),"")</f>
        <v>23</v>
      </c>
      <c r="Y160" s="1020">
        <f>IFERROR(INDEX('[22]CN BC'!$J$10:$J$274,MATCH(B160,'[22]CN BC'!$H$10:$H$274,0)),"")</f>
        <v>0</v>
      </c>
      <c r="Z160" s="1020">
        <f>VLOOKUP(B160,'[23]CN BC'!$H$10:$J$275,3,FALSE)</f>
        <v>19</v>
      </c>
      <c r="AA160" s="1021">
        <f t="shared" si="36"/>
        <v>23</v>
      </c>
      <c r="AB160" s="1021">
        <f t="shared" si="37"/>
        <v>0</v>
      </c>
      <c r="AC160" s="1021">
        <f t="shared" si="38"/>
        <v>19</v>
      </c>
      <c r="AD160" s="1022"/>
      <c r="AE160" s="1023">
        <f t="shared" si="39"/>
        <v>11203920</v>
      </c>
      <c r="AF160" s="1371">
        <f t="shared" si="28"/>
        <v>4.7880000000000003</v>
      </c>
      <c r="AG160" s="1102">
        <v>2340000</v>
      </c>
      <c r="AH160" s="1373">
        <f t="shared" si="29"/>
        <v>11203920</v>
      </c>
      <c r="AI160" s="1024">
        <f t="shared" si="40"/>
        <v>143</v>
      </c>
      <c r="AJ160" s="1025">
        <f>IFERROR(INDEX('[17]CN BC'!$M$10:$M$276,MATCH(B160,'[17]CN BC'!$H$10:$H$276,0)),"")</f>
        <v>0</v>
      </c>
      <c r="AK160" s="1011" t="str">
        <f>VLOOKUP(B160,TH.T4!B162:AC492,28,FALSE)</f>
        <v>LLCT</v>
      </c>
      <c r="AN160" s="1038"/>
    </row>
    <row r="161" spans="1:46" s="1028" customFormat="1" ht="30.75" customHeight="1">
      <c r="A161" s="1014">
        <f>_xlfn.AGGREGATE(4,7,A$17:A160)+1</f>
        <v>144</v>
      </c>
      <c r="B161" s="1015" t="s">
        <v>1877</v>
      </c>
      <c r="C161" s="1033" t="s">
        <v>1729</v>
      </c>
      <c r="D161" s="1034" t="s">
        <v>1320</v>
      </c>
      <c r="E161" s="81" t="str">
        <f>VLOOKUP(B161,TH.T6!B73:J403,9,FALSE)</f>
        <v>Giảng viên khoa LLCT</v>
      </c>
      <c r="F161" s="1018">
        <v>4.6500000000000004</v>
      </c>
      <c r="G161" s="1019"/>
      <c r="H161" s="1247">
        <f t="shared" si="30"/>
        <v>0</v>
      </c>
      <c r="I161" s="1020"/>
      <c r="J161" s="1018">
        <v>4.6500000000000004</v>
      </c>
      <c r="K161" s="1019"/>
      <c r="L161" s="1247">
        <f t="shared" si="31"/>
        <v>0</v>
      </c>
      <c r="M161" s="1020"/>
      <c r="N161" s="1018">
        <v>4.6500000000000004</v>
      </c>
      <c r="O161" s="1019"/>
      <c r="P161" s="1248">
        <f t="shared" si="32"/>
        <v>0</v>
      </c>
      <c r="Q161" s="1020"/>
      <c r="R161" s="1020" t="str">
        <f>IFERROR(INDEX('[18]Gui chi Quynh'!$E$11:$E$397,MATCH(B161,'[18]Gui chi Quynh'!$B$11:$B$397,0)),"")</f>
        <v>A3</v>
      </c>
      <c r="S161" s="1020">
        <f t="shared" si="33"/>
        <v>0.6</v>
      </c>
      <c r="T161" s="1020" t="str">
        <f>VLOOKUP(B161,'[19]Gui chi Quynh'!$B$11:$E$397,4,FALSE)</f>
        <v>A DN</v>
      </c>
      <c r="U161" s="1020">
        <f t="shared" si="34"/>
        <v>0</v>
      </c>
      <c r="V161" s="1020" t="str">
        <f>VLOOKUP(B161,'[20]Gui chi Quynh'!$B$11:$E$396,4,FALSE)</f>
        <v>A3</v>
      </c>
      <c r="W161" s="1020">
        <f t="shared" si="35"/>
        <v>0.6</v>
      </c>
      <c r="X161" s="1020">
        <f>IFERROR(INDEX('[21]CN BC'!$J$10:$J$275,MATCH(B161,'[21]CN BC'!$H$10:$H$275,0)),"")</f>
        <v>23</v>
      </c>
      <c r="Y161" s="1020">
        <f>IFERROR(INDEX('[22]CN BC'!$J$10:$J$274,MATCH(B161,'[22]CN BC'!$H$10:$H$274,0)),"")</f>
        <v>0</v>
      </c>
      <c r="Z161" s="1020">
        <f>VLOOKUP(B161,'[23]CN BC'!$H$10:$J$275,3,FALSE)</f>
        <v>19</v>
      </c>
      <c r="AA161" s="1021">
        <f t="shared" si="36"/>
        <v>23</v>
      </c>
      <c r="AB161" s="1021">
        <f t="shared" si="37"/>
        <v>0</v>
      </c>
      <c r="AC161" s="1021">
        <f t="shared" si="38"/>
        <v>19</v>
      </c>
      <c r="AD161" s="1022"/>
      <c r="AE161" s="1023">
        <f t="shared" si="39"/>
        <v>13057200</v>
      </c>
      <c r="AF161" s="1371">
        <f t="shared" si="28"/>
        <v>5.58</v>
      </c>
      <c r="AG161" s="1102">
        <v>2340000</v>
      </c>
      <c r="AH161" s="1373">
        <f t="shared" si="29"/>
        <v>13057200</v>
      </c>
      <c r="AI161" s="1024">
        <f t="shared" si="40"/>
        <v>144</v>
      </c>
      <c r="AJ161" s="1025">
        <f>IFERROR(INDEX('[17]CN BC'!$M$10:$M$276,MATCH(B161,'[17]CN BC'!$H$10:$H$276,0)),"")</f>
        <v>0</v>
      </c>
      <c r="AK161" s="1011" t="str">
        <f>VLOOKUP(B161,TH.T4!B163:AC493,28,FALSE)</f>
        <v>LLCT</v>
      </c>
      <c r="AN161" s="1038"/>
    </row>
    <row r="162" spans="1:46" s="1028" customFormat="1" ht="28.5" customHeight="1">
      <c r="A162" s="1014">
        <f>_xlfn.AGGREGATE(4,7,A$17:A161)+1</f>
        <v>145</v>
      </c>
      <c r="B162" s="1093" t="s">
        <v>1501</v>
      </c>
      <c r="C162" s="1094" t="s">
        <v>1730</v>
      </c>
      <c r="D162" s="1221" t="s">
        <v>314</v>
      </c>
      <c r="E162" s="554" t="str">
        <f>VLOOKUP(B162,TH.T6!B74:J404,9,FALSE)</f>
        <v>Giảng viên khoa LLCT</v>
      </c>
      <c r="F162" s="1224">
        <v>3.66</v>
      </c>
      <c r="G162" s="1096"/>
      <c r="H162" s="1249">
        <f t="shared" si="30"/>
        <v>0</v>
      </c>
      <c r="I162" s="1097"/>
      <c r="J162" s="1224">
        <v>3.66</v>
      </c>
      <c r="K162" s="1096"/>
      <c r="L162" s="1249">
        <f t="shared" si="31"/>
        <v>0</v>
      </c>
      <c r="M162" s="1097"/>
      <c r="N162" s="1224">
        <v>3.99</v>
      </c>
      <c r="O162" s="1096"/>
      <c r="P162" s="1250">
        <f t="shared" si="32"/>
        <v>0</v>
      </c>
      <c r="Q162" s="1097"/>
      <c r="R162" s="1097" t="str">
        <f>IFERROR(INDEX('[18]Gui chi Quynh'!$E$11:$E$397,MATCH(B162,'[18]Gui chi Quynh'!$B$11:$B$397,0)),"")</f>
        <v>A4</v>
      </c>
      <c r="S162" s="1097">
        <f t="shared" si="33"/>
        <v>0.5</v>
      </c>
      <c r="T162" s="1097" t="str">
        <f>VLOOKUP(B162,'[19]Gui chi Quynh'!$B$11:$E$397,4,FALSE)</f>
        <v>A DN</v>
      </c>
      <c r="U162" s="1097">
        <f t="shared" si="34"/>
        <v>0</v>
      </c>
      <c r="V162" s="1097" t="str">
        <f>VLOOKUP(B162,'[20]Gui chi Quynh'!$B$11:$E$396,4,FALSE)</f>
        <v>A3</v>
      </c>
      <c r="W162" s="1097">
        <f t="shared" si="35"/>
        <v>0.6</v>
      </c>
      <c r="X162" s="1097">
        <f>IFERROR(INDEX('[21]CN BC'!$J$10:$J$275,MATCH(B162,'[21]CN BC'!$H$10:$H$275,0)),"")</f>
        <v>23</v>
      </c>
      <c r="Y162" s="1097">
        <f>IFERROR(INDEX('[22]CN BC'!$J$10:$J$274,MATCH(B162,'[22]CN BC'!$H$10:$H$274,0)),"")</f>
        <v>0</v>
      </c>
      <c r="Z162" s="1097">
        <f>VLOOKUP(B162,'[23]CN BC'!$H$10:$J$275,3,FALSE)</f>
        <v>19</v>
      </c>
      <c r="AA162" s="1213">
        <f t="shared" si="36"/>
        <v>23</v>
      </c>
      <c r="AB162" s="1213">
        <f t="shared" si="37"/>
        <v>0</v>
      </c>
      <c r="AC162" s="1213">
        <f t="shared" si="38"/>
        <v>19</v>
      </c>
      <c r="AD162" s="1098"/>
      <c r="AE162" s="1214">
        <f t="shared" si="39"/>
        <v>9884160</v>
      </c>
      <c r="AF162" s="1400">
        <f t="shared" si="28"/>
        <v>4.2240000000000002</v>
      </c>
      <c r="AG162" s="1225">
        <v>2340000</v>
      </c>
      <c r="AH162" s="1401">
        <f t="shared" si="29"/>
        <v>9884160</v>
      </c>
      <c r="AI162" s="1099">
        <f t="shared" si="40"/>
        <v>145</v>
      </c>
      <c r="AJ162" s="1215" t="s">
        <v>2363</v>
      </c>
      <c r="AK162" s="1011" t="str">
        <f>VLOOKUP(B162,TH.T4!B164:AC494,28,FALSE)</f>
        <v>LLCT</v>
      </c>
      <c r="AL162" s="1012"/>
      <c r="AM162" s="1012"/>
      <c r="AN162" s="1027"/>
      <c r="AO162" s="1012"/>
      <c r="AP162" s="1012"/>
      <c r="AQ162" s="1012"/>
      <c r="AR162" s="1012"/>
      <c r="AS162" s="1012"/>
      <c r="AT162" s="1012"/>
    </row>
    <row r="163" spans="1:46" s="1028" customFormat="1" ht="28.5" customHeight="1">
      <c r="A163" s="1014">
        <f>_xlfn.AGGREGATE(4,7,A$17:A162)+1</f>
        <v>146</v>
      </c>
      <c r="B163" s="1093" t="s">
        <v>1878</v>
      </c>
      <c r="C163" s="1094" t="s">
        <v>1731</v>
      </c>
      <c r="D163" s="1212" t="s">
        <v>1314</v>
      </c>
      <c r="E163" s="554" t="str">
        <f>VLOOKUP(B163,TH.T6!B75:J405,9,FALSE)</f>
        <v>Giảng viên khoa LLCT</v>
      </c>
      <c r="F163" s="1095">
        <v>4.32</v>
      </c>
      <c r="G163" s="1096"/>
      <c r="H163" s="1249">
        <f t="shared" si="30"/>
        <v>0</v>
      </c>
      <c r="I163" s="1097"/>
      <c r="J163" s="1095">
        <v>4.32</v>
      </c>
      <c r="K163" s="1096"/>
      <c r="L163" s="1249">
        <f t="shared" si="31"/>
        <v>0</v>
      </c>
      <c r="M163" s="1097"/>
      <c r="N163" s="1095">
        <v>4.6500000000000004</v>
      </c>
      <c r="O163" s="1096"/>
      <c r="P163" s="1250">
        <f t="shared" si="32"/>
        <v>0</v>
      </c>
      <c r="Q163" s="1097"/>
      <c r="R163" s="1097" t="str">
        <f>IFERROR(INDEX('[18]Gui chi Quynh'!$E$11:$E$397,MATCH(B163,'[18]Gui chi Quynh'!$B$11:$B$397,0)),"")</f>
        <v>A4</v>
      </c>
      <c r="S163" s="1097">
        <f t="shared" si="33"/>
        <v>0.5</v>
      </c>
      <c r="T163" s="1097" t="str">
        <f>VLOOKUP(B163,'[19]Gui chi Quynh'!$B$11:$E$397,4,FALSE)</f>
        <v>A DN</v>
      </c>
      <c r="U163" s="1097">
        <f t="shared" si="34"/>
        <v>0</v>
      </c>
      <c r="V163" s="1097" t="str">
        <f>VLOOKUP(B163,'[20]Gui chi Quynh'!$B$11:$E$396,4,FALSE)</f>
        <v>A4</v>
      </c>
      <c r="W163" s="1097">
        <f t="shared" si="35"/>
        <v>0.5</v>
      </c>
      <c r="X163" s="1097">
        <f>IFERROR(INDEX('[21]CN BC'!$J$10:$J$275,MATCH(B163,'[21]CN BC'!$H$10:$H$275,0)),"")</f>
        <v>23</v>
      </c>
      <c r="Y163" s="1097">
        <f>IFERROR(INDEX('[22]CN BC'!$J$10:$J$274,MATCH(B163,'[22]CN BC'!$H$10:$H$274,0)),"")</f>
        <v>0</v>
      </c>
      <c r="Z163" s="1097">
        <f>VLOOKUP(B163,'[23]CN BC'!$H$10:$J$275,3,FALSE)</f>
        <v>19</v>
      </c>
      <c r="AA163" s="1213">
        <f t="shared" si="36"/>
        <v>23</v>
      </c>
      <c r="AB163" s="1213">
        <f t="shared" si="37"/>
        <v>0</v>
      </c>
      <c r="AC163" s="1213">
        <f t="shared" si="38"/>
        <v>19</v>
      </c>
      <c r="AD163" s="1098"/>
      <c r="AE163" s="1214">
        <f t="shared" si="39"/>
        <v>10494900</v>
      </c>
      <c r="AF163" s="1400">
        <f t="shared" si="28"/>
        <v>4.4850000000000003</v>
      </c>
      <c r="AG163" s="1225">
        <v>2340000</v>
      </c>
      <c r="AH163" s="1401">
        <f t="shared" si="29"/>
        <v>10494900</v>
      </c>
      <c r="AI163" s="1099">
        <f t="shared" si="40"/>
        <v>146</v>
      </c>
      <c r="AJ163" s="1215" t="s">
        <v>2363</v>
      </c>
      <c r="AK163" s="1011" t="str">
        <f>VLOOKUP(B163,TH.T4!B165:AC495,28,FALSE)</f>
        <v>LLCT</v>
      </c>
      <c r="AL163" s="1012"/>
      <c r="AM163" s="1012"/>
      <c r="AN163" s="1027"/>
      <c r="AO163" s="1012"/>
      <c r="AP163" s="1012"/>
      <c r="AQ163" s="1012"/>
      <c r="AR163" s="1012"/>
      <c r="AS163" s="1012"/>
      <c r="AT163" s="1012"/>
    </row>
    <row r="164" spans="1:46" s="1028" customFormat="1" ht="28.5" customHeight="1">
      <c r="A164" s="1014">
        <f>_xlfn.AGGREGATE(4,7,A$17:A163)+1</f>
        <v>147</v>
      </c>
      <c r="B164" s="1015" t="s">
        <v>1879</v>
      </c>
      <c r="C164" s="1033" t="s">
        <v>1732</v>
      </c>
      <c r="D164" s="1034" t="s">
        <v>1315</v>
      </c>
      <c r="E164" s="81" t="str">
        <f>VLOOKUP(B164,TH.T6!B76:J406,9,FALSE)</f>
        <v>Giảng viên khoa LLCT</v>
      </c>
      <c r="F164" s="1040">
        <v>4.32</v>
      </c>
      <c r="G164" s="1019"/>
      <c r="H164" s="1247">
        <f t="shared" si="30"/>
        <v>0</v>
      </c>
      <c r="I164" s="1020"/>
      <c r="J164" s="1040">
        <v>4.32</v>
      </c>
      <c r="K164" s="1019"/>
      <c r="L164" s="1247">
        <f t="shared" si="31"/>
        <v>0</v>
      </c>
      <c r="M164" s="1020"/>
      <c r="N164" s="1040">
        <v>4.32</v>
      </c>
      <c r="O164" s="1019"/>
      <c r="P164" s="1248">
        <f t="shared" si="32"/>
        <v>0</v>
      </c>
      <c r="Q164" s="1020"/>
      <c r="R164" s="1020" t="str">
        <f>IFERROR(INDEX('[18]Gui chi Quynh'!$E$11:$E$397,MATCH(B164,'[18]Gui chi Quynh'!$B$11:$B$397,0)),"")</f>
        <v>A3</v>
      </c>
      <c r="S164" s="1020">
        <f t="shared" si="33"/>
        <v>0.6</v>
      </c>
      <c r="T164" s="1020" t="str">
        <f>VLOOKUP(B164,'[19]Gui chi Quynh'!$B$11:$E$397,4,FALSE)</f>
        <v>A DN</v>
      </c>
      <c r="U164" s="1020">
        <f t="shared" si="34"/>
        <v>0</v>
      </c>
      <c r="V164" s="1020" t="str">
        <f>VLOOKUP(B164,'[20]Gui chi Quynh'!$B$11:$E$396,4,FALSE)</f>
        <v>A1</v>
      </c>
      <c r="W164" s="1020">
        <f t="shared" si="35"/>
        <v>0.8</v>
      </c>
      <c r="X164" s="1020">
        <f>IFERROR(INDEX('[21]CN BC'!$J$10:$J$275,MATCH(B164,'[21]CN BC'!$H$10:$H$275,0)),"")</f>
        <v>21</v>
      </c>
      <c r="Y164" s="1020">
        <f>IFERROR(INDEX('[22]CN BC'!$J$10:$J$274,MATCH(B164,'[22]CN BC'!$H$10:$H$274,0)),"")</f>
        <v>0</v>
      </c>
      <c r="Z164" s="1020">
        <f>VLOOKUP(B164,'[23]CN BC'!$H$10:$J$275,3,FALSE)</f>
        <v>19</v>
      </c>
      <c r="AA164" s="1021">
        <f t="shared" si="36"/>
        <v>21</v>
      </c>
      <c r="AB164" s="1021">
        <f t="shared" si="37"/>
        <v>0</v>
      </c>
      <c r="AC164" s="1021">
        <f t="shared" si="38"/>
        <v>19</v>
      </c>
      <c r="AD164" s="1022"/>
      <c r="AE164" s="1023">
        <f t="shared" si="39"/>
        <v>13624904</v>
      </c>
      <c r="AF164" s="1371">
        <f t="shared" si="28"/>
        <v>5.8226085470085467</v>
      </c>
      <c r="AG164" s="1102">
        <v>2340000</v>
      </c>
      <c r="AH164" s="1373">
        <f t="shared" si="29"/>
        <v>13624904</v>
      </c>
      <c r="AI164" s="1024">
        <f t="shared" si="40"/>
        <v>147</v>
      </c>
      <c r="AJ164" s="1025">
        <f>IFERROR(INDEX('[17]CN BC'!$M$10:$M$276,MATCH(B164,'[17]CN BC'!$H$10:$H$276,0)),"")</f>
        <v>0</v>
      </c>
      <c r="AK164" s="1011" t="str">
        <f>VLOOKUP(B164,TH.T4!B166:AC496,28,FALSE)</f>
        <v>LLCT</v>
      </c>
      <c r="AL164" s="1012"/>
      <c r="AM164" s="1012"/>
      <c r="AN164" s="1027"/>
      <c r="AO164" s="1012"/>
      <c r="AP164" s="1012"/>
      <c r="AQ164" s="1012"/>
      <c r="AR164" s="1012"/>
      <c r="AS164" s="1012"/>
      <c r="AT164" s="1012"/>
    </row>
    <row r="165" spans="1:46" s="1028" customFormat="1" ht="28.5" customHeight="1">
      <c r="A165" s="1014">
        <f>_xlfn.AGGREGATE(4,7,A$17:A164)+1</f>
        <v>148</v>
      </c>
      <c r="B165" s="1093" t="s">
        <v>1502</v>
      </c>
      <c r="C165" s="1094" t="s">
        <v>1733</v>
      </c>
      <c r="D165" s="1212" t="s">
        <v>1318</v>
      </c>
      <c r="E165" s="554" t="s">
        <v>2375</v>
      </c>
      <c r="F165" s="1224">
        <v>3.66</v>
      </c>
      <c r="G165" s="1096"/>
      <c r="H165" s="1249">
        <f t="shared" si="30"/>
        <v>0</v>
      </c>
      <c r="I165" s="1097"/>
      <c r="J165" s="1224">
        <v>3.66</v>
      </c>
      <c r="K165" s="1096"/>
      <c r="L165" s="1249">
        <f t="shared" si="31"/>
        <v>0</v>
      </c>
      <c r="M165" s="1097"/>
      <c r="N165" s="1224">
        <v>3.99</v>
      </c>
      <c r="O165" s="1096"/>
      <c r="P165" s="1250">
        <f t="shared" si="32"/>
        <v>0</v>
      </c>
      <c r="Q165" s="1097"/>
      <c r="R165" s="1097" t="str">
        <f>IFERROR(INDEX('[18]Gui chi Quynh'!$E$11:$E$397,MATCH(B165,'[18]Gui chi Quynh'!$B$11:$B$397,0)),"")</f>
        <v>A3</v>
      </c>
      <c r="S165" s="1097">
        <f t="shared" si="33"/>
        <v>0.6</v>
      </c>
      <c r="T165" s="1097" t="str">
        <f>VLOOKUP(B165,'[19]Gui chi Quynh'!$B$11:$E$397,4,FALSE)</f>
        <v>A DN</v>
      </c>
      <c r="U165" s="1097">
        <f t="shared" si="34"/>
        <v>0</v>
      </c>
      <c r="V165" s="1097" t="str">
        <f>VLOOKUP(B165,'[20]Gui chi Quynh'!$B$11:$E$396,4,FALSE)</f>
        <v>A3</v>
      </c>
      <c r="W165" s="1097">
        <f t="shared" si="35"/>
        <v>0.6</v>
      </c>
      <c r="X165" s="1097">
        <f>IFERROR(INDEX('[21]CN BC'!$J$10:$J$275,MATCH(B165,'[21]CN BC'!$H$10:$H$275,0)),"")</f>
        <v>21</v>
      </c>
      <c r="Y165" s="1097">
        <f>IFERROR(INDEX('[22]CN BC'!$J$10:$J$274,MATCH(B165,'[22]CN BC'!$H$10:$H$274,0)),"")</f>
        <v>0</v>
      </c>
      <c r="Z165" s="1097">
        <f>VLOOKUP(B165,'[23]CN BC'!$H$10:$J$275,3,FALSE)</f>
        <v>19</v>
      </c>
      <c r="AA165" s="1213">
        <f t="shared" si="36"/>
        <v>21</v>
      </c>
      <c r="AB165" s="1213">
        <f t="shared" si="37"/>
        <v>0</v>
      </c>
      <c r="AC165" s="1213">
        <f t="shared" si="38"/>
        <v>19</v>
      </c>
      <c r="AD165" s="1098"/>
      <c r="AE165" s="1214">
        <f t="shared" si="39"/>
        <v>10293762</v>
      </c>
      <c r="AF165" s="1400">
        <f t="shared" si="28"/>
        <v>4.3990435897435898</v>
      </c>
      <c r="AG165" s="1225">
        <v>2340000</v>
      </c>
      <c r="AH165" s="1401">
        <f t="shared" si="29"/>
        <v>10293762</v>
      </c>
      <c r="AI165" s="1099">
        <f t="shared" si="40"/>
        <v>148</v>
      </c>
      <c r="AJ165" s="1215" t="s">
        <v>2363</v>
      </c>
      <c r="AK165" s="1011" t="str">
        <f>VLOOKUP(B165,TH.T4!B167:AC497,28,FALSE)</f>
        <v>LLCT</v>
      </c>
      <c r="AL165" s="1012"/>
      <c r="AM165" s="1012"/>
      <c r="AN165" s="1027"/>
      <c r="AO165" s="1012"/>
      <c r="AP165" s="1012"/>
      <c r="AQ165" s="1012"/>
      <c r="AR165" s="1012"/>
      <c r="AS165" s="1012"/>
      <c r="AT165" s="1012"/>
    </row>
    <row r="166" spans="1:46" s="1028" customFormat="1" ht="28.5" customHeight="1">
      <c r="A166" s="1014">
        <f>_xlfn.AGGREGATE(4,7,A$17:A165)+1</f>
        <v>149</v>
      </c>
      <c r="B166" s="1093" t="s">
        <v>1880</v>
      </c>
      <c r="C166" s="1094" t="s">
        <v>1734</v>
      </c>
      <c r="D166" s="1212" t="s">
        <v>375</v>
      </c>
      <c r="E166" s="554" t="str">
        <f>VLOOKUP(B166,TH.T6!B78:J408,9,FALSE)</f>
        <v>Giảng viên khoa LLCT</v>
      </c>
      <c r="F166" s="1224">
        <v>3.66</v>
      </c>
      <c r="G166" s="1096"/>
      <c r="H166" s="1249">
        <f t="shared" si="30"/>
        <v>0</v>
      </c>
      <c r="I166" s="1097"/>
      <c r="J166" s="1224">
        <v>3.66</v>
      </c>
      <c r="K166" s="1096"/>
      <c r="L166" s="1249">
        <f t="shared" si="31"/>
        <v>0</v>
      </c>
      <c r="M166" s="1097"/>
      <c r="N166" s="1224">
        <v>3.99</v>
      </c>
      <c r="O166" s="1096"/>
      <c r="P166" s="1250">
        <f t="shared" si="32"/>
        <v>0</v>
      </c>
      <c r="Q166" s="1097"/>
      <c r="R166" s="1097" t="str">
        <f>IFERROR(INDEX('[18]Gui chi Quynh'!$E$11:$E$397,MATCH(B166,'[18]Gui chi Quynh'!$B$11:$B$397,0)),"")</f>
        <v>A3</v>
      </c>
      <c r="S166" s="1097">
        <f t="shared" si="33"/>
        <v>0.6</v>
      </c>
      <c r="T166" s="1097" t="str">
        <f>VLOOKUP(B166,'[19]Gui chi Quynh'!$B$11:$E$397,4,FALSE)</f>
        <v>A DN</v>
      </c>
      <c r="U166" s="1097">
        <f t="shared" si="34"/>
        <v>0</v>
      </c>
      <c r="V166" s="1097" t="str">
        <f>VLOOKUP(B166,'[20]Gui chi Quynh'!$B$11:$E$396,4,FALSE)</f>
        <v>A3</v>
      </c>
      <c r="W166" s="1097">
        <f t="shared" si="35"/>
        <v>0.6</v>
      </c>
      <c r="X166" s="1097">
        <f>IFERROR(INDEX('[21]CN BC'!$J$10:$J$275,MATCH(B166,'[21]CN BC'!$H$10:$H$275,0)),"")</f>
        <v>23</v>
      </c>
      <c r="Y166" s="1097">
        <f>IFERROR(INDEX('[22]CN BC'!$J$10:$J$274,MATCH(B166,'[22]CN BC'!$H$10:$H$274,0)),"")</f>
        <v>0</v>
      </c>
      <c r="Z166" s="1097">
        <f>VLOOKUP(B166,'[23]CN BC'!$H$10:$J$275,3,FALSE)</f>
        <v>19</v>
      </c>
      <c r="AA166" s="1213">
        <f t="shared" si="36"/>
        <v>23</v>
      </c>
      <c r="AB166" s="1213">
        <f t="shared" si="37"/>
        <v>0</v>
      </c>
      <c r="AC166" s="1213">
        <f t="shared" si="38"/>
        <v>19</v>
      </c>
      <c r="AD166" s="1098"/>
      <c r="AE166" s="1214">
        <f t="shared" si="39"/>
        <v>10740600</v>
      </c>
      <c r="AF166" s="1400">
        <f t="shared" si="28"/>
        <v>4.59</v>
      </c>
      <c r="AG166" s="1225">
        <v>2340000</v>
      </c>
      <c r="AH166" s="1401">
        <f t="shared" si="29"/>
        <v>10740600</v>
      </c>
      <c r="AI166" s="1099">
        <f t="shared" si="40"/>
        <v>149</v>
      </c>
      <c r="AJ166" s="1215" t="s">
        <v>2363</v>
      </c>
      <c r="AK166" s="1067" t="str">
        <f>VLOOKUP(B166,TH.T4!B168:AC498,28,FALSE)</f>
        <v>LLCT</v>
      </c>
      <c r="AN166" s="1038"/>
    </row>
    <row r="167" spans="1:46" s="1028" customFormat="1" ht="28.5" customHeight="1">
      <c r="A167" s="1014">
        <f>_xlfn.AGGREGATE(4,7,A$17:A166)+1</f>
        <v>150</v>
      </c>
      <c r="B167" s="1093" t="s">
        <v>1503</v>
      </c>
      <c r="C167" s="1094" t="s">
        <v>1735</v>
      </c>
      <c r="D167" s="1212" t="s">
        <v>376</v>
      </c>
      <c r="E167" s="554" t="str">
        <f>VLOOKUP(B167,TH.T6!B79:J409,9,FALSE)</f>
        <v>Giảng viên khoa LLCT</v>
      </c>
      <c r="F167" s="1224">
        <v>3.66</v>
      </c>
      <c r="G167" s="1096"/>
      <c r="H167" s="1249">
        <f t="shared" si="30"/>
        <v>0</v>
      </c>
      <c r="I167" s="1097"/>
      <c r="J167" s="1224">
        <v>3.66</v>
      </c>
      <c r="K167" s="1096"/>
      <c r="L167" s="1249">
        <f t="shared" si="31"/>
        <v>0</v>
      </c>
      <c r="M167" s="1097"/>
      <c r="N167" s="1224">
        <v>3.99</v>
      </c>
      <c r="O167" s="1096"/>
      <c r="P167" s="1250">
        <f t="shared" si="32"/>
        <v>0</v>
      </c>
      <c r="Q167" s="1097"/>
      <c r="R167" s="1097" t="str">
        <f>IFERROR(INDEX('[18]Gui chi Quynh'!$E$11:$E$397,MATCH(B167,'[18]Gui chi Quynh'!$B$11:$B$397,0)),"")</f>
        <v>A3</v>
      </c>
      <c r="S167" s="1097">
        <f t="shared" si="33"/>
        <v>0.6</v>
      </c>
      <c r="T167" s="1097" t="str">
        <f>VLOOKUP(B167,'[19]Gui chi Quynh'!$B$11:$E$397,4,FALSE)</f>
        <v>A DN</v>
      </c>
      <c r="U167" s="1097">
        <f t="shared" si="34"/>
        <v>0</v>
      </c>
      <c r="V167" s="1097" t="str">
        <f>VLOOKUP(B167,'[20]Gui chi Quynh'!$B$11:$E$396,4,FALSE)</f>
        <v>A1</v>
      </c>
      <c r="W167" s="1097">
        <f t="shared" si="35"/>
        <v>0.8</v>
      </c>
      <c r="X167" s="1097">
        <f>IFERROR(INDEX('[21]CN BC'!$J$10:$J$275,MATCH(B167,'[21]CN BC'!$H$10:$H$275,0)),"")</f>
        <v>23</v>
      </c>
      <c r="Y167" s="1097">
        <f>IFERROR(INDEX('[22]CN BC'!$J$10:$J$274,MATCH(B167,'[22]CN BC'!$H$10:$H$274,0)),"")</f>
        <v>0</v>
      </c>
      <c r="Z167" s="1097">
        <f>VLOOKUP(B167,'[23]CN BC'!$H$10:$J$275,3,FALSE)</f>
        <v>19</v>
      </c>
      <c r="AA167" s="1213">
        <f t="shared" si="36"/>
        <v>23</v>
      </c>
      <c r="AB167" s="1213">
        <f t="shared" si="37"/>
        <v>0</v>
      </c>
      <c r="AC167" s="1213">
        <f t="shared" si="38"/>
        <v>19</v>
      </c>
      <c r="AD167" s="1098"/>
      <c r="AE167" s="1214">
        <f t="shared" si="39"/>
        <v>12607920</v>
      </c>
      <c r="AF167" s="1400">
        <f t="shared" si="28"/>
        <v>5.3879999999999999</v>
      </c>
      <c r="AG167" s="1225">
        <v>2340000</v>
      </c>
      <c r="AH167" s="1401">
        <f t="shared" si="29"/>
        <v>12607920</v>
      </c>
      <c r="AI167" s="1099">
        <f t="shared" si="40"/>
        <v>150</v>
      </c>
      <c r="AJ167" s="1215" t="s">
        <v>2363</v>
      </c>
      <c r="AK167" s="1011" t="str">
        <f>VLOOKUP(B167,TH.T4!B169:AC499,28,FALSE)</f>
        <v>LLCT</v>
      </c>
      <c r="AL167" s="1012"/>
      <c r="AM167" s="1012"/>
      <c r="AN167" s="1027"/>
      <c r="AO167" s="1012"/>
      <c r="AP167" s="1012"/>
      <c r="AQ167" s="1012"/>
      <c r="AR167" s="1012"/>
      <c r="AS167" s="1012"/>
      <c r="AT167" s="1012"/>
    </row>
    <row r="168" spans="1:46" s="1028" customFormat="1" ht="26.25" customHeight="1">
      <c r="A168" s="1014">
        <f>_xlfn.AGGREGATE(4,7,A$17:A167)+1</f>
        <v>151</v>
      </c>
      <c r="B168" s="1015" t="s">
        <v>1504</v>
      </c>
      <c r="C168" s="1033" t="s">
        <v>1736</v>
      </c>
      <c r="D168" s="1033" t="s">
        <v>503</v>
      </c>
      <c r="E168" s="81" t="str">
        <f>VLOOKUP(B168,TH.T6!B80:J410,9,FALSE)</f>
        <v>Giảng viên khoa LLCT</v>
      </c>
      <c r="F168" s="1040">
        <v>4.32</v>
      </c>
      <c r="G168" s="1019"/>
      <c r="H168" s="1247">
        <f t="shared" si="30"/>
        <v>0</v>
      </c>
      <c r="I168" s="1020"/>
      <c r="J168" s="1040">
        <v>4.32</v>
      </c>
      <c r="K168" s="1019"/>
      <c r="L168" s="1247">
        <f t="shared" si="31"/>
        <v>0</v>
      </c>
      <c r="M168" s="1020"/>
      <c r="N168" s="1040">
        <v>4.32</v>
      </c>
      <c r="O168" s="1019"/>
      <c r="P168" s="1248">
        <f t="shared" si="32"/>
        <v>0</v>
      </c>
      <c r="Q168" s="1020"/>
      <c r="R168" s="1020" t="str">
        <f>IFERROR(INDEX('[18]Gui chi Quynh'!$E$11:$E$397,MATCH(B168,'[18]Gui chi Quynh'!$B$11:$B$397,0)),"")</f>
        <v>A3</v>
      </c>
      <c r="S168" s="1020">
        <f t="shared" si="33"/>
        <v>0.6</v>
      </c>
      <c r="T168" s="1020" t="str">
        <f>VLOOKUP(B168,'[19]Gui chi Quynh'!$B$11:$E$397,4,FALSE)</f>
        <v>A DN</v>
      </c>
      <c r="U168" s="1020">
        <f t="shared" si="34"/>
        <v>0</v>
      </c>
      <c r="V168" s="1020" t="str">
        <f>VLOOKUP(B168,'[20]Gui chi Quynh'!$B$11:$E$396,4,FALSE)</f>
        <v>A3</v>
      </c>
      <c r="W168" s="1020">
        <f t="shared" si="35"/>
        <v>0.6</v>
      </c>
      <c r="X168" s="1020">
        <f>IFERROR(INDEX('[21]CN BC'!$J$10:$J$275,MATCH(B168,'[21]CN BC'!$H$10:$H$275,0)),"")</f>
        <v>21</v>
      </c>
      <c r="Y168" s="1020">
        <f>IFERROR(INDEX('[22]CN BC'!$J$10:$J$274,MATCH(B168,'[22]CN BC'!$H$10:$H$274,0)),"")</f>
        <v>0</v>
      </c>
      <c r="Z168" s="1020">
        <f>VLOOKUP(B168,'[23]CN BC'!$H$10:$J$275,3,FALSE)</f>
        <v>19</v>
      </c>
      <c r="AA168" s="1021">
        <f t="shared" si="36"/>
        <v>21</v>
      </c>
      <c r="AB168" s="1021">
        <f t="shared" si="37"/>
        <v>0</v>
      </c>
      <c r="AC168" s="1021">
        <f t="shared" si="38"/>
        <v>19</v>
      </c>
      <c r="AD168" s="1022"/>
      <c r="AE168" s="1023">
        <f t="shared" si="39"/>
        <v>11603144</v>
      </c>
      <c r="AF168" s="1371">
        <f t="shared" si="28"/>
        <v>4.9586085470085468</v>
      </c>
      <c r="AG168" s="1102">
        <v>2340000</v>
      </c>
      <c r="AH168" s="1373">
        <f t="shared" si="29"/>
        <v>11603144</v>
      </c>
      <c r="AI168" s="1024">
        <f t="shared" si="40"/>
        <v>151</v>
      </c>
      <c r="AJ168" s="1025">
        <f>IFERROR(INDEX('[17]CN BC'!$M$10:$M$276,MATCH(B168,'[17]CN BC'!$H$10:$H$276,0)),"")</f>
        <v>0</v>
      </c>
      <c r="AK168" s="1011" t="str">
        <f>VLOOKUP(B168,TH.T4!B170:AC500,28,FALSE)</f>
        <v>LLCT</v>
      </c>
      <c r="AL168" s="1012"/>
      <c r="AM168" s="1012"/>
      <c r="AN168" s="1027"/>
      <c r="AO168" s="1012"/>
      <c r="AP168" s="1012"/>
      <c r="AQ168" s="1012"/>
      <c r="AR168" s="1012"/>
      <c r="AS168" s="1012"/>
      <c r="AT168" s="1012"/>
    </row>
    <row r="169" spans="1:46" s="1028" customFormat="1" ht="27" customHeight="1">
      <c r="A169" s="1014">
        <f>_xlfn.AGGREGATE(4,7,A$17:A168)+1</f>
        <v>152</v>
      </c>
      <c r="B169" s="1093" t="s">
        <v>1505</v>
      </c>
      <c r="C169" s="1094" t="s">
        <v>1737</v>
      </c>
      <c r="D169" s="1221" t="s">
        <v>1592</v>
      </c>
      <c r="E169" s="554" t="str">
        <f>VLOOKUP(B169,TH.T6!B81:J411,9,FALSE)</f>
        <v>Giảng viên khoa LLCT</v>
      </c>
      <c r="F169" s="1224">
        <v>3.33</v>
      </c>
      <c r="G169" s="1096"/>
      <c r="H169" s="1249">
        <f t="shared" si="30"/>
        <v>0</v>
      </c>
      <c r="I169" s="1097"/>
      <c r="J169" s="1224">
        <v>3.33</v>
      </c>
      <c r="K169" s="1096"/>
      <c r="L169" s="1249">
        <f t="shared" si="31"/>
        <v>0</v>
      </c>
      <c r="M169" s="1097"/>
      <c r="N169" s="1224">
        <v>3.66</v>
      </c>
      <c r="O169" s="1096"/>
      <c r="P169" s="1250">
        <f t="shared" si="32"/>
        <v>0</v>
      </c>
      <c r="Q169" s="1097"/>
      <c r="R169" s="1097" t="str">
        <f>IFERROR(INDEX('[18]Gui chi Quynh'!$E$11:$E$397,MATCH(B169,'[18]Gui chi Quynh'!$B$11:$B$397,0)),"")</f>
        <v>A1</v>
      </c>
      <c r="S169" s="1097">
        <f t="shared" si="33"/>
        <v>0.8</v>
      </c>
      <c r="T169" s="1097" t="str">
        <f>VLOOKUP(B169,'[19]Gui chi Quynh'!$B$11:$E$397,4,FALSE)</f>
        <v>A DN</v>
      </c>
      <c r="U169" s="1097">
        <f t="shared" si="34"/>
        <v>0</v>
      </c>
      <c r="V169" s="1097" t="str">
        <f>VLOOKUP(B169,'[20]Gui chi Quynh'!$B$11:$E$396,4,FALSE)</f>
        <v>A1</v>
      </c>
      <c r="W169" s="1097">
        <f t="shared" si="35"/>
        <v>0.8</v>
      </c>
      <c r="X169" s="1097">
        <f>IFERROR(INDEX('[21]CN BC'!$J$10:$J$275,MATCH(B169,'[21]CN BC'!$H$10:$H$275,0)),"")</f>
        <v>21</v>
      </c>
      <c r="Y169" s="1097">
        <f>IFERROR(INDEX('[22]CN BC'!$J$10:$J$274,MATCH(B169,'[22]CN BC'!$H$10:$H$274,0)),"")</f>
        <v>0</v>
      </c>
      <c r="Z169" s="1097">
        <f>VLOOKUP(B169,'[23]CN BC'!$H$10:$J$275,3,FALSE)</f>
        <v>19</v>
      </c>
      <c r="AA169" s="1213">
        <f t="shared" si="36"/>
        <v>21</v>
      </c>
      <c r="AB169" s="1213">
        <f t="shared" si="37"/>
        <v>0</v>
      </c>
      <c r="AC169" s="1213">
        <f t="shared" si="38"/>
        <v>19</v>
      </c>
      <c r="AD169" s="1098"/>
      <c r="AE169" s="1214">
        <f t="shared" si="39"/>
        <v>12543214</v>
      </c>
      <c r="AF169" s="1400">
        <f t="shared" si="28"/>
        <v>5.3603478632478634</v>
      </c>
      <c r="AG169" s="1225">
        <v>2340000</v>
      </c>
      <c r="AH169" s="1401">
        <f t="shared" si="29"/>
        <v>12543214</v>
      </c>
      <c r="AI169" s="1099">
        <f t="shared" si="40"/>
        <v>152</v>
      </c>
      <c r="AJ169" s="1215" t="s">
        <v>2363</v>
      </c>
      <c r="AK169" s="1011" t="str">
        <f>VLOOKUP(B169,TH.T4!B171:AC501,28,FALSE)</f>
        <v>LLCT</v>
      </c>
      <c r="AL169" s="1012"/>
      <c r="AM169" s="1012"/>
      <c r="AN169" s="1027"/>
      <c r="AO169" s="1012"/>
      <c r="AP169" s="1012"/>
      <c r="AQ169" s="1012"/>
      <c r="AR169" s="1012"/>
      <c r="AS169" s="1012"/>
      <c r="AT169" s="1012"/>
    </row>
    <row r="170" spans="1:46" s="1028" customFormat="1" ht="28.15" customHeight="1">
      <c r="A170" s="1014">
        <f>_xlfn.AGGREGATE(4,7,A$17:A169)+1</f>
        <v>153</v>
      </c>
      <c r="B170" s="1015" t="s">
        <v>1881</v>
      </c>
      <c r="C170" s="1033" t="s">
        <v>1738</v>
      </c>
      <c r="D170" s="1034" t="s">
        <v>379</v>
      </c>
      <c r="E170" s="81" t="str">
        <f>VLOOKUP(B170,TH.T6!B82:J412,9,FALSE)</f>
        <v>Giảng viên khoa LLCT</v>
      </c>
      <c r="F170" s="1040">
        <v>3.66</v>
      </c>
      <c r="G170" s="1019"/>
      <c r="H170" s="1247">
        <f t="shared" si="30"/>
        <v>0</v>
      </c>
      <c r="I170" s="1020"/>
      <c r="J170" s="1040">
        <v>3.66</v>
      </c>
      <c r="K170" s="1019"/>
      <c r="L170" s="1247">
        <f t="shared" si="31"/>
        <v>0</v>
      </c>
      <c r="M170" s="1020"/>
      <c r="N170" s="1040">
        <v>3.66</v>
      </c>
      <c r="O170" s="1019"/>
      <c r="P170" s="1248">
        <f t="shared" si="32"/>
        <v>0</v>
      </c>
      <c r="Q170" s="1020"/>
      <c r="R170" s="1020" t="str">
        <f>IFERROR(INDEX('[18]Gui chi Quynh'!$E$11:$E$397,MATCH(B170,'[18]Gui chi Quynh'!$B$11:$B$397,0)),"")</f>
        <v>A4</v>
      </c>
      <c r="S170" s="1020">
        <f t="shared" si="33"/>
        <v>0.5</v>
      </c>
      <c r="T170" s="1020" t="str">
        <f>VLOOKUP(B170,'[19]Gui chi Quynh'!$B$11:$E$397,4,FALSE)</f>
        <v>A DN</v>
      </c>
      <c r="U170" s="1020">
        <f t="shared" si="34"/>
        <v>0</v>
      </c>
      <c r="V170" s="1020" t="str">
        <f>VLOOKUP(B170,'[20]Gui chi Quynh'!$B$11:$E$396,4,FALSE)</f>
        <v>A3</v>
      </c>
      <c r="W170" s="1020">
        <f t="shared" si="35"/>
        <v>0.6</v>
      </c>
      <c r="X170" s="1020">
        <f>IFERROR(INDEX('[21]CN BC'!$J$10:$J$275,MATCH(B170,'[21]CN BC'!$H$10:$H$275,0)),"")</f>
        <v>21</v>
      </c>
      <c r="Y170" s="1020">
        <f>IFERROR(INDEX('[22]CN BC'!$J$10:$J$274,MATCH(B170,'[22]CN BC'!$H$10:$H$274,0)),"")</f>
        <v>0</v>
      </c>
      <c r="Z170" s="1020">
        <f>VLOOKUP(B170,'[23]CN BC'!$H$10:$J$275,3,FALSE)</f>
        <v>19</v>
      </c>
      <c r="AA170" s="1021">
        <f t="shared" si="36"/>
        <v>21</v>
      </c>
      <c r="AB170" s="1021">
        <f t="shared" si="37"/>
        <v>0</v>
      </c>
      <c r="AC170" s="1021">
        <f t="shared" si="38"/>
        <v>19</v>
      </c>
      <c r="AD170" s="1022"/>
      <c r="AE170" s="1023">
        <f t="shared" si="39"/>
        <v>9048475</v>
      </c>
      <c r="AF170" s="1371">
        <f t="shared" si="28"/>
        <v>3.8668696581196582</v>
      </c>
      <c r="AG170" s="1102">
        <v>2340000</v>
      </c>
      <c r="AH170" s="1373">
        <f t="shared" si="29"/>
        <v>9048475</v>
      </c>
      <c r="AI170" s="1024">
        <f t="shared" si="40"/>
        <v>153</v>
      </c>
      <c r="AJ170" s="1025">
        <f>IFERROR(INDEX('[17]CN BC'!$M$10:$M$276,MATCH(B170,'[17]CN BC'!$H$10:$H$276,0)),"")</f>
        <v>0</v>
      </c>
      <c r="AK170" s="1011" t="str">
        <f>VLOOKUP(B170,TH.T4!B172:AC502,28,FALSE)</f>
        <v>LLCT</v>
      </c>
      <c r="AL170" s="1012"/>
      <c r="AM170" s="1012"/>
      <c r="AN170" s="1027"/>
      <c r="AO170" s="1012"/>
      <c r="AP170" s="1012"/>
      <c r="AQ170" s="1012"/>
      <c r="AR170" s="1012"/>
      <c r="AS170" s="1012"/>
      <c r="AT170" s="1012"/>
    </row>
    <row r="171" spans="1:46" s="1028" customFormat="1" ht="27.75" customHeight="1">
      <c r="A171" s="1014">
        <f>_xlfn.AGGREGATE(4,7,A$17:A170)+1</f>
        <v>154</v>
      </c>
      <c r="B171" s="1101" t="s">
        <v>1506</v>
      </c>
      <c r="C171" s="1033" t="s">
        <v>1739</v>
      </c>
      <c r="D171" s="1030" t="s">
        <v>1427</v>
      </c>
      <c r="E171" s="81" t="str">
        <f>VLOOKUP(B171,TH.T6!B83:J413,9,FALSE)</f>
        <v>Giảng viên khoa LLCT</v>
      </c>
      <c r="F171" s="1040">
        <v>3.33</v>
      </c>
      <c r="G171" s="1019"/>
      <c r="H171" s="1247">
        <f t="shared" si="30"/>
        <v>0</v>
      </c>
      <c r="I171" s="1020"/>
      <c r="J171" s="1040">
        <v>3.33</v>
      </c>
      <c r="K171" s="1019"/>
      <c r="L171" s="1247">
        <f t="shared" si="31"/>
        <v>0</v>
      </c>
      <c r="M171" s="1020"/>
      <c r="N171" s="1040">
        <v>3.33</v>
      </c>
      <c r="O171" s="1019"/>
      <c r="P171" s="1248">
        <f t="shared" si="32"/>
        <v>0</v>
      </c>
      <c r="Q171" s="1020"/>
      <c r="R171" s="1020" t="str">
        <f>IFERROR(INDEX('[18]Gui chi Quynh'!$E$11:$E$397,MATCH(B171,'[18]Gui chi Quynh'!$B$11:$B$397,0)),"")</f>
        <v>A3</v>
      </c>
      <c r="S171" s="1020">
        <f t="shared" si="33"/>
        <v>0.6</v>
      </c>
      <c r="T171" s="1020" t="str">
        <f>VLOOKUP(B171,'[19]Gui chi Quynh'!$B$11:$E$397,4,FALSE)</f>
        <v>A DN</v>
      </c>
      <c r="U171" s="1020">
        <f t="shared" si="34"/>
        <v>0</v>
      </c>
      <c r="V171" s="1020" t="str">
        <f>VLOOKUP(B171,'[20]Gui chi Quynh'!$B$11:$E$396,4,FALSE)</f>
        <v>A4</v>
      </c>
      <c r="W171" s="1020">
        <f t="shared" si="35"/>
        <v>0.5</v>
      </c>
      <c r="X171" s="1020">
        <f>IFERROR(INDEX('[21]CN BC'!$J$10:$J$275,MATCH(B171,'[21]CN BC'!$H$10:$H$275,0)),"")</f>
        <v>21</v>
      </c>
      <c r="Y171" s="1020">
        <f>IFERROR(INDEX('[22]CN BC'!$J$10:$J$274,MATCH(B171,'[22]CN BC'!$H$10:$H$274,0)),"")</f>
        <v>0</v>
      </c>
      <c r="Z171" s="1020">
        <f>VLOOKUP(B171,'[23]CN BC'!$H$10:$J$275,3,FALSE)</f>
        <v>19</v>
      </c>
      <c r="AA171" s="1021">
        <f t="shared" si="36"/>
        <v>21</v>
      </c>
      <c r="AB171" s="1021">
        <f t="shared" si="37"/>
        <v>0</v>
      </c>
      <c r="AC171" s="1021">
        <f t="shared" si="38"/>
        <v>19</v>
      </c>
      <c r="AD171" s="1022"/>
      <c r="AE171" s="1023">
        <f t="shared" si="39"/>
        <v>8164870</v>
      </c>
      <c r="AF171" s="1371">
        <f t="shared" si="28"/>
        <v>3.4892606837606839</v>
      </c>
      <c r="AG171" s="1102">
        <v>2340000</v>
      </c>
      <c r="AH171" s="1373">
        <f t="shared" si="29"/>
        <v>8164870</v>
      </c>
      <c r="AI171" s="1024">
        <f t="shared" si="40"/>
        <v>154</v>
      </c>
      <c r="AJ171" s="1025">
        <f>IFERROR(INDEX('[17]CN BC'!$M$10:$M$276,MATCH(B171,'[17]CN BC'!$H$10:$H$276,0)),"")</f>
        <v>0</v>
      </c>
      <c r="AK171" s="1011" t="str">
        <f>VLOOKUP(B171,TH.T4!B173:AC503,28,FALSE)</f>
        <v>LLCT</v>
      </c>
      <c r="AL171" s="1012"/>
      <c r="AM171" s="1012"/>
      <c r="AN171" s="1027"/>
    </row>
    <row r="172" spans="1:46" s="1028" customFormat="1" ht="27" customHeight="1">
      <c r="A172" s="1014">
        <f>_xlfn.AGGREGATE(4,7,A$17:A171)+1</f>
        <v>155</v>
      </c>
      <c r="B172" s="1015" t="s">
        <v>1882</v>
      </c>
      <c r="C172" s="1033" t="s">
        <v>1741</v>
      </c>
      <c r="D172" s="1034" t="s">
        <v>1341</v>
      </c>
      <c r="E172" s="81" t="str">
        <f>VLOOKUP(B172,TH.T6!B84:J414,9,FALSE)</f>
        <v>Giảng viên khoa CNTT</v>
      </c>
      <c r="F172" s="1040">
        <v>4.32</v>
      </c>
      <c r="G172" s="1019"/>
      <c r="H172" s="1247">
        <f t="shared" si="30"/>
        <v>0</v>
      </c>
      <c r="I172" s="1020"/>
      <c r="J172" s="1040">
        <v>4.32</v>
      </c>
      <c r="K172" s="1019"/>
      <c r="L172" s="1247">
        <f t="shared" si="31"/>
        <v>0</v>
      </c>
      <c r="M172" s="1020"/>
      <c r="N172" s="1040">
        <v>4.32</v>
      </c>
      <c r="O172" s="1019"/>
      <c r="P172" s="1248">
        <f t="shared" si="32"/>
        <v>0</v>
      </c>
      <c r="Q172" s="1020"/>
      <c r="R172" s="1020" t="str">
        <f>IFERROR(INDEX('[18]Gui chi Quynh'!$E$11:$E$397,MATCH(B172,'[18]Gui chi Quynh'!$B$11:$B$397,0)),"")</f>
        <v>A3</v>
      </c>
      <c r="S172" s="1020">
        <f t="shared" si="33"/>
        <v>0.6</v>
      </c>
      <c r="T172" s="1020" t="str">
        <f>VLOOKUP(B172,'[19]Gui chi Quynh'!$B$11:$E$397,4,FALSE)</f>
        <v>A DN</v>
      </c>
      <c r="U172" s="1020">
        <f t="shared" si="34"/>
        <v>0</v>
      </c>
      <c r="V172" s="1020" t="str">
        <f>VLOOKUP(B172,'[20]Gui chi Quynh'!$B$11:$E$396,4,FALSE)</f>
        <v>A4</v>
      </c>
      <c r="W172" s="1020">
        <f t="shared" si="35"/>
        <v>0.5</v>
      </c>
      <c r="X172" s="1020">
        <f>IFERROR(INDEX('[21]CN BC'!$J$10:$J$275,MATCH(B172,'[21]CN BC'!$H$10:$H$275,0)),"")</f>
        <v>23</v>
      </c>
      <c r="Y172" s="1020">
        <f>IFERROR(INDEX('[22]CN BC'!$J$10:$J$274,MATCH(B172,'[22]CN BC'!$H$10:$H$274,0)),"")</f>
        <v>0</v>
      </c>
      <c r="Z172" s="1020">
        <f>VLOOKUP(B172,'[23]CN BC'!$H$10:$J$275,3,FALSE)</f>
        <v>19</v>
      </c>
      <c r="AA172" s="1021">
        <f t="shared" si="36"/>
        <v>23</v>
      </c>
      <c r="AB172" s="1021">
        <f t="shared" si="37"/>
        <v>0</v>
      </c>
      <c r="AC172" s="1021">
        <f t="shared" si="38"/>
        <v>19</v>
      </c>
      <c r="AD172" s="1022"/>
      <c r="AE172" s="1023">
        <f t="shared" si="39"/>
        <v>11119680</v>
      </c>
      <c r="AF172" s="1371">
        <f t="shared" si="28"/>
        <v>4.7519999999999998</v>
      </c>
      <c r="AG172" s="1102">
        <v>2340000</v>
      </c>
      <c r="AH172" s="1373">
        <f t="shared" si="29"/>
        <v>11119680</v>
      </c>
      <c r="AI172" s="1024">
        <f t="shared" si="40"/>
        <v>155</v>
      </c>
      <c r="AJ172" s="1025">
        <f>IFERROR(INDEX('[17]CN BC'!$M$10:$M$276,MATCH(B172,'[17]CN BC'!$H$10:$H$276,0)),"")</f>
        <v>0</v>
      </c>
      <c r="AK172" s="1011" t="str">
        <f>VLOOKUP(B172,TH.T4!B174:AC504,28,FALSE)</f>
        <v>CNTT</v>
      </c>
      <c r="AL172" s="1012"/>
      <c r="AM172" s="1012"/>
      <c r="AN172" s="1027"/>
    </row>
    <row r="173" spans="1:46" s="1012" customFormat="1" ht="28.5" customHeight="1">
      <c r="A173" s="1014">
        <f>_xlfn.AGGREGATE(4,7,A$17:A172)+1</f>
        <v>156</v>
      </c>
      <c r="B173" s="1050" t="s">
        <v>1508</v>
      </c>
      <c r="C173" s="1029" t="s">
        <v>1742</v>
      </c>
      <c r="D173" s="1051" t="s">
        <v>1342</v>
      </c>
      <c r="E173" s="81" t="str">
        <f>VLOOKUP(B173,TH.T6!B85:J415,9,FALSE)</f>
        <v>Giảng viên khoa CNTT</v>
      </c>
      <c r="F173" s="1056">
        <v>3.99</v>
      </c>
      <c r="G173" s="1053"/>
      <c r="H173" s="1247">
        <f t="shared" si="30"/>
        <v>0</v>
      </c>
      <c r="I173" s="1054"/>
      <c r="J173" s="1056">
        <v>3.99</v>
      </c>
      <c r="K173" s="1053"/>
      <c r="L173" s="1247">
        <f t="shared" si="31"/>
        <v>0</v>
      </c>
      <c r="M173" s="1054"/>
      <c r="N173" s="1056">
        <v>3.99</v>
      </c>
      <c r="O173" s="1053"/>
      <c r="P173" s="1248">
        <f t="shared" si="32"/>
        <v>0</v>
      </c>
      <c r="Q173" s="1054"/>
      <c r="R173" s="1020" t="str">
        <f>IFERROR(INDEX('[18]Gui chi Quynh'!$E$11:$E$397,MATCH(B173,'[18]Gui chi Quynh'!$B$11:$B$397,0)),"")</f>
        <v>A4</v>
      </c>
      <c r="S173" s="1020">
        <f t="shared" si="33"/>
        <v>0.5</v>
      </c>
      <c r="T173" s="1020" t="str">
        <f>VLOOKUP(B173,'[19]Gui chi Quynh'!$B$11:$E$397,4,FALSE)</f>
        <v>A DN</v>
      </c>
      <c r="U173" s="1020">
        <f t="shared" si="34"/>
        <v>0</v>
      </c>
      <c r="V173" s="1020" t="str">
        <f>VLOOKUP(B173,'[20]Gui chi Quynh'!$B$11:$E$396,4,FALSE)</f>
        <v>A3</v>
      </c>
      <c r="W173" s="1020">
        <f t="shared" si="35"/>
        <v>0.6</v>
      </c>
      <c r="X173" s="1020">
        <f>IFERROR(INDEX('[21]CN BC'!$J$10:$J$275,MATCH(B173,'[21]CN BC'!$H$10:$H$275,0)),"")</f>
        <v>21</v>
      </c>
      <c r="Y173" s="1020">
        <f>IFERROR(INDEX('[22]CN BC'!$J$10:$J$274,MATCH(B173,'[22]CN BC'!$H$10:$H$274,0)),"")</f>
        <v>0</v>
      </c>
      <c r="Z173" s="1020">
        <f>VLOOKUP(B173,'[23]CN BC'!$H$10:$J$275,3,FALSE)</f>
        <v>19</v>
      </c>
      <c r="AA173" s="1021">
        <f t="shared" si="36"/>
        <v>21</v>
      </c>
      <c r="AB173" s="1021">
        <f t="shared" si="37"/>
        <v>0</v>
      </c>
      <c r="AC173" s="1021">
        <f t="shared" si="38"/>
        <v>19</v>
      </c>
      <c r="AD173" s="1022"/>
      <c r="AE173" s="1023">
        <f t="shared" si="39"/>
        <v>9864321</v>
      </c>
      <c r="AF173" s="1371">
        <f t="shared" si="28"/>
        <v>4.2155217948717949</v>
      </c>
      <c r="AG173" s="1102">
        <v>2340000</v>
      </c>
      <c r="AH173" s="1373">
        <f t="shared" si="29"/>
        <v>9864321</v>
      </c>
      <c r="AI173" s="1024">
        <f t="shared" si="40"/>
        <v>156</v>
      </c>
      <c r="AJ173" s="1025">
        <f>IFERROR(INDEX('[17]CN BC'!$M$10:$M$276,MATCH(B173,'[17]CN BC'!$H$10:$H$276,0)),"")</f>
        <v>0</v>
      </c>
      <c r="AK173" s="1011" t="str">
        <f>VLOOKUP(B173,TH.T4!B175:AC505,28,FALSE)</f>
        <v>CNTT</v>
      </c>
      <c r="AN173" s="1027"/>
    </row>
    <row r="174" spans="1:46" s="1012" customFormat="1" ht="26.25" customHeight="1">
      <c r="A174" s="1014">
        <f>_xlfn.AGGREGATE(4,7,A$17:A173)+1</f>
        <v>157</v>
      </c>
      <c r="B174" s="1050" t="s">
        <v>1509</v>
      </c>
      <c r="C174" s="1029" t="s">
        <v>1743</v>
      </c>
      <c r="D174" s="1051" t="s">
        <v>1344</v>
      </c>
      <c r="E174" s="81" t="str">
        <f>VLOOKUP(B174,TH.T6!B86:J416,9,FALSE)</f>
        <v>Giảng viên khoa CNTT</v>
      </c>
      <c r="F174" s="1052">
        <v>3.99</v>
      </c>
      <c r="G174" s="1053"/>
      <c r="H174" s="1247">
        <f t="shared" si="30"/>
        <v>0</v>
      </c>
      <c r="I174" s="1054"/>
      <c r="J174" s="1052">
        <v>3.99</v>
      </c>
      <c r="K174" s="1053"/>
      <c r="L174" s="1247">
        <f t="shared" si="31"/>
        <v>0</v>
      </c>
      <c r="M174" s="1054"/>
      <c r="N174" s="1052">
        <v>3.99</v>
      </c>
      <c r="O174" s="1053"/>
      <c r="P174" s="1248">
        <f t="shared" si="32"/>
        <v>0</v>
      </c>
      <c r="Q174" s="1054"/>
      <c r="R174" s="1020" t="str">
        <f>IFERROR(INDEX('[18]Gui chi Quynh'!$E$11:$E$397,MATCH(B174,'[18]Gui chi Quynh'!$B$11:$B$397,0)),"")</f>
        <v>A4</v>
      </c>
      <c r="S174" s="1020">
        <f t="shared" si="33"/>
        <v>0.5</v>
      </c>
      <c r="T174" s="1020" t="str">
        <f>VLOOKUP(B174,'[19]Gui chi Quynh'!$B$11:$E$397,4,FALSE)</f>
        <v>A DN</v>
      </c>
      <c r="U174" s="1020">
        <f t="shared" si="34"/>
        <v>0</v>
      </c>
      <c r="V174" s="1020" t="str">
        <f>VLOOKUP(B174,'[20]Gui chi Quynh'!$B$11:$E$396,4,FALSE)</f>
        <v>A3</v>
      </c>
      <c r="W174" s="1020">
        <f t="shared" si="35"/>
        <v>0.6</v>
      </c>
      <c r="X174" s="1020">
        <f>IFERROR(INDEX('[21]CN BC'!$J$10:$J$275,MATCH(B174,'[21]CN BC'!$H$10:$H$275,0)),"")</f>
        <v>23</v>
      </c>
      <c r="Y174" s="1020">
        <f>IFERROR(INDEX('[22]CN BC'!$J$10:$J$274,MATCH(B174,'[22]CN BC'!$H$10:$H$274,0)),"")</f>
        <v>0</v>
      </c>
      <c r="Z174" s="1020">
        <f>VLOOKUP(B174,'[23]CN BC'!$H$10:$J$275,3,FALSE)</f>
        <v>19</v>
      </c>
      <c r="AA174" s="1021">
        <f t="shared" si="36"/>
        <v>23</v>
      </c>
      <c r="AB174" s="1021">
        <f t="shared" si="37"/>
        <v>0</v>
      </c>
      <c r="AC174" s="1021">
        <f t="shared" si="38"/>
        <v>19</v>
      </c>
      <c r="AD174" s="1022"/>
      <c r="AE174" s="1023">
        <f t="shared" si="39"/>
        <v>10270260</v>
      </c>
      <c r="AF174" s="1371">
        <f t="shared" si="28"/>
        <v>4.3890000000000002</v>
      </c>
      <c r="AG174" s="1102">
        <v>2340000</v>
      </c>
      <c r="AH174" s="1373">
        <f t="shared" si="29"/>
        <v>10270260</v>
      </c>
      <c r="AI174" s="1024">
        <f t="shared" si="40"/>
        <v>157</v>
      </c>
      <c r="AJ174" s="1025">
        <f>IFERROR(INDEX('[17]CN BC'!$M$10:$M$276,MATCH(B174,'[17]CN BC'!$H$10:$H$276,0)),"")</f>
        <v>0</v>
      </c>
      <c r="AK174" s="1011" t="str">
        <f>VLOOKUP(B174,TH.T4!B176:AC506,28,FALSE)</f>
        <v>CNTT</v>
      </c>
      <c r="AN174" s="1027"/>
    </row>
    <row r="175" spans="1:46" s="1028" customFormat="1" ht="78" customHeight="1">
      <c r="A175" s="1014">
        <f>_xlfn.AGGREGATE(4,7,A$17:A174)+1</f>
        <v>158</v>
      </c>
      <c r="B175" s="1284" t="s">
        <v>1510</v>
      </c>
      <c r="C175" s="1285" t="s">
        <v>1744</v>
      </c>
      <c r="D175" s="1286" t="s">
        <v>1347</v>
      </c>
      <c r="E175" s="1381" t="str">
        <f>VLOOKUP(B175,TH.T6!B87:J417,9,FALSE)</f>
        <v>Giảng viên khoa CNTT</v>
      </c>
      <c r="F175" s="1287">
        <v>3.66</v>
      </c>
      <c r="G175" s="1288"/>
      <c r="H175" s="1289">
        <f t="shared" si="30"/>
        <v>0</v>
      </c>
      <c r="I175" s="1290"/>
      <c r="J175" s="1287">
        <v>3.66</v>
      </c>
      <c r="K175" s="1288"/>
      <c r="L175" s="1289">
        <f t="shared" si="31"/>
        <v>0</v>
      </c>
      <c r="M175" s="1290"/>
      <c r="N175" s="1287">
        <v>3.99</v>
      </c>
      <c r="O175" s="1288"/>
      <c r="P175" s="1291">
        <f t="shared" si="32"/>
        <v>0</v>
      </c>
      <c r="Q175" s="1290"/>
      <c r="R175" s="1290" t="str">
        <f>IFERROR(INDEX('[18]Gui chi Quynh'!$E$11:$E$397,MATCH(B175,'[18]Gui chi Quynh'!$B$11:$B$397,0)),"")</f>
        <v>A4</v>
      </c>
      <c r="S175" s="1290">
        <f t="shared" si="33"/>
        <v>0.5</v>
      </c>
      <c r="T175" s="1290" t="str">
        <f>VLOOKUP(B175,'[19]Gui chi Quynh'!$B$11:$E$397,4,FALSE)</f>
        <v>A DN</v>
      </c>
      <c r="U175" s="1290">
        <f t="shared" si="34"/>
        <v>0</v>
      </c>
      <c r="V175" s="1290" t="str">
        <f>VLOOKUP(B175,'[20]Gui chi Quynh'!$B$11:$E$396,4,FALSE)</f>
        <v>D</v>
      </c>
      <c r="W175" s="1290">
        <f t="shared" si="35"/>
        <v>0</v>
      </c>
      <c r="X175" s="1290">
        <f>IFERROR(INDEX('[21]CN BC'!$J$10:$J$275,MATCH(B175,'[21]CN BC'!$H$10:$H$275,0)),"")</f>
        <v>21</v>
      </c>
      <c r="Y175" s="1290">
        <f>IFERROR(INDEX('[22]CN BC'!$J$10:$J$274,MATCH(B175,'[22]CN BC'!$H$10:$H$274,0)),"")</f>
        <v>0</v>
      </c>
      <c r="Z175" s="1290">
        <f>VLOOKUP(B175,'[23]CN BC'!$H$10:$J$275,3,FALSE)</f>
        <v>4</v>
      </c>
      <c r="AA175" s="1292">
        <f t="shared" si="36"/>
        <v>21</v>
      </c>
      <c r="AB175" s="1292">
        <f t="shared" si="37"/>
        <v>0</v>
      </c>
      <c r="AC175" s="1292">
        <f t="shared" si="38"/>
        <v>4</v>
      </c>
      <c r="AD175" s="1293"/>
      <c r="AE175" s="1294">
        <f t="shared" si="39"/>
        <v>3909835</v>
      </c>
      <c r="AF175" s="1382">
        <f t="shared" si="28"/>
        <v>1.670869658119658</v>
      </c>
      <c r="AG175" s="1365">
        <v>2340000</v>
      </c>
      <c r="AH175" s="1383">
        <f t="shared" si="29"/>
        <v>3909835</v>
      </c>
      <c r="AI175" s="1295">
        <f t="shared" si="40"/>
        <v>158</v>
      </c>
      <c r="AJ175" s="1296" t="s">
        <v>2367</v>
      </c>
      <c r="AK175" s="1067" t="str">
        <f>VLOOKUP(B175,TH.T4!B177:AC507,28,FALSE)</f>
        <v>CNTT</v>
      </c>
      <c r="AN175" s="1038"/>
    </row>
    <row r="176" spans="1:46" s="1028" customFormat="1" ht="27" customHeight="1">
      <c r="A176" s="1014">
        <f>_xlfn.AGGREGATE(4,7,A$17:A175)+1</f>
        <v>159</v>
      </c>
      <c r="B176" s="1101" t="s">
        <v>1511</v>
      </c>
      <c r="C176" s="1033" t="s">
        <v>1745</v>
      </c>
      <c r="D176" s="1034" t="s">
        <v>1349</v>
      </c>
      <c r="E176" s="81" t="str">
        <f>VLOOKUP(B176,TH.T6!B88:J418,9,FALSE)</f>
        <v>Giảng viên khoa CNTT</v>
      </c>
      <c r="F176" s="1040">
        <v>3.99</v>
      </c>
      <c r="G176" s="1019"/>
      <c r="H176" s="1247">
        <f t="shared" si="30"/>
        <v>0</v>
      </c>
      <c r="I176" s="1020"/>
      <c r="J176" s="1040">
        <v>3.99</v>
      </c>
      <c r="K176" s="1019"/>
      <c r="L176" s="1247">
        <f t="shared" si="31"/>
        <v>0</v>
      </c>
      <c r="M176" s="1020"/>
      <c r="N176" s="1040">
        <v>3.99</v>
      </c>
      <c r="O176" s="1019"/>
      <c r="P176" s="1248">
        <f t="shared" si="32"/>
        <v>0</v>
      </c>
      <c r="Q176" s="1020"/>
      <c r="R176" s="1020" t="str">
        <f>IFERROR(INDEX('[18]Gui chi Quynh'!$E$11:$E$397,MATCH(B176,'[18]Gui chi Quynh'!$B$11:$B$397,0)),"")</f>
        <v>A3</v>
      </c>
      <c r="S176" s="1020">
        <f t="shared" si="33"/>
        <v>0.6</v>
      </c>
      <c r="T176" s="1020" t="str">
        <f>VLOOKUP(B176,'[19]Gui chi Quynh'!$B$11:$E$397,4,FALSE)</f>
        <v>A DN</v>
      </c>
      <c r="U176" s="1020">
        <f t="shared" si="34"/>
        <v>0</v>
      </c>
      <c r="V176" s="1020" t="str">
        <f>VLOOKUP(B176,'[20]Gui chi Quynh'!$B$11:$E$396,4,FALSE)</f>
        <v>A3</v>
      </c>
      <c r="W176" s="1020">
        <f t="shared" si="35"/>
        <v>0.6</v>
      </c>
      <c r="X176" s="1020">
        <f>IFERROR(INDEX('[21]CN BC'!$J$10:$J$275,MATCH(B176,'[21]CN BC'!$H$10:$H$275,0)),"")</f>
        <v>21</v>
      </c>
      <c r="Y176" s="1020">
        <f>IFERROR(INDEX('[22]CN BC'!$J$10:$J$274,MATCH(B176,'[22]CN BC'!$H$10:$H$274,0)),"")</f>
        <v>0</v>
      </c>
      <c r="Z176" s="1020">
        <f>VLOOKUP(B176,'[23]CN BC'!$H$10:$J$275,3,FALSE)</f>
        <v>19</v>
      </c>
      <c r="AA176" s="1021">
        <f t="shared" si="36"/>
        <v>21</v>
      </c>
      <c r="AB176" s="1021">
        <f t="shared" si="37"/>
        <v>0</v>
      </c>
      <c r="AC176" s="1021">
        <f t="shared" si="38"/>
        <v>19</v>
      </c>
      <c r="AD176" s="1022"/>
      <c r="AE176" s="1023">
        <f t="shared" si="39"/>
        <v>10716793</v>
      </c>
      <c r="AF176" s="1371">
        <f t="shared" si="28"/>
        <v>4.5798260683760681</v>
      </c>
      <c r="AG176" s="1102">
        <v>2340000</v>
      </c>
      <c r="AH176" s="1373">
        <f t="shared" si="29"/>
        <v>10716793</v>
      </c>
      <c r="AI176" s="1024">
        <f t="shared" si="40"/>
        <v>159</v>
      </c>
      <c r="AJ176" s="1025">
        <f>IFERROR(INDEX('[17]CN BC'!$M$10:$M$276,MATCH(B176,'[17]CN BC'!$H$10:$H$276,0)),"")</f>
        <v>0</v>
      </c>
      <c r="AK176" s="1011" t="str">
        <f>VLOOKUP(B176,TH.T4!B178:AC508,28,FALSE)</f>
        <v>CNTT</v>
      </c>
      <c r="AL176" s="1012"/>
      <c r="AM176" s="1012"/>
      <c r="AN176" s="1027"/>
      <c r="AO176" s="1012"/>
      <c r="AP176" s="1012"/>
      <c r="AQ176" s="1012"/>
      <c r="AR176" s="1012"/>
      <c r="AS176" s="1012"/>
      <c r="AT176" s="1012"/>
    </row>
    <row r="177" spans="1:50" s="1028" customFormat="1" ht="83.25" customHeight="1">
      <c r="A177" s="1014">
        <f>_xlfn.AGGREGATE(4,7,A$17:A176)+1</f>
        <v>160</v>
      </c>
      <c r="B177" s="1297" t="s">
        <v>1512</v>
      </c>
      <c r="C177" s="1298" t="s">
        <v>1746</v>
      </c>
      <c r="D177" s="1299" t="s">
        <v>1350</v>
      </c>
      <c r="E177" s="689" t="str">
        <f>VLOOKUP(B177,TH.T6!B89:J419,9,FALSE)</f>
        <v>Giảng viên khoa CNTT</v>
      </c>
      <c r="F177" s="1300">
        <v>3.99</v>
      </c>
      <c r="G177" s="1301"/>
      <c r="H177" s="1302">
        <f t="shared" si="30"/>
        <v>0</v>
      </c>
      <c r="I177" s="1303"/>
      <c r="J177" s="1300">
        <v>3.99</v>
      </c>
      <c r="K177" s="1301"/>
      <c r="L177" s="1302">
        <f t="shared" si="31"/>
        <v>0</v>
      </c>
      <c r="M177" s="1303"/>
      <c r="N177" s="1300">
        <v>3.99</v>
      </c>
      <c r="O177" s="1301"/>
      <c r="P177" s="1304">
        <f t="shared" si="32"/>
        <v>0</v>
      </c>
      <c r="Q177" s="1303"/>
      <c r="R177" s="1303" t="str">
        <f>IFERROR(INDEX('[18]Gui chi Quynh'!$E$11:$E$397,MATCH(B177,'[18]Gui chi Quynh'!$B$11:$B$397,0)),"")</f>
        <v>A4</v>
      </c>
      <c r="S177" s="1303">
        <f t="shared" si="33"/>
        <v>0.5</v>
      </c>
      <c r="T177" s="1303" t="str">
        <f>VLOOKUP(B177,'[19]Gui chi Quynh'!$B$11:$E$397,4,FALSE)</f>
        <v>A DN</v>
      </c>
      <c r="U177" s="1303">
        <f t="shared" si="34"/>
        <v>0</v>
      </c>
      <c r="V177" s="1303" t="str">
        <f>VLOOKUP(B177,'[20]Gui chi Quynh'!$B$11:$E$396,4,FALSE)</f>
        <v>B1</v>
      </c>
      <c r="W177" s="1303">
        <f t="shared" si="35"/>
        <v>0.35</v>
      </c>
      <c r="X177" s="1303">
        <f>IFERROR(INDEX('[21]CN BC'!$J$10:$J$275,MATCH(B177,'[21]CN BC'!$H$10:$H$275,0)),"")</f>
        <v>21</v>
      </c>
      <c r="Y177" s="1303">
        <f>IFERROR(INDEX('[22]CN BC'!$J$10:$J$274,MATCH(B177,'[22]CN BC'!$H$10:$H$274,0)),"")</f>
        <v>0</v>
      </c>
      <c r="Z177" s="1303">
        <f>VLOOKUP(B177,'[23]CN BC'!$H$10:$J$275,3,FALSE)</f>
        <v>19</v>
      </c>
      <c r="AA177" s="1305">
        <f t="shared" si="36"/>
        <v>21</v>
      </c>
      <c r="AB177" s="1305">
        <f t="shared" si="37"/>
        <v>0</v>
      </c>
      <c r="AC177" s="1305">
        <f t="shared" si="38"/>
        <v>19</v>
      </c>
      <c r="AD177" s="1306"/>
      <c r="AE177" s="1307">
        <f t="shared" si="39"/>
        <v>7530171</v>
      </c>
      <c r="AF177" s="1422">
        <f t="shared" si="28"/>
        <v>3.2180217948717948</v>
      </c>
      <c r="AG177" s="1366">
        <v>2340000</v>
      </c>
      <c r="AH177" s="1423">
        <f t="shared" si="29"/>
        <v>7530171</v>
      </c>
      <c r="AI177" s="1308">
        <f t="shared" si="40"/>
        <v>160</v>
      </c>
      <c r="AJ177" s="1309" t="s">
        <v>2366</v>
      </c>
      <c r="AK177" s="1011" t="str">
        <f>VLOOKUP(B177,TH.T4!B179:AC509,28,FALSE)</f>
        <v>CNTT</v>
      </c>
      <c r="AL177" s="1012"/>
      <c r="AM177" s="1012"/>
      <c r="AN177" s="1027"/>
      <c r="AO177" s="1012"/>
      <c r="AP177" s="1012"/>
      <c r="AQ177" s="1012"/>
      <c r="AR177" s="1012"/>
      <c r="AS177" s="1012"/>
      <c r="AT177" s="1012"/>
    </row>
    <row r="178" spans="1:50" s="1012" customFormat="1" ht="27" customHeight="1">
      <c r="A178" s="1014">
        <f>_xlfn.AGGREGATE(4,7,A$17:A177)+1</f>
        <v>161</v>
      </c>
      <c r="B178" s="1050" t="s">
        <v>1513</v>
      </c>
      <c r="C178" s="1029" t="s">
        <v>1747</v>
      </c>
      <c r="D178" s="1051" t="s">
        <v>1353</v>
      </c>
      <c r="E178" s="81" t="str">
        <f>VLOOKUP(B178,TH.T6!B90:J420,9,FALSE)</f>
        <v>Trưởng BM khoa CNTT</v>
      </c>
      <c r="F178" s="1056">
        <v>3.99</v>
      </c>
      <c r="G178" s="1053"/>
      <c r="H178" s="1247">
        <f t="shared" si="30"/>
        <v>0</v>
      </c>
      <c r="I178" s="1020">
        <v>0.45</v>
      </c>
      <c r="J178" s="1040">
        <v>3.99</v>
      </c>
      <c r="K178" s="1019"/>
      <c r="L178" s="1254">
        <f t="shared" si="31"/>
        <v>0</v>
      </c>
      <c r="M178" s="1020">
        <v>0.45</v>
      </c>
      <c r="N178" s="1040">
        <v>3.99</v>
      </c>
      <c r="O178" s="1019"/>
      <c r="P178" s="1255">
        <f t="shared" si="32"/>
        <v>0</v>
      </c>
      <c r="Q178" s="1020">
        <v>0.45</v>
      </c>
      <c r="R178" s="1020" t="str">
        <f>IFERROR(INDEX('[18]Gui chi Quynh'!$E$11:$E$397,MATCH(B178,'[18]Gui chi Quynh'!$B$11:$B$397,0)),"")</f>
        <v>A2</v>
      </c>
      <c r="S178" s="1020">
        <f t="shared" si="33"/>
        <v>0.7</v>
      </c>
      <c r="T178" s="1020" t="str">
        <f>VLOOKUP(B178,'[19]Gui chi Quynh'!$B$11:$E$397,4,FALSE)</f>
        <v>A2</v>
      </c>
      <c r="U178" s="1020">
        <f t="shared" si="34"/>
        <v>0.7</v>
      </c>
      <c r="V178" s="1020" t="str">
        <f>VLOOKUP(B178,'[20]Gui chi Quynh'!$B$11:$E$396,4,FALSE)</f>
        <v>A2</v>
      </c>
      <c r="W178" s="1020">
        <f t="shared" si="35"/>
        <v>0.7</v>
      </c>
      <c r="X178" s="1020">
        <f>IFERROR(INDEX('[21]CN BC'!$J$10:$J$275,MATCH(B178,'[21]CN BC'!$H$10:$H$275,0)),"")</f>
        <v>23</v>
      </c>
      <c r="Y178" s="1020">
        <f>IFERROR(INDEX('[22]CN BC'!$J$10:$J$274,MATCH(B178,'[22]CN BC'!$H$10:$H$274,0)),"")</f>
        <v>22</v>
      </c>
      <c r="Z178" s="1020">
        <f>VLOOKUP(B178,'[23]CN BC'!$H$10:$J$275,3,FALSE)</f>
        <v>20</v>
      </c>
      <c r="AA178" s="1021">
        <f t="shared" si="36"/>
        <v>23</v>
      </c>
      <c r="AB178" s="1021">
        <f t="shared" si="37"/>
        <v>22</v>
      </c>
      <c r="AC178" s="1021">
        <f t="shared" si="38"/>
        <v>19</v>
      </c>
      <c r="AD178" s="1022"/>
      <c r="AE178" s="1023">
        <f t="shared" si="39"/>
        <v>21818160</v>
      </c>
      <c r="AF178" s="1371">
        <f t="shared" si="28"/>
        <v>9.3239999999999998</v>
      </c>
      <c r="AG178" s="1102">
        <v>2340000</v>
      </c>
      <c r="AH178" s="1373">
        <f t="shared" si="29"/>
        <v>21818160</v>
      </c>
      <c r="AI178" s="1024">
        <f t="shared" si="40"/>
        <v>161</v>
      </c>
      <c r="AJ178" s="1025">
        <f>IFERROR(INDEX('[17]CN BC'!$M$10:$M$276,MATCH(B178,'[17]CN BC'!$H$10:$H$276,0)),"")</f>
        <v>0</v>
      </c>
      <c r="AK178" s="1011" t="str">
        <f>VLOOKUP(B178,TH.T4!B180:AC510,28,FALSE)</f>
        <v>CNTT</v>
      </c>
      <c r="AN178" s="1027"/>
    </row>
    <row r="179" spans="1:50" s="1028" customFormat="1" ht="30" customHeight="1">
      <c r="A179" s="1014">
        <f>_xlfn.AGGREGATE(4,7,A$17:A178)+1</f>
        <v>162</v>
      </c>
      <c r="B179" s="1093" t="s">
        <v>1514</v>
      </c>
      <c r="C179" s="1094" t="s">
        <v>1748</v>
      </c>
      <c r="D179" s="1212" t="s">
        <v>1354</v>
      </c>
      <c r="E179" s="554" t="str">
        <f>VLOOKUP(B179,TH.T6!B91:J421,9,FALSE)</f>
        <v>Giảng viên khoa CNTT</v>
      </c>
      <c r="F179" s="1224">
        <v>3.66</v>
      </c>
      <c r="G179" s="1096"/>
      <c r="H179" s="1249">
        <f t="shared" si="30"/>
        <v>0</v>
      </c>
      <c r="I179" s="1097"/>
      <c r="J179" s="1224">
        <v>3.66</v>
      </c>
      <c r="K179" s="1096"/>
      <c r="L179" s="1249">
        <f t="shared" si="31"/>
        <v>0</v>
      </c>
      <c r="M179" s="1097"/>
      <c r="N179" s="1224">
        <v>3.99</v>
      </c>
      <c r="O179" s="1096"/>
      <c r="P179" s="1250">
        <f t="shared" si="32"/>
        <v>0</v>
      </c>
      <c r="Q179" s="1097"/>
      <c r="R179" s="1097" t="str">
        <f>IFERROR(INDEX('[18]Gui chi Quynh'!$E$11:$E$397,MATCH(B179,'[18]Gui chi Quynh'!$B$11:$B$397,0)),"")</f>
        <v>A3</v>
      </c>
      <c r="S179" s="1097">
        <f t="shared" si="33"/>
        <v>0.6</v>
      </c>
      <c r="T179" s="1097" t="str">
        <f>VLOOKUP(B179,'[19]Gui chi Quynh'!$B$11:$E$397,4,FALSE)</f>
        <v>A DN</v>
      </c>
      <c r="U179" s="1097">
        <f t="shared" si="34"/>
        <v>0</v>
      </c>
      <c r="V179" s="1097" t="str">
        <f>VLOOKUP(B179,'[20]Gui chi Quynh'!$B$11:$E$396,4,FALSE)</f>
        <v>A3</v>
      </c>
      <c r="W179" s="1097">
        <f t="shared" si="35"/>
        <v>0.6</v>
      </c>
      <c r="X179" s="1097">
        <f>IFERROR(INDEX('[21]CN BC'!$J$10:$J$275,MATCH(B179,'[21]CN BC'!$H$10:$H$275,0)),"")</f>
        <v>21</v>
      </c>
      <c r="Y179" s="1097">
        <f>IFERROR(INDEX('[22]CN BC'!$J$10:$J$274,MATCH(B179,'[22]CN BC'!$H$10:$H$274,0)),"")</f>
        <v>0</v>
      </c>
      <c r="Z179" s="1097">
        <f>VLOOKUP(B179,'[23]CN BC'!$H$10:$J$275,3,FALSE)</f>
        <v>19</v>
      </c>
      <c r="AA179" s="1213">
        <f t="shared" si="36"/>
        <v>21</v>
      </c>
      <c r="AB179" s="1213">
        <f t="shared" si="37"/>
        <v>0</v>
      </c>
      <c r="AC179" s="1213">
        <f t="shared" si="38"/>
        <v>19</v>
      </c>
      <c r="AD179" s="1098"/>
      <c r="AE179" s="1214">
        <f t="shared" si="39"/>
        <v>10293762</v>
      </c>
      <c r="AF179" s="1400">
        <f t="shared" si="28"/>
        <v>4.3990435897435898</v>
      </c>
      <c r="AG179" s="1225">
        <v>2340000</v>
      </c>
      <c r="AH179" s="1401">
        <f t="shared" si="29"/>
        <v>10293762</v>
      </c>
      <c r="AI179" s="1099">
        <f t="shared" si="40"/>
        <v>162</v>
      </c>
      <c r="AJ179" s="1215" t="s">
        <v>2363</v>
      </c>
      <c r="AK179" s="1011" t="str">
        <f>VLOOKUP(B179,TH.T4!B181:AC511,28,FALSE)</f>
        <v>CNTT</v>
      </c>
      <c r="AL179" s="1012"/>
      <c r="AM179" s="1012"/>
      <c r="AN179" s="1038"/>
    </row>
    <row r="180" spans="1:50" s="1028" customFormat="1" ht="24.75" customHeight="1">
      <c r="A180" s="1014">
        <f>_xlfn.AGGREGATE(4,7,A$17:A179)+1</f>
        <v>163</v>
      </c>
      <c r="B180" s="1093" t="s">
        <v>1515</v>
      </c>
      <c r="C180" s="1094" t="s">
        <v>1749</v>
      </c>
      <c r="D180" s="1212" t="s">
        <v>1355</v>
      </c>
      <c r="E180" s="554" t="str">
        <f>VLOOKUP(B180,TH.T6!B92:J422,9,FALSE)</f>
        <v>Giảng viên khoa CNTT</v>
      </c>
      <c r="F180" s="1224">
        <v>3.66</v>
      </c>
      <c r="G180" s="1096"/>
      <c r="H180" s="1249">
        <f t="shared" si="30"/>
        <v>0</v>
      </c>
      <c r="I180" s="1097"/>
      <c r="J180" s="1224">
        <v>3.66</v>
      </c>
      <c r="K180" s="1096"/>
      <c r="L180" s="1249">
        <f t="shared" si="31"/>
        <v>0</v>
      </c>
      <c r="M180" s="1097"/>
      <c r="N180" s="1224">
        <v>3.99</v>
      </c>
      <c r="O180" s="1096"/>
      <c r="P180" s="1250">
        <f t="shared" si="32"/>
        <v>0</v>
      </c>
      <c r="Q180" s="1097"/>
      <c r="R180" s="1097" t="str">
        <f>IFERROR(INDEX('[18]Gui chi Quynh'!$E$11:$E$397,MATCH(B180,'[18]Gui chi Quynh'!$B$11:$B$397,0)),"")</f>
        <v>A3</v>
      </c>
      <c r="S180" s="1097">
        <f t="shared" si="33"/>
        <v>0.6</v>
      </c>
      <c r="T180" s="1097" t="str">
        <f>VLOOKUP(B180,'[19]Gui chi Quynh'!$B$11:$E$397,4,FALSE)</f>
        <v>A DN</v>
      </c>
      <c r="U180" s="1097">
        <f t="shared" si="34"/>
        <v>0</v>
      </c>
      <c r="V180" s="1097" t="str">
        <f>VLOOKUP(B180,'[20]Gui chi Quynh'!$B$11:$E$396,4,FALSE)</f>
        <v>A3</v>
      </c>
      <c r="W180" s="1097">
        <f t="shared" si="35"/>
        <v>0.6</v>
      </c>
      <c r="X180" s="1097">
        <f>IFERROR(INDEX('[21]CN BC'!$J$10:$J$275,MATCH(B180,'[21]CN BC'!$H$10:$H$275,0)),"")</f>
        <v>21</v>
      </c>
      <c r="Y180" s="1097">
        <f>IFERROR(INDEX('[22]CN BC'!$J$10:$J$274,MATCH(B180,'[22]CN BC'!$H$10:$H$274,0)),"")</f>
        <v>0</v>
      </c>
      <c r="Z180" s="1097">
        <f>VLOOKUP(B180,'[23]CN BC'!$H$10:$J$275,3,FALSE)</f>
        <v>19</v>
      </c>
      <c r="AA180" s="1213">
        <f t="shared" si="36"/>
        <v>21</v>
      </c>
      <c r="AB180" s="1213">
        <f t="shared" si="37"/>
        <v>0</v>
      </c>
      <c r="AC180" s="1213">
        <f t="shared" si="38"/>
        <v>19</v>
      </c>
      <c r="AD180" s="1098"/>
      <c r="AE180" s="1214">
        <f t="shared" si="39"/>
        <v>10293762</v>
      </c>
      <c r="AF180" s="1400">
        <f t="shared" si="28"/>
        <v>4.3990435897435898</v>
      </c>
      <c r="AG180" s="1225">
        <v>2340000</v>
      </c>
      <c r="AH180" s="1401">
        <f t="shared" si="29"/>
        <v>10293762</v>
      </c>
      <c r="AI180" s="1099">
        <f t="shared" si="40"/>
        <v>163</v>
      </c>
      <c r="AJ180" s="1215">
        <f>IFERROR(INDEX('[17]CN BC'!$M$10:$M$276,MATCH(B180,'[17]CN BC'!$H$10:$H$276,0)),"")</f>
        <v>0</v>
      </c>
      <c r="AK180" s="1011" t="str">
        <f>VLOOKUP(B180,TH.T4!B182:AC512,28,FALSE)</f>
        <v>CNTT</v>
      </c>
      <c r="AL180" s="1012"/>
      <c r="AM180" s="1012"/>
      <c r="AN180" s="1027"/>
      <c r="AO180" s="1012"/>
      <c r="AP180" s="1012"/>
      <c r="AQ180" s="1012"/>
      <c r="AR180" s="1012"/>
      <c r="AS180" s="1012"/>
      <c r="AT180" s="1012"/>
    </row>
    <row r="181" spans="1:50" s="1012" customFormat="1" ht="24.75" customHeight="1">
      <c r="A181" s="1014">
        <f>_xlfn.AGGREGATE(4,7,A$17:A180)+1</f>
        <v>164</v>
      </c>
      <c r="B181" s="1050" t="s">
        <v>1516</v>
      </c>
      <c r="C181" s="1029" t="s">
        <v>1750</v>
      </c>
      <c r="D181" s="1051" t="s">
        <v>1356</v>
      </c>
      <c r="E181" s="81" t="str">
        <f>VLOOKUP(B181,TH.T6!B93:J423,9,FALSE)</f>
        <v>Giảng viên khoa CNTT</v>
      </c>
      <c r="F181" s="1040">
        <v>3.66</v>
      </c>
      <c r="G181" s="1053"/>
      <c r="H181" s="1247">
        <f t="shared" si="30"/>
        <v>0</v>
      </c>
      <c r="I181" s="1054"/>
      <c r="J181" s="1040">
        <v>3.66</v>
      </c>
      <c r="K181" s="1053"/>
      <c r="L181" s="1247">
        <f t="shared" si="31"/>
        <v>0</v>
      </c>
      <c r="M181" s="1054"/>
      <c r="N181" s="1040">
        <v>3.66</v>
      </c>
      <c r="O181" s="1053"/>
      <c r="P181" s="1248">
        <f t="shared" si="32"/>
        <v>0</v>
      </c>
      <c r="Q181" s="1054"/>
      <c r="R181" s="1020" t="str">
        <f>IFERROR(INDEX('[18]Gui chi Quynh'!$E$11:$E$397,MATCH(B181,'[18]Gui chi Quynh'!$B$11:$B$397,0)),"")</f>
        <v>A3</v>
      </c>
      <c r="S181" s="1020">
        <f t="shared" si="33"/>
        <v>0.6</v>
      </c>
      <c r="T181" s="1020" t="str">
        <f>VLOOKUP(B181,'[19]Gui chi Quynh'!$B$11:$E$397,4,FALSE)</f>
        <v>A DN</v>
      </c>
      <c r="U181" s="1020">
        <f t="shared" si="34"/>
        <v>0</v>
      </c>
      <c r="V181" s="1020" t="str">
        <f>VLOOKUP(B181,'[20]Gui chi Quynh'!$B$11:$E$396,4,FALSE)</f>
        <v>A3</v>
      </c>
      <c r="W181" s="1020">
        <f t="shared" si="35"/>
        <v>0.6</v>
      </c>
      <c r="X181" s="1020">
        <f>IFERROR(INDEX('[21]CN BC'!$J$10:$J$275,MATCH(B181,'[21]CN BC'!$H$10:$H$275,0)),"")</f>
        <v>21</v>
      </c>
      <c r="Y181" s="1020">
        <f>IFERROR(INDEX('[22]CN BC'!$J$10:$J$274,MATCH(B181,'[22]CN BC'!$H$10:$H$274,0)),"")</f>
        <v>0</v>
      </c>
      <c r="Z181" s="1020">
        <f>VLOOKUP(B181,'[23]CN BC'!$H$10:$J$275,3,FALSE)</f>
        <v>19</v>
      </c>
      <c r="AA181" s="1021">
        <f t="shared" si="36"/>
        <v>21</v>
      </c>
      <c r="AB181" s="1021">
        <f t="shared" si="37"/>
        <v>0</v>
      </c>
      <c r="AC181" s="1021">
        <f t="shared" si="38"/>
        <v>19</v>
      </c>
      <c r="AD181" s="1022"/>
      <c r="AE181" s="1023">
        <f t="shared" si="39"/>
        <v>9830442</v>
      </c>
      <c r="AF181" s="1371">
        <f t="shared" si="28"/>
        <v>4.2010435897435894</v>
      </c>
      <c r="AG181" s="1102">
        <v>2340000</v>
      </c>
      <c r="AH181" s="1373">
        <f t="shared" si="29"/>
        <v>9830442</v>
      </c>
      <c r="AI181" s="1024">
        <f t="shared" si="40"/>
        <v>164</v>
      </c>
      <c r="AJ181" s="1025">
        <f>IFERROR(INDEX('[17]CN BC'!$M$10:$M$276,MATCH(B181,'[17]CN BC'!$H$10:$H$276,0)),"")</f>
        <v>0</v>
      </c>
      <c r="AK181" s="1011" t="str">
        <f>VLOOKUP(B181,TH.T4!B183:AC513,28,FALSE)</f>
        <v>CNTT</v>
      </c>
      <c r="AN181" s="1027"/>
    </row>
    <row r="182" spans="1:50" s="1012" customFormat="1" ht="26.25" customHeight="1">
      <c r="A182" s="1014">
        <f>_xlfn.AGGREGATE(4,7,A$17:A181)+1</f>
        <v>165</v>
      </c>
      <c r="B182" s="1050" t="s">
        <v>1883</v>
      </c>
      <c r="C182" s="1029" t="s">
        <v>1751</v>
      </c>
      <c r="D182" s="1051" t="s">
        <v>381</v>
      </c>
      <c r="E182" s="81" t="str">
        <f>VLOOKUP(B182,TH.T6!B94:J424,9,FALSE)</f>
        <v>Phó Trưởng khoa CNTT</v>
      </c>
      <c r="F182" s="1056">
        <v>3.99</v>
      </c>
      <c r="G182" s="1053"/>
      <c r="H182" s="1247">
        <f t="shared" si="30"/>
        <v>0</v>
      </c>
      <c r="I182" s="1054">
        <v>0.35</v>
      </c>
      <c r="J182" s="1056">
        <v>3.99</v>
      </c>
      <c r="K182" s="1053"/>
      <c r="L182" s="1247">
        <f t="shared" si="31"/>
        <v>0</v>
      </c>
      <c r="M182" s="1054">
        <v>0.35</v>
      </c>
      <c r="N182" s="1056">
        <v>3.99</v>
      </c>
      <c r="O182" s="1053"/>
      <c r="P182" s="1248">
        <f t="shared" si="32"/>
        <v>0</v>
      </c>
      <c r="Q182" s="1054">
        <v>0.35</v>
      </c>
      <c r="R182" s="1020" t="str">
        <f>IFERROR(INDEX('[18]Gui chi Quynh'!$E$11:$E$397,MATCH(B182,'[18]Gui chi Quynh'!$B$11:$B$397,0)),"")</f>
        <v>A4</v>
      </c>
      <c r="S182" s="1020">
        <f t="shared" si="33"/>
        <v>0.5</v>
      </c>
      <c r="T182" s="1020" t="str">
        <f>VLOOKUP(B182,'[19]Gui chi Quynh'!$B$11:$E$397,4,FALSE)</f>
        <v>A4</v>
      </c>
      <c r="U182" s="1020">
        <f t="shared" si="34"/>
        <v>0.5</v>
      </c>
      <c r="V182" s="1020" t="str">
        <f>VLOOKUP(B182,'[20]Gui chi Quynh'!$B$11:$E$396,4,FALSE)</f>
        <v>A3</v>
      </c>
      <c r="W182" s="1020">
        <f t="shared" si="35"/>
        <v>0.6</v>
      </c>
      <c r="X182" s="1020">
        <f>IFERROR(INDEX('[21]CN BC'!$J$10:$J$275,MATCH(B182,'[21]CN BC'!$H$10:$H$275,0)),"")</f>
        <v>23</v>
      </c>
      <c r="Y182" s="1020">
        <f>IFERROR(INDEX('[22]CN BC'!$J$10:$J$274,MATCH(B182,'[22]CN BC'!$H$10:$H$274,0)),"")</f>
        <v>15</v>
      </c>
      <c r="Z182" s="1020">
        <f>VLOOKUP(B182,'[23]CN BC'!$H$10:$J$275,3,FALSE)</f>
        <v>19</v>
      </c>
      <c r="AA182" s="1021">
        <f t="shared" si="36"/>
        <v>23</v>
      </c>
      <c r="AB182" s="1021">
        <f t="shared" si="37"/>
        <v>15</v>
      </c>
      <c r="AC182" s="1021">
        <f t="shared" si="38"/>
        <v>19</v>
      </c>
      <c r="AD182" s="1022"/>
      <c r="AE182" s="1023">
        <f t="shared" si="39"/>
        <v>14633296</v>
      </c>
      <c r="AF182" s="1371">
        <f t="shared" si="28"/>
        <v>6.2535452991452996</v>
      </c>
      <c r="AG182" s="1102">
        <v>2340000</v>
      </c>
      <c r="AH182" s="1373">
        <f t="shared" si="29"/>
        <v>14633296.000000002</v>
      </c>
      <c r="AI182" s="1024">
        <f t="shared" si="40"/>
        <v>165</v>
      </c>
      <c r="AJ182" s="1025">
        <f>IFERROR(INDEX('[17]CN BC'!$M$10:$M$276,MATCH(B182,'[17]CN BC'!$H$10:$H$276,0)),"")</f>
        <v>0</v>
      </c>
      <c r="AK182" s="1011" t="str">
        <f>VLOOKUP(B182,TH.T4!B184:AC514,28,FALSE)</f>
        <v>CNTT</v>
      </c>
      <c r="AN182" s="1027"/>
    </row>
    <row r="183" spans="1:50" s="1028" customFormat="1" ht="23.25" customHeight="1">
      <c r="A183" s="1014">
        <f>_xlfn.AGGREGATE(4,7,A$17:A182)+1</f>
        <v>166</v>
      </c>
      <c r="B183" s="1015" t="s">
        <v>1833</v>
      </c>
      <c r="C183" s="1033" t="s">
        <v>1966</v>
      </c>
      <c r="D183" s="1103">
        <v>1603215005649</v>
      </c>
      <c r="E183" s="81" t="str">
        <f>VLOOKUP(B183,TH.T6!B95:J425,9,FALSE)</f>
        <v>Giảng viên khoa CNTT</v>
      </c>
      <c r="F183" s="1040">
        <v>3.66</v>
      </c>
      <c r="G183" s="1019"/>
      <c r="H183" s="1247">
        <f t="shared" si="30"/>
        <v>0</v>
      </c>
      <c r="I183" s="1020"/>
      <c r="J183" s="1040">
        <v>3.66</v>
      </c>
      <c r="K183" s="1019"/>
      <c r="L183" s="1247">
        <f t="shared" si="31"/>
        <v>0</v>
      </c>
      <c r="M183" s="1020"/>
      <c r="N183" s="1040">
        <v>3.66</v>
      </c>
      <c r="O183" s="1019"/>
      <c r="P183" s="1248">
        <f t="shared" si="32"/>
        <v>0</v>
      </c>
      <c r="Q183" s="1020"/>
      <c r="R183" s="1020" t="str">
        <f>IFERROR(INDEX('[18]Gui chi Quynh'!$E$11:$E$397,MATCH(B183,'[18]Gui chi Quynh'!$B$11:$B$397,0)),"")</f>
        <v>A4</v>
      </c>
      <c r="S183" s="1020">
        <f t="shared" si="33"/>
        <v>0.5</v>
      </c>
      <c r="T183" s="1020" t="str">
        <f>VLOOKUP(B183,'[19]Gui chi Quynh'!$B$11:$E$397,4,FALSE)</f>
        <v>A DN</v>
      </c>
      <c r="U183" s="1020">
        <f t="shared" si="34"/>
        <v>0</v>
      </c>
      <c r="V183" s="1020" t="str">
        <f>VLOOKUP(B183,'[20]Gui chi Quynh'!$B$11:$E$396,4,FALSE)</f>
        <v>A3</v>
      </c>
      <c r="W183" s="1020">
        <f t="shared" si="35"/>
        <v>0.6</v>
      </c>
      <c r="X183" s="1020">
        <f>IFERROR(INDEX('[21]CN BC'!$J$10:$J$275,MATCH(B183,'[21]CN BC'!$H$10:$H$275,0)),"")</f>
        <v>21</v>
      </c>
      <c r="Y183" s="1020">
        <f>IFERROR(INDEX('[22]CN BC'!$J$10:$J$274,MATCH(B183,'[22]CN BC'!$H$10:$H$274,0)),"")</f>
        <v>0</v>
      </c>
      <c r="Z183" s="1020">
        <f>VLOOKUP(B183,'[23]CN BC'!$H$10:$J$275,3,FALSE)</f>
        <v>19</v>
      </c>
      <c r="AA183" s="1021">
        <f t="shared" si="36"/>
        <v>21</v>
      </c>
      <c r="AB183" s="1021">
        <f t="shared" si="37"/>
        <v>0</v>
      </c>
      <c r="AC183" s="1021">
        <f t="shared" si="38"/>
        <v>19</v>
      </c>
      <c r="AD183" s="1022"/>
      <c r="AE183" s="1023">
        <f t="shared" si="39"/>
        <v>9048475</v>
      </c>
      <c r="AF183" s="1371">
        <f t="shared" si="28"/>
        <v>3.8668696581196582</v>
      </c>
      <c r="AG183" s="1102">
        <v>2340000</v>
      </c>
      <c r="AH183" s="1373">
        <f t="shared" si="29"/>
        <v>9048475</v>
      </c>
      <c r="AI183" s="1024">
        <f t="shared" si="40"/>
        <v>166</v>
      </c>
      <c r="AJ183" s="1025">
        <f>IFERROR(INDEX('[17]CN BC'!$M$10:$M$276,MATCH(B183,'[17]CN BC'!$H$10:$H$276,0)),"")</f>
        <v>0</v>
      </c>
      <c r="AK183" s="1011" t="str">
        <f>VLOOKUP(B183,TH.T4!B185:AC515,28,FALSE)</f>
        <v>CNTT</v>
      </c>
      <c r="AL183" s="1012"/>
      <c r="AM183" s="1012"/>
      <c r="AN183" s="1027"/>
    </row>
    <row r="184" spans="1:50" s="1028" customFormat="1" ht="29.25" customHeight="1">
      <c r="A184" s="1014">
        <f>_xlfn.AGGREGATE(4,7,A$17:A183)+1</f>
        <v>167</v>
      </c>
      <c r="B184" s="1015" t="s">
        <v>1884</v>
      </c>
      <c r="C184" s="1029" t="s">
        <v>1752</v>
      </c>
      <c r="D184" s="1034" t="s">
        <v>1345</v>
      </c>
      <c r="E184" s="81" t="str">
        <f>VLOOKUP(B184,TH.T6!B96:J426,9,FALSE)</f>
        <v>Giảng viên khoa CNTT</v>
      </c>
      <c r="F184" s="1040">
        <v>3.99</v>
      </c>
      <c r="G184" s="1019"/>
      <c r="H184" s="1247">
        <f t="shared" si="30"/>
        <v>0</v>
      </c>
      <c r="I184" s="1020">
        <v>0.25</v>
      </c>
      <c r="J184" s="1040">
        <v>3.99</v>
      </c>
      <c r="K184" s="1019"/>
      <c r="L184" s="1247">
        <f t="shared" si="31"/>
        <v>0</v>
      </c>
      <c r="M184" s="1020">
        <v>0.25</v>
      </c>
      <c r="N184" s="1040">
        <v>3.99</v>
      </c>
      <c r="O184" s="1019"/>
      <c r="P184" s="1248">
        <f t="shared" si="32"/>
        <v>0</v>
      </c>
      <c r="Q184" s="1020">
        <v>0.25</v>
      </c>
      <c r="R184" s="1020" t="str">
        <f>IFERROR(INDEX('[18]Gui chi Quynh'!$E$11:$E$397,MATCH(B184,'[18]Gui chi Quynh'!$B$11:$B$397,0)),"")</f>
        <v>A4</v>
      </c>
      <c r="S184" s="1020">
        <f t="shared" si="33"/>
        <v>0.5</v>
      </c>
      <c r="T184" s="1020" t="str">
        <f>VLOOKUP(B184,'[19]Gui chi Quynh'!$B$11:$E$397,4,FALSE)</f>
        <v>A DN</v>
      </c>
      <c r="U184" s="1020">
        <f t="shared" si="34"/>
        <v>0</v>
      </c>
      <c r="V184" s="1020" t="str">
        <f>VLOOKUP(B184,'[20]Gui chi Quynh'!$B$11:$E$396,4,FALSE)</f>
        <v>A3</v>
      </c>
      <c r="W184" s="1020">
        <f t="shared" si="35"/>
        <v>0.6</v>
      </c>
      <c r="X184" s="1020">
        <f>IFERROR(INDEX('[21]CN BC'!$J$10:$J$275,MATCH(B184,'[21]CN BC'!$H$10:$H$275,0)),"")</f>
        <v>23</v>
      </c>
      <c r="Y184" s="1020">
        <f>IFERROR(INDEX('[22]CN BC'!$J$10:$J$274,MATCH(B184,'[22]CN BC'!$H$10:$H$274,0)),"")</f>
        <v>0</v>
      </c>
      <c r="Z184" s="1020">
        <f>VLOOKUP(B184,'[23]CN BC'!$H$10:$J$275,3,FALSE)</f>
        <v>19</v>
      </c>
      <c r="AA184" s="1021">
        <f t="shared" si="36"/>
        <v>23</v>
      </c>
      <c r="AB184" s="1021">
        <f t="shared" si="37"/>
        <v>0</v>
      </c>
      <c r="AC184" s="1021">
        <f t="shared" si="38"/>
        <v>19</v>
      </c>
      <c r="AD184" s="1022"/>
      <c r="AE184" s="1023">
        <f t="shared" si="39"/>
        <v>10913760</v>
      </c>
      <c r="AF184" s="1371">
        <f t="shared" si="28"/>
        <v>4.6639999999999997</v>
      </c>
      <c r="AG184" s="1102">
        <v>2340000</v>
      </c>
      <c r="AH184" s="1373">
        <f t="shared" si="29"/>
        <v>10913760</v>
      </c>
      <c r="AI184" s="1024">
        <f t="shared" si="40"/>
        <v>167</v>
      </c>
      <c r="AJ184" s="1025">
        <f>IFERROR(INDEX('[17]CN BC'!$M$10:$M$276,MATCH(B184,'[17]CN BC'!$H$10:$H$276,0)),"")</f>
        <v>0</v>
      </c>
      <c r="AK184" s="1011" t="str">
        <f>VLOOKUP(B184,TH.T4!B186:AC516,28,FALSE)</f>
        <v>CNTT</v>
      </c>
      <c r="AL184" s="1012"/>
      <c r="AM184" s="1012"/>
      <c r="AN184" s="1027"/>
      <c r="AO184" s="1012"/>
      <c r="AP184" s="1012"/>
      <c r="AQ184" s="1012"/>
      <c r="AR184" s="1012"/>
      <c r="AS184" s="1012"/>
      <c r="AT184" s="1012"/>
      <c r="AU184" s="1012"/>
      <c r="AV184" s="1012"/>
      <c r="AW184" s="1012"/>
      <c r="AX184" s="1012"/>
    </row>
    <row r="185" spans="1:50" s="1028" customFormat="1" ht="29.25" customHeight="1">
      <c r="A185" s="1014">
        <f>_xlfn.AGGREGATE(4,7,A$17:A184)+1</f>
        <v>168</v>
      </c>
      <c r="B185" s="1093" t="s">
        <v>1517</v>
      </c>
      <c r="C185" s="1094" t="s">
        <v>1753</v>
      </c>
      <c r="D185" s="1227">
        <v>1603205286594</v>
      </c>
      <c r="E185" s="554" t="str">
        <f>VLOOKUP(B185,TH.T6!B97:J427,9,FALSE)</f>
        <v>Giảng viên khoa CNTT</v>
      </c>
      <c r="F185" s="1224">
        <v>3.33</v>
      </c>
      <c r="G185" s="1096"/>
      <c r="H185" s="1249">
        <f t="shared" si="30"/>
        <v>0</v>
      </c>
      <c r="I185" s="1097"/>
      <c r="J185" s="1224">
        <v>3.33</v>
      </c>
      <c r="K185" s="1096"/>
      <c r="L185" s="1249">
        <f t="shared" si="31"/>
        <v>0</v>
      </c>
      <c r="M185" s="1097"/>
      <c r="N185" s="1224">
        <v>3.66</v>
      </c>
      <c r="O185" s="1096"/>
      <c r="P185" s="1250">
        <f t="shared" si="32"/>
        <v>0</v>
      </c>
      <c r="Q185" s="1097"/>
      <c r="R185" s="1097" t="str">
        <f>IFERROR(INDEX('[18]Gui chi Quynh'!$E$11:$E$397,MATCH(B185,'[18]Gui chi Quynh'!$B$11:$B$397,0)),"")</f>
        <v>A3</v>
      </c>
      <c r="S185" s="1097">
        <f t="shared" si="33"/>
        <v>0.6</v>
      </c>
      <c r="T185" s="1097" t="str">
        <f>VLOOKUP(B185,'[19]Gui chi Quynh'!$B$11:$E$397,4,FALSE)</f>
        <v>A DN</v>
      </c>
      <c r="U185" s="1097">
        <f t="shared" si="34"/>
        <v>0</v>
      </c>
      <c r="V185" s="1097" t="str">
        <f>VLOOKUP(B185,'[20]Gui chi Quynh'!$B$11:$E$396,4,FALSE)</f>
        <v>A3</v>
      </c>
      <c r="W185" s="1097">
        <f t="shared" si="35"/>
        <v>0.6</v>
      </c>
      <c r="X185" s="1097">
        <f>IFERROR(INDEX('[21]CN BC'!$J$10:$J$275,MATCH(B185,'[21]CN BC'!$H$10:$H$275,0)),"")</f>
        <v>23</v>
      </c>
      <c r="Y185" s="1097">
        <f>IFERROR(INDEX('[22]CN BC'!$J$10:$J$274,MATCH(B185,'[22]CN BC'!$H$10:$H$274,0)),"")</f>
        <v>0</v>
      </c>
      <c r="Z185" s="1097">
        <f>VLOOKUP(B185,'[23]CN BC'!$H$10:$J$275,3,FALSE)</f>
        <v>19</v>
      </c>
      <c r="AA185" s="1213">
        <f t="shared" si="36"/>
        <v>23</v>
      </c>
      <c r="AB185" s="1213">
        <f t="shared" si="37"/>
        <v>0</v>
      </c>
      <c r="AC185" s="1213">
        <f t="shared" si="38"/>
        <v>19</v>
      </c>
      <c r="AD185" s="1098"/>
      <c r="AE185" s="1214">
        <f t="shared" si="39"/>
        <v>9813960</v>
      </c>
      <c r="AF185" s="1400">
        <f t="shared" si="28"/>
        <v>4.194</v>
      </c>
      <c r="AG185" s="1225">
        <v>2340000</v>
      </c>
      <c r="AH185" s="1401">
        <f t="shared" si="29"/>
        <v>9813960</v>
      </c>
      <c r="AI185" s="1099">
        <f t="shared" si="40"/>
        <v>168</v>
      </c>
      <c r="AJ185" s="1215" t="s">
        <v>2363</v>
      </c>
      <c r="AK185" s="1011" t="str">
        <f>VLOOKUP(B185,TH.T4!B187:AC517,28,FALSE)</f>
        <v>CNTT</v>
      </c>
      <c r="AL185" s="1012"/>
      <c r="AM185" s="1012"/>
      <c r="AN185" s="1038"/>
    </row>
    <row r="186" spans="1:50" s="1028" customFormat="1" ht="28.5" customHeight="1">
      <c r="A186" s="1014">
        <f>_xlfn.AGGREGATE(4,7,A$17:A185)+1</f>
        <v>169</v>
      </c>
      <c r="B186" s="1093" t="s">
        <v>1518</v>
      </c>
      <c r="C186" s="1094" t="s">
        <v>1754</v>
      </c>
      <c r="D186" s="1212" t="s">
        <v>1346</v>
      </c>
      <c r="E186" s="554" t="str">
        <f>VLOOKUP(B186,TH.T6!B98:J428,9,FALSE)</f>
        <v>Giảng viên khoa CNTT</v>
      </c>
      <c r="F186" s="1095">
        <v>3.99</v>
      </c>
      <c r="G186" s="1096"/>
      <c r="H186" s="1249">
        <f t="shared" si="30"/>
        <v>0</v>
      </c>
      <c r="I186" s="1097"/>
      <c r="J186" s="1095">
        <v>3.99</v>
      </c>
      <c r="K186" s="1096"/>
      <c r="L186" s="1249">
        <f t="shared" si="31"/>
        <v>0</v>
      </c>
      <c r="M186" s="1097"/>
      <c r="N186" s="1095">
        <v>4.32</v>
      </c>
      <c r="O186" s="1096"/>
      <c r="P186" s="1250">
        <f t="shared" si="32"/>
        <v>0</v>
      </c>
      <c r="Q186" s="1097"/>
      <c r="R186" s="1097" t="str">
        <f>IFERROR(INDEX('[18]Gui chi Quynh'!$E$11:$E$397,MATCH(B186,'[18]Gui chi Quynh'!$B$11:$B$397,0)),"")</f>
        <v>A4</v>
      </c>
      <c r="S186" s="1097">
        <f t="shared" si="33"/>
        <v>0.5</v>
      </c>
      <c r="T186" s="1097" t="str">
        <f>VLOOKUP(B186,'[19]Gui chi Quynh'!$B$11:$E$397,4,FALSE)</f>
        <v>A DN</v>
      </c>
      <c r="U186" s="1097">
        <f t="shared" si="34"/>
        <v>0</v>
      </c>
      <c r="V186" s="1097" t="str">
        <f>VLOOKUP(B186,'[20]Gui chi Quynh'!$B$11:$E$396,4,FALSE)</f>
        <v>A3</v>
      </c>
      <c r="W186" s="1097">
        <f t="shared" si="35"/>
        <v>0.6</v>
      </c>
      <c r="X186" s="1097">
        <f>IFERROR(INDEX('[21]CN BC'!$J$10:$J$275,MATCH(B186,'[21]CN BC'!$H$10:$H$275,0)),"")</f>
        <v>23</v>
      </c>
      <c r="Y186" s="1097">
        <f>IFERROR(INDEX('[22]CN BC'!$J$10:$J$274,MATCH(B186,'[22]CN BC'!$H$10:$H$274,0)),"")</f>
        <v>0</v>
      </c>
      <c r="Z186" s="1097">
        <f>VLOOKUP(B186,'[23]CN BC'!$H$10:$J$275,3,FALSE)</f>
        <v>19</v>
      </c>
      <c r="AA186" s="1213">
        <f t="shared" si="36"/>
        <v>23</v>
      </c>
      <c r="AB186" s="1213">
        <f t="shared" si="37"/>
        <v>0</v>
      </c>
      <c r="AC186" s="1213">
        <f t="shared" si="38"/>
        <v>19</v>
      </c>
      <c r="AD186" s="1098"/>
      <c r="AE186" s="1214">
        <f t="shared" si="39"/>
        <v>10733580</v>
      </c>
      <c r="AF186" s="1400">
        <f t="shared" si="28"/>
        <v>4.5869999999999997</v>
      </c>
      <c r="AG186" s="1225">
        <v>2340000</v>
      </c>
      <c r="AH186" s="1401">
        <f t="shared" si="29"/>
        <v>10733580</v>
      </c>
      <c r="AI186" s="1099">
        <f t="shared" si="40"/>
        <v>169</v>
      </c>
      <c r="AJ186" s="1215" t="s">
        <v>2363</v>
      </c>
      <c r="AK186" s="1011" t="str">
        <f>VLOOKUP(B186,TH.T4!B188:AC518,28,FALSE)</f>
        <v>CNTT</v>
      </c>
      <c r="AL186" s="1012"/>
      <c r="AM186" s="1012"/>
      <c r="AN186" s="1027"/>
      <c r="AO186" s="1012"/>
      <c r="AP186" s="1012"/>
      <c r="AQ186" s="1012"/>
      <c r="AR186" s="1012"/>
      <c r="AS186" s="1012"/>
      <c r="AT186" s="1012"/>
      <c r="AU186" s="1012"/>
      <c r="AV186" s="1012"/>
      <c r="AW186" s="1012"/>
      <c r="AX186" s="1012"/>
    </row>
    <row r="187" spans="1:50" s="1028" customFormat="1" ht="28.5" customHeight="1">
      <c r="A187" s="1014">
        <f>_xlfn.AGGREGATE(4,7,A$17:A186)+1</f>
        <v>170</v>
      </c>
      <c r="B187" s="1093" t="s">
        <v>1519</v>
      </c>
      <c r="C187" s="1094" t="s">
        <v>1755</v>
      </c>
      <c r="D187" s="1212" t="s">
        <v>771</v>
      </c>
      <c r="E187" s="554" t="str">
        <f>VLOOKUP(B187,TH.T6!B99:J429,9,FALSE)</f>
        <v>Giảng viên khoa CNTT</v>
      </c>
      <c r="F187" s="1224">
        <v>3.66</v>
      </c>
      <c r="G187" s="1096"/>
      <c r="H187" s="1249">
        <f t="shared" si="30"/>
        <v>0</v>
      </c>
      <c r="I187" s="1097"/>
      <c r="J187" s="1224">
        <v>3.66</v>
      </c>
      <c r="K187" s="1096"/>
      <c r="L187" s="1249">
        <f t="shared" si="31"/>
        <v>0</v>
      </c>
      <c r="M187" s="1097"/>
      <c r="N187" s="1224">
        <v>3.99</v>
      </c>
      <c r="O187" s="1096"/>
      <c r="P187" s="1250">
        <f t="shared" si="32"/>
        <v>0</v>
      </c>
      <c r="Q187" s="1097"/>
      <c r="R187" s="1097" t="str">
        <f>IFERROR(INDEX('[18]Gui chi Quynh'!$E$11:$E$397,MATCH(B187,'[18]Gui chi Quynh'!$B$11:$B$397,0)),"")</f>
        <v>A3</v>
      </c>
      <c r="S187" s="1097">
        <f t="shared" si="33"/>
        <v>0.6</v>
      </c>
      <c r="T187" s="1097" t="str">
        <f>VLOOKUP(B187,'[19]Gui chi Quynh'!$B$11:$E$397,4,FALSE)</f>
        <v>A DN</v>
      </c>
      <c r="U187" s="1097">
        <f t="shared" si="34"/>
        <v>0</v>
      </c>
      <c r="V187" s="1097" t="str">
        <f>VLOOKUP(B187,'[20]Gui chi Quynh'!$B$11:$E$396,4,FALSE)</f>
        <v>A3</v>
      </c>
      <c r="W187" s="1097">
        <f t="shared" si="35"/>
        <v>0.6</v>
      </c>
      <c r="X187" s="1097">
        <f>IFERROR(INDEX('[21]CN BC'!$J$10:$J$275,MATCH(B187,'[21]CN BC'!$H$10:$H$275,0)),"")</f>
        <v>21</v>
      </c>
      <c r="Y187" s="1097">
        <f>IFERROR(INDEX('[22]CN BC'!$J$10:$J$274,MATCH(B187,'[22]CN BC'!$H$10:$H$274,0)),"")</f>
        <v>0</v>
      </c>
      <c r="Z187" s="1097">
        <f>VLOOKUP(B187,'[23]CN BC'!$H$10:$J$275,3,FALSE)</f>
        <v>19</v>
      </c>
      <c r="AA187" s="1213">
        <f t="shared" si="36"/>
        <v>21</v>
      </c>
      <c r="AB187" s="1213">
        <f t="shared" si="37"/>
        <v>0</v>
      </c>
      <c r="AC187" s="1213">
        <f t="shared" si="38"/>
        <v>19</v>
      </c>
      <c r="AD187" s="1098"/>
      <c r="AE187" s="1214">
        <f t="shared" si="39"/>
        <v>10293762</v>
      </c>
      <c r="AF187" s="1400">
        <f t="shared" si="28"/>
        <v>4.3990435897435898</v>
      </c>
      <c r="AG187" s="1225">
        <v>2340000</v>
      </c>
      <c r="AH187" s="1401">
        <f t="shared" si="29"/>
        <v>10293762</v>
      </c>
      <c r="AI187" s="1099">
        <f t="shared" si="40"/>
        <v>170</v>
      </c>
      <c r="AJ187" s="1215" t="s">
        <v>2363</v>
      </c>
      <c r="AK187" s="1011" t="str">
        <f>VLOOKUP(B187,TH.T4!B189:AC519,28,FALSE)</f>
        <v>CNTT</v>
      </c>
      <c r="AL187" s="1012"/>
      <c r="AM187" s="1012"/>
      <c r="AN187" s="1027"/>
      <c r="AO187" s="1012"/>
      <c r="AP187" s="1012"/>
      <c r="AQ187" s="1012"/>
      <c r="AR187" s="1012"/>
      <c r="AS187" s="1012"/>
      <c r="AT187" s="1012"/>
      <c r="AU187" s="1012"/>
      <c r="AV187" s="1012"/>
      <c r="AW187" s="1012"/>
      <c r="AX187" s="1012"/>
    </row>
    <row r="188" spans="1:50" s="1028" customFormat="1" ht="25.5" customHeight="1">
      <c r="A188" s="1014">
        <f>_xlfn.AGGREGATE(4,7,A$17:A187)+1</f>
        <v>171</v>
      </c>
      <c r="B188" s="1015" t="s">
        <v>1520</v>
      </c>
      <c r="C188" s="1033" t="s">
        <v>1756</v>
      </c>
      <c r="D188" s="1104" t="s">
        <v>1593</v>
      </c>
      <c r="E188" s="81" t="str">
        <f>VLOOKUP(B188,TH.T6!B100:J430,9,FALSE)</f>
        <v>Giảng viên khoa CNTT</v>
      </c>
      <c r="F188" s="1040">
        <v>3.99</v>
      </c>
      <c r="G188" s="1019"/>
      <c r="H188" s="1247">
        <f t="shared" si="30"/>
        <v>0</v>
      </c>
      <c r="I188" s="1020">
        <v>0.25</v>
      </c>
      <c r="J188" s="1040">
        <v>3.99</v>
      </c>
      <c r="K188" s="1019"/>
      <c r="L188" s="1247">
        <f t="shared" si="31"/>
        <v>0</v>
      </c>
      <c r="M188" s="1020">
        <v>0.25</v>
      </c>
      <c r="N188" s="1040">
        <v>3.99</v>
      </c>
      <c r="O188" s="1019"/>
      <c r="P188" s="1248">
        <f t="shared" si="32"/>
        <v>0</v>
      </c>
      <c r="Q188" s="1020">
        <v>0.25</v>
      </c>
      <c r="R188" s="1020" t="str">
        <f>IFERROR(INDEX('[18]Gui chi Quynh'!$E$11:$E$397,MATCH(B188,'[18]Gui chi Quynh'!$B$11:$B$397,0)),"")</f>
        <v>A4</v>
      </c>
      <c r="S188" s="1020">
        <f t="shared" si="33"/>
        <v>0.5</v>
      </c>
      <c r="T188" s="1020" t="str">
        <f>VLOOKUP(B188,'[19]Gui chi Quynh'!$B$11:$E$397,4,FALSE)</f>
        <v>A DN</v>
      </c>
      <c r="U188" s="1020">
        <f t="shared" si="34"/>
        <v>0</v>
      </c>
      <c r="V188" s="1020" t="str">
        <f>VLOOKUP(B188,'[20]Gui chi Quynh'!$B$11:$E$396,4,FALSE)</f>
        <v>A3</v>
      </c>
      <c r="W188" s="1020">
        <f t="shared" si="35"/>
        <v>0.6</v>
      </c>
      <c r="X188" s="1020">
        <f>IFERROR(INDEX('[21]CN BC'!$J$10:$J$275,MATCH(B188,'[21]CN BC'!$H$10:$H$275,0)),"")</f>
        <v>23</v>
      </c>
      <c r="Y188" s="1020">
        <f>IFERROR(INDEX('[22]CN BC'!$J$10:$J$274,MATCH(B188,'[22]CN BC'!$H$10:$H$274,0)),"")</f>
        <v>0</v>
      </c>
      <c r="Z188" s="1020">
        <f>VLOOKUP(B188,'[23]CN BC'!$H$10:$J$275,3,FALSE)</f>
        <v>19</v>
      </c>
      <c r="AA188" s="1021">
        <f t="shared" si="36"/>
        <v>23</v>
      </c>
      <c r="AB188" s="1021">
        <f t="shared" si="37"/>
        <v>0</v>
      </c>
      <c r="AC188" s="1021">
        <f t="shared" si="38"/>
        <v>19</v>
      </c>
      <c r="AD188" s="1022"/>
      <c r="AE188" s="1023">
        <f t="shared" si="39"/>
        <v>10913760</v>
      </c>
      <c r="AF188" s="1371">
        <f t="shared" si="28"/>
        <v>4.6639999999999997</v>
      </c>
      <c r="AG188" s="1102">
        <v>2340000</v>
      </c>
      <c r="AH188" s="1373">
        <f t="shared" si="29"/>
        <v>10913760</v>
      </c>
      <c r="AI188" s="1024">
        <f t="shared" si="40"/>
        <v>171</v>
      </c>
      <c r="AJ188" s="1025">
        <f>IFERROR(INDEX('[17]CN BC'!$M$10:$M$276,MATCH(B188,'[17]CN BC'!$H$10:$H$276,0)),"")</f>
        <v>0</v>
      </c>
      <c r="AK188" s="1011" t="str">
        <f>VLOOKUP(B188,TH.T4!B190:AC520,28,FALSE)</f>
        <v>CNTT</v>
      </c>
      <c r="AN188" s="1038"/>
    </row>
    <row r="189" spans="1:50" s="1028" customFormat="1" ht="28.5" customHeight="1">
      <c r="A189" s="1014">
        <f>_xlfn.AGGREGATE(4,7,A$17:A188)+1</f>
        <v>172</v>
      </c>
      <c r="B189" s="1015" t="s">
        <v>1467</v>
      </c>
      <c r="C189" s="1033" t="s">
        <v>1674</v>
      </c>
      <c r="D189" s="1034" t="s">
        <v>1343</v>
      </c>
      <c r="E189" s="81" t="str">
        <f>VLOOKUP(B189,TH.T6!B101:J431,9,FALSE)</f>
        <v>Giảng viên khoa CNTT</v>
      </c>
      <c r="F189" s="1018">
        <v>4.32</v>
      </c>
      <c r="G189" s="1019"/>
      <c r="H189" s="1247">
        <f t="shared" si="30"/>
        <v>0</v>
      </c>
      <c r="I189" s="1020"/>
      <c r="J189" s="1018">
        <v>4.32</v>
      </c>
      <c r="K189" s="1019"/>
      <c r="L189" s="1247">
        <f t="shared" si="31"/>
        <v>0</v>
      </c>
      <c r="M189" s="1020"/>
      <c r="N189" s="1018">
        <v>4.32</v>
      </c>
      <c r="O189" s="1019"/>
      <c r="P189" s="1248">
        <f t="shared" si="32"/>
        <v>0</v>
      </c>
      <c r="Q189" s="1020"/>
      <c r="R189" s="1020" t="str">
        <f>IFERROR(INDEX('[18]Gui chi Quynh'!$E$11:$E$397,MATCH(B189,'[18]Gui chi Quynh'!$B$11:$B$397,0)),"")</f>
        <v>A4</v>
      </c>
      <c r="S189" s="1020">
        <f t="shared" si="33"/>
        <v>0.5</v>
      </c>
      <c r="T189" s="1020" t="str">
        <f>VLOOKUP(B189,'[19]Gui chi Quynh'!$B$11:$E$397,4,FALSE)</f>
        <v>A DN</v>
      </c>
      <c r="U189" s="1020">
        <f t="shared" si="34"/>
        <v>0</v>
      </c>
      <c r="V189" s="1020" t="str">
        <f>VLOOKUP(B189,'[20]Gui chi Quynh'!$B$11:$E$396,4,FALSE)</f>
        <v>A3</v>
      </c>
      <c r="W189" s="1020">
        <f t="shared" si="35"/>
        <v>0.6</v>
      </c>
      <c r="X189" s="1020">
        <f>IFERROR(INDEX('[21]CN BC'!$J$10:$J$275,MATCH(B189,'[21]CN BC'!$H$10:$H$275,0)),"")</f>
        <v>23</v>
      </c>
      <c r="Y189" s="1020">
        <f>IFERROR(INDEX('[22]CN BC'!$J$10:$J$274,MATCH(B189,'[22]CN BC'!$H$10:$H$274,0)),"")</f>
        <v>0</v>
      </c>
      <c r="Z189" s="1020">
        <f>VLOOKUP(B189,'[23]CN BC'!$H$10:$J$275,3,FALSE)</f>
        <v>19</v>
      </c>
      <c r="AA189" s="1021">
        <f t="shared" si="36"/>
        <v>23</v>
      </c>
      <c r="AB189" s="1021">
        <f t="shared" si="37"/>
        <v>0</v>
      </c>
      <c r="AC189" s="1021">
        <f t="shared" si="38"/>
        <v>19</v>
      </c>
      <c r="AD189" s="1022"/>
      <c r="AE189" s="1023">
        <f t="shared" si="39"/>
        <v>11119680</v>
      </c>
      <c r="AF189" s="1371">
        <f t="shared" si="28"/>
        <v>4.7519999999999998</v>
      </c>
      <c r="AG189" s="1102">
        <v>2340000</v>
      </c>
      <c r="AH189" s="1373">
        <f t="shared" si="29"/>
        <v>11119680</v>
      </c>
      <c r="AI189" s="1024">
        <f t="shared" si="40"/>
        <v>172</v>
      </c>
      <c r="AJ189" s="1025">
        <f>IFERROR(INDEX('[17]CN BC'!$M$10:$M$276,MATCH(B189,'[17]CN BC'!$H$10:$H$276,0)),"")</f>
        <v>0</v>
      </c>
      <c r="AK189" s="1011" t="str">
        <f>VLOOKUP(B189,TH.T4!B191:AC521,28,FALSE)</f>
        <v>CNTT</v>
      </c>
      <c r="AL189" s="1012"/>
      <c r="AM189" s="1012"/>
      <c r="AN189" s="1027">
        <f>3.68*1490000*1.4</f>
        <v>7676479.9999999991</v>
      </c>
      <c r="AO189" s="1012"/>
      <c r="AP189" s="1012"/>
      <c r="AQ189" s="1012"/>
      <c r="AR189" s="1012"/>
      <c r="AS189" s="1012"/>
      <c r="AT189" s="1012"/>
    </row>
    <row r="190" spans="1:50" s="1028" customFormat="1" ht="28.5" customHeight="1">
      <c r="A190" s="1014">
        <f>_xlfn.AGGREGATE(4,7,A$17:A189)+1</f>
        <v>173</v>
      </c>
      <c r="B190" s="1015" t="s">
        <v>2011</v>
      </c>
      <c r="C190" s="1033"/>
      <c r="D190" s="1034"/>
      <c r="E190" s="81" t="str">
        <f>VLOOKUP(B190,TH.T6!B102:J432,9,FALSE)</f>
        <v>Giảng viên khoa CNTT</v>
      </c>
      <c r="F190" s="1018">
        <v>2.67</v>
      </c>
      <c r="G190" s="1019"/>
      <c r="H190" s="1247">
        <f t="shared" si="30"/>
        <v>0</v>
      </c>
      <c r="I190" s="1020"/>
      <c r="J190" s="1018">
        <v>2.67</v>
      </c>
      <c r="K190" s="1019"/>
      <c r="L190" s="1247">
        <f t="shared" si="31"/>
        <v>0</v>
      </c>
      <c r="M190" s="1020"/>
      <c r="N190" s="1018">
        <v>2.67</v>
      </c>
      <c r="O190" s="1019"/>
      <c r="P190" s="1248">
        <f t="shared" si="32"/>
        <v>0</v>
      </c>
      <c r="Q190" s="1020"/>
      <c r="R190" s="1020" t="str">
        <f>IFERROR(INDEX('[18]Gui chi Quynh'!$E$11:$E$397,MATCH(B190,'[18]Gui chi Quynh'!$B$11:$B$397,0)),"")</f>
        <v>A3</v>
      </c>
      <c r="S190" s="1020">
        <f t="shared" si="33"/>
        <v>0.6</v>
      </c>
      <c r="T190" s="1020" t="str">
        <f>VLOOKUP(B190,'[19]Gui chi Quynh'!$B$11:$E$397,4,FALSE)</f>
        <v>A DN</v>
      </c>
      <c r="U190" s="1020">
        <f t="shared" si="34"/>
        <v>0</v>
      </c>
      <c r="V190" s="1020" t="str">
        <f>VLOOKUP(B190,'[20]Gui chi Quynh'!$B$11:$E$396,4,FALSE)</f>
        <v>A3</v>
      </c>
      <c r="W190" s="1020">
        <f t="shared" si="35"/>
        <v>0.6</v>
      </c>
      <c r="X190" s="1020">
        <f>IFERROR(INDEX('[21]CN BC'!$J$10:$J$275,MATCH(B190,'[21]CN BC'!$H$10:$H$275,0)),"")</f>
        <v>23</v>
      </c>
      <c r="Y190" s="1020">
        <f>IFERROR(INDEX('[22]CN BC'!$J$10:$J$274,MATCH(B190,'[22]CN BC'!$H$10:$H$274,0)),"")</f>
        <v>0</v>
      </c>
      <c r="Z190" s="1020">
        <f>VLOOKUP(B190,'[23]CN BC'!$H$10:$J$275,3,FALSE)</f>
        <v>19</v>
      </c>
      <c r="AA190" s="1021">
        <f t="shared" si="36"/>
        <v>23</v>
      </c>
      <c r="AB190" s="1021">
        <f t="shared" si="37"/>
        <v>0</v>
      </c>
      <c r="AC190" s="1021">
        <f t="shared" si="38"/>
        <v>19</v>
      </c>
      <c r="AD190" s="1022"/>
      <c r="AE190" s="1023">
        <f t="shared" si="39"/>
        <v>7497360</v>
      </c>
      <c r="AF190" s="1371">
        <f t="shared" si="28"/>
        <v>3.2040000000000002</v>
      </c>
      <c r="AG190" s="1102">
        <v>2340000</v>
      </c>
      <c r="AH190" s="1373">
        <f t="shared" si="29"/>
        <v>7497360</v>
      </c>
      <c r="AI190" s="1024">
        <f t="shared" si="40"/>
        <v>173</v>
      </c>
      <c r="AJ190" s="1025">
        <f>IFERROR(INDEX('[17]CN BC'!$M$10:$M$276,MATCH(B190,'[17]CN BC'!$H$10:$H$276,0)),"")</f>
        <v>0</v>
      </c>
      <c r="AK190" s="1011" t="str">
        <f>VLOOKUP(B190,TH.T4!B192:AC522,28,FALSE)</f>
        <v>CNTT</v>
      </c>
      <c r="AN190" s="1038"/>
    </row>
    <row r="191" spans="1:50" s="1028" customFormat="1" ht="28.5" customHeight="1">
      <c r="A191" s="1014">
        <f>_xlfn.AGGREGATE(4,7,A$17:A190)+1</f>
        <v>174</v>
      </c>
      <c r="B191" s="1015" t="s">
        <v>2017</v>
      </c>
      <c r="C191" s="1033"/>
      <c r="D191" s="1034"/>
      <c r="E191" s="81" t="str">
        <f>VLOOKUP(B191,TH.T6!B103:J433,9,FALSE)</f>
        <v>Giảng viên khoa CNTT</v>
      </c>
      <c r="F191" s="1018">
        <v>1.9890000000000001</v>
      </c>
      <c r="G191" s="1019"/>
      <c r="H191" s="1247">
        <f t="shared" si="30"/>
        <v>0</v>
      </c>
      <c r="I191" s="1020"/>
      <c r="J191" s="1018">
        <v>1.9890000000000001</v>
      </c>
      <c r="K191" s="1019"/>
      <c r="L191" s="1247">
        <f t="shared" si="31"/>
        <v>0</v>
      </c>
      <c r="M191" s="1020"/>
      <c r="N191" s="1018">
        <v>1.9890000000000001</v>
      </c>
      <c r="O191" s="1019"/>
      <c r="P191" s="1248">
        <f t="shared" si="32"/>
        <v>0</v>
      </c>
      <c r="Q191" s="1020"/>
      <c r="R191" s="1020" t="str">
        <f>IFERROR(INDEX('[18]Gui chi Quynh'!$E$11:$E$397,MATCH(B191,'[18]Gui chi Quynh'!$B$11:$B$397,0)),"")</f>
        <v>A3</v>
      </c>
      <c r="S191" s="1020">
        <f t="shared" si="33"/>
        <v>0.6</v>
      </c>
      <c r="T191" s="1020" t="str">
        <f>VLOOKUP(B191,'[19]Gui chi Quynh'!$B$11:$E$397,4,FALSE)</f>
        <v>A DN</v>
      </c>
      <c r="U191" s="1020">
        <f t="shared" si="34"/>
        <v>0</v>
      </c>
      <c r="V191" s="1020" t="str">
        <f>VLOOKUP(B191,'[20]Gui chi Quynh'!$B$11:$E$396,4,FALSE)</f>
        <v>A3</v>
      </c>
      <c r="W191" s="1020">
        <f t="shared" si="35"/>
        <v>0.6</v>
      </c>
      <c r="X191" s="1020">
        <f>IFERROR(INDEX('[21]CN BC'!$J$10:$J$275,MATCH(B191,'[21]CN BC'!$H$10:$H$275,0)),"")</f>
        <v>23</v>
      </c>
      <c r="Y191" s="1020">
        <f>IFERROR(INDEX('[22]CN BC'!$J$10:$J$274,MATCH(B191,'[22]CN BC'!$H$10:$H$274,0)),"")</f>
        <v>0</v>
      </c>
      <c r="Z191" s="1020">
        <f>VLOOKUP(B191,'[23]CN BC'!$H$10:$J$275,3,FALSE)</f>
        <v>19</v>
      </c>
      <c r="AA191" s="1021">
        <f t="shared" si="36"/>
        <v>23</v>
      </c>
      <c r="AB191" s="1021">
        <f t="shared" si="37"/>
        <v>0</v>
      </c>
      <c r="AC191" s="1021">
        <f t="shared" si="38"/>
        <v>19</v>
      </c>
      <c r="AD191" s="1022"/>
      <c r="AE191" s="1023">
        <f t="shared" si="39"/>
        <v>5585112</v>
      </c>
      <c r="AF191" s="1371">
        <f t="shared" si="28"/>
        <v>2.3868</v>
      </c>
      <c r="AG191" s="1102">
        <v>2340000</v>
      </c>
      <c r="AH191" s="1373">
        <f t="shared" si="29"/>
        <v>5585112</v>
      </c>
      <c r="AI191" s="1024">
        <f t="shared" si="40"/>
        <v>174</v>
      </c>
      <c r="AJ191" s="1025">
        <f>IFERROR(INDEX('[17]CN BC'!$M$10:$M$276,MATCH(B191,'[17]CN BC'!$H$10:$H$276,0)),"")</f>
        <v>0</v>
      </c>
      <c r="AK191" s="1011" t="str">
        <f>VLOOKUP(B191,TH.T4!B193:AC523,28,FALSE)</f>
        <v>CNTT</v>
      </c>
      <c r="AN191" s="1038"/>
    </row>
    <row r="192" spans="1:50" s="1028" customFormat="1" ht="28.5" customHeight="1">
      <c r="A192" s="1014">
        <f>_xlfn.AGGREGATE(4,7,A$17:A191)+1</f>
        <v>175</v>
      </c>
      <c r="B192" s="1015" t="s">
        <v>1885</v>
      </c>
      <c r="C192" s="1033" t="s">
        <v>1757</v>
      </c>
      <c r="D192" s="1034" t="s">
        <v>1368</v>
      </c>
      <c r="E192" s="81" t="str">
        <f>VLOOKUP(B192,TH.T6!B104:J434,9,FALSE)</f>
        <v>Trưởng khoa Cơ khí</v>
      </c>
      <c r="F192" s="1018">
        <v>4.6500000000000004</v>
      </c>
      <c r="G192" s="1019"/>
      <c r="H192" s="1247">
        <f t="shared" si="30"/>
        <v>0</v>
      </c>
      <c r="I192" s="1020">
        <v>0.45</v>
      </c>
      <c r="J192" s="1018">
        <v>4.6500000000000004</v>
      </c>
      <c r="K192" s="1019"/>
      <c r="L192" s="1247">
        <f t="shared" si="31"/>
        <v>0</v>
      </c>
      <c r="M192" s="1020">
        <v>0.45</v>
      </c>
      <c r="N192" s="1018">
        <v>4.6500000000000004</v>
      </c>
      <c r="O192" s="1019"/>
      <c r="P192" s="1248">
        <f t="shared" si="32"/>
        <v>0</v>
      </c>
      <c r="Q192" s="1020">
        <v>0.45</v>
      </c>
      <c r="R192" s="1020" t="str">
        <f>IFERROR(INDEX('[18]Gui chi Quynh'!$E$11:$E$397,MATCH(B192,'[18]Gui chi Quynh'!$B$11:$B$397,0)),"")</f>
        <v>A1</v>
      </c>
      <c r="S192" s="1020">
        <f t="shared" si="33"/>
        <v>0.8</v>
      </c>
      <c r="T192" s="1020" t="str">
        <f>VLOOKUP(B192,'[19]Gui chi Quynh'!$B$11:$E$397,4,FALSE)</f>
        <v>A2</v>
      </c>
      <c r="U192" s="1020">
        <f t="shared" si="34"/>
        <v>0.7</v>
      </c>
      <c r="V192" s="1020" t="str">
        <f>VLOOKUP(B192,'[20]Gui chi Quynh'!$B$11:$E$396,4,FALSE)</f>
        <v>A1</v>
      </c>
      <c r="W192" s="1020">
        <f t="shared" si="35"/>
        <v>0.8</v>
      </c>
      <c r="X192" s="1020">
        <f>IFERROR(INDEX('[21]CN BC'!$J$10:$J$275,MATCH(B192,'[21]CN BC'!$H$10:$H$275,0)),"")</f>
        <v>24</v>
      </c>
      <c r="Y192" s="1020">
        <f>IFERROR(INDEX('[22]CN BC'!$J$10:$J$274,MATCH(B192,'[22]CN BC'!$H$10:$H$274,0)),"")</f>
        <v>20</v>
      </c>
      <c r="Z192" s="1020">
        <f>VLOOKUP(B192,'[23]CN BC'!$H$10:$J$275,3,FALSE)</f>
        <v>23</v>
      </c>
      <c r="AA192" s="1021">
        <f t="shared" si="36"/>
        <v>23</v>
      </c>
      <c r="AB192" s="1021">
        <f t="shared" si="37"/>
        <v>20</v>
      </c>
      <c r="AC192" s="1021">
        <f t="shared" si="38"/>
        <v>19</v>
      </c>
      <c r="AD192" s="1022"/>
      <c r="AE192" s="1023">
        <f t="shared" si="39"/>
        <v>26688764</v>
      </c>
      <c r="AF192" s="1371">
        <f t="shared" si="28"/>
        <v>11.405454700854701</v>
      </c>
      <c r="AG192" s="1102">
        <v>2340000</v>
      </c>
      <c r="AH192" s="1373">
        <f t="shared" si="29"/>
        <v>26688764</v>
      </c>
      <c r="AI192" s="1024">
        <f t="shared" si="40"/>
        <v>175</v>
      </c>
      <c r="AJ192" s="1025">
        <f>IFERROR(INDEX('[17]CN BC'!$M$10:$M$276,MATCH(B192,'[17]CN BC'!$H$10:$H$276,0)),"")</f>
        <v>0</v>
      </c>
      <c r="AK192" s="1011" t="str">
        <f>VLOOKUP(B192,TH.T4!B194:AC524,28,FALSE)</f>
        <v>CK</v>
      </c>
      <c r="AL192" s="1012"/>
      <c r="AM192" s="1012"/>
      <c r="AN192" s="1027"/>
      <c r="AO192" s="1012"/>
      <c r="AP192" s="1012"/>
      <c r="AQ192" s="1012"/>
      <c r="AR192" s="1012"/>
      <c r="AS192" s="1012"/>
      <c r="AT192" s="1012"/>
    </row>
    <row r="193" spans="1:50" s="1012" customFormat="1" ht="26.25" customHeight="1">
      <c r="A193" s="1014">
        <f>_xlfn.AGGREGATE(4,7,A$17:A192)+1</f>
        <v>176</v>
      </c>
      <c r="B193" s="1050" t="s">
        <v>1886</v>
      </c>
      <c r="C193" s="1029" t="s">
        <v>1758</v>
      </c>
      <c r="D193" s="1051" t="s">
        <v>1363</v>
      </c>
      <c r="E193" s="81" t="str">
        <f>VLOOKUP(B193,TH.T6!B105:J435,9,FALSE)</f>
        <v>Giảng viên khoa Cơ khí</v>
      </c>
      <c r="F193" s="1052">
        <v>4.9800000000000004</v>
      </c>
      <c r="G193" s="1053">
        <v>7.0000000000000007E-2</v>
      </c>
      <c r="H193" s="1247">
        <f t="shared" si="30"/>
        <v>0.34899999999999998</v>
      </c>
      <c r="I193" s="1054"/>
      <c r="J193" s="1052">
        <v>4.9800000000000004</v>
      </c>
      <c r="K193" s="1053">
        <v>7.0000000000000007E-2</v>
      </c>
      <c r="L193" s="1247">
        <f t="shared" si="31"/>
        <v>0.34899999999999998</v>
      </c>
      <c r="M193" s="1054"/>
      <c r="N193" s="1052">
        <v>4.9800000000000004</v>
      </c>
      <c r="O193" s="1053">
        <v>7.0000000000000007E-2</v>
      </c>
      <c r="P193" s="1248">
        <f t="shared" si="32"/>
        <v>0.34899999999999998</v>
      </c>
      <c r="Q193" s="1054"/>
      <c r="R193" s="1020" t="str">
        <f>IFERROR(INDEX('[18]Gui chi Quynh'!$E$11:$E$397,MATCH(B193,'[18]Gui chi Quynh'!$B$11:$B$397,0)),"")</f>
        <v>A3</v>
      </c>
      <c r="S193" s="1020">
        <f t="shared" si="33"/>
        <v>0.6</v>
      </c>
      <c r="T193" s="1020" t="str">
        <f>VLOOKUP(B193,'[19]Gui chi Quynh'!$B$11:$E$397,4,FALSE)</f>
        <v>A DN</v>
      </c>
      <c r="U193" s="1020">
        <f t="shared" si="34"/>
        <v>0</v>
      </c>
      <c r="V193" s="1020" t="str">
        <f>VLOOKUP(B193,'[20]Gui chi Quynh'!$B$11:$E$396,4,FALSE)</f>
        <v>A2</v>
      </c>
      <c r="W193" s="1020">
        <f t="shared" si="35"/>
        <v>0.7</v>
      </c>
      <c r="X193" s="1020">
        <f>IFERROR(INDEX('[21]CN BC'!$J$10:$J$275,MATCH(B193,'[21]CN BC'!$H$10:$H$275,0)),"")</f>
        <v>21</v>
      </c>
      <c r="Y193" s="1020">
        <f>IFERROR(INDEX('[22]CN BC'!$J$10:$J$274,MATCH(B193,'[22]CN BC'!$H$10:$H$274,0)),"")</f>
        <v>0</v>
      </c>
      <c r="Z193" s="1020">
        <f>VLOOKUP(B193,'[23]CN BC'!$H$10:$J$275,3,FALSE)</f>
        <v>19</v>
      </c>
      <c r="AA193" s="1021">
        <f t="shared" si="36"/>
        <v>21</v>
      </c>
      <c r="AB193" s="1021">
        <f t="shared" si="37"/>
        <v>0</v>
      </c>
      <c r="AC193" s="1021">
        <f t="shared" si="38"/>
        <v>19</v>
      </c>
      <c r="AD193" s="1022"/>
      <c r="AE193" s="1023">
        <f t="shared" si="39"/>
        <v>15560217</v>
      </c>
      <c r="AF193" s="1371">
        <f t="shared" si="28"/>
        <v>6.6496653846153846</v>
      </c>
      <c r="AG193" s="1102">
        <v>2340000</v>
      </c>
      <c r="AH193" s="1373">
        <f t="shared" si="29"/>
        <v>15560217</v>
      </c>
      <c r="AI193" s="1024">
        <f t="shared" si="40"/>
        <v>176</v>
      </c>
      <c r="AJ193" s="1025">
        <f>IFERROR(INDEX('[17]CN BC'!$M$10:$M$276,MATCH(B193,'[17]CN BC'!$H$10:$H$276,0)),"")</f>
        <v>0</v>
      </c>
      <c r="AK193" s="1011" t="str">
        <f>VLOOKUP(B193,TH.T4!B195:AC525,28,FALSE)</f>
        <v>CK</v>
      </c>
      <c r="AN193" s="1027"/>
    </row>
    <row r="194" spans="1:50" s="1028" customFormat="1" ht="31.5" customHeight="1">
      <c r="A194" s="1014">
        <f>_xlfn.AGGREGATE(4,7,A$17:A193)+1</f>
        <v>177</v>
      </c>
      <c r="B194" s="1093" t="s">
        <v>1887</v>
      </c>
      <c r="C194" s="1094" t="s">
        <v>1759</v>
      </c>
      <c r="D194" s="1212" t="s">
        <v>1364</v>
      </c>
      <c r="E194" s="554" t="str">
        <f>VLOOKUP(B194,TH.T6!B106:J436,9,FALSE)</f>
        <v>Giảng viên khoa Cơ khí</v>
      </c>
      <c r="F194" s="1095">
        <v>4.9800000000000004</v>
      </c>
      <c r="G194" s="1096">
        <v>7.0000000000000007E-2</v>
      </c>
      <c r="H194" s="1249">
        <f t="shared" si="30"/>
        <v>0.34899999999999998</v>
      </c>
      <c r="I194" s="1097"/>
      <c r="J194" s="1095">
        <v>4.9800000000000004</v>
      </c>
      <c r="K194" s="1096">
        <v>7.0000000000000007E-2</v>
      </c>
      <c r="L194" s="1249">
        <f t="shared" si="31"/>
        <v>0.34899999999999998</v>
      </c>
      <c r="M194" s="1097"/>
      <c r="N194" s="1095">
        <v>4.9800000000000004</v>
      </c>
      <c r="O194" s="1096">
        <v>0.08</v>
      </c>
      <c r="P194" s="1250">
        <f t="shared" si="32"/>
        <v>0.39800000000000002</v>
      </c>
      <c r="Q194" s="1097"/>
      <c r="R194" s="1097" t="str">
        <f>IFERROR(INDEX('[18]Gui chi Quynh'!$E$11:$E$397,MATCH(B194,'[18]Gui chi Quynh'!$B$11:$B$397,0)),"")</f>
        <v>A1</v>
      </c>
      <c r="S194" s="1097">
        <f t="shared" si="33"/>
        <v>0.8</v>
      </c>
      <c r="T194" s="1097" t="str">
        <f>VLOOKUP(B194,'[19]Gui chi Quynh'!$B$11:$E$397,4,FALSE)</f>
        <v>A DN</v>
      </c>
      <c r="U194" s="1097">
        <f t="shared" si="34"/>
        <v>0</v>
      </c>
      <c r="V194" s="1097" t="str">
        <f>VLOOKUP(B194,'[20]Gui chi Quynh'!$B$11:$E$396,4,FALSE)</f>
        <v>A1</v>
      </c>
      <c r="W194" s="1097">
        <f t="shared" si="35"/>
        <v>0.8</v>
      </c>
      <c r="X194" s="1097">
        <f>IFERROR(INDEX('[21]CN BC'!$J$10:$J$275,MATCH(B194,'[21]CN BC'!$H$10:$H$275,0)),"")</f>
        <v>21</v>
      </c>
      <c r="Y194" s="1097">
        <f>IFERROR(INDEX('[22]CN BC'!$J$10:$J$274,MATCH(B194,'[22]CN BC'!$H$10:$H$274,0)),"")</f>
        <v>0</v>
      </c>
      <c r="Z194" s="1097">
        <f>VLOOKUP(B194,'[23]CN BC'!$H$10:$J$275,3,FALSE)</f>
        <v>19</v>
      </c>
      <c r="AA194" s="1213">
        <f t="shared" si="36"/>
        <v>21</v>
      </c>
      <c r="AB194" s="1213">
        <f t="shared" si="37"/>
        <v>0</v>
      </c>
      <c r="AC194" s="1213">
        <f t="shared" si="38"/>
        <v>19</v>
      </c>
      <c r="AD194" s="1098"/>
      <c r="AE194" s="1214">
        <f t="shared" si="39"/>
        <v>19176035</v>
      </c>
      <c r="AF194" s="1400">
        <f t="shared" si="28"/>
        <v>8.1948867521367514</v>
      </c>
      <c r="AG194" s="1225">
        <v>2340000</v>
      </c>
      <c r="AH194" s="1401">
        <f t="shared" si="29"/>
        <v>19176035</v>
      </c>
      <c r="AI194" s="1099">
        <f t="shared" si="40"/>
        <v>177</v>
      </c>
      <c r="AJ194" s="1215" t="s">
        <v>2362</v>
      </c>
      <c r="AK194" s="1011" t="str">
        <f>VLOOKUP(B194,TH.T4!B196:AC526,28,FALSE)</f>
        <v>CK</v>
      </c>
      <c r="AL194" s="1012"/>
      <c r="AM194" s="1012"/>
      <c r="AN194" s="1027"/>
      <c r="AO194" s="1012"/>
      <c r="AP194" s="1012"/>
      <c r="AQ194" s="1012"/>
      <c r="AR194" s="1012"/>
      <c r="AS194" s="1012"/>
      <c r="AT194" s="1012"/>
    </row>
    <row r="195" spans="1:50" s="1028" customFormat="1" ht="25.5" customHeight="1">
      <c r="A195" s="1014">
        <f>_xlfn.AGGREGATE(4,7,A$17:A194)+1</f>
        <v>178</v>
      </c>
      <c r="B195" s="1015" t="s">
        <v>1888</v>
      </c>
      <c r="C195" s="1033" t="s">
        <v>1760</v>
      </c>
      <c r="D195" s="1034" t="s">
        <v>1369</v>
      </c>
      <c r="E195" s="81" t="str">
        <f>VLOOKUP(B195,TH.T6!B107:J437,9,FALSE)</f>
        <v>Giảng viên khoa Cơ khí</v>
      </c>
      <c r="F195" s="1018">
        <v>4.32</v>
      </c>
      <c r="G195" s="1019"/>
      <c r="H195" s="1247">
        <f t="shared" si="30"/>
        <v>0</v>
      </c>
      <c r="I195" s="1020"/>
      <c r="J195" s="1018">
        <v>4.32</v>
      </c>
      <c r="K195" s="1019"/>
      <c r="L195" s="1247">
        <f t="shared" si="31"/>
        <v>0</v>
      </c>
      <c r="M195" s="1020"/>
      <c r="N195" s="1018">
        <v>4.32</v>
      </c>
      <c r="O195" s="1019"/>
      <c r="P195" s="1248">
        <f t="shared" si="32"/>
        <v>0</v>
      </c>
      <c r="Q195" s="1020"/>
      <c r="R195" s="1020" t="str">
        <f>IFERROR(INDEX('[18]Gui chi Quynh'!$E$11:$E$397,MATCH(B195,'[18]Gui chi Quynh'!$B$11:$B$397,0)),"")</f>
        <v>A4</v>
      </c>
      <c r="S195" s="1020">
        <f t="shared" si="33"/>
        <v>0.5</v>
      </c>
      <c r="T195" s="1020" t="str">
        <f>VLOOKUP(B195,'[19]Gui chi Quynh'!$B$11:$E$397,4,FALSE)</f>
        <v>A DN</v>
      </c>
      <c r="U195" s="1020">
        <f t="shared" si="34"/>
        <v>0</v>
      </c>
      <c r="V195" s="1020" t="str">
        <f>VLOOKUP(B195,'[20]Gui chi Quynh'!$B$11:$E$396,4,FALSE)</f>
        <v>A3</v>
      </c>
      <c r="W195" s="1020">
        <f t="shared" si="35"/>
        <v>0.6</v>
      </c>
      <c r="X195" s="1020">
        <f>IFERROR(INDEX('[21]CN BC'!$J$10:$J$275,MATCH(B195,'[21]CN BC'!$H$10:$H$275,0)),"")</f>
        <v>21</v>
      </c>
      <c r="Y195" s="1020">
        <f>IFERROR(INDEX('[22]CN BC'!$J$10:$J$274,MATCH(B195,'[22]CN BC'!$H$10:$H$274,0)),"")</f>
        <v>0</v>
      </c>
      <c r="Z195" s="1020">
        <f>VLOOKUP(B195,'[23]CN BC'!$H$10:$J$275,3,FALSE)</f>
        <v>19</v>
      </c>
      <c r="AA195" s="1021">
        <f t="shared" si="36"/>
        <v>21</v>
      </c>
      <c r="AB195" s="1021">
        <f t="shared" si="37"/>
        <v>0</v>
      </c>
      <c r="AC195" s="1021">
        <f t="shared" si="38"/>
        <v>19</v>
      </c>
      <c r="AD195" s="1022"/>
      <c r="AE195" s="1023">
        <f t="shared" si="39"/>
        <v>10680167</v>
      </c>
      <c r="AF195" s="1371">
        <f t="shared" si="28"/>
        <v>4.564173931623932</v>
      </c>
      <c r="AG195" s="1102">
        <v>2340000</v>
      </c>
      <c r="AH195" s="1373">
        <f t="shared" si="29"/>
        <v>10680167.000000002</v>
      </c>
      <c r="AI195" s="1024">
        <f t="shared" si="40"/>
        <v>178</v>
      </c>
      <c r="AJ195" s="1025">
        <f>IFERROR(INDEX('[17]CN BC'!$M$10:$M$276,MATCH(B195,'[17]CN BC'!$H$10:$H$276,0)),"")</f>
        <v>0</v>
      </c>
      <c r="AK195" s="1011" t="str">
        <f>VLOOKUP(B195,TH.T4!B197:AC527,28,FALSE)</f>
        <v>CK</v>
      </c>
      <c r="AL195" s="1012"/>
      <c r="AM195" s="1012"/>
      <c r="AN195" s="1027"/>
      <c r="AO195" s="1012"/>
      <c r="AP195" s="1012"/>
      <c r="AQ195" s="1012"/>
      <c r="AR195" s="1012"/>
      <c r="AS195" s="1012"/>
      <c r="AT195" s="1012"/>
    </row>
    <row r="196" spans="1:50" s="1028" customFormat="1" ht="25.5" customHeight="1">
      <c r="A196" s="1014">
        <f>_xlfn.AGGREGATE(4,7,A$17:A195)+1</f>
        <v>179</v>
      </c>
      <c r="B196" s="1015" t="s">
        <v>1889</v>
      </c>
      <c r="C196" s="1033" t="s">
        <v>1761</v>
      </c>
      <c r="D196" s="1034" t="s">
        <v>42</v>
      </c>
      <c r="E196" s="81" t="str">
        <f>VLOOKUP(B196,TH.T6!B108:J438,9,FALSE)</f>
        <v>Giảng viên khoa Cơ khí</v>
      </c>
      <c r="F196" s="1018">
        <v>4.9800000000000004</v>
      </c>
      <c r="G196" s="1019">
        <v>0.15</v>
      </c>
      <c r="H196" s="1247">
        <f t="shared" si="30"/>
        <v>0.747</v>
      </c>
      <c r="I196" s="1020"/>
      <c r="J196" s="1018">
        <v>4.9800000000000004</v>
      </c>
      <c r="K196" s="1019">
        <v>0.15</v>
      </c>
      <c r="L196" s="1247">
        <f t="shared" si="31"/>
        <v>0.747</v>
      </c>
      <c r="M196" s="1020"/>
      <c r="N196" s="1018">
        <v>4.9800000000000004</v>
      </c>
      <c r="O196" s="1019">
        <v>0.15</v>
      </c>
      <c r="P196" s="1248">
        <f t="shared" si="32"/>
        <v>0.747</v>
      </c>
      <c r="Q196" s="1020"/>
      <c r="R196" s="1020" t="str">
        <f>IFERROR(INDEX('[18]Gui chi Quynh'!$E$11:$E$397,MATCH(B196,'[18]Gui chi Quynh'!$B$11:$B$397,0)),"")</f>
        <v>A4</v>
      </c>
      <c r="S196" s="1020">
        <f t="shared" si="33"/>
        <v>0.5</v>
      </c>
      <c r="T196" s="1020" t="str">
        <f>VLOOKUP(B196,'[19]Gui chi Quynh'!$B$11:$E$397,4,FALSE)</f>
        <v>A DN</v>
      </c>
      <c r="U196" s="1020">
        <f t="shared" si="34"/>
        <v>0</v>
      </c>
      <c r="V196" s="1020" t="str">
        <f>VLOOKUP(B196,'[20]Gui chi Quynh'!$B$11:$E$396,4,FALSE)</f>
        <v>A4</v>
      </c>
      <c r="W196" s="1020">
        <f t="shared" si="35"/>
        <v>0.5</v>
      </c>
      <c r="X196" s="1020">
        <f>IFERROR(INDEX('[21]CN BC'!$J$10:$J$275,MATCH(B196,'[21]CN BC'!$H$10:$H$275,0)),"")</f>
        <v>23</v>
      </c>
      <c r="Y196" s="1020">
        <f>IFERROR(INDEX('[22]CN BC'!$J$10:$J$274,MATCH(B196,'[22]CN BC'!$H$10:$H$274,0)),"")</f>
        <v>0</v>
      </c>
      <c r="Z196" s="1020">
        <f>VLOOKUP(B196,'[23]CN BC'!$H$10:$J$275,3,FALSE)</f>
        <v>19</v>
      </c>
      <c r="AA196" s="1021">
        <f t="shared" si="36"/>
        <v>23</v>
      </c>
      <c r="AB196" s="1021">
        <f t="shared" si="37"/>
        <v>0</v>
      </c>
      <c r="AC196" s="1021">
        <f t="shared" si="38"/>
        <v>19</v>
      </c>
      <c r="AD196" s="1022"/>
      <c r="AE196" s="1023">
        <f t="shared" si="39"/>
        <v>13401180</v>
      </c>
      <c r="AF196" s="1371">
        <f t="shared" si="28"/>
        <v>5.7270000000000003</v>
      </c>
      <c r="AG196" s="1102">
        <v>2340000</v>
      </c>
      <c r="AH196" s="1373">
        <f t="shared" si="29"/>
        <v>13401180</v>
      </c>
      <c r="AI196" s="1024">
        <f t="shared" si="40"/>
        <v>179</v>
      </c>
      <c r="AJ196" s="1025">
        <f>IFERROR(INDEX('[17]CN BC'!$M$10:$M$276,MATCH(B196,'[17]CN BC'!$H$10:$H$276,0)),"")</f>
        <v>0</v>
      </c>
      <c r="AK196" s="1011" t="str">
        <f>VLOOKUP(B196,TH.T4!B198:AC528,28,FALSE)</f>
        <v>CK</v>
      </c>
      <c r="AL196" s="1012"/>
      <c r="AM196" s="1012"/>
      <c r="AN196" s="1027"/>
      <c r="AO196" s="1012"/>
      <c r="AP196" s="1012"/>
      <c r="AQ196" s="1012"/>
      <c r="AR196" s="1012"/>
      <c r="AS196" s="1012"/>
      <c r="AT196" s="1012"/>
    </row>
    <row r="197" spans="1:50" s="1028" customFormat="1" ht="25.5" customHeight="1">
      <c r="A197" s="1014">
        <f>_xlfn.AGGREGATE(4,7,A$17:A196)+1</f>
        <v>180</v>
      </c>
      <c r="B197" s="1015" t="s">
        <v>1890</v>
      </c>
      <c r="C197" s="1033" t="s">
        <v>1762</v>
      </c>
      <c r="D197" s="1034" t="s">
        <v>1367</v>
      </c>
      <c r="E197" s="81" t="str">
        <f>VLOOKUP(B197,TH.T6!B109:J439,9,FALSE)</f>
        <v>Giảng viên khoa Cơ khí</v>
      </c>
      <c r="F197" s="1018">
        <v>4.6500000000000004</v>
      </c>
      <c r="G197" s="1019"/>
      <c r="H197" s="1247">
        <f t="shared" si="30"/>
        <v>0</v>
      </c>
      <c r="I197" s="1020">
        <f>0.25</f>
        <v>0.25</v>
      </c>
      <c r="J197" s="1018">
        <v>4.6500000000000004</v>
      </c>
      <c r="K197" s="1019"/>
      <c r="L197" s="1247">
        <f t="shared" si="31"/>
        <v>0</v>
      </c>
      <c r="M197" s="1020">
        <f>0.25</f>
        <v>0.25</v>
      </c>
      <c r="N197" s="1018">
        <v>4.6500000000000004</v>
      </c>
      <c r="O197" s="1019"/>
      <c r="P197" s="1248">
        <f t="shared" si="32"/>
        <v>0</v>
      </c>
      <c r="Q197" s="1020">
        <f>0.25</f>
        <v>0.25</v>
      </c>
      <c r="R197" s="1020" t="str">
        <f>IFERROR(INDEX('[18]Gui chi Quynh'!$E$11:$E$397,MATCH(B197,'[18]Gui chi Quynh'!$B$11:$B$397,0)),"")</f>
        <v>A3</v>
      </c>
      <c r="S197" s="1020">
        <f t="shared" si="33"/>
        <v>0.6</v>
      </c>
      <c r="T197" s="1020" t="str">
        <f>VLOOKUP(B197,'[19]Gui chi Quynh'!$B$11:$E$397,4,FALSE)</f>
        <v>A DN</v>
      </c>
      <c r="U197" s="1020">
        <f t="shared" si="34"/>
        <v>0</v>
      </c>
      <c r="V197" s="1020" t="str">
        <f>VLOOKUP(B197,'[20]Gui chi Quynh'!$B$11:$E$396,4,FALSE)</f>
        <v>A2</v>
      </c>
      <c r="W197" s="1020">
        <f t="shared" si="35"/>
        <v>0.7</v>
      </c>
      <c r="X197" s="1020">
        <f>IFERROR(INDEX('[21]CN BC'!$J$10:$J$275,MATCH(B197,'[21]CN BC'!$H$10:$H$275,0)),"")</f>
        <v>23</v>
      </c>
      <c r="Y197" s="1020">
        <f>IFERROR(INDEX('[22]CN BC'!$J$10:$J$274,MATCH(B197,'[22]CN BC'!$H$10:$H$274,0)),"")</f>
        <v>0</v>
      </c>
      <c r="Z197" s="1020">
        <f>VLOOKUP(B197,'[23]CN BC'!$H$10:$J$275,3,FALSE)</f>
        <v>19</v>
      </c>
      <c r="AA197" s="1021">
        <f t="shared" si="36"/>
        <v>23</v>
      </c>
      <c r="AB197" s="1021">
        <f t="shared" si="37"/>
        <v>0</v>
      </c>
      <c r="AC197" s="1021">
        <f t="shared" si="38"/>
        <v>19</v>
      </c>
      <c r="AD197" s="1022"/>
      <c r="AE197" s="1023">
        <f t="shared" si="39"/>
        <v>14905800</v>
      </c>
      <c r="AF197" s="1371">
        <f t="shared" si="28"/>
        <v>6.37</v>
      </c>
      <c r="AG197" s="1102">
        <v>2340000</v>
      </c>
      <c r="AH197" s="1373">
        <f t="shared" si="29"/>
        <v>14905800</v>
      </c>
      <c r="AI197" s="1024">
        <f t="shared" si="40"/>
        <v>180</v>
      </c>
      <c r="AJ197" s="1025">
        <f>IFERROR(INDEX('[17]CN BC'!$M$10:$M$276,MATCH(B197,'[17]CN BC'!$H$10:$H$276,0)),"")</f>
        <v>0</v>
      </c>
      <c r="AK197" s="1011" t="str">
        <f>VLOOKUP(B197,TH.T4!B199:AC529,28,FALSE)</f>
        <v>CK</v>
      </c>
      <c r="AL197" s="1012"/>
      <c r="AM197" s="1012"/>
      <c r="AN197" s="1027"/>
      <c r="AO197" s="1012"/>
      <c r="AP197" s="1012"/>
      <c r="AQ197" s="1012"/>
      <c r="AR197" s="1012"/>
      <c r="AS197" s="1012"/>
      <c r="AT197" s="1012"/>
    </row>
    <row r="198" spans="1:50" s="1028" customFormat="1" ht="25.5" customHeight="1">
      <c r="A198" s="1014">
        <f>_xlfn.AGGREGATE(4,7,A$17:A197)+1</f>
        <v>181</v>
      </c>
      <c r="B198" s="1093" t="s">
        <v>1891</v>
      </c>
      <c r="C198" s="1094" t="s">
        <v>1763</v>
      </c>
      <c r="D198" s="1212" t="s">
        <v>1377</v>
      </c>
      <c r="E198" s="554" t="str">
        <f>VLOOKUP(B198,TH.T6!B110:J440,9,FALSE)</f>
        <v>Giảng viên khoa Cơ khí</v>
      </c>
      <c r="F198" s="1095">
        <v>4.9800000000000004</v>
      </c>
      <c r="G198" s="1096">
        <v>0.06</v>
      </c>
      <c r="H198" s="1249">
        <f t="shared" si="30"/>
        <v>0.29899999999999999</v>
      </c>
      <c r="I198" s="1097">
        <v>0.25</v>
      </c>
      <c r="J198" s="1095">
        <v>4.9800000000000004</v>
      </c>
      <c r="K198" s="1096">
        <v>0.06</v>
      </c>
      <c r="L198" s="1249">
        <f t="shared" si="31"/>
        <v>0.29899999999999999</v>
      </c>
      <c r="M198" s="1097">
        <v>0.25</v>
      </c>
      <c r="N198" s="1095">
        <v>4.9800000000000004</v>
      </c>
      <c r="O198" s="1096">
        <v>7.0000000000000007E-2</v>
      </c>
      <c r="P198" s="1250">
        <f t="shared" si="32"/>
        <v>0.34899999999999998</v>
      </c>
      <c r="Q198" s="1097">
        <v>0.25</v>
      </c>
      <c r="R198" s="1097" t="str">
        <f>IFERROR(INDEX('[18]Gui chi Quynh'!$E$11:$E$397,MATCH(B198,'[18]Gui chi Quynh'!$B$11:$B$397,0)),"")</f>
        <v>A3</v>
      </c>
      <c r="S198" s="1097">
        <f t="shared" si="33"/>
        <v>0.6</v>
      </c>
      <c r="T198" s="1097" t="str">
        <f>VLOOKUP(B198,'[19]Gui chi Quynh'!$B$11:$E$397,4,FALSE)</f>
        <v>A DN</v>
      </c>
      <c r="U198" s="1097">
        <f t="shared" si="34"/>
        <v>0</v>
      </c>
      <c r="V198" s="1097" t="str">
        <f>VLOOKUP(B198,'[20]Gui chi Quynh'!$B$11:$E$396,4,FALSE)</f>
        <v>A3</v>
      </c>
      <c r="W198" s="1097">
        <f t="shared" si="35"/>
        <v>0.6</v>
      </c>
      <c r="X198" s="1097">
        <f>IFERROR(INDEX('[21]CN BC'!$J$10:$J$275,MATCH(B198,'[21]CN BC'!$H$10:$H$275,0)),"")</f>
        <v>21</v>
      </c>
      <c r="Y198" s="1097">
        <f>IFERROR(INDEX('[22]CN BC'!$J$10:$J$274,MATCH(B198,'[22]CN BC'!$H$10:$H$274,0)),"")</f>
        <v>0</v>
      </c>
      <c r="Z198" s="1097">
        <f>VLOOKUP(B198,'[23]CN BC'!$H$10:$J$275,3,FALSE)</f>
        <v>19</v>
      </c>
      <c r="AA198" s="1213">
        <f t="shared" si="36"/>
        <v>21</v>
      </c>
      <c r="AB198" s="1213">
        <f t="shared" si="37"/>
        <v>0</v>
      </c>
      <c r="AC198" s="1213">
        <f t="shared" si="38"/>
        <v>19</v>
      </c>
      <c r="AD198" s="1098"/>
      <c r="AE198" s="1214">
        <f t="shared" si="39"/>
        <v>14920613</v>
      </c>
      <c r="AF198" s="1400">
        <f t="shared" si="28"/>
        <v>6.3763303418803421</v>
      </c>
      <c r="AG198" s="1225">
        <v>2340000</v>
      </c>
      <c r="AH198" s="1401">
        <f t="shared" si="29"/>
        <v>14920613</v>
      </c>
      <c r="AI198" s="1099">
        <f t="shared" si="40"/>
        <v>181</v>
      </c>
      <c r="AJ198" s="1215" t="s">
        <v>2362</v>
      </c>
      <c r="AK198" s="1011" t="str">
        <f>VLOOKUP(B198,TH.T4!B200:AC530,28,FALSE)</f>
        <v>CK</v>
      </c>
      <c r="AL198" s="1012"/>
      <c r="AM198" s="1012"/>
      <c r="AN198" s="1027"/>
      <c r="AO198" s="1012"/>
      <c r="AP198" s="1012"/>
      <c r="AQ198" s="1012"/>
      <c r="AR198" s="1012"/>
      <c r="AS198" s="1012"/>
      <c r="AT198" s="1012"/>
    </row>
    <row r="199" spans="1:50" s="1028" customFormat="1" ht="25.5" customHeight="1">
      <c r="A199" s="1014">
        <f>_xlfn.AGGREGATE(4,7,A$17:A198)+1</f>
        <v>182</v>
      </c>
      <c r="B199" s="1015" t="s">
        <v>1525</v>
      </c>
      <c r="C199" s="1033" t="s">
        <v>1764</v>
      </c>
      <c r="D199" s="1034" t="s">
        <v>1372</v>
      </c>
      <c r="E199" s="81" t="str">
        <f>VLOOKUP(B199,TH.T6!B111:J441,9,FALSE)</f>
        <v>Giảng viên khoa Cơ khí</v>
      </c>
      <c r="F199" s="1040">
        <v>3.99</v>
      </c>
      <c r="G199" s="1019"/>
      <c r="H199" s="1247">
        <f t="shared" si="30"/>
        <v>0</v>
      </c>
      <c r="I199" s="1020"/>
      <c r="J199" s="1040">
        <v>3.99</v>
      </c>
      <c r="K199" s="1019"/>
      <c r="L199" s="1247">
        <f t="shared" si="31"/>
        <v>0</v>
      </c>
      <c r="M199" s="1020"/>
      <c r="N199" s="1040">
        <v>3.99</v>
      </c>
      <c r="O199" s="1019"/>
      <c r="P199" s="1248">
        <f t="shared" si="32"/>
        <v>0</v>
      </c>
      <c r="Q199" s="1020"/>
      <c r="R199" s="1020" t="str">
        <f>IFERROR(INDEX('[18]Gui chi Quynh'!$E$11:$E$397,MATCH(B199,'[18]Gui chi Quynh'!$B$11:$B$397,0)),"")</f>
        <v>A4</v>
      </c>
      <c r="S199" s="1020">
        <f t="shared" si="33"/>
        <v>0.5</v>
      </c>
      <c r="T199" s="1020" t="str">
        <f>VLOOKUP(B199,'[19]Gui chi Quynh'!$B$11:$E$397,4,FALSE)</f>
        <v>A DN</v>
      </c>
      <c r="U199" s="1020">
        <f t="shared" si="34"/>
        <v>0</v>
      </c>
      <c r="V199" s="1020" t="str">
        <f>VLOOKUP(B199,'[20]Gui chi Quynh'!$B$11:$E$396,4,FALSE)</f>
        <v>A4</v>
      </c>
      <c r="W199" s="1020">
        <f t="shared" si="35"/>
        <v>0.5</v>
      </c>
      <c r="X199" s="1020">
        <f>IFERROR(INDEX('[21]CN BC'!$J$10:$J$275,MATCH(B199,'[21]CN BC'!$H$10:$H$275,0)),"")</f>
        <v>23</v>
      </c>
      <c r="Y199" s="1020">
        <f>IFERROR(INDEX('[22]CN BC'!$J$10:$J$274,MATCH(B199,'[22]CN BC'!$H$10:$H$274,0)),"")</f>
        <v>0</v>
      </c>
      <c r="Z199" s="1020">
        <f>VLOOKUP(B199,'[23]CN BC'!$H$10:$J$275,3,FALSE)</f>
        <v>19</v>
      </c>
      <c r="AA199" s="1021">
        <f t="shared" si="36"/>
        <v>23</v>
      </c>
      <c r="AB199" s="1021">
        <f t="shared" si="37"/>
        <v>0</v>
      </c>
      <c r="AC199" s="1021">
        <f t="shared" si="38"/>
        <v>19</v>
      </c>
      <c r="AD199" s="1022"/>
      <c r="AE199" s="1023">
        <f t="shared" si="39"/>
        <v>9336600</v>
      </c>
      <c r="AF199" s="1371">
        <f t="shared" si="28"/>
        <v>3.99</v>
      </c>
      <c r="AG199" s="1102">
        <v>2340000</v>
      </c>
      <c r="AH199" s="1373">
        <f t="shared" si="29"/>
        <v>9336600</v>
      </c>
      <c r="AI199" s="1024">
        <f t="shared" si="40"/>
        <v>182</v>
      </c>
      <c r="AJ199" s="1025">
        <f>IFERROR(INDEX('[17]CN BC'!$M$10:$M$276,MATCH(B199,'[17]CN BC'!$H$10:$H$276,0)),"")</f>
        <v>0</v>
      </c>
      <c r="AK199" s="1011" t="str">
        <f>VLOOKUP(B199,TH.T4!B201:AC531,28,FALSE)</f>
        <v>CK</v>
      </c>
      <c r="AL199" s="1046"/>
      <c r="AM199" s="1012"/>
      <c r="AN199" s="1027"/>
      <c r="AO199" s="1012"/>
      <c r="AP199" s="1012"/>
      <c r="AQ199" s="1012"/>
      <c r="AR199" s="1012"/>
      <c r="AS199" s="1012"/>
      <c r="AT199" s="1012"/>
    </row>
    <row r="200" spans="1:50" s="1028" customFormat="1" ht="30" customHeight="1">
      <c r="A200" s="1014">
        <f>_xlfn.AGGREGATE(4,7,A$17:A199)+1</f>
        <v>183</v>
      </c>
      <c r="B200" s="1093" t="s">
        <v>1892</v>
      </c>
      <c r="C200" s="1094" t="s">
        <v>1765</v>
      </c>
      <c r="D200" s="1212" t="s">
        <v>1374</v>
      </c>
      <c r="E200" s="554" t="str">
        <f>VLOOKUP(B200,TH.T6!B112:J442,9,FALSE)</f>
        <v>Giảng viên khoa Cơ khí</v>
      </c>
      <c r="F200" s="1095">
        <v>4.9800000000000004</v>
      </c>
      <c r="G200" s="1096">
        <v>0.05</v>
      </c>
      <c r="H200" s="1249">
        <f t="shared" si="30"/>
        <v>0.249</v>
      </c>
      <c r="I200" s="1097"/>
      <c r="J200" s="1095">
        <v>4.9800000000000004</v>
      </c>
      <c r="K200" s="1096">
        <v>0.05</v>
      </c>
      <c r="L200" s="1249">
        <f t="shared" si="31"/>
        <v>0.249</v>
      </c>
      <c r="M200" s="1097"/>
      <c r="N200" s="1095">
        <v>4.9800000000000004</v>
      </c>
      <c r="O200" s="1096">
        <v>0.06</v>
      </c>
      <c r="P200" s="1250">
        <f t="shared" si="32"/>
        <v>0.29899999999999999</v>
      </c>
      <c r="Q200" s="1097"/>
      <c r="R200" s="1097" t="str">
        <f>IFERROR(INDEX('[18]Gui chi Quynh'!$E$11:$E$397,MATCH(B200,'[18]Gui chi Quynh'!$B$11:$B$397,0)),"")</f>
        <v>A4</v>
      </c>
      <c r="S200" s="1097">
        <f t="shared" si="33"/>
        <v>0.5</v>
      </c>
      <c r="T200" s="1097" t="str">
        <f>VLOOKUP(B200,'[19]Gui chi Quynh'!$B$11:$E$397,4,FALSE)</f>
        <v>A DN</v>
      </c>
      <c r="U200" s="1097">
        <f t="shared" si="34"/>
        <v>0</v>
      </c>
      <c r="V200" s="1097" t="str">
        <f>VLOOKUP(B200,'[20]Gui chi Quynh'!$B$11:$E$396,4,FALSE)</f>
        <v>A4</v>
      </c>
      <c r="W200" s="1097">
        <f t="shared" si="35"/>
        <v>0.5</v>
      </c>
      <c r="X200" s="1097">
        <f>IFERROR(INDEX('[21]CN BC'!$J$10:$J$275,MATCH(B200,'[21]CN BC'!$H$10:$H$275,0)),"")</f>
        <v>21</v>
      </c>
      <c r="Y200" s="1097">
        <f>IFERROR(INDEX('[22]CN BC'!$J$10:$J$274,MATCH(B200,'[22]CN BC'!$H$10:$H$274,0)),"")</f>
        <v>0</v>
      </c>
      <c r="Z200" s="1097">
        <f>VLOOKUP(B200,'[23]CN BC'!$H$10:$J$275,3,FALSE)</f>
        <v>19</v>
      </c>
      <c r="AA200" s="1213">
        <f t="shared" si="36"/>
        <v>21</v>
      </c>
      <c r="AB200" s="1213">
        <f t="shared" si="37"/>
        <v>0</v>
      </c>
      <c r="AC200" s="1213">
        <f t="shared" si="38"/>
        <v>19</v>
      </c>
      <c r="AD200" s="1098"/>
      <c r="AE200" s="1214">
        <f t="shared" si="39"/>
        <v>11762366</v>
      </c>
      <c r="AF200" s="1400">
        <f t="shared" si="28"/>
        <v>5.0266521367521371</v>
      </c>
      <c r="AG200" s="1225">
        <v>2340000</v>
      </c>
      <c r="AH200" s="1401">
        <f t="shared" si="29"/>
        <v>11762366</v>
      </c>
      <c r="AI200" s="1099">
        <f t="shared" si="40"/>
        <v>183</v>
      </c>
      <c r="AJ200" s="1215" t="s">
        <v>2362</v>
      </c>
      <c r="AK200" s="1011" t="str">
        <f>VLOOKUP(B200,TH.T4!B202:AC532,28,FALSE)</f>
        <v>CK</v>
      </c>
      <c r="AL200" s="1012"/>
      <c r="AM200" s="1012"/>
      <c r="AN200" s="1027"/>
      <c r="AO200" s="1012"/>
      <c r="AP200" s="1012"/>
      <c r="AQ200" s="1012"/>
      <c r="AR200" s="1012"/>
      <c r="AS200" s="1012"/>
      <c r="AT200" s="1012"/>
      <c r="AU200" s="1012"/>
      <c r="AV200" s="1012"/>
      <c r="AW200" s="1012"/>
      <c r="AX200" s="1012"/>
    </row>
    <row r="201" spans="1:50" s="1028" customFormat="1" ht="30" customHeight="1">
      <c r="A201" s="1014">
        <f>_xlfn.AGGREGATE(4,7,A$17:A200)+1</f>
        <v>184</v>
      </c>
      <c r="B201" s="1093" t="s">
        <v>1526</v>
      </c>
      <c r="C201" s="1094" t="s">
        <v>1766</v>
      </c>
      <c r="D201" s="1231" t="s">
        <v>1939</v>
      </c>
      <c r="E201" s="554" t="str">
        <f>VLOOKUP(B201,TH.T6!B113:J443,9,FALSE)</f>
        <v>Phó Trưởng khoa Cơ khí</v>
      </c>
      <c r="F201" s="1224">
        <v>3.66</v>
      </c>
      <c r="G201" s="1096"/>
      <c r="H201" s="1249">
        <f t="shared" si="30"/>
        <v>0</v>
      </c>
      <c r="I201" s="1097">
        <v>0.35</v>
      </c>
      <c r="J201" s="1224">
        <v>3.66</v>
      </c>
      <c r="K201" s="1096"/>
      <c r="L201" s="1249">
        <f t="shared" si="31"/>
        <v>0</v>
      </c>
      <c r="M201" s="1097">
        <v>0.35</v>
      </c>
      <c r="N201" s="1224">
        <v>3.99</v>
      </c>
      <c r="O201" s="1096"/>
      <c r="P201" s="1250">
        <f t="shared" si="32"/>
        <v>0</v>
      </c>
      <c r="Q201" s="1097">
        <v>0.35</v>
      </c>
      <c r="R201" s="1097" t="str">
        <f>IFERROR(INDEX('[18]Gui chi Quynh'!$E$11:$E$397,MATCH(B201,'[18]Gui chi Quynh'!$B$11:$B$397,0)),"")</f>
        <v>A4</v>
      </c>
      <c r="S201" s="1097">
        <f t="shared" si="33"/>
        <v>0.5</v>
      </c>
      <c r="T201" s="1097" t="str">
        <f>VLOOKUP(B201,'[19]Gui chi Quynh'!$B$11:$E$397,4,FALSE)</f>
        <v>A4</v>
      </c>
      <c r="U201" s="1097">
        <f t="shared" si="34"/>
        <v>0.5</v>
      </c>
      <c r="V201" s="1097" t="str">
        <f>VLOOKUP(B201,'[20]Gui chi Quynh'!$B$11:$E$396,4,FALSE)</f>
        <v>A3</v>
      </c>
      <c r="W201" s="1097">
        <f t="shared" si="35"/>
        <v>0.6</v>
      </c>
      <c r="X201" s="1097">
        <f>IFERROR(INDEX('[21]CN BC'!$J$10:$J$275,MATCH(B201,'[21]CN BC'!$H$10:$H$275,0)),"")</f>
        <v>23</v>
      </c>
      <c r="Y201" s="1097">
        <f>IFERROR(INDEX('[22]CN BC'!$J$10:$J$274,MATCH(B201,'[22]CN BC'!$H$10:$H$274,0)),"")</f>
        <v>15</v>
      </c>
      <c r="Z201" s="1097">
        <f>VLOOKUP(B201,'[23]CN BC'!$H$10:$J$275,3,FALSE)</f>
        <v>19</v>
      </c>
      <c r="AA201" s="1213">
        <f t="shared" si="36"/>
        <v>23</v>
      </c>
      <c r="AB201" s="1213">
        <f t="shared" si="37"/>
        <v>15</v>
      </c>
      <c r="AC201" s="1213">
        <f t="shared" si="38"/>
        <v>19</v>
      </c>
      <c r="AD201" s="1098"/>
      <c r="AE201" s="1214">
        <f t="shared" si="39"/>
        <v>13983946</v>
      </c>
      <c r="AF201" s="1400">
        <f t="shared" si="28"/>
        <v>5.9760452991452988</v>
      </c>
      <c r="AG201" s="1225">
        <v>2340000</v>
      </c>
      <c r="AH201" s="1401">
        <f t="shared" si="29"/>
        <v>13983946</v>
      </c>
      <c r="AI201" s="1099">
        <f t="shared" si="40"/>
        <v>184</v>
      </c>
      <c r="AJ201" s="1215" t="s">
        <v>2363</v>
      </c>
      <c r="AK201" s="1011" t="str">
        <f>VLOOKUP(B201,TH.T4!B203:AC533,28,FALSE)</f>
        <v>CK</v>
      </c>
      <c r="AL201" s="1012"/>
      <c r="AM201" s="1012"/>
      <c r="AN201" s="1027"/>
      <c r="AO201" s="1012"/>
      <c r="AP201" s="1012"/>
      <c r="AQ201" s="1012"/>
      <c r="AR201" s="1012"/>
      <c r="AS201" s="1012"/>
      <c r="AT201" s="1012"/>
    </row>
    <row r="202" spans="1:50" s="1028" customFormat="1" ht="30" customHeight="1">
      <c r="A202" s="1014">
        <f>_xlfn.AGGREGATE(4,7,A$17:A201)+1</f>
        <v>185</v>
      </c>
      <c r="B202" s="1093" t="s">
        <v>1527</v>
      </c>
      <c r="C202" s="1094" t="s">
        <v>1767</v>
      </c>
      <c r="D202" s="1212" t="s">
        <v>1379</v>
      </c>
      <c r="E202" s="554" t="str">
        <f>VLOOKUP(B202,TH.T6!B114:J444,9,FALSE)</f>
        <v>Giảng viên khoa Cơ khí</v>
      </c>
      <c r="F202" s="1224">
        <v>3.66</v>
      </c>
      <c r="G202" s="1096"/>
      <c r="H202" s="1249">
        <f t="shared" si="30"/>
        <v>0</v>
      </c>
      <c r="I202" s="1097"/>
      <c r="J202" s="1224">
        <v>3.66</v>
      </c>
      <c r="K202" s="1096"/>
      <c r="L202" s="1249">
        <f t="shared" si="31"/>
        <v>0</v>
      </c>
      <c r="M202" s="1097"/>
      <c r="N202" s="1224">
        <v>3.99</v>
      </c>
      <c r="O202" s="1096"/>
      <c r="P202" s="1250">
        <f t="shared" si="32"/>
        <v>0</v>
      </c>
      <c r="Q202" s="1097"/>
      <c r="R202" s="1097" t="str">
        <f>IFERROR(INDEX('[18]Gui chi Quynh'!$E$11:$E$397,MATCH(B202,'[18]Gui chi Quynh'!$B$11:$B$397,0)),"")</f>
        <v>A4</v>
      </c>
      <c r="S202" s="1097">
        <f t="shared" si="33"/>
        <v>0.5</v>
      </c>
      <c r="T202" s="1097" t="str">
        <f>VLOOKUP(B202,'[19]Gui chi Quynh'!$B$11:$E$397,4,FALSE)</f>
        <v>A DN</v>
      </c>
      <c r="U202" s="1097">
        <f t="shared" si="34"/>
        <v>0</v>
      </c>
      <c r="V202" s="1097" t="str">
        <f>VLOOKUP(B202,'[20]Gui chi Quynh'!$B$11:$E$396,4,FALSE)</f>
        <v>A4</v>
      </c>
      <c r="W202" s="1097">
        <f t="shared" si="35"/>
        <v>0.5</v>
      </c>
      <c r="X202" s="1097">
        <f>IFERROR(INDEX('[21]CN BC'!$J$10:$J$275,MATCH(B202,'[21]CN BC'!$H$10:$H$275,0)),"")</f>
        <v>21</v>
      </c>
      <c r="Y202" s="1097">
        <f>IFERROR(INDEX('[22]CN BC'!$J$10:$J$274,MATCH(B202,'[22]CN BC'!$H$10:$H$274,0)),"")</f>
        <v>0</v>
      </c>
      <c r="Z202" s="1097">
        <f>VLOOKUP(B202,'[23]CN BC'!$H$10:$J$275,3,FALSE)</f>
        <v>19</v>
      </c>
      <c r="AA202" s="1213">
        <f t="shared" si="36"/>
        <v>21</v>
      </c>
      <c r="AB202" s="1213">
        <f t="shared" si="37"/>
        <v>0</v>
      </c>
      <c r="AC202" s="1213">
        <f t="shared" si="38"/>
        <v>19</v>
      </c>
      <c r="AD202" s="1098"/>
      <c r="AE202" s="1214">
        <f t="shared" si="39"/>
        <v>8578135</v>
      </c>
      <c r="AF202" s="1400">
        <f t="shared" si="28"/>
        <v>3.6658696581196581</v>
      </c>
      <c r="AG202" s="1225">
        <v>2340000</v>
      </c>
      <c r="AH202" s="1401">
        <f t="shared" si="29"/>
        <v>8578135</v>
      </c>
      <c r="AI202" s="1099">
        <f t="shared" si="40"/>
        <v>185</v>
      </c>
      <c r="AJ202" s="1215" t="s">
        <v>2363</v>
      </c>
      <c r="AK202" s="1011" t="str">
        <f>VLOOKUP(B202,TH.T4!B204:AC534,28,FALSE)</f>
        <v>CK</v>
      </c>
      <c r="AL202" s="1012"/>
      <c r="AM202" s="1012"/>
      <c r="AN202" s="1038"/>
    </row>
    <row r="203" spans="1:50" s="1028" customFormat="1" ht="27.75" customHeight="1">
      <c r="A203" s="1014">
        <f>_xlfn.AGGREGATE(4,7,A$17:A202)+1</f>
        <v>186</v>
      </c>
      <c r="B203" s="1015" t="s">
        <v>1893</v>
      </c>
      <c r="C203" s="1033" t="s">
        <v>1768</v>
      </c>
      <c r="D203" s="1034" t="s">
        <v>387</v>
      </c>
      <c r="E203" s="81" t="str">
        <f>VLOOKUP(B203,TH.T6!B115:J445,9,FALSE)</f>
        <v>Giảng viên khoa Cơ khí</v>
      </c>
      <c r="F203" s="1040">
        <v>3.66</v>
      </c>
      <c r="G203" s="1019"/>
      <c r="H203" s="1247">
        <f t="shared" si="30"/>
        <v>0</v>
      </c>
      <c r="I203" s="1020"/>
      <c r="J203" s="1040">
        <v>3.66</v>
      </c>
      <c r="K203" s="1019"/>
      <c r="L203" s="1247">
        <f t="shared" si="31"/>
        <v>0</v>
      </c>
      <c r="M203" s="1020"/>
      <c r="N203" s="1040">
        <v>3.66</v>
      </c>
      <c r="O203" s="1019"/>
      <c r="P203" s="1248">
        <f t="shared" si="32"/>
        <v>0</v>
      </c>
      <c r="Q203" s="1020"/>
      <c r="R203" s="1020" t="str">
        <f>IFERROR(INDEX('[18]Gui chi Quynh'!$E$11:$E$397,MATCH(B203,'[18]Gui chi Quynh'!$B$11:$B$397,0)),"")</f>
        <v>A4</v>
      </c>
      <c r="S203" s="1020">
        <f t="shared" si="33"/>
        <v>0.5</v>
      </c>
      <c r="T203" s="1020" t="str">
        <f>VLOOKUP(B203,'[19]Gui chi Quynh'!$B$11:$E$397,4,FALSE)</f>
        <v>A DN</v>
      </c>
      <c r="U203" s="1020">
        <f t="shared" si="34"/>
        <v>0</v>
      </c>
      <c r="V203" s="1020" t="str">
        <f>VLOOKUP(B203,'[20]Gui chi Quynh'!$B$11:$E$396,4,FALSE)</f>
        <v>A3</v>
      </c>
      <c r="W203" s="1020">
        <f t="shared" si="35"/>
        <v>0.6</v>
      </c>
      <c r="X203" s="1020">
        <f>IFERROR(INDEX('[21]CN BC'!$J$10:$J$275,MATCH(B203,'[21]CN BC'!$H$10:$H$275,0)),"")</f>
        <v>23</v>
      </c>
      <c r="Y203" s="1020">
        <f>IFERROR(INDEX('[22]CN BC'!$J$10:$J$274,MATCH(B203,'[22]CN BC'!$H$10:$H$274,0)),"")</f>
        <v>0</v>
      </c>
      <c r="Z203" s="1020">
        <f>VLOOKUP(B203,'[23]CN BC'!$H$10:$J$275,3,FALSE)</f>
        <v>19</v>
      </c>
      <c r="AA203" s="1021">
        <f t="shared" si="36"/>
        <v>23</v>
      </c>
      <c r="AB203" s="1021">
        <f t="shared" si="37"/>
        <v>0</v>
      </c>
      <c r="AC203" s="1021">
        <f t="shared" si="38"/>
        <v>19</v>
      </c>
      <c r="AD203" s="1022"/>
      <c r="AE203" s="1023">
        <f t="shared" si="39"/>
        <v>9420840</v>
      </c>
      <c r="AF203" s="1371">
        <f t="shared" si="28"/>
        <v>4.0259999999999998</v>
      </c>
      <c r="AG203" s="1102">
        <v>2340000</v>
      </c>
      <c r="AH203" s="1373">
        <f t="shared" si="29"/>
        <v>9420840</v>
      </c>
      <c r="AI203" s="1024">
        <f t="shared" si="40"/>
        <v>186</v>
      </c>
      <c r="AJ203" s="1025">
        <f>IFERROR(INDEX('[17]CN BC'!$M$10:$M$276,MATCH(B203,'[17]CN BC'!$H$10:$H$276,0)),"")</f>
        <v>0</v>
      </c>
      <c r="AK203" s="1011" t="str">
        <f>VLOOKUP(B203,TH.T4!B205:AC535,28,FALSE)</f>
        <v>CK</v>
      </c>
      <c r="AL203" s="1012"/>
      <c r="AM203" s="1012"/>
      <c r="AN203" s="1027"/>
      <c r="AO203" s="1012"/>
      <c r="AP203" s="1012"/>
      <c r="AQ203" s="1012"/>
      <c r="AR203" s="1012"/>
      <c r="AS203" s="1012"/>
      <c r="AT203" s="1012"/>
    </row>
    <row r="204" spans="1:50" s="1028" customFormat="1" ht="27.75" customHeight="1">
      <c r="A204" s="1014">
        <f>_xlfn.AGGREGATE(4,7,A$17:A203)+1</f>
        <v>187</v>
      </c>
      <c r="B204" s="1015" t="s">
        <v>1894</v>
      </c>
      <c r="C204" s="1033" t="s">
        <v>1769</v>
      </c>
      <c r="D204" s="1034" t="s">
        <v>388</v>
      </c>
      <c r="E204" s="81" t="str">
        <f>VLOOKUP(B204,TH.T6!B116:J446,9,FALSE)</f>
        <v>Giảng viên khoa Cơ khí</v>
      </c>
      <c r="F204" s="1040">
        <v>3.66</v>
      </c>
      <c r="G204" s="1019"/>
      <c r="H204" s="1247">
        <f t="shared" si="30"/>
        <v>0</v>
      </c>
      <c r="I204" s="1020"/>
      <c r="J204" s="1040">
        <v>3.66</v>
      </c>
      <c r="K204" s="1019"/>
      <c r="L204" s="1247">
        <f t="shared" si="31"/>
        <v>0</v>
      </c>
      <c r="M204" s="1020"/>
      <c r="N204" s="1040">
        <v>3.66</v>
      </c>
      <c r="O204" s="1019"/>
      <c r="P204" s="1248">
        <f t="shared" si="32"/>
        <v>0</v>
      </c>
      <c r="Q204" s="1020"/>
      <c r="R204" s="1020" t="str">
        <f>IFERROR(INDEX('[18]Gui chi Quynh'!$E$11:$E$397,MATCH(B204,'[18]Gui chi Quynh'!$B$11:$B$397,0)),"")</f>
        <v>A4</v>
      </c>
      <c r="S204" s="1020">
        <f t="shared" si="33"/>
        <v>0.5</v>
      </c>
      <c r="T204" s="1020" t="str">
        <f>VLOOKUP(B204,'[19]Gui chi Quynh'!$B$11:$E$397,4,FALSE)</f>
        <v>A DN</v>
      </c>
      <c r="U204" s="1020">
        <f t="shared" si="34"/>
        <v>0</v>
      </c>
      <c r="V204" s="1020" t="str">
        <f>VLOOKUP(B204,'[20]Gui chi Quynh'!$B$11:$E$396,4,FALSE)</f>
        <v>A4</v>
      </c>
      <c r="W204" s="1020">
        <f t="shared" si="35"/>
        <v>0.5</v>
      </c>
      <c r="X204" s="1020">
        <f>IFERROR(INDEX('[21]CN BC'!$J$10:$J$275,MATCH(B204,'[21]CN BC'!$H$10:$H$275,0)),"")</f>
        <v>23</v>
      </c>
      <c r="Y204" s="1020">
        <f>IFERROR(INDEX('[22]CN BC'!$J$10:$J$274,MATCH(B204,'[22]CN BC'!$H$10:$H$274,0)),"")</f>
        <v>0</v>
      </c>
      <c r="Z204" s="1020">
        <f>VLOOKUP(B204,'[23]CN BC'!$H$10:$J$275,3,FALSE)</f>
        <v>19</v>
      </c>
      <c r="AA204" s="1021">
        <f t="shared" si="36"/>
        <v>23</v>
      </c>
      <c r="AB204" s="1021">
        <f t="shared" si="37"/>
        <v>0</v>
      </c>
      <c r="AC204" s="1021">
        <f t="shared" si="38"/>
        <v>19</v>
      </c>
      <c r="AD204" s="1022"/>
      <c r="AE204" s="1023">
        <f t="shared" si="39"/>
        <v>8564400</v>
      </c>
      <c r="AF204" s="1371">
        <f t="shared" si="28"/>
        <v>3.66</v>
      </c>
      <c r="AG204" s="1102">
        <v>2340000</v>
      </c>
      <c r="AH204" s="1373">
        <f t="shared" si="29"/>
        <v>8564400</v>
      </c>
      <c r="AI204" s="1024">
        <f t="shared" si="40"/>
        <v>187</v>
      </c>
      <c r="AJ204" s="1025">
        <f>IFERROR(INDEX('[17]CN BC'!$M$10:$M$276,MATCH(B204,'[17]CN BC'!$H$10:$H$276,0)),"")</f>
        <v>0</v>
      </c>
      <c r="AK204" s="1011" t="str">
        <f>VLOOKUP(B204,TH.T4!B206:AC536,28,FALSE)</f>
        <v>CK</v>
      </c>
      <c r="AL204" s="1012"/>
      <c r="AM204" s="1012"/>
      <c r="AN204" s="1027"/>
      <c r="AO204" s="1012"/>
      <c r="AP204" s="1012"/>
      <c r="AQ204" s="1012"/>
      <c r="AR204" s="1012"/>
      <c r="AS204" s="1012"/>
      <c r="AT204" s="1012"/>
    </row>
    <row r="205" spans="1:50" s="1028" customFormat="1" ht="32.25" customHeight="1">
      <c r="A205" s="1014">
        <f>_xlfn.AGGREGATE(4,7,A$17:A204)+1</f>
        <v>188</v>
      </c>
      <c r="B205" s="1015" t="s">
        <v>2023</v>
      </c>
      <c r="C205" s="1033" t="s">
        <v>1770</v>
      </c>
      <c r="D205" s="1034" t="s">
        <v>386</v>
      </c>
      <c r="E205" s="81" t="str">
        <f>VLOOKUP(B205,TH.T6!B117:J447,9,FALSE)</f>
        <v>Giảng viên khoa Cơ khí</v>
      </c>
      <c r="F205" s="1040">
        <v>3.66</v>
      </c>
      <c r="G205" s="1019"/>
      <c r="H205" s="1247">
        <f t="shared" si="30"/>
        <v>0</v>
      </c>
      <c r="I205" s="1020"/>
      <c r="J205" s="1040">
        <v>3.66</v>
      </c>
      <c r="K205" s="1019"/>
      <c r="L205" s="1247">
        <f t="shared" si="31"/>
        <v>0</v>
      </c>
      <c r="M205" s="1020"/>
      <c r="N205" s="1040">
        <v>3.66</v>
      </c>
      <c r="O205" s="1019"/>
      <c r="P205" s="1248">
        <f t="shared" si="32"/>
        <v>0</v>
      </c>
      <c r="Q205" s="1020"/>
      <c r="R205" s="1020" t="str">
        <f>IFERROR(INDEX('[18]Gui chi Quynh'!$E$11:$E$397,MATCH(B205,'[18]Gui chi Quynh'!$B$11:$B$397,0)),"")</f>
        <v>A4</v>
      </c>
      <c r="S205" s="1020">
        <f t="shared" si="33"/>
        <v>0.5</v>
      </c>
      <c r="T205" s="1020" t="str">
        <f>VLOOKUP(B205,'[19]Gui chi Quynh'!$B$11:$E$397,4,FALSE)</f>
        <v>A DN</v>
      </c>
      <c r="U205" s="1020">
        <f t="shared" si="34"/>
        <v>0</v>
      </c>
      <c r="V205" s="1020" t="str">
        <f>VLOOKUP(B205,'[20]Gui chi Quynh'!$B$11:$E$396,4,FALSE)</f>
        <v>A4</v>
      </c>
      <c r="W205" s="1020">
        <f t="shared" si="35"/>
        <v>0.5</v>
      </c>
      <c r="X205" s="1020">
        <f>IFERROR(INDEX('[21]CN BC'!$J$10:$J$275,MATCH(B205,'[21]CN BC'!$H$10:$H$275,0)),"")</f>
        <v>23</v>
      </c>
      <c r="Y205" s="1020">
        <f>IFERROR(INDEX('[22]CN BC'!$J$10:$J$274,MATCH(B205,'[22]CN BC'!$H$10:$H$274,0)),"")</f>
        <v>0</v>
      </c>
      <c r="Z205" s="1020">
        <f>VLOOKUP(B205,'[23]CN BC'!$H$10:$J$275,3,FALSE)</f>
        <v>19</v>
      </c>
      <c r="AA205" s="1021">
        <f t="shared" si="36"/>
        <v>23</v>
      </c>
      <c r="AB205" s="1021">
        <f t="shared" si="37"/>
        <v>0</v>
      </c>
      <c r="AC205" s="1021">
        <f t="shared" si="38"/>
        <v>19</v>
      </c>
      <c r="AD205" s="1022"/>
      <c r="AE205" s="1023">
        <f t="shared" si="39"/>
        <v>8564400</v>
      </c>
      <c r="AF205" s="1371">
        <f t="shared" si="28"/>
        <v>3.66</v>
      </c>
      <c r="AG205" s="1102">
        <v>2340000</v>
      </c>
      <c r="AH205" s="1373">
        <f t="shared" si="29"/>
        <v>8564400</v>
      </c>
      <c r="AI205" s="1024">
        <f t="shared" si="40"/>
        <v>188</v>
      </c>
      <c r="AJ205" s="1025">
        <f>IFERROR(INDEX('[17]CN BC'!$M$10:$M$276,MATCH(B205,'[17]CN BC'!$H$10:$H$276,0)),"")</f>
        <v>0</v>
      </c>
      <c r="AK205" s="1011" t="str">
        <f>VLOOKUP(B205,TH.T4!B207:AC537,28,FALSE)</f>
        <v>CK</v>
      </c>
      <c r="AN205" s="1038"/>
    </row>
    <row r="206" spans="1:50" s="1028" customFormat="1" ht="27.75" customHeight="1">
      <c r="A206" s="1014">
        <f>_xlfn.AGGREGATE(4,7,A$17:A205)+1</f>
        <v>189</v>
      </c>
      <c r="B206" s="1015" t="s">
        <v>1528</v>
      </c>
      <c r="C206" s="1029" t="s">
        <v>1771</v>
      </c>
      <c r="D206" s="1034" t="s">
        <v>456</v>
      </c>
      <c r="E206" s="81" t="str">
        <f>VLOOKUP(B206,TH.T6!B118:J448,9,FALSE)</f>
        <v>Giảng viên khoa Cơ khí</v>
      </c>
      <c r="F206" s="1040">
        <v>3.66</v>
      </c>
      <c r="G206" s="1019"/>
      <c r="H206" s="1247">
        <f t="shared" si="30"/>
        <v>0</v>
      </c>
      <c r="I206" s="1020"/>
      <c r="J206" s="1040">
        <v>3.66</v>
      </c>
      <c r="K206" s="1019"/>
      <c r="L206" s="1247">
        <f t="shared" si="31"/>
        <v>0</v>
      </c>
      <c r="M206" s="1020"/>
      <c r="N206" s="1040">
        <v>3.66</v>
      </c>
      <c r="O206" s="1019"/>
      <c r="P206" s="1248">
        <f t="shared" si="32"/>
        <v>0</v>
      </c>
      <c r="Q206" s="1020"/>
      <c r="R206" s="1020" t="str">
        <f>IFERROR(INDEX('[18]Gui chi Quynh'!$E$11:$E$397,MATCH(B206,'[18]Gui chi Quynh'!$B$11:$B$397,0)),"")</f>
        <v>A4</v>
      </c>
      <c r="S206" s="1020">
        <f t="shared" si="33"/>
        <v>0.5</v>
      </c>
      <c r="T206" s="1020" t="str">
        <f>VLOOKUP(B206,'[19]Gui chi Quynh'!$B$11:$E$397,4,FALSE)</f>
        <v>A DN</v>
      </c>
      <c r="U206" s="1020">
        <f t="shared" si="34"/>
        <v>0</v>
      </c>
      <c r="V206" s="1020" t="str">
        <f>VLOOKUP(B206,'[20]Gui chi Quynh'!$B$11:$E$396,4,FALSE)</f>
        <v>A4</v>
      </c>
      <c r="W206" s="1020">
        <f t="shared" si="35"/>
        <v>0.5</v>
      </c>
      <c r="X206" s="1020">
        <f>IFERROR(INDEX('[21]CN BC'!$J$10:$J$275,MATCH(B206,'[21]CN BC'!$H$10:$H$275,0)),"")</f>
        <v>23</v>
      </c>
      <c r="Y206" s="1020">
        <f>IFERROR(INDEX('[22]CN BC'!$J$10:$J$274,MATCH(B206,'[22]CN BC'!$H$10:$H$274,0)),"")</f>
        <v>0</v>
      </c>
      <c r="Z206" s="1020">
        <f>VLOOKUP(B206,'[23]CN BC'!$H$10:$J$275,3,FALSE)</f>
        <v>19</v>
      </c>
      <c r="AA206" s="1021">
        <f t="shared" si="36"/>
        <v>23</v>
      </c>
      <c r="AB206" s="1021">
        <f t="shared" si="37"/>
        <v>0</v>
      </c>
      <c r="AC206" s="1021">
        <f t="shared" si="38"/>
        <v>19</v>
      </c>
      <c r="AD206" s="1022"/>
      <c r="AE206" s="1023">
        <f t="shared" si="39"/>
        <v>8564400</v>
      </c>
      <c r="AF206" s="1371">
        <f t="shared" si="28"/>
        <v>3.66</v>
      </c>
      <c r="AG206" s="1102">
        <v>2340000</v>
      </c>
      <c r="AH206" s="1373">
        <f t="shared" si="29"/>
        <v>8564400</v>
      </c>
      <c r="AI206" s="1024">
        <f t="shared" si="40"/>
        <v>189</v>
      </c>
      <c r="AJ206" s="1025">
        <f>IFERROR(INDEX('[17]CN BC'!$M$10:$M$276,MATCH(B206,'[17]CN BC'!$H$10:$H$276,0)),"")</f>
        <v>0</v>
      </c>
      <c r="AK206" s="1011" t="str">
        <f>VLOOKUP(B206,TH.T4!B208:AC538,28,FALSE)</f>
        <v>CK</v>
      </c>
      <c r="AL206" s="1012"/>
      <c r="AM206" s="1012"/>
      <c r="AN206" s="1027"/>
      <c r="AO206" s="1012"/>
      <c r="AP206" s="1012"/>
      <c r="AQ206" s="1012"/>
      <c r="AR206" s="1012"/>
      <c r="AS206" s="1012"/>
      <c r="AT206" s="1012"/>
      <c r="AU206" s="1012"/>
      <c r="AV206" s="1012"/>
      <c r="AW206" s="1012"/>
      <c r="AX206" s="1012"/>
    </row>
    <row r="207" spans="1:50" s="1028" customFormat="1" ht="33.75" customHeight="1">
      <c r="A207" s="1014">
        <f>_xlfn.AGGREGATE(4,7,A$17:A206)+1</f>
        <v>190</v>
      </c>
      <c r="B207" s="1093" t="s">
        <v>1529</v>
      </c>
      <c r="C207" s="1094" t="s">
        <v>1772</v>
      </c>
      <c r="D207" s="1212" t="s">
        <v>743</v>
      </c>
      <c r="E207" s="554" t="str">
        <f>VLOOKUP(B207,TH.T6!B119:J449,9,FALSE)</f>
        <v>Giảng viên - Trưởng BM khoa Cơ khí</v>
      </c>
      <c r="F207" s="1224">
        <v>3.33</v>
      </c>
      <c r="G207" s="1096"/>
      <c r="H207" s="1249">
        <f t="shared" si="30"/>
        <v>0</v>
      </c>
      <c r="I207" s="1097">
        <v>0.25</v>
      </c>
      <c r="J207" s="1224">
        <v>3.33</v>
      </c>
      <c r="K207" s="1096"/>
      <c r="L207" s="1249">
        <f t="shared" si="31"/>
        <v>0</v>
      </c>
      <c r="M207" s="1097">
        <v>0.25</v>
      </c>
      <c r="N207" s="1224">
        <v>3.66</v>
      </c>
      <c r="O207" s="1096"/>
      <c r="P207" s="1250">
        <f t="shared" si="32"/>
        <v>0</v>
      </c>
      <c r="Q207" s="1097">
        <v>0.25</v>
      </c>
      <c r="R207" s="1097" t="str">
        <f>IFERROR(INDEX('[18]Gui chi Quynh'!$E$11:$E$397,MATCH(B207,'[18]Gui chi Quynh'!$B$11:$B$397,0)),"")</f>
        <v>A1</v>
      </c>
      <c r="S207" s="1097">
        <f t="shared" si="33"/>
        <v>0.8</v>
      </c>
      <c r="T207" s="1097" t="str">
        <f>VLOOKUP(B207,'[19]Gui chi Quynh'!$B$11:$E$397,4,FALSE)</f>
        <v>A DN</v>
      </c>
      <c r="U207" s="1097">
        <f t="shared" si="34"/>
        <v>0</v>
      </c>
      <c r="V207" s="1097" t="str">
        <f>VLOOKUP(B207,'[20]Gui chi Quynh'!$B$11:$E$396,4,FALSE)</f>
        <v>A1</v>
      </c>
      <c r="W207" s="1097">
        <f t="shared" si="35"/>
        <v>0.8</v>
      </c>
      <c r="X207" s="1097">
        <f>IFERROR(INDEX('[21]CN BC'!$J$10:$J$275,MATCH(B207,'[21]CN BC'!$H$10:$H$275,0)),"")</f>
        <v>21</v>
      </c>
      <c r="Y207" s="1097">
        <f>IFERROR(INDEX('[22]CN BC'!$J$10:$J$274,MATCH(B207,'[22]CN BC'!$H$10:$H$274,0)),"")</f>
        <v>0</v>
      </c>
      <c r="Z207" s="1097">
        <f>VLOOKUP(B207,'[23]CN BC'!$H$10:$J$275,3,FALSE)</f>
        <v>19</v>
      </c>
      <c r="AA207" s="1213">
        <f t="shared" si="36"/>
        <v>21</v>
      </c>
      <c r="AB207" s="1213">
        <f t="shared" si="37"/>
        <v>0</v>
      </c>
      <c r="AC207" s="1213">
        <f t="shared" si="38"/>
        <v>19</v>
      </c>
      <c r="AD207" s="1098"/>
      <c r="AE207" s="1214">
        <f t="shared" si="39"/>
        <v>13438518</v>
      </c>
      <c r="AF207" s="1400">
        <f t="shared" si="28"/>
        <v>5.7429564102564106</v>
      </c>
      <c r="AG207" s="1225">
        <v>2340000</v>
      </c>
      <c r="AH207" s="1401">
        <f t="shared" si="29"/>
        <v>13438518</v>
      </c>
      <c r="AI207" s="1099">
        <f t="shared" si="40"/>
        <v>190</v>
      </c>
      <c r="AJ207" s="1215" t="s">
        <v>2363</v>
      </c>
      <c r="AK207" s="1011" t="str">
        <f>VLOOKUP(B207,TH.T4!B209:AC539,28,FALSE)</f>
        <v>CK</v>
      </c>
      <c r="AL207" s="1012"/>
      <c r="AM207" s="1012"/>
      <c r="AN207" s="1027"/>
      <c r="AO207" s="1012"/>
      <c r="AP207" s="1012"/>
      <c r="AQ207" s="1012"/>
      <c r="AR207" s="1012"/>
      <c r="AS207" s="1012"/>
      <c r="AT207" s="1012"/>
      <c r="AU207" s="1012"/>
      <c r="AV207" s="1012"/>
      <c r="AW207" s="1012"/>
      <c r="AX207" s="1012"/>
    </row>
    <row r="208" spans="1:50" s="1028" customFormat="1" ht="30" customHeight="1">
      <c r="A208" s="1014">
        <f>_xlfn.AGGREGATE(4,7,A$17:A207)+1</f>
        <v>191</v>
      </c>
      <c r="B208" s="1015" t="s">
        <v>1530</v>
      </c>
      <c r="C208" s="1033" t="s">
        <v>1773</v>
      </c>
      <c r="D208" s="1057">
        <v>1603205357641</v>
      </c>
      <c r="E208" s="81" t="str">
        <f>VLOOKUP(B208,TH.T6!B120:J450,9,FALSE)</f>
        <v>Giảng viên khoa Cơ khí</v>
      </c>
      <c r="F208" s="1040">
        <v>3.66</v>
      </c>
      <c r="G208" s="1019"/>
      <c r="H208" s="1247">
        <f t="shared" si="30"/>
        <v>0</v>
      </c>
      <c r="I208" s="1020"/>
      <c r="J208" s="1040">
        <v>3.66</v>
      </c>
      <c r="K208" s="1019"/>
      <c r="L208" s="1247">
        <f t="shared" si="31"/>
        <v>0</v>
      </c>
      <c r="M208" s="1020"/>
      <c r="N208" s="1040">
        <v>3.66</v>
      </c>
      <c r="O208" s="1019"/>
      <c r="P208" s="1248">
        <f t="shared" si="32"/>
        <v>0</v>
      </c>
      <c r="Q208" s="1020"/>
      <c r="R208" s="1020" t="str">
        <f>IFERROR(INDEX('[18]Gui chi Quynh'!$E$11:$E$397,MATCH(B208,'[18]Gui chi Quynh'!$B$11:$B$397,0)),"")</f>
        <v>A4</v>
      </c>
      <c r="S208" s="1020">
        <f t="shared" si="33"/>
        <v>0.5</v>
      </c>
      <c r="T208" s="1020" t="str">
        <f>VLOOKUP(B208,'[19]Gui chi Quynh'!$B$11:$E$397,4,FALSE)</f>
        <v>A DN</v>
      </c>
      <c r="U208" s="1020">
        <f t="shared" si="34"/>
        <v>0</v>
      </c>
      <c r="V208" s="1020" t="str">
        <f>VLOOKUP(B208,'[20]Gui chi Quynh'!$B$11:$E$396,4,FALSE)</f>
        <v>A4</v>
      </c>
      <c r="W208" s="1020">
        <f t="shared" si="35"/>
        <v>0.5</v>
      </c>
      <c r="X208" s="1020">
        <f>IFERROR(INDEX('[21]CN BC'!$J$10:$J$275,MATCH(B208,'[21]CN BC'!$H$10:$H$275,0)),"")</f>
        <v>21</v>
      </c>
      <c r="Y208" s="1020">
        <f>IFERROR(INDEX('[22]CN BC'!$J$10:$J$274,MATCH(B208,'[22]CN BC'!$H$10:$H$274,0)),"")</f>
        <v>0</v>
      </c>
      <c r="Z208" s="1020">
        <f>VLOOKUP(B208,'[23]CN BC'!$H$10:$J$275,3,FALSE)</f>
        <v>19</v>
      </c>
      <c r="AA208" s="1021">
        <f t="shared" si="36"/>
        <v>21</v>
      </c>
      <c r="AB208" s="1021">
        <f t="shared" si="37"/>
        <v>0</v>
      </c>
      <c r="AC208" s="1021">
        <f t="shared" si="38"/>
        <v>19</v>
      </c>
      <c r="AD208" s="1022"/>
      <c r="AE208" s="1023">
        <f t="shared" si="39"/>
        <v>8192035</v>
      </c>
      <c r="AF208" s="1371">
        <f t="shared" si="28"/>
        <v>3.5008696581196581</v>
      </c>
      <c r="AG208" s="1102">
        <v>2340000</v>
      </c>
      <c r="AH208" s="1373">
        <f t="shared" si="29"/>
        <v>8192035</v>
      </c>
      <c r="AI208" s="1024">
        <f t="shared" si="40"/>
        <v>191</v>
      </c>
      <c r="AJ208" s="1025">
        <f>IFERROR(INDEX('[17]CN BC'!$M$10:$M$276,MATCH(B208,'[17]CN BC'!$H$10:$H$276,0)),"")</f>
        <v>0</v>
      </c>
      <c r="AK208" s="1011" t="str">
        <f>VLOOKUP(B208,TH.T4!B210:AC540,28,FALSE)</f>
        <v>CK</v>
      </c>
      <c r="AL208" s="1105"/>
      <c r="AN208" s="1038"/>
    </row>
    <row r="209" spans="1:50" s="1028" customFormat="1" ht="25.9" customHeight="1">
      <c r="A209" s="1014">
        <f>_xlfn.AGGREGATE(4,7,A$17:A208)+1</f>
        <v>192</v>
      </c>
      <c r="B209" s="1015" t="s">
        <v>1531</v>
      </c>
      <c r="C209" s="1029" t="s">
        <v>1774</v>
      </c>
      <c r="D209" s="1057">
        <v>1603205357120</v>
      </c>
      <c r="E209" s="81" t="str">
        <f>VLOOKUP(B209,TH.T6!B121:J451,9,FALSE)</f>
        <v>Giảng viên khoa Cơ khí</v>
      </c>
      <c r="F209" s="1040">
        <v>3.33</v>
      </c>
      <c r="G209" s="1019"/>
      <c r="H209" s="1247">
        <f t="shared" si="30"/>
        <v>0</v>
      </c>
      <c r="I209" s="1020"/>
      <c r="J209" s="1040">
        <v>3.33</v>
      </c>
      <c r="K209" s="1019"/>
      <c r="L209" s="1247">
        <f t="shared" si="31"/>
        <v>0</v>
      </c>
      <c r="M209" s="1020"/>
      <c r="N209" s="1040">
        <v>3.33</v>
      </c>
      <c r="O209" s="1019"/>
      <c r="P209" s="1248">
        <f t="shared" si="32"/>
        <v>0</v>
      </c>
      <c r="Q209" s="1020"/>
      <c r="R209" s="1020" t="str">
        <f>IFERROR(INDEX('[18]Gui chi Quynh'!$E$11:$E$397,MATCH(B209,'[18]Gui chi Quynh'!$B$11:$B$397,0)),"")</f>
        <v>A3</v>
      </c>
      <c r="S209" s="1020">
        <f t="shared" si="33"/>
        <v>0.6</v>
      </c>
      <c r="T209" s="1020" t="str">
        <f>VLOOKUP(B209,'[19]Gui chi Quynh'!$B$11:$E$397,4,FALSE)</f>
        <v>A DN</v>
      </c>
      <c r="U209" s="1020">
        <f t="shared" si="34"/>
        <v>0</v>
      </c>
      <c r="V209" s="1020" t="str">
        <f>VLOOKUP(B209,'[20]Gui chi Quynh'!$B$11:$E$396,4,FALSE)</f>
        <v>A3</v>
      </c>
      <c r="W209" s="1020">
        <f t="shared" si="35"/>
        <v>0.6</v>
      </c>
      <c r="X209" s="1020">
        <f>IFERROR(INDEX('[21]CN BC'!$J$10:$J$275,MATCH(B209,'[21]CN BC'!$H$10:$H$275,0)),"")</f>
        <v>23</v>
      </c>
      <c r="Y209" s="1020">
        <f>IFERROR(INDEX('[22]CN BC'!$J$10:$J$274,MATCH(B209,'[22]CN BC'!$H$10:$H$274,0)),"")</f>
        <v>0</v>
      </c>
      <c r="Z209" s="1020">
        <f>VLOOKUP(B209,'[23]CN BC'!$H$10:$J$275,3,FALSE)</f>
        <v>19</v>
      </c>
      <c r="AA209" s="1021">
        <f t="shared" si="36"/>
        <v>23</v>
      </c>
      <c r="AB209" s="1021">
        <f t="shared" si="37"/>
        <v>0</v>
      </c>
      <c r="AC209" s="1021">
        <f t="shared" si="38"/>
        <v>19</v>
      </c>
      <c r="AD209" s="1022"/>
      <c r="AE209" s="1023">
        <f t="shared" si="39"/>
        <v>9350640</v>
      </c>
      <c r="AF209" s="1371">
        <f t="shared" si="28"/>
        <v>3.996</v>
      </c>
      <c r="AG209" s="1102">
        <v>2340000</v>
      </c>
      <c r="AH209" s="1373">
        <f t="shared" si="29"/>
        <v>9350640</v>
      </c>
      <c r="AI209" s="1024">
        <f t="shared" si="40"/>
        <v>192</v>
      </c>
      <c r="AJ209" s="1025">
        <f>IFERROR(INDEX('[17]CN BC'!$M$10:$M$276,MATCH(B209,'[17]CN BC'!$H$10:$H$276,0)),"")</f>
        <v>0</v>
      </c>
      <c r="AK209" s="1011" t="str">
        <f>VLOOKUP(B209,TH.T4!B211:AC541,28,FALSE)</f>
        <v>CK</v>
      </c>
      <c r="AL209" s="1012"/>
      <c r="AM209" s="1012"/>
      <c r="AN209" s="1027"/>
      <c r="AO209" s="1012"/>
      <c r="AP209" s="1012"/>
      <c r="AQ209" s="1012"/>
      <c r="AR209" s="1012"/>
      <c r="AS209" s="1012"/>
      <c r="AT209" s="1012"/>
      <c r="AU209" s="1012"/>
      <c r="AV209" s="1012"/>
      <c r="AW209" s="1012"/>
      <c r="AX209" s="1012"/>
    </row>
    <row r="210" spans="1:50" s="1028" customFormat="1" ht="32.25" customHeight="1">
      <c r="A210" s="1014">
        <f>_xlfn.AGGREGATE(4,7,A$17:A209)+1</f>
        <v>193</v>
      </c>
      <c r="B210" s="1093" t="s">
        <v>1895</v>
      </c>
      <c r="C210" s="1094" t="s">
        <v>1775</v>
      </c>
      <c r="D210" s="1212" t="s">
        <v>1261</v>
      </c>
      <c r="E210" s="554" t="str">
        <f>VLOOKUP(B210,TH.T6!B122:J452,9,FALSE)</f>
        <v>Giảng viên khoa Cơ khí</v>
      </c>
      <c r="F210" s="1095">
        <v>4.9800000000000004</v>
      </c>
      <c r="G210" s="1096">
        <v>7.0000000000000007E-2</v>
      </c>
      <c r="H210" s="1249">
        <f t="shared" si="30"/>
        <v>0.34899999999999998</v>
      </c>
      <c r="I210" s="1097"/>
      <c r="J210" s="1095">
        <v>4.9800000000000004</v>
      </c>
      <c r="K210" s="1096">
        <v>7.0000000000000007E-2</v>
      </c>
      <c r="L210" s="1249">
        <f t="shared" si="31"/>
        <v>0.34899999999999998</v>
      </c>
      <c r="M210" s="1097"/>
      <c r="N210" s="1095">
        <v>4.9800000000000004</v>
      </c>
      <c r="O210" s="1096">
        <v>0.08</v>
      </c>
      <c r="P210" s="1250">
        <f t="shared" si="32"/>
        <v>0.39800000000000002</v>
      </c>
      <c r="Q210" s="1097"/>
      <c r="R210" s="1097" t="str">
        <f>IFERROR(INDEX('[18]Gui chi Quynh'!$E$11:$E$397,MATCH(B210,'[18]Gui chi Quynh'!$B$11:$B$397,0)),"")</f>
        <v>A4</v>
      </c>
      <c r="S210" s="1097">
        <f t="shared" si="33"/>
        <v>0.5</v>
      </c>
      <c r="T210" s="1097" t="str">
        <f>VLOOKUP(B210,'[19]Gui chi Quynh'!$B$11:$E$397,4,FALSE)</f>
        <v>A DN</v>
      </c>
      <c r="U210" s="1097">
        <f t="shared" si="34"/>
        <v>0</v>
      </c>
      <c r="V210" s="1097" t="str">
        <f>VLOOKUP(B210,'[20]Gui chi Quynh'!$B$11:$E$396,4,FALSE)</f>
        <v>A4</v>
      </c>
      <c r="W210" s="1097">
        <f t="shared" si="35"/>
        <v>0.5</v>
      </c>
      <c r="X210" s="1097">
        <f>IFERROR(INDEX('[21]CN BC'!$J$10:$J$275,MATCH(B210,'[21]CN BC'!$H$10:$H$275,0)),"")</f>
        <v>23</v>
      </c>
      <c r="Y210" s="1097">
        <f>IFERROR(INDEX('[22]CN BC'!$J$10:$J$274,MATCH(B210,'[22]CN BC'!$H$10:$H$274,0)),"")</f>
        <v>0</v>
      </c>
      <c r="Z210" s="1097">
        <f>VLOOKUP(B210,'[23]CN BC'!$H$10:$J$275,3,FALSE)</f>
        <v>19</v>
      </c>
      <c r="AA210" s="1213">
        <f t="shared" si="36"/>
        <v>23</v>
      </c>
      <c r="AB210" s="1213">
        <f t="shared" si="37"/>
        <v>0</v>
      </c>
      <c r="AC210" s="1213">
        <f t="shared" si="38"/>
        <v>19</v>
      </c>
      <c r="AD210" s="1098"/>
      <c r="AE210" s="1214">
        <f t="shared" si="39"/>
        <v>12527190</v>
      </c>
      <c r="AF210" s="1400">
        <f t="shared" ref="AF210:AF273" si="41">AE210/AG210</f>
        <v>5.3535000000000004</v>
      </c>
      <c r="AG210" s="1225">
        <v>2340000</v>
      </c>
      <c r="AH210" s="1401">
        <f t="shared" ref="AH210:AH273" si="42">AF210*AG210</f>
        <v>12527190</v>
      </c>
      <c r="AI210" s="1099">
        <f t="shared" si="40"/>
        <v>193</v>
      </c>
      <c r="AJ210" s="1215" t="s">
        <v>2361</v>
      </c>
      <c r="AK210" s="1011" t="str">
        <f>VLOOKUP(B210,TH.T4!B212:AC542,28,FALSE)</f>
        <v>CK</v>
      </c>
      <c r="AL210" s="1106"/>
      <c r="AM210" s="1012"/>
      <c r="AN210" s="1027"/>
      <c r="AO210" s="1012"/>
      <c r="AP210" s="1012"/>
      <c r="AQ210" s="1012"/>
      <c r="AR210" s="1012"/>
      <c r="AS210" s="1012"/>
      <c r="AT210" s="1012"/>
    </row>
    <row r="211" spans="1:50" s="1235" customFormat="1" ht="30.75" customHeight="1">
      <c r="A211" s="1014">
        <f>_xlfn.AGGREGATE(4,7,A$17:A210)+1</f>
        <v>194</v>
      </c>
      <c r="B211" s="1279" t="s">
        <v>1896</v>
      </c>
      <c r="C211" s="1280" t="s">
        <v>1776</v>
      </c>
      <c r="D211" s="1281" t="s">
        <v>1365</v>
      </c>
      <c r="E211" s="1384" t="str">
        <f>VLOOKUP(B211,TH.T6!B123:J453,9,FALSE)</f>
        <v>Giảng viên khoa Cơ khí</v>
      </c>
      <c r="F211" s="1282">
        <v>4.9800000000000004</v>
      </c>
      <c r="G211" s="1272">
        <v>0.11</v>
      </c>
      <c r="H211" s="1269">
        <f t="shared" si="30"/>
        <v>0.54800000000000004</v>
      </c>
      <c r="I211" s="1270"/>
      <c r="J211" s="1282">
        <v>4.9800000000000004</v>
      </c>
      <c r="K211" s="1272">
        <v>0.11</v>
      </c>
      <c r="L211" s="1269">
        <f t="shared" si="31"/>
        <v>0.54800000000000004</v>
      </c>
      <c r="M211" s="1270"/>
      <c r="N211" s="1282">
        <v>4.9800000000000004</v>
      </c>
      <c r="O211" s="1272">
        <v>0.11</v>
      </c>
      <c r="P211" s="1273">
        <f t="shared" si="32"/>
        <v>0.54800000000000004</v>
      </c>
      <c r="Q211" s="1270"/>
      <c r="R211" s="1270" t="str">
        <f>IFERROR(INDEX('[18]Gui chi Quynh'!$E$11:$E$397,MATCH(B211,'[18]Gui chi Quynh'!$B$11:$B$397,0)),"")</f>
        <v>A4</v>
      </c>
      <c r="S211" s="1270">
        <f t="shared" si="33"/>
        <v>0.5</v>
      </c>
      <c r="T211" s="1270" t="str">
        <f>VLOOKUP(B211,'[19]Gui chi Quynh'!$B$11:$E$397,4,FALSE)</f>
        <v>A DN</v>
      </c>
      <c r="U211" s="1270">
        <f t="shared" ref="U211:U274" si="43">IF(T211="A1",0.8,IF(T211="A2",0.7,IF(T211="A3",0.6,IF(T211="A4",0.5,IF(T211="B1",0.35,IF(T211="B2",0.25,IF(T211="C1",0.15,IF(T211="C2",0.1,0))))))))</f>
        <v>0</v>
      </c>
      <c r="V211" s="1270">
        <v>0</v>
      </c>
      <c r="W211" s="1270">
        <v>0</v>
      </c>
      <c r="X211" s="1270">
        <f>IFERROR(INDEX('[21]CN BC'!$J$10:$J$275,MATCH(B211,'[21]CN BC'!$H$10:$H$275,0)),"")</f>
        <v>21</v>
      </c>
      <c r="Y211" s="1270">
        <f>IFERROR(INDEX('[22]CN BC'!$J$10:$J$274,MATCH(B211,'[22]CN BC'!$H$10:$H$274,0)),"")</f>
        <v>0</v>
      </c>
      <c r="Z211" s="1270">
        <v>0</v>
      </c>
      <c r="AA211" s="1274">
        <f t="shared" si="36"/>
        <v>21</v>
      </c>
      <c r="AB211" s="1274">
        <f t="shared" ref="AB211:AB274" si="44">IF(Y211&gt;=$AB$12,$AB$12,IF(Y211&lt;$AB$12,Y211))</f>
        <v>0</v>
      </c>
      <c r="AC211" s="1274">
        <f t="shared" si="38"/>
        <v>0</v>
      </c>
      <c r="AD211" s="1275"/>
      <c r="AE211" s="1276">
        <f t="shared" ref="AE211:AE274" si="45">ROUND(((((((F211+H211+I211)*$AE$12/$AA$12*AA211)*S211)+((J211+L211+M211)*$AE$12/$AB$12*AB211)*U211)+((N211+P211+Q211)*$AE$12/$AC$12*AC211)*W211)+AD211),0)</f>
        <v>5905346</v>
      </c>
      <c r="AF211" s="1385">
        <f t="shared" si="41"/>
        <v>2.523652136752137</v>
      </c>
      <c r="AG211" s="1367">
        <v>2340000</v>
      </c>
      <c r="AH211" s="1386">
        <f t="shared" si="42"/>
        <v>5905346.0000000009</v>
      </c>
      <c r="AI211" s="1277">
        <f t="shared" si="40"/>
        <v>194</v>
      </c>
      <c r="AJ211" s="1278" t="s">
        <v>2365</v>
      </c>
      <c r="AK211" s="1232" t="str">
        <f>VLOOKUP(B211,TH.T4!B213:AC543,28,FALSE)</f>
        <v>CK</v>
      </c>
      <c r="AL211" s="1233"/>
      <c r="AM211" s="1233"/>
      <c r="AN211" s="1234"/>
      <c r="AO211" s="1233"/>
      <c r="AP211" s="1233"/>
      <c r="AQ211" s="1233"/>
      <c r="AR211" s="1233"/>
      <c r="AS211" s="1233"/>
      <c r="AT211" s="1233"/>
    </row>
    <row r="212" spans="1:50" s="1028" customFormat="1" ht="29.25" customHeight="1">
      <c r="A212" s="1014">
        <f>_xlfn.AGGREGATE(4,7,A$17:A211)+1</f>
        <v>195</v>
      </c>
      <c r="B212" s="1015" t="s">
        <v>1532</v>
      </c>
      <c r="C212" s="1029" t="s">
        <v>1777</v>
      </c>
      <c r="D212" s="1030" t="s">
        <v>1594</v>
      </c>
      <c r="E212" s="81" t="str">
        <f>VLOOKUP(B212,TH.T6!B124:J454,9,FALSE)</f>
        <v>Giảng viên khoa Cơ khí</v>
      </c>
      <c r="F212" s="1040">
        <v>3.33</v>
      </c>
      <c r="G212" s="1019"/>
      <c r="H212" s="1247">
        <f t="shared" ref="H212:H275" si="46">ROUND(F212*G212,3)</f>
        <v>0</v>
      </c>
      <c r="I212" s="1020"/>
      <c r="J212" s="1040">
        <v>3.33</v>
      </c>
      <c r="K212" s="1019"/>
      <c r="L212" s="1247">
        <f t="shared" ref="L212:L275" si="47">ROUND(J212*K212,3)</f>
        <v>0</v>
      </c>
      <c r="M212" s="1020"/>
      <c r="N212" s="1040">
        <v>3.33</v>
      </c>
      <c r="O212" s="1019"/>
      <c r="P212" s="1248">
        <f t="shared" ref="P212:P275" si="48">ROUND(N212*O212,3)</f>
        <v>0</v>
      </c>
      <c r="Q212" s="1020"/>
      <c r="R212" s="1020" t="str">
        <f>IFERROR(INDEX('[18]Gui chi Quynh'!$E$11:$E$397,MATCH(B212,'[18]Gui chi Quynh'!$B$11:$B$397,0)),"")</f>
        <v>A2</v>
      </c>
      <c r="S212" s="1020">
        <f t="shared" ref="S212:S275" si="49">IF(R212="A1",0.8,IF(R212="A2",0.7,IF(R212="A3",0.6,IF(R212="A4",0.5,IF(R212="B1",0.35,IF(R212="B2",0.25,IF(R212="C1",0.15,IF(R212="C2",0.1,0))))))))</f>
        <v>0.7</v>
      </c>
      <c r="T212" s="1020" t="str">
        <f>VLOOKUP(B212,'[19]Gui chi Quynh'!$B$11:$E$397,4,FALSE)</f>
        <v>A DN</v>
      </c>
      <c r="U212" s="1020">
        <f t="shared" si="43"/>
        <v>0</v>
      </c>
      <c r="V212" s="1020" t="str">
        <f>VLOOKUP(B212,'[20]Gui chi Quynh'!$B$11:$E$396,4,FALSE)</f>
        <v>A3</v>
      </c>
      <c r="W212" s="1020">
        <f t="shared" ref="W212:W275" si="50">IF(V212="A1",0.8,IF(V212="A2",0.7,IF(V212="A3",0.6,IF(V212="A4",0.5,IF(V212="B1",0.35,IF(V212="B2",0.25,IF(V212="C1",0.15,IF(V212="C2",0.1,0))))))))</f>
        <v>0.6</v>
      </c>
      <c r="X212" s="1020">
        <f>IFERROR(INDEX('[21]CN BC'!$J$10:$J$275,MATCH(B212,'[21]CN BC'!$H$10:$H$275,0)),"")</f>
        <v>23</v>
      </c>
      <c r="Y212" s="1020">
        <f>IFERROR(INDEX('[22]CN BC'!$J$10:$J$274,MATCH(B212,'[22]CN BC'!$H$10:$H$274,0)),"")</f>
        <v>0</v>
      </c>
      <c r="Z212" s="1020">
        <f>VLOOKUP(B212,'[23]CN BC'!$H$10:$J$275,3,FALSE)</f>
        <v>19</v>
      </c>
      <c r="AA212" s="1021">
        <f t="shared" ref="AA212:AA275" si="51">IF(X212&gt;=$AA$12,$AA$12,IF(X212&lt;$AA$12,X212))</f>
        <v>23</v>
      </c>
      <c r="AB212" s="1021">
        <f t="shared" si="44"/>
        <v>0</v>
      </c>
      <c r="AC212" s="1021">
        <f t="shared" ref="AC212:AC275" si="52">IF(Z212&gt;=$AC$12,$AC$12,IF(Z212&lt;$AC$12,Z212))</f>
        <v>19</v>
      </c>
      <c r="AD212" s="1022"/>
      <c r="AE212" s="1023">
        <f t="shared" si="45"/>
        <v>10129860</v>
      </c>
      <c r="AF212" s="1371">
        <f t="shared" si="41"/>
        <v>4.3289999999999997</v>
      </c>
      <c r="AG212" s="1102">
        <v>2340000</v>
      </c>
      <c r="AH212" s="1373">
        <f t="shared" si="42"/>
        <v>10129860</v>
      </c>
      <c r="AI212" s="1024">
        <f t="shared" si="40"/>
        <v>195</v>
      </c>
      <c r="AJ212" s="1025">
        <f>IFERROR(INDEX('[17]CN BC'!$M$10:$M$276,MATCH(B212,'[17]CN BC'!$H$10:$H$276,0)),"")</f>
        <v>0</v>
      </c>
      <c r="AK212" s="1011" t="str">
        <f>VLOOKUP(B212,TH.T4!B214:AC544,28,FALSE)</f>
        <v>CK</v>
      </c>
      <c r="AL212" s="1012"/>
      <c r="AM212" s="1012"/>
      <c r="AN212" s="1027"/>
      <c r="AO212" s="1012"/>
      <c r="AP212" s="1012"/>
      <c r="AQ212" s="1012"/>
      <c r="AR212" s="1012"/>
      <c r="AS212" s="1012"/>
      <c r="AT212" s="1012"/>
      <c r="AU212" s="1012"/>
      <c r="AV212" s="1012"/>
      <c r="AW212" s="1012"/>
      <c r="AX212" s="1012"/>
    </row>
    <row r="213" spans="1:50" s="1028" customFormat="1" ht="25.5" customHeight="1">
      <c r="A213" s="1014">
        <f>_xlfn.AGGREGATE(4,7,A$17:A212)+1</f>
        <v>196</v>
      </c>
      <c r="B213" s="1015" t="s">
        <v>1608</v>
      </c>
      <c r="C213" s="1107" t="s">
        <v>1968</v>
      </c>
      <c r="D213" s="1039">
        <v>1603215003955</v>
      </c>
      <c r="E213" s="81" t="str">
        <f>VLOOKUP(B213,TH.T6!B125:J455,9,FALSE)</f>
        <v>Giảng viên khoa Cơ khí</v>
      </c>
      <c r="F213" s="1040">
        <v>3</v>
      </c>
      <c r="G213" s="1049"/>
      <c r="H213" s="1247">
        <f t="shared" si="46"/>
        <v>0</v>
      </c>
      <c r="I213" s="1020"/>
      <c r="J213" s="1040">
        <v>3</v>
      </c>
      <c r="K213" s="1049"/>
      <c r="L213" s="1247">
        <f t="shared" si="47"/>
        <v>0</v>
      </c>
      <c r="M213" s="1020"/>
      <c r="N213" s="1040">
        <v>3</v>
      </c>
      <c r="O213" s="1049"/>
      <c r="P213" s="1248">
        <f t="shared" si="48"/>
        <v>0</v>
      </c>
      <c r="Q213" s="1020"/>
      <c r="R213" s="1020" t="str">
        <f>IFERROR(INDEX('[18]Gui chi Quynh'!$E$11:$E$397,MATCH(B213,'[18]Gui chi Quynh'!$B$11:$B$397,0)),"")</f>
        <v>A3</v>
      </c>
      <c r="S213" s="1020">
        <f t="shared" si="49"/>
        <v>0.6</v>
      </c>
      <c r="T213" s="1020" t="str">
        <f>VLOOKUP(B213,'[19]Gui chi Quynh'!$B$11:$E$397,4,FALSE)</f>
        <v>A DN</v>
      </c>
      <c r="U213" s="1020">
        <f t="shared" si="43"/>
        <v>0</v>
      </c>
      <c r="V213" s="1020" t="str">
        <f>VLOOKUP(B213,'[20]Gui chi Quynh'!$B$11:$E$396,4,FALSE)</f>
        <v>A4</v>
      </c>
      <c r="W213" s="1020">
        <f t="shared" si="50"/>
        <v>0.5</v>
      </c>
      <c r="X213" s="1020">
        <f>IFERROR(INDEX('[21]CN BC'!$J$10:$J$275,MATCH(B213,'[21]CN BC'!$H$10:$H$275,0)),"")</f>
        <v>21</v>
      </c>
      <c r="Y213" s="1020">
        <f>IFERROR(INDEX('[22]CN BC'!$J$10:$J$274,MATCH(B213,'[22]CN BC'!$H$10:$H$274,0)),"")</f>
        <v>0</v>
      </c>
      <c r="Z213" s="1020">
        <f>VLOOKUP(B213,'[23]CN BC'!$H$10:$J$275,3,FALSE)</f>
        <v>19</v>
      </c>
      <c r="AA213" s="1021">
        <f t="shared" si="51"/>
        <v>21</v>
      </c>
      <c r="AB213" s="1021">
        <f t="shared" si="44"/>
        <v>0</v>
      </c>
      <c r="AC213" s="1021">
        <f t="shared" si="52"/>
        <v>19</v>
      </c>
      <c r="AD213" s="1022"/>
      <c r="AE213" s="1023">
        <f t="shared" si="45"/>
        <v>7355739</v>
      </c>
      <c r="AF213" s="1371">
        <f t="shared" si="41"/>
        <v>3.1434782051282051</v>
      </c>
      <c r="AG213" s="1102">
        <v>2340000</v>
      </c>
      <c r="AH213" s="1373">
        <f t="shared" si="42"/>
        <v>7355739</v>
      </c>
      <c r="AI213" s="1024">
        <f t="shared" si="40"/>
        <v>196</v>
      </c>
      <c r="AJ213" s="1025">
        <f>IFERROR(INDEX('[17]CN BC'!$M$10:$M$276,MATCH(B213,'[17]CN BC'!$H$10:$H$276,0)),"")</f>
        <v>0</v>
      </c>
      <c r="AK213" s="1011" t="str">
        <f>VLOOKUP(B213,TH.T4!B215:AC545,28,FALSE)</f>
        <v>CK</v>
      </c>
      <c r="AL213" s="1012"/>
      <c r="AM213" s="1012"/>
      <c r="AN213" s="1027"/>
      <c r="AO213" s="1012"/>
      <c r="AP213" s="1012"/>
      <c r="AQ213" s="1012"/>
      <c r="AR213" s="1012"/>
      <c r="AS213" s="1012"/>
      <c r="AT213" s="1012"/>
    </row>
    <row r="214" spans="1:50" s="1028" customFormat="1" ht="24.75" customHeight="1">
      <c r="A214" s="1014">
        <f>_xlfn.AGGREGATE(4,7,A$17:A213)+1</f>
        <v>197</v>
      </c>
      <c r="B214" s="1015" t="s">
        <v>1835</v>
      </c>
      <c r="C214" s="1033" t="s">
        <v>1970</v>
      </c>
      <c r="D214" s="1108" t="s">
        <v>1969</v>
      </c>
      <c r="E214" s="81" t="str">
        <f>VLOOKUP(B214,TH.T6!B126:J456,9,FALSE)</f>
        <v>Giảng viên khoa Cơ khí</v>
      </c>
      <c r="F214" s="1040">
        <v>3</v>
      </c>
      <c r="G214" s="1049"/>
      <c r="H214" s="1247">
        <f t="shared" si="46"/>
        <v>0</v>
      </c>
      <c r="I214" s="1020"/>
      <c r="J214" s="1040">
        <v>3</v>
      </c>
      <c r="K214" s="1049"/>
      <c r="L214" s="1247">
        <f t="shared" si="47"/>
        <v>0</v>
      </c>
      <c r="M214" s="1020"/>
      <c r="N214" s="1040">
        <v>3</v>
      </c>
      <c r="O214" s="1049"/>
      <c r="P214" s="1248">
        <f t="shared" si="48"/>
        <v>0</v>
      </c>
      <c r="Q214" s="1020"/>
      <c r="R214" s="1020" t="str">
        <f>IFERROR(INDEX('[18]Gui chi Quynh'!$E$11:$E$397,MATCH(B214,'[18]Gui chi Quynh'!$B$11:$B$397,0)),"")</f>
        <v>A1</v>
      </c>
      <c r="S214" s="1020">
        <f t="shared" si="49"/>
        <v>0.8</v>
      </c>
      <c r="T214" s="1020" t="str">
        <f>VLOOKUP(B214,'[19]Gui chi Quynh'!$B$11:$E$397,4,FALSE)</f>
        <v>A DN</v>
      </c>
      <c r="U214" s="1020">
        <f t="shared" si="43"/>
        <v>0</v>
      </c>
      <c r="V214" s="1020" t="str">
        <f>VLOOKUP(B214,'[20]Gui chi Quynh'!$B$11:$E$396,4,FALSE)</f>
        <v>A3</v>
      </c>
      <c r="W214" s="1020">
        <f t="shared" si="50"/>
        <v>0.6</v>
      </c>
      <c r="X214" s="1020">
        <f>IFERROR(INDEX('[21]CN BC'!$J$10:$J$275,MATCH(B214,'[21]CN BC'!$H$10:$H$275,0)),"")</f>
        <v>23</v>
      </c>
      <c r="Y214" s="1020">
        <f>IFERROR(INDEX('[22]CN BC'!$J$10:$J$274,MATCH(B214,'[22]CN BC'!$H$10:$H$274,0)),"")</f>
        <v>0</v>
      </c>
      <c r="Z214" s="1020">
        <f>VLOOKUP(B214,'[23]CN BC'!$H$10:$J$275,3,FALSE)</f>
        <v>19</v>
      </c>
      <c r="AA214" s="1021">
        <f t="shared" si="51"/>
        <v>23</v>
      </c>
      <c r="AB214" s="1021">
        <f t="shared" si="44"/>
        <v>0</v>
      </c>
      <c r="AC214" s="1021">
        <f t="shared" si="52"/>
        <v>19</v>
      </c>
      <c r="AD214" s="1022"/>
      <c r="AE214" s="1023">
        <f t="shared" si="45"/>
        <v>9828000</v>
      </c>
      <c r="AF214" s="1371">
        <f t="shared" si="41"/>
        <v>4.2</v>
      </c>
      <c r="AG214" s="1102">
        <v>2340000</v>
      </c>
      <c r="AH214" s="1373">
        <f t="shared" si="42"/>
        <v>9828000</v>
      </c>
      <c r="AI214" s="1024">
        <f t="shared" si="40"/>
        <v>197</v>
      </c>
      <c r="AJ214" s="1025">
        <f>IFERROR(INDEX('[17]CN BC'!$M$10:$M$276,MATCH(B214,'[17]CN BC'!$H$10:$H$276,0)),"")</f>
        <v>0</v>
      </c>
      <c r="AK214" s="1011" t="str">
        <f>VLOOKUP(B214,TH.T4!B216:AC546,28,FALSE)</f>
        <v>CK</v>
      </c>
      <c r="AL214" s="1012"/>
      <c r="AM214" s="1012"/>
      <c r="AN214" s="1027"/>
      <c r="AO214" s="1012"/>
      <c r="AP214" s="1012"/>
      <c r="AQ214" s="1012"/>
      <c r="AR214" s="1012"/>
      <c r="AS214" s="1012"/>
      <c r="AT214" s="1012"/>
    </row>
    <row r="215" spans="1:50" s="1028" customFormat="1" ht="29.25" customHeight="1">
      <c r="A215" s="1014">
        <f>_xlfn.AGGREGATE(4,7,A$17:A214)+1</f>
        <v>198</v>
      </c>
      <c r="B215" s="1015" t="s">
        <v>1897</v>
      </c>
      <c r="C215" s="1033" t="s">
        <v>1670</v>
      </c>
      <c r="D215" s="1034" t="s">
        <v>1286</v>
      </c>
      <c r="E215" s="81" t="str">
        <f>VLOOKUP(B215,TH.T6!B127:J457,9,FALSE)</f>
        <v>Giảng viên khoa Cơ khí</v>
      </c>
      <c r="F215" s="1018">
        <v>4.9800000000000004</v>
      </c>
      <c r="G215" s="1019">
        <v>0.12</v>
      </c>
      <c r="H215" s="1247">
        <f t="shared" si="46"/>
        <v>0.59799999999999998</v>
      </c>
      <c r="I215" s="1020"/>
      <c r="J215" s="1018">
        <v>4.9800000000000004</v>
      </c>
      <c r="K215" s="1019">
        <v>0.12</v>
      </c>
      <c r="L215" s="1247">
        <f t="shared" si="47"/>
        <v>0.59799999999999998</v>
      </c>
      <c r="M215" s="1020"/>
      <c r="N215" s="1018">
        <v>4.9800000000000004</v>
      </c>
      <c r="O215" s="1019">
        <v>0.12</v>
      </c>
      <c r="P215" s="1248">
        <f t="shared" si="48"/>
        <v>0.59799999999999998</v>
      </c>
      <c r="Q215" s="1020"/>
      <c r="R215" s="1020" t="str">
        <f>IFERROR(INDEX('[18]Gui chi Quynh'!$E$11:$E$397,MATCH(B215,'[18]Gui chi Quynh'!$B$11:$B$397,0)),"")</f>
        <v>A4</v>
      </c>
      <c r="S215" s="1020">
        <f t="shared" si="49"/>
        <v>0.5</v>
      </c>
      <c r="T215" s="1020" t="str">
        <f>VLOOKUP(B215,'[19]Gui chi Quynh'!$B$11:$E$397,4,FALSE)</f>
        <v>A DN</v>
      </c>
      <c r="U215" s="1020">
        <f t="shared" si="43"/>
        <v>0</v>
      </c>
      <c r="V215" s="1020" t="str">
        <f>VLOOKUP(B215,'[20]Gui chi Quynh'!$B$11:$E$396,4,FALSE)</f>
        <v>A4</v>
      </c>
      <c r="W215" s="1020">
        <f t="shared" si="50"/>
        <v>0.5</v>
      </c>
      <c r="X215" s="1020">
        <f>IFERROR(INDEX('[21]CN BC'!$J$10:$J$275,MATCH(B215,'[21]CN BC'!$H$10:$H$275,0)),"")</f>
        <v>23</v>
      </c>
      <c r="Y215" s="1020">
        <f>IFERROR(INDEX('[22]CN BC'!$J$10:$J$274,MATCH(B215,'[22]CN BC'!$H$10:$H$274,0)),"")</f>
        <v>0</v>
      </c>
      <c r="Z215" s="1020">
        <f>VLOOKUP(B215,'[23]CN BC'!$H$10:$J$275,3,FALSE)</f>
        <v>19</v>
      </c>
      <c r="AA215" s="1021">
        <f t="shared" si="51"/>
        <v>23</v>
      </c>
      <c r="AB215" s="1021">
        <f t="shared" si="44"/>
        <v>0</v>
      </c>
      <c r="AC215" s="1021">
        <f t="shared" si="52"/>
        <v>19</v>
      </c>
      <c r="AD215" s="1022"/>
      <c r="AE215" s="1023">
        <f t="shared" si="45"/>
        <v>13052520</v>
      </c>
      <c r="AF215" s="1371">
        <f t="shared" si="41"/>
        <v>5.5780000000000003</v>
      </c>
      <c r="AG215" s="1102">
        <v>2340000</v>
      </c>
      <c r="AH215" s="1373">
        <f t="shared" si="42"/>
        <v>13052520</v>
      </c>
      <c r="AI215" s="1024">
        <f t="shared" si="40"/>
        <v>198</v>
      </c>
      <c r="AJ215" s="1025">
        <f>IFERROR(INDEX('[17]CN BC'!$M$10:$M$276,MATCH(B215,'[17]CN BC'!$H$10:$H$276,0)),"")</f>
        <v>0</v>
      </c>
      <c r="AK215" s="1011" t="str">
        <f>VLOOKUP(B215,TH.T4!B217:AC547,28,FALSE)</f>
        <v>CK</v>
      </c>
      <c r="AN215" s="1038"/>
    </row>
    <row r="216" spans="1:50" s="1028" customFormat="1" ht="25.5" customHeight="1">
      <c r="A216" s="1014">
        <f>_xlfn.AGGREGATE(4,7,A$17:A215)+1</f>
        <v>199</v>
      </c>
      <c r="B216" s="1015" t="s">
        <v>1840</v>
      </c>
      <c r="C216" s="1033" t="s">
        <v>1971</v>
      </c>
      <c r="D216" s="1039">
        <v>1603205596180</v>
      </c>
      <c r="E216" s="81" t="str">
        <f>VLOOKUP(B216,TH.T6!B128:J458,9,FALSE)</f>
        <v>Giảng viên khoa Cơ khí</v>
      </c>
      <c r="F216" s="1018">
        <v>2.67</v>
      </c>
      <c r="G216" s="1019"/>
      <c r="H216" s="1247">
        <f t="shared" si="46"/>
        <v>0</v>
      </c>
      <c r="I216" s="1020"/>
      <c r="J216" s="1018">
        <v>2.67</v>
      </c>
      <c r="K216" s="1019"/>
      <c r="L216" s="1247">
        <f t="shared" si="47"/>
        <v>0</v>
      </c>
      <c r="M216" s="1020"/>
      <c r="N216" s="1018">
        <v>2.67</v>
      </c>
      <c r="O216" s="1019"/>
      <c r="P216" s="1248">
        <f t="shared" si="48"/>
        <v>0</v>
      </c>
      <c r="Q216" s="1020"/>
      <c r="R216" s="1020" t="str">
        <f>IFERROR(INDEX('[18]Gui chi Quynh'!$E$11:$E$397,MATCH(B216,'[18]Gui chi Quynh'!$B$11:$B$397,0)),"")</f>
        <v>A2</v>
      </c>
      <c r="S216" s="1020">
        <f t="shared" si="49"/>
        <v>0.7</v>
      </c>
      <c r="T216" s="1020" t="str">
        <f>VLOOKUP(B216,'[19]Gui chi Quynh'!$B$11:$E$397,4,FALSE)</f>
        <v>A DN</v>
      </c>
      <c r="U216" s="1020">
        <f t="shared" si="43"/>
        <v>0</v>
      </c>
      <c r="V216" s="1020" t="str">
        <f>VLOOKUP(B216,'[20]Gui chi Quynh'!$B$11:$E$396,4,FALSE)</f>
        <v>A2</v>
      </c>
      <c r="W216" s="1020">
        <f t="shared" si="50"/>
        <v>0.7</v>
      </c>
      <c r="X216" s="1020">
        <f>IFERROR(INDEX('[21]CN BC'!$J$10:$J$275,MATCH(B216,'[21]CN BC'!$H$10:$H$275,0)),"")</f>
        <v>23</v>
      </c>
      <c r="Y216" s="1020">
        <f>IFERROR(INDEX('[22]CN BC'!$J$10:$J$274,MATCH(B216,'[22]CN BC'!$H$10:$H$274,0)),"")</f>
        <v>0</v>
      </c>
      <c r="Z216" s="1020">
        <f>VLOOKUP(B216,'[23]CN BC'!$H$10:$J$275,3,FALSE)</f>
        <v>19</v>
      </c>
      <c r="AA216" s="1021">
        <f t="shared" si="51"/>
        <v>23</v>
      </c>
      <c r="AB216" s="1021">
        <f t="shared" si="44"/>
        <v>0</v>
      </c>
      <c r="AC216" s="1021">
        <f t="shared" si="52"/>
        <v>19</v>
      </c>
      <c r="AD216" s="1022"/>
      <c r="AE216" s="1023">
        <f t="shared" si="45"/>
        <v>8746920</v>
      </c>
      <c r="AF216" s="1371">
        <f t="shared" si="41"/>
        <v>3.738</v>
      </c>
      <c r="AG216" s="1102">
        <v>2340000</v>
      </c>
      <c r="AH216" s="1373">
        <f t="shared" si="42"/>
        <v>8746920</v>
      </c>
      <c r="AI216" s="1024">
        <f t="shared" si="40"/>
        <v>199</v>
      </c>
      <c r="AJ216" s="1025">
        <f>IFERROR(INDEX('[17]CN BC'!$M$10:$M$276,MATCH(B216,'[17]CN BC'!$H$10:$H$276,0)),"")</f>
        <v>0</v>
      </c>
      <c r="AK216" s="1011" t="str">
        <f>VLOOKUP(B216,TH.T4!B218:AC548,28,FALSE)</f>
        <v>CK</v>
      </c>
      <c r="AL216" s="1012"/>
      <c r="AM216" s="1012"/>
      <c r="AN216" s="1027"/>
      <c r="AO216" s="1012"/>
      <c r="AP216" s="1012"/>
      <c r="AQ216" s="1012"/>
      <c r="AR216" s="1012"/>
      <c r="AS216" s="1012"/>
      <c r="AT216" s="1012"/>
    </row>
    <row r="217" spans="1:50" s="1028" customFormat="1" ht="24.75" customHeight="1">
      <c r="A217" s="1014">
        <f>_xlfn.AGGREGATE(4,7,A$17:A216)+1</f>
        <v>200</v>
      </c>
      <c r="B217" s="1015" t="s">
        <v>1943</v>
      </c>
      <c r="C217" s="1033" t="s">
        <v>1972</v>
      </c>
      <c r="D217" s="1034"/>
      <c r="E217" s="81" t="str">
        <f>VLOOKUP(B217,TH.T6!B129:J459,9,FALSE)</f>
        <v>Giảng viên khoa Cơ khí</v>
      </c>
      <c r="F217" s="1040">
        <v>3</v>
      </c>
      <c r="G217" s="1019"/>
      <c r="H217" s="1247">
        <f t="shared" si="46"/>
        <v>0</v>
      </c>
      <c r="I217" s="1020"/>
      <c r="J217" s="1040">
        <v>3</v>
      </c>
      <c r="K217" s="1019"/>
      <c r="L217" s="1247">
        <f t="shared" si="47"/>
        <v>0</v>
      </c>
      <c r="M217" s="1020"/>
      <c r="N217" s="1040">
        <v>3</v>
      </c>
      <c r="O217" s="1019"/>
      <c r="P217" s="1248">
        <f t="shared" si="48"/>
        <v>0</v>
      </c>
      <c r="Q217" s="1020"/>
      <c r="R217" s="1020" t="str">
        <f>IFERROR(INDEX('[18]Gui chi Quynh'!$E$11:$E$397,MATCH(B217,'[18]Gui chi Quynh'!$B$11:$B$397,0)),"")</f>
        <v>A3</v>
      </c>
      <c r="S217" s="1020">
        <f t="shared" si="49"/>
        <v>0.6</v>
      </c>
      <c r="T217" s="1020" t="str">
        <f>VLOOKUP(B217,'[19]Gui chi Quynh'!$B$11:$E$397,4,FALSE)</f>
        <v>A DN</v>
      </c>
      <c r="U217" s="1020">
        <f t="shared" si="43"/>
        <v>0</v>
      </c>
      <c r="V217" s="1020" t="str">
        <f>VLOOKUP(B217,'[20]Gui chi Quynh'!$B$11:$E$396,4,FALSE)</f>
        <v>A3</v>
      </c>
      <c r="W217" s="1020">
        <f t="shared" si="50"/>
        <v>0.6</v>
      </c>
      <c r="X217" s="1020">
        <f>IFERROR(INDEX('[21]CN BC'!$J$10:$J$275,MATCH(B217,'[21]CN BC'!$H$10:$H$275,0)),"")</f>
        <v>21</v>
      </c>
      <c r="Y217" s="1020">
        <f>IFERROR(INDEX('[22]CN BC'!$J$10:$J$274,MATCH(B217,'[22]CN BC'!$H$10:$H$274,0)),"")</f>
        <v>0</v>
      </c>
      <c r="Z217" s="1020">
        <f>VLOOKUP(B217,'[23]CN BC'!$H$10:$J$275,3,FALSE)</f>
        <v>19</v>
      </c>
      <c r="AA217" s="1021">
        <f t="shared" si="51"/>
        <v>21</v>
      </c>
      <c r="AB217" s="1021">
        <f t="shared" si="44"/>
        <v>0</v>
      </c>
      <c r="AC217" s="1021">
        <f t="shared" si="52"/>
        <v>19</v>
      </c>
      <c r="AD217" s="1022"/>
      <c r="AE217" s="1023">
        <f t="shared" si="45"/>
        <v>8057739</v>
      </c>
      <c r="AF217" s="1371">
        <f t="shared" si="41"/>
        <v>3.4434782051282053</v>
      </c>
      <c r="AG217" s="1102">
        <v>2340000</v>
      </c>
      <c r="AH217" s="1373">
        <f t="shared" si="42"/>
        <v>8057739.0000000009</v>
      </c>
      <c r="AI217" s="1024">
        <f t="shared" si="40"/>
        <v>200</v>
      </c>
      <c r="AJ217" s="1025">
        <f>IFERROR(INDEX('[17]CN BC'!$M$10:$M$276,MATCH(B217,'[17]CN BC'!$H$10:$H$276,0)),"")</f>
        <v>0</v>
      </c>
      <c r="AK217" s="1011" t="str">
        <f>VLOOKUP(B217,TH.T4!B219:AC549,28,FALSE)</f>
        <v>CK</v>
      </c>
      <c r="AL217" s="1012"/>
      <c r="AM217" s="1012"/>
      <c r="AN217" s="1038"/>
    </row>
    <row r="218" spans="1:50" s="1028" customFormat="1" ht="26.25" customHeight="1">
      <c r="A218" s="1014">
        <f>_xlfn.AGGREGATE(4,7,A$17:A217)+1</f>
        <v>201</v>
      </c>
      <c r="B218" s="1015" t="s">
        <v>1994</v>
      </c>
      <c r="C218" s="1033"/>
      <c r="D218" s="1034"/>
      <c r="E218" s="81" t="str">
        <f>VLOOKUP(B218,TH.T6!B130:J460,9,FALSE)</f>
        <v>Giảng viên khoa Cơ khí</v>
      </c>
      <c r="F218" s="1018">
        <v>4.32</v>
      </c>
      <c r="G218" s="1019"/>
      <c r="H218" s="1247">
        <f t="shared" si="46"/>
        <v>0</v>
      </c>
      <c r="I218" s="1020"/>
      <c r="J218" s="1018">
        <v>4.32</v>
      </c>
      <c r="K218" s="1019"/>
      <c r="L218" s="1247">
        <f t="shared" si="47"/>
        <v>0</v>
      </c>
      <c r="M218" s="1020"/>
      <c r="N218" s="1018">
        <v>4.32</v>
      </c>
      <c r="O218" s="1019"/>
      <c r="P218" s="1248">
        <f t="shared" si="48"/>
        <v>0</v>
      </c>
      <c r="Q218" s="1020"/>
      <c r="R218" s="1020" t="str">
        <f>IFERROR(INDEX('[18]Gui chi Quynh'!$E$11:$E$397,MATCH(B218,'[18]Gui chi Quynh'!$B$11:$B$397,0)),"")</f>
        <v>A4</v>
      </c>
      <c r="S218" s="1020">
        <f t="shared" si="49"/>
        <v>0.5</v>
      </c>
      <c r="T218" s="1020" t="str">
        <f>VLOOKUP(B218,'[19]Gui chi Quynh'!$B$11:$E$397,4,FALSE)</f>
        <v>A DN</v>
      </c>
      <c r="U218" s="1020">
        <f t="shared" si="43"/>
        <v>0</v>
      </c>
      <c r="V218" s="1020" t="str">
        <f>VLOOKUP(B218,'[20]Gui chi Quynh'!$B$11:$E$396,4,FALSE)</f>
        <v>A4</v>
      </c>
      <c r="W218" s="1020">
        <f t="shared" si="50"/>
        <v>0.5</v>
      </c>
      <c r="X218" s="1020">
        <f>IFERROR(INDEX('[21]CN BC'!$J$10:$J$275,MATCH(B218,'[21]CN BC'!$H$10:$H$275,0)),"")</f>
        <v>21</v>
      </c>
      <c r="Y218" s="1020">
        <f>IFERROR(INDEX('[22]CN BC'!$J$10:$J$274,MATCH(B218,'[22]CN BC'!$H$10:$H$274,0)),"")</f>
        <v>0</v>
      </c>
      <c r="Z218" s="1020">
        <f>VLOOKUP(B218,'[23]CN BC'!$H$10:$J$275,3,FALSE)</f>
        <v>19</v>
      </c>
      <c r="AA218" s="1021">
        <f t="shared" si="51"/>
        <v>21</v>
      </c>
      <c r="AB218" s="1021">
        <f t="shared" si="44"/>
        <v>0</v>
      </c>
      <c r="AC218" s="1021">
        <f t="shared" si="52"/>
        <v>19</v>
      </c>
      <c r="AD218" s="1022"/>
      <c r="AE218" s="1023">
        <f t="shared" si="45"/>
        <v>9669287</v>
      </c>
      <c r="AF218" s="1371">
        <f t="shared" si="41"/>
        <v>4.1321739316239317</v>
      </c>
      <c r="AG218" s="1102">
        <v>2340000</v>
      </c>
      <c r="AH218" s="1373">
        <f t="shared" si="42"/>
        <v>9669287</v>
      </c>
      <c r="AI218" s="1024">
        <f t="shared" si="40"/>
        <v>201</v>
      </c>
      <c r="AJ218" s="1025">
        <f>IFERROR(INDEX('[17]CN BC'!$M$10:$M$276,MATCH(B218,'[17]CN BC'!$H$10:$H$276,0)),"")</f>
        <v>0</v>
      </c>
      <c r="AK218" s="1011" t="str">
        <f>VLOOKUP(B218,TH.T4!B220:AC550,28,FALSE)</f>
        <v>CK</v>
      </c>
      <c r="AL218" s="1012"/>
      <c r="AM218" s="1012"/>
      <c r="AN218" s="1027"/>
      <c r="AO218" s="1012"/>
      <c r="AP218" s="1012"/>
      <c r="AQ218" s="1012"/>
      <c r="AR218" s="1012"/>
      <c r="AS218" s="1012"/>
      <c r="AT218" s="1012"/>
    </row>
    <row r="219" spans="1:50" s="1028" customFormat="1" ht="25.5" customHeight="1">
      <c r="A219" s="1014">
        <f>_xlfn.AGGREGATE(4,7,A$17:A218)+1</f>
        <v>202</v>
      </c>
      <c r="B219" s="1015" t="s">
        <v>2000</v>
      </c>
      <c r="C219" s="1033"/>
      <c r="D219" s="1034"/>
      <c r="E219" s="81" t="str">
        <f>VLOOKUP(B219,TH.T6!B131:J461,9,FALSE)</f>
        <v>Giảng viên khoa Cơ khí</v>
      </c>
      <c r="F219" s="1018">
        <v>2.67</v>
      </c>
      <c r="G219" s="1019"/>
      <c r="H219" s="1247">
        <f t="shared" si="46"/>
        <v>0</v>
      </c>
      <c r="I219" s="1020"/>
      <c r="J219" s="1018">
        <v>2.67</v>
      </c>
      <c r="K219" s="1019"/>
      <c r="L219" s="1247">
        <f t="shared" si="47"/>
        <v>0</v>
      </c>
      <c r="M219" s="1020"/>
      <c r="N219" s="1018">
        <v>2.67</v>
      </c>
      <c r="O219" s="1019"/>
      <c r="P219" s="1248">
        <f t="shared" si="48"/>
        <v>0</v>
      </c>
      <c r="Q219" s="1020"/>
      <c r="R219" s="1020" t="str">
        <f>IFERROR(INDEX('[18]Gui chi Quynh'!$E$11:$E$397,MATCH(B219,'[18]Gui chi Quynh'!$B$11:$B$397,0)),"")</f>
        <v>A4</v>
      </c>
      <c r="S219" s="1020">
        <f t="shared" si="49"/>
        <v>0.5</v>
      </c>
      <c r="T219" s="1020" t="str">
        <f>VLOOKUP(B219,'[19]Gui chi Quynh'!$B$11:$E$397,4,FALSE)</f>
        <v>A DN</v>
      </c>
      <c r="U219" s="1020">
        <f t="shared" si="43"/>
        <v>0</v>
      </c>
      <c r="V219" s="1020" t="str">
        <f>VLOOKUP(B219,'[20]Gui chi Quynh'!$B$11:$E$396,4,FALSE)</f>
        <v>A3</v>
      </c>
      <c r="W219" s="1020">
        <f t="shared" si="50"/>
        <v>0.6</v>
      </c>
      <c r="X219" s="1020">
        <f>IFERROR(INDEX('[21]CN BC'!$J$10:$J$275,MATCH(B219,'[21]CN BC'!$H$10:$H$275,0)),"")</f>
        <v>23</v>
      </c>
      <c r="Y219" s="1020">
        <f>IFERROR(INDEX('[22]CN BC'!$J$10:$J$274,MATCH(B219,'[22]CN BC'!$H$10:$H$274,0)),"")</f>
        <v>0</v>
      </c>
      <c r="Z219" s="1020">
        <f>VLOOKUP(B219,'[23]CN BC'!$H$10:$J$275,3,FALSE)</f>
        <v>19</v>
      </c>
      <c r="AA219" s="1021">
        <f t="shared" si="51"/>
        <v>23</v>
      </c>
      <c r="AB219" s="1021">
        <f t="shared" si="44"/>
        <v>0</v>
      </c>
      <c r="AC219" s="1021">
        <f t="shared" si="52"/>
        <v>19</v>
      </c>
      <c r="AD219" s="1022"/>
      <c r="AE219" s="1023">
        <f t="shared" si="45"/>
        <v>6872580</v>
      </c>
      <c r="AF219" s="1371">
        <f t="shared" si="41"/>
        <v>2.9369999999999998</v>
      </c>
      <c r="AG219" s="1102">
        <v>2340000</v>
      </c>
      <c r="AH219" s="1373">
        <f t="shared" si="42"/>
        <v>6872580</v>
      </c>
      <c r="AI219" s="1024">
        <f t="shared" si="40"/>
        <v>202</v>
      </c>
      <c r="AJ219" s="1025">
        <f>IFERROR(INDEX('[17]CN BC'!$M$10:$M$276,MATCH(B219,'[17]CN BC'!$H$10:$H$276,0)),"")</f>
        <v>0</v>
      </c>
      <c r="AK219" s="1011" t="str">
        <f>VLOOKUP(B219,TH.T4!B221:AC551,28,FALSE)</f>
        <v>CK</v>
      </c>
      <c r="AL219" s="1012"/>
      <c r="AM219" s="1012"/>
      <c r="AN219" s="1038"/>
    </row>
    <row r="220" spans="1:50" s="1028" customFormat="1" ht="27" customHeight="1">
      <c r="A220" s="1014">
        <f>_xlfn.AGGREGATE(4,7,A$17:A219)+1</f>
        <v>203</v>
      </c>
      <c r="B220" s="1015" t="s">
        <v>1855</v>
      </c>
      <c r="C220" s="1033" t="s">
        <v>1651</v>
      </c>
      <c r="D220" s="1034" t="s">
        <v>1292</v>
      </c>
      <c r="E220" s="81" t="str">
        <f>VLOOKUP(B220,TH.T6!B132:J462,9,FALSE)</f>
        <v>Giảng viên khoa Cơ khí</v>
      </c>
      <c r="F220" s="1018">
        <v>4.9800000000000004</v>
      </c>
      <c r="G220" s="1019">
        <v>7.0000000000000007E-2</v>
      </c>
      <c r="H220" s="1247">
        <f t="shared" si="46"/>
        <v>0.34899999999999998</v>
      </c>
      <c r="I220" s="1020">
        <v>0.35</v>
      </c>
      <c r="J220" s="1018">
        <v>4.9800000000000004</v>
      </c>
      <c r="K220" s="1019">
        <v>7.0000000000000007E-2</v>
      </c>
      <c r="L220" s="1247">
        <f t="shared" si="47"/>
        <v>0.34899999999999998</v>
      </c>
      <c r="M220" s="1020">
        <v>0.35</v>
      </c>
      <c r="N220" s="1018">
        <v>4.9800000000000004</v>
      </c>
      <c r="O220" s="1019">
        <v>7.0000000000000007E-2</v>
      </c>
      <c r="P220" s="1248">
        <f t="shared" si="48"/>
        <v>0.34899999999999998</v>
      </c>
      <c r="Q220" s="1020">
        <v>0.35</v>
      </c>
      <c r="R220" s="1020" t="str">
        <f>IFERROR(INDEX('[18]Gui chi Quynh'!$E$11:$E$397,MATCH(B220,'[18]Gui chi Quynh'!$B$11:$B$397,0)),"")</f>
        <v>A3</v>
      </c>
      <c r="S220" s="1020">
        <f t="shared" si="49"/>
        <v>0.6</v>
      </c>
      <c r="T220" s="1020" t="str">
        <f>VLOOKUP(B220,'[19]Gui chi Quynh'!$B$11:$E$397,4,FALSE)</f>
        <v>A DN</v>
      </c>
      <c r="U220" s="1020">
        <f t="shared" si="43"/>
        <v>0</v>
      </c>
      <c r="V220" s="1020" t="str">
        <f>VLOOKUP(B220,'[20]Gui chi Quynh'!$B$11:$E$396,4,FALSE)</f>
        <v>A3</v>
      </c>
      <c r="W220" s="1020">
        <f t="shared" si="50"/>
        <v>0.6</v>
      </c>
      <c r="X220" s="1020">
        <f>IFERROR(INDEX('[21]CN BC'!$J$10:$J$275,MATCH(B220,'[21]CN BC'!$H$10:$H$275,0)),"")</f>
        <v>21</v>
      </c>
      <c r="Y220" s="1020">
        <f>IFERROR(INDEX('[22]CN BC'!$J$10:$J$274,MATCH(B220,'[22]CN BC'!$H$10:$H$274,0)),"")</f>
        <v>0</v>
      </c>
      <c r="Z220" s="1020">
        <f>VLOOKUP(B220,'[23]CN BC'!$H$10:$J$275,3,FALSE)</f>
        <v>19</v>
      </c>
      <c r="AA220" s="1021">
        <f t="shared" si="51"/>
        <v>21</v>
      </c>
      <c r="AB220" s="1021">
        <f t="shared" si="44"/>
        <v>0</v>
      </c>
      <c r="AC220" s="1021">
        <f t="shared" si="52"/>
        <v>19</v>
      </c>
      <c r="AD220" s="1022"/>
      <c r="AE220" s="1023">
        <f t="shared" si="45"/>
        <v>15253300</v>
      </c>
      <c r="AF220" s="1371">
        <f t="shared" si="41"/>
        <v>6.5185042735042735</v>
      </c>
      <c r="AG220" s="1102">
        <v>2340000</v>
      </c>
      <c r="AH220" s="1373">
        <f t="shared" si="42"/>
        <v>15253300</v>
      </c>
      <c r="AI220" s="1024">
        <f t="shared" si="40"/>
        <v>203</v>
      </c>
      <c r="AJ220" s="1025">
        <f>IFERROR(INDEX('[17]CN BC'!$M$10:$M$276,MATCH(B220,'[17]CN BC'!$H$10:$H$276,0)),"")</f>
        <v>0</v>
      </c>
      <c r="AK220" s="1011" t="str">
        <f>VLOOKUP(B220,TH.T4!B222:AC552,28,FALSE)</f>
        <v>CK</v>
      </c>
      <c r="AL220" s="1012"/>
      <c r="AM220" s="1012"/>
      <c r="AN220" s="1027"/>
    </row>
    <row r="221" spans="1:50" s="1012" customFormat="1" ht="29.25" customHeight="1">
      <c r="A221" s="1014">
        <f>_xlfn.AGGREGATE(4,7,A$17:A220)+1</f>
        <v>204</v>
      </c>
      <c r="B221" s="1050" t="s">
        <v>1898</v>
      </c>
      <c r="C221" s="1029" t="s">
        <v>1781</v>
      </c>
      <c r="D221" s="1051" t="s">
        <v>1386</v>
      </c>
      <c r="E221" s="81" t="str">
        <f>VLOOKUP(B221,TH.T6!B133:J463,9,FALSE)</f>
        <v>Trưởng khoa Điện - Điện tử</v>
      </c>
      <c r="F221" s="1052">
        <v>4.6500000000000004</v>
      </c>
      <c r="G221" s="1053"/>
      <c r="H221" s="1247">
        <f t="shared" si="46"/>
        <v>0</v>
      </c>
      <c r="I221" s="1020">
        <v>0.45</v>
      </c>
      <c r="J221" s="1052">
        <v>4.6500000000000004</v>
      </c>
      <c r="K221" s="1053"/>
      <c r="L221" s="1247">
        <f t="shared" si="47"/>
        <v>0</v>
      </c>
      <c r="M221" s="1020">
        <v>0.45</v>
      </c>
      <c r="N221" s="1052">
        <v>4.6500000000000004</v>
      </c>
      <c r="O221" s="1053"/>
      <c r="P221" s="1248">
        <f t="shared" si="48"/>
        <v>0</v>
      </c>
      <c r="Q221" s="1020">
        <v>0.45</v>
      </c>
      <c r="R221" s="1020" t="str">
        <f>IFERROR(INDEX('[18]Gui chi Quynh'!$E$11:$E$397,MATCH(B221,'[18]Gui chi Quynh'!$B$11:$B$397,0)),"")</f>
        <v>A1</v>
      </c>
      <c r="S221" s="1020">
        <f t="shared" si="49"/>
        <v>0.8</v>
      </c>
      <c r="T221" s="1020" t="str">
        <f>VLOOKUP(B221,'[19]Gui chi Quynh'!$B$11:$E$397,4,FALSE)</f>
        <v>A1</v>
      </c>
      <c r="U221" s="1020">
        <f t="shared" si="43"/>
        <v>0.8</v>
      </c>
      <c r="V221" s="1020" t="str">
        <f>VLOOKUP(B221,'[20]Gui chi Quynh'!$B$11:$E$396,4,FALSE)</f>
        <v>A1</v>
      </c>
      <c r="W221" s="1020">
        <f t="shared" si="50"/>
        <v>0.8</v>
      </c>
      <c r="X221" s="1020">
        <f>IFERROR(INDEX('[21]CN BC'!$J$10:$J$275,MATCH(B221,'[21]CN BC'!$H$10:$H$275,0)),"")</f>
        <v>21</v>
      </c>
      <c r="Y221" s="1020">
        <f>IFERROR(INDEX('[22]CN BC'!$J$10:$J$274,MATCH(B221,'[22]CN BC'!$H$10:$H$274,0)),"")</f>
        <v>23</v>
      </c>
      <c r="Z221" s="1020">
        <f>VLOOKUP(B221,'[23]CN BC'!$H$10:$J$275,3,FALSE)</f>
        <v>19</v>
      </c>
      <c r="AA221" s="1021">
        <f t="shared" si="51"/>
        <v>21</v>
      </c>
      <c r="AB221" s="1021">
        <f t="shared" si="44"/>
        <v>22</v>
      </c>
      <c r="AC221" s="1021">
        <f t="shared" si="52"/>
        <v>19</v>
      </c>
      <c r="AD221" s="1022"/>
      <c r="AE221" s="1023">
        <f t="shared" si="45"/>
        <v>27811409</v>
      </c>
      <c r="AF221" s="1371">
        <f t="shared" si="41"/>
        <v>11.885217521367521</v>
      </c>
      <c r="AG221" s="1102">
        <v>2340000</v>
      </c>
      <c r="AH221" s="1373">
        <f t="shared" si="42"/>
        <v>27811409</v>
      </c>
      <c r="AI221" s="1024">
        <f t="shared" ref="AI221:AI284" si="53">A221</f>
        <v>204</v>
      </c>
      <c r="AJ221" s="1025">
        <f>IFERROR(INDEX('[17]CN BC'!$M$10:$M$276,MATCH(B221,'[17]CN BC'!$H$10:$H$276,0)),"")</f>
        <v>0</v>
      </c>
      <c r="AK221" s="1011" t="str">
        <f>VLOOKUP(B221,TH.T4!B223:AC553,28,FALSE)</f>
        <v>Đ-ĐT</v>
      </c>
      <c r="AN221" s="1027"/>
    </row>
    <row r="222" spans="1:50" s="1028" customFormat="1" ht="29.25" customHeight="1">
      <c r="A222" s="1014">
        <f>_xlfn.AGGREGATE(4,7,A$17:A221)+1</f>
        <v>205</v>
      </c>
      <c r="B222" s="1015" t="s">
        <v>526</v>
      </c>
      <c r="C222" s="1029" t="s">
        <v>1646</v>
      </c>
      <c r="D222" s="1034" t="s">
        <v>1398</v>
      </c>
      <c r="E222" s="81" t="str">
        <f>VLOOKUP(B222,TH.T6!B134:J464,9,FALSE)</f>
        <v>Phó Trưởng khoa Điện - Điện tử</v>
      </c>
      <c r="F222" s="1018">
        <v>4.9800000000000004</v>
      </c>
      <c r="G222" s="1019">
        <v>0.16</v>
      </c>
      <c r="H222" s="1247">
        <f t="shared" si="46"/>
        <v>0.79700000000000004</v>
      </c>
      <c r="I222" s="1020">
        <f>0.35</f>
        <v>0.35</v>
      </c>
      <c r="J222" s="1018">
        <v>4.9800000000000004</v>
      </c>
      <c r="K222" s="1019">
        <v>0.16</v>
      </c>
      <c r="L222" s="1247">
        <f t="shared" si="47"/>
        <v>0.79700000000000004</v>
      </c>
      <c r="M222" s="1020">
        <f>0.35</f>
        <v>0.35</v>
      </c>
      <c r="N222" s="1018">
        <v>4.9800000000000004</v>
      </c>
      <c r="O222" s="1019">
        <v>0.16</v>
      </c>
      <c r="P222" s="1248">
        <f t="shared" si="48"/>
        <v>0.79700000000000004</v>
      </c>
      <c r="Q222" s="1020">
        <f>0.35</f>
        <v>0.35</v>
      </c>
      <c r="R222" s="1020" t="str">
        <f>IFERROR(INDEX('[18]Gui chi Quynh'!$E$11:$E$397,MATCH(B222,'[18]Gui chi Quynh'!$B$11:$B$397,0)),"")</f>
        <v>A3</v>
      </c>
      <c r="S222" s="1020">
        <f t="shared" si="49"/>
        <v>0.6</v>
      </c>
      <c r="T222" s="1020" t="str">
        <f>VLOOKUP(B222,'[19]Gui chi Quynh'!$B$11:$E$397,4,FALSE)</f>
        <v>A3</v>
      </c>
      <c r="U222" s="1020">
        <f t="shared" si="43"/>
        <v>0.6</v>
      </c>
      <c r="V222" s="1020" t="str">
        <f>VLOOKUP(B222,'[20]Gui chi Quynh'!$B$11:$E$396,4,FALSE)</f>
        <v>A2</v>
      </c>
      <c r="W222" s="1020">
        <f t="shared" si="50"/>
        <v>0.7</v>
      </c>
      <c r="X222" s="1020">
        <f>IFERROR(INDEX('[21]CN BC'!$J$10:$J$275,MATCH(B222,'[21]CN BC'!$H$10:$H$275,0)),"")</f>
        <v>21</v>
      </c>
      <c r="Y222" s="1020">
        <f>IFERROR(INDEX('[22]CN BC'!$J$10:$J$274,MATCH(B222,'[22]CN BC'!$H$10:$H$274,0)),"")</f>
        <v>20</v>
      </c>
      <c r="Z222" s="1020">
        <f>VLOOKUP(B222,'[23]CN BC'!$H$10:$J$275,3,FALSE)</f>
        <v>19</v>
      </c>
      <c r="AA222" s="1021">
        <f t="shared" si="51"/>
        <v>21</v>
      </c>
      <c r="AB222" s="1021">
        <f t="shared" si="44"/>
        <v>20</v>
      </c>
      <c r="AC222" s="1021">
        <f t="shared" si="52"/>
        <v>19</v>
      </c>
      <c r="AD222" s="1022"/>
      <c r="AE222" s="1023">
        <f t="shared" si="45"/>
        <v>25710587</v>
      </c>
      <c r="AF222" s="1371">
        <f t="shared" si="41"/>
        <v>10.987430341880343</v>
      </c>
      <c r="AG222" s="1102">
        <v>2340000</v>
      </c>
      <c r="AH222" s="1373">
        <f t="shared" si="42"/>
        <v>25710587</v>
      </c>
      <c r="AI222" s="1024">
        <f t="shared" si="53"/>
        <v>205</v>
      </c>
      <c r="AJ222" s="1025">
        <f>IFERROR(INDEX('[17]CN BC'!$M$10:$M$276,MATCH(B222,'[17]CN BC'!$H$10:$H$276,0)),"")</f>
        <v>0</v>
      </c>
      <c r="AK222" s="1011" t="str">
        <f>VLOOKUP(B222,TH.T4!B224:AC554,28,FALSE)</f>
        <v>Đ-ĐT</v>
      </c>
      <c r="AL222" s="1012"/>
      <c r="AM222" s="1012"/>
      <c r="AN222" s="1027"/>
      <c r="AO222" s="1012"/>
      <c r="AP222" s="1012"/>
      <c r="AQ222" s="1012"/>
      <c r="AR222" s="1012"/>
      <c r="AS222" s="1012"/>
      <c r="AT222" s="1012"/>
      <c r="AU222" s="1012"/>
      <c r="AV222" s="1012"/>
      <c r="AW222" s="1012"/>
      <c r="AX222" s="1012"/>
    </row>
    <row r="223" spans="1:50" s="1012" customFormat="1" ht="42" customHeight="1">
      <c r="A223" s="1014">
        <f>_xlfn.AGGREGATE(4,7,A$17:A222)+1</f>
        <v>206</v>
      </c>
      <c r="B223" s="1093" t="s">
        <v>1899</v>
      </c>
      <c r="C223" s="1094" t="s">
        <v>1778</v>
      </c>
      <c r="D223" s="1212" t="s">
        <v>1381</v>
      </c>
      <c r="E223" s="554" t="str">
        <f>VLOOKUP(B223,TH.T6!B135:J465,9,FALSE)</f>
        <v>Giảng viên khoa Điện - Điện tử</v>
      </c>
      <c r="F223" s="1095">
        <v>4.9800000000000004</v>
      </c>
      <c r="G223" s="1096">
        <v>0.06</v>
      </c>
      <c r="H223" s="1249">
        <f t="shared" si="46"/>
        <v>0.29899999999999999</v>
      </c>
      <c r="I223" s="1097"/>
      <c r="J223" s="1095">
        <v>4.9800000000000004</v>
      </c>
      <c r="K223" s="1096">
        <v>0.06</v>
      </c>
      <c r="L223" s="1249">
        <f t="shared" si="47"/>
        <v>0.29899999999999999</v>
      </c>
      <c r="M223" s="1097"/>
      <c r="N223" s="1095">
        <v>4.9800000000000004</v>
      </c>
      <c r="O223" s="1096">
        <v>7.0000000000000007E-2</v>
      </c>
      <c r="P223" s="1250">
        <f t="shared" si="48"/>
        <v>0.34899999999999998</v>
      </c>
      <c r="Q223" s="1097"/>
      <c r="R223" s="1097" t="str">
        <f>IFERROR(INDEX('[18]Gui chi Quynh'!$E$11:$E$397,MATCH(B223,'[18]Gui chi Quynh'!$B$11:$B$397,0)),"")</f>
        <v>A3</v>
      </c>
      <c r="S223" s="1097">
        <f t="shared" si="49"/>
        <v>0.6</v>
      </c>
      <c r="T223" s="1097" t="str">
        <f>VLOOKUP(B223,'[19]Gui chi Quynh'!$B$11:$E$397,4,FALSE)</f>
        <v>A DN</v>
      </c>
      <c r="U223" s="1097">
        <f t="shared" si="43"/>
        <v>0</v>
      </c>
      <c r="V223" s="1097" t="str">
        <f>VLOOKUP(B223,'[20]Gui chi Quynh'!$B$11:$E$396,4,FALSE)</f>
        <v>A3</v>
      </c>
      <c r="W223" s="1097">
        <f t="shared" si="50"/>
        <v>0.6</v>
      </c>
      <c r="X223" s="1097">
        <f>IFERROR(INDEX('[21]CN BC'!$J$10:$J$275,MATCH(B223,'[21]CN BC'!$H$10:$H$275,0)),"")</f>
        <v>21</v>
      </c>
      <c r="Y223" s="1097">
        <f>IFERROR(INDEX('[22]CN BC'!$J$10:$J$274,MATCH(B223,'[22]CN BC'!$H$10:$H$274,0)),"")</f>
        <v>0</v>
      </c>
      <c r="Z223" s="1097">
        <f>VLOOKUP(B223,'[23]CN BC'!$H$10:$J$275,3,FALSE)</f>
        <v>19</v>
      </c>
      <c r="AA223" s="1213">
        <f t="shared" si="51"/>
        <v>21</v>
      </c>
      <c r="AB223" s="1213">
        <f t="shared" si="44"/>
        <v>0</v>
      </c>
      <c r="AC223" s="1213">
        <f t="shared" si="52"/>
        <v>19</v>
      </c>
      <c r="AD223" s="1098"/>
      <c r="AE223" s="1214">
        <f t="shared" si="45"/>
        <v>14249135</v>
      </c>
      <c r="AF223" s="1400">
        <f t="shared" si="41"/>
        <v>6.0893739316239319</v>
      </c>
      <c r="AG223" s="1225">
        <v>2340000</v>
      </c>
      <c r="AH223" s="1401">
        <f t="shared" si="42"/>
        <v>14249135</v>
      </c>
      <c r="AI223" s="1099">
        <f t="shared" si="53"/>
        <v>206</v>
      </c>
      <c r="AJ223" s="1215" t="s">
        <v>2364</v>
      </c>
      <c r="AK223" s="1011" t="str">
        <f>VLOOKUP(B223,TH.T4!B225:AC555,28,FALSE)</f>
        <v>Đ-ĐT</v>
      </c>
      <c r="AN223" s="1027"/>
    </row>
    <row r="224" spans="1:50" s="1028" customFormat="1" ht="29.25" customHeight="1">
      <c r="A224" s="1014">
        <f>_xlfn.AGGREGATE(4,7,A$17:A223)+1</f>
        <v>207</v>
      </c>
      <c r="B224" s="1015" t="s">
        <v>461</v>
      </c>
      <c r="C224" s="1033" t="s">
        <v>1779</v>
      </c>
      <c r="D224" s="1034" t="s">
        <v>1384</v>
      </c>
      <c r="E224" s="81" t="str">
        <f>VLOOKUP(B224,TH.T6!B136:J466,9,FALSE)</f>
        <v>Giảng viên khoa Điện - Điện tử</v>
      </c>
      <c r="F224" s="1018">
        <v>4.9800000000000004</v>
      </c>
      <c r="G224" s="1019">
        <v>0.06</v>
      </c>
      <c r="H224" s="1247">
        <f t="shared" si="46"/>
        <v>0.29899999999999999</v>
      </c>
      <c r="I224" s="1020"/>
      <c r="J224" s="1018">
        <v>4.9800000000000004</v>
      </c>
      <c r="K224" s="1019">
        <v>0.06</v>
      </c>
      <c r="L224" s="1247">
        <f t="shared" si="47"/>
        <v>0.29899999999999999</v>
      </c>
      <c r="M224" s="1020"/>
      <c r="N224" s="1018">
        <v>4.9800000000000004</v>
      </c>
      <c r="O224" s="1019">
        <v>0.06</v>
      </c>
      <c r="P224" s="1248">
        <f t="shared" si="48"/>
        <v>0.29899999999999999</v>
      </c>
      <c r="Q224" s="1020"/>
      <c r="R224" s="1020" t="str">
        <f>IFERROR(INDEX('[18]Gui chi Quynh'!$E$11:$E$397,MATCH(B224,'[18]Gui chi Quynh'!$B$11:$B$397,0)),"")</f>
        <v>A3</v>
      </c>
      <c r="S224" s="1020">
        <f t="shared" si="49"/>
        <v>0.6</v>
      </c>
      <c r="T224" s="1020" t="str">
        <f>VLOOKUP(B224,'[19]Gui chi Quynh'!$B$11:$E$397,4,FALSE)</f>
        <v>A DN</v>
      </c>
      <c r="U224" s="1020">
        <f t="shared" si="43"/>
        <v>0</v>
      </c>
      <c r="V224" s="1020" t="str">
        <f>VLOOKUP(B224,'[20]Gui chi Quynh'!$B$11:$E$396,4,FALSE)</f>
        <v>A2</v>
      </c>
      <c r="W224" s="1020">
        <f t="shared" si="50"/>
        <v>0.7</v>
      </c>
      <c r="X224" s="1020">
        <f>IFERROR(INDEX('[21]CN BC'!$J$10:$J$275,MATCH(B224,'[21]CN BC'!$H$10:$H$275,0)),"")</f>
        <v>21</v>
      </c>
      <c r="Y224" s="1020">
        <f>IFERROR(INDEX('[22]CN BC'!$J$10:$J$274,MATCH(B224,'[22]CN BC'!$H$10:$H$274,0)),"")</f>
        <v>0</v>
      </c>
      <c r="Z224" s="1020">
        <f>VLOOKUP(B224,'[23]CN BC'!$H$10:$J$275,3,FALSE)</f>
        <v>19</v>
      </c>
      <c r="AA224" s="1021">
        <f t="shared" si="51"/>
        <v>21</v>
      </c>
      <c r="AB224" s="1021">
        <f t="shared" si="44"/>
        <v>0</v>
      </c>
      <c r="AC224" s="1021">
        <f t="shared" si="52"/>
        <v>19</v>
      </c>
      <c r="AD224" s="1022"/>
      <c r="AE224" s="1023">
        <f t="shared" si="45"/>
        <v>15414221</v>
      </c>
      <c r="AF224" s="1371">
        <f t="shared" si="41"/>
        <v>6.5872739316239315</v>
      </c>
      <c r="AG224" s="1102">
        <v>2340000</v>
      </c>
      <c r="AH224" s="1373">
        <f t="shared" si="42"/>
        <v>15414221</v>
      </c>
      <c r="AI224" s="1024">
        <f t="shared" si="53"/>
        <v>207</v>
      </c>
      <c r="AJ224" s="1025">
        <f>IFERROR(INDEX('[17]CN BC'!$M$10:$M$276,MATCH(B224,'[17]CN BC'!$H$10:$H$276,0)),"")</f>
        <v>0</v>
      </c>
      <c r="AK224" s="1011" t="str">
        <f>VLOOKUP(B224,TH.T4!B226:AC556,28,FALSE)</f>
        <v>Đ-ĐT</v>
      </c>
      <c r="AN224" s="1038"/>
    </row>
    <row r="225" spans="1:50" s="1012" customFormat="1" ht="29.25" customHeight="1">
      <c r="A225" s="1014">
        <f>_xlfn.AGGREGATE(4,7,A$17:A224)+1</f>
        <v>208</v>
      </c>
      <c r="B225" s="1093" t="s">
        <v>1900</v>
      </c>
      <c r="C225" s="1094" t="s">
        <v>1780</v>
      </c>
      <c r="D225" s="1212" t="s">
        <v>1385</v>
      </c>
      <c r="E225" s="554" t="str">
        <f>VLOOKUP(B225,TH.T6!B137:J467,9,FALSE)</f>
        <v>Giảng viên khoa Điện - Điện tử</v>
      </c>
      <c r="F225" s="1095">
        <v>4.6500000000000004</v>
      </c>
      <c r="G225" s="1096"/>
      <c r="H225" s="1249">
        <f t="shared" si="46"/>
        <v>0</v>
      </c>
      <c r="I225" s="1097"/>
      <c r="J225" s="1095">
        <v>4.6500000000000004</v>
      </c>
      <c r="K225" s="1096"/>
      <c r="L225" s="1249">
        <f t="shared" si="47"/>
        <v>0</v>
      </c>
      <c r="M225" s="1097"/>
      <c r="N225" s="1095">
        <v>4.9800000000000004</v>
      </c>
      <c r="O225" s="1096"/>
      <c r="P225" s="1250">
        <f t="shared" si="48"/>
        <v>0</v>
      </c>
      <c r="Q225" s="1097"/>
      <c r="R225" s="1097" t="str">
        <f>IFERROR(INDEX('[18]Gui chi Quynh'!$E$11:$E$397,MATCH(B225,'[18]Gui chi Quynh'!$B$11:$B$397,0)),"")</f>
        <v>A3</v>
      </c>
      <c r="S225" s="1097">
        <f t="shared" si="49"/>
        <v>0.6</v>
      </c>
      <c r="T225" s="1097" t="str">
        <f>VLOOKUP(B225,'[19]Gui chi Quynh'!$B$11:$E$397,4,FALSE)</f>
        <v>A DN</v>
      </c>
      <c r="U225" s="1097">
        <f t="shared" si="43"/>
        <v>0</v>
      </c>
      <c r="V225" s="1097" t="str">
        <f>VLOOKUP(B225,'[20]Gui chi Quynh'!$B$11:$E$396,4,FALSE)</f>
        <v>A3</v>
      </c>
      <c r="W225" s="1097">
        <f t="shared" si="50"/>
        <v>0.6</v>
      </c>
      <c r="X225" s="1097">
        <f>IFERROR(INDEX('[21]CN BC'!$J$10:$J$275,MATCH(B225,'[21]CN BC'!$H$10:$H$275,0)),"")</f>
        <v>23</v>
      </c>
      <c r="Y225" s="1097">
        <f>IFERROR(INDEX('[22]CN BC'!$J$10:$J$274,MATCH(B225,'[22]CN BC'!$H$10:$H$274,0)),"")</f>
        <v>0</v>
      </c>
      <c r="Z225" s="1097">
        <f>VLOOKUP(B225,'[23]CN BC'!$H$10:$J$275,3,FALSE)</f>
        <v>19</v>
      </c>
      <c r="AA225" s="1213">
        <f t="shared" si="51"/>
        <v>23</v>
      </c>
      <c r="AB225" s="1213">
        <f t="shared" si="44"/>
        <v>0</v>
      </c>
      <c r="AC225" s="1213">
        <f t="shared" si="52"/>
        <v>19</v>
      </c>
      <c r="AD225" s="1098"/>
      <c r="AE225" s="1214">
        <f t="shared" si="45"/>
        <v>13520520</v>
      </c>
      <c r="AF225" s="1400">
        <f t="shared" si="41"/>
        <v>5.7779999999999996</v>
      </c>
      <c r="AG225" s="1225">
        <v>2340000</v>
      </c>
      <c r="AH225" s="1401">
        <f t="shared" si="42"/>
        <v>13520519.999999998</v>
      </c>
      <c r="AI225" s="1099">
        <f t="shared" si="53"/>
        <v>208</v>
      </c>
      <c r="AJ225" s="1215" t="s">
        <v>2363</v>
      </c>
      <c r="AK225" s="1011" t="str">
        <f>VLOOKUP(B225,TH.T4!B227:AC557,28,FALSE)</f>
        <v>Đ-ĐT</v>
      </c>
      <c r="AN225" s="1027"/>
    </row>
    <row r="226" spans="1:50" s="1012" customFormat="1" ht="29.25" customHeight="1">
      <c r="A226" s="1014">
        <f>_xlfn.AGGREGATE(4,7,A$17:A225)+1</f>
        <v>209</v>
      </c>
      <c r="B226" s="1050" t="s">
        <v>1901</v>
      </c>
      <c r="C226" s="1029" t="s">
        <v>1782</v>
      </c>
      <c r="D226" s="1051" t="s">
        <v>1387</v>
      </c>
      <c r="E226" s="81" t="str">
        <f>VLOOKUP(B226,TH.T6!B138:J468,9,FALSE)</f>
        <v>Giảng viên khoa Điện - Điện tử</v>
      </c>
      <c r="F226" s="1052">
        <v>4.32</v>
      </c>
      <c r="G226" s="1053"/>
      <c r="H226" s="1247">
        <f t="shared" si="46"/>
        <v>0</v>
      </c>
      <c r="I226" s="1054"/>
      <c r="J226" s="1052">
        <v>4.32</v>
      </c>
      <c r="K226" s="1053"/>
      <c r="L226" s="1247">
        <f t="shared" si="47"/>
        <v>0</v>
      </c>
      <c r="M226" s="1054"/>
      <c r="N226" s="1052">
        <v>4.32</v>
      </c>
      <c r="O226" s="1053"/>
      <c r="P226" s="1248">
        <f t="shared" si="48"/>
        <v>0</v>
      </c>
      <c r="Q226" s="1054"/>
      <c r="R226" s="1020" t="str">
        <f>IFERROR(INDEX('[18]Gui chi Quynh'!$E$11:$E$397,MATCH(B226,'[18]Gui chi Quynh'!$B$11:$B$397,0)),"")</f>
        <v>A3</v>
      </c>
      <c r="S226" s="1020">
        <f t="shared" si="49"/>
        <v>0.6</v>
      </c>
      <c r="T226" s="1020" t="str">
        <f>VLOOKUP(B226,'[19]Gui chi Quynh'!$B$11:$E$397,4,FALSE)</f>
        <v>A DN</v>
      </c>
      <c r="U226" s="1020">
        <f t="shared" si="43"/>
        <v>0</v>
      </c>
      <c r="V226" s="1020" t="str">
        <f>VLOOKUP(B226,'[20]Gui chi Quynh'!$B$11:$E$396,4,FALSE)</f>
        <v>A4</v>
      </c>
      <c r="W226" s="1020">
        <f t="shared" si="50"/>
        <v>0.5</v>
      </c>
      <c r="X226" s="1020">
        <f>IFERROR(INDEX('[21]CN BC'!$J$10:$J$275,MATCH(B226,'[21]CN BC'!$H$10:$H$275,0)),"")</f>
        <v>21</v>
      </c>
      <c r="Y226" s="1020">
        <f>IFERROR(INDEX('[22]CN BC'!$J$10:$J$274,MATCH(B226,'[22]CN BC'!$H$10:$H$274,0)),"")</f>
        <v>0</v>
      </c>
      <c r="Z226" s="1020">
        <f>VLOOKUP(B226,'[23]CN BC'!$H$10:$J$275,3,FALSE)</f>
        <v>19</v>
      </c>
      <c r="AA226" s="1021">
        <f t="shared" si="51"/>
        <v>21</v>
      </c>
      <c r="AB226" s="1021">
        <f t="shared" si="44"/>
        <v>0</v>
      </c>
      <c r="AC226" s="1021">
        <f t="shared" si="52"/>
        <v>19</v>
      </c>
      <c r="AD226" s="1022"/>
      <c r="AE226" s="1023">
        <f t="shared" si="45"/>
        <v>10592264</v>
      </c>
      <c r="AF226" s="1371">
        <f t="shared" si="41"/>
        <v>4.5266085470085473</v>
      </c>
      <c r="AG226" s="1102">
        <v>2340000</v>
      </c>
      <c r="AH226" s="1373">
        <f t="shared" si="42"/>
        <v>10592264</v>
      </c>
      <c r="AI226" s="1024">
        <f t="shared" si="53"/>
        <v>209</v>
      </c>
      <c r="AJ226" s="1025">
        <f>IFERROR(INDEX('[17]CN BC'!$M$10:$M$276,MATCH(B226,'[17]CN BC'!$H$10:$H$276,0)),"")</f>
        <v>0</v>
      </c>
      <c r="AK226" s="1011" t="str">
        <f>VLOOKUP(B226,TH.T4!B228:AC558,28,FALSE)</f>
        <v>Đ-ĐT</v>
      </c>
      <c r="AN226" s="1027"/>
    </row>
    <row r="227" spans="1:50" s="1012" customFormat="1" ht="29.25" customHeight="1">
      <c r="A227" s="1014">
        <f>_xlfn.AGGREGATE(4,7,A$17:A226)+1</f>
        <v>210</v>
      </c>
      <c r="B227" s="1093" t="s">
        <v>1534</v>
      </c>
      <c r="C227" s="1094" t="s">
        <v>1783</v>
      </c>
      <c r="D227" s="1212" t="s">
        <v>1388</v>
      </c>
      <c r="E227" s="554" t="str">
        <f>VLOOKUP(B227,TH.T6!B139:J469,9,FALSE)</f>
        <v>Giảng viên khoa
Điện - Điện tử</v>
      </c>
      <c r="F227" s="1095">
        <v>4.32</v>
      </c>
      <c r="G227" s="1096"/>
      <c r="H227" s="1249">
        <f t="shared" si="46"/>
        <v>0</v>
      </c>
      <c r="I227" s="1097"/>
      <c r="J227" s="1095">
        <v>4.32</v>
      </c>
      <c r="K227" s="1096"/>
      <c r="L227" s="1249">
        <f t="shared" si="47"/>
        <v>0</v>
      </c>
      <c r="M227" s="1097"/>
      <c r="N227" s="1095">
        <v>4.6500000000000004</v>
      </c>
      <c r="O227" s="1096"/>
      <c r="P227" s="1250">
        <f t="shared" si="48"/>
        <v>0</v>
      </c>
      <c r="Q227" s="1097"/>
      <c r="R227" s="1097" t="str">
        <f>IFERROR(INDEX('[18]Gui chi Quynh'!$E$11:$E$397,MATCH(B227,'[18]Gui chi Quynh'!$B$11:$B$397,0)),"")</f>
        <v>A3</v>
      </c>
      <c r="S227" s="1097">
        <f t="shared" si="49"/>
        <v>0.6</v>
      </c>
      <c r="T227" s="1097" t="str">
        <f>VLOOKUP(B227,'[19]Gui chi Quynh'!$B$11:$E$397,4,FALSE)</f>
        <v>A DN</v>
      </c>
      <c r="U227" s="1097">
        <f t="shared" si="43"/>
        <v>0</v>
      </c>
      <c r="V227" s="1097" t="str">
        <f>VLOOKUP(B227,'[20]Gui chi Quynh'!$B$11:$E$396,4,FALSE)</f>
        <v>A4</v>
      </c>
      <c r="W227" s="1097">
        <f t="shared" si="50"/>
        <v>0.5</v>
      </c>
      <c r="X227" s="1097">
        <f>IFERROR(INDEX('[21]CN BC'!$J$10:$J$275,MATCH(B227,'[21]CN BC'!$H$10:$H$275,0)),"")</f>
        <v>21</v>
      </c>
      <c r="Y227" s="1097">
        <f>IFERROR(INDEX('[22]CN BC'!$J$10:$J$274,MATCH(B227,'[22]CN BC'!$H$10:$H$274,0)),"")</f>
        <v>0</v>
      </c>
      <c r="Z227" s="1097">
        <f>VLOOKUP(B227,'[23]CN BC'!$H$10:$J$275,3,FALSE)</f>
        <v>19</v>
      </c>
      <c r="AA227" s="1213">
        <f t="shared" si="51"/>
        <v>21</v>
      </c>
      <c r="AB227" s="1213">
        <f t="shared" si="44"/>
        <v>0</v>
      </c>
      <c r="AC227" s="1213">
        <f t="shared" si="52"/>
        <v>19</v>
      </c>
      <c r="AD227" s="1098"/>
      <c r="AE227" s="1214">
        <f t="shared" si="45"/>
        <v>10978364</v>
      </c>
      <c r="AF227" s="1400">
        <f t="shared" si="41"/>
        <v>4.6916085470085473</v>
      </c>
      <c r="AG227" s="1225">
        <v>2340000</v>
      </c>
      <c r="AH227" s="1401">
        <f t="shared" si="42"/>
        <v>10978364</v>
      </c>
      <c r="AI227" s="1099">
        <f t="shared" si="53"/>
        <v>210</v>
      </c>
      <c r="AJ227" s="1215" t="s">
        <v>2363</v>
      </c>
      <c r="AK227" s="1011" t="str">
        <f>VLOOKUP(B227,TH.T4!B229:AC559,28,FALSE)</f>
        <v>Đ-ĐT</v>
      </c>
      <c r="AN227" s="1027"/>
    </row>
    <row r="228" spans="1:50" s="1028" customFormat="1" ht="29.25" customHeight="1">
      <c r="A228" s="1014">
        <f>_xlfn.AGGREGATE(4,7,A$17:A227)+1</f>
        <v>211</v>
      </c>
      <c r="B228" s="1093" t="s">
        <v>1535</v>
      </c>
      <c r="C228" s="1094" t="s">
        <v>1784</v>
      </c>
      <c r="D228" s="1221" t="s">
        <v>1595</v>
      </c>
      <c r="E228" s="554" t="str">
        <f>VLOOKUP(B228,TH.T6!B140:J470,9,FALSE)</f>
        <v>Trưởng BM Cơ điện tử và Tự động hóa</v>
      </c>
      <c r="F228" s="1224">
        <v>3.33</v>
      </c>
      <c r="G228" s="1096"/>
      <c r="H228" s="1249">
        <f t="shared" si="46"/>
        <v>0</v>
      </c>
      <c r="I228" s="1097">
        <v>0.25</v>
      </c>
      <c r="J228" s="1224">
        <v>3.33</v>
      </c>
      <c r="K228" s="1096"/>
      <c r="L228" s="1249">
        <f t="shared" si="47"/>
        <v>0</v>
      </c>
      <c r="M228" s="1097">
        <v>0.25</v>
      </c>
      <c r="N228" s="1224">
        <v>3.66</v>
      </c>
      <c r="O228" s="1096"/>
      <c r="P228" s="1250">
        <f t="shared" si="48"/>
        <v>0</v>
      </c>
      <c r="Q228" s="1097">
        <v>0.25</v>
      </c>
      <c r="R228" s="1097" t="str">
        <f>IFERROR(INDEX('[18]Gui chi Quynh'!$E$11:$E$397,MATCH(B228,'[18]Gui chi Quynh'!$B$11:$B$397,0)),"")</f>
        <v>A3</v>
      </c>
      <c r="S228" s="1097">
        <f t="shared" si="49"/>
        <v>0.6</v>
      </c>
      <c r="T228" s="1097" t="str">
        <f>VLOOKUP(B228,'[19]Gui chi Quynh'!$B$11:$E$397,4,FALSE)</f>
        <v>A DN</v>
      </c>
      <c r="U228" s="1097">
        <f t="shared" si="43"/>
        <v>0</v>
      </c>
      <c r="V228" s="1097" t="str">
        <f>VLOOKUP(B228,'[20]Gui chi Quynh'!$B$11:$E$396,4,FALSE)</f>
        <v>A1</v>
      </c>
      <c r="W228" s="1097">
        <f t="shared" si="50"/>
        <v>0.8</v>
      </c>
      <c r="X228" s="1097">
        <f>IFERROR(INDEX('[21]CN BC'!$J$10:$J$275,MATCH(B228,'[21]CN BC'!$H$10:$H$275,0)),"")</f>
        <v>21</v>
      </c>
      <c r="Y228" s="1097">
        <f>IFERROR(INDEX('[22]CN BC'!$J$10:$J$274,MATCH(B228,'[22]CN BC'!$H$10:$H$274,0)),"")</f>
        <v>0</v>
      </c>
      <c r="Z228" s="1097">
        <f>VLOOKUP(B228,'[23]CN BC'!$H$10:$J$275,3,FALSE)</f>
        <v>19</v>
      </c>
      <c r="AA228" s="1213">
        <f t="shared" si="51"/>
        <v>21</v>
      </c>
      <c r="AB228" s="1213">
        <f t="shared" si="44"/>
        <v>0</v>
      </c>
      <c r="AC228" s="1213">
        <f t="shared" si="52"/>
        <v>19</v>
      </c>
      <c r="AD228" s="1098"/>
      <c r="AE228" s="1214">
        <f t="shared" si="45"/>
        <v>11908769</v>
      </c>
      <c r="AF228" s="1400">
        <f t="shared" si="41"/>
        <v>5.0892175213675213</v>
      </c>
      <c r="AG228" s="1225">
        <v>2340000</v>
      </c>
      <c r="AH228" s="1401">
        <f t="shared" si="42"/>
        <v>11908769</v>
      </c>
      <c r="AI228" s="1099">
        <f t="shared" si="53"/>
        <v>211</v>
      </c>
      <c r="AJ228" s="1215" t="s">
        <v>2363</v>
      </c>
      <c r="AK228" s="1011" t="str">
        <f>VLOOKUP(B228,TH.T4!B230:AC560,28,FALSE)</f>
        <v>Đ-ĐT</v>
      </c>
      <c r="AL228" s="1012"/>
      <c r="AM228" s="1012"/>
      <c r="AN228" s="1027"/>
      <c r="AO228" s="1012"/>
      <c r="AP228" s="1012"/>
      <c r="AQ228" s="1012"/>
      <c r="AR228" s="1012"/>
      <c r="AS228" s="1012"/>
      <c r="AT228" s="1012"/>
    </row>
    <row r="229" spans="1:50" s="1028" customFormat="1" ht="29.25" customHeight="1">
      <c r="A229" s="1014">
        <f>_xlfn.AGGREGATE(4,7,A$17:A228)+1</f>
        <v>212</v>
      </c>
      <c r="B229" s="1101" t="s">
        <v>1903</v>
      </c>
      <c r="C229" s="1033" t="s">
        <v>1786</v>
      </c>
      <c r="D229" s="1034" t="s">
        <v>1392</v>
      </c>
      <c r="E229" s="81" t="str">
        <f>VLOOKUP(B229,TH.T6!B141:J471,9,FALSE)</f>
        <v>Giảng viên khoa Điện - Điện tử</v>
      </c>
      <c r="F229" s="1040">
        <v>4.32</v>
      </c>
      <c r="G229" s="1019"/>
      <c r="H229" s="1247">
        <f t="shared" si="46"/>
        <v>0</v>
      </c>
      <c r="I229" s="1020"/>
      <c r="J229" s="1040">
        <v>4.32</v>
      </c>
      <c r="K229" s="1019"/>
      <c r="L229" s="1247">
        <f t="shared" si="47"/>
        <v>0</v>
      </c>
      <c r="M229" s="1020"/>
      <c r="N229" s="1040">
        <v>4.32</v>
      </c>
      <c r="O229" s="1019"/>
      <c r="P229" s="1248">
        <f t="shared" si="48"/>
        <v>0</v>
      </c>
      <c r="Q229" s="1020"/>
      <c r="R229" s="1020" t="str">
        <f>IFERROR(INDEX('[18]Gui chi Quynh'!$E$11:$E$397,MATCH(B229,'[18]Gui chi Quynh'!$B$11:$B$397,0)),"")</f>
        <v>A3</v>
      </c>
      <c r="S229" s="1020">
        <f t="shared" si="49"/>
        <v>0.6</v>
      </c>
      <c r="T229" s="1020" t="str">
        <f>VLOOKUP(B229,'[19]Gui chi Quynh'!$B$11:$E$397,4,FALSE)</f>
        <v>A DN</v>
      </c>
      <c r="U229" s="1020">
        <f t="shared" si="43"/>
        <v>0</v>
      </c>
      <c r="V229" s="1020" t="str">
        <f>VLOOKUP(B229,'[20]Gui chi Quynh'!$B$11:$E$396,4,FALSE)</f>
        <v>A3</v>
      </c>
      <c r="W229" s="1020">
        <f t="shared" si="50"/>
        <v>0.6</v>
      </c>
      <c r="X229" s="1020">
        <f>IFERROR(INDEX('[21]CN BC'!$J$10:$J$275,MATCH(B229,'[21]CN BC'!$H$10:$H$275,0)),"")</f>
        <v>23</v>
      </c>
      <c r="Y229" s="1020">
        <f>IFERROR(INDEX('[22]CN BC'!$J$10:$J$274,MATCH(B229,'[22]CN BC'!$H$10:$H$274,0)),"")</f>
        <v>0</v>
      </c>
      <c r="Z229" s="1020">
        <f>VLOOKUP(B229,'[23]CN BC'!$H$10:$J$275,3,FALSE)</f>
        <v>19</v>
      </c>
      <c r="AA229" s="1021">
        <f t="shared" si="51"/>
        <v>23</v>
      </c>
      <c r="AB229" s="1021">
        <f t="shared" si="44"/>
        <v>0</v>
      </c>
      <c r="AC229" s="1021">
        <f t="shared" si="52"/>
        <v>19</v>
      </c>
      <c r="AD229" s="1022"/>
      <c r="AE229" s="1023">
        <f t="shared" si="45"/>
        <v>12130560</v>
      </c>
      <c r="AF229" s="1371">
        <f t="shared" si="41"/>
        <v>5.1840000000000002</v>
      </c>
      <c r="AG229" s="1102">
        <v>2340000</v>
      </c>
      <c r="AH229" s="1373">
        <f t="shared" si="42"/>
        <v>12130560</v>
      </c>
      <c r="AI229" s="1024">
        <f t="shared" si="53"/>
        <v>212</v>
      </c>
      <c r="AJ229" s="1025">
        <f>IFERROR(INDEX('[17]CN BC'!$M$10:$M$276,MATCH(B229,'[17]CN BC'!$H$10:$H$276,0)),"")</f>
        <v>0</v>
      </c>
      <c r="AK229" s="1011" t="str">
        <f>VLOOKUP(B229,TH.T4!B231:AC561,28,FALSE)</f>
        <v>Đ-ĐT</v>
      </c>
      <c r="AL229" s="1046"/>
      <c r="AM229" s="1012"/>
      <c r="AN229" s="1027"/>
      <c r="AO229" s="1012"/>
      <c r="AP229" s="1012"/>
      <c r="AQ229" s="1012"/>
      <c r="AR229" s="1012"/>
      <c r="AS229" s="1012"/>
      <c r="AT229" s="1012"/>
    </row>
    <row r="230" spans="1:50" s="1028" customFormat="1" ht="29.25" customHeight="1">
      <c r="A230" s="1014">
        <f>_xlfn.AGGREGATE(4,7,A$17:A229)+1</f>
        <v>213</v>
      </c>
      <c r="B230" s="1015" t="s">
        <v>1904</v>
      </c>
      <c r="C230" s="1029" t="s">
        <v>1787</v>
      </c>
      <c r="D230" s="1034" t="s">
        <v>1396</v>
      </c>
      <c r="E230" s="81" t="str">
        <f>VLOOKUP(B230,TH.T6!B142:J472,9,FALSE)</f>
        <v>Giảng viên khoa Điện - Điện tử</v>
      </c>
      <c r="F230" s="1018">
        <v>4.6500000000000004</v>
      </c>
      <c r="G230" s="1019"/>
      <c r="H230" s="1247">
        <f t="shared" si="46"/>
        <v>0</v>
      </c>
      <c r="I230" s="1020"/>
      <c r="J230" s="1018">
        <v>4.6500000000000004</v>
      </c>
      <c r="K230" s="1019"/>
      <c r="L230" s="1247">
        <f t="shared" si="47"/>
        <v>0</v>
      </c>
      <c r="M230" s="1020"/>
      <c r="N230" s="1018">
        <v>4.6500000000000004</v>
      </c>
      <c r="O230" s="1019"/>
      <c r="P230" s="1248">
        <f t="shared" si="48"/>
        <v>0</v>
      </c>
      <c r="Q230" s="1020"/>
      <c r="R230" s="1020" t="str">
        <f>IFERROR(INDEX('[18]Gui chi Quynh'!$E$11:$E$397,MATCH(B230,'[18]Gui chi Quynh'!$B$11:$B$397,0)),"")</f>
        <v>A3</v>
      </c>
      <c r="S230" s="1020">
        <f t="shared" si="49"/>
        <v>0.6</v>
      </c>
      <c r="T230" s="1020" t="str">
        <f>VLOOKUP(B230,'[19]Gui chi Quynh'!$B$11:$E$397,4,FALSE)</f>
        <v>A DN</v>
      </c>
      <c r="U230" s="1020">
        <f t="shared" si="43"/>
        <v>0</v>
      </c>
      <c r="V230" s="1020" t="str">
        <f>VLOOKUP(B230,'[20]Gui chi Quynh'!$B$11:$E$396,4,FALSE)</f>
        <v>A3</v>
      </c>
      <c r="W230" s="1020">
        <f t="shared" si="50"/>
        <v>0.6</v>
      </c>
      <c r="X230" s="1020">
        <f>IFERROR(INDEX('[21]CN BC'!$J$10:$J$275,MATCH(B230,'[21]CN BC'!$H$10:$H$275,0)),"")</f>
        <v>23</v>
      </c>
      <c r="Y230" s="1020">
        <f>IFERROR(INDEX('[22]CN BC'!$J$10:$J$274,MATCH(B230,'[22]CN BC'!$H$10:$H$274,0)),"")</f>
        <v>0</v>
      </c>
      <c r="Z230" s="1020">
        <f>VLOOKUP(B230,'[23]CN BC'!$H$10:$J$275,3,FALSE)</f>
        <v>19</v>
      </c>
      <c r="AA230" s="1021">
        <f t="shared" si="51"/>
        <v>23</v>
      </c>
      <c r="AB230" s="1021">
        <f t="shared" si="44"/>
        <v>0</v>
      </c>
      <c r="AC230" s="1021">
        <f t="shared" si="52"/>
        <v>19</v>
      </c>
      <c r="AD230" s="1022"/>
      <c r="AE230" s="1023">
        <f t="shared" si="45"/>
        <v>13057200</v>
      </c>
      <c r="AF230" s="1371">
        <f t="shared" si="41"/>
        <v>5.58</v>
      </c>
      <c r="AG230" s="1102">
        <v>2340000</v>
      </c>
      <c r="AH230" s="1373">
        <f t="shared" si="42"/>
        <v>13057200</v>
      </c>
      <c r="AI230" s="1024">
        <f t="shared" si="53"/>
        <v>213</v>
      </c>
      <c r="AJ230" s="1025">
        <f>IFERROR(INDEX('[17]CN BC'!$M$10:$M$276,MATCH(B230,'[17]CN BC'!$H$10:$H$276,0)),"")</f>
        <v>0</v>
      </c>
      <c r="AK230" s="1011" t="str">
        <f>VLOOKUP(B230,TH.T4!B232:AC562,28,FALSE)</f>
        <v>Đ-ĐT</v>
      </c>
      <c r="AL230" s="1012"/>
      <c r="AM230" s="1012"/>
      <c r="AN230" s="1027"/>
      <c r="AO230" s="1012"/>
      <c r="AP230" s="1012"/>
      <c r="AQ230" s="1012"/>
      <c r="AR230" s="1012"/>
      <c r="AS230" s="1012"/>
      <c r="AT230" s="1012"/>
      <c r="AU230" s="1012"/>
      <c r="AV230" s="1012"/>
      <c r="AW230" s="1012"/>
      <c r="AX230" s="1012"/>
    </row>
    <row r="231" spans="1:50" s="1028" customFormat="1" ht="29.25" customHeight="1">
      <c r="A231" s="1014">
        <f>_xlfn.AGGREGATE(4,7,A$17:A230)+1</f>
        <v>214</v>
      </c>
      <c r="B231" s="1015" t="s">
        <v>1536</v>
      </c>
      <c r="C231" s="1033" t="s">
        <v>1788</v>
      </c>
      <c r="D231" s="1034" t="s">
        <v>389</v>
      </c>
      <c r="E231" s="81" t="str">
        <f>VLOOKUP(B231,TH.T6!B143:J473,9,FALSE)</f>
        <v>Giảng viên khoa
Điện - Điện tử</v>
      </c>
      <c r="F231" s="1040">
        <v>3.66</v>
      </c>
      <c r="G231" s="1019"/>
      <c r="H231" s="1247">
        <f t="shared" si="46"/>
        <v>0</v>
      </c>
      <c r="I231" s="1020"/>
      <c r="J231" s="1040">
        <v>3.66</v>
      </c>
      <c r="K231" s="1019"/>
      <c r="L231" s="1247">
        <f t="shared" si="47"/>
        <v>0</v>
      </c>
      <c r="M231" s="1020"/>
      <c r="N231" s="1040">
        <v>3.66</v>
      </c>
      <c r="O231" s="1019"/>
      <c r="P231" s="1248">
        <f t="shared" si="48"/>
        <v>0</v>
      </c>
      <c r="Q231" s="1020"/>
      <c r="R231" s="1020" t="str">
        <f>IFERROR(INDEX('[18]Gui chi Quynh'!$E$11:$E$397,MATCH(B231,'[18]Gui chi Quynh'!$B$11:$B$397,0)),"")</f>
        <v>A3</v>
      </c>
      <c r="S231" s="1020">
        <f t="shared" si="49"/>
        <v>0.6</v>
      </c>
      <c r="T231" s="1020" t="str">
        <f>VLOOKUP(B231,'[19]Gui chi Quynh'!$B$11:$E$397,4,FALSE)</f>
        <v>A DN</v>
      </c>
      <c r="U231" s="1020">
        <f t="shared" si="43"/>
        <v>0</v>
      </c>
      <c r="V231" s="1020" t="str">
        <f>VLOOKUP(B231,'[20]Gui chi Quynh'!$B$11:$E$396,4,FALSE)</f>
        <v>A3</v>
      </c>
      <c r="W231" s="1020">
        <f t="shared" si="50"/>
        <v>0.6</v>
      </c>
      <c r="X231" s="1020">
        <f>IFERROR(INDEX('[21]CN BC'!$J$10:$J$275,MATCH(B231,'[21]CN BC'!$H$10:$H$275,0)),"")</f>
        <v>23</v>
      </c>
      <c r="Y231" s="1020">
        <f>IFERROR(INDEX('[22]CN BC'!$J$10:$J$274,MATCH(B231,'[22]CN BC'!$H$10:$H$274,0)),"")</f>
        <v>0</v>
      </c>
      <c r="Z231" s="1020">
        <f>VLOOKUP(B231,'[23]CN BC'!$H$10:$J$275,3,FALSE)</f>
        <v>19</v>
      </c>
      <c r="AA231" s="1021">
        <f t="shared" si="51"/>
        <v>23</v>
      </c>
      <c r="AB231" s="1021">
        <f t="shared" si="44"/>
        <v>0</v>
      </c>
      <c r="AC231" s="1021">
        <f t="shared" si="52"/>
        <v>19</v>
      </c>
      <c r="AD231" s="1022"/>
      <c r="AE231" s="1023">
        <f t="shared" si="45"/>
        <v>10277280</v>
      </c>
      <c r="AF231" s="1371">
        <f t="shared" si="41"/>
        <v>4.3920000000000003</v>
      </c>
      <c r="AG231" s="1102">
        <v>2340000</v>
      </c>
      <c r="AH231" s="1373">
        <f t="shared" si="42"/>
        <v>10277280</v>
      </c>
      <c r="AI231" s="1024">
        <f t="shared" si="53"/>
        <v>214</v>
      </c>
      <c r="AJ231" s="1025">
        <f>IFERROR(INDEX('[17]CN BC'!$M$10:$M$276,MATCH(B231,'[17]CN BC'!$H$10:$H$276,0)),"")</f>
        <v>0</v>
      </c>
      <c r="AK231" s="1011" t="str">
        <f>VLOOKUP(B231,TH.T4!B233:AC563,28,FALSE)</f>
        <v>Đ-ĐT</v>
      </c>
      <c r="AL231" s="1012"/>
      <c r="AM231" s="1012"/>
      <c r="AN231" s="1027"/>
      <c r="AO231" s="1012"/>
      <c r="AP231" s="1012"/>
      <c r="AQ231" s="1012"/>
      <c r="AR231" s="1012"/>
      <c r="AS231" s="1012"/>
      <c r="AT231" s="1012"/>
    </row>
    <row r="232" spans="1:50" s="1028" customFormat="1" ht="29.25" customHeight="1">
      <c r="A232" s="1014">
        <f>_xlfn.AGGREGATE(4,7,A$17:A231)+1</f>
        <v>215</v>
      </c>
      <c r="B232" s="1093" t="s">
        <v>1537</v>
      </c>
      <c r="C232" s="1094" t="s">
        <v>1789</v>
      </c>
      <c r="D232" s="1212" t="s">
        <v>1334</v>
      </c>
      <c r="E232" s="554" t="str">
        <f>VLOOKUP(B232,TH.T6!B144:J474,9,FALSE)</f>
        <v>Giảng viên khoa
Điện - Điện tử</v>
      </c>
      <c r="F232" s="1224">
        <v>3.99</v>
      </c>
      <c r="G232" s="1096"/>
      <c r="H232" s="1249">
        <f t="shared" si="46"/>
        <v>0</v>
      </c>
      <c r="I232" s="1097"/>
      <c r="J232" s="1224">
        <v>3.99</v>
      </c>
      <c r="K232" s="1096"/>
      <c r="L232" s="1249">
        <f t="shared" si="47"/>
        <v>0</v>
      </c>
      <c r="M232" s="1097"/>
      <c r="N232" s="1224">
        <v>4.32</v>
      </c>
      <c r="O232" s="1096"/>
      <c r="P232" s="1250">
        <f t="shared" si="48"/>
        <v>0</v>
      </c>
      <c r="Q232" s="1097"/>
      <c r="R232" s="1097" t="str">
        <f>IFERROR(INDEX('[18]Gui chi Quynh'!$E$11:$E$397,MATCH(B232,'[18]Gui chi Quynh'!$B$11:$B$397,0)),"")</f>
        <v>A3</v>
      </c>
      <c r="S232" s="1097">
        <f t="shared" si="49"/>
        <v>0.6</v>
      </c>
      <c r="T232" s="1097" t="str">
        <f>VLOOKUP(B232,'[19]Gui chi Quynh'!$B$11:$E$397,4,FALSE)</f>
        <v>A DN</v>
      </c>
      <c r="U232" s="1097">
        <f t="shared" si="43"/>
        <v>0</v>
      </c>
      <c r="V232" s="1097" t="str">
        <f>VLOOKUP(B232,'[20]Gui chi Quynh'!$B$11:$E$396,4,FALSE)</f>
        <v>A3</v>
      </c>
      <c r="W232" s="1097">
        <f t="shared" si="50"/>
        <v>0.6</v>
      </c>
      <c r="X232" s="1097">
        <f>IFERROR(INDEX('[21]CN BC'!$J$10:$J$275,MATCH(B232,'[21]CN BC'!$H$10:$H$275,0)),"")</f>
        <v>23</v>
      </c>
      <c r="Y232" s="1097">
        <f>IFERROR(INDEX('[22]CN BC'!$J$10:$J$274,MATCH(B232,'[22]CN BC'!$H$10:$H$274,0)),"")</f>
        <v>0</v>
      </c>
      <c r="Z232" s="1097">
        <f>VLOOKUP(B232,'[23]CN BC'!$H$10:$J$275,3,FALSE)</f>
        <v>19</v>
      </c>
      <c r="AA232" s="1213">
        <f t="shared" si="51"/>
        <v>23</v>
      </c>
      <c r="AB232" s="1213">
        <f t="shared" si="44"/>
        <v>0</v>
      </c>
      <c r="AC232" s="1213">
        <f t="shared" si="52"/>
        <v>19</v>
      </c>
      <c r="AD232" s="1098"/>
      <c r="AE232" s="1214">
        <f t="shared" si="45"/>
        <v>11667240</v>
      </c>
      <c r="AF232" s="1400">
        <f t="shared" si="41"/>
        <v>4.9859999999999998</v>
      </c>
      <c r="AG232" s="1225">
        <v>2340000</v>
      </c>
      <c r="AH232" s="1401">
        <f t="shared" si="42"/>
        <v>11667240</v>
      </c>
      <c r="AI232" s="1099">
        <f t="shared" si="53"/>
        <v>215</v>
      </c>
      <c r="AJ232" s="1215" t="s">
        <v>2363</v>
      </c>
      <c r="AK232" s="1011" t="str">
        <f>VLOOKUP(B232,TH.T4!B234:AC564,28,FALSE)</f>
        <v>Đ-ĐT</v>
      </c>
      <c r="AL232" s="1012"/>
      <c r="AM232" s="1012"/>
      <c r="AN232" s="1027"/>
      <c r="AO232" s="1012"/>
      <c r="AP232" s="1012"/>
      <c r="AQ232" s="1012"/>
      <c r="AR232" s="1012"/>
      <c r="AS232" s="1012"/>
      <c r="AT232" s="1012"/>
      <c r="AU232" s="1012"/>
      <c r="AV232" s="1012"/>
      <c r="AW232" s="1012"/>
      <c r="AX232" s="1012"/>
    </row>
    <row r="233" spans="1:50" s="1028" customFormat="1" ht="29.25" customHeight="1">
      <c r="A233" s="1014">
        <f>_xlfn.AGGREGATE(4,7,A$17:A232)+1</f>
        <v>216</v>
      </c>
      <c r="B233" s="1015" t="s">
        <v>1905</v>
      </c>
      <c r="C233" s="1029" t="s">
        <v>1790</v>
      </c>
      <c r="D233" s="1047" t="s">
        <v>463</v>
      </c>
      <c r="E233" s="81" t="str">
        <f>VLOOKUP(B233,TH.T6!B145:J475,9,FALSE)</f>
        <v>Giảng viên khoa Điện - Điện tử</v>
      </c>
      <c r="F233" s="1040">
        <v>3.66</v>
      </c>
      <c r="G233" s="1019"/>
      <c r="H233" s="1247">
        <f t="shared" si="46"/>
        <v>0</v>
      </c>
      <c r="I233" s="1020"/>
      <c r="J233" s="1040">
        <v>3.66</v>
      </c>
      <c r="K233" s="1019"/>
      <c r="L233" s="1247">
        <f t="shared" si="47"/>
        <v>0</v>
      </c>
      <c r="M233" s="1020"/>
      <c r="N233" s="1040">
        <v>3.66</v>
      </c>
      <c r="O233" s="1019"/>
      <c r="P233" s="1248">
        <f t="shared" si="48"/>
        <v>0</v>
      </c>
      <c r="Q233" s="1020"/>
      <c r="R233" s="1020" t="str">
        <f>IFERROR(INDEX('[18]Gui chi Quynh'!$E$11:$E$397,MATCH(B233,'[18]Gui chi Quynh'!$B$11:$B$397,0)),"")</f>
        <v>A3</v>
      </c>
      <c r="S233" s="1020">
        <f t="shared" si="49"/>
        <v>0.6</v>
      </c>
      <c r="T233" s="1020" t="str">
        <f>VLOOKUP(B233,'[19]Gui chi Quynh'!$B$11:$E$397,4,FALSE)</f>
        <v>A DN</v>
      </c>
      <c r="U233" s="1020">
        <f t="shared" si="43"/>
        <v>0</v>
      </c>
      <c r="V233" s="1020" t="str">
        <f>VLOOKUP(B233,'[20]Gui chi Quynh'!$B$11:$E$396,4,FALSE)</f>
        <v>A4</v>
      </c>
      <c r="W233" s="1020">
        <f t="shared" si="50"/>
        <v>0.5</v>
      </c>
      <c r="X233" s="1020">
        <f>IFERROR(INDEX('[21]CN BC'!$J$10:$J$275,MATCH(B233,'[21]CN BC'!$H$10:$H$275,0)),"")</f>
        <v>23</v>
      </c>
      <c r="Y233" s="1020">
        <f>IFERROR(INDEX('[22]CN BC'!$J$10:$J$274,MATCH(B233,'[22]CN BC'!$H$10:$H$274,0)),"")</f>
        <v>0</v>
      </c>
      <c r="Z233" s="1020">
        <f>VLOOKUP(B233,'[23]CN BC'!$H$10:$J$275,3,FALSE)</f>
        <v>19</v>
      </c>
      <c r="AA233" s="1021">
        <f t="shared" si="51"/>
        <v>23</v>
      </c>
      <c r="AB233" s="1021">
        <f t="shared" si="44"/>
        <v>0</v>
      </c>
      <c r="AC233" s="1021">
        <f t="shared" si="52"/>
        <v>19</v>
      </c>
      <c r="AD233" s="1022"/>
      <c r="AE233" s="1023">
        <f t="shared" si="45"/>
        <v>9420840</v>
      </c>
      <c r="AF233" s="1371">
        <f t="shared" si="41"/>
        <v>4.0259999999999998</v>
      </c>
      <c r="AG233" s="1102">
        <v>2340000</v>
      </c>
      <c r="AH233" s="1373">
        <f t="shared" si="42"/>
        <v>9420840</v>
      </c>
      <c r="AI233" s="1024">
        <f t="shared" si="53"/>
        <v>216</v>
      </c>
      <c r="AJ233" s="1025">
        <f>IFERROR(INDEX('[17]CN BC'!$M$10:$M$276,MATCH(B233,'[17]CN BC'!$H$10:$H$276,0)),"")</f>
        <v>0</v>
      </c>
      <c r="AK233" s="1011" t="str">
        <f>VLOOKUP(B233,TH.T4!B235:AC565,28,FALSE)</f>
        <v>Đ-ĐT</v>
      </c>
      <c r="AL233" s="1012"/>
      <c r="AM233" s="1012"/>
      <c r="AN233" s="1027"/>
      <c r="AO233" s="1012"/>
      <c r="AP233" s="1012"/>
      <c r="AQ233" s="1012"/>
      <c r="AR233" s="1012"/>
      <c r="AS233" s="1012"/>
      <c r="AT233" s="1012"/>
      <c r="AU233" s="1012"/>
      <c r="AV233" s="1012"/>
      <c r="AW233" s="1012"/>
      <c r="AX233" s="1012"/>
    </row>
    <row r="234" spans="1:50" s="1028" customFormat="1" ht="29.25" customHeight="1">
      <c r="A234" s="1014">
        <f>_xlfn.AGGREGATE(4,7,A$17:A233)+1</f>
        <v>217</v>
      </c>
      <c r="B234" s="1015" t="s">
        <v>1538</v>
      </c>
      <c r="C234" s="1029" t="s">
        <v>1791</v>
      </c>
      <c r="D234" s="1047" t="s">
        <v>510</v>
      </c>
      <c r="E234" s="81" t="str">
        <f>VLOOKUP(B234,TH.T6!B146:J476,9,FALSE)</f>
        <v>Giảng viên khoa
Điện - Điện tử</v>
      </c>
      <c r="F234" s="1040">
        <v>3.66</v>
      </c>
      <c r="G234" s="1019"/>
      <c r="H234" s="1247">
        <f t="shared" si="46"/>
        <v>0</v>
      </c>
      <c r="I234" s="1020"/>
      <c r="J234" s="1040">
        <v>3.66</v>
      </c>
      <c r="K234" s="1019"/>
      <c r="L234" s="1247">
        <f t="shared" si="47"/>
        <v>0</v>
      </c>
      <c r="M234" s="1020"/>
      <c r="N234" s="1040">
        <v>3.66</v>
      </c>
      <c r="O234" s="1019"/>
      <c r="P234" s="1248">
        <f t="shared" si="48"/>
        <v>0</v>
      </c>
      <c r="Q234" s="1020"/>
      <c r="R234" s="1020" t="str">
        <f>IFERROR(INDEX('[18]Gui chi Quynh'!$E$11:$E$397,MATCH(B234,'[18]Gui chi Quynh'!$B$11:$B$397,0)),"")</f>
        <v>A3</v>
      </c>
      <c r="S234" s="1020">
        <f t="shared" si="49"/>
        <v>0.6</v>
      </c>
      <c r="T234" s="1020" t="str">
        <f>VLOOKUP(B234,'[19]Gui chi Quynh'!$B$11:$E$397,4,FALSE)</f>
        <v>A DN</v>
      </c>
      <c r="U234" s="1020">
        <f t="shared" si="43"/>
        <v>0</v>
      </c>
      <c r="V234" s="1020" t="str">
        <f>VLOOKUP(B234,'[20]Gui chi Quynh'!$B$11:$E$396,4,FALSE)</f>
        <v>A3</v>
      </c>
      <c r="W234" s="1020">
        <f t="shared" si="50"/>
        <v>0.6</v>
      </c>
      <c r="X234" s="1020">
        <f>IFERROR(INDEX('[21]CN BC'!$J$10:$J$275,MATCH(B234,'[21]CN BC'!$H$10:$H$275,0)),"")</f>
        <v>23</v>
      </c>
      <c r="Y234" s="1020">
        <f>IFERROR(INDEX('[22]CN BC'!$J$10:$J$274,MATCH(B234,'[22]CN BC'!$H$10:$H$274,0)),"")</f>
        <v>0</v>
      </c>
      <c r="Z234" s="1020">
        <f>VLOOKUP(B234,'[23]CN BC'!$H$10:$J$275,3,FALSE)</f>
        <v>19</v>
      </c>
      <c r="AA234" s="1021">
        <f t="shared" si="51"/>
        <v>23</v>
      </c>
      <c r="AB234" s="1021">
        <f t="shared" si="44"/>
        <v>0</v>
      </c>
      <c r="AC234" s="1021">
        <f t="shared" si="52"/>
        <v>19</v>
      </c>
      <c r="AD234" s="1022"/>
      <c r="AE234" s="1023">
        <f t="shared" si="45"/>
        <v>10277280</v>
      </c>
      <c r="AF234" s="1371">
        <f t="shared" si="41"/>
        <v>4.3920000000000003</v>
      </c>
      <c r="AG234" s="1102">
        <v>2340000</v>
      </c>
      <c r="AH234" s="1373">
        <f t="shared" si="42"/>
        <v>10277280</v>
      </c>
      <c r="AI234" s="1024">
        <f t="shared" si="53"/>
        <v>217</v>
      </c>
      <c r="AJ234" s="1025">
        <f>IFERROR(INDEX('[17]CN BC'!$M$10:$M$276,MATCH(B234,'[17]CN BC'!$H$10:$H$276,0)),"")</f>
        <v>0</v>
      </c>
      <c r="AK234" s="1011" t="str">
        <f>VLOOKUP(B234,TH.T4!B236:AC566,28,FALSE)</f>
        <v>Đ-ĐT</v>
      </c>
      <c r="AL234" s="1012"/>
      <c r="AM234" s="1012"/>
      <c r="AN234" s="1027"/>
      <c r="AO234" s="1012"/>
      <c r="AP234" s="1012"/>
      <c r="AQ234" s="1012"/>
      <c r="AR234" s="1012"/>
      <c r="AS234" s="1012"/>
      <c r="AT234" s="1012"/>
      <c r="AU234" s="1012"/>
      <c r="AV234" s="1012"/>
      <c r="AW234" s="1012"/>
      <c r="AX234" s="1012"/>
    </row>
    <row r="235" spans="1:50" s="1028" customFormat="1" ht="29.25" customHeight="1">
      <c r="A235" s="1014">
        <f>_xlfn.AGGREGATE(4,7,A$17:A234)+1</f>
        <v>218</v>
      </c>
      <c r="B235" s="1015" t="s">
        <v>1906</v>
      </c>
      <c r="C235" s="1033" t="s">
        <v>1792</v>
      </c>
      <c r="D235" s="1034" t="s">
        <v>1399</v>
      </c>
      <c r="E235" s="81" t="str">
        <f>VLOOKUP(B235,TH.T6!B147:J477,9,FALSE)</f>
        <v>Giảng viên khoa Điện - Điện tử</v>
      </c>
      <c r="F235" s="1018">
        <v>4.9800000000000004</v>
      </c>
      <c r="G235" s="1019">
        <v>0.09</v>
      </c>
      <c r="H235" s="1247">
        <f t="shared" si="46"/>
        <v>0.44800000000000001</v>
      </c>
      <c r="I235" s="1020">
        <v>0.35</v>
      </c>
      <c r="J235" s="1018">
        <v>4.9800000000000004</v>
      </c>
      <c r="K235" s="1019">
        <v>0.09</v>
      </c>
      <c r="L235" s="1247">
        <f t="shared" si="47"/>
        <v>0.44800000000000001</v>
      </c>
      <c r="M235" s="1020">
        <v>0.35</v>
      </c>
      <c r="N235" s="1018">
        <v>4.9800000000000004</v>
      </c>
      <c r="O235" s="1019">
        <v>0.09</v>
      </c>
      <c r="P235" s="1248">
        <f t="shared" si="48"/>
        <v>0.44800000000000001</v>
      </c>
      <c r="Q235" s="1020">
        <v>0.35</v>
      </c>
      <c r="R235" s="1020" t="str">
        <f>IFERROR(INDEX('[18]Gui chi Quynh'!$E$11:$E$397,MATCH(B235,'[18]Gui chi Quynh'!$B$11:$B$397,0)),"")</f>
        <v>A3</v>
      </c>
      <c r="S235" s="1020">
        <f t="shared" si="49"/>
        <v>0.6</v>
      </c>
      <c r="T235" s="1020" t="str">
        <f>VLOOKUP(B235,'[19]Gui chi Quynh'!$B$11:$E$397,4,FALSE)</f>
        <v>A3</v>
      </c>
      <c r="U235" s="1020">
        <f t="shared" si="43"/>
        <v>0.6</v>
      </c>
      <c r="V235" s="1020" t="str">
        <f>VLOOKUP(B235,'[20]Gui chi Quynh'!$B$11:$E$396,4,FALSE)</f>
        <v>A2</v>
      </c>
      <c r="W235" s="1020">
        <f t="shared" si="50"/>
        <v>0.7</v>
      </c>
      <c r="X235" s="1020">
        <f>IFERROR(INDEX('[21]CN BC'!$J$10:$J$275,MATCH(B235,'[21]CN BC'!$H$10:$H$275,0)),"")</f>
        <v>23</v>
      </c>
      <c r="Y235" s="1020">
        <f>IFERROR(INDEX('[22]CN BC'!$J$10:$J$274,MATCH(B235,'[22]CN BC'!$H$10:$H$274,0)),"")</f>
        <v>20</v>
      </c>
      <c r="Z235" s="1020">
        <f>VLOOKUP(B235,'[23]CN BC'!$H$10:$J$275,3,FALSE)</f>
        <v>19</v>
      </c>
      <c r="AA235" s="1021">
        <f t="shared" si="51"/>
        <v>23</v>
      </c>
      <c r="AB235" s="1021">
        <f t="shared" si="44"/>
        <v>20</v>
      </c>
      <c r="AC235" s="1021">
        <f t="shared" si="52"/>
        <v>19</v>
      </c>
      <c r="AD235" s="1022"/>
      <c r="AE235" s="1023">
        <f t="shared" si="45"/>
        <v>24951505</v>
      </c>
      <c r="AF235" s="1371">
        <f t="shared" si="41"/>
        <v>10.663036324786324</v>
      </c>
      <c r="AG235" s="1102">
        <v>2340000</v>
      </c>
      <c r="AH235" s="1373">
        <f t="shared" si="42"/>
        <v>24951505</v>
      </c>
      <c r="AI235" s="1024">
        <f t="shared" si="53"/>
        <v>218</v>
      </c>
      <c r="AJ235" s="1025">
        <f>IFERROR(INDEX('[17]CN BC'!$M$10:$M$276,MATCH(B235,'[17]CN BC'!$H$10:$H$276,0)),"")</f>
        <v>0</v>
      </c>
      <c r="AK235" s="1011" t="str">
        <f>VLOOKUP(B235,TH.T4!B237:AC567,28,FALSE)</f>
        <v>Đ-ĐT</v>
      </c>
      <c r="AL235" s="1012"/>
      <c r="AM235" s="1012"/>
      <c r="AN235" s="1027"/>
      <c r="AO235" s="1012"/>
      <c r="AP235" s="1012"/>
      <c r="AQ235" s="1012"/>
      <c r="AR235" s="1012"/>
      <c r="AS235" s="1012"/>
      <c r="AT235" s="1012"/>
    </row>
    <row r="236" spans="1:50" s="1028" customFormat="1" ht="29.25" customHeight="1">
      <c r="A236" s="1014">
        <f>_xlfn.AGGREGATE(4,7,A$17:A235)+1</f>
        <v>219</v>
      </c>
      <c r="B236" s="1015" t="s">
        <v>1907</v>
      </c>
      <c r="C236" s="1033" t="s">
        <v>1793</v>
      </c>
      <c r="D236" s="1034" t="s">
        <v>1400</v>
      </c>
      <c r="E236" s="81" t="str">
        <f>VLOOKUP(B236,TH.T6!B148:J478,9,FALSE)</f>
        <v>Giảng viên khoa Điện - Điện tử</v>
      </c>
      <c r="F236" s="1018">
        <v>4.9800000000000004</v>
      </c>
      <c r="G236" s="1019">
        <v>0.12</v>
      </c>
      <c r="H236" s="1247">
        <f t="shared" si="46"/>
        <v>0.59799999999999998</v>
      </c>
      <c r="I236" s="1020"/>
      <c r="J236" s="1018">
        <v>4.9800000000000004</v>
      </c>
      <c r="K236" s="1019">
        <v>0.12</v>
      </c>
      <c r="L236" s="1247">
        <f t="shared" si="47"/>
        <v>0.59799999999999998</v>
      </c>
      <c r="M236" s="1020"/>
      <c r="N236" s="1018">
        <v>4.9800000000000004</v>
      </c>
      <c r="O236" s="1019">
        <v>0.12</v>
      </c>
      <c r="P236" s="1248">
        <f t="shared" si="48"/>
        <v>0.59799999999999998</v>
      </c>
      <c r="Q236" s="1020"/>
      <c r="R236" s="1020" t="str">
        <f>IFERROR(INDEX('[18]Gui chi Quynh'!$E$11:$E$397,MATCH(B236,'[18]Gui chi Quynh'!$B$11:$B$397,0)),"")</f>
        <v>A4</v>
      </c>
      <c r="S236" s="1020">
        <f t="shared" si="49"/>
        <v>0.5</v>
      </c>
      <c r="T236" s="1020" t="str">
        <f>VLOOKUP(B236,'[19]Gui chi Quynh'!$B$11:$E$397,4,FALSE)</f>
        <v>A DN</v>
      </c>
      <c r="U236" s="1020">
        <f t="shared" si="43"/>
        <v>0</v>
      </c>
      <c r="V236" s="1020" t="str">
        <f>VLOOKUP(B236,'[20]Gui chi Quynh'!$B$11:$E$396,4,FALSE)</f>
        <v>A4</v>
      </c>
      <c r="W236" s="1020">
        <f t="shared" si="50"/>
        <v>0.5</v>
      </c>
      <c r="X236" s="1020">
        <f>IFERROR(INDEX('[21]CN BC'!$J$10:$J$275,MATCH(B236,'[21]CN BC'!$H$10:$H$275,0)),"")</f>
        <v>21</v>
      </c>
      <c r="Y236" s="1020">
        <f>IFERROR(INDEX('[22]CN BC'!$J$10:$J$274,MATCH(B236,'[22]CN BC'!$H$10:$H$274,0)),"")</f>
        <v>0</v>
      </c>
      <c r="Z236" s="1020">
        <f>VLOOKUP(B236,'[23]CN BC'!$H$10:$J$275,3,FALSE)</f>
        <v>19</v>
      </c>
      <c r="AA236" s="1021">
        <f t="shared" si="51"/>
        <v>21</v>
      </c>
      <c r="AB236" s="1021">
        <f t="shared" si="44"/>
        <v>0</v>
      </c>
      <c r="AC236" s="1021">
        <f t="shared" si="52"/>
        <v>19</v>
      </c>
      <c r="AD236" s="1022"/>
      <c r="AE236" s="1023">
        <f t="shared" si="45"/>
        <v>12485019</v>
      </c>
      <c r="AF236" s="1371">
        <f t="shared" si="41"/>
        <v>5.3354782051282053</v>
      </c>
      <c r="AG236" s="1102">
        <v>2340000</v>
      </c>
      <c r="AH236" s="1373">
        <f t="shared" si="42"/>
        <v>12485019</v>
      </c>
      <c r="AI236" s="1024">
        <f t="shared" si="53"/>
        <v>219</v>
      </c>
      <c r="AJ236" s="1025">
        <f>IFERROR(INDEX('[17]CN BC'!$M$10:$M$276,MATCH(B236,'[17]CN BC'!$H$10:$H$276,0)),"")</f>
        <v>0</v>
      </c>
      <c r="AK236" s="1011" t="str">
        <f>VLOOKUP(B236,TH.T4!B238:AC568,28,FALSE)</f>
        <v>Đ-ĐT</v>
      </c>
      <c r="AL236" s="1012"/>
      <c r="AM236" s="1012"/>
      <c r="AN236" s="1027"/>
    </row>
    <row r="237" spans="1:50" s="1028" customFormat="1" ht="29.25" customHeight="1">
      <c r="A237" s="1014">
        <f>_xlfn.AGGREGATE(4,7,A$17:A236)+1</f>
        <v>220</v>
      </c>
      <c r="B237" s="1015" t="s">
        <v>1908</v>
      </c>
      <c r="C237" s="1033" t="s">
        <v>1794</v>
      </c>
      <c r="D237" s="1034" t="s">
        <v>1401</v>
      </c>
      <c r="E237" s="81" t="str">
        <f>VLOOKUP(B237,TH.T6!B149:J479,9,FALSE)</f>
        <v>Giảng viên khoa Điện - Điện tử</v>
      </c>
      <c r="F237" s="1018">
        <v>4.9800000000000004</v>
      </c>
      <c r="G237" s="1019">
        <v>0.09</v>
      </c>
      <c r="H237" s="1247">
        <f t="shared" si="46"/>
        <v>0.44800000000000001</v>
      </c>
      <c r="I237" s="1020"/>
      <c r="J237" s="1018">
        <v>4.9800000000000004</v>
      </c>
      <c r="K237" s="1019">
        <v>0.09</v>
      </c>
      <c r="L237" s="1247">
        <f t="shared" si="47"/>
        <v>0.44800000000000001</v>
      </c>
      <c r="M237" s="1020"/>
      <c r="N237" s="1018">
        <v>4.9800000000000004</v>
      </c>
      <c r="O237" s="1019">
        <v>0.09</v>
      </c>
      <c r="P237" s="1248">
        <f t="shared" si="48"/>
        <v>0.44800000000000001</v>
      </c>
      <c r="Q237" s="1020"/>
      <c r="R237" s="1020" t="str">
        <f>IFERROR(INDEX('[18]Gui chi Quynh'!$E$11:$E$397,MATCH(B237,'[18]Gui chi Quynh'!$B$11:$B$397,0)),"")</f>
        <v>A3</v>
      </c>
      <c r="S237" s="1020">
        <f t="shared" si="49"/>
        <v>0.6</v>
      </c>
      <c r="T237" s="1020" t="str">
        <f>VLOOKUP(B237,'[19]Gui chi Quynh'!$B$11:$E$397,4,FALSE)</f>
        <v>A DN</v>
      </c>
      <c r="U237" s="1020">
        <f t="shared" si="43"/>
        <v>0</v>
      </c>
      <c r="V237" s="1020" t="str">
        <f>VLOOKUP(B237,'[20]Gui chi Quynh'!$B$11:$E$396,4,FALSE)</f>
        <v>A4</v>
      </c>
      <c r="W237" s="1020">
        <f t="shared" si="50"/>
        <v>0.5</v>
      </c>
      <c r="X237" s="1020">
        <f>IFERROR(INDEX('[21]CN BC'!$J$10:$J$275,MATCH(B237,'[21]CN BC'!$H$10:$H$275,0)),"")</f>
        <v>23</v>
      </c>
      <c r="Y237" s="1020">
        <f>IFERROR(INDEX('[22]CN BC'!$J$10:$J$274,MATCH(B237,'[22]CN BC'!$H$10:$H$274,0)),"")</f>
        <v>0</v>
      </c>
      <c r="Z237" s="1020">
        <f>VLOOKUP(B237,'[23]CN BC'!$H$10:$J$275,3,FALSE)</f>
        <v>19</v>
      </c>
      <c r="AA237" s="1021">
        <f t="shared" si="51"/>
        <v>23</v>
      </c>
      <c r="AB237" s="1021">
        <f t="shared" si="44"/>
        <v>0</v>
      </c>
      <c r="AC237" s="1021">
        <f t="shared" si="52"/>
        <v>19</v>
      </c>
      <c r="AD237" s="1022"/>
      <c r="AE237" s="1023">
        <f t="shared" si="45"/>
        <v>13971672</v>
      </c>
      <c r="AF237" s="1371">
        <f t="shared" si="41"/>
        <v>5.9707999999999997</v>
      </c>
      <c r="AG237" s="1102">
        <v>2340000</v>
      </c>
      <c r="AH237" s="1373">
        <f t="shared" si="42"/>
        <v>13971672</v>
      </c>
      <c r="AI237" s="1024">
        <f t="shared" si="53"/>
        <v>220</v>
      </c>
      <c r="AJ237" s="1025">
        <f>IFERROR(INDEX('[17]CN BC'!$M$10:$M$276,MATCH(B237,'[17]CN BC'!$H$10:$H$276,0)),"")</f>
        <v>0</v>
      </c>
      <c r="AK237" s="1011" t="str">
        <f>VLOOKUP(B237,TH.T4!B239:AC569,28,FALSE)</f>
        <v>Đ-ĐT</v>
      </c>
      <c r="AL237" s="1012"/>
      <c r="AM237" s="1012"/>
      <c r="AN237" s="1027"/>
      <c r="AO237" s="1012"/>
      <c r="AP237" s="1012"/>
      <c r="AQ237" s="1012"/>
      <c r="AR237" s="1012"/>
      <c r="AS237" s="1012"/>
      <c r="AT237" s="1012"/>
    </row>
    <row r="238" spans="1:50" s="1012" customFormat="1" ht="29.25" customHeight="1">
      <c r="A238" s="1014">
        <f>_xlfn.AGGREGATE(4,7,A$17:A237)+1</f>
        <v>221</v>
      </c>
      <c r="B238" s="1093" t="s">
        <v>1909</v>
      </c>
      <c r="C238" s="1094" t="s">
        <v>1795</v>
      </c>
      <c r="D238" s="1212" t="s">
        <v>1404</v>
      </c>
      <c r="E238" s="554" t="str">
        <f>VLOOKUP(B238,TH.T6!B150:J480,9,FALSE)</f>
        <v>Giảng viên khoa Điện - Điện tử</v>
      </c>
      <c r="F238" s="1095">
        <v>4.32</v>
      </c>
      <c r="G238" s="1223"/>
      <c r="H238" s="1249">
        <f t="shared" si="46"/>
        <v>0</v>
      </c>
      <c r="I238" s="1097"/>
      <c r="J238" s="1095">
        <v>4.32</v>
      </c>
      <c r="K238" s="1223"/>
      <c r="L238" s="1249">
        <f t="shared" si="47"/>
        <v>0</v>
      </c>
      <c r="M238" s="1097"/>
      <c r="N238" s="1095">
        <v>4.6500000000000004</v>
      </c>
      <c r="O238" s="1223"/>
      <c r="P238" s="1250">
        <f t="shared" si="48"/>
        <v>0</v>
      </c>
      <c r="Q238" s="1097"/>
      <c r="R238" s="1097" t="str">
        <f>IFERROR(INDEX('[18]Gui chi Quynh'!$E$11:$E$397,MATCH(B238,'[18]Gui chi Quynh'!$B$11:$B$397,0)),"")</f>
        <v>A4</v>
      </c>
      <c r="S238" s="1097">
        <f t="shared" si="49"/>
        <v>0.5</v>
      </c>
      <c r="T238" s="1097" t="str">
        <f>VLOOKUP(B238,'[19]Gui chi Quynh'!$B$11:$E$397,4,FALSE)</f>
        <v>A DN</v>
      </c>
      <c r="U238" s="1097">
        <f t="shared" si="43"/>
        <v>0</v>
      </c>
      <c r="V238" s="1097" t="str">
        <f>VLOOKUP(B238,'[20]Gui chi Quynh'!$B$11:$E$396,4,FALSE)</f>
        <v>A3</v>
      </c>
      <c r="W238" s="1097">
        <f t="shared" si="50"/>
        <v>0.6</v>
      </c>
      <c r="X238" s="1097">
        <f>IFERROR(INDEX('[21]CN BC'!$J$10:$J$275,MATCH(B238,'[21]CN BC'!$H$10:$H$275,0)),"")</f>
        <v>23</v>
      </c>
      <c r="Y238" s="1097">
        <f>IFERROR(INDEX('[22]CN BC'!$J$10:$J$274,MATCH(B238,'[22]CN BC'!$H$10:$H$274,0)),"")</f>
        <v>0</v>
      </c>
      <c r="Z238" s="1097">
        <f>VLOOKUP(B238,'[23]CN BC'!$H$10:$J$275,3,FALSE)</f>
        <v>19</v>
      </c>
      <c r="AA238" s="1213">
        <f t="shared" si="51"/>
        <v>23</v>
      </c>
      <c r="AB238" s="1213">
        <f t="shared" si="44"/>
        <v>0</v>
      </c>
      <c r="AC238" s="1213">
        <f t="shared" si="52"/>
        <v>19</v>
      </c>
      <c r="AD238" s="1098"/>
      <c r="AE238" s="1214">
        <f t="shared" si="45"/>
        <v>11583000</v>
      </c>
      <c r="AF238" s="1400">
        <f t="shared" si="41"/>
        <v>4.95</v>
      </c>
      <c r="AG238" s="1225">
        <v>2340000</v>
      </c>
      <c r="AH238" s="1401">
        <f t="shared" si="42"/>
        <v>11583000</v>
      </c>
      <c r="AI238" s="1099">
        <f t="shared" si="53"/>
        <v>221</v>
      </c>
      <c r="AJ238" s="1215" t="s">
        <v>2363</v>
      </c>
      <c r="AK238" s="1011" t="str">
        <f>VLOOKUP(B238,TH.T4!B240:AC570,28,FALSE)</f>
        <v>Đ-ĐT</v>
      </c>
      <c r="AN238" s="1027"/>
    </row>
    <row r="239" spans="1:50" s="1012" customFormat="1" ht="29.25" customHeight="1">
      <c r="A239" s="1014">
        <f>_xlfn.AGGREGATE(4,7,A$17:A238)+1</f>
        <v>222</v>
      </c>
      <c r="B239" s="1093" t="s">
        <v>1539</v>
      </c>
      <c r="C239" s="1094" t="s">
        <v>1796</v>
      </c>
      <c r="D239" s="1212" t="s">
        <v>1405</v>
      </c>
      <c r="E239" s="554" t="str">
        <f>VLOOKUP(B239,TH.T6!B151:J481,9,FALSE)</f>
        <v>Giảng viên khoa
Điện - Điện tử</v>
      </c>
      <c r="F239" s="1095">
        <v>4.32</v>
      </c>
      <c r="G239" s="1096"/>
      <c r="H239" s="1249">
        <f t="shared" si="46"/>
        <v>0</v>
      </c>
      <c r="I239" s="1097"/>
      <c r="J239" s="1095">
        <v>4.32</v>
      </c>
      <c r="K239" s="1096"/>
      <c r="L239" s="1249">
        <f t="shared" si="47"/>
        <v>0</v>
      </c>
      <c r="M239" s="1097"/>
      <c r="N239" s="1095">
        <v>4.6500000000000004</v>
      </c>
      <c r="O239" s="1096"/>
      <c r="P239" s="1250">
        <f t="shared" si="48"/>
        <v>0</v>
      </c>
      <c r="Q239" s="1097"/>
      <c r="R239" s="1097" t="str">
        <f>IFERROR(INDEX('[18]Gui chi Quynh'!$E$11:$E$397,MATCH(B239,'[18]Gui chi Quynh'!$B$11:$B$397,0)),"")</f>
        <v>A3</v>
      </c>
      <c r="S239" s="1097">
        <f t="shared" si="49"/>
        <v>0.6</v>
      </c>
      <c r="T239" s="1097" t="str">
        <f>VLOOKUP(B239,'[19]Gui chi Quynh'!$B$11:$E$397,4,FALSE)</f>
        <v>A DN</v>
      </c>
      <c r="U239" s="1097">
        <f t="shared" si="43"/>
        <v>0</v>
      </c>
      <c r="V239" s="1097" t="str">
        <f>VLOOKUP(B239,'[20]Gui chi Quynh'!$B$11:$E$396,4,FALSE)</f>
        <v>A4</v>
      </c>
      <c r="W239" s="1097">
        <f t="shared" si="50"/>
        <v>0.5</v>
      </c>
      <c r="X239" s="1097">
        <f>IFERROR(INDEX('[21]CN BC'!$J$10:$J$275,MATCH(B239,'[21]CN BC'!$H$10:$H$275,0)),"")</f>
        <v>21</v>
      </c>
      <c r="Y239" s="1097">
        <f>IFERROR(INDEX('[22]CN BC'!$J$10:$J$274,MATCH(B239,'[22]CN BC'!$H$10:$H$274,0)),"")</f>
        <v>0</v>
      </c>
      <c r="Z239" s="1097">
        <f>VLOOKUP(B239,'[23]CN BC'!$H$10:$J$275,3,FALSE)</f>
        <v>19</v>
      </c>
      <c r="AA239" s="1213">
        <f t="shared" si="51"/>
        <v>21</v>
      </c>
      <c r="AB239" s="1213">
        <f t="shared" si="44"/>
        <v>0</v>
      </c>
      <c r="AC239" s="1213">
        <f t="shared" si="52"/>
        <v>19</v>
      </c>
      <c r="AD239" s="1098"/>
      <c r="AE239" s="1214">
        <f t="shared" si="45"/>
        <v>10978364</v>
      </c>
      <c r="AF239" s="1400">
        <f t="shared" si="41"/>
        <v>4.6916085470085473</v>
      </c>
      <c r="AG239" s="1225">
        <v>2340000</v>
      </c>
      <c r="AH239" s="1401">
        <f t="shared" si="42"/>
        <v>10978364</v>
      </c>
      <c r="AI239" s="1099">
        <f t="shared" si="53"/>
        <v>222</v>
      </c>
      <c r="AJ239" s="1215" t="s">
        <v>2363</v>
      </c>
      <c r="AK239" s="1011" t="str">
        <f>VLOOKUP(B239,TH.T4!B241:AC571,28,FALSE)</f>
        <v>Đ-ĐT</v>
      </c>
      <c r="AN239" s="1027"/>
    </row>
    <row r="240" spans="1:50" s="1028" customFormat="1" ht="29.25" customHeight="1">
      <c r="A240" s="1014">
        <f>_xlfn.AGGREGATE(4,7,A$17:A239)+1</f>
        <v>223</v>
      </c>
      <c r="B240" s="1015" t="s">
        <v>1910</v>
      </c>
      <c r="C240" s="1029" t="s">
        <v>1797</v>
      </c>
      <c r="D240" s="1034" t="s">
        <v>1406</v>
      </c>
      <c r="E240" s="81" t="str">
        <f>VLOOKUP(B240,TH.T6!B152:J482,9,FALSE)</f>
        <v>Giảng viên khoa Điện - Điện tử</v>
      </c>
      <c r="F240" s="1018">
        <v>4.6500000000000004</v>
      </c>
      <c r="G240" s="1019"/>
      <c r="H240" s="1247">
        <f t="shared" si="46"/>
        <v>0</v>
      </c>
      <c r="I240" s="1020"/>
      <c r="J240" s="1018">
        <v>4.6500000000000004</v>
      </c>
      <c r="K240" s="1019"/>
      <c r="L240" s="1247">
        <f t="shared" si="47"/>
        <v>0</v>
      </c>
      <c r="M240" s="1020"/>
      <c r="N240" s="1018">
        <v>4.6500000000000004</v>
      </c>
      <c r="O240" s="1019"/>
      <c r="P240" s="1248">
        <f t="shared" si="48"/>
        <v>0</v>
      </c>
      <c r="Q240" s="1020"/>
      <c r="R240" s="1020" t="str">
        <f>IFERROR(INDEX('[18]Gui chi Quynh'!$E$11:$E$397,MATCH(B240,'[18]Gui chi Quynh'!$B$11:$B$397,0)),"")</f>
        <v>A3</v>
      </c>
      <c r="S240" s="1020">
        <f t="shared" si="49"/>
        <v>0.6</v>
      </c>
      <c r="T240" s="1020" t="str">
        <f>VLOOKUP(B240,'[19]Gui chi Quynh'!$B$11:$E$397,4,FALSE)</f>
        <v>A DN</v>
      </c>
      <c r="U240" s="1020">
        <f t="shared" si="43"/>
        <v>0</v>
      </c>
      <c r="V240" s="1020" t="str">
        <f>VLOOKUP(B240,'[20]Gui chi Quynh'!$B$11:$E$396,4,FALSE)</f>
        <v>A4</v>
      </c>
      <c r="W240" s="1020">
        <f t="shared" si="50"/>
        <v>0.5</v>
      </c>
      <c r="X240" s="1020">
        <f>IFERROR(INDEX('[21]CN BC'!$J$10:$J$275,MATCH(B240,'[21]CN BC'!$H$10:$H$275,0)),"")</f>
        <v>21</v>
      </c>
      <c r="Y240" s="1020">
        <f>IFERROR(INDEX('[22]CN BC'!$J$10:$J$274,MATCH(B240,'[22]CN BC'!$H$10:$H$274,0)),"")</f>
        <v>0</v>
      </c>
      <c r="Z240" s="1020">
        <f>VLOOKUP(B240,'[23]CN BC'!$H$10:$J$275,3,FALSE)</f>
        <v>19</v>
      </c>
      <c r="AA240" s="1021">
        <f t="shared" si="51"/>
        <v>21</v>
      </c>
      <c r="AB240" s="1021">
        <f t="shared" si="44"/>
        <v>0</v>
      </c>
      <c r="AC240" s="1021">
        <f t="shared" si="52"/>
        <v>19</v>
      </c>
      <c r="AD240" s="1022"/>
      <c r="AE240" s="1023">
        <f t="shared" si="45"/>
        <v>11401396</v>
      </c>
      <c r="AF240" s="1371">
        <f t="shared" si="41"/>
        <v>4.8723914529914527</v>
      </c>
      <c r="AG240" s="1102">
        <v>2340000</v>
      </c>
      <c r="AH240" s="1373">
        <f t="shared" si="42"/>
        <v>11401396</v>
      </c>
      <c r="AI240" s="1024">
        <f t="shared" si="53"/>
        <v>223</v>
      </c>
      <c r="AJ240" s="1025">
        <f>IFERROR(INDEX('[17]CN BC'!$M$10:$M$276,MATCH(B240,'[17]CN BC'!$H$10:$H$276,0)),"")</f>
        <v>0</v>
      </c>
      <c r="AK240" s="1011" t="str">
        <f>VLOOKUP(B240,TH.T4!B242:AC572,28,FALSE)</f>
        <v>Đ-ĐT</v>
      </c>
      <c r="AL240" s="1012"/>
      <c r="AM240" s="1012"/>
      <c r="AN240" s="1027"/>
      <c r="AO240" s="1012"/>
      <c r="AP240" s="1012"/>
      <c r="AQ240" s="1012"/>
      <c r="AR240" s="1012"/>
      <c r="AS240" s="1012"/>
      <c r="AT240" s="1012"/>
      <c r="AU240" s="1012"/>
      <c r="AV240" s="1012"/>
      <c r="AW240" s="1012"/>
      <c r="AX240" s="1012"/>
    </row>
    <row r="241" spans="1:46" s="1028" customFormat="1" ht="29.25" customHeight="1">
      <c r="A241" s="1014">
        <f>_xlfn.AGGREGATE(4,7,A$17:A240)+1</f>
        <v>224</v>
      </c>
      <c r="B241" s="1015" t="s">
        <v>1911</v>
      </c>
      <c r="C241" s="1033" t="s">
        <v>1798</v>
      </c>
      <c r="D241" s="1034" t="s">
        <v>1407</v>
      </c>
      <c r="E241" s="81" t="str">
        <f>VLOOKUP(B241,TH.T6!B153:J483,9,FALSE)</f>
        <v>Giảng viên khoa Điện - Điện tử</v>
      </c>
      <c r="F241" s="1018">
        <v>4.6500000000000004</v>
      </c>
      <c r="G241" s="1019"/>
      <c r="H241" s="1247">
        <f t="shared" si="46"/>
        <v>0</v>
      </c>
      <c r="I241" s="1020"/>
      <c r="J241" s="1018">
        <v>4.6500000000000004</v>
      </c>
      <c r="K241" s="1019"/>
      <c r="L241" s="1247">
        <f t="shared" si="47"/>
        <v>0</v>
      </c>
      <c r="M241" s="1020"/>
      <c r="N241" s="1018">
        <v>4.6500000000000004</v>
      </c>
      <c r="O241" s="1019"/>
      <c r="P241" s="1248">
        <f t="shared" si="48"/>
        <v>0</v>
      </c>
      <c r="Q241" s="1020"/>
      <c r="R241" s="1020" t="str">
        <f>IFERROR(INDEX('[18]Gui chi Quynh'!$E$11:$E$397,MATCH(B241,'[18]Gui chi Quynh'!$B$11:$B$397,0)),"")</f>
        <v>A3</v>
      </c>
      <c r="S241" s="1020">
        <f t="shared" si="49"/>
        <v>0.6</v>
      </c>
      <c r="T241" s="1020" t="str">
        <f>VLOOKUP(B241,'[19]Gui chi Quynh'!$B$11:$E$397,4,FALSE)</f>
        <v>A DN</v>
      </c>
      <c r="U241" s="1020">
        <f t="shared" si="43"/>
        <v>0</v>
      </c>
      <c r="V241" s="1020" t="str">
        <f>VLOOKUP(B241,'[20]Gui chi Quynh'!$B$11:$E$396,4,FALSE)</f>
        <v>A4</v>
      </c>
      <c r="W241" s="1020">
        <f t="shared" si="50"/>
        <v>0.5</v>
      </c>
      <c r="X241" s="1020">
        <f>IFERROR(INDEX('[21]CN BC'!$J$10:$J$275,MATCH(B241,'[21]CN BC'!$H$10:$H$275,0)),"")</f>
        <v>21</v>
      </c>
      <c r="Y241" s="1020">
        <f>IFERROR(INDEX('[22]CN BC'!$J$10:$J$274,MATCH(B241,'[22]CN BC'!$H$10:$H$274,0)),"")</f>
        <v>0</v>
      </c>
      <c r="Z241" s="1020">
        <f>VLOOKUP(B241,'[23]CN BC'!$H$10:$J$275,3,FALSE)</f>
        <v>19</v>
      </c>
      <c r="AA241" s="1021">
        <f t="shared" si="51"/>
        <v>21</v>
      </c>
      <c r="AB241" s="1021">
        <f t="shared" si="44"/>
        <v>0</v>
      </c>
      <c r="AC241" s="1021">
        <f t="shared" si="52"/>
        <v>19</v>
      </c>
      <c r="AD241" s="1022"/>
      <c r="AE241" s="1023">
        <f t="shared" si="45"/>
        <v>11401396</v>
      </c>
      <c r="AF241" s="1371">
        <f t="shared" si="41"/>
        <v>4.8723914529914527</v>
      </c>
      <c r="AG241" s="1102">
        <v>2340000</v>
      </c>
      <c r="AH241" s="1373">
        <f t="shared" si="42"/>
        <v>11401396</v>
      </c>
      <c r="AI241" s="1024">
        <f t="shared" si="53"/>
        <v>224</v>
      </c>
      <c r="AJ241" s="1025">
        <f>IFERROR(INDEX('[17]CN BC'!$M$10:$M$276,MATCH(B241,'[17]CN BC'!$H$10:$H$276,0)),"")</f>
        <v>0</v>
      </c>
      <c r="AK241" s="1011" t="str">
        <f>VLOOKUP(B241,TH.T4!B243:AC573,28,FALSE)</f>
        <v>Đ-ĐT</v>
      </c>
      <c r="AL241" s="1012"/>
      <c r="AM241" s="1012"/>
      <c r="AN241" s="1027"/>
      <c r="AO241" s="1012"/>
      <c r="AP241" s="1012"/>
      <c r="AQ241" s="1012"/>
      <c r="AR241" s="1012"/>
      <c r="AS241" s="1012"/>
      <c r="AT241" s="1012"/>
    </row>
    <row r="242" spans="1:46" s="1012" customFormat="1" ht="29.25" customHeight="1">
      <c r="A242" s="1014">
        <f>_xlfn.AGGREGATE(4,7,A$17:A241)+1</f>
        <v>225</v>
      </c>
      <c r="B242" s="1050" t="s">
        <v>1912</v>
      </c>
      <c r="C242" s="1029" t="s">
        <v>1799</v>
      </c>
      <c r="D242" s="1051" t="s">
        <v>1409</v>
      </c>
      <c r="E242" s="81" t="str">
        <f>VLOOKUP(B242,TH.T6!B154:J484,9,FALSE)</f>
        <v>Giảng viên khoa Điện - Điện tử</v>
      </c>
      <c r="F242" s="1052">
        <v>4.6500000000000004</v>
      </c>
      <c r="G242" s="1053"/>
      <c r="H242" s="1247">
        <f t="shared" si="46"/>
        <v>0</v>
      </c>
      <c r="I242" s="1054"/>
      <c r="J242" s="1052">
        <v>4.6500000000000004</v>
      </c>
      <c r="K242" s="1053"/>
      <c r="L242" s="1247">
        <f t="shared" si="47"/>
        <v>0</v>
      </c>
      <c r="M242" s="1054"/>
      <c r="N242" s="1052">
        <v>4.6500000000000004</v>
      </c>
      <c r="O242" s="1053"/>
      <c r="P242" s="1248">
        <f t="shared" si="48"/>
        <v>0</v>
      </c>
      <c r="Q242" s="1054"/>
      <c r="R242" s="1020" t="str">
        <f>IFERROR(INDEX('[18]Gui chi Quynh'!$E$11:$E$397,MATCH(B242,'[18]Gui chi Quynh'!$B$11:$B$397,0)),"")</f>
        <v>A3</v>
      </c>
      <c r="S242" s="1020">
        <f t="shared" si="49"/>
        <v>0.6</v>
      </c>
      <c r="T242" s="1020" t="str">
        <f>VLOOKUP(B242,'[19]Gui chi Quynh'!$B$11:$E$397,4,FALSE)</f>
        <v>A DN</v>
      </c>
      <c r="U242" s="1020">
        <f t="shared" si="43"/>
        <v>0</v>
      </c>
      <c r="V242" s="1020" t="str">
        <f>VLOOKUP(B242,'[20]Gui chi Quynh'!$B$11:$E$396,4,FALSE)</f>
        <v>A4</v>
      </c>
      <c r="W242" s="1020">
        <f t="shared" si="50"/>
        <v>0.5</v>
      </c>
      <c r="X242" s="1020">
        <f>IFERROR(INDEX('[21]CN BC'!$J$10:$J$275,MATCH(B242,'[21]CN BC'!$H$10:$H$275,0)),"")</f>
        <v>21</v>
      </c>
      <c r="Y242" s="1020">
        <f>IFERROR(INDEX('[22]CN BC'!$J$10:$J$274,MATCH(B242,'[22]CN BC'!$H$10:$H$274,0)),"")</f>
        <v>0</v>
      </c>
      <c r="Z242" s="1020">
        <f>VLOOKUP(B242,'[23]CN BC'!$H$10:$J$275,3,FALSE)</f>
        <v>19</v>
      </c>
      <c r="AA242" s="1021">
        <f t="shared" si="51"/>
        <v>21</v>
      </c>
      <c r="AB242" s="1021">
        <f t="shared" si="44"/>
        <v>0</v>
      </c>
      <c r="AC242" s="1021">
        <f t="shared" si="52"/>
        <v>19</v>
      </c>
      <c r="AD242" s="1022"/>
      <c r="AE242" s="1023">
        <f t="shared" si="45"/>
        <v>11401396</v>
      </c>
      <c r="AF242" s="1371">
        <f t="shared" si="41"/>
        <v>4.8723914529914527</v>
      </c>
      <c r="AG242" s="1102">
        <v>2340000</v>
      </c>
      <c r="AH242" s="1373">
        <f t="shared" si="42"/>
        <v>11401396</v>
      </c>
      <c r="AI242" s="1024">
        <f t="shared" si="53"/>
        <v>225</v>
      </c>
      <c r="AJ242" s="1025">
        <f>IFERROR(INDEX('[17]CN BC'!$M$10:$M$276,MATCH(B242,'[17]CN BC'!$H$10:$H$276,0)),"")</f>
        <v>0</v>
      </c>
      <c r="AK242" s="1011" t="str">
        <f>VLOOKUP(B242,TH.T4!B244:AC574,28,FALSE)</f>
        <v>Đ-ĐT</v>
      </c>
      <c r="AN242" s="1027"/>
    </row>
    <row r="243" spans="1:46" s="1012" customFormat="1" ht="29.25" customHeight="1">
      <c r="A243" s="1014">
        <f>_xlfn.AGGREGATE(4,7,A$17:A242)+1</f>
        <v>226</v>
      </c>
      <c r="B243" s="1050" t="s">
        <v>1913</v>
      </c>
      <c r="C243" s="1029" t="s">
        <v>1800</v>
      </c>
      <c r="D243" s="1051" t="s">
        <v>1410</v>
      </c>
      <c r="E243" s="81" t="str">
        <f>VLOOKUP(B243,TH.T6!B155:J485,9,FALSE)</f>
        <v>Giảng viên khoa Điện - Điện tử</v>
      </c>
      <c r="F243" s="1052">
        <v>4.6500000000000004</v>
      </c>
      <c r="G243" s="1053"/>
      <c r="H243" s="1247">
        <f t="shared" si="46"/>
        <v>0</v>
      </c>
      <c r="I243" s="1054"/>
      <c r="J243" s="1052">
        <v>4.6500000000000004</v>
      </c>
      <c r="K243" s="1053"/>
      <c r="L243" s="1247">
        <f t="shared" si="47"/>
        <v>0</v>
      </c>
      <c r="M243" s="1054"/>
      <c r="N243" s="1052">
        <v>4.6500000000000004</v>
      </c>
      <c r="O243" s="1053"/>
      <c r="P243" s="1248">
        <f t="shared" si="48"/>
        <v>0</v>
      </c>
      <c r="Q243" s="1054"/>
      <c r="R243" s="1020" t="str">
        <f>IFERROR(INDEX('[18]Gui chi Quynh'!$E$11:$E$397,MATCH(B243,'[18]Gui chi Quynh'!$B$11:$B$397,0)),"")</f>
        <v>A4</v>
      </c>
      <c r="S243" s="1020">
        <f t="shared" si="49"/>
        <v>0.5</v>
      </c>
      <c r="T243" s="1020" t="str">
        <f>VLOOKUP(B243,'[19]Gui chi Quynh'!$B$11:$E$397,4,FALSE)</f>
        <v>A DN</v>
      </c>
      <c r="U243" s="1020">
        <f t="shared" si="43"/>
        <v>0</v>
      </c>
      <c r="V243" s="1020" t="str">
        <f>VLOOKUP(B243,'[20]Gui chi Quynh'!$B$11:$E$396,4,FALSE)</f>
        <v>A3</v>
      </c>
      <c r="W243" s="1020">
        <f t="shared" si="50"/>
        <v>0.6</v>
      </c>
      <c r="X243" s="1020">
        <f>IFERROR(INDEX('[21]CN BC'!$J$10:$J$275,MATCH(B243,'[21]CN BC'!$H$10:$H$275,0)),"")</f>
        <v>23</v>
      </c>
      <c r="Y243" s="1020">
        <f>IFERROR(INDEX('[22]CN BC'!$J$10:$J$274,MATCH(B243,'[22]CN BC'!$H$10:$H$274,0)),"")</f>
        <v>0</v>
      </c>
      <c r="Z243" s="1020">
        <f>VLOOKUP(B243,'[23]CN BC'!$H$10:$J$275,3,FALSE)</f>
        <v>19</v>
      </c>
      <c r="AA243" s="1021">
        <f t="shared" si="51"/>
        <v>23</v>
      </c>
      <c r="AB243" s="1021">
        <f t="shared" si="44"/>
        <v>0</v>
      </c>
      <c r="AC243" s="1021">
        <f t="shared" si="52"/>
        <v>19</v>
      </c>
      <c r="AD243" s="1022"/>
      <c r="AE243" s="1023">
        <f t="shared" si="45"/>
        <v>11969100</v>
      </c>
      <c r="AF243" s="1371">
        <f t="shared" si="41"/>
        <v>5.1150000000000002</v>
      </c>
      <c r="AG243" s="1102">
        <v>2340000</v>
      </c>
      <c r="AH243" s="1373">
        <f t="shared" si="42"/>
        <v>11969100</v>
      </c>
      <c r="AI243" s="1024">
        <f t="shared" si="53"/>
        <v>226</v>
      </c>
      <c r="AJ243" s="1025">
        <f>IFERROR(INDEX('[17]CN BC'!$M$10:$M$276,MATCH(B243,'[17]CN BC'!$H$10:$H$276,0)),"")</f>
        <v>0</v>
      </c>
      <c r="AK243" s="1011" t="str">
        <f>VLOOKUP(B243,TH.T4!B245:AC575,28,FALSE)</f>
        <v>Đ-ĐT</v>
      </c>
      <c r="AN243" s="1027"/>
    </row>
    <row r="244" spans="1:46" s="1012" customFormat="1" ht="29.25" customHeight="1">
      <c r="A244" s="1014">
        <f>_xlfn.AGGREGATE(4,7,A$17:A243)+1</f>
        <v>227</v>
      </c>
      <c r="B244" s="1050" t="s">
        <v>1540</v>
      </c>
      <c r="C244" s="1029" t="s">
        <v>1801</v>
      </c>
      <c r="D244" s="1051" t="s">
        <v>1412</v>
      </c>
      <c r="E244" s="81" t="str">
        <f>VLOOKUP(B244,TH.T6!B156:J486,9,FALSE)</f>
        <v>Giảng viên khoa
Điện - Điện tử</v>
      </c>
      <c r="F244" s="1052">
        <v>3.99</v>
      </c>
      <c r="G244" s="1053"/>
      <c r="H244" s="1247">
        <f t="shared" si="46"/>
        <v>0</v>
      </c>
      <c r="I244" s="1054"/>
      <c r="J244" s="1052">
        <v>3.99</v>
      </c>
      <c r="K244" s="1053"/>
      <c r="L244" s="1247">
        <f t="shared" si="47"/>
        <v>0</v>
      </c>
      <c r="M244" s="1054"/>
      <c r="N244" s="1052">
        <v>3.99</v>
      </c>
      <c r="O244" s="1053"/>
      <c r="P244" s="1248">
        <f t="shared" si="48"/>
        <v>0</v>
      </c>
      <c r="Q244" s="1054"/>
      <c r="R244" s="1020" t="str">
        <f>IFERROR(INDEX('[18]Gui chi Quynh'!$E$11:$E$397,MATCH(B244,'[18]Gui chi Quynh'!$B$11:$B$397,0)),"")</f>
        <v>A3</v>
      </c>
      <c r="S244" s="1020">
        <f t="shared" si="49"/>
        <v>0.6</v>
      </c>
      <c r="T244" s="1020" t="str">
        <f>VLOOKUP(B244,'[19]Gui chi Quynh'!$B$11:$E$397,4,FALSE)</f>
        <v>A DN</v>
      </c>
      <c r="U244" s="1020">
        <f t="shared" si="43"/>
        <v>0</v>
      </c>
      <c r="V244" s="1020" t="str">
        <f>VLOOKUP(B244,'[20]Gui chi Quynh'!$B$11:$E$396,4,FALSE)</f>
        <v>A4</v>
      </c>
      <c r="W244" s="1020">
        <f t="shared" si="50"/>
        <v>0.5</v>
      </c>
      <c r="X244" s="1020">
        <f>IFERROR(INDEX('[21]CN BC'!$J$10:$J$275,MATCH(B244,'[21]CN BC'!$H$10:$H$275,0)),"")</f>
        <v>23</v>
      </c>
      <c r="Y244" s="1020">
        <f>IFERROR(INDEX('[22]CN BC'!$J$10:$J$274,MATCH(B244,'[22]CN BC'!$H$10:$H$274,0)),"")</f>
        <v>0</v>
      </c>
      <c r="Z244" s="1020">
        <f>VLOOKUP(B244,'[23]CN BC'!$H$10:$J$275,3,FALSE)</f>
        <v>19</v>
      </c>
      <c r="AA244" s="1021">
        <f t="shared" si="51"/>
        <v>23</v>
      </c>
      <c r="AB244" s="1021">
        <f t="shared" si="44"/>
        <v>0</v>
      </c>
      <c r="AC244" s="1021">
        <f t="shared" si="52"/>
        <v>19</v>
      </c>
      <c r="AD244" s="1022"/>
      <c r="AE244" s="1023">
        <f t="shared" si="45"/>
        <v>10270260</v>
      </c>
      <c r="AF244" s="1371">
        <f t="shared" si="41"/>
        <v>4.3890000000000002</v>
      </c>
      <c r="AG244" s="1102">
        <v>2340000</v>
      </c>
      <c r="AH244" s="1373">
        <f t="shared" si="42"/>
        <v>10270260</v>
      </c>
      <c r="AI244" s="1024">
        <f t="shared" si="53"/>
        <v>227</v>
      </c>
      <c r="AJ244" s="1025">
        <f>IFERROR(INDEX('[17]CN BC'!$M$10:$M$276,MATCH(B244,'[17]CN BC'!$H$10:$H$276,0)),"")</f>
        <v>0</v>
      </c>
      <c r="AK244" s="1011" t="str">
        <f>VLOOKUP(B244,TH.T4!B246:AC576,28,FALSE)</f>
        <v>Đ-ĐT</v>
      </c>
      <c r="AN244" s="1027"/>
    </row>
    <row r="245" spans="1:46" s="1028" customFormat="1" ht="29.25" customHeight="1">
      <c r="A245" s="1014">
        <f>_xlfn.AGGREGATE(4,7,A$17:A244)+1</f>
        <v>228</v>
      </c>
      <c r="B245" s="1015" t="s">
        <v>1609</v>
      </c>
      <c r="C245" s="1033" t="s">
        <v>1973</v>
      </c>
      <c r="D245" s="1045" t="s">
        <v>1611</v>
      </c>
      <c r="E245" s="81" t="str">
        <f>VLOOKUP(B245,TH.T6!B157:J487,9,FALSE)</f>
        <v>Giảng viên khoa
Điện - Điện tử</v>
      </c>
      <c r="F245" s="1040">
        <v>3.33</v>
      </c>
      <c r="G245" s="1019"/>
      <c r="H245" s="1247">
        <f t="shared" si="46"/>
        <v>0</v>
      </c>
      <c r="I245" s="1020"/>
      <c r="J245" s="1040">
        <v>3.33</v>
      </c>
      <c r="K245" s="1019"/>
      <c r="L245" s="1247">
        <f t="shared" si="47"/>
        <v>0</v>
      </c>
      <c r="M245" s="1020"/>
      <c r="N245" s="1040">
        <v>3.33</v>
      </c>
      <c r="O245" s="1019"/>
      <c r="P245" s="1248">
        <f t="shared" si="48"/>
        <v>0</v>
      </c>
      <c r="Q245" s="1020"/>
      <c r="R245" s="1020" t="str">
        <f>IFERROR(INDEX('[18]Gui chi Quynh'!$E$11:$E$397,MATCH(B245,'[18]Gui chi Quynh'!$B$11:$B$397,0)),"")</f>
        <v>A3</v>
      </c>
      <c r="S245" s="1020">
        <f t="shared" si="49"/>
        <v>0.6</v>
      </c>
      <c r="T245" s="1020" t="str">
        <f>VLOOKUP(B245,'[19]Gui chi Quynh'!$B$11:$E$397,4,FALSE)</f>
        <v>A DN</v>
      </c>
      <c r="U245" s="1020">
        <f t="shared" si="43"/>
        <v>0</v>
      </c>
      <c r="V245" s="1020" t="str">
        <f>VLOOKUP(B245,'[20]Gui chi Quynh'!$B$11:$E$396,4,FALSE)</f>
        <v>A2</v>
      </c>
      <c r="W245" s="1020">
        <f t="shared" si="50"/>
        <v>0.7</v>
      </c>
      <c r="X245" s="1020">
        <f>IFERROR(INDEX('[21]CN BC'!$J$10:$J$275,MATCH(B245,'[21]CN BC'!$H$10:$H$275,0)),"")</f>
        <v>23</v>
      </c>
      <c r="Y245" s="1020">
        <f>IFERROR(INDEX('[22]CN BC'!$J$10:$J$274,MATCH(B245,'[22]CN BC'!$H$10:$H$274,0)),"")</f>
        <v>0</v>
      </c>
      <c r="Z245" s="1020">
        <f>VLOOKUP(B245,'[23]CN BC'!$H$10:$J$275,3,FALSE)</f>
        <v>19</v>
      </c>
      <c r="AA245" s="1021">
        <f t="shared" si="51"/>
        <v>23</v>
      </c>
      <c r="AB245" s="1021">
        <f t="shared" si="44"/>
        <v>0</v>
      </c>
      <c r="AC245" s="1021">
        <f t="shared" si="52"/>
        <v>19</v>
      </c>
      <c r="AD245" s="1022"/>
      <c r="AE245" s="1023">
        <f t="shared" si="45"/>
        <v>10129860</v>
      </c>
      <c r="AF245" s="1371">
        <f t="shared" si="41"/>
        <v>4.3289999999999997</v>
      </c>
      <c r="AG245" s="1102">
        <v>2340000</v>
      </c>
      <c r="AH245" s="1373">
        <f t="shared" si="42"/>
        <v>10129860</v>
      </c>
      <c r="AI245" s="1024">
        <f t="shared" si="53"/>
        <v>228</v>
      </c>
      <c r="AJ245" s="1025">
        <f>IFERROR(INDEX('[17]CN BC'!$M$10:$M$276,MATCH(B245,'[17]CN BC'!$H$10:$H$276,0)),"")</f>
        <v>0</v>
      </c>
      <c r="AK245" s="1011" t="str">
        <f>VLOOKUP(B245,TH.T4!B247:AC577,28,FALSE)</f>
        <v>Đ-ĐT</v>
      </c>
      <c r="AL245" s="1012"/>
      <c r="AM245" s="1012"/>
      <c r="AN245" s="1027"/>
      <c r="AO245" s="1012"/>
      <c r="AP245" s="1012"/>
      <c r="AQ245" s="1012"/>
      <c r="AR245" s="1012"/>
      <c r="AS245" s="1012"/>
      <c r="AT245" s="1012"/>
    </row>
    <row r="246" spans="1:46" s="1028" customFormat="1" ht="29.25" customHeight="1">
      <c r="A246" s="1014">
        <f>_xlfn.AGGREGATE(4,7,A$17:A245)+1</f>
        <v>229</v>
      </c>
      <c r="B246" s="1015" t="s">
        <v>1610</v>
      </c>
      <c r="C246" s="1033" t="s">
        <v>1974</v>
      </c>
      <c r="D246" s="1045" t="s">
        <v>1612</v>
      </c>
      <c r="E246" s="81" t="str">
        <f>VLOOKUP(B246,TH.T6!B158:J488,9,FALSE)</f>
        <v>Giảng viên khoa
Điện - Điện tử</v>
      </c>
      <c r="F246" s="1018">
        <v>2.67</v>
      </c>
      <c r="G246" s="1019"/>
      <c r="H246" s="1247">
        <f t="shared" si="46"/>
        <v>0</v>
      </c>
      <c r="I246" s="1020">
        <v>0.25</v>
      </c>
      <c r="J246" s="1018">
        <v>2.67</v>
      </c>
      <c r="K246" s="1019"/>
      <c r="L246" s="1247">
        <f t="shared" si="47"/>
        <v>0</v>
      </c>
      <c r="M246" s="1020">
        <v>0.25</v>
      </c>
      <c r="N246" s="1018">
        <v>2.67</v>
      </c>
      <c r="O246" s="1019"/>
      <c r="P246" s="1248">
        <f t="shared" si="48"/>
        <v>0</v>
      </c>
      <c r="Q246" s="1020">
        <v>0.25</v>
      </c>
      <c r="R246" s="1020" t="str">
        <f>IFERROR(INDEX('[18]Gui chi Quynh'!$E$11:$E$397,MATCH(B246,'[18]Gui chi Quynh'!$B$11:$B$397,0)),"")</f>
        <v>A3</v>
      </c>
      <c r="S246" s="1020">
        <f t="shared" si="49"/>
        <v>0.6</v>
      </c>
      <c r="T246" s="1020" t="str">
        <f>VLOOKUP(B246,'[19]Gui chi Quynh'!$B$11:$E$397,4,FALSE)</f>
        <v>A DN</v>
      </c>
      <c r="U246" s="1020">
        <f t="shared" si="43"/>
        <v>0</v>
      </c>
      <c r="V246" s="1020" t="str">
        <f>VLOOKUP(B246,'[20]Gui chi Quynh'!$B$11:$E$396,4,FALSE)</f>
        <v>A2</v>
      </c>
      <c r="W246" s="1020">
        <f t="shared" si="50"/>
        <v>0.7</v>
      </c>
      <c r="X246" s="1020">
        <f>IFERROR(INDEX('[21]CN BC'!$J$10:$J$275,MATCH(B246,'[21]CN BC'!$H$10:$H$275,0)),"")</f>
        <v>21</v>
      </c>
      <c r="Y246" s="1020">
        <f>IFERROR(INDEX('[22]CN BC'!$J$10:$J$274,MATCH(B246,'[22]CN BC'!$H$10:$H$274,0)),"")</f>
        <v>0</v>
      </c>
      <c r="Z246" s="1020">
        <f>VLOOKUP(B246,'[23]CN BC'!$H$10:$J$275,3,FALSE)</f>
        <v>19</v>
      </c>
      <c r="AA246" s="1021">
        <f t="shared" si="51"/>
        <v>21</v>
      </c>
      <c r="AB246" s="1021">
        <f t="shared" si="44"/>
        <v>0</v>
      </c>
      <c r="AC246" s="1021">
        <f t="shared" si="52"/>
        <v>19</v>
      </c>
      <c r="AD246" s="1022"/>
      <c r="AE246" s="1023">
        <f t="shared" si="45"/>
        <v>8526146</v>
      </c>
      <c r="AF246" s="1371">
        <f t="shared" si="41"/>
        <v>3.6436521367521366</v>
      </c>
      <c r="AG246" s="1102">
        <v>2340000</v>
      </c>
      <c r="AH246" s="1373">
        <f t="shared" si="42"/>
        <v>8526146</v>
      </c>
      <c r="AI246" s="1024">
        <f t="shared" si="53"/>
        <v>229</v>
      </c>
      <c r="AJ246" s="1025">
        <f>IFERROR(INDEX('[17]CN BC'!$M$10:$M$276,MATCH(B246,'[17]CN BC'!$H$10:$H$276,0)),"")</f>
        <v>0</v>
      </c>
      <c r="AK246" s="1011" t="str">
        <f>VLOOKUP(B246,TH.T4!B248:AC578,28,FALSE)</f>
        <v>Đ-ĐT</v>
      </c>
      <c r="AL246" s="1012"/>
      <c r="AM246" s="1012"/>
      <c r="AN246" s="1027"/>
      <c r="AO246" s="1012"/>
      <c r="AP246" s="1012"/>
      <c r="AQ246" s="1012"/>
      <c r="AR246" s="1012"/>
      <c r="AS246" s="1012"/>
      <c r="AT246" s="1012"/>
    </row>
    <row r="247" spans="1:46" s="1028" customFormat="1" ht="29.25" customHeight="1">
      <c r="A247" s="1014">
        <f>_xlfn.AGGREGATE(4,7,A$17:A246)+1</f>
        <v>230</v>
      </c>
      <c r="B247" s="1101" t="s">
        <v>1838</v>
      </c>
      <c r="C247" s="1033" t="s">
        <v>1975</v>
      </c>
      <c r="D247" s="1039">
        <v>1603205590132</v>
      </c>
      <c r="E247" s="81" t="str">
        <f>VLOOKUP(B247,TH.T6!B159:J489,9,FALSE)</f>
        <v>Giảng viên khoa
Điện - Điện tử</v>
      </c>
      <c r="F247" s="1018">
        <v>2.67</v>
      </c>
      <c r="G247" s="1019"/>
      <c r="H247" s="1247">
        <f t="shared" si="46"/>
        <v>0</v>
      </c>
      <c r="I247" s="1020">
        <v>0.25</v>
      </c>
      <c r="J247" s="1018">
        <v>2.67</v>
      </c>
      <c r="K247" s="1019"/>
      <c r="L247" s="1247">
        <f t="shared" si="47"/>
        <v>0</v>
      </c>
      <c r="M247" s="1020">
        <v>0.25</v>
      </c>
      <c r="N247" s="1018">
        <v>2.67</v>
      </c>
      <c r="O247" s="1019"/>
      <c r="P247" s="1248">
        <f t="shared" si="48"/>
        <v>0</v>
      </c>
      <c r="Q247" s="1020">
        <v>0.25</v>
      </c>
      <c r="R247" s="1020" t="str">
        <f>IFERROR(INDEX('[18]Gui chi Quynh'!$E$11:$E$397,MATCH(B247,'[18]Gui chi Quynh'!$B$11:$B$397,0)),"")</f>
        <v>A3</v>
      </c>
      <c r="S247" s="1020">
        <f t="shared" si="49"/>
        <v>0.6</v>
      </c>
      <c r="T247" s="1020" t="str">
        <f>VLOOKUP(B247,'[19]Gui chi Quynh'!$B$11:$E$397,4,FALSE)</f>
        <v>A DN</v>
      </c>
      <c r="U247" s="1020">
        <f t="shared" si="43"/>
        <v>0</v>
      </c>
      <c r="V247" s="1020" t="str">
        <f>VLOOKUP(B247,'[20]Gui chi Quynh'!$B$11:$E$396,4,FALSE)</f>
        <v>A2</v>
      </c>
      <c r="W247" s="1020">
        <f t="shared" si="50"/>
        <v>0.7</v>
      </c>
      <c r="X247" s="1020">
        <f>IFERROR(INDEX('[21]CN BC'!$J$10:$J$275,MATCH(B247,'[21]CN BC'!$H$10:$H$275,0)),"")</f>
        <v>21</v>
      </c>
      <c r="Y247" s="1020">
        <f>IFERROR(INDEX('[22]CN BC'!$J$10:$J$274,MATCH(B247,'[22]CN BC'!$H$10:$H$274,0)),"")</f>
        <v>0</v>
      </c>
      <c r="Z247" s="1020">
        <f>VLOOKUP(B247,'[23]CN BC'!$H$10:$J$275,3,FALSE)</f>
        <v>19</v>
      </c>
      <c r="AA247" s="1021">
        <f t="shared" si="51"/>
        <v>21</v>
      </c>
      <c r="AB247" s="1021">
        <f t="shared" si="44"/>
        <v>0</v>
      </c>
      <c r="AC247" s="1021">
        <f t="shared" si="52"/>
        <v>19</v>
      </c>
      <c r="AD247" s="1022"/>
      <c r="AE247" s="1023">
        <f t="shared" si="45"/>
        <v>8526146</v>
      </c>
      <c r="AF247" s="1371">
        <f t="shared" si="41"/>
        <v>3.6436521367521366</v>
      </c>
      <c r="AG247" s="1102">
        <v>2340000</v>
      </c>
      <c r="AH247" s="1373">
        <f t="shared" si="42"/>
        <v>8526146</v>
      </c>
      <c r="AI247" s="1024">
        <f t="shared" si="53"/>
        <v>230</v>
      </c>
      <c r="AJ247" s="1025">
        <f>IFERROR(INDEX('[17]CN BC'!$M$10:$M$276,MATCH(B247,'[17]CN BC'!$H$10:$H$276,0)),"")</f>
        <v>0</v>
      </c>
      <c r="AK247" s="1011" t="str">
        <f>VLOOKUP(B247,TH.T4!B249:AC579,28,FALSE)</f>
        <v>Đ-ĐT</v>
      </c>
      <c r="AL247" s="1012"/>
      <c r="AM247" s="1012"/>
      <c r="AN247" s="1027"/>
      <c r="AO247" s="1012"/>
      <c r="AP247" s="1012"/>
      <c r="AQ247" s="1012"/>
      <c r="AR247" s="1012"/>
      <c r="AS247" s="1012"/>
      <c r="AT247" s="1012"/>
    </row>
    <row r="248" spans="1:46" s="1028" customFormat="1" ht="29.25" customHeight="1">
      <c r="A248" s="1014">
        <f>_xlfn.AGGREGATE(4,7,A$17:A247)+1</f>
        <v>231</v>
      </c>
      <c r="B248" s="1101" t="s">
        <v>1993</v>
      </c>
      <c r="C248" s="1033"/>
      <c r="D248" s="1103"/>
      <c r="E248" s="81" t="str">
        <f>VLOOKUP(B248,TH.T6!B160:J490,9,FALSE)</f>
        <v>Giảng viên khoa Điện - Điện tử</v>
      </c>
      <c r="F248" s="1018">
        <v>3.99</v>
      </c>
      <c r="G248" s="1019"/>
      <c r="H248" s="1247">
        <f t="shared" si="46"/>
        <v>0</v>
      </c>
      <c r="I248" s="1020"/>
      <c r="J248" s="1018">
        <v>3.99</v>
      </c>
      <c r="K248" s="1019"/>
      <c r="L248" s="1247">
        <f t="shared" si="47"/>
        <v>0</v>
      </c>
      <c r="M248" s="1020"/>
      <c r="N248" s="1018">
        <v>3.99</v>
      </c>
      <c r="O248" s="1019"/>
      <c r="P248" s="1248">
        <f t="shared" si="48"/>
        <v>0</v>
      </c>
      <c r="Q248" s="1020"/>
      <c r="R248" s="1020" t="str">
        <f>IFERROR(INDEX('[18]Gui chi Quynh'!$E$11:$E$397,MATCH(B248,'[18]Gui chi Quynh'!$B$11:$B$397,0)),"")</f>
        <v>A3</v>
      </c>
      <c r="S248" s="1020">
        <f t="shared" si="49"/>
        <v>0.6</v>
      </c>
      <c r="T248" s="1020" t="str">
        <f>VLOOKUP(B248,'[19]Gui chi Quynh'!$B$11:$E$397,4,FALSE)</f>
        <v>A DN</v>
      </c>
      <c r="U248" s="1020">
        <f t="shared" si="43"/>
        <v>0</v>
      </c>
      <c r="V248" s="1020" t="str">
        <f>VLOOKUP(B248,'[20]Gui chi Quynh'!$B$11:$E$396,4,FALSE)</f>
        <v>A3</v>
      </c>
      <c r="W248" s="1020">
        <f t="shared" si="50"/>
        <v>0.6</v>
      </c>
      <c r="X248" s="1020">
        <f>IFERROR(INDEX('[21]CN BC'!$J$10:$J$275,MATCH(B248,'[21]CN BC'!$H$10:$H$275,0)),"")</f>
        <v>21</v>
      </c>
      <c r="Y248" s="1020">
        <f>IFERROR(INDEX('[22]CN BC'!$J$10:$J$274,MATCH(B248,'[22]CN BC'!$H$10:$H$274,0)),"")</f>
        <v>0</v>
      </c>
      <c r="Z248" s="1020">
        <f>VLOOKUP(B248,'[23]CN BC'!$H$10:$J$275,3,FALSE)</f>
        <v>19</v>
      </c>
      <c r="AA248" s="1021">
        <f t="shared" si="51"/>
        <v>21</v>
      </c>
      <c r="AB248" s="1021">
        <f t="shared" si="44"/>
        <v>0</v>
      </c>
      <c r="AC248" s="1021">
        <f t="shared" si="52"/>
        <v>19</v>
      </c>
      <c r="AD248" s="1022"/>
      <c r="AE248" s="1023">
        <f t="shared" si="45"/>
        <v>10716793</v>
      </c>
      <c r="AF248" s="1371">
        <f t="shared" si="41"/>
        <v>4.5798260683760681</v>
      </c>
      <c r="AG248" s="1102">
        <v>2340000</v>
      </c>
      <c r="AH248" s="1373">
        <f t="shared" si="42"/>
        <v>10716793</v>
      </c>
      <c r="AI248" s="1024">
        <f t="shared" si="53"/>
        <v>231</v>
      </c>
      <c r="AJ248" s="1025">
        <f>IFERROR(INDEX('[17]CN BC'!$M$10:$M$276,MATCH(B248,'[17]CN BC'!$H$10:$H$276,0)),"")</f>
        <v>0</v>
      </c>
      <c r="AK248" s="1011" t="str">
        <f>VLOOKUP(B248,TH.T4!B250:AC580,28,FALSE)</f>
        <v>Đ-ĐT</v>
      </c>
      <c r="AL248" s="1012"/>
      <c r="AM248" s="1012"/>
      <c r="AN248" s="1027"/>
      <c r="AO248" s="1012"/>
      <c r="AP248" s="1012"/>
      <c r="AQ248" s="1012"/>
      <c r="AR248" s="1012"/>
      <c r="AS248" s="1012"/>
      <c r="AT248" s="1012"/>
    </row>
    <row r="249" spans="1:46" s="1028" customFormat="1" ht="29.25" customHeight="1">
      <c r="A249" s="1014">
        <f>_xlfn.AGGREGATE(4,7,A$17:A248)+1</f>
        <v>232</v>
      </c>
      <c r="B249" s="1101" t="s">
        <v>2002</v>
      </c>
      <c r="C249" s="1033"/>
      <c r="D249" s="1103"/>
      <c r="E249" s="81" t="str">
        <f>VLOOKUP(B249,TH.T6!B161:J491,9,FALSE)</f>
        <v>Giảng viên khoa Điện - Điện tử</v>
      </c>
      <c r="F249" s="1018">
        <v>2.67</v>
      </c>
      <c r="G249" s="1019"/>
      <c r="H249" s="1247">
        <f t="shared" si="46"/>
        <v>0</v>
      </c>
      <c r="I249" s="1020"/>
      <c r="J249" s="1018">
        <v>2.67</v>
      </c>
      <c r="K249" s="1019"/>
      <c r="L249" s="1247">
        <f t="shared" si="47"/>
        <v>0</v>
      </c>
      <c r="M249" s="1020"/>
      <c r="N249" s="1018">
        <v>2.67</v>
      </c>
      <c r="O249" s="1019"/>
      <c r="P249" s="1248">
        <f t="shared" si="48"/>
        <v>0</v>
      </c>
      <c r="Q249" s="1020"/>
      <c r="R249" s="1020" t="str">
        <f>IFERROR(INDEX('[18]Gui chi Quynh'!$E$11:$E$397,MATCH(B249,'[18]Gui chi Quynh'!$B$11:$B$397,0)),"")</f>
        <v>A3</v>
      </c>
      <c r="S249" s="1020">
        <f t="shared" si="49"/>
        <v>0.6</v>
      </c>
      <c r="T249" s="1020" t="str">
        <f>VLOOKUP(B249,'[19]Gui chi Quynh'!$B$11:$E$397,4,FALSE)</f>
        <v>A DN</v>
      </c>
      <c r="U249" s="1020">
        <f t="shared" si="43"/>
        <v>0</v>
      </c>
      <c r="V249" s="1020" t="str">
        <f>VLOOKUP(B249,'[20]Gui chi Quynh'!$B$11:$E$396,4,FALSE)</f>
        <v>A2</v>
      </c>
      <c r="W249" s="1020">
        <f t="shared" si="50"/>
        <v>0.7</v>
      </c>
      <c r="X249" s="1020">
        <f>IFERROR(INDEX('[21]CN BC'!$J$10:$J$275,MATCH(B249,'[21]CN BC'!$H$10:$H$275,0)),"")</f>
        <v>23</v>
      </c>
      <c r="Y249" s="1020">
        <f>IFERROR(INDEX('[22]CN BC'!$J$10:$J$274,MATCH(B249,'[22]CN BC'!$H$10:$H$274,0)),"")</f>
        <v>0</v>
      </c>
      <c r="Z249" s="1020">
        <f>VLOOKUP(B249,'[23]CN BC'!$H$10:$J$275,3,FALSE)</f>
        <v>19</v>
      </c>
      <c r="AA249" s="1021">
        <f t="shared" si="51"/>
        <v>23</v>
      </c>
      <c r="AB249" s="1021">
        <f t="shared" si="44"/>
        <v>0</v>
      </c>
      <c r="AC249" s="1021">
        <f t="shared" si="52"/>
        <v>19</v>
      </c>
      <c r="AD249" s="1022"/>
      <c r="AE249" s="1023">
        <f t="shared" si="45"/>
        <v>8122140</v>
      </c>
      <c r="AF249" s="1371">
        <f t="shared" si="41"/>
        <v>3.4710000000000001</v>
      </c>
      <c r="AG249" s="1102">
        <v>2340000</v>
      </c>
      <c r="AH249" s="1373">
        <f t="shared" si="42"/>
        <v>8122140</v>
      </c>
      <c r="AI249" s="1024">
        <f t="shared" si="53"/>
        <v>232</v>
      </c>
      <c r="AJ249" s="1025">
        <f>IFERROR(INDEX('[17]CN BC'!$M$10:$M$276,MATCH(B249,'[17]CN BC'!$H$10:$H$276,0)),"")</f>
        <v>0</v>
      </c>
      <c r="AK249" s="1011" t="str">
        <f>VLOOKUP(B249,TH.T4!B251:AC581,28,FALSE)</f>
        <v>Đ-ĐT</v>
      </c>
      <c r="AN249" s="1038"/>
    </row>
    <row r="250" spans="1:46" s="1028" customFormat="1" ht="29.25" customHeight="1">
      <c r="A250" s="1014">
        <f>_xlfn.AGGREGATE(4,7,A$17:A249)+1</f>
        <v>233</v>
      </c>
      <c r="B250" s="1101" t="s">
        <v>2004</v>
      </c>
      <c r="C250" s="1033"/>
      <c r="D250" s="1103"/>
      <c r="E250" s="81" t="str">
        <f>VLOOKUP(B250,TH.T6!B162:J492,9,FALSE)</f>
        <v>Giảng viên khoa Điện - Điện tử</v>
      </c>
      <c r="F250" s="1018">
        <v>2.34</v>
      </c>
      <c r="G250" s="1019"/>
      <c r="H250" s="1247">
        <f t="shared" si="46"/>
        <v>0</v>
      </c>
      <c r="I250" s="1020"/>
      <c r="J250" s="1018">
        <v>2.34</v>
      </c>
      <c r="K250" s="1019"/>
      <c r="L250" s="1247">
        <f t="shared" si="47"/>
        <v>0</v>
      </c>
      <c r="M250" s="1020"/>
      <c r="N250" s="1018">
        <v>2.34</v>
      </c>
      <c r="O250" s="1019"/>
      <c r="P250" s="1248">
        <f t="shared" si="48"/>
        <v>0</v>
      </c>
      <c r="Q250" s="1020"/>
      <c r="R250" s="1020" t="str">
        <f>IFERROR(INDEX('[18]Gui chi Quynh'!$E$11:$E$397,MATCH(B250,'[18]Gui chi Quynh'!$B$11:$B$397,0)),"")</f>
        <v>A3</v>
      </c>
      <c r="S250" s="1020">
        <f t="shared" si="49"/>
        <v>0.6</v>
      </c>
      <c r="T250" s="1020" t="str">
        <f>VLOOKUP(B250,'[19]Gui chi Quynh'!$B$11:$E$397,4,FALSE)</f>
        <v>A DN</v>
      </c>
      <c r="U250" s="1020">
        <f t="shared" si="43"/>
        <v>0</v>
      </c>
      <c r="V250" s="1020" t="str">
        <f>VLOOKUP(B250,'[20]Gui chi Quynh'!$B$11:$E$396,4,FALSE)</f>
        <v>A3</v>
      </c>
      <c r="W250" s="1020">
        <f t="shared" si="50"/>
        <v>0.6</v>
      </c>
      <c r="X250" s="1020">
        <f>IFERROR(INDEX('[21]CN BC'!$J$10:$J$275,MATCH(B250,'[21]CN BC'!$H$10:$H$275,0)),"")</f>
        <v>23</v>
      </c>
      <c r="Y250" s="1020">
        <f>IFERROR(INDEX('[22]CN BC'!$J$10:$J$274,MATCH(B250,'[22]CN BC'!$H$10:$H$274,0)),"")</f>
        <v>0</v>
      </c>
      <c r="Z250" s="1020">
        <f>VLOOKUP(B250,'[23]CN BC'!$H$10:$J$275,3,FALSE)</f>
        <v>19</v>
      </c>
      <c r="AA250" s="1021">
        <f t="shared" si="51"/>
        <v>23</v>
      </c>
      <c r="AB250" s="1021">
        <f t="shared" si="44"/>
        <v>0</v>
      </c>
      <c r="AC250" s="1021">
        <f t="shared" si="52"/>
        <v>19</v>
      </c>
      <c r="AD250" s="1022"/>
      <c r="AE250" s="1023">
        <f t="shared" si="45"/>
        <v>6570720</v>
      </c>
      <c r="AF250" s="1371">
        <f t="shared" si="41"/>
        <v>2.8079999999999998</v>
      </c>
      <c r="AG250" s="1102">
        <v>2340000</v>
      </c>
      <c r="AH250" s="1373">
        <f t="shared" si="42"/>
        <v>6570720</v>
      </c>
      <c r="AI250" s="1024">
        <f t="shared" si="53"/>
        <v>233</v>
      </c>
      <c r="AJ250" s="1025">
        <f>IFERROR(INDEX('[17]CN BC'!$M$10:$M$276,MATCH(B250,'[17]CN BC'!$H$10:$H$276,0)),"")</f>
        <v>0</v>
      </c>
      <c r="AK250" s="1011" t="str">
        <f>VLOOKUP(B250,TH.T4!B252:AC582,28,FALSE)</f>
        <v>Đ-ĐT</v>
      </c>
      <c r="AN250" s="1038"/>
    </row>
    <row r="251" spans="1:46" s="1028" customFormat="1" ht="29.25" customHeight="1">
      <c r="A251" s="1014">
        <f>_xlfn.AGGREGATE(4,7,A$17:A250)+1</f>
        <v>234</v>
      </c>
      <c r="B251" s="1015" t="s">
        <v>1914</v>
      </c>
      <c r="C251" s="1033" t="s">
        <v>1803</v>
      </c>
      <c r="D251" s="1034" t="s">
        <v>0</v>
      </c>
      <c r="E251" s="81" t="str">
        <f>VLOOKUP(B251,TH.T6!B163:J493,9,FALSE)</f>
        <v>Trưởng khoa Động lực</v>
      </c>
      <c r="F251" s="1018">
        <v>4.6500000000000004</v>
      </c>
      <c r="G251" s="1019"/>
      <c r="H251" s="1247">
        <f t="shared" si="46"/>
        <v>0</v>
      </c>
      <c r="I251" s="1020">
        <v>0.45</v>
      </c>
      <c r="J251" s="1018">
        <v>4.6500000000000004</v>
      </c>
      <c r="K251" s="1019"/>
      <c r="L251" s="1247">
        <f t="shared" si="47"/>
        <v>0</v>
      </c>
      <c r="M251" s="1020">
        <v>0.45</v>
      </c>
      <c r="N251" s="1018">
        <v>4.6500000000000004</v>
      </c>
      <c r="O251" s="1019"/>
      <c r="P251" s="1248">
        <f t="shared" si="48"/>
        <v>0</v>
      </c>
      <c r="Q251" s="1020">
        <v>0.45</v>
      </c>
      <c r="R251" s="1020" t="str">
        <f>IFERROR(INDEX('[18]Gui chi Quynh'!$E$11:$E$397,MATCH(B251,'[18]Gui chi Quynh'!$B$11:$B$397,0)),"")</f>
        <v>A2</v>
      </c>
      <c r="S251" s="1020">
        <f t="shared" si="49"/>
        <v>0.7</v>
      </c>
      <c r="T251" s="1020" t="str">
        <f>VLOOKUP(B251,'[19]Gui chi Quynh'!$B$11:$E$397,4,FALSE)</f>
        <v>A2</v>
      </c>
      <c r="U251" s="1020">
        <f t="shared" si="43"/>
        <v>0.7</v>
      </c>
      <c r="V251" s="1020" t="str">
        <f>VLOOKUP(B251,'[20]Gui chi Quynh'!$B$11:$E$396,4,FALSE)</f>
        <v>A1</v>
      </c>
      <c r="W251" s="1020">
        <f t="shared" si="50"/>
        <v>0.8</v>
      </c>
      <c r="X251" s="1020">
        <f>IFERROR(INDEX('[21]CN BC'!$J$10:$J$275,MATCH(B251,'[21]CN BC'!$H$10:$H$275,0)),"")</f>
        <v>23</v>
      </c>
      <c r="Y251" s="1020">
        <f>IFERROR(INDEX('[22]CN BC'!$J$10:$J$274,MATCH(B251,'[22]CN BC'!$H$10:$H$274,0)),"")</f>
        <v>22</v>
      </c>
      <c r="Z251" s="1020">
        <f>VLOOKUP(B251,'[23]CN BC'!$H$10:$J$275,3,FALSE)</f>
        <v>19</v>
      </c>
      <c r="AA251" s="1021">
        <f t="shared" si="51"/>
        <v>23</v>
      </c>
      <c r="AB251" s="1021">
        <f t="shared" si="44"/>
        <v>22</v>
      </c>
      <c r="AC251" s="1021">
        <f t="shared" si="52"/>
        <v>19</v>
      </c>
      <c r="AD251" s="1022"/>
      <c r="AE251" s="1023">
        <f t="shared" si="45"/>
        <v>26254800</v>
      </c>
      <c r="AF251" s="1371">
        <f t="shared" si="41"/>
        <v>11.22</v>
      </c>
      <c r="AG251" s="1102">
        <v>2340000</v>
      </c>
      <c r="AH251" s="1373">
        <f t="shared" si="42"/>
        <v>26254800</v>
      </c>
      <c r="AI251" s="1024">
        <f t="shared" si="53"/>
        <v>234</v>
      </c>
      <c r="AJ251" s="1025">
        <f>IFERROR(INDEX('[17]CN BC'!$M$10:$M$276,MATCH(B251,'[17]CN BC'!$H$10:$H$276,0)),"")</f>
        <v>0</v>
      </c>
      <c r="AK251" s="1011" t="str">
        <f>VLOOKUP(B251,TH.T4!B253:AC583,28,FALSE)</f>
        <v>ĐL</v>
      </c>
      <c r="AL251" s="1046"/>
      <c r="AM251" s="1012"/>
      <c r="AN251" s="1027"/>
      <c r="AO251" s="1012"/>
      <c r="AP251" s="1012"/>
      <c r="AQ251" s="1012"/>
      <c r="AR251" s="1012"/>
      <c r="AS251" s="1012"/>
      <c r="AT251" s="1012"/>
    </row>
    <row r="252" spans="1:46" s="1028" customFormat="1" ht="29.25" customHeight="1">
      <c r="A252" s="1014">
        <f>_xlfn.AGGREGATE(4,7,A$17:A251)+1</f>
        <v>235</v>
      </c>
      <c r="B252" s="1015" t="s">
        <v>1915</v>
      </c>
      <c r="C252" s="1033" t="s">
        <v>1804</v>
      </c>
      <c r="D252" s="1034" t="s">
        <v>1420</v>
      </c>
      <c r="E252" s="81" t="str">
        <f>VLOOKUP(B252,TH.T6!B164:J494,9,FALSE)</f>
        <v>Phó Trưởng khoa
 Động lực</v>
      </c>
      <c r="F252" s="1018">
        <v>4.9800000000000004</v>
      </c>
      <c r="G252" s="1019"/>
      <c r="H252" s="1247">
        <f t="shared" si="46"/>
        <v>0</v>
      </c>
      <c r="I252" s="1020">
        <v>0.35</v>
      </c>
      <c r="J252" s="1018">
        <v>4.9800000000000004</v>
      </c>
      <c r="K252" s="1019"/>
      <c r="L252" s="1247">
        <f t="shared" si="47"/>
        <v>0</v>
      </c>
      <c r="M252" s="1020">
        <v>0.35</v>
      </c>
      <c r="N252" s="1018">
        <v>4.9800000000000004</v>
      </c>
      <c r="O252" s="1019"/>
      <c r="P252" s="1248">
        <f t="shared" si="48"/>
        <v>0</v>
      </c>
      <c r="Q252" s="1020">
        <v>0.35</v>
      </c>
      <c r="R252" s="1020" t="str">
        <f>IFERROR(INDEX('[18]Gui chi Quynh'!$E$11:$E$397,MATCH(B252,'[18]Gui chi Quynh'!$B$11:$B$397,0)),"")</f>
        <v>A3</v>
      </c>
      <c r="S252" s="1020">
        <f t="shared" si="49"/>
        <v>0.6</v>
      </c>
      <c r="T252" s="1020" t="str">
        <f>VLOOKUP(B252,'[19]Gui chi Quynh'!$B$11:$E$397,4,FALSE)</f>
        <v>A4</v>
      </c>
      <c r="U252" s="1020">
        <f t="shared" si="43"/>
        <v>0.5</v>
      </c>
      <c r="V252" s="1020" t="str">
        <f>VLOOKUP(B252,'[20]Gui chi Quynh'!$B$11:$E$396,4,FALSE)</f>
        <v>A2</v>
      </c>
      <c r="W252" s="1020">
        <f t="shared" si="50"/>
        <v>0.7</v>
      </c>
      <c r="X252" s="1020">
        <f>IFERROR(INDEX('[21]CN BC'!$J$10:$J$275,MATCH(B252,'[21]CN BC'!$H$10:$H$275,0)),"")</f>
        <v>23</v>
      </c>
      <c r="Y252" s="1020">
        <f>IFERROR(INDEX('[22]CN BC'!$J$10:$J$274,MATCH(B252,'[22]CN BC'!$H$10:$H$274,0)),"")</f>
        <v>22</v>
      </c>
      <c r="Z252" s="1020">
        <f>VLOOKUP(B252,'[23]CN BC'!$H$10:$J$275,3,FALSE)</f>
        <v>19</v>
      </c>
      <c r="AA252" s="1021">
        <f t="shared" si="51"/>
        <v>23</v>
      </c>
      <c r="AB252" s="1021">
        <f t="shared" si="44"/>
        <v>22</v>
      </c>
      <c r="AC252" s="1021">
        <f t="shared" si="52"/>
        <v>19</v>
      </c>
      <c r="AD252" s="1022"/>
      <c r="AE252" s="1023">
        <f t="shared" si="45"/>
        <v>22449960</v>
      </c>
      <c r="AF252" s="1371">
        <f t="shared" si="41"/>
        <v>9.5939999999999994</v>
      </c>
      <c r="AG252" s="1102">
        <v>2340000</v>
      </c>
      <c r="AH252" s="1373">
        <f t="shared" si="42"/>
        <v>22449960</v>
      </c>
      <c r="AI252" s="1024">
        <f t="shared" si="53"/>
        <v>235</v>
      </c>
      <c r="AJ252" s="1025">
        <f>IFERROR(INDEX('[17]CN BC'!$M$10:$M$276,MATCH(B252,'[17]CN BC'!$H$10:$H$276,0)),"")</f>
        <v>0</v>
      </c>
      <c r="AK252" s="1011" t="str">
        <f>VLOOKUP(B252,TH.T4!B254:AC584,28,FALSE)</f>
        <v>ĐL</v>
      </c>
      <c r="AL252" s="1012"/>
      <c r="AM252" s="1012"/>
      <c r="AN252" s="1027"/>
      <c r="AO252" s="1012"/>
      <c r="AP252" s="1012"/>
      <c r="AQ252" s="1012"/>
      <c r="AR252" s="1012"/>
      <c r="AS252" s="1012"/>
      <c r="AT252" s="1012"/>
    </row>
    <row r="253" spans="1:46" s="1028" customFormat="1" ht="29.25" customHeight="1">
      <c r="A253" s="1014">
        <f>_xlfn.AGGREGATE(4,7,A$17:A252)+1</f>
        <v>236</v>
      </c>
      <c r="B253" s="1015" t="s">
        <v>1916</v>
      </c>
      <c r="C253" s="1033" t="s">
        <v>1805</v>
      </c>
      <c r="D253" s="1034" t="s">
        <v>1</v>
      </c>
      <c r="E253" s="81" t="str">
        <f>VLOOKUP(B253,TH.T6!B165:J495,9,FALSE)</f>
        <v>Giảng viên khoa Động lực</v>
      </c>
      <c r="F253" s="1018">
        <v>4.32</v>
      </c>
      <c r="G253" s="1019"/>
      <c r="H253" s="1247">
        <f t="shared" si="46"/>
        <v>0</v>
      </c>
      <c r="I253" s="1020">
        <v>0.25</v>
      </c>
      <c r="J253" s="1018">
        <v>4.32</v>
      </c>
      <c r="K253" s="1019"/>
      <c r="L253" s="1247">
        <f t="shared" si="47"/>
        <v>0</v>
      </c>
      <c r="M253" s="1020">
        <v>0.25</v>
      </c>
      <c r="N253" s="1018">
        <v>4.32</v>
      </c>
      <c r="O253" s="1019"/>
      <c r="P253" s="1248">
        <f t="shared" si="48"/>
        <v>0</v>
      </c>
      <c r="Q253" s="1020">
        <v>0.25</v>
      </c>
      <c r="R253" s="1020" t="str">
        <f>IFERROR(INDEX('[18]Gui chi Quynh'!$E$11:$E$397,MATCH(B253,'[18]Gui chi Quynh'!$B$11:$B$397,0)),"")</f>
        <v>A4</v>
      </c>
      <c r="S253" s="1020">
        <f t="shared" si="49"/>
        <v>0.5</v>
      </c>
      <c r="T253" s="1020" t="str">
        <f>VLOOKUP(B253,'[19]Gui chi Quynh'!$B$11:$E$397,4,FALSE)</f>
        <v>A DN</v>
      </c>
      <c r="U253" s="1020">
        <f t="shared" si="43"/>
        <v>0</v>
      </c>
      <c r="V253" s="1020" t="str">
        <f>VLOOKUP(B253,'[20]Gui chi Quynh'!$B$11:$E$396,4,FALSE)</f>
        <v>A4</v>
      </c>
      <c r="W253" s="1020">
        <f t="shared" si="50"/>
        <v>0.5</v>
      </c>
      <c r="X253" s="1020">
        <f>IFERROR(INDEX('[21]CN BC'!$J$10:$J$275,MATCH(B253,'[21]CN BC'!$H$10:$H$275,0)),"")</f>
        <v>23</v>
      </c>
      <c r="Y253" s="1020">
        <f>IFERROR(INDEX('[22]CN BC'!$J$10:$J$274,MATCH(B253,'[22]CN BC'!$H$10:$H$274,0)),"")</f>
        <v>0</v>
      </c>
      <c r="Z253" s="1020">
        <f>VLOOKUP(B253,'[23]CN BC'!$H$10:$J$275,3,FALSE)</f>
        <v>19</v>
      </c>
      <c r="AA253" s="1021">
        <f t="shared" si="51"/>
        <v>23</v>
      </c>
      <c r="AB253" s="1021">
        <f t="shared" si="44"/>
        <v>0</v>
      </c>
      <c r="AC253" s="1021">
        <f t="shared" si="52"/>
        <v>19</v>
      </c>
      <c r="AD253" s="1022"/>
      <c r="AE253" s="1023">
        <f t="shared" si="45"/>
        <v>10693800</v>
      </c>
      <c r="AF253" s="1371">
        <f t="shared" si="41"/>
        <v>4.57</v>
      </c>
      <c r="AG253" s="1102">
        <v>2340000</v>
      </c>
      <c r="AH253" s="1373">
        <f t="shared" si="42"/>
        <v>10693800</v>
      </c>
      <c r="AI253" s="1024">
        <f t="shared" si="53"/>
        <v>236</v>
      </c>
      <c r="AJ253" s="1025">
        <f>IFERROR(INDEX('[17]CN BC'!$M$10:$M$276,MATCH(B253,'[17]CN BC'!$H$10:$H$276,0)),"")</f>
        <v>0</v>
      </c>
      <c r="AK253" s="1011" t="str">
        <f>VLOOKUP(B253,TH.T4!B255:AC585,28,FALSE)</f>
        <v>ĐL</v>
      </c>
      <c r="AL253" s="1012"/>
      <c r="AM253" s="1012"/>
      <c r="AN253" s="1027"/>
      <c r="AO253" s="1012"/>
      <c r="AP253" s="1012"/>
      <c r="AQ253" s="1012"/>
      <c r="AR253" s="1012"/>
      <c r="AS253" s="1012"/>
      <c r="AT253" s="1012"/>
    </row>
    <row r="254" spans="1:46" s="1028" customFormat="1" ht="29.25" customHeight="1">
      <c r="A254" s="1014">
        <f>_xlfn.AGGREGATE(4,7,A$17:A253)+1</f>
        <v>237</v>
      </c>
      <c r="B254" s="1093" t="s">
        <v>1542</v>
      </c>
      <c r="C254" s="1094" t="s">
        <v>1806</v>
      </c>
      <c r="D254" s="1212" t="s">
        <v>3</v>
      </c>
      <c r="E254" s="554" t="str">
        <f>VLOOKUP(B254,TH.T6!B166:J496,9,FALSE)</f>
        <v>Giảng viên - Trưởng BM khoa Động lực</v>
      </c>
      <c r="F254" s="1224">
        <v>3.99</v>
      </c>
      <c r="G254" s="1096"/>
      <c r="H254" s="1249">
        <f t="shared" si="46"/>
        <v>0</v>
      </c>
      <c r="I254" s="1097"/>
      <c r="J254" s="1224">
        <v>3.99</v>
      </c>
      <c r="K254" s="1096"/>
      <c r="L254" s="1249">
        <f t="shared" si="47"/>
        <v>0</v>
      </c>
      <c r="M254" s="1097"/>
      <c r="N254" s="1224">
        <v>4.32</v>
      </c>
      <c r="O254" s="1096"/>
      <c r="P254" s="1250">
        <f t="shared" si="48"/>
        <v>0</v>
      </c>
      <c r="Q254" s="1097"/>
      <c r="R254" s="1097" t="str">
        <f>IFERROR(INDEX('[18]Gui chi Quynh'!$E$11:$E$397,MATCH(B254,'[18]Gui chi Quynh'!$B$11:$B$397,0)),"")</f>
        <v>A4</v>
      </c>
      <c r="S254" s="1097">
        <f t="shared" si="49"/>
        <v>0.5</v>
      </c>
      <c r="T254" s="1097" t="str">
        <f>VLOOKUP(B254,'[19]Gui chi Quynh'!$B$11:$E$397,4,FALSE)</f>
        <v>A DN</v>
      </c>
      <c r="U254" s="1097">
        <f t="shared" si="43"/>
        <v>0</v>
      </c>
      <c r="V254" s="1097" t="str">
        <f>VLOOKUP(B254,'[20]Gui chi Quynh'!$B$11:$E$396,4,FALSE)</f>
        <v>A4</v>
      </c>
      <c r="W254" s="1097">
        <f t="shared" si="50"/>
        <v>0.5</v>
      </c>
      <c r="X254" s="1097">
        <f>IFERROR(INDEX('[21]CN BC'!$J$10:$J$275,MATCH(B254,'[21]CN BC'!$H$10:$H$275,0)),"")</f>
        <v>23</v>
      </c>
      <c r="Y254" s="1097">
        <f>IFERROR(INDEX('[22]CN BC'!$J$10:$J$274,MATCH(B254,'[22]CN BC'!$H$10:$H$274,0)),"")</f>
        <v>0</v>
      </c>
      <c r="Z254" s="1097">
        <f>VLOOKUP(B254,'[23]CN BC'!$H$10:$J$275,3,FALSE)</f>
        <v>19</v>
      </c>
      <c r="AA254" s="1213">
        <f t="shared" si="51"/>
        <v>23</v>
      </c>
      <c r="AB254" s="1213">
        <f t="shared" si="44"/>
        <v>0</v>
      </c>
      <c r="AC254" s="1213">
        <f t="shared" si="52"/>
        <v>19</v>
      </c>
      <c r="AD254" s="1098"/>
      <c r="AE254" s="1214">
        <f t="shared" si="45"/>
        <v>9722700</v>
      </c>
      <c r="AF254" s="1400">
        <f t="shared" si="41"/>
        <v>4.1550000000000002</v>
      </c>
      <c r="AG254" s="1225">
        <v>2340000</v>
      </c>
      <c r="AH254" s="1401">
        <f t="shared" si="42"/>
        <v>9722700</v>
      </c>
      <c r="AI254" s="1099">
        <f t="shared" si="53"/>
        <v>237</v>
      </c>
      <c r="AJ254" s="1215" t="s">
        <v>2363</v>
      </c>
      <c r="AK254" s="1011" t="str">
        <f>VLOOKUP(B254,TH.T4!B256:AC586,28,FALSE)</f>
        <v>ĐL</v>
      </c>
      <c r="AL254" s="1012"/>
      <c r="AM254" s="1012"/>
      <c r="AN254" s="1027"/>
      <c r="AO254" s="1012"/>
      <c r="AP254" s="1012"/>
      <c r="AQ254" s="1012"/>
      <c r="AR254" s="1012"/>
      <c r="AS254" s="1012"/>
      <c r="AT254" s="1012"/>
    </row>
    <row r="255" spans="1:46" s="1028" customFormat="1" ht="29.25" customHeight="1">
      <c r="A255" s="1014">
        <f>_xlfn.AGGREGATE(4,7,A$17:A254)+1</f>
        <v>238</v>
      </c>
      <c r="B255" s="1015" t="s">
        <v>1543</v>
      </c>
      <c r="C255" s="1033" t="s">
        <v>1807</v>
      </c>
      <c r="D255" s="1034" t="s">
        <v>4</v>
      </c>
      <c r="E255" s="81" t="str">
        <f>VLOOKUP(B255,TH.T6!B167:J497,9,FALSE)</f>
        <v>Giảng viên - Trưởng BM khoa Động lực</v>
      </c>
      <c r="F255" s="1040">
        <v>3.99</v>
      </c>
      <c r="G255" s="1019"/>
      <c r="H255" s="1247">
        <f t="shared" si="46"/>
        <v>0</v>
      </c>
      <c r="I255" s="1020">
        <v>0.25</v>
      </c>
      <c r="J255" s="1040">
        <v>3.99</v>
      </c>
      <c r="K255" s="1019"/>
      <c r="L255" s="1247">
        <f t="shared" si="47"/>
        <v>0</v>
      </c>
      <c r="M255" s="1020">
        <v>0.25</v>
      </c>
      <c r="N255" s="1040">
        <v>3.99</v>
      </c>
      <c r="O255" s="1019"/>
      <c r="P255" s="1248">
        <f t="shared" si="48"/>
        <v>0</v>
      </c>
      <c r="Q255" s="1020">
        <v>0.25</v>
      </c>
      <c r="R255" s="1020" t="str">
        <f>IFERROR(INDEX('[18]Gui chi Quynh'!$E$11:$E$397,MATCH(B255,'[18]Gui chi Quynh'!$B$11:$B$397,0)),"")</f>
        <v>A3</v>
      </c>
      <c r="S255" s="1020">
        <f t="shared" si="49"/>
        <v>0.6</v>
      </c>
      <c r="T255" s="1020" t="str">
        <f>VLOOKUP(B255,'[19]Gui chi Quynh'!$B$11:$E$397,4,FALSE)</f>
        <v>A DN</v>
      </c>
      <c r="U255" s="1020">
        <f t="shared" si="43"/>
        <v>0</v>
      </c>
      <c r="V255" s="1020" t="str">
        <f>VLOOKUP(B255,'[20]Gui chi Quynh'!$B$11:$E$396,4,FALSE)</f>
        <v>A1</v>
      </c>
      <c r="W255" s="1020">
        <f t="shared" si="50"/>
        <v>0.8</v>
      </c>
      <c r="X255" s="1020">
        <f>IFERROR(INDEX('[21]CN BC'!$J$10:$J$275,MATCH(B255,'[21]CN BC'!$H$10:$H$275,0)),"")</f>
        <v>23</v>
      </c>
      <c r="Y255" s="1020">
        <f>IFERROR(INDEX('[22]CN BC'!$J$10:$J$274,MATCH(B255,'[22]CN BC'!$H$10:$H$274,0)),"")</f>
        <v>0</v>
      </c>
      <c r="Z255" s="1020">
        <f>VLOOKUP(B255,'[23]CN BC'!$H$10:$J$275,3,FALSE)</f>
        <v>19</v>
      </c>
      <c r="AA255" s="1021">
        <f t="shared" si="51"/>
        <v>23</v>
      </c>
      <c r="AB255" s="1021">
        <f t="shared" si="44"/>
        <v>0</v>
      </c>
      <c r="AC255" s="1021">
        <f t="shared" si="52"/>
        <v>19</v>
      </c>
      <c r="AD255" s="1022"/>
      <c r="AE255" s="1023">
        <f t="shared" si="45"/>
        <v>13890240</v>
      </c>
      <c r="AF255" s="1371">
        <f t="shared" si="41"/>
        <v>5.9359999999999999</v>
      </c>
      <c r="AG255" s="1102">
        <v>2340000</v>
      </c>
      <c r="AH255" s="1373">
        <f t="shared" si="42"/>
        <v>13890240</v>
      </c>
      <c r="AI255" s="1024">
        <f t="shared" si="53"/>
        <v>238</v>
      </c>
      <c r="AJ255" s="1025">
        <f>IFERROR(INDEX('[17]CN BC'!$M$10:$M$276,MATCH(B255,'[17]CN BC'!$H$10:$H$276,0)),"")</f>
        <v>0</v>
      </c>
      <c r="AK255" s="1011" t="str">
        <f>VLOOKUP(B255,TH.T4!B257:AC587,28,FALSE)</f>
        <v>ĐL</v>
      </c>
      <c r="AL255" s="1012"/>
      <c r="AM255" s="1012"/>
      <c r="AN255" s="1027"/>
      <c r="AO255" s="1012"/>
      <c r="AP255" s="1012"/>
      <c r="AQ255" s="1012"/>
      <c r="AR255" s="1012"/>
      <c r="AS255" s="1012"/>
      <c r="AT255" s="1012"/>
    </row>
    <row r="256" spans="1:46" s="1028" customFormat="1" ht="29.25" customHeight="1">
      <c r="A256" s="1014">
        <f>_xlfn.AGGREGATE(4,7,A$17:A255)+1</f>
        <v>239</v>
      </c>
      <c r="B256" s="1093" t="s">
        <v>1544</v>
      </c>
      <c r="C256" s="1094" t="s">
        <v>1808</v>
      </c>
      <c r="D256" s="1212" t="s">
        <v>5</v>
      </c>
      <c r="E256" s="554" t="str">
        <f>VLOOKUP(B256,TH.T6!B168:J498,9,FALSE)</f>
        <v>Giảng viên khoa Động lực</v>
      </c>
      <c r="F256" s="1224">
        <v>3.66</v>
      </c>
      <c r="G256" s="1096"/>
      <c r="H256" s="1249">
        <f t="shared" si="46"/>
        <v>0</v>
      </c>
      <c r="I256" s="1097"/>
      <c r="J256" s="1224">
        <v>3.66</v>
      </c>
      <c r="K256" s="1096"/>
      <c r="L256" s="1249">
        <f t="shared" si="47"/>
        <v>0</v>
      </c>
      <c r="M256" s="1097"/>
      <c r="N256" s="1224">
        <v>3.99</v>
      </c>
      <c r="O256" s="1096"/>
      <c r="P256" s="1250">
        <f t="shared" si="48"/>
        <v>0</v>
      </c>
      <c r="Q256" s="1097"/>
      <c r="R256" s="1097" t="str">
        <f>IFERROR(INDEX('[18]Gui chi Quynh'!$E$11:$E$397,MATCH(B256,'[18]Gui chi Quynh'!$B$11:$B$397,0)),"")</f>
        <v>A4</v>
      </c>
      <c r="S256" s="1097">
        <f t="shared" si="49"/>
        <v>0.5</v>
      </c>
      <c r="T256" s="1097" t="str">
        <f>VLOOKUP(B256,'[19]Gui chi Quynh'!$B$11:$E$397,4,FALSE)</f>
        <v>A DN</v>
      </c>
      <c r="U256" s="1097">
        <f t="shared" si="43"/>
        <v>0</v>
      </c>
      <c r="V256" s="1097" t="str">
        <f>VLOOKUP(B256,'[20]Gui chi Quynh'!$B$11:$E$396,4,FALSE)</f>
        <v>A4</v>
      </c>
      <c r="W256" s="1097">
        <f t="shared" si="50"/>
        <v>0.5</v>
      </c>
      <c r="X256" s="1097">
        <f>IFERROR(INDEX('[21]CN BC'!$J$10:$J$275,MATCH(B256,'[21]CN BC'!$H$10:$H$275,0)),"")</f>
        <v>21</v>
      </c>
      <c r="Y256" s="1097">
        <f>IFERROR(INDEX('[22]CN BC'!$J$10:$J$274,MATCH(B256,'[22]CN BC'!$H$10:$H$274,0)),"")</f>
        <v>0</v>
      </c>
      <c r="Z256" s="1097">
        <f>VLOOKUP(B256,'[23]CN BC'!$H$10:$J$275,3,FALSE)</f>
        <v>19</v>
      </c>
      <c r="AA256" s="1213">
        <f t="shared" si="51"/>
        <v>21</v>
      </c>
      <c r="AB256" s="1213">
        <f t="shared" si="44"/>
        <v>0</v>
      </c>
      <c r="AC256" s="1213">
        <f t="shared" si="52"/>
        <v>19</v>
      </c>
      <c r="AD256" s="1098"/>
      <c r="AE256" s="1214">
        <f t="shared" si="45"/>
        <v>8578135</v>
      </c>
      <c r="AF256" s="1400">
        <f t="shared" si="41"/>
        <v>3.6658696581196581</v>
      </c>
      <c r="AG256" s="1225">
        <v>2340000</v>
      </c>
      <c r="AH256" s="1401">
        <f t="shared" si="42"/>
        <v>8578135</v>
      </c>
      <c r="AI256" s="1099">
        <f t="shared" si="53"/>
        <v>239</v>
      </c>
      <c r="AJ256" s="1215" t="s">
        <v>2363</v>
      </c>
      <c r="AK256" s="1011" t="str">
        <f>VLOOKUP(B256,TH.T4!B258:AC588,28,FALSE)</f>
        <v>ĐL</v>
      </c>
      <c r="AN256" s="1038"/>
    </row>
    <row r="257" spans="1:46" s="1028" customFormat="1" ht="29.25" customHeight="1">
      <c r="A257" s="1014">
        <f>_xlfn.AGGREGATE(4,7,A$17:A256)+1</f>
        <v>240</v>
      </c>
      <c r="B257" s="1093" t="s">
        <v>1917</v>
      </c>
      <c r="C257" s="1094" t="s">
        <v>1809</v>
      </c>
      <c r="D257" s="1212" t="s">
        <v>394</v>
      </c>
      <c r="E257" s="554" t="str">
        <f>VLOOKUP(B257,TH.T6!B169:J499,9,FALSE)</f>
        <v>Giảng viên khoa Động lực</v>
      </c>
      <c r="F257" s="1224">
        <v>3.66</v>
      </c>
      <c r="G257" s="1096"/>
      <c r="H257" s="1249">
        <f t="shared" si="46"/>
        <v>0</v>
      </c>
      <c r="I257" s="1097"/>
      <c r="J257" s="1224">
        <v>3.66</v>
      </c>
      <c r="K257" s="1096"/>
      <c r="L257" s="1249">
        <f t="shared" si="47"/>
        <v>0</v>
      </c>
      <c r="M257" s="1097"/>
      <c r="N257" s="1224">
        <v>3.99</v>
      </c>
      <c r="O257" s="1096"/>
      <c r="P257" s="1250">
        <f t="shared" si="48"/>
        <v>0</v>
      </c>
      <c r="Q257" s="1097"/>
      <c r="R257" s="1097" t="str">
        <f>IFERROR(INDEX('[18]Gui chi Quynh'!$E$11:$E$397,MATCH(B257,'[18]Gui chi Quynh'!$B$11:$B$397,0)),"")</f>
        <v>A4</v>
      </c>
      <c r="S257" s="1097">
        <f t="shared" si="49"/>
        <v>0.5</v>
      </c>
      <c r="T257" s="1097" t="str">
        <f>VLOOKUP(B257,'[19]Gui chi Quynh'!$B$11:$E$397,4,FALSE)</f>
        <v>A DN</v>
      </c>
      <c r="U257" s="1097">
        <f t="shared" si="43"/>
        <v>0</v>
      </c>
      <c r="V257" s="1097" t="str">
        <f>VLOOKUP(B257,'[20]Gui chi Quynh'!$B$11:$E$396,4,FALSE)</f>
        <v>A4</v>
      </c>
      <c r="W257" s="1097">
        <f t="shared" si="50"/>
        <v>0.5</v>
      </c>
      <c r="X257" s="1097">
        <f>IFERROR(INDEX('[21]CN BC'!$J$10:$J$275,MATCH(B257,'[21]CN BC'!$H$10:$H$275,0)),"")</f>
        <v>23</v>
      </c>
      <c r="Y257" s="1097">
        <f>IFERROR(INDEX('[22]CN BC'!$J$10:$J$274,MATCH(B257,'[22]CN BC'!$H$10:$H$274,0)),"")</f>
        <v>0</v>
      </c>
      <c r="Z257" s="1097">
        <f>VLOOKUP(B257,'[23]CN BC'!$H$10:$J$275,3,FALSE)</f>
        <v>19</v>
      </c>
      <c r="AA257" s="1213">
        <f t="shared" si="51"/>
        <v>23</v>
      </c>
      <c r="AB257" s="1213">
        <f t="shared" si="44"/>
        <v>0</v>
      </c>
      <c r="AC257" s="1213">
        <f t="shared" si="52"/>
        <v>19</v>
      </c>
      <c r="AD257" s="1098"/>
      <c r="AE257" s="1214">
        <f t="shared" si="45"/>
        <v>8950500</v>
      </c>
      <c r="AF257" s="1400">
        <f t="shared" si="41"/>
        <v>3.8250000000000002</v>
      </c>
      <c r="AG257" s="1225">
        <v>2340000</v>
      </c>
      <c r="AH257" s="1401">
        <f t="shared" si="42"/>
        <v>8950500</v>
      </c>
      <c r="AI257" s="1099">
        <f t="shared" si="53"/>
        <v>240</v>
      </c>
      <c r="AJ257" s="1215" t="s">
        <v>2363</v>
      </c>
      <c r="AK257" s="1011" t="str">
        <f>VLOOKUP(B257,TH.T4!B259:AC589,28,FALSE)</f>
        <v>ĐL</v>
      </c>
      <c r="AL257" s="1012"/>
      <c r="AM257" s="1012"/>
      <c r="AN257" s="1027"/>
      <c r="AO257" s="1012"/>
      <c r="AP257" s="1012"/>
      <c r="AQ257" s="1012"/>
      <c r="AR257" s="1012"/>
      <c r="AS257" s="1012"/>
      <c r="AT257" s="1012"/>
    </row>
    <row r="258" spans="1:46" s="1028" customFormat="1" ht="29.25" customHeight="1">
      <c r="A258" s="1014">
        <f>_xlfn.AGGREGATE(4,7,A$17:A257)+1</f>
        <v>241</v>
      </c>
      <c r="B258" s="1101" t="s">
        <v>1918</v>
      </c>
      <c r="C258" s="1033" t="s">
        <v>1810</v>
      </c>
      <c r="D258" s="1034" t="s">
        <v>393</v>
      </c>
      <c r="E258" s="81" t="str">
        <f>VLOOKUP(B258,TH.T6!B170:J500,9,FALSE)</f>
        <v>Giảng viên khoa Động lực</v>
      </c>
      <c r="F258" s="1040">
        <v>3.99</v>
      </c>
      <c r="G258" s="1019"/>
      <c r="H258" s="1247">
        <f t="shared" si="46"/>
        <v>0</v>
      </c>
      <c r="I258" s="1020"/>
      <c r="J258" s="1040">
        <v>3.99</v>
      </c>
      <c r="K258" s="1019"/>
      <c r="L258" s="1247">
        <f t="shared" si="47"/>
        <v>0</v>
      </c>
      <c r="M258" s="1020"/>
      <c r="N258" s="1040">
        <v>3.99</v>
      </c>
      <c r="O258" s="1019"/>
      <c r="P258" s="1248">
        <f t="shared" si="48"/>
        <v>0</v>
      </c>
      <c r="Q258" s="1020"/>
      <c r="R258" s="1020" t="str">
        <f>IFERROR(INDEX('[18]Gui chi Quynh'!$E$11:$E$397,MATCH(B258,'[18]Gui chi Quynh'!$B$11:$B$397,0)),"")</f>
        <v>A4</v>
      </c>
      <c r="S258" s="1020">
        <f t="shared" si="49"/>
        <v>0.5</v>
      </c>
      <c r="T258" s="1020" t="str">
        <f>VLOOKUP(B258,'[19]Gui chi Quynh'!$B$11:$E$397,4,FALSE)</f>
        <v>A DN</v>
      </c>
      <c r="U258" s="1020">
        <f t="shared" si="43"/>
        <v>0</v>
      </c>
      <c r="V258" s="1020" t="str">
        <f>VLOOKUP(B258,'[20]Gui chi Quynh'!$B$11:$E$396,4,FALSE)</f>
        <v>A4</v>
      </c>
      <c r="W258" s="1020">
        <f t="shared" si="50"/>
        <v>0.5</v>
      </c>
      <c r="X258" s="1020">
        <f>IFERROR(INDEX('[21]CN BC'!$J$10:$J$275,MATCH(B258,'[21]CN BC'!$H$10:$H$275,0)),"")</f>
        <v>23</v>
      </c>
      <c r="Y258" s="1020">
        <f>IFERROR(INDEX('[22]CN BC'!$J$10:$J$274,MATCH(B258,'[22]CN BC'!$H$10:$H$274,0)),"")</f>
        <v>0</v>
      </c>
      <c r="Z258" s="1020">
        <f>VLOOKUP(B258,'[23]CN BC'!$H$10:$J$275,3,FALSE)</f>
        <v>19</v>
      </c>
      <c r="AA258" s="1021">
        <f t="shared" si="51"/>
        <v>23</v>
      </c>
      <c r="AB258" s="1021">
        <f t="shared" si="44"/>
        <v>0</v>
      </c>
      <c r="AC258" s="1021">
        <f t="shared" si="52"/>
        <v>19</v>
      </c>
      <c r="AD258" s="1022"/>
      <c r="AE258" s="1023">
        <f t="shared" si="45"/>
        <v>9336600</v>
      </c>
      <c r="AF258" s="1371">
        <f t="shared" si="41"/>
        <v>3.99</v>
      </c>
      <c r="AG258" s="1102">
        <v>2340000</v>
      </c>
      <c r="AH258" s="1373">
        <f t="shared" si="42"/>
        <v>9336600</v>
      </c>
      <c r="AI258" s="1024">
        <f t="shared" si="53"/>
        <v>241</v>
      </c>
      <c r="AJ258" s="1025">
        <f>IFERROR(INDEX('[17]CN BC'!$M$10:$M$276,MATCH(B258,'[17]CN BC'!$H$10:$H$276,0)),"")</f>
        <v>0</v>
      </c>
      <c r="AK258" s="1011" t="str">
        <f>VLOOKUP(B258,TH.T4!B260:AC590,28,FALSE)</f>
        <v>ĐL</v>
      </c>
      <c r="AN258" s="1038"/>
    </row>
    <row r="259" spans="1:46" s="1028" customFormat="1" ht="29.25" customHeight="1">
      <c r="A259" s="1014">
        <f>_xlfn.AGGREGATE(4,7,A$17:A258)+1</f>
        <v>242</v>
      </c>
      <c r="B259" s="1093" t="s">
        <v>1545</v>
      </c>
      <c r="C259" s="1094" t="s">
        <v>1811</v>
      </c>
      <c r="D259" s="1212" t="s">
        <v>395</v>
      </c>
      <c r="E259" s="554" t="str">
        <f>VLOOKUP(B259,TH.T6!B171:J501,9,FALSE)</f>
        <v>Giảng viên khoa Động lực</v>
      </c>
      <c r="F259" s="1224">
        <v>3.66</v>
      </c>
      <c r="G259" s="1096"/>
      <c r="H259" s="1249">
        <f t="shared" si="46"/>
        <v>0</v>
      </c>
      <c r="I259" s="1097"/>
      <c r="J259" s="1224">
        <v>3.66</v>
      </c>
      <c r="K259" s="1096"/>
      <c r="L259" s="1249">
        <f t="shared" si="47"/>
        <v>0</v>
      </c>
      <c r="M259" s="1097"/>
      <c r="N259" s="1224">
        <v>3.99</v>
      </c>
      <c r="O259" s="1096"/>
      <c r="P259" s="1250">
        <f t="shared" si="48"/>
        <v>0</v>
      </c>
      <c r="Q259" s="1097"/>
      <c r="R259" s="1097" t="str">
        <f>IFERROR(INDEX('[18]Gui chi Quynh'!$E$11:$E$397,MATCH(B259,'[18]Gui chi Quynh'!$B$11:$B$397,0)),"")</f>
        <v>A4</v>
      </c>
      <c r="S259" s="1097">
        <f t="shared" si="49"/>
        <v>0.5</v>
      </c>
      <c r="T259" s="1097" t="str">
        <f>VLOOKUP(B259,'[19]Gui chi Quynh'!$B$11:$E$397,4,FALSE)</f>
        <v>A DN</v>
      </c>
      <c r="U259" s="1097">
        <f t="shared" si="43"/>
        <v>0</v>
      </c>
      <c r="V259" s="1097" t="str">
        <f>VLOOKUP(B259,'[20]Gui chi Quynh'!$B$11:$E$396,4,FALSE)</f>
        <v>A4</v>
      </c>
      <c r="W259" s="1097">
        <f t="shared" si="50"/>
        <v>0.5</v>
      </c>
      <c r="X259" s="1097">
        <f>IFERROR(INDEX('[21]CN BC'!$J$10:$J$275,MATCH(B259,'[21]CN BC'!$H$10:$H$275,0)),"")</f>
        <v>21</v>
      </c>
      <c r="Y259" s="1097">
        <f>IFERROR(INDEX('[22]CN BC'!$J$10:$J$274,MATCH(B259,'[22]CN BC'!$H$10:$H$274,0)),"")</f>
        <v>0</v>
      </c>
      <c r="Z259" s="1097">
        <f>VLOOKUP(B259,'[23]CN BC'!$H$10:$J$275,3,FALSE)</f>
        <v>19</v>
      </c>
      <c r="AA259" s="1213">
        <f t="shared" si="51"/>
        <v>21</v>
      </c>
      <c r="AB259" s="1213">
        <f t="shared" si="44"/>
        <v>0</v>
      </c>
      <c r="AC259" s="1213">
        <f t="shared" si="52"/>
        <v>19</v>
      </c>
      <c r="AD259" s="1098"/>
      <c r="AE259" s="1214">
        <f t="shared" si="45"/>
        <v>8578135</v>
      </c>
      <c r="AF259" s="1400">
        <f t="shared" si="41"/>
        <v>3.6658696581196581</v>
      </c>
      <c r="AG259" s="1225">
        <v>2340000</v>
      </c>
      <c r="AH259" s="1401">
        <f t="shared" si="42"/>
        <v>8578135</v>
      </c>
      <c r="AI259" s="1099">
        <f t="shared" si="53"/>
        <v>242</v>
      </c>
      <c r="AJ259" s="1215" t="s">
        <v>2363</v>
      </c>
      <c r="AK259" s="1011" t="str">
        <f>VLOOKUP(B259,TH.T4!B261:AC591,28,FALSE)</f>
        <v>ĐL</v>
      </c>
      <c r="AN259" s="1038"/>
    </row>
    <row r="260" spans="1:46" s="1028" customFormat="1" ht="29.25" customHeight="1">
      <c r="A260" s="1014">
        <f>_xlfn.AGGREGATE(4,7,A$17:A259)+1</f>
        <v>243</v>
      </c>
      <c r="B260" s="1015" t="s">
        <v>1546</v>
      </c>
      <c r="C260" s="1033" t="s">
        <v>1812</v>
      </c>
      <c r="D260" s="1034" t="s">
        <v>473</v>
      </c>
      <c r="E260" s="81" t="str">
        <f>VLOOKUP(B260,TH.T6!B172:J502,9,FALSE)</f>
        <v>Giảng viên khoa Động lực</v>
      </c>
      <c r="F260" s="1040">
        <v>3.66</v>
      </c>
      <c r="G260" s="1019"/>
      <c r="H260" s="1247">
        <f t="shared" si="46"/>
        <v>0</v>
      </c>
      <c r="I260" s="1020"/>
      <c r="J260" s="1040">
        <v>3.66</v>
      </c>
      <c r="K260" s="1019"/>
      <c r="L260" s="1247">
        <f t="shared" si="47"/>
        <v>0</v>
      </c>
      <c r="M260" s="1020"/>
      <c r="N260" s="1040">
        <v>3.66</v>
      </c>
      <c r="O260" s="1019"/>
      <c r="P260" s="1248">
        <f t="shared" si="48"/>
        <v>0</v>
      </c>
      <c r="Q260" s="1020"/>
      <c r="R260" s="1020" t="str">
        <f>IFERROR(INDEX('[18]Gui chi Quynh'!$E$11:$E$397,MATCH(B260,'[18]Gui chi Quynh'!$B$11:$B$397,0)),"")</f>
        <v>A4</v>
      </c>
      <c r="S260" s="1020">
        <f t="shared" si="49"/>
        <v>0.5</v>
      </c>
      <c r="T260" s="1020" t="str">
        <f>VLOOKUP(B260,'[19]Gui chi Quynh'!$B$11:$E$397,4,FALSE)</f>
        <v>A DN</v>
      </c>
      <c r="U260" s="1020">
        <f t="shared" si="43"/>
        <v>0</v>
      </c>
      <c r="V260" s="1020" t="str">
        <f>VLOOKUP(B260,'[20]Gui chi Quynh'!$B$11:$E$396,4,FALSE)</f>
        <v>A4</v>
      </c>
      <c r="W260" s="1020">
        <f t="shared" si="50"/>
        <v>0.5</v>
      </c>
      <c r="X260" s="1020">
        <f>IFERROR(INDEX('[21]CN BC'!$J$10:$J$275,MATCH(B260,'[21]CN BC'!$H$10:$H$275,0)),"")</f>
        <v>21</v>
      </c>
      <c r="Y260" s="1020">
        <f>IFERROR(INDEX('[22]CN BC'!$J$10:$J$274,MATCH(B260,'[22]CN BC'!$H$10:$H$274,0)),"")</f>
        <v>0</v>
      </c>
      <c r="Z260" s="1020">
        <f>VLOOKUP(B260,'[23]CN BC'!$H$10:$J$275,3,FALSE)</f>
        <v>19</v>
      </c>
      <c r="AA260" s="1021">
        <f t="shared" si="51"/>
        <v>21</v>
      </c>
      <c r="AB260" s="1021">
        <f t="shared" si="44"/>
        <v>0</v>
      </c>
      <c r="AC260" s="1021">
        <f t="shared" si="52"/>
        <v>19</v>
      </c>
      <c r="AD260" s="1022"/>
      <c r="AE260" s="1023">
        <f t="shared" si="45"/>
        <v>8192035</v>
      </c>
      <c r="AF260" s="1371">
        <f t="shared" si="41"/>
        <v>3.5008696581196581</v>
      </c>
      <c r="AG260" s="1102">
        <v>2340000</v>
      </c>
      <c r="AH260" s="1373">
        <f t="shared" si="42"/>
        <v>8192035</v>
      </c>
      <c r="AI260" s="1024">
        <f t="shared" si="53"/>
        <v>243</v>
      </c>
      <c r="AJ260" s="1025">
        <f>IFERROR(INDEX('[17]CN BC'!$M$10:$M$276,MATCH(B260,'[17]CN BC'!$H$10:$H$276,0)),"")</f>
        <v>0</v>
      </c>
      <c r="AK260" s="1011" t="str">
        <f>VLOOKUP(B260,TH.T4!B262:AC592,28,FALSE)</f>
        <v>ĐL</v>
      </c>
      <c r="AL260" s="1046"/>
      <c r="AM260" s="1012"/>
      <c r="AN260" s="1027"/>
      <c r="AO260" s="1012"/>
      <c r="AP260" s="1012"/>
      <c r="AQ260" s="1012"/>
      <c r="AR260" s="1012"/>
      <c r="AS260" s="1012"/>
      <c r="AT260" s="1012"/>
    </row>
    <row r="261" spans="1:46" s="1028" customFormat="1" ht="29.25" customHeight="1">
      <c r="A261" s="1014">
        <f>_xlfn.AGGREGATE(4,7,A$17:A260)+1</f>
        <v>244</v>
      </c>
      <c r="B261" s="1015" t="s">
        <v>1547</v>
      </c>
      <c r="C261" s="1033" t="s">
        <v>1813</v>
      </c>
      <c r="D261" s="1104" t="s">
        <v>490</v>
      </c>
      <c r="E261" s="81" t="str">
        <f>VLOOKUP(B261,TH.T6!B173:J503,9,FALSE)</f>
        <v>Giảng viên khoa Động lực</v>
      </c>
      <c r="F261" s="1040">
        <v>3.66</v>
      </c>
      <c r="G261" s="1019"/>
      <c r="H261" s="1247">
        <f t="shared" si="46"/>
        <v>0</v>
      </c>
      <c r="I261" s="1020"/>
      <c r="J261" s="1040">
        <v>3.66</v>
      </c>
      <c r="K261" s="1019"/>
      <c r="L261" s="1247">
        <f t="shared" si="47"/>
        <v>0</v>
      </c>
      <c r="M261" s="1020"/>
      <c r="N261" s="1040">
        <v>3.66</v>
      </c>
      <c r="O261" s="1019"/>
      <c r="P261" s="1248">
        <f t="shared" si="48"/>
        <v>0</v>
      </c>
      <c r="Q261" s="1020"/>
      <c r="R261" s="1020" t="str">
        <f>IFERROR(INDEX('[18]Gui chi Quynh'!$E$11:$E$397,MATCH(B261,'[18]Gui chi Quynh'!$B$11:$B$397,0)),"")</f>
        <v>A3</v>
      </c>
      <c r="S261" s="1020">
        <f t="shared" si="49"/>
        <v>0.6</v>
      </c>
      <c r="T261" s="1020" t="str">
        <f>VLOOKUP(B261,'[19]Gui chi Quynh'!$B$11:$E$397,4,FALSE)</f>
        <v>A DN</v>
      </c>
      <c r="U261" s="1020">
        <f t="shared" si="43"/>
        <v>0</v>
      </c>
      <c r="V261" s="1020" t="str">
        <f>VLOOKUP(B261,'[20]Gui chi Quynh'!$B$11:$E$396,4,FALSE)</f>
        <v>A4</v>
      </c>
      <c r="W261" s="1020">
        <f t="shared" si="50"/>
        <v>0.5</v>
      </c>
      <c r="X261" s="1020">
        <f>IFERROR(INDEX('[21]CN BC'!$J$10:$J$275,MATCH(B261,'[21]CN BC'!$H$10:$H$275,0)),"")</f>
        <v>23</v>
      </c>
      <c r="Y261" s="1020">
        <f>IFERROR(INDEX('[22]CN BC'!$J$10:$J$274,MATCH(B261,'[22]CN BC'!$H$10:$H$274,0)),"")</f>
        <v>0</v>
      </c>
      <c r="Z261" s="1020">
        <f>VLOOKUP(B261,'[23]CN BC'!$H$10:$J$275,3,FALSE)</f>
        <v>19</v>
      </c>
      <c r="AA261" s="1021">
        <f t="shared" si="51"/>
        <v>23</v>
      </c>
      <c r="AB261" s="1021">
        <f t="shared" si="44"/>
        <v>0</v>
      </c>
      <c r="AC261" s="1021">
        <f t="shared" si="52"/>
        <v>19</v>
      </c>
      <c r="AD261" s="1022"/>
      <c r="AE261" s="1023">
        <f t="shared" si="45"/>
        <v>9420840</v>
      </c>
      <c r="AF261" s="1371">
        <f t="shared" si="41"/>
        <v>4.0259999999999998</v>
      </c>
      <c r="AG261" s="1102">
        <v>2340000</v>
      </c>
      <c r="AH261" s="1373">
        <f t="shared" si="42"/>
        <v>9420840</v>
      </c>
      <c r="AI261" s="1024">
        <f t="shared" si="53"/>
        <v>244</v>
      </c>
      <c r="AJ261" s="1025">
        <f>IFERROR(INDEX('[17]CN BC'!$M$10:$M$276,MATCH(B261,'[17]CN BC'!$H$10:$H$276,0)),"")</f>
        <v>0</v>
      </c>
      <c r="AK261" s="1011" t="str">
        <f>VLOOKUP(B261,TH.T4!B263:AC593,28,FALSE)</f>
        <v>ĐL</v>
      </c>
      <c r="AL261" s="1012"/>
      <c r="AM261" s="1012"/>
      <c r="AN261" s="1027"/>
      <c r="AO261" s="1012"/>
      <c r="AP261" s="1012"/>
      <c r="AQ261" s="1012"/>
      <c r="AR261" s="1012"/>
      <c r="AS261" s="1012"/>
      <c r="AT261" s="1012"/>
    </row>
    <row r="262" spans="1:46" s="1028" customFormat="1" ht="29.25" customHeight="1">
      <c r="A262" s="1014">
        <f>_xlfn.AGGREGATE(4,7,A$17:A261)+1</f>
        <v>245</v>
      </c>
      <c r="B262" s="1015" t="s">
        <v>1919</v>
      </c>
      <c r="C262" s="1033" t="s">
        <v>1814</v>
      </c>
      <c r="D262" s="1034" t="s">
        <v>750</v>
      </c>
      <c r="E262" s="81" t="str">
        <f>VLOOKUP(B262,TH.T6!B174:J504,9,FALSE)</f>
        <v>Giảng viên khoa Động lực</v>
      </c>
      <c r="F262" s="1040">
        <v>3.66</v>
      </c>
      <c r="G262" s="1019"/>
      <c r="H262" s="1247">
        <f t="shared" si="46"/>
        <v>0</v>
      </c>
      <c r="I262" s="1020"/>
      <c r="J262" s="1040">
        <v>3.66</v>
      </c>
      <c r="K262" s="1019"/>
      <c r="L262" s="1247">
        <f t="shared" si="47"/>
        <v>0</v>
      </c>
      <c r="M262" s="1020"/>
      <c r="N262" s="1040">
        <v>3.66</v>
      </c>
      <c r="O262" s="1019"/>
      <c r="P262" s="1248">
        <f t="shared" si="48"/>
        <v>0</v>
      </c>
      <c r="Q262" s="1020"/>
      <c r="R262" s="1020" t="str">
        <f>IFERROR(INDEX('[18]Gui chi Quynh'!$E$11:$E$397,MATCH(B262,'[18]Gui chi Quynh'!$B$11:$B$397,0)),"")</f>
        <v>A3</v>
      </c>
      <c r="S262" s="1020">
        <f t="shared" si="49"/>
        <v>0.6</v>
      </c>
      <c r="T262" s="1020" t="str">
        <f>VLOOKUP(B262,'[19]Gui chi Quynh'!$B$11:$E$397,4,FALSE)</f>
        <v>A DN</v>
      </c>
      <c r="U262" s="1020">
        <f t="shared" si="43"/>
        <v>0</v>
      </c>
      <c r="V262" s="1020" t="str">
        <f>VLOOKUP(B262,'[20]Gui chi Quynh'!$B$11:$E$396,4,FALSE)</f>
        <v>A4</v>
      </c>
      <c r="W262" s="1020">
        <f t="shared" si="50"/>
        <v>0.5</v>
      </c>
      <c r="X262" s="1020">
        <f>IFERROR(INDEX('[21]CN BC'!$J$10:$J$275,MATCH(B262,'[21]CN BC'!$H$10:$H$275,0)),"")</f>
        <v>23</v>
      </c>
      <c r="Y262" s="1020">
        <f>IFERROR(INDEX('[22]CN BC'!$J$10:$J$274,MATCH(B262,'[22]CN BC'!$H$10:$H$274,0)),"")</f>
        <v>0</v>
      </c>
      <c r="Z262" s="1020">
        <f>VLOOKUP(B262,'[23]CN BC'!$H$10:$J$275,3,FALSE)</f>
        <v>19</v>
      </c>
      <c r="AA262" s="1021">
        <f t="shared" si="51"/>
        <v>23</v>
      </c>
      <c r="AB262" s="1021">
        <f t="shared" si="44"/>
        <v>0</v>
      </c>
      <c r="AC262" s="1021">
        <f t="shared" si="52"/>
        <v>19</v>
      </c>
      <c r="AD262" s="1022"/>
      <c r="AE262" s="1023">
        <f t="shared" si="45"/>
        <v>9420840</v>
      </c>
      <c r="AF262" s="1371">
        <f t="shared" si="41"/>
        <v>4.0259999999999998</v>
      </c>
      <c r="AG262" s="1102">
        <v>2340000</v>
      </c>
      <c r="AH262" s="1373">
        <f t="shared" si="42"/>
        <v>9420840</v>
      </c>
      <c r="AI262" s="1024">
        <f t="shared" si="53"/>
        <v>245</v>
      </c>
      <c r="AJ262" s="1025">
        <f>IFERROR(INDEX('[17]CN BC'!$M$10:$M$276,MATCH(B262,'[17]CN BC'!$H$10:$H$276,0)),"")</f>
        <v>0</v>
      </c>
      <c r="AK262" s="1011" t="str">
        <f>VLOOKUP(B262,TH.T4!B264:AC594,28,FALSE)</f>
        <v>ĐL</v>
      </c>
      <c r="AL262" s="1012"/>
      <c r="AM262" s="1012"/>
      <c r="AN262" s="1027"/>
      <c r="AO262" s="1012"/>
      <c r="AP262" s="1012"/>
      <c r="AQ262" s="1012"/>
      <c r="AR262" s="1012"/>
      <c r="AS262" s="1012"/>
      <c r="AT262" s="1012"/>
    </row>
    <row r="263" spans="1:46" s="1028" customFormat="1" ht="29.25" customHeight="1">
      <c r="A263" s="1014">
        <f>_xlfn.AGGREGATE(4,7,A$17:A262)+1</f>
        <v>246</v>
      </c>
      <c r="B263" s="1015" t="s">
        <v>1548</v>
      </c>
      <c r="C263" s="1033" t="s">
        <v>1815</v>
      </c>
      <c r="D263" s="1034" t="s">
        <v>752</v>
      </c>
      <c r="E263" s="81" t="str">
        <f>VLOOKUP(B263,TH.T6!B175:J505,9,FALSE)</f>
        <v>Giảng viên khoa Động lực</v>
      </c>
      <c r="F263" s="1040">
        <v>3.66</v>
      </c>
      <c r="G263" s="1019"/>
      <c r="H263" s="1247">
        <f t="shared" si="46"/>
        <v>0</v>
      </c>
      <c r="I263" s="1020"/>
      <c r="J263" s="1040">
        <v>3.66</v>
      </c>
      <c r="K263" s="1019"/>
      <c r="L263" s="1247">
        <f t="shared" si="47"/>
        <v>0</v>
      </c>
      <c r="M263" s="1020"/>
      <c r="N263" s="1040">
        <v>3.66</v>
      </c>
      <c r="O263" s="1019"/>
      <c r="P263" s="1248">
        <f t="shared" si="48"/>
        <v>0</v>
      </c>
      <c r="Q263" s="1020"/>
      <c r="R263" s="1020" t="str">
        <f>IFERROR(INDEX('[18]Gui chi Quynh'!$E$11:$E$397,MATCH(B263,'[18]Gui chi Quynh'!$B$11:$B$397,0)),"")</f>
        <v>A4</v>
      </c>
      <c r="S263" s="1020">
        <f t="shared" si="49"/>
        <v>0.5</v>
      </c>
      <c r="T263" s="1020" t="str">
        <f>VLOOKUP(B263,'[19]Gui chi Quynh'!$B$11:$E$397,4,FALSE)</f>
        <v>A DN</v>
      </c>
      <c r="U263" s="1020">
        <f t="shared" si="43"/>
        <v>0</v>
      </c>
      <c r="V263" s="1020" t="str">
        <f>VLOOKUP(B263,'[20]Gui chi Quynh'!$B$11:$E$396,4,FALSE)</f>
        <v>A4</v>
      </c>
      <c r="W263" s="1020">
        <f t="shared" si="50"/>
        <v>0.5</v>
      </c>
      <c r="X263" s="1020">
        <f>IFERROR(INDEX('[21]CN BC'!$J$10:$J$275,MATCH(B263,'[21]CN BC'!$H$10:$H$275,0)),"")</f>
        <v>23</v>
      </c>
      <c r="Y263" s="1020">
        <f>IFERROR(INDEX('[22]CN BC'!$J$10:$J$274,MATCH(B263,'[22]CN BC'!$H$10:$H$274,0)),"")</f>
        <v>0</v>
      </c>
      <c r="Z263" s="1020">
        <f>VLOOKUP(B263,'[23]CN BC'!$H$10:$J$275,3,FALSE)</f>
        <v>19</v>
      </c>
      <c r="AA263" s="1021">
        <f t="shared" si="51"/>
        <v>23</v>
      </c>
      <c r="AB263" s="1021">
        <f t="shared" si="44"/>
        <v>0</v>
      </c>
      <c r="AC263" s="1021">
        <f t="shared" si="52"/>
        <v>19</v>
      </c>
      <c r="AD263" s="1022"/>
      <c r="AE263" s="1023">
        <f t="shared" si="45"/>
        <v>8564400</v>
      </c>
      <c r="AF263" s="1371">
        <f t="shared" si="41"/>
        <v>3.66</v>
      </c>
      <c r="AG263" s="1102">
        <v>2340000</v>
      </c>
      <c r="AH263" s="1373">
        <f t="shared" si="42"/>
        <v>8564400</v>
      </c>
      <c r="AI263" s="1024">
        <f t="shared" si="53"/>
        <v>246</v>
      </c>
      <c r="AJ263" s="1025">
        <f>IFERROR(INDEX('[17]CN BC'!$M$10:$M$276,MATCH(B263,'[17]CN BC'!$H$10:$H$276,0)),"")</f>
        <v>0</v>
      </c>
      <c r="AK263" s="1011" t="str">
        <f>VLOOKUP(B263,TH.T4!B265:AC595,28,FALSE)</f>
        <v>ĐL</v>
      </c>
      <c r="AN263" s="1038"/>
    </row>
    <row r="264" spans="1:46" s="1028" customFormat="1" ht="29.25" customHeight="1">
      <c r="A264" s="1014">
        <f>_xlfn.AGGREGATE(4,7,A$17:A263)+1</f>
        <v>247</v>
      </c>
      <c r="B264" s="1093" t="s">
        <v>1549</v>
      </c>
      <c r="C264" s="1094" t="s">
        <v>1816</v>
      </c>
      <c r="D264" s="1221" t="s">
        <v>1429</v>
      </c>
      <c r="E264" s="554" t="str">
        <f>VLOOKUP(B264,TH.T6!B176:J506,9,FALSE)</f>
        <v>Giảng viên khoa Động lực</v>
      </c>
      <c r="F264" s="1228">
        <v>3.33</v>
      </c>
      <c r="G264" s="1096"/>
      <c r="H264" s="1249">
        <f t="shared" si="46"/>
        <v>0</v>
      </c>
      <c r="I264" s="1097">
        <v>0.25</v>
      </c>
      <c r="J264" s="1228">
        <v>3.33</v>
      </c>
      <c r="K264" s="1096"/>
      <c r="L264" s="1249">
        <f t="shared" si="47"/>
        <v>0</v>
      </c>
      <c r="M264" s="1097">
        <v>0.25</v>
      </c>
      <c r="N264" s="1228">
        <v>3.66</v>
      </c>
      <c r="O264" s="1096"/>
      <c r="P264" s="1250">
        <f t="shared" si="48"/>
        <v>0</v>
      </c>
      <c r="Q264" s="1097">
        <v>0.25</v>
      </c>
      <c r="R264" s="1097" t="str">
        <f>IFERROR(INDEX('[18]Gui chi Quynh'!$E$11:$E$397,MATCH(B264,'[18]Gui chi Quynh'!$B$11:$B$397,0)),"")</f>
        <v>A4</v>
      </c>
      <c r="S264" s="1097">
        <f t="shared" si="49"/>
        <v>0.5</v>
      </c>
      <c r="T264" s="1097" t="str">
        <f>VLOOKUP(B264,'[19]Gui chi Quynh'!$B$11:$E$397,4,FALSE)</f>
        <v>A DN</v>
      </c>
      <c r="U264" s="1097">
        <f t="shared" si="43"/>
        <v>0</v>
      </c>
      <c r="V264" s="1097" t="str">
        <f>VLOOKUP(B264,'[20]Gui chi Quynh'!$B$11:$E$396,4,FALSE)</f>
        <v>A4</v>
      </c>
      <c r="W264" s="1097">
        <f t="shared" si="50"/>
        <v>0.5</v>
      </c>
      <c r="X264" s="1097">
        <f>IFERROR(INDEX('[21]CN BC'!$J$10:$J$275,MATCH(B264,'[21]CN BC'!$H$10:$H$275,0)),"")</f>
        <v>23</v>
      </c>
      <c r="Y264" s="1097">
        <f>IFERROR(INDEX('[22]CN BC'!$J$10:$J$274,MATCH(B264,'[22]CN BC'!$H$10:$H$274,0)),"")</f>
        <v>0</v>
      </c>
      <c r="Z264" s="1097">
        <f>VLOOKUP(B264,'[23]CN BC'!$H$10:$J$275,3,FALSE)</f>
        <v>19</v>
      </c>
      <c r="AA264" s="1213">
        <f t="shared" si="51"/>
        <v>23</v>
      </c>
      <c r="AB264" s="1213">
        <f t="shared" si="44"/>
        <v>0</v>
      </c>
      <c r="AC264" s="1213">
        <f t="shared" si="52"/>
        <v>19</v>
      </c>
      <c r="AD264" s="1098"/>
      <c r="AE264" s="1214">
        <f t="shared" si="45"/>
        <v>8763300</v>
      </c>
      <c r="AF264" s="1400">
        <f t="shared" si="41"/>
        <v>3.7450000000000001</v>
      </c>
      <c r="AG264" s="1225">
        <v>2340000</v>
      </c>
      <c r="AH264" s="1401">
        <f t="shared" si="42"/>
        <v>8763300</v>
      </c>
      <c r="AI264" s="1099">
        <f t="shared" si="53"/>
        <v>247</v>
      </c>
      <c r="AJ264" s="1215" t="s">
        <v>2363</v>
      </c>
      <c r="AK264" s="1011" t="str">
        <f>VLOOKUP(B264,TH.T4!B266:AC596,28,FALSE)</f>
        <v>ĐL</v>
      </c>
      <c r="AL264" s="1012"/>
      <c r="AM264" s="1012"/>
      <c r="AN264" s="1027"/>
      <c r="AO264" s="1012"/>
      <c r="AP264" s="1012"/>
      <c r="AQ264" s="1012"/>
      <c r="AR264" s="1012"/>
      <c r="AS264" s="1012"/>
      <c r="AT264" s="1012"/>
    </row>
    <row r="265" spans="1:46" s="1028" customFormat="1" ht="29.25" customHeight="1">
      <c r="A265" s="1014">
        <f>_xlfn.AGGREGATE(4,7,A$17:A264)+1</f>
        <v>248</v>
      </c>
      <c r="B265" s="1093" t="s">
        <v>1550</v>
      </c>
      <c r="C265" s="1094" t="s">
        <v>1817</v>
      </c>
      <c r="D265" s="1221" t="s">
        <v>1430</v>
      </c>
      <c r="E265" s="554" t="str">
        <f>VLOOKUP(B265,TH.T6!B177:J507,9,FALSE)</f>
        <v>Giảng viên khoa Động lực</v>
      </c>
      <c r="F265" s="1228">
        <v>3.33</v>
      </c>
      <c r="G265" s="1096"/>
      <c r="H265" s="1249">
        <f t="shared" si="46"/>
        <v>0</v>
      </c>
      <c r="I265" s="1097"/>
      <c r="J265" s="1228">
        <v>3.33</v>
      </c>
      <c r="K265" s="1096"/>
      <c r="L265" s="1249">
        <f t="shared" si="47"/>
        <v>0</v>
      </c>
      <c r="M265" s="1097"/>
      <c r="N265" s="1228">
        <v>3.66</v>
      </c>
      <c r="O265" s="1096"/>
      <c r="P265" s="1250">
        <f t="shared" si="48"/>
        <v>0</v>
      </c>
      <c r="Q265" s="1097"/>
      <c r="R265" s="1097" t="str">
        <f>IFERROR(INDEX('[18]Gui chi Quynh'!$E$11:$E$397,MATCH(B265,'[18]Gui chi Quynh'!$B$11:$B$397,0)),"")</f>
        <v>A4</v>
      </c>
      <c r="S265" s="1097">
        <f t="shared" si="49"/>
        <v>0.5</v>
      </c>
      <c r="T265" s="1097" t="str">
        <f>VLOOKUP(B265,'[19]Gui chi Quynh'!$B$11:$E$397,4,FALSE)</f>
        <v>A DN</v>
      </c>
      <c r="U265" s="1097">
        <f t="shared" si="43"/>
        <v>0</v>
      </c>
      <c r="V265" s="1097" t="str">
        <f>VLOOKUP(B265,'[20]Gui chi Quynh'!$B$11:$E$396,4,FALSE)</f>
        <v>A2</v>
      </c>
      <c r="W265" s="1097">
        <f t="shared" si="50"/>
        <v>0.7</v>
      </c>
      <c r="X265" s="1097">
        <f>IFERROR(INDEX('[21]CN BC'!$J$10:$J$275,MATCH(B265,'[21]CN BC'!$H$10:$H$275,0)),"")</f>
        <v>23</v>
      </c>
      <c r="Y265" s="1097">
        <f>IFERROR(INDEX('[22]CN BC'!$J$10:$J$274,MATCH(B265,'[22]CN BC'!$H$10:$H$274,0)),"")</f>
        <v>0</v>
      </c>
      <c r="Z265" s="1097">
        <f>VLOOKUP(B265,'[23]CN BC'!$H$10:$J$275,3,FALSE)</f>
        <v>19</v>
      </c>
      <c r="AA265" s="1213">
        <f t="shared" si="51"/>
        <v>23</v>
      </c>
      <c r="AB265" s="1213">
        <f t="shared" si="44"/>
        <v>0</v>
      </c>
      <c r="AC265" s="1213">
        <f t="shared" si="52"/>
        <v>19</v>
      </c>
      <c r="AD265" s="1098"/>
      <c r="AE265" s="1214">
        <f t="shared" si="45"/>
        <v>9891180</v>
      </c>
      <c r="AF265" s="1400">
        <f t="shared" si="41"/>
        <v>4.2270000000000003</v>
      </c>
      <c r="AG265" s="1225">
        <v>2340000</v>
      </c>
      <c r="AH265" s="1401">
        <f t="shared" si="42"/>
        <v>9891180</v>
      </c>
      <c r="AI265" s="1099">
        <f t="shared" si="53"/>
        <v>248</v>
      </c>
      <c r="AJ265" s="1215" t="s">
        <v>2363</v>
      </c>
      <c r="AK265" s="1011" t="str">
        <f>VLOOKUP(B265,TH.T4!B267:AC597,28,FALSE)</f>
        <v>ĐL</v>
      </c>
      <c r="AL265" s="1046"/>
      <c r="AM265" s="1012"/>
      <c r="AN265" s="1027"/>
      <c r="AO265" s="1012"/>
      <c r="AP265" s="1012"/>
      <c r="AQ265" s="1012"/>
      <c r="AR265" s="1012"/>
      <c r="AS265" s="1012"/>
      <c r="AT265" s="1012"/>
    </row>
    <row r="266" spans="1:46" s="1028" customFormat="1" ht="29.25" customHeight="1">
      <c r="A266" s="1014">
        <f>_xlfn.AGGREGATE(4,7,A$17:A265)+1</f>
        <v>249</v>
      </c>
      <c r="B266" s="1015" t="s">
        <v>1836</v>
      </c>
      <c r="C266" s="1033" t="s">
        <v>1976</v>
      </c>
      <c r="D266" s="1076" t="s">
        <v>1977</v>
      </c>
      <c r="E266" s="81" t="str">
        <f>VLOOKUP(B266,TH.T6!B178:J508,9,FALSE)</f>
        <v>Giảng viên khoa Động lực</v>
      </c>
      <c r="F266" s="1104">
        <v>2.67</v>
      </c>
      <c r="G266" s="1019"/>
      <c r="H266" s="1247">
        <f t="shared" si="46"/>
        <v>0</v>
      </c>
      <c r="I266" s="1020"/>
      <c r="J266" s="1104">
        <v>2.67</v>
      </c>
      <c r="K266" s="1019"/>
      <c r="L266" s="1247">
        <f t="shared" si="47"/>
        <v>0</v>
      </c>
      <c r="M266" s="1020"/>
      <c r="N266" s="1104">
        <v>2.67</v>
      </c>
      <c r="O266" s="1019"/>
      <c r="P266" s="1248">
        <f t="shared" si="48"/>
        <v>0</v>
      </c>
      <c r="Q266" s="1020"/>
      <c r="R266" s="1020" t="str">
        <f>IFERROR(INDEX('[18]Gui chi Quynh'!$E$11:$E$397,MATCH(B266,'[18]Gui chi Quynh'!$B$11:$B$397,0)),"")</f>
        <v>A4</v>
      </c>
      <c r="S266" s="1020">
        <f t="shared" si="49"/>
        <v>0.5</v>
      </c>
      <c r="T266" s="1020" t="str">
        <f>VLOOKUP(B266,'[19]Gui chi Quynh'!$B$11:$E$397,4,FALSE)</f>
        <v>A DN</v>
      </c>
      <c r="U266" s="1020">
        <f t="shared" si="43"/>
        <v>0</v>
      </c>
      <c r="V266" s="1020" t="str">
        <f>VLOOKUP(B266,'[20]Gui chi Quynh'!$B$11:$E$396,4,FALSE)</f>
        <v>A4</v>
      </c>
      <c r="W266" s="1020">
        <f t="shared" si="50"/>
        <v>0.5</v>
      </c>
      <c r="X266" s="1020">
        <f>IFERROR(INDEX('[21]CN BC'!$J$10:$J$275,MATCH(B266,'[21]CN BC'!$H$10:$H$275,0)),"")</f>
        <v>23</v>
      </c>
      <c r="Y266" s="1020">
        <f>IFERROR(INDEX('[22]CN BC'!$J$10:$J$274,MATCH(B266,'[22]CN BC'!$H$10:$H$274,0)),"")</f>
        <v>0</v>
      </c>
      <c r="Z266" s="1020">
        <f>VLOOKUP(B266,'[23]CN BC'!$H$10:$J$275,3,FALSE)</f>
        <v>19</v>
      </c>
      <c r="AA266" s="1021">
        <f t="shared" si="51"/>
        <v>23</v>
      </c>
      <c r="AB266" s="1021">
        <f t="shared" si="44"/>
        <v>0</v>
      </c>
      <c r="AC266" s="1021">
        <f t="shared" si="52"/>
        <v>19</v>
      </c>
      <c r="AD266" s="1022"/>
      <c r="AE266" s="1023">
        <f t="shared" si="45"/>
        <v>6247800</v>
      </c>
      <c r="AF266" s="1371">
        <f t="shared" si="41"/>
        <v>2.67</v>
      </c>
      <c r="AG266" s="1102">
        <v>2340000</v>
      </c>
      <c r="AH266" s="1373">
        <f t="shared" si="42"/>
        <v>6247800</v>
      </c>
      <c r="AI266" s="1024">
        <f t="shared" si="53"/>
        <v>249</v>
      </c>
      <c r="AJ266" s="1025">
        <f>IFERROR(INDEX('[17]CN BC'!$M$10:$M$276,MATCH(B266,'[17]CN BC'!$H$10:$H$276,0)),"")</f>
        <v>0</v>
      </c>
      <c r="AK266" s="1011" t="str">
        <f>VLOOKUP(B266,TH.T4!B268:AC598,28,FALSE)</f>
        <v>ĐL</v>
      </c>
      <c r="AL266" s="1046"/>
      <c r="AM266" s="1012"/>
      <c r="AN266" s="1027"/>
      <c r="AO266" s="1012"/>
      <c r="AP266" s="1012"/>
      <c r="AQ266" s="1012"/>
      <c r="AR266" s="1012"/>
      <c r="AS266" s="1012"/>
      <c r="AT266" s="1012"/>
    </row>
    <row r="267" spans="1:46" s="1028" customFormat="1" ht="29.25" customHeight="1">
      <c r="A267" s="1014">
        <f>_xlfn.AGGREGATE(4,7,A$17:A266)+1</f>
        <v>250</v>
      </c>
      <c r="B267" s="1015" t="s">
        <v>1837</v>
      </c>
      <c r="C267" s="1033" t="s">
        <v>1978</v>
      </c>
      <c r="D267" s="1076" t="s">
        <v>1979</v>
      </c>
      <c r="E267" s="81" t="str">
        <f>VLOOKUP(B267,TH.T6!B179:J509,9,FALSE)</f>
        <v>Giảng viên khoa Động lực</v>
      </c>
      <c r="F267" s="1104">
        <v>2.67</v>
      </c>
      <c r="G267" s="1019"/>
      <c r="H267" s="1247">
        <f t="shared" si="46"/>
        <v>0</v>
      </c>
      <c r="I267" s="1020"/>
      <c r="J267" s="1104">
        <v>2.67</v>
      </c>
      <c r="K267" s="1019"/>
      <c r="L267" s="1247">
        <f t="shared" si="47"/>
        <v>0</v>
      </c>
      <c r="M267" s="1020"/>
      <c r="N267" s="1104">
        <v>2.67</v>
      </c>
      <c r="O267" s="1019"/>
      <c r="P267" s="1248">
        <f t="shared" si="48"/>
        <v>0</v>
      </c>
      <c r="Q267" s="1020"/>
      <c r="R267" s="1020" t="str">
        <f>IFERROR(INDEX('[18]Gui chi Quynh'!$E$11:$E$397,MATCH(B267,'[18]Gui chi Quynh'!$B$11:$B$397,0)),"")</f>
        <v>A4</v>
      </c>
      <c r="S267" s="1020">
        <f t="shared" si="49"/>
        <v>0.5</v>
      </c>
      <c r="T267" s="1020" t="str">
        <f>VLOOKUP(B267,'[19]Gui chi Quynh'!$B$11:$E$397,4,FALSE)</f>
        <v>A DN</v>
      </c>
      <c r="U267" s="1020">
        <f t="shared" si="43"/>
        <v>0</v>
      </c>
      <c r="V267" s="1020" t="str">
        <f>VLOOKUP(B267,'[20]Gui chi Quynh'!$B$11:$E$396,4,FALSE)</f>
        <v>A3</v>
      </c>
      <c r="W267" s="1020">
        <f t="shared" si="50"/>
        <v>0.6</v>
      </c>
      <c r="X267" s="1020">
        <f>IFERROR(INDEX('[21]CN BC'!$J$10:$J$275,MATCH(B267,'[21]CN BC'!$H$10:$H$275,0)),"")</f>
        <v>21</v>
      </c>
      <c r="Y267" s="1020">
        <f>IFERROR(INDEX('[22]CN BC'!$J$10:$J$274,MATCH(B267,'[22]CN BC'!$H$10:$H$274,0)),"")</f>
        <v>0</v>
      </c>
      <c r="Z267" s="1020">
        <f>VLOOKUP(B267,'[23]CN BC'!$H$10:$J$275,3,FALSE)</f>
        <v>19</v>
      </c>
      <c r="AA267" s="1021">
        <f t="shared" si="51"/>
        <v>21</v>
      </c>
      <c r="AB267" s="1021">
        <f t="shared" si="44"/>
        <v>0</v>
      </c>
      <c r="AC267" s="1021">
        <f t="shared" si="52"/>
        <v>19</v>
      </c>
      <c r="AD267" s="1022"/>
      <c r="AE267" s="1023">
        <f t="shared" si="45"/>
        <v>6600937</v>
      </c>
      <c r="AF267" s="1371">
        <f t="shared" si="41"/>
        <v>2.8209132478632477</v>
      </c>
      <c r="AG267" s="1102">
        <v>2340000</v>
      </c>
      <c r="AH267" s="1373">
        <f t="shared" si="42"/>
        <v>6600937</v>
      </c>
      <c r="AI267" s="1024">
        <f t="shared" si="53"/>
        <v>250</v>
      </c>
      <c r="AJ267" s="1025">
        <f>IFERROR(INDEX('[17]CN BC'!$M$10:$M$276,MATCH(B267,'[17]CN BC'!$H$10:$H$276,0)),"")</f>
        <v>0</v>
      </c>
      <c r="AK267" s="1011" t="str">
        <f>VLOOKUP(B267,TH.T4!B269:AC599,28,FALSE)</f>
        <v>ĐL</v>
      </c>
      <c r="AL267" s="1046"/>
      <c r="AM267" s="1012"/>
      <c r="AN267" s="1027"/>
      <c r="AO267" s="1012"/>
      <c r="AP267" s="1012"/>
      <c r="AQ267" s="1012"/>
      <c r="AR267" s="1012"/>
      <c r="AS267" s="1012"/>
      <c r="AT267" s="1012"/>
    </row>
    <row r="268" spans="1:46" s="1028" customFormat="1" ht="29.25" customHeight="1">
      <c r="A268" s="1014">
        <f>_xlfn.AGGREGATE(4,7,A$17:A267)+1</f>
        <v>251</v>
      </c>
      <c r="B268" s="1101" t="s">
        <v>1839</v>
      </c>
      <c r="C268" s="1033" t="s">
        <v>1980</v>
      </c>
      <c r="D268" s="1076" t="s">
        <v>1981</v>
      </c>
      <c r="E268" s="81" t="str">
        <f>VLOOKUP(B268,TH.T6!B180:J510,9,FALSE)</f>
        <v>Giảng viên khoa Động lực</v>
      </c>
      <c r="F268" s="1109">
        <v>3</v>
      </c>
      <c r="G268" s="1019"/>
      <c r="H268" s="1247">
        <f t="shared" si="46"/>
        <v>0</v>
      </c>
      <c r="I268" s="1020"/>
      <c r="J268" s="1109">
        <v>3</v>
      </c>
      <c r="K268" s="1019"/>
      <c r="L268" s="1247">
        <f t="shared" si="47"/>
        <v>0</v>
      </c>
      <c r="M268" s="1020"/>
      <c r="N268" s="1109">
        <v>3</v>
      </c>
      <c r="O268" s="1019"/>
      <c r="P268" s="1248">
        <f t="shared" si="48"/>
        <v>0</v>
      </c>
      <c r="Q268" s="1020"/>
      <c r="R268" s="1020" t="str">
        <f>IFERROR(INDEX('[18]Gui chi Quynh'!$E$11:$E$397,MATCH(B268,'[18]Gui chi Quynh'!$B$11:$B$397,0)),"")</f>
        <v>A4</v>
      </c>
      <c r="S268" s="1020">
        <f t="shared" si="49"/>
        <v>0.5</v>
      </c>
      <c r="T268" s="1020" t="str">
        <f>VLOOKUP(B268,'[19]Gui chi Quynh'!$B$11:$E$397,4,FALSE)</f>
        <v>A DN</v>
      </c>
      <c r="U268" s="1020">
        <f t="shared" si="43"/>
        <v>0</v>
      </c>
      <c r="V268" s="1020" t="str">
        <f>VLOOKUP(B268,'[20]Gui chi Quynh'!$B$11:$E$396,4,FALSE)</f>
        <v>A4</v>
      </c>
      <c r="W268" s="1020">
        <f t="shared" si="50"/>
        <v>0.5</v>
      </c>
      <c r="X268" s="1020">
        <f>IFERROR(INDEX('[21]CN BC'!$J$10:$J$275,MATCH(B268,'[21]CN BC'!$H$10:$H$275,0)),"")</f>
        <v>23</v>
      </c>
      <c r="Y268" s="1020">
        <f>IFERROR(INDEX('[22]CN BC'!$J$10:$J$274,MATCH(B268,'[22]CN BC'!$H$10:$H$274,0)),"")</f>
        <v>0</v>
      </c>
      <c r="Z268" s="1020">
        <f>VLOOKUP(B268,'[23]CN BC'!$H$10:$J$275,3,FALSE)</f>
        <v>19</v>
      </c>
      <c r="AA268" s="1021">
        <f t="shared" si="51"/>
        <v>23</v>
      </c>
      <c r="AB268" s="1021">
        <f t="shared" si="44"/>
        <v>0</v>
      </c>
      <c r="AC268" s="1021">
        <f t="shared" si="52"/>
        <v>19</v>
      </c>
      <c r="AD268" s="1022"/>
      <c r="AE268" s="1023">
        <f t="shared" si="45"/>
        <v>7020000</v>
      </c>
      <c r="AF268" s="1371">
        <f t="shared" si="41"/>
        <v>3</v>
      </c>
      <c r="AG268" s="1102">
        <v>2340000</v>
      </c>
      <c r="AH268" s="1373">
        <f t="shared" si="42"/>
        <v>7020000</v>
      </c>
      <c r="AI268" s="1024">
        <f t="shared" si="53"/>
        <v>251</v>
      </c>
      <c r="AJ268" s="1025">
        <f>IFERROR(INDEX('[17]CN BC'!$M$10:$M$276,MATCH(B268,'[17]CN BC'!$H$10:$H$276,0)),"")</f>
        <v>0</v>
      </c>
      <c r="AK268" s="1011" t="str">
        <f>VLOOKUP(B268,TH.T4!B270:AC600,28,FALSE)</f>
        <v>ĐL</v>
      </c>
      <c r="AL268" s="1046"/>
      <c r="AM268" s="1012"/>
      <c r="AN268" s="1027"/>
      <c r="AO268" s="1012"/>
      <c r="AP268" s="1012"/>
      <c r="AQ268" s="1012"/>
      <c r="AR268" s="1012"/>
      <c r="AS268" s="1012"/>
      <c r="AT268" s="1012"/>
    </row>
    <row r="269" spans="1:46" s="1028" customFormat="1" ht="29.25" customHeight="1">
      <c r="A269" s="1014">
        <f>_xlfn.AGGREGATE(4,7,A$17:A268)+1</f>
        <v>252</v>
      </c>
      <c r="B269" s="1101" t="s">
        <v>1844</v>
      </c>
      <c r="C269" s="1033" t="s">
        <v>1982</v>
      </c>
      <c r="D269" s="1076" t="s">
        <v>1983</v>
      </c>
      <c r="E269" s="81" t="str">
        <f>VLOOKUP(B269,TH.T6!B181:J511,9,FALSE)</f>
        <v>Giảng viên khoa Động lực</v>
      </c>
      <c r="F269" s="1109">
        <v>3.66</v>
      </c>
      <c r="G269" s="1019"/>
      <c r="H269" s="1247">
        <f t="shared" si="46"/>
        <v>0</v>
      </c>
      <c r="I269" s="1020"/>
      <c r="J269" s="1109">
        <v>3.66</v>
      </c>
      <c r="K269" s="1019"/>
      <c r="L269" s="1247">
        <f t="shared" si="47"/>
        <v>0</v>
      </c>
      <c r="M269" s="1020"/>
      <c r="N269" s="1109">
        <v>3.66</v>
      </c>
      <c r="O269" s="1019"/>
      <c r="P269" s="1248">
        <f t="shared" si="48"/>
        <v>0</v>
      </c>
      <c r="Q269" s="1020"/>
      <c r="R269" s="1020" t="str">
        <f>IFERROR(INDEX('[18]Gui chi Quynh'!$E$11:$E$397,MATCH(B269,'[18]Gui chi Quynh'!$B$11:$B$397,0)),"")</f>
        <v>A3</v>
      </c>
      <c r="S269" s="1020">
        <f t="shared" si="49"/>
        <v>0.6</v>
      </c>
      <c r="T269" s="1020" t="str">
        <f>VLOOKUP(B269,'[19]Gui chi Quynh'!$B$11:$E$397,4,FALSE)</f>
        <v>A DN</v>
      </c>
      <c r="U269" s="1020">
        <f t="shared" si="43"/>
        <v>0</v>
      </c>
      <c r="V269" s="1020" t="str">
        <f>VLOOKUP(B269,'[20]Gui chi Quynh'!$B$11:$E$396,4,FALSE)</f>
        <v>A3</v>
      </c>
      <c r="W269" s="1020">
        <f t="shared" si="50"/>
        <v>0.6</v>
      </c>
      <c r="X269" s="1020">
        <f>IFERROR(INDEX('[21]CN BC'!$J$10:$J$275,MATCH(B269,'[21]CN BC'!$H$10:$H$275,0)),"")</f>
        <v>21</v>
      </c>
      <c r="Y269" s="1020">
        <f>IFERROR(INDEX('[22]CN BC'!$J$10:$J$274,MATCH(B269,'[22]CN BC'!$H$10:$H$274,0)),"")</f>
        <v>0</v>
      </c>
      <c r="Z269" s="1020">
        <f>VLOOKUP(B269,'[23]CN BC'!$H$10:$J$275,3,FALSE)</f>
        <v>19</v>
      </c>
      <c r="AA269" s="1021">
        <f t="shared" si="51"/>
        <v>21</v>
      </c>
      <c r="AB269" s="1021">
        <f t="shared" si="44"/>
        <v>0</v>
      </c>
      <c r="AC269" s="1021">
        <f t="shared" si="52"/>
        <v>19</v>
      </c>
      <c r="AD269" s="1022"/>
      <c r="AE269" s="1023">
        <f t="shared" si="45"/>
        <v>9830442</v>
      </c>
      <c r="AF269" s="1371">
        <f t="shared" si="41"/>
        <v>4.2010435897435894</v>
      </c>
      <c r="AG269" s="1102">
        <v>2340000</v>
      </c>
      <c r="AH269" s="1373">
        <f t="shared" si="42"/>
        <v>9830442</v>
      </c>
      <c r="AI269" s="1024">
        <f t="shared" si="53"/>
        <v>252</v>
      </c>
      <c r="AJ269" s="1025">
        <f>IFERROR(INDEX('[17]CN BC'!$M$10:$M$276,MATCH(B269,'[17]CN BC'!$H$10:$H$276,0)),"")</f>
        <v>0</v>
      </c>
      <c r="AK269" s="1011" t="str">
        <f>VLOOKUP(B269,TH.T4!B271:AC601,28,FALSE)</f>
        <v>ĐL</v>
      </c>
      <c r="AL269" s="1046"/>
      <c r="AM269" s="1012"/>
      <c r="AN269" s="1027"/>
      <c r="AO269" s="1012"/>
      <c r="AP269" s="1012"/>
      <c r="AQ269" s="1012"/>
      <c r="AR269" s="1012"/>
      <c r="AS269" s="1012"/>
      <c r="AT269" s="1012"/>
    </row>
    <row r="270" spans="1:46" s="1028" customFormat="1" ht="29.25" customHeight="1">
      <c r="A270" s="1014">
        <f>_xlfn.AGGREGATE(4,7,A$17:A269)+1</f>
        <v>253</v>
      </c>
      <c r="B270" s="1101" t="s">
        <v>1926</v>
      </c>
      <c r="C270" s="1033" t="s">
        <v>1984</v>
      </c>
      <c r="D270" s="1108" t="s">
        <v>1985</v>
      </c>
      <c r="E270" s="81" t="str">
        <f>VLOOKUP(B270,TH.T6!B182:J512,9,FALSE)</f>
        <v>Giảng viên khoa Động lực</v>
      </c>
      <c r="F270" s="1110">
        <v>2.67</v>
      </c>
      <c r="G270" s="1019"/>
      <c r="H270" s="1247">
        <f t="shared" si="46"/>
        <v>0</v>
      </c>
      <c r="I270" s="1020"/>
      <c r="J270" s="1110">
        <v>2.67</v>
      </c>
      <c r="K270" s="1019"/>
      <c r="L270" s="1247">
        <f t="shared" si="47"/>
        <v>0</v>
      </c>
      <c r="M270" s="1020"/>
      <c r="N270" s="1110">
        <v>2.67</v>
      </c>
      <c r="O270" s="1019"/>
      <c r="P270" s="1248">
        <f t="shared" si="48"/>
        <v>0</v>
      </c>
      <c r="Q270" s="1020"/>
      <c r="R270" s="1020" t="str">
        <f>IFERROR(INDEX('[18]Gui chi Quynh'!$E$11:$E$397,MATCH(B270,'[18]Gui chi Quynh'!$B$11:$B$397,0)),"")</f>
        <v>A3</v>
      </c>
      <c r="S270" s="1020">
        <f t="shared" si="49"/>
        <v>0.6</v>
      </c>
      <c r="T270" s="1020" t="str">
        <f>VLOOKUP(B270,'[19]Gui chi Quynh'!$B$11:$E$397,4,FALSE)</f>
        <v>A DN</v>
      </c>
      <c r="U270" s="1020">
        <f t="shared" si="43"/>
        <v>0</v>
      </c>
      <c r="V270" s="1020" t="str">
        <f>VLOOKUP(B270,'[20]Gui chi Quynh'!$B$11:$E$396,4,FALSE)</f>
        <v>A3</v>
      </c>
      <c r="W270" s="1020">
        <f t="shared" si="50"/>
        <v>0.6</v>
      </c>
      <c r="X270" s="1020">
        <f>IFERROR(INDEX('[21]CN BC'!$J$10:$J$275,MATCH(B270,'[21]CN BC'!$H$10:$H$275,0)),"")</f>
        <v>23</v>
      </c>
      <c r="Y270" s="1020">
        <f>IFERROR(INDEX('[22]CN BC'!$J$10:$J$274,MATCH(B270,'[22]CN BC'!$H$10:$H$274,0)),"")</f>
        <v>0</v>
      </c>
      <c r="Z270" s="1020">
        <f>VLOOKUP(B270,'[23]CN BC'!$H$10:$J$275,3,FALSE)</f>
        <v>19</v>
      </c>
      <c r="AA270" s="1021">
        <f t="shared" si="51"/>
        <v>23</v>
      </c>
      <c r="AB270" s="1021">
        <f t="shared" si="44"/>
        <v>0</v>
      </c>
      <c r="AC270" s="1021">
        <f t="shared" si="52"/>
        <v>19</v>
      </c>
      <c r="AD270" s="1022"/>
      <c r="AE270" s="1023">
        <f t="shared" si="45"/>
        <v>7497360</v>
      </c>
      <c r="AF270" s="1371">
        <f t="shared" si="41"/>
        <v>3.2040000000000002</v>
      </c>
      <c r="AG270" s="1102">
        <v>2340000</v>
      </c>
      <c r="AH270" s="1373">
        <f t="shared" si="42"/>
        <v>7497360</v>
      </c>
      <c r="AI270" s="1024">
        <f t="shared" si="53"/>
        <v>253</v>
      </c>
      <c r="AJ270" s="1025">
        <f>IFERROR(INDEX('[17]CN BC'!$M$10:$M$276,MATCH(B270,'[17]CN BC'!$H$10:$H$276,0)),"")</f>
        <v>0</v>
      </c>
      <c r="AK270" s="1011" t="str">
        <f>VLOOKUP(B270,TH.T4!B272:AC602,28,FALSE)</f>
        <v>ĐL</v>
      </c>
      <c r="AL270" s="1046"/>
      <c r="AM270" s="1012"/>
      <c r="AN270" s="1027"/>
      <c r="AO270" s="1012"/>
      <c r="AP270" s="1012"/>
      <c r="AQ270" s="1012"/>
      <c r="AR270" s="1012"/>
      <c r="AS270" s="1012"/>
      <c r="AT270" s="1012"/>
    </row>
    <row r="271" spans="1:46" s="1028" customFormat="1" ht="29.25" customHeight="1">
      <c r="A271" s="1014">
        <f>_xlfn.AGGREGATE(4,7,A$17:A270)+1</f>
        <v>254</v>
      </c>
      <c r="B271" s="1101" t="s">
        <v>1941</v>
      </c>
      <c r="C271" s="1033" t="s">
        <v>1989</v>
      </c>
      <c r="D271" s="1108" t="s">
        <v>1988</v>
      </c>
      <c r="E271" s="81" t="str">
        <f>VLOOKUP(B271,TH.T6!B183:J513,9,FALSE)</f>
        <v>Giảng viên khoa Động lực</v>
      </c>
      <c r="F271" s="1110">
        <v>2.34</v>
      </c>
      <c r="G271" s="1019"/>
      <c r="H271" s="1247">
        <f t="shared" si="46"/>
        <v>0</v>
      </c>
      <c r="I271" s="1020"/>
      <c r="J271" s="1110">
        <v>2.34</v>
      </c>
      <c r="K271" s="1019"/>
      <c r="L271" s="1247">
        <f t="shared" si="47"/>
        <v>0</v>
      </c>
      <c r="M271" s="1020"/>
      <c r="N271" s="1110">
        <v>2.34</v>
      </c>
      <c r="O271" s="1019"/>
      <c r="P271" s="1248">
        <f t="shared" si="48"/>
        <v>0</v>
      </c>
      <c r="Q271" s="1020"/>
      <c r="R271" s="1020" t="str">
        <f>IFERROR(INDEX('[18]Gui chi Quynh'!$E$11:$E$397,MATCH(B271,'[18]Gui chi Quynh'!$B$11:$B$397,0)),"")</f>
        <v>A3</v>
      </c>
      <c r="S271" s="1020">
        <f t="shared" si="49"/>
        <v>0.6</v>
      </c>
      <c r="T271" s="1020" t="str">
        <f>VLOOKUP(B271,'[19]Gui chi Quynh'!$B$11:$E$397,4,FALSE)</f>
        <v>A DN</v>
      </c>
      <c r="U271" s="1020">
        <f t="shared" si="43"/>
        <v>0</v>
      </c>
      <c r="V271" s="1020" t="str">
        <f>VLOOKUP(B271,'[20]Gui chi Quynh'!$B$11:$E$396,4,FALSE)</f>
        <v>A4</v>
      </c>
      <c r="W271" s="1020">
        <f t="shared" si="50"/>
        <v>0.5</v>
      </c>
      <c r="X271" s="1020">
        <f>IFERROR(INDEX('[21]CN BC'!$J$10:$J$275,MATCH(B271,'[21]CN BC'!$H$10:$H$275,0)),"")</f>
        <v>23</v>
      </c>
      <c r="Y271" s="1020">
        <f>IFERROR(INDEX('[22]CN BC'!$J$10:$J$274,MATCH(B271,'[22]CN BC'!$H$10:$H$274,0)),"")</f>
        <v>0</v>
      </c>
      <c r="Z271" s="1020">
        <f>VLOOKUP(B271,'[23]CN BC'!$H$10:$J$275,3,FALSE)</f>
        <v>19</v>
      </c>
      <c r="AA271" s="1021">
        <f t="shared" si="51"/>
        <v>23</v>
      </c>
      <c r="AB271" s="1021">
        <f t="shared" si="44"/>
        <v>0</v>
      </c>
      <c r="AC271" s="1021">
        <f t="shared" si="52"/>
        <v>19</v>
      </c>
      <c r="AD271" s="1022"/>
      <c r="AE271" s="1023">
        <f t="shared" si="45"/>
        <v>6023160</v>
      </c>
      <c r="AF271" s="1371">
        <f t="shared" si="41"/>
        <v>2.5739999999999998</v>
      </c>
      <c r="AG271" s="1102">
        <v>2340000</v>
      </c>
      <c r="AH271" s="1373">
        <f t="shared" si="42"/>
        <v>6023160</v>
      </c>
      <c r="AI271" s="1024">
        <f t="shared" si="53"/>
        <v>254</v>
      </c>
      <c r="AJ271" s="1025">
        <f>IFERROR(INDEX('[17]CN BC'!$M$10:$M$276,MATCH(B271,'[17]CN BC'!$H$10:$H$276,0)),"")</f>
        <v>0</v>
      </c>
      <c r="AK271" s="1011" t="str">
        <f>VLOOKUP(B271,TH.T4!B274:AC604,28,FALSE)</f>
        <v>ĐL</v>
      </c>
      <c r="AL271" s="1046"/>
      <c r="AM271" s="1012"/>
      <c r="AN271" s="1027"/>
      <c r="AO271" s="1012"/>
      <c r="AP271" s="1012"/>
      <c r="AQ271" s="1012"/>
      <c r="AR271" s="1012"/>
      <c r="AS271" s="1012"/>
      <c r="AT271" s="1012"/>
    </row>
    <row r="272" spans="1:46" s="1028" customFormat="1" ht="29.25" customHeight="1">
      <c r="A272" s="1014">
        <f>_xlfn.AGGREGATE(4,7,A$17:A271)+1</f>
        <v>255</v>
      </c>
      <c r="B272" s="1316" t="s">
        <v>1942</v>
      </c>
      <c r="C272" s="1280" t="s">
        <v>1990</v>
      </c>
      <c r="D272" s="1317"/>
      <c r="E272" s="1384" t="str">
        <f>VLOOKUP(B272,TH.T6!B184:J514,9,FALSE)</f>
        <v>Giảng viên khoa Động lực</v>
      </c>
      <c r="F272" s="1271">
        <v>2.34</v>
      </c>
      <c r="G272" s="1272"/>
      <c r="H272" s="1269">
        <f t="shared" si="46"/>
        <v>0</v>
      </c>
      <c r="I272" s="1270"/>
      <c r="J272" s="1271"/>
      <c r="K272" s="1272"/>
      <c r="L272" s="1269">
        <f t="shared" si="47"/>
        <v>0</v>
      </c>
      <c r="M272" s="1270"/>
      <c r="N272" s="1271"/>
      <c r="O272" s="1272"/>
      <c r="P272" s="1273">
        <f t="shared" si="48"/>
        <v>0</v>
      </c>
      <c r="Q272" s="1270"/>
      <c r="R272" s="1270" t="str">
        <f>IFERROR(INDEX('[18]Gui chi Quynh'!$E$11:$E$397,MATCH(B272,'[18]Gui chi Quynh'!$B$11:$B$397,0)),"")</f>
        <v>A4</v>
      </c>
      <c r="S272" s="1270">
        <f t="shared" si="49"/>
        <v>0.5</v>
      </c>
      <c r="T272" s="1270"/>
      <c r="U272" s="1270">
        <f t="shared" si="43"/>
        <v>0</v>
      </c>
      <c r="V272" s="1270">
        <v>0</v>
      </c>
      <c r="W272" s="1270">
        <v>0</v>
      </c>
      <c r="X272" s="1270">
        <f>IFERROR(INDEX('[21]CN BC'!$J$10:$J$275,MATCH(B272,'[21]CN BC'!$H$10:$H$275,0)),"")</f>
        <v>23</v>
      </c>
      <c r="Y272" s="1270">
        <v>0</v>
      </c>
      <c r="Z272" s="1270">
        <v>0</v>
      </c>
      <c r="AA272" s="1274">
        <f t="shared" si="51"/>
        <v>23</v>
      </c>
      <c r="AB272" s="1274">
        <f t="shared" si="44"/>
        <v>0</v>
      </c>
      <c r="AC272" s="1274">
        <f t="shared" si="52"/>
        <v>0</v>
      </c>
      <c r="AD272" s="1275"/>
      <c r="AE272" s="1276">
        <f t="shared" si="45"/>
        <v>2737800</v>
      </c>
      <c r="AF272" s="1385">
        <f t="shared" si="41"/>
        <v>1.17</v>
      </c>
      <c r="AG272" s="1367">
        <v>2340000</v>
      </c>
      <c r="AH272" s="1386">
        <f t="shared" si="42"/>
        <v>2737800</v>
      </c>
      <c r="AI272" s="1277">
        <f t="shared" si="53"/>
        <v>255</v>
      </c>
      <c r="AJ272" s="1278" t="s">
        <v>2354</v>
      </c>
      <c r="AK272" s="1067" t="str">
        <f>VLOOKUP(B272,TH.T4!B275:AC605,28,FALSE)</f>
        <v>ĐL</v>
      </c>
      <c r="AL272" s="1105"/>
      <c r="AN272" s="1038"/>
    </row>
    <row r="273" spans="1:50" s="1028" customFormat="1" ht="29.25" customHeight="1">
      <c r="A273" s="1014">
        <f>_xlfn.AGGREGATE(4,7,A$17:A272)+1</f>
        <v>256</v>
      </c>
      <c r="B273" s="1101" t="s">
        <v>1945</v>
      </c>
      <c r="C273" s="1014" t="s">
        <v>1948</v>
      </c>
      <c r="D273" s="1030" t="s">
        <v>1949</v>
      </c>
      <c r="E273" s="81" t="str">
        <f>VLOOKUP(B273,TH.T6!B185:J515,9,FALSE)</f>
        <v>Giảng viên khoa Động lực</v>
      </c>
      <c r="F273" s="1110">
        <v>3.66</v>
      </c>
      <c r="G273" s="1019"/>
      <c r="H273" s="1247">
        <f t="shared" si="46"/>
        <v>0</v>
      </c>
      <c r="I273" s="1020"/>
      <c r="J273" s="1110">
        <v>3.66</v>
      </c>
      <c r="K273" s="1019"/>
      <c r="L273" s="1247">
        <f t="shared" si="47"/>
        <v>0</v>
      </c>
      <c r="M273" s="1020"/>
      <c r="N273" s="1110">
        <v>3.66</v>
      </c>
      <c r="O273" s="1019"/>
      <c r="P273" s="1248">
        <f t="shared" si="48"/>
        <v>0</v>
      </c>
      <c r="Q273" s="1020"/>
      <c r="R273" s="1020" t="str">
        <f>IFERROR(INDEX('[18]Gui chi Quynh'!$E$11:$E$397,MATCH(B273,'[18]Gui chi Quynh'!$B$11:$B$397,0)),"")</f>
        <v>A4</v>
      </c>
      <c r="S273" s="1020">
        <f t="shared" si="49"/>
        <v>0.5</v>
      </c>
      <c r="T273" s="1020" t="str">
        <f>VLOOKUP(B273,'[19]Gui chi Quynh'!$B$11:$E$397,4,FALSE)</f>
        <v>A DN</v>
      </c>
      <c r="U273" s="1020">
        <f t="shared" si="43"/>
        <v>0</v>
      </c>
      <c r="V273" s="1020" t="str">
        <f>VLOOKUP(B273,'[20]Gui chi Quynh'!$B$11:$E$396,4,FALSE)</f>
        <v>A4</v>
      </c>
      <c r="W273" s="1020">
        <f t="shared" si="50"/>
        <v>0.5</v>
      </c>
      <c r="X273" s="1020">
        <f>IFERROR(INDEX('[21]CN BC'!$J$10:$J$275,MATCH(B273,'[21]CN BC'!$H$10:$H$275,0)),"")</f>
        <v>21</v>
      </c>
      <c r="Y273" s="1020">
        <f>IFERROR(INDEX('[22]CN BC'!$J$10:$J$274,MATCH(B273,'[22]CN BC'!$H$10:$H$274,0)),"")</f>
        <v>0</v>
      </c>
      <c r="Z273" s="1020">
        <f>VLOOKUP(B273,'[23]CN BC'!$H$10:$J$275,3,FALSE)</f>
        <v>19</v>
      </c>
      <c r="AA273" s="1021">
        <f t="shared" si="51"/>
        <v>21</v>
      </c>
      <c r="AB273" s="1021">
        <f t="shared" si="44"/>
        <v>0</v>
      </c>
      <c r="AC273" s="1021">
        <f t="shared" si="52"/>
        <v>19</v>
      </c>
      <c r="AD273" s="1022"/>
      <c r="AE273" s="1023">
        <f t="shared" si="45"/>
        <v>8192035</v>
      </c>
      <c r="AF273" s="1371">
        <f t="shared" si="41"/>
        <v>3.5008696581196581</v>
      </c>
      <c r="AG273" s="1102">
        <v>2340000</v>
      </c>
      <c r="AH273" s="1373">
        <f t="shared" si="42"/>
        <v>8192035</v>
      </c>
      <c r="AI273" s="1024">
        <f t="shared" si="53"/>
        <v>256</v>
      </c>
      <c r="AJ273" s="1025">
        <f>IFERROR(INDEX('[17]CN BC'!$M$10:$M$276,MATCH(B273,'[17]CN BC'!$H$10:$H$276,0)),"")</f>
        <v>0</v>
      </c>
      <c r="AK273" s="1011" t="str">
        <f>VLOOKUP(B273,TH.T4!B276:AC606,28,FALSE)</f>
        <v>ĐL</v>
      </c>
      <c r="AL273" s="1046"/>
      <c r="AM273" s="1012"/>
      <c r="AN273" s="1038"/>
    </row>
    <row r="274" spans="1:50" s="1028" customFormat="1" ht="29.25" customHeight="1">
      <c r="A274" s="1014">
        <f>_xlfn.AGGREGATE(4,7,A$17:A273)+1</f>
        <v>257</v>
      </c>
      <c r="B274" s="1101" t="s">
        <v>2003</v>
      </c>
      <c r="C274" s="1014"/>
      <c r="D274" s="1030"/>
      <c r="E274" s="81" t="str">
        <f>VLOOKUP(B274,TH.T6!B186:J516,9,FALSE)</f>
        <v>Giảng viên khoa Động lực</v>
      </c>
      <c r="F274" s="1109">
        <v>3.33</v>
      </c>
      <c r="G274" s="1019"/>
      <c r="H274" s="1247">
        <f t="shared" si="46"/>
        <v>0</v>
      </c>
      <c r="I274" s="1020"/>
      <c r="J274" s="1109">
        <v>3.33</v>
      </c>
      <c r="K274" s="1019"/>
      <c r="L274" s="1247">
        <f t="shared" si="47"/>
        <v>0</v>
      </c>
      <c r="M274" s="1020"/>
      <c r="N274" s="1109">
        <v>3.33</v>
      </c>
      <c r="O274" s="1019"/>
      <c r="P274" s="1248">
        <f t="shared" si="48"/>
        <v>0</v>
      </c>
      <c r="Q274" s="1020"/>
      <c r="R274" s="1020" t="str">
        <f>IFERROR(INDEX('[18]Gui chi Quynh'!$E$11:$E$397,MATCH(B274,'[18]Gui chi Quynh'!$B$11:$B$397,0)),"")</f>
        <v>A3</v>
      </c>
      <c r="S274" s="1020">
        <f t="shared" si="49"/>
        <v>0.6</v>
      </c>
      <c r="T274" s="1020" t="str">
        <f>VLOOKUP(B274,'[19]Gui chi Quynh'!$B$11:$E$397,4,FALSE)</f>
        <v>A DN</v>
      </c>
      <c r="U274" s="1020">
        <f t="shared" si="43"/>
        <v>0</v>
      </c>
      <c r="V274" s="1020" t="str">
        <f>VLOOKUP(B274,'[20]Gui chi Quynh'!$B$11:$E$396,4,FALSE)</f>
        <v>A4</v>
      </c>
      <c r="W274" s="1020">
        <f t="shared" si="50"/>
        <v>0.5</v>
      </c>
      <c r="X274" s="1020">
        <f>IFERROR(INDEX('[21]CN BC'!$J$10:$J$275,MATCH(B274,'[21]CN BC'!$H$10:$H$275,0)),"")</f>
        <v>23</v>
      </c>
      <c r="Y274" s="1020">
        <f>IFERROR(INDEX('[22]CN BC'!$J$10:$J$274,MATCH(B274,'[22]CN BC'!$H$10:$H$274,0)),"")</f>
        <v>0</v>
      </c>
      <c r="Z274" s="1020">
        <f>VLOOKUP(B274,'[23]CN BC'!$H$10:$J$275,3,FALSE)</f>
        <v>19</v>
      </c>
      <c r="AA274" s="1021">
        <f t="shared" si="51"/>
        <v>23</v>
      </c>
      <c r="AB274" s="1021">
        <f t="shared" si="44"/>
        <v>0</v>
      </c>
      <c r="AC274" s="1021">
        <f t="shared" si="52"/>
        <v>19</v>
      </c>
      <c r="AD274" s="1022"/>
      <c r="AE274" s="1023">
        <f t="shared" si="45"/>
        <v>8571420</v>
      </c>
      <c r="AF274" s="1371">
        <f t="shared" ref="AF274:AF337" si="54">AE274/AG274</f>
        <v>3.6629999999999998</v>
      </c>
      <c r="AG274" s="1102">
        <v>2340000</v>
      </c>
      <c r="AH274" s="1373">
        <f t="shared" ref="AH274:AH337" si="55">AF274*AG274</f>
        <v>8571420</v>
      </c>
      <c r="AI274" s="1024">
        <f t="shared" si="53"/>
        <v>257</v>
      </c>
      <c r="AJ274" s="1025">
        <f>IFERROR(INDEX('[17]CN BC'!$M$10:$M$276,MATCH(B274,'[17]CN BC'!$H$10:$H$276,0)),"")</f>
        <v>0</v>
      </c>
      <c r="AK274" s="1011" t="str">
        <f>VLOOKUP(B274,TH.T4!B277:AC607,28,FALSE)</f>
        <v>ĐL</v>
      </c>
      <c r="AL274" s="1046"/>
      <c r="AM274" s="1012"/>
      <c r="AN274" s="1038"/>
    </row>
    <row r="275" spans="1:50" s="1028" customFormat="1" ht="29.25" customHeight="1">
      <c r="A275" s="1014">
        <f>_xlfn.AGGREGATE(4,7,A$17:A274)+1</f>
        <v>258</v>
      </c>
      <c r="B275" s="1101" t="s">
        <v>2010</v>
      </c>
      <c r="C275" s="1014"/>
      <c r="D275" s="1030"/>
      <c r="E275" s="81" t="str">
        <f>VLOOKUP(B275,TH.T6!B187:J517,9,FALSE)</f>
        <v>Giảng viên khoa Động lực</v>
      </c>
      <c r="F275" s="1109">
        <v>2.34</v>
      </c>
      <c r="G275" s="1019"/>
      <c r="H275" s="1247">
        <f t="shared" si="46"/>
        <v>0</v>
      </c>
      <c r="I275" s="1020"/>
      <c r="J275" s="1109">
        <v>2.34</v>
      </c>
      <c r="K275" s="1019"/>
      <c r="L275" s="1247">
        <f t="shared" si="47"/>
        <v>0</v>
      </c>
      <c r="M275" s="1020"/>
      <c r="N275" s="1109">
        <v>2.34</v>
      </c>
      <c r="O275" s="1019"/>
      <c r="P275" s="1248">
        <f t="shared" si="48"/>
        <v>0</v>
      </c>
      <c r="Q275" s="1020"/>
      <c r="R275" s="1020" t="str">
        <f>IFERROR(INDEX('[18]Gui chi Quynh'!$E$11:$E$397,MATCH(B275,'[18]Gui chi Quynh'!$B$11:$B$397,0)),"")</f>
        <v>A4</v>
      </c>
      <c r="S275" s="1020">
        <f t="shared" si="49"/>
        <v>0.5</v>
      </c>
      <c r="T275" s="1020" t="str">
        <f>VLOOKUP(B275,'[19]Gui chi Quynh'!$B$11:$E$397,4,FALSE)</f>
        <v>A DN</v>
      </c>
      <c r="U275" s="1020">
        <f t="shared" ref="U275:U284" si="56">IF(T275="A1",0.8,IF(T275="A2",0.7,IF(T275="A3",0.6,IF(T275="A4",0.5,IF(T275="B1",0.35,IF(T275="B2",0.25,IF(T275="C1",0.15,IF(T275="C2",0.1,0))))))))</f>
        <v>0</v>
      </c>
      <c r="V275" s="1020" t="str">
        <f>VLOOKUP(B275,'[20]Gui chi Quynh'!$B$11:$E$396,4,FALSE)</f>
        <v>A4</v>
      </c>
      <c r="W275" s="1020">
        <f t="shared" si="50"/>
        <v>0.5</v>
      </c>
      <c r="X275" s="1020">
        <f>IFERROR(INDEX('[21]CN BC'!$J$10:$J$275,MATCH(B275,'[21]CN BC'!$H$10:$H$275,0)),"")</f>
        <v>23</v>
      </c>
      <c r="Y275" s="1020">
        <f>IFERROR(INDEX('[22]CN BC'!$J$10:$J$274,MATCH(B275,'[22]CN BC'!$H$10:$H$274,0)),"")</f>
        <v>0</v>
      </c>
      <c r="Z275" s="1020">
        <f>VLOOKUP(B275,'[23]CN BC'!$H$10:$J$275,3,FALSE)</f>
        <v>19</v>
      </c>
      <c r="AA275" s="1021">
        <f t="shared" si="51"/>
        <v>23</v>
      </c>
      <c r="AB275" s="1021">
        <f t="shared" ref="AB275:AB284" si="57">IF(Y275&gt;=$AB$12,$AB$12,IF(Y275&lt;$AB$12,Y275))</f>
        <v>0</v>
      </c>
      <c r="AC275" s="1021">
        <f t="shared" si="52"/>
        <v>19</v>
      </c>
      <c r="AD275" s="1022"/>
      <c r="AE275" s="1023">
        <f t="shared" ref="AE275:AE284" si="58">ROUND(((((((F275+H275+I275)*$AE$12/$AA$12*AA275)*S275)+((J275+L275+M275)*$AE$12/$AB$12*AB275)*U275)+((N275+P275+Q275)*$AE$12/$AC$12*AC275)*W275)+AD275),0)</f>
        <v>5475600</v>
      </c>
      <c r="AF275" s="1371">
        <f t="shared" si="54"/>
        <v>2.34</v>
      </c>
      <c r="AG275" s="1102">
        <v>2340000</v>
      </c>
      <c r="AH275" s="1373">
        <f t="shared" si="55"/>
        <v>5475600</v>
      </c>
      <c r="AI275" s="1024">
        <f t="shared" si="53"/>
        <v>258</v>
      </c>
      <c r="AJ275" s="1025">
        <f>IFERROR(INDEX('[17]CN BC'!$M$10:$M$276,MATCH(B275,'[17]CN BC'!$H$10:$H$276,0)),"")</f>
        <v>0</v>
      </c>
      <c r="AK275" s="1011" t="str">
        <f>VLOOKUP(B275,TH.T4!B278:AC608,28,FALSE)</f>
        <v>ĐL</v>
      </c>
      <c r="AL275" s="1105"/>
      <c r="AN275" s="1038"/>
    </row>
    <row r="276" spans="1:50" s="1028" customFormat="1" ht="34.5" customHeight="1">
      <c r="A276" s="1014">
        <f>_xlfn.AGGREGATE(4,7,A$17:A275)+1</f>
        <v>259</v>
      </c>
      <c r="B276" s="1015" t="s">
        <v>1554</v>
      </c>
      <c r="C276" s="1033" t="s">
        <v>1818</v>
      </c>
      <c r="D276" s="1074" t="s">
        <v>1570</v>
      </c>
      <c r="E276" s="81" t="str">
        <f>VLOOKUP(B276,TH.T6!B188:J518,9,FALSE)</f>
        <v>Giảng viên khoa Xây dựng - Nhiệt lạnh</v>
      </c>
      <c r="F276" s="1040">
        <v>3.66</v>
      </c>
      <c r="G276" s="1019"/>
      <c r="H276" s="1247">
        <f t="shared" ref="H276:H284" si="59">ROUND(F276*G276,3)</f>
        <v>0</v>
      </c>
      <c r="I276" s="1020">
        <v>0.45</v>
      </c>
      <c r="J276" s="1040">
        <v>3.66</v>
      </c>
      <c r="K276" s="1019"/>
      <c r="L276" s="1254">
        <f t="shared" ref="L276:L284" si="60">ROUND(J276*K276,3)</f>
        <v>0</v>
      </c>
      <c r="M276" s="1020">
        <v>0.45</v>
      </c>
      <c r="N276" s="1040">
        <v>3.66</v>
      </c>
      <c r="O276" s="1019"/>
      <c r="P276" s="1255">
        <f t="shared" ref="P276:P284" si="61">ROUND(N276*O276,3)</f>
        <v>0</v>
      </c>
      <c r="Q276" s="1020">
        <v>0.45</v>
      </c>
      <c r="R276" s="1020" t="str">
        <f>IFERROR(INDEX('[18]Gui chi Quynh'!$E$11:$E$397,MATCH(B276,'[18]Gui chi Quynh'!$B$11:$B$397,0)),"")</f>
        <v>A4</v>
      </c>
      <c r="S276" s="1020">
        <f t="shared" ref="S276:S284" si="62">IF(R276="A1",0.8,IF(R276="A2",0.7,IF(R276="A3",0.6,IF(R276="A4",0.5,IF(R276="B1",0.35,IF(R276="B2",0.25,IF(R276="C1",0.15,IF(R276="C2",0.1,0))))))))</f>
        <v>0.5</v>
      </c>
      <c r="T276" s="1020" t="str">
        <f>VLOOKUP(B276,'[19]Gui chi Quynh'!$B$11:$E$397,4,FALSE)</f>
        <v>A DN</v>
      </c>
      <c r="U276" s="1020">
        <f t="shared" si="56"/>
        <v>0</v>
      </c>
      <c r="V276" s="1020" t="str">
        <f>VLOOKUP(B276,'[20]Gui chi Quynh'!$B$11:$E$396,4,FALSE)</f>
        <v>A4</v>
      </c>
      <c r="W276" s="1020">
        <f t="shared" ref="W276:W284" si="63">IF(V276="A1",0.8,IF(V276="A2",0.7,IF(V276="A3",0.6,IF(V276="A4",0.5,IF(V276="B1",0.35,IF(V276="B2",0.25,IF(V276="C1",0.15,IF(V276="C2",0.1,0))))))))</f>
        <v>0.5</v>
      </c>
      <c r="X276" s="1020">
        <f>IFERROR(INDEX('[21]CN BC'!$J$10:$J$275,MATCH(B276,'[21]CN BC'!$H$10:$H$275,0)),"")</f>
        <v>23</v>
      </c>
      <c r="Y276" s="1020">
        <f>IFERROR(INDEX('[22]CN BC'!$J$10:$J$274,MATCH(B276,'[22]CN BC'!$H$10:$H$274,0)),"")</f>
        <v>0</v>
      </c>
      <c r="Z276" s="1020">
        <f>VLOOKUP(B276,'[23]CN BC'!$H$10:$J$275,3,FALSE)</f>
        <v>19</v>
      </c>
      <c r="AA276" s="1021">
        <f t="shared" ref="AA276:AA284" si="64">IF(X276&gt;=$AA$12,$AA$12,IF(X276&lt;$AA$12,X276))</f>
        <v>23</v>
      </c>
      <c r="AB276" s="1021">
        <f t="shared" si="57"/>
        <v>0</v>
      </c>
      <c r="AC276" s="1021">
        <f t="shared" ref="AC276:AC284" si="65">IF(Z276&gt;=$AC$12,$AC$12,IF(Z276&lt;$AC$12,Z276))</f>
        <v>19</v>
      </c>
      <c r="AD276" s="1022"/>
      <c r="AE276" s="1023">
        <f t="shared" si="58"/>
        <v>9617400</v>
      </c>
      <c r="AF276" s="1371">
        <f t="shared" si="54"/>
        <v>4.1100000000000003</v>
      </c>
      <c r="AG276" s="1102">
        <v>2340000</v>
      </c>
      <c r="AH276" s="1373">
        <f t="shared" si="55"/>
        <v>9617400</v>
      </c>
      <c r="AI276" s="1024">
        <f t="shared" si="53"/>
        <v>259</v>
      </c>
      <c r="AJ276" s="1025">
        <f>IFERROR(INDEX('[17]CN BC'!$M$10:$M$276,MATCH(B276,'[17]CN BC'!$H$10:$H$276,0)),"")</f>
        <v>0</v>
      </c>
      <c r="AK276" s="1011" t="str">
        <f>VLOOKUP(B276,TH.T4!B279:AC609,28,FALSE)</f>
        <v>XD-NL</v>
      </c>
      <c r="AL276" s="1012"/>
      <c r="AM276" s="1012"/>
      <c r="AN276" s="1027"/>
      <c r="AO276" s="1012"/>
      <c r="AP276" s="1012"/>
      <c r="AQ276" s="1012"/>
      <c r="AR276" s="1012"/>
      <c r="AS276" s="1012"/>
      <c r="AT276" s="1012"/>
    </row>
    <row r="277" spans="1:50" s="1028" customFormat="1" ht="34.5" customHeight="1">
      <c r="A277" s="1014">
        <f>_xlfn.AGGREGATE(4,7,A$17:A276)+1</f>
        <v>260</v>
      </c>
      <c r="B277" s="1015" t="s">
        <v>1920</v>
      </c>
      <c r="C277" s="1033" t="s">
        <v>1819</v>
      </c>
      <c r="D277" s="1034" t="s">
        <v>1414</v>
      </c>
      <c r="E277" s="81" t="str">
        <f>VLOOKUP(B277,TH.T6!B189:J519,9,FALSE)</f>
        <v>Giảng viên khoa Xây dựng - Nhiệt lạnh</v>
      </c>
      <c r="F277" s="1018">
        <v>4.6500000000000004</v>
      </c>
      <c r="G277" s="1019"/>
      <c r="H277" s="1247">
        <f t="shared" si="59"/>
        <v>0</v>
      </c>
      <c r="I277" s="1020">
        <v>0.25</v>
      </c>
      <c r="J277" s="1018">
        <v>4.6500000000000004</v>
      </c>
      <c r="K277" s="1019"/>
      <c r="L277" s="1254">
        <f t="shared" si="60"/>
        <v>0</v>
      </c>
      <c r="M277" s="1020">
        <v>0.25</v>
      </c>
      <c r="N277" s="1018">
        <v>4.6500000000000004</v>
      </c>
      <c r="O277" s="1019"/>
      <c r="P277" s="1255">
        <f t="shared" si="61"/>
        <v>0</v>
      </c>
      <c r="Q277" s="1020">
        <v>0.25</v>
      </c>
      <c r="R277" s="1020" t="str">
        <f>IFERROR(INDEX('[18]Gui chi Quynh'!$E$11:$E$397,MATCH(B277,'[18]Gui chi Quynh'!$B$11:$B$397,0)),"")</f>
        <v>A3</v>
      </c>
      <c r="S277" s="1020">
        <f t="shared" si="62"/>
        <v>0.6</v>
      </c>
      <c r="T277" s="1020" t="str">
        <f>VLOOKUP(B277,'[19]Gui chi Quynh'!$B$11:$E$397,4,FALSE)</f>
        <v>A DN</v>
      </c>
      <c r="U277" s="1020">
        <f t="shared" si="56"/>
        <v>0</v>
      </c>
      <c r="V277" s="1020" t="str">
        <f>VLOOKUP(B277,'[20]Gui chi Quynh'!$B$11:$E$396,4,FALSE)</f>
        <v>A4</v>
      </c>
      <c r="W277" s="1020">
        <f t="shared" si="63"/>
        <v>0.5</v>
      </c>
      <c r="X277" s="1020">
        <f>IFERROR(INDEX('[21]CN BC'!$J$10:$J$275,MATCH(B277,'[21]CN BC'!$H$10:$H$275,0)),"")</f>
        <v>21</v>
      </c>
      <c r="Y277" s="1020">
        <f>IFERROR(INDEX('[22]CN BC'!$J$10:$J$274,MATCH(B277,'[22]CN BC'!$H$10:$H$274,0)),"")</f>
        <v>0</v>
      </c>
      <c r="Z277" s="1020">
        <f>VLOOKUP(B277,'[23]CN BC'!$H$10:$J$275,3,FALSE)</f>
        <v>19</v>
      </c>
      <c r="AA277" s="1021">
        <f t="shared" si="64"/>
        <v>21</v>
      </c>
      <c r="AB277" s="1021">
        <f t="shared" si="57"/>
        <v>0</v>
      </c>
      <c r="AC277" s="1021">
        <f t="shared" si="65"/>
        <v>19</v>
      </c>
      <c r="AD277" s="1022"/>
      <c r="AE277" s="1023">
        <f t="shared" si="58"/>
        <v>12014374</v>
      </c>
      <c r="AF277" s="1371">
        <f t="shared" si="54"/>
        <v>5.1343478632478634</v>
      </c>
      <c r="AG277" s="1102">
        <v>2340000</v>
      </c>
      <c r="AH277" s="1373">
        <f t="shared" si="55"/>
        <v>12014374</v>
      </c>
      <c r="AI277" s="1024">
        <f t="shared" si="53"/>
        <v>260</v>
      </c>
      <c r="AJ277" s="1025">
        <f>IFERROR(INDEX('[17]CN BC'!$M$10:$M$276,MATCH(B277,'[17]CN BC'!$H$10:$H$276,0)),"")</f>
        <v>0</v>
      </c>
      <c r="AK277" s="1011" t="str">
        <f>VLOOKUP(B277,TH.T4!B280:AC610,28,FALSE)</f>
        <v>XD-NL</v>
      </c>
      <c r="AL277" s="1012"/>
      <c r="AM277" s="1012"/>
      <c r="AN277" s="1027"/>
      <c r="AO277" s="1012"/>
      <c r="AP277" s="1012"/>
      <c r="AQ277" s="1012"/>
      <c r="AR277" s="1012"/>
      <c r="AS277" s="1012"/>
      <c r="AT277" s="1012"/>
    </row>
    <row r="278" spans="1:50" s="1028" customFormat="1" ht="34.5" customHeight="1">
      <c r="A278" s="1014">
        <f>_xlfn.AGGREGATE(4,7,A$17:A277)+1</f>
        <v>261</v>
      </c>
      <c r="B278" s="1015" t="s">
        <v>1921</v>
      </c>
      <c r="C278" s="1029" t="s">
        <v>1820</v>
      </c>
      <c r="D278" s="1034" t="s">
        <v>1415</v>
      </c>
      <c r="E278" s="81" t="str">
        <f>VLOOKUP(B278,TH.T6!B190:J520,9,FALSE)</f>
        <v>Giảng viên khoa Xây dựng - Nhiệt lạnh</v>
      </c>
      <c r="F278" s="1018">
        <v>4.6500000000000004</v>
      </c>
      <c r="G278" s="1019"/>
      <c r="H278" s="1247">
        <f t="shared" si="59"/>
        <v>0</v>
      </c>
      <c r="I278" s="1020">
        <v>0.25</v>
      </c>
      <c r="J278" s="1018">
        <v>4.6500000000000004</v>
      </c>
      <c r="K278" s="1019"/>
      <c r="L278" s="1254">
        <f t="shared" si="60"/>
        <v>0</v>
      </c>
      <c r="M278" s="1020">
        <v>0.25</v>
      </c>
      <c r="N278" s="1018">
        <v>4.6500000000000004</v>
      </c>
      <c r="O278" s="1019"/>
      <c r="P278" s="1255">
        <f t="shared" si="61"/>
        <v>0</v>
      </c>
      <c r="Q278" s="1020">
        <v>0.25</v>
      </c>
      <c r="R278" s="1020" t="str">
        <f>IFERROR(INDEX('[18]Gui chi Quynh'!$E$11:$E$397,MATCH(B278,'[18]Gui chi Quynh'!$B$11:$B$397,0)),"")</f>
        <v>A3</v>
      </c>
      <c r="S278" s="1020">
        <f t="shared" si="62"/>
        <v>0.6</v>
      </c>
      <c r="T278" s="1020" t="str">
        <f>VLOOKUP(B278,'[19]Gui chi Quynh'!$B$11:$E$397,4,FALSE)</f>
        <v>A DN</v>
      </c>
      <c r="U278" s="1020">
        <f t="shared" si="56"/>
        <v>0</v>
      </c>
      <c r="V278" s="1020" t="str">
        <f>VLOOKUP(B278,'[20]Gui chi Quynh'!$B$11:$E$396,4,FALSE)</f>
        <v>A4</v>
      </c>
      <c r="W278" s="1020">
        <f t="shared" si="63"/>
        <v>0.5</v>
      </c>
      <c r="X278" s="1020">
        <f>IFERROR(INDEX('[21]CN BC'!$J$10:$J$275,MATCH(B278,'[21]CN BC'!$H$10:$H$275,0)),"")</f>
        <v>23</v>
      </c>
      <c r="Y278" s="1020">
        <f>IFERROR(INDEX('[22]CN BC'!$J$10:$J$274,MATCH(B278,'[22]CN BC'!$H$10:$H$274,0)),"")</f>
        <v>0</v>
      </c>
      <c r="Z278" s="1020">
        <f>VLOOKUP(B278,'[23]CN BC'!$H$10:$J$275,3,FALSE)</f>
        <v>19</v>
      </c>
      <c r="AA278" s="1021">
        <f t="shared" si="64"/>
        <v>23</v>
      </c>
      <c r="AB278" s="1021">
        <f t="shared" si="57"/>
        <v>0</v>
      </c>
      <c r="AC278" s="1021">
        <f t="shared" si="65"/>
        <v>19</v>
      </c>
      <c r="AD278" s="1022"/>
      <c r="AE278" s="1023">
        <f t="shared" si="58"/>
        <v>12612600</v>
      </c>
      <c r="AF278" s="1371">
        <f t="shared" si="54"/>
        <v>5.39</v>
      </c>
      <c r="AG278" s="1102">
        <v>2340000</v>
      </c>
      <c r="AH278" s="1373">
        <f t="shared" si="55"/>
        <v>12612600</v>
      </c>
      <c r="AI278" s="1024">
        <f t="shared" si="53"/>
        <v>261</v>
      </c>
      <c r="AJ278" s="1025">
        <f>IFERROR(INDEX('[17]CN BC'!$M$10:$M$276,MATCH(B278,'[17]CN BC'!$H$10:$H$276,0)),"")</f>
        <v>0</v>
      </c>
      <c r="AK278" s="1011" t="str">
        <f>VLOOKUP(B278,TH.T4!B281:AC611,28,FALSE)</f>
        <v>XD-NL</v>
      </c>
      <c r="AL278" s="1012"/>
      <c r="AM278" s="1012"/>
      <c r="AN278" s="1027"/>
      <c r="AO278" s="1012"/>
      <c r="AP278" s="1012"/>
      <c r="AQ278" s="1012"/>
      <c r="AR278" s="1012"/>
      <c r="AS278" s="1012"/>
      <c r="AT278" s="1012"/>
      <c r="AU278" s="1012"/>
      <c r="AV278" s="1012"/>
      <c r="AW278" s="1012"/>
      <c r="AX278" s="1012"/>
    </row>
    <row r="279" spans="1:50" s="1028" customFormat="1" ht="34.5" customHeight="1">
      <c r="A279" s="1014">
        <f>_xlfn.AGGREGATE(4,7,A$17:A278)+1</f>
        <v>262</v>
      </c>
      <c r="B279" s="1015" t="s">
        <v>1922</v>
      </c>
      <c r="C279" s="1033" t="s">
        <v>1821</v>
      </c>
      <c r="D279" s="1034" t="s">
        <v>392</v>
      </c>
      <c r="E279" s="81" t="str">
        <f>VLOOKUP(B279,TH.T6!B191:J521,9,FALSE)</f>
        <v>Giảng viên khoa Xây dựng - Nhiệt lạnh</v>
      </c>
      <c r="F279" s="1040">
        <v>3.66</v>
      </c>
      <c r="G279" s="1019"/>
      <c r="H279" s="1247">
        <f t="shared" si="59"/>
        <v>0</v>
      </c>
      <c r="I279" s="1020"/>
      <c r="J279" s="1040">
        <v>3.66</v>
      </c>
      <c r="K279" s="1019"/>
      <c r="L279" s="1247">
        <f t="shared" si="60"/>
        <v>0</v>
      </c>
      <c r="M279" s="1020"/>
      <c r="N279" s="1040">
        <v>3.66</v>
      </c>
      <c r="O279" s="1019"/>
      <c r="P279" s="1248">
        <f t="shared" si="61"/>
        <v>0</v>
      </c>
      <c r="Q279" s="1020"/>
      <c r="R279" s="1020" t="str">
        <f>IFERROR(INDEX('[18]Gui chi Quynh'!$E$11:$E$397,MATCH(B279,'[18]Gui chi Quynh'!$B$11:$B$397,0)),"")</f>
        <v>A3</v>
      </c>
      <c r="S279" s="1020">
        <f t="shared" si="62"/>
        <v>0.6</v>
      </c>
      <c r="T279" s="1020" t="str">
        <f>VLOOKUP(B279,'[19]Gui chi Quynh'!$B$11:$E$397,4,FALSE)</f>
        <v>A DN</v>
      </c>
      <c r="U279" s="1020">
        <f t="shared" si="56"/>
        <v>0</v>
      </c>
      <c r="V279" s="1020" t="str">
        <f>VLOOKUP(B279,'[20]Gui chi Quynh'!$B$11:$E$396,4,FALSE)</f>
        <v>A4</v>
      </c>
      <c r="W279" s="1020">
        <f t="shared" si="63"/>
        <v>0.5</v>
      </c>
      <c r="X279" s="1020">
        <f>IFERROR(INDEX('[21]CN BC'!$J$10:$J$275,MATCH(B279,'[21]CN BC'!$H$10:$H$275,0)),"")</f>
        <v>21</v>
      </c>
      <c r="Y279" s="1020">
        <f>IFERROR(INDEX('[22]CN BC'!$J$10:$J$274,MATCH(B279,'[22]CN BC'!$H$10:$H$274,0)),"")</f>
        <v>0</v>
      </c>
      <c r="Z279" s="1020">
        <f>VLOOKUP(B279,'[23]CN BC'!$H$10:$J$275,3,FALSE)</f>
        <v>19</v>
      </c>
      <c r="AA279" s="1021">
        <f t="shared" si="64"/>
        <v>21</v>
      </c>
      <c r="AB279" s="1021">
        <f t="shared" si="57"/>
        <v>0</v>
      </c>
      <c r="AC279" s="1021">
        <f t="shared" si="65"/>
        <v>19</v>
      </c>
      <c r="AD279" s="1022"/>
      <c r="AE279" s="1023">
        <f t="shared" si="58"/>
        <v>8974002</v>
      </c>
      <c r="AF279" s="1371">
        <f t="shared" si="54"/>
        <v>3.8350435897435897</v>
      </c>
      <c r="AG279" s="1102">
        <v>2340000</v>
      </c>
      <c r="AH279" s="1373">
        <f t="shared" si="55"/>
        <v>8974002</v>
      </c>
      <c r="AI279" s="1024">
        <f t="shared" si="53"/>
        <v>262</v>
      </c>
      <c r="AJ279" s="1025">
        <f>IFERROR(INDEX('[17]CN BC'!$M$10:$M$276,MATCH(B279,'[17]CN BC'!$H$10:$H$276,0)),"")</f>
        <v>0</v>
      </c>
      <c r="AK279" s="1011" t="str">
        <f>VLOOKUP(B279,TH.T4!B282:AC612,28,FALSE)</f>
        <v>XD-NL</v>
      </c>
      <c r="AN279" s="1038"/>
    </row>
    <row r="280" spans="1:50" s="1028" customFormat="1" ht="34.5" customHeight="1">
      <c r="A280" s="1014">
        <f>_xlfn.AGGREGATE(4,7,A$17:A279)+1</f>
        <v>263</v>
      </c>
      <c r="B280" s="1015" t="s">
        <v>1923</v>
      </c>
      <c r="C280" s="1033" t="s">
        <v>1822</v>
      </c>
      <c r="D280" s="1047" t="s">
        <v>511</v>
      </c>
      <c r="E280" s="81" t="str">
        <f>VLOOKUP(B280,TH.T6!B192:J522,9,FALSE)</f>
        <v>Giảng viên khoa Xây dựng - Nhiệt lạnh</v>
      </c>
      <c r="F280" s="1040">
        <v>3.66</v>
      </c>
      <c r="G280" s="1019"/>
      <c r="H280" s="1247">
        <f t="shared" si="59"/>
        <v>0</v>
      </c>
      <c r="I280" s="1020"/>
      <c r="J280" s="1040">
        <v>3.66</v>
      </c>
      <c r="K280" s="1019"/>
      <c r="L280" s="1247">
        <f t="shared" si="60"/>
        <v>0</v>
      </c>
      <c r="M280" s="1020"/>
      <c r="N280" s="1040">
        <v>3.66</v>
      </c>
      <c r="O280" s="1019"/>
      <c r="P280" s="1248">
        <f t="shared" si="61"/>
        <v>0</v>
      </c>
      <c r="Q280" s="1020"/>
      <c r="R280" s="1020" t="str">
        <f>IFERROR(INDEX('[18]Gui chi Quynh'!$E$11:$E$397,MATCH(B280,'[18]Gui chi Quynh'!$B$11:$B$397,0)),"")</f>
        <v>A4</v>
      </c>
      <c r="S280" s="1020">
        <f t="shared" si="62"/>
        <v>0.5</v>
      </c>
      <c r="T280" s="1020" t="str">
        <f>VLOOKUP(B280,'[19]Gui chi Quynh'!$B$11:$E$397,4,FALSE)</f>
        <v>A DN</v>
      </c>
      <c r="U280" s="1020">
        <f t="shared" si="56"/>
        <v>0</v>
      </c>
      <c r="V280" s="1020" t="str">
        <f>VLOOKUP(B280,'[20]Gui chi Quynh'!$B$11:$E$396,4,FALSE)</f>
        <v>A4</v>
      </c>
      <c r="W280" s="1020">
        <f t="shared" si="63"/>
        <v>0.5</v>
      </c>
      <c r="X280" s="1020">
        <f>IFERROR(INDEX('[21]CN BC'!$J$10:$J$275,MATCH(B280,'[21]CN BC'!$H$10:$H$275,0)),"")</f>
        <v>21</v>
      </c>
      <c r="Y280" s="1020">
        <f>IFERROR(INDEX('[22]CN BC'!$J$10:$J$274,MATCH(B280,'[22]CN BC'!$H$10:$H$274,0)),"")</f>
        <v>0</v>
      </c>
      <c r="Z280" s="1020">
        <f>VLOOKUP(B280,'[23]CN BC'!$H$10:$J$275,3,FALSE)</f>
        <v>19</v>
      </c>
      <c r="AA280" s="1021">
        <f t="shared" si="64"/>
        <v>21</v>
      </c>
      <c r="AB280" s="1021">
        <f t="shared" si="57"/>
        <v>0</v>
      </c>
      <c r="AC280" s="1021">
        <f t="shared" si="65"/>
        <v>19</v>
      </c>
      <c r="AD280" s="1022"/>
      <c r="AE280" s="1023">
        <f t="shared" si="58"/>
        <v>8192035</v>
      </c>
      <c r="AF280" s="1371">
        <f t="shared" si="54"/>
        <v>3.5008696581196581</v>
      </c>
      <c r="AG280" s="1102">
        <v>2340000</v>
      </c>
      <c r="AH280" s="1373">
        <f t="shared" si="55"/>
        <v>8192035</v>
      </c>
      <c r="AI280" s="1024">
        <f t="shared" si="53"/>
        <v>263</v>
      </c>
      <c r="AJ280" s="1025">
        <f>IFERROR(INDEX('[17]CN BC'!$M$10:$M$276,MATCH(B280,'[17]CN BC'!$H$10:$H$276,0)),"")</f>
        <v>0</v>
      </c>
      <c r="AK280" s="1011" t="str">
        <f>VLOOKUP(B280,TH.T4!B283:AC613,28,FALSE)</f>
        <v>XD-NL</v>
      </c>
      <c r="AL280" s="1012"/>
      <c r="AM280" s="1012"/>
      <c r="AN280" s="1038"/>
    </row>
    <row r="281" spans="1:50" s="1028" customFormat="1" ht="34.5" customHeight="1">
      <c r="A281" s="1014">
        <f>_xlfn.AGGREGATE(4,7,A$17:A280)+1</f>
        <v>264</v>
      </c>
      <c r="B281" s="1015" t="s">
        <v>1552</v>
      </c>
      <c r="C281" s="1033" t="s">
        <v>1823</v>
      </c>
      <c r="D281" s="1034" t="s">
        <v>1418</v>
      </c>
      <c r="E281" s="81" t="str">
        <f>VLOOKUP(B281,TH.T6!B193:J523,9,FALSE)</f>
        <v>Giảng viên khoa Xây dựng - Nhiệt lạnh</v>
      </c>
      <c r="F281" s="1018">
        <v>4.32</v>
      </c>
      <c r="G281" s="1019"/>
      <c r="H281" s="1247">
        <f t="shared" si="59"/>
        <v>0</v>
      </c>
      <c r="I281" s="1020"/>
      <c r="J281" s="1018">
        <v>4.32</v>
      </c>
      <c r="K281" s="1019"/>
      <c r="L281" s="1247">
        <f t="shared" si="60"/>
        <v>0</v>
      </c>
      <c r="M281" s="1020"/>
      <c r="N281" s="1018">
        <v>4.32</v>
      </c>
      <c r="O281" s="1019"/>
      <c r="P281" s="1248">
        <f t="shared" si="61"/>
        <v>0</v>
      </c>
      <c r="Q281" s="1020"/>
      <c r="R281" s="1020" t="str">
        <f>IFERROR(INDEX('[18]Gui chi Quynh'!$E$11:$E$397,MATCH(B281,'[18]Gui chi Quynh'!$B$11:$B$397,0)),"")</f>
        <v>A3</v>
      </c>
      <c r="S281" s="1020">
        <f t="shared" si="62"/>
        <v>0.6</v>
      </c>
      <c r="T281" s="1020" t="str">
        <f>VLOOKUP(B281,'[19]Gui chi Quynh'!$B$11:$E$397,4,FALSE)</f>
        <v>A DN</v>
      </c>
      <c r="U281" s="1020">
        <f t="shared" si="56"/>
        <v>0</v>
      </c>
      <c r="V281" s="1020" t="str">
        <f>VLOOKUP(B281,'[20]Gui chi Quynh'!$B$11:$E$396,4,FALSE)</f>
        <v>A4</v>
      </c>
      <c r="W281" s="1020">
        <f t="shared" si="63"/>
        <v>0.5</v>
      </c>
      <c r="X281" s="1020">
        <f>IFERROR(INDEX('[21]CN BC'!$J$10:$J$275,MATCH(B281,'[21]CN BC'!$H$10:$H$275,0)),"")</f>
        <v>23</v>
      </c>
      <c r="Y281" s="1020">
        <f>IFERROR(INDEX('[22]CN BC'!$J$10:$J$274,MATCH(B281,'[22]CN BC'!$H$10:$H$274,0)),"")</f>
        <v>0</v>
      </c>
      <c r="Z281" s="1020">
        <f>VLOOKUP(B281,'[23]CN BC'!$H$10:$J$275,3,FALSE)</f>
        <v>19</v>
      </c>
      <c r="AA281" s="1021">
        <f t="shared" si="64"/>
        <v>23</v>
      </c>
      <c r="AB281" s="1021">
        <f t="shared" si="57"/>
        <v>0</v>
      </c>
      <c r="AC281" s="1021">
        <f t="shared" si="65"/>
        <v>19</v>
      </c>
      <c r="AD281" s="1022"/>
      <c r="AE281" s="1023">
        <f t="shared" si="58"/>
        <v>11119680</v>
      </c>
      <c r="AF281" s="1371">
        <f t="shared" si="54"/>
        <v>4.7519999999999998</v>
      </c>
      <c r="AG281" s="1102">
        <v>2340000</v>
      </c>
      <c r="AH281" s="1373">
        <f t="shared" si="55"/>
        <v>11119680</v>
      </c>
      <c r="AI281" s="1024">
        <f t="shared" si="53"/>
        <v>264</v>
      </c>
      <c r="AJ281" s="1025">
        <f>IFERROR(INDEX('[17]CN BC'!$M$10:$M$276,MATCH(B281,'[17]CN BC'!$H$10:$H$276,0)),"")</f>
        <v>0</v>
      </c>
      <c r="AK281" s="1011" t="str">
        <f>VLOOKUP(B281,TH.T4!B284:AC614,28,FALSE)</f>
        <v>XD-NL</v>
      </c>
      <c r="AL281" s="1012"/>
      <c r="AM281" s="1012"/>
      <c r="AN281" s="1038"/>
    </row>
    <row r="282" spans="1:50" s="1028" customFormat="1" ht="34.5" customHeight="1">
      <c r="A282" s="1014">
        <f>_xlfn.AGGREGATE(4,7,A$17:A281)+1</f>
        <v>265</v>
      </c>
      <c r="B282" s="1015" t="s">
        <v>1940</v>
      </c>
      <c r="C282" s="1033" t="s">
        <v>1991</v>
      </c>
      <c r="D282" s="1034" t="s">
        <v>1992</v>
      </c>
      <c r="E282" s="81" t="str">
        <f>VLOOKUP(B282,TH.T6!B194:J524,9,FALSE)</f>
        <v>Giảng viên khoa Xây dựng - Nhiệt lạnh</v>
      </c>
      <c r="F282" s="1040">
        <v>3.33</v>
      </c>
      <c r="G282" s="1019"/>
      <c r="H282" s="1247">
        <f t="shared" si="59"/>
        <v>0</v>
      </c>
      <c r="I282" s="1020"/>
      <c r="J282" s="1040">
        <v>3.33</v>
      </c>
      <c r="K282" s="1019"/>
      <c r="L282" s="1247">
        <f t="shared" si="60"/>
        <v>0</v>
      </c>
      <c r="M282" s="1020"/>
      <c r="N282" s="1040">
        <v>3.33</v>
      </c>
      <c r="O282" s="1019"/>
      <c r="P282" s="1248">
        <f t="shared" si="61"/>
        <v>0</v>
      </c>
      <c r="Q282" s="1020"/>
      <c r="R282" s="1020" t="str">
        <f>IFERROR(INDEX('[18]Gui chi Quynh'!$E$11:$E$397,MATCH(B282,'[18]Gui chi Quynh'!$B$11:$B$397,0)),"")</f>
        <v>A3</v>
      </c>
      <c r="S282" s="1020">
        <f t="shared" si="62"/>
        <v>0.6</v>
      </c>
      <c r="T282" s="1020" t="str">
        <f>VLOOKUP(B282,'[19]Gui chi Quynh'!$B$11:$E$397,4,FALSE)</f>
        <v>A DN</v>
      </c>
      <c r="U282" s="1020">
        <f t="shared" si="56"/>
        <v>0</v>
      </c>
      <c r="V282" s="1020" t="str">
        <f>VLOOKUP(B282,'[20]Gui chi Quynh'!$B$11:$E$396,4,FALSE)</f>
        <v>A3</v>
      </c>
      <c r="W282" s="1020">
        <f t="shared" si="63"/>
        <v>0.6</v>
      </c>
      <c r="X282" s="1020">
        <f>IFERROR(INDEX('[21]CN BC'!$J$10:$J$275,MATCH(B282,'[21]CN BC'!$H$10:$H$275,0)),"")</f>
        <v>23</v>
      </c>
      <c r="Y282" s="1020">
        <f>IFERROR(INDEX('[22]CN BC'!$J$10:$J$274,MATCH(B282,'[22]CN BC'!$H$10:$H$274,0)),"")</f>
        <v>0</v>
      </c>
      <c r="Z282" s="1020">
        <f>VLOOKUP(B282,'[23]CN BC'!$H$10:$J$275,3,FALSE)</f>
        <v>19</v>
      </c>
      <c r="AA282" s="1021">
        <f t="shared" si="64"/>
        <v>23</v>
      </c>
      <c r="AB282" s="1021">
        <f t="shared" si="57"/>
        <v>0</v>
      </c>
      <c r="AC282" s="1021">
        <f t="shared" si="65"/>
        <v>19</v>
      </c>
      <c r="AD282" s="1022"/>
      <c r="AE282" s="1023">
        <f t="shared" si="58"/>
        <v>9350640</v>
      </c>
      <c r="AF282" s="1371">
        <f t="shared" si="54"/>
        <v>3.996</v>
      </c>
      <c r="AG282" s="1102">
        <v>2340000</v>
      </c>
      <c r="AH282" s="1373">
        <f t="shared" si="55"/>
        <v>9350640</v>
      </c>
      <c r="AI282" s="1024">
        <f t="shared" si="53"/>
        <v>265</v>
      </c>
      <c r="AJ282" s="1025">
        <f>IFERROR(INDEX('[17]CN BC'!$M$10:$M$276,MATCH(B282,'[17]CN BC'!$H$10:$H$276,0)),"")</f>
        <v>0</v>
      </c>
      <c r="AK282" s="1011" t="str">
        <f>VLOOKUP(B282,TH.T4!B285:AC615,28,FALSE)</f>
        <v>XD-NL</v>
      </c>
      <c r="AL282" s="1012"/>
      <c r="AM282" s="1012"/>
      <c r="AN282" s="1027"/>
      <c r="AO282" s="1012"/>
      <c r="AP282" s="1012"/>
      <c r="AQ282" s="1012"/>
      <c r="AR282" s="1012"/>
      <c r="AS282" s="1012"/>
      <c r="AT282" s="1012"/>
    </row>
    <row r="283" spans="1:50" s="1012" customFormat="1" ht="34.5" customHeight="1">
      <c r="A283" s="1014">
        <f>_xlfn.AGGREGATE(4,7,A$17:A282)+1</f>
        <v>266</v>
      </c>
      <c r="B283" s="1050" t="s">
        <v>1553</v>
      </c>
      <c r="C283" s="1029" t="s">
        <v>1824</v>
      </c>
      <c r="D283" s="1111">
        <v>1603205246186</v>
      </c>
      <c r="E283" s="81" t="str">
        <f>VLOOKUP(B283,TH.T6!B195:J525,9,FALSE)</f>
        <v>Giảng viên khoa Xây dựng - Nhiệt lạnh</v>
      </c>
      <c r="F283" s="1018">
        <v>4.9800000000000004</v>
      </c>
      <c r="G283" s="1019"/>
      <c r="H283" s="1247">
        <f t="shared" si="59"/>
        <v>0</v>
      </c>
      <c r="I283" s="1020"/>
      <c r="J283" s="1018">
        <v>4.9800000000000004</v>
      </c>
      <c r="K283" s="1019"/>
      <c r="L283" s="1247">
        <f t="shared" si="60"/>
        <v>0</v>
      </c>
      <c r="M283" s="1020"/>
      <c r="N283" s="1018">
        <v>4.9800000000000004</v>
      </c>
      <c r="O283" s="1019"/>
      <c r="P283" s="1248">
        <f t="shared" si="61"/>
        <v>0</v>
      </c>
      <c r="Q283" s="1020"/>
      <c r="R283" s="1020" t="str">
        <f>IFERROR(INDEX('[18]Gui chi Quynh'!$E$11:$E$397,MATCH(B283,'[18]Gui chi Quynh'!$B$11:$B$397,0)),"")</f>
        <v>A4</v>
      </c>
      <c r="S283" s="1020">
        <f t="shared" si="62"/>
        <v>0.5</v>
      </c>
      <c r="T283" s="1020" t="str">
        <f>VLOOKUP(B283,'[19]Gui chi Quynh'!$B$11:$E$397,4,FALSE)</f>
        <v>A DN</v>
      </c>
      <c r="U283" s="1020">
        <f t="shared" si="56"/>
        <v>0</v>
      </c>
      <c r="V283" s="1020" t="str">
        <f>VLOOKUP(B283,'[20]Gui chi Quynh'!$B$11:$E$396,4,FALSE)</f>
        <v>A3</v>
      </c>
      <c r="W283" s="1020">
        <f t="shared" si="63"/>
        <v>0.6</v>
      </c>
      <c r="X283" s="1020">
        <f>IFERROR(INDEX('[21]CN BC'!$J$10:$J$275,MATCH(B283,'[21]CN BC'!$H$10:$H$275,0)),"")</f>
        <v>23</v>
      </c>
      <c r="Y283" s="1020">
        <f>IFERROR(INDEX('[22]CN BC'!$J$10:$J$274,MATCH(B283,'[22]CN BC'!$H$10:$H$274,0)),"")</f>
        <v>0</v>
      </c>
      <c r="Z283" s="1020">
        <f>VLOOKUP(B283,'[23]CN BC'!$H$10:$J$275,3,FALSE)</f>
        <v>19</v>
      </c>
      <c r="AA283" s="1021">
        <f t="shared" si="64"/>
        <v>23</v>
      </c>
      <c r="AB283" s="1021">
        <f t="shared" si="57"/>
        <v>0</v>
      </c>
      <c r="AC283" s="1021">
        <f t="shared" si="65"/>
        <v>19</v>
      </c>
      <c r="AD283" s="1022"/>
      <c r="AE283" s="1023">
        <f t="shared" si="58"/>
        <v>12818520</v>
      </c>
      <c r="AF283" s="1371">
        <f t="shared" si="54"/>
        <v>5.4779999999999998</v>
      </c>
      <c r="AG283" s="1102">
        <v>2340000</v>
      </c>
      <c r="AH283" s="1373">
        <f t="shared" si="55"/>
        <v>12818520</v>
      </c>
      <c r="AI283" s="1024">
        <f t="shared" si="53"/>
        <v>266</v>
      </c>
      <c r="AJ283" s="1025">
        <f>IFERROR(INDEX('[17]CN BC'!$M$10:$M$276,MATCH(B283,'[17]CN BC'!$H$10:$H$276,0)),"")</f>
        <v>0</v>
      </c>
      <c r="AK283" s="1011" t="str">
        <f>VLOOKUP(B283,TH.T4!B286:AC616,28,FALSE)</f>
        <v>XD-NL</v>
      </c>
      <c r="AN283" s="1027"/>
    </row>
    <row r="284" spans="1:50" s="1028" customFormat="1" ht="34.5" customHeight="1">
      <c r="A284" s="1014">
        <f>_xlfn.AGGREGATE(4,7,A$17:A283)+1</f>
        <v>267</v>
      </c>
      <c r="B284" s="1015" t="s">
        <v>1560</v>
      </c>
      <c r="C284" s="1112" t="s">
        <v>1825</v>
      </c>
      <c r="D284" s="1113">
        <v>1603215002692</v>
      </c>
      <c r="E284" s="81" t="str">
        <f>VLOOKUP(B284,TH.T6!B196:J526,9,FALSE)</f>
        <v>Phó Trưởng khoa Xây dựng - Nhiệt lạnh</v>
      </c>
      <c r="F284" s="1040">
        <v>3.33</v>
      </c>
      <c r="G284" s="1209"/>
      <c r="H284" s="1256">
        <f t="shared" si="59"/>
        <v>0</v>
      </c>
      <c r="I284" s="1210">
        <v>0.35</v>
      </c>
      <c r="J284" s="1211">
        <v>3.33</v>
      </c>
      <c r="K284" s="1209"/>
      <c r="L284" s="1256">
        <f t="shared" si="60"/>
        <v>0</v>
      </c>
      <c r="M284" s="1210">
        <v>0.35</v>
      </c>
      <c r="N284" s="1211">
        <v>3.33</v>
      </c>
      <c r="O284" s="1209"/>
      <c r="P284" s="1257">
        <f t="shared" si="61"/>
        <v>0</v>
      </c>
      <c r="Q284" s="1020">
        <v>0.35</v>
      </c>
      <c r="R284" s="1020" t="str">
        <f>IFERROR(INDEX('[18]Gui chi Quynh'!$E$11:$E$397,MATCH(B284,'[18]Gui chi Quynh'!$B$11:$B$397,0)),"")</f>
        <v>A2</v>
      </c>
      <c r="S284" s="1020">
        <f t="shared" si="62"/>
        <v>0.7</v>
      </c>
      <c r="T284" s="1020" t="str">
        <f>VLOOKUP(B284,'[19]Gui chi Quynh'!$B$11:$E$397,4,FALSE)</f>
        <v>A2</v>
      </c>
      <c r="U284" s="1020">
        <f t="shared" si="56"/>
        <v>0.7</v>
      </c>
      <c r="V284" s="1020" t="str">
        <f>VLOOKUP(B284,'[20]Gui chi Quynh'!$B$11:$E$396,4,FALSE)</f>
        <v>A2</v>
      </c>
      <c r="W284" s="1020">
        <f t="shared" si="63"/>
        <v>0.7</v>
      </c>
      <c r="X284" s="1020">
        <f>IFERROR(INDEX('[21]CN BC'!$J$10:$J$275,MATCH(B284,'[21]CN BC'!$H$10:$H$275,0)),"")</f>
        <v>23</v>
      </c>
      <c r="Y284" s="1020">
        <f>IFERROR(INDEX('[22]CN BC'!$J$10:$J$274,MATCH(B284,'[22]CN BC'!$H$10:$H$274,0)),"")</f>
        <v>22</v>
      </c>
      <c r="Z284" s="1020">
        <f>VLOOKUP(B284,'[23]CN BC'!$H$10:$J$275,3,FALSE)</f>
        <v>19</v>
      </c>
      <c r="AA284" s="1021">
        <f t="shared" si="64"/>
        <v>23</v>
      </c>
      <c r="AB284" s="1021">
        <f t="shared" si="57"/>
        <v>22</v>
      </c>
      <c r="AC284" s="1021">
        <f t="shared" si="65"/>
        <v>19</v>
      </c>
      <c r="AD284" s="1022"/>
      <c r="AE284" s="1023">
        <f t="shared" si="58"/>
        <v>18083520</v>
      </c>
      <c r="AF284" s="1371">
        <f t="shared" si="54"/>
        <v>7.7279999999999998</v>
      </c>
      <c r="AG284" s="1102">
        <v>2340000</v>
      </c>
      <c r="AH284" s="1373">
        <f t="shared" si="55"/>
        <v>18083520</v>
      </c>
      <c r="AI284" s="1024">
        <f t="shared" si="53"/>
        <v>267</v>
      </c>
      <c r="AJ284" s="1025">
        <f>IFERROR(INDEX('[17]CN BC'!$M$10:$M$276,MATCH(B284,'[17]CN BC'!$H$10:$H$276,0)),"")</f>
        <v>0</v>
      </c>
      <c r="AK284" s="1011" t="str">
        <f>VLOOKUP(B284,TH.T4!B287:AC617,28,FALSE)</f>
        <v>XD-NL</v>
      </c>
      <c r="AL284" s="1012"/>
      <c r="AM284" s="1012"/>
      <c r="AN284" s="1027"/>
      <c r="AO284" s="1012"/>
      <c r="AP284" s="1012"/>
      <c r="AQ284" s="1012"/>
      <c r="AR284" s="1012"/>
      <c r="AS284" s="1012"/>
      <c r="AT284" s="1012"/>
      <c r="AU284" s="1012"/>
      <c r="AV284" s="1012"/>
      <c r="AW284" s="1012"/>
      <c r="AX284" s="1012"/>
    </row>
    <row r="285" spans="1:50" s="1028" customFormat="1" ht="24" customHeight="1">
      <c r="A285" s="1014">
        <f>_xlfn.AGGREGATE(4,7,A$17:A284)+1</f>
        <v>268</v>
      </c>
      <c r="B285" s="363" t="s">
        <v>2029</v>
      </c>
      <c r="C285" s="1349"/>
      <c r="D285" s="1350"/>
      <c r="E285" s="81" t="str">
        <f>VLOOKUP(B285,TH.T6!B197:J527,9,FALSE)</f>
        <v xml:space="preserve">NV Bảo vệ </v>
      </c>
      <c r="F285" s="1351"/>
      <c r="G285" s="1352"/>
      <c r="H285" s="1353"/>
      <c r="I285" s="1354"/>
      <c r="J285" s="1355"/>
      <c r="K285" s="1352"/>
      <c r="L285" s="1353"/>
      <c r="M285" s="1354"/>
      <c r="N285" s="1355"/>
      <c r="O285" s="1352"/>
      <c r="P285" s="1356"/>
      <c r="Q285" s="1357"/>
      <c r="R285" s="1357"/>
      <c r="S285" s="1357"/>
      <c r="T285" s="1357"/>
      <c r="U285" s="1357"/>
      <c r="V285" s="1357"/>
      <c r="W285" s="1357"/>
      <c r="X285" s="1357"/>
      <c r="Y285" s="1357"/>
      <c r="Z285" s="1357"/>
      <c r="AA285" s="1358"/>
      <c r="AB285" s="1358"/>
      <c r="AC285" s="1358"/>
      <c r="AD285" s="1359"/>
      <c r="AE285" s="1360">
        <v>7922576.222222222</v>
      </c>
      <c r="AF285" s="1371">
        <f t="shared" si="54"/>
        <v>3.3857163342830008</v>
      </c>
      <c r="AG285" s="1102">
        <v>2340000</v>
      </c>
      <c r="AH285" s="1373">
        <f t="shared" si="55"/>
        <v>7922576.222222222</v>
      </c>
      <c r="AI285" s="1024">
        <f t="shared" ref="AI285:AI348" si="66">A285</f>
        <v>268</v>
      </c>
      <c r="AJ285" s="1025"/>
      <c r="AK285" s="1011"/>
      <c r="AL285" s="1012"/>
      <c r="AM285" s="1012"/>
      <c r="AN285" s="1027"/>
      <c r="AO285" s="1012"/>
      <c r="AP285" s="1012"/>
      <c r="AQ285" s="1012"/>
      <c r="AR285" s="1012"/>
      <c r="AS285" s="1012"/>
      <c r="AT285" s="1012"/>
      <c r="AU285" s="1012"/>
      <c r="AV285" s="1012"/>
      <c r="AW285" s="1012"/>
      <c r="AX285" s="1012"/>
    </row>
    <row r="286" spans="1:50" s="1028" customFormat="1" ht="28.5" customHeight="1">
      <c r="A286" s="1014">
        <f>_xlfn.AGGREGATE(4,7,A$17:A285)+1</f>
        <v>269</v>
      </c>
      <c r="B286" s="363" t="s">
        <v>2035</v>
      </c>
      <c r="C286" s="1349"/>
      <c r="D286" s="1350"/>
      <c r="E286" s="81" t="str">
        <f>VLOOKUP(B286,TH.T6!B198:J528,9,FALSE)</f>
        <v>NV Bảo vệ</v>
      </c>
      <c r="F286" s="1351"/>
      <c r="G286" s="1352"/>
      <c r="H286" s="1353"/>
      <c r="I286" s="1354"/>
      <c r="J286" s="1355"/>
      <c r="K286" s="1352"/>
      <c r="L286" s="1353"/>
      <c r="M286" s="1354"/>
      <c r="N286" s="1355"/>
      <c r="O286" s="1352"/>
      <c r="P286" s="1356"/>
      <c r="Q286" s="1357"/>
      <c r="R286" s="1357"/>
      <c r="S286" s="1357"/>
      <c r="T286" s="1357"/>
      <c r="U286" s="1357"/>
      <c r="V286" s="1357"/>
      <c r="W286" s="1357"/>
      <c r="X286" s="1357"/>
      <c r="Y286" s="1357"/>
      <c r="Z286" s="1357"/>
      <c r="AA286" s="1358"/>
      <c r="AB286" s="1358"/>
      <c r="AC286" s="1358"/>
      <c r="AD286" s="1359"/>
      <c r="AE286" s="1360">
        <v>6801848.307692308</v>
      </c>
      <c r="AF286" s="1371">
        <f t="shared" si="54"/>
        <v>2.9067727810650887</v>
      </c>
      <c r="AG286" s="1102">
        <v>2340000</v>
      </c>
      <c r="AH286" s="1373">
        <f t="shared" si="55"/>
        <v>6801848.307692308</v>
      </c>
      <c r="AI286" s="1024">
        <f t="shared" si="66"/>
        <v>269</v>
      </c>
      <c r="AJ286" s="1025"/>
      <c r="AK286" s="1011"/>
      <c r="AL286" s="1012"/>
      <c r="AM286" s="1012"/>
      <c r="AN286" s="1027"/>
      <c r="AO286" s="1012"/>
      <c r="AP286" s="1012"/>
      <c r="AQ286" s="1012"/>
      <c r="AR286" s="1012"/>
      <c r="AS286" s="1012"/>
      <c r="AT286" s="1012"/>
      <c r="AU286" s="1012"/>
      <c r="AV286" s="1012"/>
      <c r="AW286" s="1012"/>
      <c r="AX286" s="1012"/>
    </row>
    <row r="287" spans="1:50" s="1028" customFormat="1" ht="28.5" customHeight="1">
      <c r="A287" s="1014">
        <f>_xlfn.AGGREGATE(4,7,A$17:A286)+1</f>
        <v>270</v>
      </c>
      <c r="B287" s="363" t="s">
        <v>2037</v>
      </c>
      <c r="C287" s="1349"/>
      <c r="D287" s="1350"/>
      <c r="E287" s="81" t="str">
        <f>VLOOKUP(B287,TH.T6!B199:J529,9,FALSE)</f>
        <v>NV Bảo vệ</v>
      </c>
      <c r="F287" s="1351"/>
      <c r="G287" s="1352"/>
      <c r="H287" s="1353"/>
      <c r="I287" s="1354"/>
      <c r="J287" s="1355"/>
      <c r="K287" s="1352"/>
      <c r="L287" s="1353"/>
      <c r="M287" s="1354"/>
      <c r="N287" s="1355"/>
      <c r="O287" s="1352"/>
      <c r="P287" s="1356"/>
      <c r="Q287" s="1357"/>
      <c r="R287" s="1357"/>
      <c r="S287" s="1357"/>
      <c r="T287" s="1357"/>
      <c r="U287" s="1357"/>
      <c r="V287" s="1357"/>
      <c r="W287" s="1357"/>
      <c r="X287" s="1357"/>
      <c r="Y287" s="1357"/>
      <c r="Z287" s="1357"/>
      <c r="AA287" s="1358"/>
      <c r="AB287" s="1358"/>
      <c r="AC287" s="1358"/>
      <c r="AD287" s="1359"/>
      <c r="AE287" s="1360">
        <v>10451101.538461538</v>
      </c>
      <c r="AF287" s="1371">
        <f t="shared" si="54"/>
        <v>4.4662827087442469</v>
      </c>
      <c r="AG287" s="1102">
        <v>2340000</v>
      </c>
      <c r="AH287" s="1373">
        <f t="shared" si="55"/>
        <v>10451101.538461538</v>
      </c>
      <c r="AI287" s="1024">
        <f t="shared" si="66"/>
        <v>270</v>
      </c>
      <c r="AJ287" s="1025"/>
      <c r="AK287" s="1011"/>
      <c r="AL287" s="1012"/>
      <c r="AM287" s="1012"/>
      <c r="AN287" s="1027"/>
      <c r="AO287" s="1012"/>
      <c r="AP287" s="1012"/>
      <c r="AQ287" s="1012"/>
      <c r="AR287" s="1012"/>
      <c r="AS287" s="1012"/>
      <c r="AT287" s="1012"/>
      <c r="AU287" s="1012"/>
      <c r="AV287" s="1012"/>
      <c r="AW287" s="1012"/>
      <c r="AX287" s="1012"/>
    </row>
    <row r="288" spans="1:50" s="1028" customFormat="1" ht="28.5" customHeight="1">
      <c r="A288" s="1014">
        <f>_xlfn.AGGREGATE(4,7,A$17:A287)+1</f>
        <v>271</v>
      </c>
      <c r="B288" s="363" t="s">
        <v>2039</v>
      </c>
      <c r="C288" s="1349"/>
      <c r="D288" s="1350"/>
      <c r="E288" s="81" t="str">
        <f>VLOOKUP(B288,TH.T6!B200:J530,9,FALSE)</f>
        <v xml:space="preserve">NV Bảo vệ </v>
      </c>
      <c r="F288" s="1351"/>
      <c r="G288" s="1352"/>
      <c r="H288" s="1353"/>
      <c r="I288" s="1354"/>
      <c r="J288" s="1355"/>
      <c r="K288" s="1352"/>
      <c r="L288" s="1353"/>
      <c r="M288" s="1354"/>
      <c r="N288" s="1355"/>
      <c r="O288" s="1352"/>
      <c r="P288" s="1356"/>
      <c r="Q288" s="1357"/>
      <c r="R288" s="1357"/>
      <c r="S288" s="1357"/>
      <c r="T288" s="1357"/>
      <c r="U288" s="1357"/>
      <c r="V288" s="1357"/>
      <c r="W288" s="1357"/>
      <c r="X288" s="1357"/>
      <c r="Y288" s="1357"/>
      <c r="Z288" s="1357"/>
      <c r="AA288" s="1358"/>
      <c r="AB288" s="1358"/>
      <c r="AC288" s="1358"/>
      <c r="AD288" s="1359"/>
      <c r="AE288" s="1360">
        <v>8218960.333333334</v>
      </c>
      <c r="AF288" s="1371">
        <f t="shared" si="54"/>
        <v>3.5123762108262109</v>
      </c>
      <c r="AG288" s="1102">
        <v>2340000</v>
      </c>
      <c r="AH288" s="1373">
        <f t="shared" si="55"/>
        <v>8218960.333333333</v>
      </c>
      <c r="AI288" s="1024">
        <f t="shared" si="66"/>
        <v>271</v>
      </c>
      <c r="AJ288" s="1025"/>
      <c r="AK288" s="1011"/>
      <c r="AL288" s="1012"/>
      <c r="AM288" s="1012"/>
      <c r="AN288" s="1027"/>
      <c r="AO288" s="1012"/>
      <c r="AP288" s="1012"/>
      <c r="AQ288" s="1012"/>
      <c r="AR288" s="1012"/>
      <c r="AS288" s="1012"/>
      <c r="AT288" s="1012"/>
      <c r="AU288" s="1012"/>
      <c r="AV288" s="1012"/>
      <c r="AW288" s="1012"/>
      <c r="AX288" s="1012"/>
    </row>
    <row r="289" spans="1:50" s="1028" customFormat="1" ht="28.5" customHeight="1">
      <c r="A289" s="1014">
        <f>_xlfn.AGGREGATE(4,7,A$17:A288)+1</f>
        <v>272</v>
      </c>
      <c r="B289" s="363" t="s">
        <v>2041</v>
      </c>
      <c r="C289" s="1349"/>
      <c r="D289" s="1350"/>
      <c r="E289" s="81" t="str">
        <f>VLOOKUP(B289,TH.T6!B201:J531,9,FALSE)</f>
        <v>Nhân viên bảo vệ</v>
      </c>
      <c r="F289" s="1351"/>
      <c r="G289" s="1352"/>
      <c r="H289" s="1353"/>
      <c r="I289" s="1354"/>
      <c r="J289" s="1355"/>
      <c r="K289" s="1352"/>
      <c r="L289" s="1353"/>
      <c r="M289" s="1354"/>
      <c r="N289" s="1355"/>
      <c r="O289" s="1352"/>
      <c r="P289" s="1356"/>
      <c r="Q289" s="1357"/>
      <c r="R289" s="1357"/>
      <c r="S289" s="1357"/>
      <c r="T289" s="1357"/>
      <c r="U289" s="1357"/>
      <c r="V289" s="1357"/>
      <c r="W289" s="1357"/>
      <c r="X289" s="1357"/>
      <c r="Y289" s="1357"/>
      <c r="Z289" s="1357"/>
      <c r="AA289" s="1358"/>
      <c r="AB289" s="1358"/>
      <c r="AC289" s="1358"/>
      <c r="AD289" s="1359"/>
      <c r="AE289" s="1360">
        <v>11119314.713675214</v>
      </c>
      <c r="AF289" s="1371">
        <f t="shared" si="54"/>
        <v>4.7518438947329971</v>
      </c>
      <c r="AG289" s="1102">
        <v>2340000</v>
      </c>
      <c r="AH289" s="1373">
        <f t="shared" si="55"/>
        <v>11119314.713675214</v>
      </c>
      <c r="AI289" s="1024">
        <f t="shared" si="66"/>
        <v>272</v>
      </c>
      <c r="AJ289" s="1025"/>
      <c r="AK289" s="1011"/>
      <c r="AL289" s="1012"/>
      <c r="AM289" s="1012"/>
      <c r="AN289" s="1027"/>
      <c r="AO289" s="1012"/>
      <c r="AP289" s="1012"/>
      <c r="AQ289" s="1012"/>
      <c r="AR289" s="1012"/>
      <c r="AS289" s="1012"/>
      <c r="AT289" s="1012"/>
      <c r="AU289" s="1012"/>
      <c r="AV289" s="1012"/>
      <c r="AW289" s="1012"/>
      <c r="AX289" s="1012"/>
    </row>
    <row r="290" spans="1:50" s="1028" customFormat="1" ht="28.5" customHeight="1">
      <c r="A290" s="1014">
        <f>_xlfn.AGGREGATE(4,7,A$17:A289)+1</f>
        <v>273</v>
      </c>
      <c r="B290" s="363" t="s">
        <v>2043</v>
      </c>
      <c r="C290" s="1349"/>
      <c r="D290" s="1350"/>
      <c r="E290" s="81" t="str">
        <f>VLOOKUP(B290,TH.T6!B202:J532,9,FALSE)</f>
        <v xml:space="preserve">NV Bảo vệ </v>
      </c>
      <c r="F290" s="1351"/>
      <c r="G290" s="1352"/>
      <c r="H290" s="1353"/>
      <c r="I290" s="1354"/>
      <c r="J290" s="1355"/>
      <c r="K290" s="1352"/>
      <c r="L290" s="1353"/>
      <c r="M290" s="1354"/>
      <c r="N290" s="1355"/>
      <c r="O290" s="1352"/>
      <c r="P290" s="1356"/>
      <c r="Q290" s="1357"/>
      <c r="R290" s="1357"/>
      <c r="S290" s="1357"/>
      <c r="T290" s="1357"/>
      <c r="U290" s="1357"/>
      <c r="V290" s="1357"/>
      <c r="W290" s="1357"/>
      <c r="X290" s="1357"/>
      <c r="Y290" s="1357"/>
      <c r="Z290" s="1357"/>
      <c r="AA290" s="1358"/>
      <c r="AB290" s="1358"/>
      <c r="AC290" s="1358"/>
      <c r="AD290" s="1359"/>
      <c r="AE290" s="1360">
        <v>10242777.962962963</v>
      </c>
      <c r="AF290" s="1371">
        <f t="shared" si="54"/>
        <v>4.3772555397277619</v>
      </c>
      <c r="AG290" s="1102">
        <v>2340000</v>
      </c>
      <c r="AH290" s="1373">
        <f t="shared" si="55"/>
        <v>10242777.962962963</v>
      </c>
      <c r="AI290" s="1024">
        <f t="shared" si="66"/>
        <v>273</v>
      </c>
      <c r="AJ290" s="1025"/>
      <c r="AK290" s="1011"/>
      <c r="AL290" s="1012"/>
      <c r="AM290" s="1012"/>
      <c r="AN290" s="1027"/>
      <c r="AO290" s="1012"/>
      <c r="AP290" s="1012"/>
      <c r="AQ290" s="1012"/>
      <c r="AR290" s="1012"/>
      <c r="AS290" s="1012"/>
      <c r="AT290" s="1012"/>
      <c r="AU290" s="1012"/>
      <c r="AV290" s="1012"/>
      <c r="AW290" s="1012"/>
      <c r="AX290" s="1012"/>
    </row>
    <row r="291" spans="1:50" s="1028" customFormat="1" ht="28.5" customHeight="1">
      <c r="A291" s="1014">
        <f>_xlfn.AGGREGATE(4,7,A$17:A290)+1</f>
        <v>274</v>
      </c>
      <c r="B291" s="363" t="s">
        <v>2046</v>
      </c>
      <c r="C291" s="1349"/>
      <c r="D291" s="1350"/>
      <c r="E291" s="81" t="str">
        <f>VLOOKUP(B291,TH.T6!B203:J533,9,FALSE)</f>
        <v>NV Bảo vệ</v>
      </c>
      <c r="F291" s="1351"/>
      <c r="G291" s="1352"/>
      <c r="H291" s="1353"/>
      <c r="I291" s="1354"/>
      <c r="J291" s="1355"/>
      <c r="K291" s="1352"/>
      <c r="L291" s="1353"/>
      <c r="M291" s="1354"/>
      <c r="N291" s="1355"/>
      <c r="O291" s="1352"/>
      <c r="P291" s="1356"/>
      <c r="Q291" s="1357"/>
      <c r="R291" s="1357"/>
      <c r="S291" s="1357"/>
      <c r="T291" s="1357"/>
      <c r="U291" s="1357"/>
      <c r="V291" s="1357"/>
      <c r="W291" s="1357"/>
      <c r="X291" s="1357"/>
      <c r="Y291" s="1357"/>
      <c r="Z291" s="1357"/>
      <c r="AA291" s="1358"/>
      <c r="AB291" s="1358"/>
      <c r="AC291" s="1358"/>
      <c r="AD291" s="1359"/>
      <c r="AE291" s="1360">
        <v>7533125</v>
      </c>
      <c r="AF291" s="1371">
        <f t="shared" si="54"/>
        <v>3.2192841880341883</v>
      </c>
      <c r="AG291" s="1102">
        <v>2340000</v>
      </c>
      <c r="AH291" s="1373">
        <f t="shared" si="55"/>
        <v>7533125.0000000009</v>
      </c>
      <c r="AI291" s="1024">
        <f t="shared" si="66"/>
        <v>274</v>
      </c>
      <c r="AJ291" s="1025"/>
      <c r="AK291" s="1011"/>
      <c r="AL291" s="1012"/>
      <c r="AM291" s="1012"/>
      <c r="AN291" s="1027"/>
      <c r="AO291" s="1012"/>
      <c r="AP291" s="1012"/>
      <c r="AQ291" s="1012"/>
      <c r="AR291" s="1012"/>
      <c r="AS291" s="1012"/>
      <c r="AT291" s="1012"/>
      <c r="AU291" s="1012"/>
      <c r="AV291" s="1012"/>
      <c r="AW291" s="1012"/>
      <c r="AX291" s="1012"/>
    </row>
    <row r="292" spans="1:50" s="1028" customFormat="1" ht="28.5" customHeight="1">
      <c r="A292" s="1014">
        <f>_xlfn.AGGREGATE(4,7,A$17:A291)+1</f>
        <v>275</v>
      </c>
      <c r="B292" s="363" t="s">
        <v>2049</v>
      </c>
      <c r="C292" s="1349"/>
      <c r="D292" s="1350"/>
      <c r="E292" s="81" t="str">
        <f>VLOOKUP(B292,TH.T6!B204:J534,9,FALSE)</f>
        <v>NV Bảo vệ</v>
      </c>
      <c r="F292" s="1351"/>
      <c r="G292" s="1352"/>
      <c r="H292" s="1353"/>
      <c r="I292" s="1354"/>
      <c r="J292" s="1355"/>
      <c r="K292" s="1352"/>
      <c r="L292" s="1353"/>
      <c r="M292" s="1354"/>
      <c r="N292" s="1355"/>
      <c r="O292" s="1352"/>
      <c r="P292" s="1356"/>
      <c r="Q292" s="1357"/>
      <c r="R292" s="1357"/>
      <c r="S292" s="1357"/>
      <c r="T292" s="1357"/>
      <c r="U292" s="1357"/>
      <c r="V292" s="1357"/>
      <c r="W292" s="1357"/>
      <c r="X292" s="1357"/>
      <c r="Y292" s="1357"/>
      <c r="Z292" s="1357"/>
      <c r="AA292" s="1358"/>
      <c r="AB292" s="1358"/>
      <c r="AC292" s="1358"/>
      <c r="AD292" s="1359"/>
      <c r="AE292" s="1360">
        <v>7976250</v>
      </c>
      <c r="AF292" s="1371">
        <f t="shared" si="54"/>
        <v>3.4086538461538463</v>
      </c>
      <c r="AG292" s="1102">
        <v>2340000</v>
      </c>
      <c r="AH292" s="1373">
        <f t="shared" si="55"/>
        <v>7976250</v>
      </c>
      <c r="AI292" s="1024">
        <f t="shared" si="66"/>
        <v>275</v>
      </c>
      <c r="AJ292" s="1025"/>
      <c r="AK292" s="1011"/>
      <c r="AL292" s="1012"/>
      <c r="AM292" s="1012"/>
      <c r="AN292" s="1027"/>
      <c r="AO292" s="1012"/>
      <c r="AP292" s="1012"/>
      <c r="AQ292" s="1012"/>
      <c r="AR292" s="1012"/>
      <c r="AS292" s="1012"/>
      <c r="AT292" s="1012"/>
      <c r="AU292" s="1012"/>
      <c r="AV292" s="1012"/>
      <c r="AW292" s="1012"/>
      <c r="AX292" s="1012"/>
    </row>
    <row r="293" spans="1:50" s="1028" customFormat="1" ht="28.5" customHeight="1">
      <c r="A293" s="1014">
        <f>_xlfn.AGGREGATE(4,7,A$17:A292)+1</f>
        <v>276</v>
      </c>
      <c r="B293" s="363" t="s">
        <v>2052</v>
      </c>
      <c r="C293" s="1349"/>
      <c r="D293" s="1350"/>
      <c r="E293" s="81" t="str">
        <f>VLOOKUP(B293,TH.T6!B205:J535,9,FALSE)</f>
        <v>NV Bảo vệ</v>
      </c>
      <c r="F293" s="1351"/>
      <c r="G293" s="1352"/>
      <c r="H293" s="1353"/>
      <c r="I293" s="1354"/>
      <c r="J293" s="1355"/>
      <c r="K293" s="1352"/>
      <c r="L293" s="1353"/>
      <c r="M293" s="1354"/>
      <c r="N293" s="1355"/>
      <c r="O293" s="1352"/>
      <c r="P293" s="1356"/>
      <c r="Q293" s="1357"/>
      <c r="R293" s="1357"/>
      <c r="S293" s="1357"/>
      <c r="T293" s="1357"/>
      <c r="U293" s="1357"/>
      <c r="V293" s="1357"/>
      <c r="W293" s="1357"/>
      <c r="X293" s="1357"/>
      <c r="Y293" s="1357"/>
      <c r="Z293" s="1357"/>
      <c r="AA293" s="1358"/>
      <c r="AB293" s="1358"/>
      <c r="AC293" s="1358"/>
      <c r="AD293" s="1359"/>
      <c r="AE293" s="1360">
        <v>10329563</v>
      </c>
      <c r="AF293" s="1371">
        <f t="shared" si="54"/>
        <v>4.4143431623931626</v>
      </c>
      <c r="AG293" s="1102">
        <v>2340000</v>
      </c>
      <c r="AH293" s="1373">
        <f t="shared" si="55"/>
        <v>10329563</v>
      </c>
      <c r="AI293" s="1024">
        <f t="shared" si="66"/>
        <v>276</v>
      </c>
      <c r="AJ293" s="1025"/>
      <c r="AK293" s="1011"/>
      <c r="AL293" s="1012"/>
      <c r="AM293" s="1012"/>
      <c r="AN293" s="1027"/>
      <c r="AO293" s="1012"/>
      <c r="AP293" s="1012"/>
      <c r="AQ293" s="1012"/>
      <c r="AR293" s="1012"/>
      <c r="AS293" s="1012"/>
      <c r="AT293" s="1012"/>
      <c r="AU293" s="1012"/>
      <c r="AV293" s="1012"/>
      <c r="AW293" s="1012"/>
      <c r="AX293" s="1012"/>
    </row>
    <row r="294" spans="1:50" s="1028" customFormat="1" ht="28.5" customHeight="1">
      <c r="A294" s="1014">
        <f>_xlfn.AGGREGATE(4,7,A$17:A293)+1</f>
        <v>277</v>
      </c>
      <c r="B294" s="363" t="s">
        <v>2053</v>
      </c>
      <c r="C294" s="1349"/>
      <c r="D294" s="1350"/>
      <c r="E294" s="81" t="str">
        <f>VLOOKUP(B294,TH.T6!B206:J536,9,FALSE)</f>
        <v>NV Bảo vệ</v>
      </c>
      <c r="F294" s="1351"/>
      <c r="G294" s="1352"/>
      <c r="H294" s="1353"/>
      <c r="I294" s="1354"/>
      <c r="J294" s="1355"/>
      <c r="K294" s="1352"/>
      <c r="L294" s="1353"/>
      <c r="M294" s="1354"/>
      <c r="N294" s="1355"/>
      <c r="O294" s="1352"/>
      <c r="P294" s="1356"/>
      <c r="Q294" s="1357"/>
      <c r="R294" s="1357"/>
      <c r="S294" s="1357"/>
      <c r="T294" s="1357"/>
      <c r="U294" s="1357"/>
      <c r="V294" s="1357"/>
      <c r="W294" s="1357"/>
      <c r="X294" s="1357"/>
      <c r="Y294" s="1357"/>
      <c r="Z294" s="1357"/>
      <c r="AA294" s="1358"/>
      <c r="AB294" s="1358"/>
      <c r="AC294" s="1358"/>
      <c r="AD294" s="1359"/>
      <c r="AE294" s="1360">
        <v>5998779.9331103675</v>
      </c>
      <c r="AF294" s="1371">
        <f t="shared" si="54"/>
        <v>2.5635811679958835</v>
      </c>
      <c r="AG294" s="1102">
        <v>2340000</v>
      </c>
      <c r="AH294" s="1373">
        <f t="shared" si="55"/>
        <v>5998779.9331103675</v>
      </c>
      <c r="AI294" s="1024">
        <f t="shared" si="66"/>
        <v>277</v>
      </c>
      <c r="AJ294" s="1025"/>
      <c r="AK294" s="1011"/>
      <c r="AL294" s="1012"/>
      <c r="AM294" s="1012"/>
      <c r="AN294" s="1027"/>
      <c r="AO294" s="1012"/>
      <c r="AP294" s="1012"/>
      <c r="AQ294" s="1012"/>
      <c r="AR294" s="1012"/>
      <c r="AS294" s="1012"/>
      <c r="AT294" s="1012"/>
      <c r="AU294" s="1012"/>
      <c r="AV294" s="1012"/>
      <c r="AW294" s="1012"/>
      <c r="AX294" s="1012"/>
    </row>
    <row r="295" spans="1:50" s="1028" customFormat="1" ht="28.5" customHeight="1">
      <c r="A295" s="1014">
        <f>_xlfn.AGGREGATE(4,7,A$17:A294)+1</f>
        <v>278</v>
      </c>
      <c r="B295" s="363" t="s">
        <v>2054</v>
      </c>
      <c r="C295" s="1349"/>
      <c r="D295" s="1350"/>
      <c r="E295" s="81" t="str">
        <f>VLOOKUP(B295,TH.T6!B207:J537,9,FALSE)</f>
        <v>NV Lái xe</v>
      </c>
      <c r="F295" s="1351"/>
      <c r="G295" s="1352"/>
      <c r="H295" s="1353"/>
      <c r="I295" s="1354"/>
      <c r="J295" s="1355"/>
      <c r="K295" s="1352"/>
      <c r="L295" s="1353"/>
      <c r="M295" s="1354"/>
      <c r="N295" s="1355"/>
      <c r="O295" s="1352"/>
      <c r="P295" s="1356"/>
      <c r="Q295" s="1357"/>
      <c r="R295" s="1357"/>
      <c r="S295" s="1357"/>
      <c r="T295" s="1357"/>
      <c r="U295" s="1357"/>
      <c r="V295" s="1357"/>
      <c r="W295" s="1357"/>
      <c r="X295" s="1357"/>
      <c r="Y295" s="1357"/>
      <c r="Z295" s="1357"/>
      <c r="AA295" s="1358"/>
      <c r="AB295" s="1358"/>
      <c r="AC295" s="1358"/>
      <c r="AD295" s="1359"/>
      <c r="AE295" s="1360">
        <v>11832403.555555556</v>
      </c>
      <c r="AF295" s="1371">
        <f t="shared" si="54"/>
        <v>5.056582716049383</v>
      </c>
      <c r="AG295" s="1102">
        <v>2340000</v>
      </c>
      <c r="AH295" s="1373">
        <f t="shared" si="55"/>
        <v>11832403.555555556</v>
      </c>
      <c r="AI295" s="1024">
        <f t="shared" si="66"/>
        <v>278</v>
      </c>
      <c r="AJ295" s="1025"/>
      <c r="AK295" s="1011"/>
      <c r="AL295" s="1012"/>
      <c r="AM295" s="1012"/>
      <c r="AN295" s="1027"/>
      <c r="AO295" s="1012"/>
      <c r="AP295" s="1012"/>
      <c r="AQ295" s="1012"/>
      <c r="AR295" s="1012"/>
      <c r="AS295" s="1012"/>
      <c r="AT295" s="1012"/>
      <c r="AU295" s="1012"/>
      <c r="AV295" s="1012"/>
      <c r="AW295" s="1012"/>
      <c r="AX295" s="1012"/>
    </row>
    <row r="296" spans="1:50" s="1028" customFormat="1" ht="28.5" customHeight="1">
      <c r="A296" s="1014">
        <f>_xlfn.AGGREGATE(4,7,A$17:A295)+1</f>
        <v>279</v>
      </c>
      <c r="B296" s="363" t="s">
        <v>2055</v>
      </c>
      <c r="C296" s="1349"/>
      <c r="D296" s="1350"/>
      <c r="E296" s="81" t="str">
        <f>VLOOKUP(B296,TH.T6!B208:J538,9,FALSE)</f>
        <v>NV Phuc vụ Phòng TC - HC - TH</v>
      </c>
      <c r="F296" s="1351"/>
      <c r="G296" s="1352"/>
      <c r="H296" s="1353"/>
      <c r="I296" s="1354"/>
      <c r="J296" s="1355"/>
      <c r="K296" s="1352"/>
      <c r="L296" s="1353"/>
      <c r="M296" s="1354"/>
      <c r="N296" s="1355"/>
      <c r="O296" s="1352"/>
      <c r="P296" s="1356"/>
      <c r="Q296" s="1357"/>
      <c r="R296" s="1357"/>
      <c r="S296" s="1357"/>
      <c r="T296" s="1357"/>
      <c r="U296" s="1357"/>
      <c r="V296" s="1357"/>
      <c r="W296" s="1357"/>
      <c r="X296" s="1357"/>
      <c r="Y296" s="1357"/>
      <c r="Z296" s="1357"/>
      <c r="AA296" s="1358"/>
      <c r="AB296" s="1358"/>
      <c r="AC296" s="1358"/>
      <c r="AD296" s="1359"/>
      <c r="AE296" s="1360">
        <v>8318150.2608695654</v>
      </c>
      <c r="AF296" s="1371">
        <f t="shared" si="54"/>
        <v>3.5547650687476775</v>
      </c>
      <c r="AG296" s="1102">
        <v>2340000</v>
      </c>
      <c r="AH296" s="1373">
        <f t="shared" si="55"/>
        <v>8318150.2608695654</v>
      </c>
      <c r="AI296" s="1024">
        <f t="shared" si="66"/>
        <v>279</v>
      </c>
      <c r="AJ296" s="1025"/>
      <c r="AK296" s="1011"/>
      <c r="AL296" s="1012"/>
      <c r="AM296" s="1012"/>
      <c r="AN296" s="1027"/>
      <c r="AO296" s="1012"/>
      <c r="AP296" s="1012"/>
      <c r="AQ296" s="1012"/>
      <c r="AR296" s="1012"/>
      <c r="AS296" s="1012"/>
      <c r="AT296" s="1012"/>
      <c r="AU296" s="1012"/>
      <c r="AV296" s="1012"/>
      <c r="AW296" s="1012"/>
      <c r="AX296" s="1012"/>
    </row>
    <row r="297" spans="1:50" s="1028" customFormat="1" ht="28.5" customHeight="1">
      <c r="A297" s="1014">
        <f>_xlfn.AGGREGATE(4,7,A$17:A296)+1</f>
        <v>280</v>
      </c>
      <c r="B297" s="363" t="s">
        <v>2056</v>
      </c>
      <c r="C297" s="1349"/>
      <c r="D297" s="1350"/>
      <c r="E297" s="81" t="str">
        <f>VLOOKUP(B297,TH.T6!B209:J539,9,FALSE)</f>
        <v>Nhân viên phòng Thanh tra GD - Công tác SV</v>
      </c>
      <c r="F297" s="1351"/>
      <c r="G297" s="1352"/>
      <c r="H297" s="1353"/>
      <c r="I297" s="1354"/>
      <c r="J297" s="1355"/>
      <c r="K297" s="1352"/>
      <c r="L297" s="1353"/>
      <c r="M297" s="1354"/>
      <c r="N297" s="1355"/>
      <c r="O297" s="1352"/>
      <c r="P297" s="1356"/>
      <c r="Q297" s="1357"/>
      <c r="R297" s="1357"/>
      <c r="S297" s="1357"/>
      <c r="T297" s="1357"/>
      <c r="U297" s="1357"/>
      <c r="V297" s="1357"/>
      <c r="W297" s="1357"/>
      <c r="X297" s="1357"/>
      <c r="Y297" s="1357"/>
      <c r="Z297" s="1357"/>
      <c r="AA297" s="1358"/>
      <c r="AB297" s="1358"/>
      <c r="AC297" s="1358"/>
      <c r="AD297" s="1359"/>
      <c r="AE297" s="1360">
        <v>8574212.777777778</v>
      </c>
      <c r="AF297" s="1371">
        <f t="shared" si="54"/>
        <v>3.664193494776828</v>
      </c>
      <c r="AG297" s="1102">
        <v>2340000</v>
      </c>
      <c r="AH297" s="1373">
        <f t="shared" si="55"/>
        <v>8574212.777777778</v>
      </c>
      <c r="AI297" s="1024">
        <f t="shared" si="66"/>
        <v>280</v>
      </c>
      <c r="AJ297" s="1025"/>
      <c r="AK297" s="1011"/>
      <c r="AL297" s="1012"/>
      <c r="AM297" s="1012"/>
      <c r="AN297" s="1027"/>
      <c r="AO297" s="1012"/>
      <c r="AP297" s="1012"/>
      <c r="AQ297" s="1012"/>
      <c r="AR297" s="1012"/>
      <c r="AS297" s="1012"/>
      <c r="AT297" s="1012"/>
      <c r="AU297" s="1012"/>
      <c r="AV297" s="1012"/>
      <c r="AW297" s="1012"/>
      <c r="AX297" s="1012"/>
    </row>
    <row r="298" spans="1:50" s="1028" customFormat="1" ht="28.5" customHeight="1">
      <c r="A298" s="1014">
        <f>_xlfn.AGGREGATE(4,7,A$17:A297)+1</f>
        <v>281</v>
      </c>
      <c r="B298" s="363" t="s">
        <v>2057</v>
      </c>
      <c r="C298" s="1349"/>
      <c r="D298" s="1350"/>
      <c r="E298" s="81" t="str">
        <f>VLOOKUP(B298,TH.T6!B210:J540,9,FALSE)</f>
        <v>NV Phòng Tổ chức - Hành chính - Tổng hợp</v>
      </c>
      <c r="F298" s="1351"/>
      <c r="G298" s="1352"/>
      <c r="H298" s="1353"/>
      <c r="I298" s="1354"/>
      <c r="J298" s="1355"/>
      <c r="K298" s="1352"/>
      <c r="L298" s="1353"/>
      <c r="M298" s="1354"/>
      <c r="N298" s="1355"/>
      <c r="O298" s="1352"/>
      <c r="P298" s="1356"/>
      <c r="Q298" s="1357"/>
      <c r="R298" s="1357"/>
      <c r="S298" s="1357"/>
      <c r="T298" s="1357"/>
      <c r="U298" s="1357"/>
      <c r="V298" s="1357"/>
      <c r="W298" s="1357"/>
      <c r="X298" s="1357"/>
      <c r="Y298" s="1357"/>
      <c r="Z298" s="1357"/>
      <c r="AA298" s="1358"/>
      <c r="AB298" s="1358"/>
      <c r="AC298" s="1358"/>
      <c r="AD298" s="1359"/>
      <c r="AE298" s="1360">
        <v>15644236.518518519</v>
      </c>
      <c r="AF298" s="1371">
        <f t="shared" si="54"/>
        <v>6.6855711617600511</v>
      </c>
      <c r="AG298" s="1102">
        <v>2340000</v>
      </c>
      <c r="AH298" s="1373">
        <f t="shared" si="55"/>
        <v>15644236.518518519</v>
      </c>
      <c r="AI298" s="1024">
        <f t="shared" si="66"/>
        <v>281</v>
      </c>
      <c r="AJ298" s="1025"/>
      <c r="AK298" s="1011"/>
      <c r="AL298" s="1012"/>
      <c r="AM298" s="1012"/>
      <c r="AN298" s="1027"/>
      <c r="AO298" s="1012"/>
      <c r="AP298" s="1012"/>
      <c r="AQ298" s="1012"/>
      <c r="AR298" s="1012"/>
      <c r="AS298" s="1012"/>
      <c r="AT298" s="1012"/>
      <c r="AU298" s="1012"/>
      <c r="AV298" s="1012"/>
      <c r="AW298" s="1012"/>
      <c r="AX298" s="1012"/>
    </row>
    <row r="299" spans="1:50" s="1028" customFormat="1" ht="28.5" customHeight="1">
      <c r="A299" s="1014">
        <f>_xlfn.AGGREGATE(4,7,A$17:A298)+1</f>
        <v>282</v>
      </c>
      <c r="B299" s="363" t="s">
        <v>2059</v>
      </c>
      <c r="C299" s="1349"/>
      <c r="D299" s="1350"/>
      <c r="E299" s="81" t="str">
        <f>VLOOKUP(B299,TH.T6!B211:J541,9,FALSE)</f>
        <v>Nhân viên bảo vệ</v>
      </c>
      <c r="F299" s="1351"/>
      <c r="G299" s="1352"/>
      <c r="H299" s="1353"/>
      <c r="I299" s="1354"/>
      <c r="J299" s="1355"/>
      <c r="K299" s="1352"/>
      <c r="L299" s="1353"/>
      <c r="M299" s="1354"/>
      <c r="N299" s="1355"/>
      <c r="O299" s="1352"/>
      <c r="P299" s="1356"/>
      <c r="Q299" s="1357"/>
      <c r="R299" s="1357"/>
      <c r="S299" s="1357"/>
      <c r="T299" s="1357"/>
      <c r="U299" s="1357"/>
      <c r="V299" s="1357"/>
      <c r="W299" s="1357"/>
      <c r="X299" s="1357"/>
      <c r="Y299" s="1357"/>
      <c r="Z299" s="1357"/>
      <c r="AA299" s="1358"/>
      <c r="AB299" s="1358"/>
      <c r="AC299" s="1358"/>
      <c r="AD299" s="1359"/>
      <c r="AE299" s="1360">
        <v>6288177.777777778</v>
      </c>
      <c r="AF299" s="1371">
        <f t="shared" si="54"/>
        <v>2.6872554605887942</v>
      </c>
      <c r="AG299" s="1102">
        <v>2340000</v>
      </c>
      <c r="AH299" s="1373">
        <f t="shared" si="55"/>
        <v>6288177.777777778</v>
      </c>
      <c r="AI299" s="1024">
        <f t="shared" si="66"/>
        <v>282</v>
      </c>
      <c r="AJ299" s="1025"/>
      <c r="AK299" s="1011"/>
      <c r="AL299" s="1012"/>
      <c r="AM299" s="1012"/>
      <c r="AN299" s="1027"/>
      <c r="AO299" s="1012"/>
      <c r="AP299" s="1012"/>
      <c r="AQ299" s="1012"/>
      <c r="AR299" s="1012"/>
      <c r="AS299" s="1012"/>
      <c r="AT299" s="1012"/>
      <c r="AU299" s="1012"/>
      <c r="AV299" s="1012"/>
      <c r="AW299" s="1012"/>
      <c r="AX299" s="1012"/>
    </row>
    <row r="300" spans="1:50" s="1028" customFormat="1" ht="28.5" customHeight="1">
      <c r="A300" s="1014">
        <f>_xlfn.AGGREGATE(4,7,A$17:A299)+1</f>
        <v>283</v>
      </c>
      <c r="B300" s="363" t="s">
        <v>2060</v>
      </c>
      <c r="C300" s="1349"/>
      <c r="D300" s="1350"/>
      <c r="E300" s="81" t="str">
        <f>VLOOKUP(B300,TH.T6!B212:J542,9,FALSE)</f>
        <v>NV Phòng Tổ chức - Hành chính - Tổng hợp</v>
      </c>
      <c r="F300" s="1351"/>
      <c r="G300" s="1352"/>
      <c r="H300" s="1353"/>
      <c r="I300" s="1354"/>
      <c r="J300" s="1355"/>
      <c r="K300" s="1352"/>
      <c r="L300" s="1353"/>
      <c r="M300" s="1354"/>
      <c r="N300" s="1355"/>
      <c r="O300" s="1352"/>
      <c r="P300" s="1356"/>
      <c r="Q300" s="1357"/>
      <c r="R300" s="1357"/>
      <c r="S300" s="1357"/>
      <c r="T300" s="1357"/>
      <c r="U300" s="1357"/>
      <c r="V300" s="1357"/>
      <c r="W300" s="1357"/>
      <c r="X300" s="1357"/>
      <c r="Y300" s="1357"/>
      <c r="Z300" s="1357"/>
      <c r="AA300" s="1358"/>
      <c r="AB300" s="1358"/>
      <c r="AC300" s="1358"/>
      <c r="AD300" s="1359"/>
      <c r="AE300" s="1360">
        <v>16371275.468599034</v>
      </c>
      <c r="AF300" s="1371">
        <f t="shared" si="54"/>
        <v>6.9962715677773648</v>
      </c>
      <c r="AG300" s="1102">
        <v>2340000</v>
      </c>
      <c r="AH300" s="1373">
        <f t="shared" si="55"/>
        <v>16371275.468599034</v>
      </c>
      <c r="AI300" s="1024">
        <f t="shared" si="66"/>
        <v>283</v>
      </c>
      <c r="AJ300" s="1025"/>
      <c r="AK300" s="1011"/>
      <c r="AL300" s="1012"/>
      <c r="AM300" s="1012"/>
      <c r="AN300" s="1027"/>
      <c r="AO300" s="1012"/>
      <c r="AP300" s="1012"/>
      <c r="AQ300" s="1012"/>
      <c r="AR300" s="1012"/>
      <c r="AS300" s="1012"/>
      <c r="AT300" s="1012"/>
      <c r="AU300" s="1012"/>
      <c r="AV300" s="1012"/>
      <c r="AW300" s="1012"/>
      <c r="AX300" s="1012"/>
    </row>
    <row r="301" spans="1:50" s="1028" customFormat="1" ht="28.5" customHeight="1">
      <c r="A301" s="1014">
        <f>_xlfn.AGGREGATE(4,7,A$17:A300)+1</f>
        <v>284</v>
      </c>
      <c r="B301" s="563" t="s">
        <v>2062</v>
      </c>
      <c r="C301" s="1388"/>
      <c r="D301" s="1389"/>
      <c r="E301" s="554" t="str">
        <f>VLOOKUP(B301,TH.T6!B213:J543,9,FALSE)</f>
        <v>NV P. QT 
Dịch vụ</v>
      </c>
      <c r="F301" s="1390"/>
      <c r="G301" s="1391"/>
      <c r="H301" s="1392"/>
      <c r="I301" s="1393"/>
      <c r="J301" s="1394"/>
      <c r="K301" s="1391"/>
      <c r="L301" s="1392"/>
      <c r="M301" s="1393"/>
      <c r="N301" s="1394"/>
      <c r="O301" s="1391"/>
      <c r="P301" s="1395"/>
      <c r="Q301" s="1396"/>
      <c r="R301" s="1396"/>
      <c r="S301" s="1396"/>
      <c r="T301" s="1396"/>
      <c r="U301" s="1396"/>
      <c r="V301" s="1396"/>
      <c r="W301" s="1396"/>
      <c r="X301" s="1396"/>
      <c r="Y301" s="1396"/>
      <c r="Z301" s="1396"/>
      <c r="AA301" s="1397"/>
      <c r="AB301" s="1397"/>
      <c r="AC301" s="1397"/>
      <c r="AD301" s="1398"/>
      <c r="AE301" s="1399">
        <v>4070834.7407407407</v>
      </c>
      <c r="AF301" s="1400">
        <f t="shared" si="54"/>
        <v>1.7396729661285217</v>
      </c>
      <c r="AG301" s="1225">
        <v>2340000</v>
      </c>
      <c r="AH301" s="1401">
        <f t="shared" si="55"/>
        <v>4070834.7407407407</v>
      </c>
      <c r="AI301" s="1099">
        <f t="shared" si="66"/>
        <v>284</v>
      </c>
      <c r="AJ301" s="1215" t="s">
        <v>2380</v>
      </c>
      <c r="AK301" s="1011"/>
      <c r="AL301" s="1012"/>
      <c r="AM301" s="1012"/>
      <c r="AN301" s="1027"/>
      <c r="AO301" s="1012"/>
      <c r="AP301" s="1012"/>
      <c r="AQ301" s="1012"/>
      <c r="AR301" s="1012"/>
      <c r="AS301" s="1012"/>
      <c r="AT301" s="1012"/>
      <c r="AU301" s="1012"/>
      <c r="AV301" s="1012"/>
      <c r="AW301" s="1012"/>
      <c r="AX301" s="1012"/>
    </row>
    <row r="302" spans="1:50" s="1028" customFormat="1" ht="28.5" customHeight="1">
      <c r="A302" s="1014">
        <f>_xlfn.AGGREGATE(4,7,A$17:A301)+1</f>
        <v>285</v>
      </c>
      <c r="B302" s="363" t="s">
        <v>2065</v>
      </c>
      <c r="C302" s="1349"/>
      <c r="D302" s="1350"/>
      <c r="E302" s="81" t="str">
        <f>VLOOKUP(B302,TH.T6!B214:J544,9,FALSE)</f>
        <v>NV Phòng Quản trị - Dịch vụ</v>
      </c>
      <c r="F302" s="1351"/>
      <c r="G302" s="1352"/>
      <c r="H302" s="1353"/>
      <c r="I302" s="1354"/>
      <c r="J302" s="1355"/>
      <c r="K302" s="1352"/>
      <c r="L302" s="1353"/>
      <c r="M302" s="1354"/>
      <c r="N302" s="1355"/>
      <c r="O302" s="1352"/>
      <c r="P302" s="1356"/>
      <c r="Q302" s="1357"/>
      <c r="R302" s="1357"/>
      <c r="S302" s="1357"/>
      <c r="T302" s="1357"/>
      <c r="U302" s="1357"/>
      <c r="V302" s="1357"/>
      <c r="W302" s="1357"/>
      <c r="X302" s="1357"/>
      <c r="Y302" s="1357"/>
      <c r="Z302" s="1357"/>
      <c r="AA302" s="1358"/>
      <c r="AB302" s="1358"/>
      <c r="AC302" s="1358"/>
      <c r="AD302" s="1359"/>
      <c r="AE302" s="1360">
        <v>11815962.444444444</v>
      </c>
      <c r="AF302" s="1371">
        <f t="shared" si="54"/>
        <v>5.0495566001899332</v>
      </c>
      <c r="AG302" s="1102">
        <v>2340000</v>
      </c>
      <c r="AH302" s="1373">
        <f t="shared" si="55"/>
        <v>11815962.444444444</v>
      </c>
      <c r="AI302" s="1024">
        <f t="shared" si="66"/>
        <v>285</v>
      </c>
      <c r="AJ302" s="1025"/>
      <c r="AK302" s="1011"/>
      <c r="AL302" s="1012"/>
      <c r="AM302" s="1012"/>
      <c r="AN302" s="1027"/>
      <c r="AO302" s="1012"/>
      <c r="AP302" s="1012"/>
      <c r="AQ302" s="1012"/>
      <c r="AR302" s="1012"/>
      <c r="AS302" s="1012"/>
      <c r="AT302" s="1012"/>
      <c r="AU302" s="1012"/>
      <c r="AV302" s="1012"/>
      <c r="AW302" s="1012"/>
      <c r="AX302" s="1012"/>
    </row>
    <row r="303" spans="1:50" s="1028" customFormat="1" ht="28.5" customHeight="1">
      <c r="A303" s="1014">
        <f>_xlfn.AGGREGATE(4,7,A$17:A302)+1</f>
        <v>286</v>
      </c>
      <c r="B303" s="363" t="s">
        <v>2067</v>
      </c>
      <c r="C303" s="1349"/>
      <c r="D303" s="1350"/>
      <c r="E303" s="81" t="str">
        <f>VLOOKUP(B303,TH.T6!B215:J545,9,FALSE)</f>
        <v>NV bảo trì</v>
      </c>
      <c r="F303" s="1351"/>
      <c r="G303" s="1352"/>
      <c r="H303" s="1353"/>
      <c r="I303" s="1354"/>
      <c r="J303" s="1355"/>
      <c r="K303" s="1352"/>
      <c r="L303" s="1353"/>
      <c r="M303" s="1354"/>
      <c r="N303" s="1355"/>
      <c r="O303" s="1352"/>
      <c r="P303" s="1356"/>
      <c r="Q303" s="1357"/>
      <c r="R303" s="1357"/>
      <c r="S303" s="1357"/>
      <c r="T303" s="1357"/>
      <c r="U303" s="1357"/>
      <c r="V303" s="1357"/>
      <c r="W303" s="1357"/>
      <c r="X303" s="1357"/>
      <c r="Y303" s="1357"/>
      <c r="Z303" s="1357"/>
      <c r="AA303" s="1358"/>
      <c r="AB303" s="1358"/>
      <c r="AC303" s="1358"/>
      <c r="AD303" s="1359"/>
      <c r="AE303" s="1360">
        <v>17517861.407407407</v>
      </c>
      <c r="AF303" s="1371">
        <f t="shared" si="54"/>
        <v>7.4862655587211142</v>
      </c>
      <c r="AG303" s="1102">
        <v>2340000</v>
      </c>
      <c r="AH303" s="1373">
        <f t="shared" si="55"/>
        <v>17517861.407407407</v>
      </c>
      <c r="AI303" s="1024">
        <f t="shared" si="66"/>
        <v>286</v>
      </c>
      <c r="AJ303" s="1025"/>
      <c r="AK303" s="1011"/>
      <c r="AL303" s="1012"/>
      <c r="AM303" s="1012"/>
      <c r="AN303" s="1027"/>
      <c r="AO303" s="1012"/>
      <c r="AP303" s="1012"/>
      <c r="AQ303" s="1012"/>
      <c r="AR303" s="1012"/>
      <c r="AS303" s="1012"/>
      <c r="AT303" s="1012"/>
      <c r="AU303" s="1012"/>
      <c r="AV303" s="1012"/>
      <c r="AW303" s="1012"/>
      <c r="AX303" s="1012"/>
    </row>
    <row r="304" spans="1:50" s="1028" customFormat="1" ht="28.5" customHeight="1">
      <c r="A304" s="1014">
        <f>_xlfn.AGGREGATE(4,7,A$17:A303)+1</f>
        <v>287</v>
      </c>
      <c r="B304" s="363" t="s">
        <v>2069</v>
      </c>
      <c r="C304" s="1349"/>
      <c r="D304" s="1350"/>
      <c r="E304" s="81" t="str">
        <f>VLOOKUP(B304,TH.T6!B216:J546,9,FALSE)</f>
        <v>NV P. QT 
Dịch vụ</v>
      </c>
      <c r="F304" s="1351"/>
      <c r="G304" s="1352"/>
      <c r="H304" s="1353"/>
      <c r="I304" s="1354"/>
      <c r="J304" s="1355"/>
      <c r="K304" s="1352"/>
      <c r="L304" s="1353"/>
      <c r="M304" s="1354"/>
      <c r="N304" s="1355"/>
      <c r="O304" s="1352"/>
      <c r="P304" s="1356"/>
      <c r="Q304" s="1357"/>
      <c r="R304" s="1357"/>
      <c r="S304" s="1357"/>
      <c r="T304" s="1357"/>
      <c r="U304" s="1357"/>
      <c r="V304" s="1357"/>
      <c r="W304" s="1357"/>
      <c r="X304" s="1357"/>
      <c r="Y304" s="1357"/>
      <c r="Z304" s="1357"/>
      <c r="AA304" s="1358"/>
      <c r="AB304" s="1358"/>
      <c r="AC304" s="1358"/>
      <c r="AD304" s="1359"/>
      <c r="AE304" s="1360">
        <v>12612560.185185185</v>
      </c>
      <c r="AF304" s="1371">
        <f t="shared" si="54"/>
        <v>5.3899829851218737</v>
      </c>
      <c r="AG304" s="1102">
        <v>2340000</v>
      </c>
      <c r="AH304" s="1373">
        <f t="shared" si="55"/>
        <v>12612560.185185185</v>
      </c>
      <c r="AI304" s="1024">
        <f t="shared" si="66"/>
        <v>287</v>
      </c>
      <c r="AJ304" s="1025"/>
      <c r="AK304" s="1011"/>
      <c r="AL304" s="1012"/>
      <c r="AM304" s="1012"/>
      <c r="AN304" s="1027"/>
      <c r="AO304" s="1012"/>
      <c r="AP304" s="1012"/>
      <c r="AQ304" s="1012"/>
      <c r="AR304" s="1012"/>
      <c r="AS304" s="1012"/>
      <c r="AT304" s="1012"/>
      <c r="AU304" s="1012"/>
      <c r="AV304" s="1012"/>
      <c r="AW304" s="1012"/>
      <c r="AX304" s="1012"/>
    </row>
    <row r="305" spans="1:50" s="1028" customFormat="1" ht="28.5" customHeight="1">
      <c r="A305" s="1014">
        <f>_xlfn.AGGREGATE(4,7,A$17:A304)+1</f>
        <v>288</v>
      </c>
      <c r="B305" s="363" t="s">
        <v>2073</v>
      </c>
      <c r="C305" s="1349"/>
      <c r="D305" s="1350"/>
      <c r="E305" s="81" t="str">
        <f>VLOOKUP(B305,TH.T6!B217:J547,9,FALSE)</f>
        <v>NV P. QT 
Dịch vụ</v>
      </c>
      <c r="F305" s="1351"/>
      <c r="G305" s="1352"/>
      <c r="H305" s="1353"/>
      <c r="I305" s="1354"/>
      <c r="J305" s="1355"/>
      <c r="K305" s="1352"/>
      <c r="L305" s="1353"/>
      <c r="M305" s="1354"/>
      <c r="N305" s="1355"/>
      <c r="O305" s="1352"/>
      <c r="P305" s="1356"/>
      <c r="Q305" s="1357"/>
      <c r="R305" s="1357"/>
      <c r="S305" s="1357"/>
      <c r="T305" s="1357"/>
      <c r="U305" s="1357"/>
      <c r="V305" s="1357"/>
      <c r="W305" s="1357"/>
      <c r="X305" s="1357"/>
      <c r="Y305" s="1357"/>
      <c r="Z305" s="1357"/>
      <c r="AA305" s="1358"/>
      <c r="AB305" s="1358"/>
      <c r="AC305" s="1358"/>
      <c r="AD305" s="1359"/>
      <c r="AE305" s="1360">
        <v>11253298.666666668</v>
      </c>
      <c r="AF305" s="1371">
        <f t="shared" si="54"/>
        <v>4.8091019943019946</v>
      </c>
      <c r="AG305" s="1102">
        <v>2340000</v>
      </c>
      <c r="AH305" s="1373">
        <f t="shared" si="55"/>
        <v>11253298.666666668</v>
      </c>
      <c r="AI305" s="1024">
        <f t="shared" si="66"/>
        <v>288</v>
      </c>
      <c r="AJ305" s="1025"/>
      <c r="AK305" s="1011"/>
      <c r="AL305" s="1012"/>
      <c r="AM305" s="1012"/>
      <c r="AN305" s="1027"/>
      <c r="AO305" s="1012"/>
      <c r="AP305" s="1012"/>
      <c r="AQ305" s="1012"/>
      <c r="AR305" s="1012"/>
      <c r="AS305" s="1012"/>
      <c r="AT305" s="1012"/>
      <c r="AU305" s="1012"/>
      <c r="AV305" s="1012"/>
      <c r="AW305" s="1012"/>
      <c r="AX305" s="1012"/>
    </row>
    <row r="306" spans="1:50" s="1028" customFormat="1" ht="28.5" customHeight="1">
      <c r="A306" s="1014">
        <f>_xlfn.AGGREGATE(4,7,A$17:A305)+1</f>
        <v>289</v>
      </c>
      <c r="B306" s="363" t="s">
        <v>2075</v>
      </c>
      <c r="C306" s="1349"/>
      <c r="D306" s="1350"/>
      <c r="E306" s="81" t="str">
        <f>VLOOKUP(B306,TH.T6!B218:J548,9,FALSE)</f>
        <v>NV Phục vụ</v>
      </c>
      <c r="F306" s="1351"/>
      <c r="G306" s="1352"/>
      <c r="H306" s="1353"/>
      <c r="I306" s="1354"/>
      <c r="J306" s="1355"/>
      <c r="K306" s="1352"/>
      <c r="L306" s="1353"/>
      <c r="M306" s="1354"/>
      <c r="N306" s="1355"/>
      <c r="O306" s="1352"/>
      <c r="P306" s="1356"/>
      <c r="Q306" s="1357"/>
      <c r="R306" s="1357"/>
      <c r="S306" s="1357"/>
      <c r="T306" s="1357"/>
      <c r="U306" s="1357"/>
      <c r="V306" s="1357"/>
      <c r="W306" s="1357"/>
      <c r="X306" s="1357"/>
      <c r="Y306" s="1357"/>
      <c r="Z306" s="1357"/>
      <c r="AA306" s="1358"/>
      <c r="AB306" s="1358"/>
      <c r="AC306" s="1358"/>
      <c r="AD306" s="1359"/>
      <c r="AE306" s="1360">
        <v>11348747.259259259</v>
      </c>
      <c r="AF306" s="1371">
        <f t="shared" si="54"/>
        <v>4.8498919911364355</v>
      </c>
      <c r="AG306" s="1102">
        <v>2340000</v>
      </c>
      <c r="AH306" s="1373">
        <f t="shared" si="55"/>
        <v>11348747.259259259</v>
      </c>
      <c r="AI306" s="1024">
        <f t="shared" si="66"/>
        <v>289</v>
      </c>
      <c r="AJ306" s="1025"/>
      <c r="AK306" s="1011"/>
      <c r="AL306" s="1012"/>
      <c r="AM306" s="1012"/>
      <c r="AN306" s="1027"/>
      <c r="AO306" s="1012"/>
      <c r="AP306" s="1012"/>
      <c r="AQ306" s="1012"/>
      <c r="AR306" s="1012"/>
      <c r="AS306" s="1012"/>
      <c r="AT306" s="1012"/>
      <c r="AU306" s="1012"/>
      <c r="AV306" s="1012"/>
      <c r="AW306" s="1012"/>
      <c r="AX306" s="1012"/>
    </row>
    <row r="307" spans="1:50" s="1028" customFormat="1" ht="28.5" customHeight="1">
      <c r="A307" s="1014">
        <f>_xlfn.AGGREGATE(4,7,A$17:A306)+1</f>
        <v>290</v>
      </c>
      <c r="B307" s="363" t="s">
        <v>2077</v>
      </c>
      <c r="C307" s="1349"/>
      <c r="D307" s="1350"/>
      <c r="E307" s="81" t="str">
        <f>VLOOKUP(B307,TH.T6!B219:J549,9,FALSE)</f>
        <v>NV Phục vụ</v>
      </c>
      <c r="F307" s="1351"/>
      <c r="G307" s="1352"/>
      <c r="H307" s="1353"/>
      <c r="I307" s="1354"/>
      <c r="J307" s="1355"/>
      <c r="K307" s="1352"/>
      <c r="L307" s="1353"/>
      <c r="M307" s="1354"/>
      <c r="N307" s="1355"/>
      <c r="O307" s="1352"/>
      <c r="P307" s="1356"/>
      <c r="Q307" s="1357"/>
      <c r="R307" s="1357"/>
      <c r="S307" s="1357"/>
      <c r="T307" s="1357"/>
      <c r="U307" s="1357"/>
      <c r="V307" s="1357"/>
      <c r="W307" s="1357"/>
      <c r="X307" s="1357"/>
      <c r="Y307" s="1357"/>
      <c r="Z307" s="1357"/>
      <c r="AA307" s="1358"/>
      <c r="AB307" s="1358"/>
      <c r="AC307" s="1358"/>
      <c r="AD307" s="1359"/>
      <c r="AE307" s="1360">
        <v>7017780</v>
      </c>
      <c r="AF307" s="1371">
        <f t="shared" si="54"/>
        <v>2.999051282051282</v>
      </c>
      <c r="AG307" s="1102">
        <v>2340000</v>
      </c>
      <c r="AH307" s="1373">
        <f t="shared" si="55"/>
        <v>7017780</v>
      </c>
      <c r="AI307" s="1024">
        <f t="shared" si="66"/>
        <v>290</v>
      </c>
      <c r="AJ307" s="1025"/>
      <c r="AK307" s="1011"/>
      <c r="AL307" s="1012"/>
      <c r="AM307" s="1012"/>
      <c r="AN307" s="1027"/>
      <c r="AO307" s="1012"/>
      <c r="AP307" s="1012"/>
      <c r="AQ307" s="1012"/>
      <c r="AR307" s="1012"/>
      <c r="AS307" s="1012"/>
      <c r="AT307" s="1012"/>
      <c r="AU307" s="1012"/>
      <c r="AV307" s="1012"/>
      <c r="AW307" s="1012"/>
      <c r="AX307" s="1012"/>
    </row>
    <row r="308" spans="1:50" s="1028" customFormat="1" ht="28.5" customHeight="1">
      <c r="A308" s="1014">
        <f>_xlfn.AGGREGATE(4,7,A$17:A307)+1</f>
        <v>291</v>
      </c>
      <c r="B308" s="363" t="s">
        <v>2080</v>
      </c>
      <c r="C308" s="1349"/>
      <c r="D308" s="1350"/>
      <c r="E308" s="81" t="str">
        <f>VLOOKUP(B308,TH.T6!B220:J550,9,FALSE)</f>
        <v>NV Phục vụ</v>
      </c>
      <c r="F308" s="1351"/>
      <c r="G308" s="1352"/>
      <c r="H308" s="1353"/>
      <c r="I308" s="1354"/>
      <c r="J308" s="1355"/>
      <c r="K308" s="1352"/>
      <c r="L308" s="1353"/>
      <c r="M308" s="1354"/>
      <c r="N308" s="1355"/>
      <c r="O308" s="1352"/>
      <c r="P308" s="1356"/>
      <c r="Q308" s="1357"/>
      <c r="R308" s="1357"/>
      <c r="S308" s="1357"/>
      <c r="T308" s="1357"/>
      <c r="U308" s="1357"/>
      <c r="V308" s="1357"/>
      <c r="W308" s="1357"/>
      <c r="X308" s="1357"/>
      <c r="Y308" s="1357"/>
      <c r="Z308" s="1357"/>
      <c r="AA308" s="1358"/>
      <c r="AB308" s="1358"/>
      <c r="AC308" s="1358"/>
      <c r="AD308" s="1359"/>
      <c r="AE308" s="1360">
        <v>7272972</v>
      </c>
      <c r="AF308" s="1371">
        <f t="shared" si="54"/>
        <v>3.1081076923076925</v>
      </c>
      <c r="AG308" s="1102">
        <v>2340000</v>
      </c>
      <c r="AH308" s="1373">
        <f t="shared" si="55"/>
        <v>7272972</v>
      </c>
      <c r="AI308" s="1024">
        <f t="shared" si="66"/>
        <v>291</v>
      </c>
      <c r="AJ308" s="1025"/>
      <c r="AK308" s="1011"/>
      <c r="AL308" s="1012"/>
      <c r="AM308" s="1012"/>
      <c r="AN308" s="1027"/>
      <c r="AO308" s="1012"/>
      <c r="AP308" s="1012"/>
      <c r="AQ308" s="1012"/>
      <c r="AR308" s="1012"/>
      <c r="AS308" s="1012"/>
      <c r="AT308" s="1012"/>
      <c r="AU308" s="1012"/>
      <c r="AV308" s="1012"/>
      <c r="AW308" s="1012"/>
      <c r="AX308" s="1012"/>
    </row>
    <row r="309" spans="1:50" s="1028" customFormat="1" ht="28.5" customHeight="1">
      <c r="A309" s="1014">
        <f>_xlfn.AGGREGATE(4,7,A$17:A308)+1</f>
        <v>292</v>
      </c>
      <c r="B309" s="363" t="s">
        <v>2082</v>
      </c>
      <c r="C309" s="1349"/>
      <c r="D309" s="1350"/>
      <c r="E309" s="81" t="str">
        <f>VLOOKUP(B309,TH.T6!B221:J551,9,FALSE)</f>
        <v>NV Phục vụ</v>
      </c>
      <c r="F309" s="1351"/>
      <c r="G309" s="1352"/>
      <c r="H309" s="1353"/>
      <c r="I309" s="1354"/>
      <c r="J309" s="1355"/>
      <c r="K309" s="1352"/>
      <c r="L309" s="1353"/>
      <c r="M309" s="1354"/>
      <c r="N309" s="1355"/>
      <c r="O309" s="1352"/>
      <c r="P309" s="1356"/>
      <c r="Q309" s="1357"/>
      <c r="R309" s="1357"/>
      <c r="S309" s="1357"/>
      <c r="T309" s="1357"/>
      <c r="U309" s="1357"/>
      <c r="V309" s="1357"/>
      <c r="W309" s="1357"/>
      <c r="X309" s="1357"/>
      <c r="Y309" s="1357"/>
      <c r="Z309" s="1357"/>
      <c r="AA309" s="1358"/>
      <c r="AB309" s="1358"/>
      <c r="AC309" s="1358"/>
      <c r="AD309" s="1359"/>
      <c r="AE309" s="1360">
        <v>6683600</v>
      </c>
      <c r="AF309" s="1371">
        <f t="shared" si="54"/>
        <v>2.856239316239316</v>
      </c>
      <c r="AG309" s="1102">
        <v>2340000</v>
      </c>
      <c r="AH309" s="1373">
        <f t="shared" si="55"/>
        <v>6683599.9999999991</v>
      </c>
      <c r="AI309" s="1024">
        <f t="shared" si="66"/>
        <v>292</v>
      </c>
      <c r="AJ309" s="1025"/>
      <c r="AK309" s="1011"/>
      <c r="AL309" s="1012"/>
      <c r="AM309" s="1012"/>
      <c r="AN309" s="1027"/>
      <c r="AO309" s="1012"/>
      <c r="AP309" s="1012"/>
      <c r="AQ309" s="1012"/>
      <c r="AR309" s="1012"/>
      <c r="AS309" s="1012"/>
      <c r="AT309" s="1012"/>
      <c r="AU309" s="1012"/>
      <c r="AV309" s="1012"/>
      <c r="AW309" s="1012"/>
      <c r="AX309" s="1012"/>
    </row>
    <row r="310" spans="1:50" s="1028" customFormat="1" ht="28.5" customHeight="1">
      <c r="A310" s="1014">
        <f>_xlfn.AGGREGATE(4,7,A$17:A309)+1</f>
        <v>293</v>
      </c>
      <c r="B310" s="363" t="s">
        <v>2084</v>
      </c>
      <c r="C310" s="1349"/>
      <c r="D310" s="1350"/>
      <c r="E310" s="81" t="str">
        <f>VLOOKUP(B310,TH.T6!B222:J552,9,FALSE)</f>
        <v>NV Phục vụ</v>
      </c>
      <c r="F310" s="1351"/>
      <c r="G310" s="1352"/>
      <c r="H310" s="1353"/>
      <c r="I310" s="1354"/>
      <c r="J310" s="1355"/>
      <c r="K310" s="1352"/>
      <c r="L310" s="1353"/>
      <c r="M310" s="1354"/>
      <c r="N310" s="1355"/>
      <c r="O310" s="1352"/>
      <c r="P310" s="1356"/>
      <c r="Q310" s="1357"/>
      <c r="R310" s="1357"/>
      <c r="S310" s="1357"/>
      <c r="T310" s="1357"/>
      <c r="U310" s="1357"/>
      <c r="V310" s="1357"/>
      <c r="W310" s="1357"/>
      <c r="X310" s="1357"/>
      <c r="Y310" s="1357"/>
      <c r="Z310" s="1357"/>
      <c r="AA310" s="1358"/>
      <c r="AB310" s="1358"/>
      <c r="AC310" s="1358"/>
      <c r="AD310" s="1359"/>
      <c r="AE310" s="1360">
        <v>6926640</v>
      </c>
      <c r="AF310" s="1371">
        <f t="shared" si="54"/>
        <v>2.9601025641025642</v>
      </c>
      <c r="AG310" s="1102">
        <v>2340000</v>
      </c>
      <c r="AH310" s="1373">
        <f t="shared" si="55"/>
        <v>6926640</v>
      </c>
      <c r="AI310" s="1024">
        <f t="shared" si="66"/>
        <v>293</v>
      </c>
      <c r="AJ310" s="1025"/>
      <c r="AK310" s="1011"/>
      <c r="AL310" s="1012"/>
      <c r="AM310" s="1012"/>
      <c r="AN310" s="1027"/>
      <c r="AO310" s="1012"/>
      <c r="AP310" s="1012"/>
      <c r="AQ310" s="1012"/>
      <c r="AR310" s="1012"/>
      <c r="AS310" s="1012"/>
      <c r="AT310" s="1012"/>
      <c r="AU310" s="1012"/>
      <c r="AV310" s="1012"/>
      <c r="AW310" s="1012"/>
      <c r="AX310" s="1012"/>
    </row>
    <row r="311" spans="1:50" s="1028" customFormat="1" ht="28.5" customHeight="1">
      <c r="A311" s="1014">
        <f>_xlfn.AGGREGATE(4,7,A$17:A310)+1</f>
        <v>294</v>
      </c>
      <c r="B311" s="363" t="s">
        <v>2086</v>
      </c>
      <c r="C311" s="1349"/>
      <c r="D311" s="1350"/>
      <c r="E311" s="81" t="str">
        <f>VLOOKUP(B311,TH.T6!B223:J553,9,FALSE)</f>
        <v>Nhân viên phòng Quản trị - Dịch vụ</v>
      </c>
      <c r="F311" s="1351"/>
      <c r="G311" s="1352"/>
      <c r="H311" s="1353"/>
      <c r="I311" s="1354"/>
      <c r="J311" s="1355"/>
      <c r="K311" s="1352"/>
      <c r="L311" s="1353"/>
      <c r="M311" s="1354"/>
      <c r="N311" s="1355"/>
      <c r="O311" s="1352"/>
      <c r="P311" s="1356"/>
      <c r="Q311" s="1357"/>
      <c r="R311" s="1357"/>
      <c r="S311" s="1357"/>
      <c r="T311" s="1357"/>
      <c r="U311" s="1357"/>
      <c r="V311" s="1357"/>
      <c r="W311" s="1357"/>
      <c r="X311" s="1357"/>
      <c r="Y311" s="1357"/>
      <c r="Z311" s="1357"/>
      <c r="AA311" s="1358"/>
      <c r="AB311" s="1358"/>
      <c r="AC311" s="1358"/>
      <c r="AD311" s="1359"/>
      <c r="AE311" s="1360">
        <v>5832960</v>
      </c>
      <c r="AF311" s="1371">
        <f t="shared" si="54"/>
        <v>2.4927179487179489</v>
      </c>
      <c r="AG311" s="1102">
        <v>2340000</v>
      </c>
      <c r="AH311" s="1373">
        <f t="shared" si="55"/>
        <v>5832960.0000000009</v>
      </c>
      <c r="AI311" s="1024">
        <f t="shared" si="66"/>
        <v>294</v>
      </c>
      <c r="AJ311" s="1025"/>
      <c r="AK311" s="1011"/>
      <c r="AL311" s="1012"/>
      <c r="AM311" s="1012"/>
      <c r="AN311" s="1027"/>
      <c r="AO311" s="1012"/>
      <c r="AP311" s="1012"/>
      <c r="AQ311" s="1012"/>
      <c r="AR311" s="1012"/>
      <c r="AS311" s="1012"/>
      <c r="AT311" s="1012"/>
      <c r="AU311" s="1012"/>
      <c r="AV311" s="1012"/>
      <c r="AW311" s="1012"/>
      <c r="AX311" s="1012"/>
    </row>
    <row r="312" spans="1:50" s="1028" customFormat="1" ht="28.5" customHeight="1">
      <c r="A312" s="1014">
        <f>_xlfn.AGGREGATE(4,7,A$17:A311)+1</f>
        <v>295</v>
      </c>
      <c r="B312" s="363" t="s">
        <v>2087</v>
      </c>
      <c r="C312" s="1349"/>
      <c r="D312" s="1350"/>
      <c r="E312" s="81" t="str">
        <f>VLOOKUP(B312,TH.T6!B224:J554,9,FALSE)</f>
        <v>Nhân viên phòng Quản trị - Dịch vụ</v>
      </c>
      <c r="F312" s="1351"/>
      <c r="G312" s="1352"/>
      <c r="H312" s="1353"/>
      <c r="I312" s="1354"/>
      <c r="J312" s="1355"/>
      <c r="K312" s="1352"/>
      <c r="L312" s="1353"/>
      <c r="M312" s="1354"/>
      <c r="N312" s="1355"/>
      <c r="O312" s="1352"/>
      <c r="P312" s="1356"/>
      <c r="Q312" s="1357"/>
      <c r="R312" s="1357"/>
      <c r="S312" s="1357"/>
      <c r="T312" s="1357"/>
      <c r="U312" s="1357"/>
      <c r="V312" s="1357"/>
      <c r="W312" s="1357"/>
      <c r="X312" s="1357"/>
      <c r="Y312" s="1357"/>
      <c r="Z312" s="1357"/>
      <c r="AA312" s="1358"/>
      <c r="AB312" s="1358"/>
      <c r="AC312" s="1358"/>
      <c r="AD312" s="1359"/>
      <c r="AE312" s="1360">
        <v>5398292.307692308</v>
      </c>
      <c r="AF312" s="1371">
        <f t="shared" si="54"/>
        <v>2.3069625246548324</v>
      </c>
      <c r="AG312" s="1102">
        <v>2340000</v>
      </c>
      <c r="AH312" s="1373">
        <f t="shared" si="55"/>
        <v>5398292.307692308</v>
      </c>
      <c r="AI312" s="1024">
        <f t="shared" si="66"/>
        <v>295</v>
      </c>
      <c r="AJ312" s="1025"/>
      <c r="AK312" s="1011"/>
      <c r="AL312" s="1012"/>
      <c r="AM312" s="1012"/>
      <c r="AN312" s="1027"/>
      <c r="AO312" s="1012"/>
      <c r="AP312" s="1012"/>
      <c r="AQ312" s="1012"/>
      <c r="AR312" s="1012"/>
      <c r="AS312" s="1012"/>
      <c r="AT312" s="1012"/>
      <c r="AU312" s="1012"/>
      <c r="AV312" s="1012"/>
      <c r="AW312" s="1012"/>
      <c r="AX312" s="1012"/>
    </row>
    <row r="313" spans="1:50" s="1028" customFormat="1" ht="28.5" customHeight="1">
      <c r="A313" s="1014">
        <f>_xlfn.AGGREGATE(4,7,A$17:A312)+1</f>
        <v>296</v>
      </c>
      <c r="B313" s="363" t="s">
        <v>2245</v>
      </c>
      <c r="C313" s="1349"/>
      <c r="D313" s="1350"/>
      <c r="E313" s="81" t="str">
        <f>VLOOKUP(B313,TH.T6!B225:J555,9,FALSE)</f>
        <v>Nhân viên phòng Quản trị - Dịch vụ</v>
      </c>
      <c r="F313" s="1351"/>
      <c r="G313" s="1352"/>
      <c r="H313" s="1353"/>
      <c r="I313" s="1354"/>
      <c r="J313" s="1355"/>
      <c r="K313" s="1352"/>
      <c r="L313" s="1353"/>
      <c r="M313" s="1354"/>
      <c r="N313" s="1355"/>
      <c r="O313" s="1352"/>
      <c r="P313" s="1356"/>
      <c r="Q313" s="1357"/>
      <c r="R313" s="1357"/>
      <c r="S313" s="1357"/>
      <c r="T313" s="1357"/>
      <c r="U313" s="1357"/>
      <c r="V313" s="1357"/>
      <c r="W313" s="1357"/>
      <c r="X313" s="1357"/>
      <c r="Y313" s="1357"/>
      <c r="Z313" s="1357"/>
      <c r="AA313" s="1358"/>
      <c r="AB313" s="1358"/>
      <c r="AC313" s="1358"/>
      <c r="AD313" s="1359"/>
      <c r="AE313" s="1360">
        <v>9974814.3589743599</v>
      </c>
      <c r="AF313" s="1371">
        <f t="shared" si="54"/>
        <v>4.2627411790488718</v>
      </c>
      <c r="AG313" s="1102">
        <v>2340000</v>
      </c>
      <c r="AH313" s="1373">
        <f t="shared" si="55"/>
        <v>9974814.3589743599</v>
      </c>
      <c r="AI313" s="1024">
        <f t="shared" si="66"/>
        <v>296</v>
      </c>
      <c r="AJ313" s="1025"/>
      <c r="AK313" s="1011"/>
      <c r="AL313" s="1012"/>
      <c r="AM313" s="1012"/>
      <c r="AN313" s="1027"/>
      <c r="AO313" s="1012"/>
      <c r="AP313" s="1012"/>
      <c r="AQ313" s="1012"/>
      <c r="AR313" s="1012"/>
      <c r="AS313" s="1012"/>
      <c r="AT313" s="1012"/>
      <c r="AU313" s="1012"/>
      <c r="AV313" s="1012"/>
      <c r="AW313" s="1012"/>
      <c r="AX313" s="1012"/>
    </row>
    <row r="314" spans="1:50" s="1028" customFormat="1" ht="28.5" customHeight="1">
      <c r="A314" s="1014">
        <f>_xlfn.AGGREGATE(4,7,A$17:A313)+1</f>
        <v>297</v>
      </c>
      <c r="B314" s="363" t="s">
        <v>2253</v>
      </c>
      <c r="C314" s="1349"/>
      <c r="D314" s="1350"/>
      <c r="E314" s="81" t="str">
        <f>VLOOKUP(B314,TH.T6!B226:J556,9,FALSE)</f>
        <v>Nhân viên phòng Quản trị - Dịch vụ</v>
      </c>
      <c r="F314" s="1351"/>
      <c r="G314" s="1352"/>
      <c r="H314" s="1353"/>
      <c r="I314" s="1354"/>
      <c r="J314" s="1355"/>
      <c r="K314" s="1352"/>
      <c r="L314" s="1353"/>
      <c r="M314" s="1354"/>
      <c r="N314" s="1355"/>
      <c r="O314" s="1352"/>
      <c r="P314" s="1356"/>
      <c r="Q314" s="1357"/>
      <c r="R314" s="1357"/>
      <c r="S314" s="1357"/>
      <c r="T314" s="1357"/>
      <c r="U314" s="1357"/>
      <c r="V314" s="1357"/>
      <c r="W314" s="1357"/>
      <c r="X314" s="1357"/>
      <c r="Y314" s="1357"/>
      <c r="Z314" s="1357"/>
      <c r="AA314" s="1358"/>
      <c r="AB314" s="1358"/>
      <c r="AC314" s="1358"/>
      <c r="AD314" s="1359"/>
      <c r="AE314" s="1360">
        <v>7858738.461538462</v>
      </c>
      <c r="AF314" s="1371">
        <f t="shared" si="54"/>
        <v>3.3584352399737019</v>
      </c>
      <c r="AG314" s="1102">
        <v>2340000</v>
      </c>
      <c r="AH314" s="1373">
        <f t="shared" si="55"/>
        <v>7858738.461538462</v>
      </c>
      <c r="AI314" s="1024">
        <f t="shared" si="66"/>
        <v>297</v>
      </c>
      <c r="AJ314" s="1025"/>
      <c r="AK314" s="1011"/>
      <c r="AL314" s="1012"/>
      <c r="AM314" s="1012"/>
      <c r="AN314" s="1027"/>
      <c r="AO314" s="1012"/>
      <c r="AP314" s="1012"/>
      <c r="AQ314" s="1012"/>
      <c r="AR314" s="1012"/>
      <c r="AS314" s="1012"/>
      <c r="AT314" s="1012"/>
      <c r="AU314" s="1012"/>
      <c r="AV314" s="1012"/>
      <c r="AW314" s="1012"/>
      <c r="AX314" s="1012"/>
    </row>
    <row r="315" spans="1:50" s="1028" customFormat="1" ht="28.5" customHeight="1">
      <c r="A315" s="1014">
        <f>_xlfn.AGGREGATE(4,7,A$17:A314)+1</f>
        <v>298</v>
      </c>
      <c r="B315" s="363" t="s">
        <v>2088</v>
      </c>
      <c r="C315" s="1349"/>
      <c r="D315" s="1350"/>
      <c r="E315" s="81" t="str">
        <f>VLOOKUP(B315,TH.T6!B227:J557,9,FALSE)</f>
        <v>Nhân viên phòng Quản trị - Dịch vụ</v>
      </c>
      <c r="F315" s="1351"/>
      <c r="G315" s="1352"/>
      <c r="H315" s="1353"/>
      <c r="I315" s="1354"/>
      <c r="J315" s="1355"/>
      <c r="K315" s="1352"/>
      <c r="L315" s="1353"/>
      <c r="M315" s="1354"/>
      <c r="N315" s="1355"/>
      <c r="O315" s="1352"/>
      <c r="P315" s="1356"/>
      <c r="Q315" s="1357"/>
      <c r="R315" s="1357"/>
      <c r="S315" s="1357"/>
      <c r="T315" s="1357"/>
      <c r="U315" s="1357"/>
      <c r="V315" s="1357"/>
      <c r="W315" s="1357"/>
      <c r="X315" s="1357"/>
      <c r="Y315" s="1357"/>
      <c r="Z315" s="1357"/>
      <c r="AA315" s="1358"/>
      <c r="AB315" s="1358"/>
      <c r="AC315" s="1358"/>
      <c r="AD315" s="1359"/>
      <c r="AE315" s="1360">
        <v>7715555.555555556</v>
      </c>
      <c r="AF315" s="1371">
        <f t="shared" si="54"/>
        <v>3.2972459639126308</v>
      </c>
      <c r="AG315" s="1102">
        <v>2340000</v>
      </c>
      <c r="AH315" s="1373">
        <f t="shared" si="55"/>
        <v>7715555.555555556</v>
      </c>
      <c r="AI315" s="1024">
        <f t="shared" si="66"/>
        <v>298</v>
      </c>
      <c r="AJ315" s="1025"/>
      <c r="AK315" s="1011"/>
      <c r="AL315" s="1012"/>
      <c r="AM315" s="1012"/>
      <c r="AN315" s="1027"/>
      <c r="AO315" s="1012"/>
      <c r="AP315" s="1012"/>
      <c r="AQ315" s="1012"/>
      <c r="AR315" s="1012"/>
      <c r="AS315" s="1012"/>
      <c r="AT315" s="1012"/>
      <c r="AU315" s="1012"/>
      <c r="AV315" s="1012"/>
      <c r="AW315" s="1012"/>
      <c r="AX315" s="1012"/>
    </row>
    <row r="316" spans="1:50" s="1028" customFormat="1" ht="24" customHeight="1">
      <c r="A316" s="1014">
        <f>_xlfn.AGGREGATE(4,7,A$17:A315)+1</f>
        <v>299</v>
      </c>
      <c r="B316" s="363" t="s">
        <v>2089</v>
      </c>
      <c r="C316" s="1349"/>
      <c r="D316" s="1350"/>
      <c r="E316" s="81" t="str">
        <f>VLOOKUP(B316,TH.T6!B228:J558,9,FALSE)</f>
        <v>Nhân viên Y tế</v>
      </c>
      <c r="F316" s="1351"/>
      <c r="G316" s="1352"/>
      <c r="H316" s="1353"/>
      <c r="I316" s="1354"/>
      <c r="J316" s="1355"/>
      <c r="K316" s="1352"/>
      <c r="L316" s="1353"/>
      <c r="M316" s="1354"/>
      <c r="N316" s="1355"/>
      <c r="O316" s="1352"/>
      <c r="P316" s="1356"/>
      <c r="Q316" s="1357"/>
      <c r="R316" s="1357"/>
      <c r="S316" s="1357"/>
      <c r="T316" s="1357"/>
      <c r="U316" s="1357"/>
      <c r="V316" s="1357"/>
      <c r="W316" s="1357"/>
      <c r="X316" s="1357"/>
      <c r="Y316" s="1357"/>
      <c r="Z316" s="1357"/>
      <c r="AA316" s="1358"/>
      <c r="AB316" s="1358"/>
      <c r="AC316" s="1358"/>
      <c r="AD316" s="1359"/>
      <c r="AE316" s="1360">
        <v>13607924</v>
      </c>
      <c r="AF316" s="1371">
        <f t="shared" si="54"/>
        <v>5.8153521367521366</v>
      </c>
      <c r="AG316" s="1102">
        <v>2340000</v>
      </c>
      <c r="AH316" s="1373">
        <f t="shared" si="55"/>
        <v>13607924</v>
      </c>
      <c r="AI316" s="1024">
        <f t="shared" si="66"/>
        <v>299</v>
      </c>
      <c r="AJ316" s="1025"/>
      <c r="AK316" s="1011"/>
      <c r="AL316" s="1012"/>
      <c r="AM316" s="1012"/>
      <c r="AN316" s="1027"/>
      <c r="AO316" s="1012"/>
      <c r="AP316" s="1012"/>
      <c r="AQ316" s="1012"/>
      <c r="AR316" s="1012"/>
      <c r="AS316" s="1012"/>
      <c r="AT316" s="1012"/>
      <c r="AU316" s="1012"/>
      <c r="AV316" s="1012"/>
      <c r="AW316" s="1012"/>
      <c r="AX316" s="1012"/>
    </row>
    <row r="317" spans="1:50" s="1028" customFormat="1" ht="24" customHeight="1">
      <c r="A317" s="1014">
        <f>_xlfn.AGGREGATE(4,7,A$17:A316)+1</f>
        <v>300</v>
      </c>
      <c r="B317" s="363" t="s">
        <v>2091</v>
      </c>
      <c r="C317" s="1349"/>
      <c r="D317" s="1350"/>
      <c r="E317" s="81" t="str">
        <f>VLOOKUP(B317,TH.T6!B229:J559,9,FALSE)</f>
        <v>Nhân viên Ký túc xá</v>
      </c>
      <c r="F317" s="1351"/>
      <c r="G317" s="1352"/>
      <c r="H317" s="1353"/>
      <c r="I317" s="1354"/>
      <c r="J317" s="1355"/>
      <c r="K317" s="1352"/>
      <c r="L317" s="1353"/>
      <c r="M317" s="1354"/>
      <c r="N317" s="1355"/>
      <c r="O317" s="1352"/>
      <c r="P317" s="1356"/>
      <c r="Q317" s="1357"/>
      <c r="R317" s="1357"/>
      <c r="S317" s="1357"/>
      <c r="T317" s="1357"/>
      <c r="U317" s="1357"/>
      <c r="V317" s="1357"/>
      <c r="W317" s="1357"/>
      <c r="X317" s="1357"/>
      <c r="Y317" s="1357"/>
      <c r="Z317" s="1357"/>
      <c r="AA317" s="1358"/>
      <c r="AB317" s="1358"/>
      <c r="AC317" s="1358"/>
      <c r="AD317" s="1359"/>
      <c r="AE317" s="1360">
        <v>5328184.615384615</v>
      </c>
      <c r="AF317" s="1371">
        <f t="shared" si="54"/>
        <v>2.2770019723865875</v>
      </c>
      <c r="AG317" s="1102">
        <v>2340000</v>
      </c>
      <c r="AH317" s="1373">
        <f t="shared" si="55"/>
        <v>5328184.615384615</v>
      </c>
      <c r="AI317" s="1024">
        <f t="shared" si="66"/>
        <v>300</v>
      </c>
      <c r="AJ317" s="1025"/>
      <c r="AK317" s="1011"/>
      <c r="AL317" s="1012"/>
      <c r="AM317" s="1012"/>
      <c r="AN317" s="1027"/>
      <c r="AO317" s="1012"/>
      <c r="AP317" s="1012"/>
      <c r="AQ317" s="1012"/>
      <c r="AR317" s="1012"/>
      <c r="AS317" s="1012"/>
      <c r="AT317" s="1012"/>
      <c r="AU317" s="1012"/>
      <c r="AV317" s="1012"/>
      <c r="AW317" s="1012"/>
      <c r="AX317" s="1012"/>
    </row>
    <row r="318" spans="1:50" s="1028" customFormat="1" ht="24" customHeight="1">
      <c r="A318" s="1014">
        <f>_xlfn.AGGREGATE(4,7,A$17:A317)+1</f>
        <v>301</v>
      </c>
      <c r="B318" s="33" t="s">
        <v>2092</v>
      </c>
      <c r="C318" s="1349"/>
      <c r="D318" s="1350"/>
      <c r="E318" s="81" t="str">
        <f>VLOOKUP(B318,TH.T6!B230:J560,9,FALSE)</f>
        <v>Nhân viên</v>
      </c>
      <c r="F318" s="1351"/>
      <c r="G318" s="1352"/>
      <c r="H318" s="1353"/>
      <c r="I318" s="1354"/>
      <c r="J318" s="1355"/>
      <c r="K318" s="1352"/>
      <c r="L318" s="1353"/>
      <c r="M318" s="1354"/>
      <c r="N318" s="1355"/>
      <c r="O318" s="1352"/>
      <c r="P318" s="1356"/>
      <c r="Q318" s="1357"/>
      <c r="R318" s="1357"/>
      <c r="S318" s="1357"/>
      <c r="T318" s="1357"/>
      <c r="U318" s="1357"/>
      <c r="V318" s="1357"/>
      <c r="W318" s="1357"/>
      <c r="X318" s="1357"/>
      <c r="Y318" s="1357"/>
      <c r="Z318" s="1357"/>
      <c r="AA318" s="1358"/>
      <c r="AB318" s="1358"/>
      <c r="AC318" s="1358"/>
      <c r="AD318" s="1359"/>
      <c r="AE318" s="1360">
        <v>31842342</v>
      </c>
      <c r="AF318" s="1371">
        <f t="shared" si="54"/>
        <v>13.607838461538462</v>
      </c>
      <c r="AG318" s="1102">
        <v>2340000</v>
      </c>
      <c r="AH318" s="1373">
        <f t="shared" si="55"/>
        <v>31842342</v>
      </c>
      <c r="AI318" s="1024">
        <f t="shared" si="66"/>
        <v>301</v>
      </c>
      <c r="AJ318" s="1025"/>
      <c r="AK318" s="1011"/>
      <c r="AL318" s="1012"/>
      <c r="AM318" s="1012"/>
      <c r="AN318" s="1027"/>
      <c r="AO318" s="1012"/>
      <c r="AP318" s="1012"/>
      <c r="AQ318" s="1012"/>
      <c r="AR318" s="1012"/>
      <c r="AS318" s="1012"/>
      <c r="AT318" s="1012"/>
      <c r="AU318" s="1012"/>
      <c r="AV318" s="1012"/>
      <c r="AW318" s="1012"/>
      <c r="AX318" s="1012"/>
    </row>
    <row r="319" spans="1:50" s="1028" customFormat="1" ht="24" customHeight="1">
      <c r="A319" s="1014">
        <f>_xlfn.AGGREGATE(4,7,A$17:A318)+1</f>
        <v>302</v>
      </c>
      <c r="B319" s="363" t="s">
        <v>2094</v>
      </c>
      <c r="C319" s="1349"/>
      <c r="D319" s="1350"/>
      <c r="E319" s="81" t="str">
        <f>VLOOKUP(B319,TH.T6!B231:J561,9,FALSE)</f>
        <v>NV Kế toán</v>
      </c>
      <c r="F319" s="1351"/>
      <c r="G319" s="1352"/>
      <c r="H319" s="1353"/>
      <c r="I319" s="1354"/>
      <c r="J319" s="1355"/>
      <c r="K319" s="1352"/>
      <c r="L319" s="1353"/>
      <c r="M319" s="1354"/>
      <c r="N319" s="1355"/>
      <c r="O319" s="1352"/>
      <c r="P319" s="1356"/>
      <c r="Q319" s="1357"/>
      <c r="R319" s="1357"/>
      <c r="S319" s="1357"/>
      <c r="T319" s="1357"/>
      <c r="U319" s="1357"/>
      <c r="V319" s="1357"/>
      <c r="W319" s="1357"/>
      <c r="X319" s="1357"/>
      <c r="Y319" s="1357"/>
      <c r="Z319" s="1357"/>
      <c r="AA319" s="1358"/>
      <c r="AB319" s="1358"/>
      <c r="AC319" s="1358"/>
      <c r="AD319" s="1359"/>
      <c r="AE319" s="1360">
        <v>15575366.370370369</v>
      </c>
      <c r="AF319" s="1371">
        <f t="shared" si="54"/>
        <v>6.6561394745172517</v>
      </c>
      <c r="AG319" s="1102">
        <v>2340000</v>
      </c>
      <c r="AH319" s="1373">
        <f t="shared" si="55"/>
        <v>15575366.370370369</v>
      </c>
      <c r="AI319" s="1024">
        <f t="shared" si="66"/>
        <v>302</v>
      </c>
      <c r="AJ319" s="1025"/>
      <c r="AK319" s="1011"/>
      <c r="AL319" s="1012"/>
      <c r="AM319" s="1012"/>
      <c r="AN319" s="1027"/>
      <c r="AO319" s="1012"/>
      <c r="AP319" s="1012"/>
      <c r="AQ319" s="1012"/>
      <c r="AR319" s="1012"/>
      <c r="AS319" s="1012"/>
      <c r="AT319" s="1012"/>
      <c r="AU319" s="1012"/>
      <c r="AV319" s="1012"/>
      <c r="AW319" s="1012"/>
      <c r="AX319" s="1012"/>
    </row>
    <row r="320" spans="1:50" s="1028" customFormat="1" ht="24" customHeight="1">
      <c r="A320" s="1014">
        <f>_xlfn.AGGREGATE(4,7,A$17:A319)+1</f>
        <v>303</v>
      </c>
      <c r="B320" s="1402" t="s">
        <v>2096</v>
      </c>
      <c r="C320" s="1403"/>
      <c r="D320" s="1404"/>
      <c r="E320" s="514" t="str">
        <f>VLOOKUP(B320,TH.T6!B232:J562,9,FALSE)</f>
        <v>NV Kế toán</v>
      </c>
      <c r="F320" s="1405"/>
      <c r="G320" s="1406"/>
      <c r="H320" s="1407"/>
      <c r="I320" s="1408"/>
      <c r="J320" s="1409"/>
      <c r="K320" s="1406"/>
      <c r="L320" s="1407"/>
      <c r="M320" s="1408"/>
      <c r="N320" s="1409"/>
      <c r="O320" s="1406"/>
      <c r="P320" s="1410"/>
      <c r="Q320" s="1411"/>
      <c r="R320" s="1411"/>
      <c r="S320" s="1411"/>
      <c r="T320" s="1411"/>
      <c r="U320" s="1411"/>
      <c r="V320" s="1411"/>
      <c r="W320" s="1411"/>
      <c r="X320" s="1411"/>
      <c r="Y320" s="1411"/>
      <c r="Z320" s="1411"/>
      <c r="AA320" s="1412"/>
      <c r="AB320" s="1412"/>
      <c r="AC320" s="1412"/>
      <c r="AD320" s="1413"/>
      <c r="AE320" s="1414">
        <v>8506698</v>
      </c>
      <c r="AF320" s="1415">
        <f t="shared" si="54"/>
        <v>3.6353410256410257</v>
      </c>
      <c r="AG320" s="1416">
        <v>2340000</v>
      </c>
      <c r="AH320" s="1417">
        <f>AF320*AG320+3186378</f>
        <v>11693076</v>
      </c>
      <c r="AI320" s="1418">
        <f t="shared" si="66"/>
        <v>303</v>
      </c>
      <c r="AJ320" s="1419" t="s">
        <v>2379</v>
      </c>
      <c r="AK320" s="1011"/>
      <c r="AL320" s="1012"/>
      <c r="AM320" s="1012"/>
      <c r="AN320" s="1027"/>
      <c r="AO320" s="1012"/>
      <c r="AP320" s="1012"/>
      <c r="AQ320" s="1012"/>
      <c r="AR320" s="1012"/>
      <c r="AS320" s="1012"/>
      <c r="AT320" s="1012"/>
      <c r="AU320" s="1012"/>
      <c r="AV320" s="1012"/>
      <c r="AW320" s="1012"/>
      <c r="AX320" s="1012"/>
    </row>
    <row r="321" spans="1:50" s="1028" customFormat="1" ht="24" customHeight="1">
      <c r="A321" s="1014">
        <f>_xlfn.AGGREGATE(4,7,A$17:A320)+1</f>
        <v>304</v>
      </c>
      <c r="B321" s="363" t="s">
        <v>2098</v>
      </c>
      <c r="C321" s="1349"/>
      <c r="D321" s="1350"/>
      <c r="E321" s="81" t="str">
        <f>VLOOKUP(B321,TH.T6!B233:J563,9,FALSE)</f>
        <v>NV Kế toán</v>
      </c>
      <c r="F321" s="1351"/>
      <c r="G321" s="1352"/>
      <c r="H321" s="1353"/>
      <c r="I321" s="1354"/>
      <c r="J321" s="1355"/>
      <c r="K321" s="1352"/>
      <c r="L321" s="1353"/>
      <c r="M321" s="1354"/>
      <c r="N321" s="1355"/>
      <c r="O321" s="1352"/>
      <c r="P321" s="1356"/>
      <c r="Q321" s="1357"/>
      <c r="R321" s="1357"/>
      <c r="S321" s="1357"/>
      <c r="T321" s="1357"/>
      <c r="U321" s="1357"/>
      <c r="V321" s="1357"/>
      <c r="W321" s="1357"/>
      <c r="X321" s="1357"/>
      <c r="Y321" s="1357"/>
      <c r="Z321" s="1357"/>
      <c r="AA321" s="1358"/>
      <c r="AB321" s="1358"/>
      <c r="AC321" s="1358"/>
      <c r="AD321" s="1359"/>
      <c r="AE321" s="1360">
        <v>11679831.666666666</v>
      </c>
      <c r="AF321" s="1371">
        <f t="shared" si="54"/>
        <v>4.9913810541310539</v>
      </c>
      <c r="AG321" s="1102">
        <v>2340000</v>
      </c>
      <c r="AH321" s="1373">
        <f t="shared" si="55"/>
        <v>11679831.666666666</v>
      </c>
      <c r="AI321" s="1024">
        <f t="shared" si="66"/>
        <v>304</v>
      </c>
      <c r="AJ321" s="1025"/>
      <c r="AK321" s="1011"/>
      <c r="AL321" s="1012"/>
      <c r="AM321" s="1012"/>
      <c r="AN321" s="1027"/>
      <c r="AO321" s="1012"/>
      <c r="AP321" s="1012"/>
      <c r="AQ321" s="1012"/>
      <c r="AR321" s="1012"/>
      <c r="AS321" s="1012"/>
      <c r="AT321" s="1012"/>
      <c r="AU321" s="1012"/>
      <c r="AV321" s="1012"/>
      <c r="AW321" s="1012"/>
      <c r="AX321" s="1012"/>
    </row>
    <row r="322" spans="1:50" s="1028" customFormat="1" ht="24" customHeight="1">
      <c r="A322" s="1014">
        <f>_xlfn.AGGREGATE(4,7,A$17:A321)+1</f>
        <v>305</v>
      </c>
      <c r="B322" s="363" t="s">
        <v>2099</v>
      </c>
      <c r="C322" s="1349"/>
      <c r="D322" s="1350"/>
      <c r="E322" s="81" t="str">
        <f>VLOOKUP(B322,TH.T6!B234:J564,9,FALSE)</f>
        <v>NV Kế toán</v>
      </c>
      <c r="F322" s="1351"/>
      <c r="G322" s="1352"/>
      <c r="H322" s="1353"/>
      <c r="I322" s="1354"/>
      <c r="J322" s="1355"/>
      <c r="K322" s="1352"/>
      <c r="L322" s="1353"/>
      <c r="M322" s="1354"/>
      <c r="N322" s="1355"/>
      <c r="O322" s="1352"/>
      <c r="P322" s="1356"/>
      <c r="Q322" s="1357"/>
      <c r="R322" s="1357"/>
      <c r="S322" s="1357"/>
      <c r="T322" s="1357"/>
      <c r="U322" s="1357"/>
      <c r="V322" s="1357"/>
      <c r="W322" s="1357"/>
      <c r="X322" s="1357"/>
      <c r="Y322" s="1357"/>
      <c r="Z322" s="1357"/>
      <c r="AA322" s="1358"/>
      <c r="AB322" s="1358"/>
      <c r="AC322" s="1358"/>
      <c r="AD322" s="1359"/>
      <c r="AE322" s="1360">
        <v>10915731</v>
      </c>
      <c r="AF322" s="1371">
        <f t="shared" si="54"/>
        <v>4.6648423076923073</v>
      </c>
      <c r="AG322" s="1102">
        <v>2340000</v>
      </c>
      <c r="AH322" s="1373">
        <f t="shared" si="55"/>
        <v>10915731</v>
      </c>
      <c r="AI322" s="1024">
        <f t="shared" si="66"/>
        <v>305</v>
      </c>
      <c r="AJ322" s="1025"/>
      <c r="AK322" s="1011"/>
      <c r="AL322" s="1012"/>
      <c r="AM322" s="1012"/>
      <c r="AN322" s="1027"/>
      <c r="AO322" s="1012"/>
      <c r="AP322" s="1012"/>
      <c r="AQ322" s="1012"/>
      <c r="AR322" s="1012"/>
      <c r="AS322" s="1012"/>
      <c r="AT322" s="1012"/>
      <c r="AU322" s="1012"/>
      <c r="AV322" s="1012"/>
      <c r="AW322" s="1012"/>
      <c r="AX322" s="1012"/>
    </row>
    <row r="323" spans="1:50" s="1028" customFormat="1" ht="24" customHeight="1">
      <c r="A323" s="1014">
        <f>_xlfn.AGGREGATE(4,7,A$17:A322)+1</f>
        <v>306</v>
      </c>
      <c r="B323" s="363" t="s">
        <v>2100</v>
      </c>
      <c r="C323" s="1349"/>
      <c r="D323" s="1350"/>
      <c r="E323" s="81" t="str">
        <f>VLOOKUP(B323,TH.T6!B235:J565,9,FALSE)</f>
        <v>Nhân viên</v>
      </c>
      <c r="F323" s="1351"/>
      <c r="G323" s="1352"/>
      <c r="H323" s="1353"/>
      <c r="I323" s="1354"/>
      <c r="J323" s="1355"/>
      <c r="K323" s="1352"/>
      <c r="L323" s="1353"/>
      <c r="M323" s="1354"/>
      <c r="N323" s="1355"/>
      <c r="O323" s="1352"/>
      <c r="P323" s="1356"/>
      <c r="Q323" s="1357"/>
      <c r="R323" s="1357"/>
      <c r="S323" s="1357"/>
      <c r="T323" s="1357"/>
      <c r="U323" s="1357"/>
      <c r="V323" s="1357"/>
      <c r="W323" s="1357"/>
      <c r="X323" s="1357"/>
      <c r="Y323" s="1357"/>
      <c r="Z323" s="1357"/>
      <c r="AA323" s="1358"/>
      <c r="AB323" s="1358"/>
      <c r="AC323" s="1358"/>
      <c r="AD323" s="1359"/>
      <c r="AE323" s="1360">
        <v>12546577</v>
      </c>
      <c r="AF323" s="1371">
        <f t="shared" si="54"/>
        <v>5.3617850427350424</v>
      </c>
      <c r="AG323" s="1102">
        <v>2340000</v>
      </c>
      <c r="AH323" s="1373">
        <f t="shared" si="55"/>
        <v>12546577</v>
      </c>
      <c r="AI323" s="1024">
        <f t="shared" si="66"/>
        <v>306</v>
      </c>
      <c r="AJ323" s="1025"/>
      <c r="AK323" s="1011"/>
      <c r="AL323" s="1012"/>
      <c r="AM323" s="1012"/>
      <c r="AN323" s="1027"/>
      <c r="AO323" s="1012"/>
      <c r="AP323" s="1012"/>
      <c r="AQ323" s="1012"/>
      <c r="AR323" s="1012"/>
      <c r="AS323" s="1012"/>
      <c r="AT323" s="1012"/>
      <c r="AU323" s="1012"/>
      <c r="AV323" s="1012"/>
      <c r="AW323" s="1012"/>
      <c r="AX323" s="1012"/>
    </row>
    <row r="324" spans="1:50" s="1028" customFormat="1" ht="29.25" customHeight="1">
      <c r="A324" s="1014">
        <f>_xlfn.AGGREGATE(4,7,A$17:A323)+1</f>
        <v>307</v>
      </c>
      <c r="B324" s="363" t="s">
        <v>2102</v>
      </c>
      <c r="C324" s="1349"/>
      <c r="D324" s="1350"/>
      <c r="E324" s="81" t="str">
        <f>VLOOKUP(B324,TH.T6!B236:J566,9,FALSE)</f>
        <v>NV Phòng Quản trị - Dịch vụ</v>
      </c>
      <c r="F324" s="1351"/>
      <c r="G324" s="1352"/>
      <c r="H324" s="1353"/>
      <c r="I324" s="1354"/>
      <c r="J324" s="1355"/>
      <c r="K324" s="1352"/>
      <c r="L324" s="1353"/>
      <c r="M324" s="1354"/>
      <c r="N324" s="1355"/>
      <c r="O324" s="1352"/>
      <c r="P324" s="1356"/>
      <c r="Q324" s="1357"/>
      <c r="R324" s="1357"/>
      <c r="S324" s="1357"/>
      <c r="T324" s="1357"/>
      <c r="U324" s="1357"/>
      <c r="V324" s="1357"/>
      <c r="W324" s="1357"/>
      <c r="X324" s="1357"/>
      <c r="Y324" s="1357"/>
      <c r="Z324" s="1357"/>
      <c r="AA324" s="1358"/>
      <c r="AB324" s="1358"/>
      <c r="AC324" s="1358"/>
      <c r="AD324" s="1359"/>
      <c r="AE324" s="1360">
        <v>9198556.8888888881</v>
      </c>
      <c r="AF324" s="1371">
        <f t="shared" si="54"/>
        <v>3.9310072174738839</v>
      </c>
      <c r="AG324" s="1102">
        <v>2340000</v>
      </c>
      <c r="AH324" s="1373">
        <f t="shared" si="55"/>
        <v>9198556.8888888881</v>
      </c>
      <c r="AI324" s="1024">
        <f t="shared" si="66"/>
        <v>307</v>
      </c>
      <c r="AJ324" s="1025"/>
      <c r="AK324" s="1011"/>
      <c r="AL324" s="1012"/>
      <c r="AM324" s="1012"/>
      <c r="AN324" s="1027"/>
      <c r="AO324" s="1012"/>
      <c r="AP324" s="1012"/>
      <c r="AQ324" s="1012"/>
      <c r="AR324" s="1012"/>
      <c r="AS324" s="1012"/>
      <c r="AT324" s="1012"/>
      <c r="AU324" s="1012"/>
      <c r="AV324" s="1012"/>
      <c r="AW324" s="1012"/>
      <c r="AX324" s="1012"/>
    </row>
    <row r="325" spans="1:50" s="1028" customFormat="1" ht="29.25" customHeight="1">
      <c r="A325" s="1014">
        <f>_xlfn.AGGREGATE(4,7,A$17:A324)+1</f>
        <v>308</v>
      </c>
      <c r="B325" s="363" t="s">
        <v>2106</v>
      </c>
      <c r="C325" s="1349"/>
      <c r="D325" s="1350"/>
      <c r="E325" s="81" t="str">
        <f>VLOOKUP(B325,TH.T6!B237:J567,9,FALSE)</f>
        <v>Nhân viên phòng Thanh tra GD - Quan hệ DN</v>
      </c>
      <c r="F325" s="1351"/>
      <c r="G325" s="1352"/>
      <c r="H325" s="1353"/>
      <c r="I325" s="1354"/>
      <c r="J325" s="1355"/>
      <c r="K325" s="1352"/>
      <c r="L325" s="1353"/>
      <c r="M325" s="1354"/>
      <c r="N325" s="1355"/>
      <c r="O325" s="1352"/>
      <c r="P325" s="1356"/>
      <c r="Q325" s="1357"/>
      <c r="R325" s="1357"/>
      <c r="S325" s="1357"/>
      <c r="T325" s="1357"/>
      <c r="U325" s="1357"/>
      <c r="V325" s="1357"/>
      <c r="W325" s="1357"/>
      <c r="X325" s="1357"/>
      <c r="Y325" s="1357"/>
      <c r="Z325" s="1357"/>
      <c r="AA325" s="1358"/>
      <c r="AB325" s="1358"/>
      <c r="AC325" s="1358"/>
      <c r="AD325" s="1359"/>
      <c r="AE325" s="1360">
        <v>11611683</v>
      </c>
      <c r="AF325" s="1371">
        <f t="shared" si="54"/>
        <v>4.9622576923076922</v>
      </c>
      <c r="AG325" s="1102">
        <v>2340000</v>
      </c>
      <c r="AH325" s="1373">
        <f t="shared" si="55"/>
        <v>11611683</v>
      </c>
      <c r="AI325" s="1024">
        <f t="shared" si="66"/>
        <v>308</v>
      </c>
      <c r="AJ325" s="1025"/>
      <c r="AK325" s="1011"/>
      <c r="AL325" s="1012"/>
      <c r="AM325" s="1012"/>
      <c r="AN325" s="1027"/>
      <c r="AO325" s="1012"/>
      <c r="AP325" s="1012"/>
      <c r="AQ325" s="1012"/>
      <c r="AR325" s="1012"/>
      <c r="AS325" s="1012"/>
      <c r="AT325" s="1012"/>
      <c r="AU325" s="1012"/>
      <c r="AV325" s="1012"/>
      <c r="AW325" s="1012"/>
      <c r="AX325" s="1012"/>
    </row>
    <row r="326" spans="1:50" s="1028" customFormat="1" ht="29.25" customHeight="1">
      <c r="A326" s="1014">
        <f>_xlfn.AGGREGATE(4,7,A$17:A325)+1</f>
        <v>309</v>
      </c>
      <c r="B326" s="363" t="s">
        <v>2108</v>
      </c>
      <c r="C326" s="1349"/>
      <c r="D326" s="1350"/>
      <c r="E326" s="81" t="str">
        <f>VLOOKUP(B326,TH.T6!B238:J568,9,FALSE)</f>
        <v>Nhân viên phòng Thanh tra GD - Quan hệ DN</v>
      </c>
      <c r="F326" s="1351"/>
      <c r="G326" s="1352"/>
      <c r="H326" s="1353"/>
      <c r="I326" s="1354"/>
      <c r="J326" s="1355"/>
      <c r="K326" s="1352"/>
      <c r="L326" s="1353"/>
      <c r="M326" s="1354"/>
      <c r="N326" s="1355"/>
      <c r="O326" s="1352"/>
      <c r="P326" s="1356"/>
      <c r="Q326" s="1357"/>
      <c r="R326" s="1357"/>
      <c r="S326" s="1357"/>
      <c r="T326" s="1357"/>
      <c r="U326" s="1357"/>
      <c r="V326" s="1357"/>
      <c r="W326" s="1357"/>
      <c r="X326" s="1357"/>
      <c r="Y326" s="1357"/>
      <c r="Z326" s="1357"/>
      <c r="AA326" s="1358"/>
      <c r="AB326" s="1358"/>
      <c r="AC326" s="1358"/>
      <c r="AD326" s="1359"/>
      <c r="AE326" s="1360">
        <v>9646976.8499938063</v>
      </c>
      <c r="AF326" s="1371">
        <f t="shared" si="54"/>
        <v>4.122639679484533</v>
      </c>
      <c r="AG326" s="1102">
        <v>2340000</v>
      </c>
      <c r="AH326" s="1373">
        <f t="shared" si="55"/>
        <v>9646976.8499938082</v>
      </c>
      <c r="AI326" s="1024">
        <f t="shared" si="66"/>
        <v>309</v>
      </c>
      <c r="AJ326" s="1025"/>
      <c r="AK326" s="1011"/>
      <c r="AL326" s="1012"/>
      <c r="AM326" s="1012"/>
      <c r="AN326" s="1027"/>
      <c r="AO326" s="1012"/>
      <c r="AP326" s="1012"/>
      <c r="AQ326" s="1012"/>
      <c r="AR326" s="1012"/>
      <c r="AS326" s="1012"/>
      <c r="AT326" s="1012"/>
      <c r="AU326" s="1012"/>
      <c r="AV326" s="1012"/>
      <c r="AW326" s="1012"/>
      <c r="AX326" s="1012"/>
    </row>
    <row r="327" spans="1:50" s="1028" customFormat="1" ht="39" customHeight="1">
      <c r="A327" s="1014">
        <f>_xlfn.AGGREGATE(4,7,A$17:A326)+1</f>
        <v>310</v>
      </c>
      <c r="B327" s="363" t="s">
        <v>2109</v>
      </c>
      <c r="C327" s="1349"/>
      <c r="D327" s="1350"/>
      <c r="E327" s="81" t="str">
        <f>VLOOKUP(B327,TH.T6!B239:J569,9,FALSE)</f>
        <v>Nhân viên phòng Thanh tra GD - Quan hệ DN</v>
      </c>
      <c r="F327" s="1351"/>
      <c r="G327" s="1352"/>
      <c r="H327" s="1353"/>
      <c r="I327" s="1354"/>
      <c r="J327" s="1355"/>
      <c r="K327" s="1352"/>
      <c r="L327" s="1353"/>
      <c r="M327" s="1354"/>
      <c r="N327" s="1355"/>
      <c r="O327" s="1352"/>
      <c r="P327" s="1356"/>
      <c r="Q327" s="1357"/>
      <c r="R327" s="1357"/>
      <c r="S327" s="1357"/>
      <c r="T327" s="1357"/>
      <c r="U327" s="1357"/>
      <c r="V327" s="1357"/>
      <c r="W327" s="1357"/>
      <c r="X327" s="1357"/>
      <c r="Y327" s="1357"/>
      <c r="Z327" s="1357"/>
      <c r="AA327" s="1358"/>
      <c r="AB327" s="1358"/>
      <c r="AC327" s="1358"/>
      <c r="AD327" s="1359"/>
      <c r="AE327" s="1360">
        <v>9778175.7948717959</v>
      </c>
      <c r="AF327" s="1371">
        <f t="shared" si="54"/>
        <v>4.1787076046460667</v>
      </c>
      <c r="AG327" s="1102">
        <v>2340000</v>
      </c>
      <c r="AH327" s="1373">
        <f t="shared" si="55"/>
        <v>9778175.7948717959</v>
      </c>
      <c r="AI327" s="1024">
        <f t="shared" si="66"/>
        <v>310</v>
      </c>
      <c r="AJ327" s="1025"/>
      <c r="AK327" s="1011"/>
      <c r="AL327" s="1012"/>
      <c r="AM327" s="1012"/>
      <c r="AN327" s="1027"/>
      <c r="AO327" s="1012"/>
      <c r="AP327" s="1012"/>
      <c r="AQ327" s="1012"/>
      <c r="AR327" s="1012"/>
      <c r="AS327" s="1012"/>
      <c r="AT327" s="1012"/>
      <c r="AU327" s="1012"/>
      <c r="AV327" s="1012"/>
      <c r="AW327" s="1012"/>
      <c r="AX327" s="1012"/>
    </row>
    <row r="328" spans="1:50" s="1028" customFormat="1" ht="29.25" customHeight="1">
      <c r="A328" s="1014">
        <f>_xlfn.AGGREGATE(4,7,A$17:A327)+1</f>
        <v>311</v>
      </c>
      <c r="B328" s="363" t="s">
        <v>2110</v>
      </c>
      <c r="C328" s="1349"/>
      <c r="D328" s="1350"/>
      <c r="E328" s="81" t="str">
        <f>VLOOKUP(B328,TH.T6!B240:J570,9,FALSE)</f>
        <v>Nhân viên phòng Quản trị - Dịch vụ</v>
      </c>
      <c r="F328" s="1351"/>
      <c r="G328" s="1352"/>
      <c r="H328" s="1353"/>
      <c r="I328" s="1354"/>
      <c r="J328" s="1355"/>
      <c r="K328" s="1352"/>
      <c r="L328" s="1353"/>
      <c r="M328" s="1354"/>
      <c r="N328" s="1355"/>
      <c r="O328" s="1352"/>
      <c r="P328" s="1356"/>
      <c r="Q328" s="1357"/>
      <c r="R328" s="1357"/>
      <c r="S328" s="1357"/>
      <c r="T328" s="1357"/>
      <c r="U328" s="1357"/>
      <c r="V328" s="1357"/>
      <c r="W328" s="1357"/>
      <c r="X328" s="1357"/>
      <c r="Y328" s="1357"/>
      <c r="Z328" s="1357"/>
      <c r="AA328" s="1358"/>
      <c r="AB328" s="1358"/>
      <c r="AC328" s="1358"/>
      <c r="AD328" s="1359"/>
      <c r="AE328" s="1360">
        <v>8343360.666666666</v>
      </c>
      <c r="AF328" s="1371">
        <f t="shared" si="54"/>
        <v>3.565538746438746</v>
      </c>
      <c r="AG328" s="1102">
        <v>2340000</v>
      </c>
      <c r="AH328" s="1373">
        <f t="shared" si="55"/>
        <v>8343360.666666666</v>
      </c>
      <c r="AI328" s="1024">
        <f t="shared" si="66"/>
        <v>311</v>
      </c>
      <c r="AJ328" s="1025"/>
      <c r="AK328" s="1011"/>
      <c r="AL328" s="1012"/>
      <c r="AM328" s="1012"/>
      <c r="AN328" s="1027"/>
      <c r="AO328" s="1012"/>
      <c r="AP328" s="1012"/>
      <c r="AQ328" s="1012"/>
      <c r="AR328" s="1012"/>
      <c r="AS328" s="1012"/>
      <c r="AT328" s="1012"/>
      <c r="AU328" s="1012"/>
      <c r="AV328" s="1012"/>
      <c r="AW328" s="1012"/>
      <c r="AX328" s="1012"/>
    </row>
    <row r="329" spans="1:50" s="1028" customFormat="1" ht="29.25" customHeight="1">
      <c r="A329" s="1014">
        <f>_xlfn.AGGREGATE(4,7,A$17:A328)+1</f>
        <v>312</v>
      </c>
      <c r="B329" s="363" t="s">
        <v>2113</v>
      </c>
      <c r="C329" s="1349"/>
      <c r="D329" s="1350"/>
      <c r="E329" s="81" t="str">
        <f>VLOOKUP(B329,TH.T6!B241:J571,9,FALSE)</f>
        <v>Nhân viên phòng Thanh tra GD - Quan hệ DN</v>
      </c>
      <c r="F329" s="1351"/>
      <c r="G329" s="1352"/>
      <c r="H329" s="1353"/>
      <c r="I329" s="1354"/>
      <c r="J329" s="1355"/>
      <c r="K329" s="1352"/>
      <c r="L329" s="1353"/>
      <c r="M329" s="1354"/>
      <c r="N329" s="1355"/>
      <c r="O329" s="1352"/>
      <c r="P329" s="1356"/>
      <c r="Q329" s="1357"/>
      <c r="R329" s="1357"/>
      <c r="S329" s="1357"/>
      <c r="T329" s="1357"/>
      <c r="U329" s="1357"/>
      <c r="V329" s="1357"/>
      <c r="W329" s="1357"/>
      <c r="X329" s="1357"/>
      <c r="Y329" s="1357"/>
      <c r="Z329" s="1357"/>
      <c r="AA329" s="1358"/>
      <c r="AB329" s="1358"/>
      <c r="AC329" s="1358"/>
      <c r="AD329" s="1359"/>
      <c r="AE329" s="1360">
        <v>8543053.0170940161</v>
      </c>
      <c r="AF329" s="1371">
        <f t="shared" si="54"/>
        <v>3.6508773577324853</v>
      </c>
      <c r="AG329" s="1102">
        <v>2340000</v>
      </c>
      <c r="AH329" s="1373">
        <f t="shared" si="55"/>
        <v>8543053.0170940161</v>
      </c>
      <c r="AI329" s="1024">
        <f t="shared" si="66"/>
        <v>312</v>
      </c>
      <c r="AJ329" s="1025"/>
      <c r="AK329" s="1011"/>
      <c r="AL329" s="1012"/>
      <c r="AM329" s="1012"/>
      <c r="AN329" s="1027"/>
      <c r="AO329" s="1012"/>
      <c r="AP329" s="1012"/>
      <c r="AQ329" s="1012"/>
      <c r="AR329" s="1012"/>
      <c r="AS329" s="1012"/>
      <c r="AT329" s="1012"/>
      <c r="AU329" s="1012"/>
      <c r="AV329" s="1012"/>
      <c r="AW329" s="1012"/>
      <c r="AX329" s="1012"/>
    </row>
    <row r="330" spans="1:50" s="1028" customFormat="1" ht="29.25" customHeight="1">
      <c r="A330" s="1014">
        <f>_xlfn.AGGREGATE(4,7,A$17:A329)+1</f>
        <v>313</v>
      </c>
      <c r="B330" s="363" t="s">
        <v>2114</v>
      </c>
      <c r="C330" s="1349"/>
      <c r="D330" s="1350"/>
      <c r="E330" s="81" t="str">
        <f>VLOOKUP(B330,TH.T6!B242:J572,9,FALSE)</f>
        <v>Nhân viên phòng KHCN &amp; HTQT</v>
      </c>
      <c r="F330" s="1351"/>
      <c r="G330" s="1352"/>
      <c r="H330" s="1353"/>
      <c r="I330" s="1354"/>
      <c r="J330" s="1355"/>
      <c r="K330" s="1352"/>
      <c r="L330" s="1353"/>
      <c r="M330" s="1354"/>
      <c r="N330" s="1355"/>
      <c r="O330" s="1352"/>
      <c r="P330" s="1356"/>
      <c r="Q330" s="1357"/>
      <c r="R330" s="1357"/>
      <c r="S330" s="1357"/>
      <c r="T330" s="1357"/>
      <c r="U330" s="1357"/>
      <c r="V330" s="1357"/>
      <c r="W330" s="1357"/>
      <c r="X330" s="1357"/>
      <c r="Y330" s="1357"/>
      <c r="Z330" s="1357"/>
      <c r="AA330" s="1358"/>
      <c r="AB330" s="1358"/>
      <c r="AC330" s="1358"/>
      <c r="AD330" s="1359"/>
      <c r="AE330" s="1360">
        <v>15714918.423076924</v>
      </c>
      <c r="AF330" s="1371">
        <f t="shared" si="54"/>
        <v>6.7157771038790273</v>
      </c>
      <c r="AG330" s="1102">
        <v>2340000</v>
      </c>
      <c r="AH330" s="1373">
        <f t="shared" si="55"/>
        <v>15714918.423076924</v>
      </c>
      <c r="AI330" s="1024">
        <f t="shared" si="66"/>
        <v>313</v>
      </c>
      <c r="AJ330" s="1025"/>
      <c r="AK330" s="1011"/>
      <c r="AL330" s="1012"/>
      <c r="AM330" s="1012"/>
      <c r="AN330" s="1027"/>
      <c r="AO330" s="1012"/>
      <c r="AP330" s="1012"/>
      <c r="AQ330" s="1012"/>
      <c r="AR330" s="1012"/>
      <c r="AS330" s="1012"/>
      <c r="AT330" s="1012"/>
      <c r="AU330" s="1012"/>
      <c r="AV330" s="1012"/>
      <c r="AW330" s="1012"/>
      <c r="AX330" s="1012"/>
    </row>
    <row r="331" spans="1:50" s="1028" customFormat="1" ht="29.25" customHeight="1">
      <c r="A331" s="1014">
        <f>_xlfn.AGGREGATE(4,7,A$17:A330)+1</f>
        <v>314</v>
      </c>
      <c r="B331" s="363" t="s">
        <v>2117</v>
      </c>
      <c r="C331" s="1349"/>
      <c r="D331" s="1350"/>
      <c r="E331" s="81" t="str">
        <f>VLOOKUP(B331,TH.T6!B243:J573,9,FALSE)</f>
        <v>Nhân viên phòng KHCN &amp; HTQT</v>
      </c>
      <c r="F331" s="1351"/>
      <c r="G331" s="1352"/>
      <c r="H331" s="1353"/>
      <c r="I331" s="1354"/>
      <c r="J331" s="1355"/>
      <c r="K331" s="1352"/>
      <c r="L331" s="1353"/>
      <c r="M331" s="1354"/>
      <c r="N331" s="1355"/>
      <c r="O331" s="1352"/>
      <c r="P331" s="1356"/>
      <c r="Q331" s="1357"/>
      <c r="R331" s="1357"/>
      <c r="S331" s="1357"/>
      <c r="T331" s="1357"/>
      <c r="U331" s="1357"/>
      <c r="V331" s="1357"/>
      <c r="W331" s="1357"/>
      <c r="X331" s="1357"/>
      <c r="Y331" s="1357"/>
      <c r="Z331" s="1357"/>
      <c r="AA331" s="1358"/>
      <c r="AB331" s="1358"/>
      <c r="AC331" s="1358"/>
      <c r="AD331" s="1359"/>
      <c r="AE331" s="1360">
        <v>10197471.391304348</v>
      </c>
      <c r="AF331" s="1371">
        <f t="shared" si="54"/>
        <v>4.3578937569676697</v>
      </c>
      <c r="AG331" s="1102">
        <v>2340000</v>
      </c>
      <c r="AH331" s="1373">
        <f t="shared" si="55"/>
        <v>10197471.391304348</v>
      </c>
      <c r="AI331" s="1024">
        <f t="shared" si="66"/>
        <v>314</v>
      </c>
      <c r="AJ331" s="1025"/>
      <c r="AK331" s="1011"/>
      <c r="AL331" s="1012"/>
      <c r="AM331" s="1012"/>
      <c r="AN331" s="1027"/>
      <c r="AO331" s="1012"/>
      <c r="AP331" s="1012"/>
      <c r="AQ331" s="1012"/>
      <c r="AR331" s="1012"/>
      <c r="AS331" s="1012"/>
      <c r="AT331" s="1012"/>
      <c r="AU331" s="1012"/>
      <c r="AV331" s="1012"/>
      <c r="AW331" s="1012"/>
      <c r="AX331" s="1012"/>
    </row>
    <row r="332" spans="1:50" s="1028" customFormat="1" ht="39.75" customHeight="1">
      <c r="A332" s="1014">
        <f>_xlfn.AGGREGATE(4,7,A$17:A331)+1</f>
        <v>315</v>
      </c>
      <c r="B332" s="363" t="s">
        <v>2119</v>
      </c>
      <c r="C332" s="1349"/>
      <c r="D332" s="1350"/>
      <c r="E332" s="81" t="str">
        <f>VLOOKUP(B332,TH.T6!B244:J574,9,FALSE)</f>
        <v>Nhân viên phòng Thanh tra GD - Quan hệ DN</v>
      </c>
      <c r="F332" s="1351"/>
      <c r="G332" s="1352"/>
      <c r="H332" s="1353"/>
      <c r="I332" s="1354"/>
      <c r="J332" s="1355"/>
      <c r="K332" s="1352"/>
      <c r="L332" s="1353"/>
      <c r="M332" s="1354"/>
      <c r="N332" s="1355"/>
      <c r="O332" s="1352"/>
      <c r="P332" s="1356"/>
      <c r="Q332" s="1357"/>
      <c r="R332" s="1357"/>
      <c r="S332" s="1357"/>
      <c r="T332" s="1357"/>
      <c r="U332" s="1357"/>
      <c r="V332" s="1357"/>
      <c r="W332" s="1357"/>
      <c r="X332" s="1357"/>
      <c r="Y332" s="1357"/>
      <c r="Z332" s="1357"/>
      <c r="AA332" s="1358"/>
      <c r="AB332" s="1358"/>
      <c r="AC332" s="1358"/>
      <c r="AD332" s="1359"/>
      <c r="AE332" s="1360">
        <v>10937184</v>
      </c>
      <c r="AF332" s="1371">
        <f t="shared" si="54"/>
        <v>4.6740102564102566</v>
      </c>
      <c r="AG332" s="1102">
        <v>2340000</v>
      </c>
      <c r="AH332" s="1373">
        <f t="shared" si="55"/>
        <v>10937184</v>
      </c>
      <c r="AI332" s="1024">
        <f t="shared" si="66"/>
        <v>315</v>
      </c>
      <c r="AJ332" s="1025"/>
      <c r="AK332" s="1011"/>
      <c r="AL332" s="1012"/>
      <c r="AM332" s="1012"/>
      <c r="AN332" s="1027"/>
      <c r="AO332" s="1012"/>
      <c r="AP332" s="1012"/>
      <c r="AQ332" s="1012"/>
      <c r="AR332" s="1012"/>
      <c r="AS332" s="1012"/>
      <c r="AT332" s="1012"/>
      <c r="AU332" s="1012"/>
      <c r="AV332" s="1012"/>
      <c r="AW332" s="1012"/>
      <c r="AX332" s="1012"/>
    </row>
    <row r="333" spans="1:50" s="1028" customFormat="1" ht="39.75" customHeight="1">
      <c r="A333" s="1014">
        <f>_xlfn.AGGREGATE(4,7,A$17:A332)+1</f>
        <v>316</v>
      </c>
      <c r="B333" s="363" t="s">
        <v>2123</v>
      </c>
      <c r="C333" s="1349"/>
      <c r="D333" s="1350"/>
      <c r="E333" s="81" t="str">
        <f>VLOOKUP(B333,TH.T6!B245:J575,9,FALSE)</f>
        <v>Nhân viên phòng Thanh tra GD - Quan hệ DN</v>
      </c>
      <c r="F333" s="1351"/>
      <c r="G333" s="1352"/>
      <c r="H333" s="1353"/>
      <c r="I333" s="1354"/>
      <c r="J333" s="1355"/>
      <c r="K333" s="1352"/>
      <c r="L333" s="1353"/>
      <c r="M333" s="1354"/>
      <c r="N333" s="1355"/>
      <c r="O333" s="1352"/>
      <c r="P333" s="1356"/>
      <c r="Q333" s="1357"/>
      <c r="R333" s="1357"/>
      <c r="S333" s="1357"/>
      <c r="T333" s="1357"/>
      <c r="U333" s="1357"/>
      <c r="V333" s="1357"/>
      <c r="W333" s="1357"/>
      <c r="X333" s="1357"/>
      <c r="Y333" s="1357"/>
      <c r="Z333" s="1357"/>
      <c r="AA333" s="1358"/>
      <c r="AB333" s="1358"/>
      <c r="AC333" s="1358"/>
      <c r="AD333" s="1359"/>
      <c r="AE333" s="1360">
        <v>10188581.983896941</v>
      </c>
      <c r="AF333" s="1371">
        <f t="shared" si="54"/>
        <v>4.3540948649132227</v>
      </c>
      <c r="AG333" s="1102">
        <v>2340000</v>
      </c>
      <c r="AH333" s="1373">
        <f t="shared" si="55"/>
        <v>10188581.983896941</v>
      </c>
      <c r="AI333" s="1024">
        <f t="shared" si="66"/>
        <v>316</v>
      </c>
      <c r="AJ333" s="1025"/>
      <c r="AK333" s="1011"/>
      <c r="AL333" s="1012"/>
      <c r="AM333" s="1012"/>
      <c r="AN333" s="1027"/>
      <c r="AO333" s="1012"/>
      <c r="AP333" s="1012"/>
      <c r="AQ333" s="1012"/>
      <c r="AR333" s="1012"/>
      <c r="AS333" s="1012"/>
      <c r="AT333" s="1012"/>
      <c r="AU333" s="1012"/>
      <c r="AV333" s="1012"/>
      <c r="AW333" s="1012"/>
      <c r="AX333" s="1012"/>
    </row>
    <row r="334" spans="1:50" s="1028" customFormat="1" ht="29.25" customHeight="1">
      <c r="A334" s="1014">
        <f>_xlfn.AGGREGATE(4,7,A$17:A333)+1</f>
        <v>317</v>
      </c>
      <c r="B334" s="363" t="s">
        <v>2125</v>
      </c>
      <c r="C334" s="1349"/>
      <c r="D334" s="1350"/>
      <c r="E334" s="81" t="str">
        <f>VLOOKUP(B334,TH.T6!B246:J576,9,FALSE)</f>
        <v>NV Phòng Tuyển sinh - Đào tạo</v>
      </c>
      <c r="F334" s="1351"/>
      <c r="G334" s="1352"/>
      <c r="H334" s="1353"/>
      <c r="I334" s="1354"/>
      <c r="J334" s="1355"/>
      <c r="K334" s="1352"/>
      <c r="L334" s="1353"/>
      <c r="M334" s="1354"/>
      <c r="N334" s="1355"/>
      <c r="O334" s="1352"/>
      <c r="P334" s="1356"/>
      <c r="Q334" s="1357"/>
      <c r="R334" s="1357"/>
      <c r="S334" s="1357"/>
      <c r="T334" s="1357"/>
      <c r="U334" s="1357"/>
      <c r="V334" s="1357"/>
      <c r="W334" s="1357"/>
      <c r="X334" s="1357"/>
      <c r="Y334" s="1357"/>
      <c r="Z334" s="1357"/>
      <c r="AA334" s="1358"/>
      <c r="AB334" s="1358"/>
      <c r="AC334" s="1358"/>
      <c r="AD334" s="1359"/>
      <c r="AE334" s="1360">
        <v>14461669.42995169</v>
      </c>
      <c r="AF334" s="1371">
        <f t="shared" si="54"/>
        <v>6.1802006110904655</v>
      </c>
      <c r="AG334" s="1102">
        <v>2340000</v>
      </c>
      <c r="AH334" s="1373">
        <f t="shared" si="55"/>
        <v>14461669.42995169</v>
      </c>
      <c r="AI334" s="1024">
        <f t="shared" si="66"/>
        <v>317</v>
      </c>
      <c r="AJ334" s="1025"/>
      <c r="AK334" s="1011"/>
      <c r="AL334" s="1012"/>
      <c r="AM334" s="1012"/>
      <c r="AN334" s="1027"/>
      <c r="AO334" s="1012"/>
      <c r="AP334" s="1012"/>
      <c r="AQ334" s="1012"/>
      <c r="AR334" s="1012"/>
      <c r="AS334" s="1012"/>
      <c r="AT334" s="1012"/>
      <c r="AU334" s="1012"/>
      <c r="AV334" s="1012"/>
      <c r="AW334" s="1012"/>
      <c r="AX334" s="1012"/>
    </row>
    <row r="335" spans="1:50" s="1028" customFormat="1" ht="29.25" customHeight="1">
      <c r="A335" s="1014">
        <f>_xlfn.AGGREGATE(4,7,A$17:A334)+1</f>
        <v>318</v>
      </c>
      <c r="B335" s="363" t="s">
        <v>2128</v>
      </c>
      <c r="C335" s="1349"/>
      <c r="D335" s="1350"/>
      <c r="E335" s="81" t="str">
        <f>VLOOKUP(B335,TH.T6!B247:J577,9,FALSE)</f>
        <v>NV phòng TS - Đào tạo</v>
      </c>
      <c r="F335" s="1351"/>
      <c r="G335" s="1352"/>
      <c r="H335" s="1353"/>
      <c r="I335" s="1354"/>
      <c r="J335" s="1355"/>
      <c r="K335" s="1352"/>
      <c r="L335" s="1353"/>
      <c r="M335" s="1354"/>
      <c r="N335" s="1355"/>
      <c r="O335" s="1352"/>
      <c r="P335" s="1356"/>
      <c r="Q335" s="1357"/>
      <c r="R335" s="1357"/>
      <c r="S335" s="1357"/>
      <c r="T335" s="1357"/>
      <c r="U335" s="1357"/>
      <c r="V335" s="1357"/>
      <c r="W335" s="1357"/>
      <c r="X335" s="1357"/>
      <c r="Y335" s="1357"/>
      <c r="Z335" s="1357"/>
      <c r="AA335" s="1358"/>
      <c r="AB335" s="1358"/>
      <c r="AC335" s="1358"/>
      <c r="AD335" s="1359"/>
      <c r="AE335" s="1360">
        <v>12012205.692307692</v>
      </c>
      <c r="AF335" s="1371">
        <f t="shared" si="54"/>
        <v>5.1334212360289282</v>
      </c>
      <c r="AG335" s="1102">
        <v>2340000</v>
      </c>
      <c r="AH335" s="1373">
        <f t="shared" si="55"/>
        <v>12012205.692307692</v>
      </c>
      <c r="AI335" s="1024">
        <f t="shared" si="66"/>
        <v>318</v>
      </c>
      <c r="AJ335" s="1025"/>
      <c r="AK335" s="1011"/>
      <c r="AL335" s="1012"/>
      <c r="AM335" s="1012"/>
      <c r="AN335" s="1027"/>
      <c r="AO335" s="1012"/>
      <c r="AP335" s="1012"/>
      <c r="AQ335" s="1012"/>
      <c r="AR335" s="1012"/>
      <c r="AS335" s="1012"/>
      <c r="AT335" s="1012"/>
      <c r="AU335" s="1012"/>
      <c r="AV335" s="1012"/>
      <c r="AW335" s="1012"/>
      <c r="AX335" s="1012"/>
    </row>
    <row r="336" spans="1:50" s="1028" customFormat="1" ht="29.25" customHeight="1">
      <c r="A336" s="1014">
        <f>_xlfn.AGGREGATE(4,7,A$17:A335)+1</f>
        <v>319</v>
      </c>
      <c r="B336" s="363" t="s">
        <v>2131</v>
      </c>
      <c r="C336" s="1349"/>
      <c r="D336" s="1350"/>
      <c r="E336" s="81" t="str">
        <f>VLOOKUP(B336,TH.T6!B248:J578,9,FALSE)</f>
        <v>NV phòng TS - Đào tạo</v>
      </c>
      <c r="F336" s="1351"/>
      <c r="G336" s="1352"/>
      <c r="H336" s="1353"/>
      <c r="I336" s="1354"/>
      <c r="J336" s="1355"/>
      <c r="K336" s="1352"/>
      <c r="L336" s="1353"/>
      <c r="M336" s="1354"/>
      <c r="N336" s="1355"/>
      <c r="O336" s="1352"/>
      <c r="P336" s="1356"/>
      <c r="Q336" s="1357"/>
      <c r="R336" s="1357"/>
      <c r="S336" s="1357"/>
      <c r="T336" s="1357"/>
      <c r="U336" s="1357"/>
      <c r="V336" s="1357"/>
      <c r="W336" s="1357"/>
      <c r="X336" s="1357"/>
      <c r="Y336" s="1357"/>
      <c r="Z336" s="1357"/>
      <c r="AA336" s="1358"/>
      <c r="AB336" s="1358"/>
      <c r="AC336" s="1358"/>
      <c r="AD336" s="1359"/>
      <c r="AE336" s="1360">
        <v>15398373.555555556</v>
      </c>
      <c r="AF336" s="1371">
        <f t="shared" si="54"/>
        <v>6.5805015194681866</v>
      </c>
      <c r="AG336" s="1102">
        <v>2340000</v>
      </c>
      <c r="AH336" s="1373">
        <f t="shared" si="55"/>
        <v>15398373.555555556</v>
      </c>
      <c r="AI336" s="1024">
        <f t="shared" si="66"/>
        <v>319</v>
      </c>
      <c r="AJ336" s="1025"/>
      <c r="AK336" s="1011"/>
      <c r="AL336" s="1012"/>
      <c r="AM336" s="1012"/>
      <c r="AN336" s="1027"/>
      <c r="AO336" s="1012"/>
      <c r="AP336" s="1012"/>
      <c r="AQ336" s="1012"/>
      <c r="AR336" s="1012"/>
      <c r="AS336" s="1012"/>
      <c r="AT336" s="1012"/>
      <c r="AU336" s="1012"/>
      <c r="AV336" s="1012"/>
      <c r="AW336" s="1012"/>
      <c r="AX336" s="1012"/>
    </row>
    <row r="337" spans="1:50" s="1028" customFormat="1" ht="29.25" customHeight="1">
      <c r="A337" s="1014">
        <f>_xlfn.AGGREGATE(4,7,A$17:A336)+1</f>
        <v>320</v>
      </c>
      <c r="B337" s="363" t="s">
        <v>2134</v>
      </c>
      <c r="C337" s="1349"/>
      <c r="D337" s="1350"/>
      <c r="E337" s="81" t="str">
        <f>VLOOKUP(B337,TH.T6!B249:J579,9,FALSE)</f>
        <v>NV phòng TS - Đào tạo</v>
      </c>
      <c r="F337" s="1351"/>
      <c r="G337" s="1352"/>
      <c r="H337" s="1353"/>
      <c r="I337" s="1354"/>
      <c r="J337" s="1355"/>
      <c r="K337" s="1352"/>
      <c r="L337" s="1353"/>
      <c r="M337" s="1354"/>
      <c r="N337" s="1355"/>
      <c r="O337" s="1352"/>
      <c r="P337" s="1356"/>
      <c r="Q337" s="1357"/>
      <c r="R337" s="1357"/>
      <c r="S337" s="1357"/>
      <c r="T337" s="1357"/>
      <c r="U337" s="1357"/>
      <c r="V337" s="1357"/>
      <c r="W337" s="1357"/>
      <c r="X337" s="1357"/>
      <c r="Y337" s="1357"/>
      <c r="Z337" s="1357"/>
      <c r="AA337" s="1358"/>
      <c r="AB337" s="1358"/>
      <c r="AC337" s="1358"/>
      <c r="AD337" s="1359"/>
      <c r="AE337" s="1360">
        <v>16933933</v>
      </c>
      <c r="AF337" s="1371">
        <f t="shared" si="54"/>
        <v>7.2367235042735043</v>
      </c>
      <c r="AG337" s="1102">
        <v>2340000</v>
      </c>
      <c r="AH337" s="1373">
        <f t="shared" si="55"/>
        <v>16933933</v>
      </c>
      <c r="AI337" s="1024">
        <f t="shared" si="66"/>
        <v>320</v>
      </c>
      <c r="AJ337" s="1025"/>
      <c r="AK337" s="1011"/>
      <c r="AL337" s="1012"/>
      <c r="AM337" s="1012"/>
      <c r="AN337" s="1027"/>
      <c r="AO337" s="1012"/>
      <c r="AP337" s="1012"/>
      <c r="AQ337" s="1012"/>
      <c r="AR337" s="1012"/>
      <c r="AS337" s="1012"/>
      <c r="AT337" s="1012"/>
      <c r="AU337" s="1012"/>
      <c r="AV337" s="1012"/>
      <c r="AW337" s="1012"/>
      <c r="AX337" s="1012"/>
    </row>
    <row r="338" spans="1:50" s="1028" customFormat="1" ht="29.25" customHeight="1">
      <c r="A338" s="1014">
        <f>_xlfn.AGGREGATE(4,7,A$17:A337)+1</f>
        <v>321</v>
      </c>
      <c r="B338" s="363" t="s">
        <v>2137</v>
      </c>
      <c r="C338" s="1349"/>
      <c r="D338" s="1350"/>
      <c r="E338" s="81" t="str">
        <f>VLOOKUP(B338,TH.T6!B250:J580,9,FALSE)</f>
        <v>NV phòng TS - Đào tạo</v>
      </c>
      <c r="F338" s="1351"/>
      <c r="G338" s="1352"/>
      <c r="H338" s="1353"/>
      <c r="I338" s="1354"/>
      <c r="J338" s="1355"/>
      <c r="K338" s="1352"/>
      <c r="L338" s="1353"/>
      <c r="M338" s="1354"/>
      <c r="N338" s="1355"/>
      <c r="O338" s="1352"/>
      <c r="P338" s="1356"/>
      <c r="Q338" s="1357"/>
      <c r="R338" s="1357"/>
      <c r="S338" s="1357"/>
      <c r="T338" s="1357"/>
      <c r="U338" s="1357"/>
      <c r="V338" s="1357"/>
      <c r="W338" s="1357"/>
      <c r="X338" s="1357"/>
      <c r="Y338" s="1357"/>
      <c r="Z338" s="1357"/>
      <c r="AA338" s="1358"/>
      <c r="AB338" s="1358"/>
      <c r="AC338" s="1358"/>
      <c r="AD338" s="1359"/>
      <c r="AE338" s="1360">
        <v>10590539.333333332</v>
      </c>
      <c r="AF338" s="1371">
        <f t="shared" ref="AF338:AF349" si="67">AE338/AG338</f>
        <v>4.525871509971509</v>
      </c>
      <c r="AG338" s="1102">
        <v>2340000</v>
      </c>
      <c r="AH338" s="1373">
        <f t="shared" ref="AH338:AH349" si="68">AF338*AG338</f>
        <v>10590539.33333333</v>
      </c>
      <c r="AI338" s="1024">
        <f t="shared" si="66"/>
        <v>321</v>
      </c>
      <c r="AJ338" s="1025"/>
      <c r="AK338" s="1011"/>
      <c r="AL338" s="1012"/>
      <c r="AM338" s="1012"/>
      <c r="AN338" s="1027"/>
      <c r="AO338" s="1012"/>
      <c r="AP338" s="1012"/>
      <c r="AQ338" s="1012"/>
      <c r="AR338" s="1012"/>
      <c r="AS338" s="1012"/>
      <c r="AT338" s="1012"/>
      <c r="AU338" s="1012"/>
      <c r="AV338" s="1012"/>
      <c r="AW338" s="1012"/>
      <c r="AX338" s="1012"/>
    </row>
    <row r="339" spans="1:50" s="1028" customFormat="1" ht="29.25" customHeight="1">
      <c r="A339" s="1014">
        <f>_xlfn.AGGREGATE(4,7,A$17:A338)+1</f>
        <v>322</v>
      </c>
      <c r="B339" s="363" t="s">
        <v>2353</v>
      </c>
      <c r="C339" s="1349"/>
      <c r="D339" s="1350"/>
      <c r="E339" s="81" t="s">
        <v>2376</v>
      </c>
      <c r="F339" s="1351"/>
      <c r="G339" s="1352"/>
      <c r="H339" s="1353"/>
      <c r="I339" s="1354"/>
      <c r="J339" s="1355"/>
      <c r="K339" s="1352"/>
      <c r="L339" s="1353"/>
      <c r="M339" s="1354"/>
      <c r="N339" s="1355"/>
      <c r="O339" s="1352"/>
      <c r="P339" s="1356"/>
      <c r="Q339" s="1357"/>
      <c r="R339" s="1357"/>
      <c r="S339" s="1357"/>
      <c r="T339" s="1357"/>
      <c r="U339" s="1357"/>
      <c r="V339" s="1357"/>
      <c r="W339" s="1357"/>
      <c r="X339" s="1357"/>
      <c r="Y339" s="1357"/>
      <c r="Z339" s="1357"/>
      <c r="AA339" s="1358"/>
      <c r="AB339" s="1358"/>
      <c r="AC339" s="1358"/>
      <c r="AD339" s="1359"/>
      <c r="AE339" s="1360">
        <v>7778502.6433791649</v>
      </c>
      <c r="AF339" s="1371">
        <f t="shared" si="67"/>
        <v>3.3241464287945148</v>
      </c>
      <c r="AG339" s="1102">
        <v>2340000</v>
      </c>
      <c r="AH339" s="1373">
        <f t="shared" si="68"/>
        <v>7778502.6433791649</v>
      </c>
      <c r="AI339" s="1024">
        <f t="shared" si="66"/>
        <v>322</v>
      </c>
      <c r="AJ339" s="1025"/>
      <c r="AK339" s="1011"/>
      <c r="AL339" s="1012"/>
      <c r="AM339" s="1012"/>
      <c r="AN339" s="1027"/>
      <c r="AO339" s="1012"/>
      <c r="AP339" s="1012"/>
      <c r="AQ339" s="1012"/>
      <c r="AR339" s="1012"/>
      <c r="AS339" s="1012"/>
      <c r="AT339" s="1012"/>
      <c r="AU339" s="1012"/>
      <c r="AV339" s="1012"/>
      <c r="AW339" s="1012"/>
      <c r="AX339" s="1012"/>
    </row>
    <row r="340" spans="1:50" s="1028" customFormat="1" ht="29.25" customHeight="1">
      <c r="A340" s="1014">
        <f>_xlfn.AGGREGATE(4,7,A$17:A339)+1</f>
        <v>323</v>
      </c>
      <c r="B340" s="363" t="s">
        <v>2138</v>
      </c>
      <c r="C340" s="1349"/>
      <c r="D340" s="1350"/>
      <c r="E340" s="81" t="str">
        <f>VLOOKUP(B340,TH.T6!B252:J582,9,FALSE)</f>
        <v>NV TT Điều hành và QLDL</v>
      </c>
      <c r="F340" s="1351"/>
      <c r="G340" s="1352"/>
      <c r="H340" s="1353"/>
      <c r="I340" s="1354"/>
      <c r="J340" s="1355"/>
      <c r="K340" s="1352"/>
      <c r="L340" s="1353"/>
      <c r="M340" s="1354"/>
      <c r="N340" s="1355"/>
      <c r="O340" s="1352"/>
      <c r="P340" s="1356"/>
      <c r="Q340" s="1357"/>
      <c r="R340" s="1357"/>
      <c r="S340" s="1357"/>
      <c r="T340" s="1357"/>
      <c r="U340" s="1357"/>
      <c r="V340" s="1357"/>
      <c r="W340" s="1357"/>
      <c r="X340" s="1357"/>
      <c r="Y340" s="1357"/>
      <c r="Z340" s="1357"/>
      <c r="AA340" s="1358"/>
      <c r="AB340" s="1358"/>
      <c r="AC340" s="1358"/>
      <c r="AD340" s="1359"/>
      <c r="AE340" s="1360">
        <v>5534903.2424749164</v>
      </c>
      <c r="AF340" s="1371">
        <f t="shared" si="67"/>
        <v>2.3653432660149214</v>
      </c>
      <c r="AG340" s="1102">
        <v>2340000</v>
      </c>
      <c r="AH340" s="1373">
        <f t="shared" si="68"/>
        <v>5534903.2424749164</v>
      </c>
      <c r="AI340" s="1024">
        <f t="shared" si="66"/>
        <v>323</v>
      </c>
      <c r="AJ340" s="1025"/>
      <c r="AK340" s="1011"/>
      <c r="AL340" s="1012"/>
      <c r="AM340" s="1012"/>
      <c r="AN340" s="1027"/>
      <c r="AO340" s="1012"/>
      <c r="AP340" s="1012"/>
      <c r="AQ340" s="1012"/>
      <c r="AR340" s="1012"/>
      <c r="AS340" s="1012"/>
      <c r="AT340" s="1012"/>
      <c r="AU340" s="1012"/>
      <c r="AV340" s="1012"/>
      <c r="AW340" s="1012"/>
      <c r="AX340" s="1012"/>
    </row>
    <row r="341" spans="1:50" s="1028" customFormat="1" ht="29.25" customHeight="1">
      <c r="A341" s="1014">
        <f>_xlfn.AGGREGATE(4,7,A$17:A340)+1</f>
        <v>324</v>
      </c>
      <c r="B341" s="363" t="s">
        <v>2142</v>
      </c>
      <c r="C341" s="1349"/>
      <c r="D341" s="1350"/>
      <c r="E341" s="81" t="str">
        <f>VLOOKUP(B341,TH.T6!B253:J583,9,FALSE)</f>
        <v>NV TT Điều hành và QLDL</v>
      </c>
      <c r="F341" s="1351"/>
      <c r="G341" s="1352"/>
      <c r="H341" s="1353"/>
      <c r="I341" s="1354"/>
      <c r="J341" s="1355"/>
      <c r="K341" s="1352"/>
      <c r="L341" s="1353"/>
      <c r="M341" s="1354"/>
      <c r="N341" s="1355"/>
      <c r="O341" s="1352"/>
      <c r="P341" s="1356"/>
      <c r="Q341" s="1357"/>
      <c r="R341" s="1357"/>
      <c r="S341" s="1357"/>
      <c r="T341" s="1357"/>
      <c r="U341" s="1357"/>
      <c r="V341" s="1357"/>
      <c r="W341" s="1357"/>
      <c r="X341" s="1357"/>
      <c r="Y341" s="1357"/>
      <c r="Z341" s="1357"/>
      <c r="AA341" s="1358"/>
      <c r="AB341" s="1358"/>
      <c r="AC341" s="1358"/>
      <c r="AD341" s="1359"/>
      <c r="AE341" s="1360">
        <v>12878805.333333332</v>
      </c>
      <c r="AF341" s="1371">
        <f t="shared" si="67"/>
        <v>5.5037629629629627</v>
      </c>
      <c r="AG341" s="1102">
        <v>2340000</v>
      </c>
      <c r="AH341" s="1373">
        <f t="shared" si="68"/>
        <v>12878805.333333332</v>
      </c>
      <c r="AI341" s="1024">
        <f t="shared" si="66"/>
        <v>324</v>
      </c>
      <c r="AJ341" s="1025"/>
      <c r="AK341" s="1011"/>
      <c r="AL341" s="1012"/>
      <c r="AM341" s="1012"/>
      <c r="AN341" s="1027"/>
      <c r="AO341" s="1012"/>
      <c r="AP341" s="1012"/>
      <c r="AQ341" s="1012"/>
      <c r="AR341" s="1012"/>
      <c r="AS341" s="1012"/>
      <c r="AT341" s="1012"/>
      <c r="AU341" s="1012"/>
      <c r="AV341" s="1012"/>
      <c r="AW341" s="1012"/>
      <c r="AX341" s="1012"/>
    </row>
    <row r="342" spans="1:50" s="1028" customFormat="1" ht="29.25" customHeight="1">
      <c r="A342" s="1014">
        <f>_xlfn.AGGREGATE(4,7,A$17:A341)+1</f>
        <v>325</v>
      </c>
      <c r="B342" s="363" t="s">
        <v>2143</v>
      </c>
      <c r="C342" s="1349"/>
      <c r="D342" s="1350"/>
      <c r="E342" s="81" t="str">
        <f>VLOOKUP(B342,TH.T6!B254:J584,9,FALSE)</f>
        <v>NV TT Điều hành và QLDL</v>
      </c>
      <c r="F342" s="1351"/>
      <c r="G342" s="1352"/>
      <c r="H342" s="1353"/>
      <c r="I342" s="1354"/>
      <c r="J342" s="1355"/>
      <c r="K342" s="1352"/>
      <c r="L342" s="1353"/>
      <c r="M342" s="1354"/>
      <c r="N342" s="1355"/>
      <c r="O342" s="1352"/>
      <c r="P342" s="1356"/>
      <c r="Q342" s="1357"/>
      <c r="R342" s="1357"/>
      <c r="S342" s="1357"/>
      <c r="T342" s="1357"/>
      <c r="U342" s="1357"/>
      <c r="V342" s="1357"/>
      <c r="W342" s="1357"/>
      <c r="X342" s="1357"/>
      <c r="Y342" s="1357"/>
      <c r="Z342" s="1357"/>
      <c r="AA342" s="1358"/>
      <c r="AB342" s="1358"/>
      <c r="AC342" s="1358"/>
      <c r="AD342" s="1359"/>
      <c r="AE342" s="1360">
        <v>7550581.6425120775</v>
      </c>
      <c r="AF342" s="1371">
        <f t="shared" si="67"/>
        <v>3.2267442916718281</v>
      </c>
      <c r="AG342" s="1102">
        <v>2340000</v>
      </c>
      <c r="AH342" s="1373">
        <f t="shared" si="68"/>
        <v>7550581.6425120775</v>
      </c>
      <c r="AI342" s="1024">
        <f t="shared" si="66"/>
        <v>325</v>
      </c>
      <c r="AJ342" s="1025"/>
      <c r="AK342" s="1011"/>
      <c r="AL342" s="1012"/>
      <c r="AM342" s="1012"/>
      <c r="AN342" s="1027"/>
      <c r="AO342" s="1012"/>
      <c r="AP342" s="1012"/>
      <c r="AQ342" s="1012"/>
      <c r="AR342" s="1012"/>
      <c r="AS342" s="1012"/>
      <c r="AT342" s="1012"/>
      <c r="AU342" s="1012"/>
      <c r="AV342" s="1012"/>
      <c r="AW342" s="1012"/>
      <c r="AX342" s="1012"/>
    </row>
    <row r="343" spans="1:50" s="1028" customFormat="1" ht="29.25" customHeight="1">
      <c r="A343" s="1014">
        <f>_xlfn.AGGREGATE(4,7,A$17:A342)+1</f>
        <v>326</v>
      </c>
      <c r="B343" s="563" t="s">
        <v>2144</v>
      </c>
      <c r="C343" s="1388"/>
      <c r="D343" s="1389"/>
      <c r="E343" s="554" t="str">
        <f>VLOOKUP(B343,TH.T6!B255:J585,9,FALSE)</f>
        <v>NV phòng Khảo thí và ĐBCL</v>
      </c>
      <c r="F343" s="1390"/>
      <c r="G343" s="1391"/>
      <c r="H343" s="1392"/>
      <c r="I343" s="1393"/>
      <c r="J343" s="1394"/>
      <c r="K343" s="1391"/>
      <c r="L343" s="1392"/>
      <c r="M343" s="1393"/>
      <c r="N343" s="1394"/>
      <c r="O343" s="1391"/>
      <c r="P343" s="1395"/>
      <c r="Q343" s="1396"/>
      <c r="R343" s="1396"/>
      <c r="S343" s="1396"/>
      <c r="T343" s="1396"/>
      <c r="U343" s="1396"/>
      <c r="V343" s="1396"/>
      <c r="W343" s="1396"/>
      <c r="X343" s="1396"/>
      <c r="Y343" s="1396"/>
      <c r="Z343" s="1396"/>
      <c r="AA343" s="1397"/>
      <c r="AB343" s="1397"/>
      <c r="AC343" s="1397"/>
      <c r="AD343" s="1398"/>
      <c r="AE343" s="1399">
        <v>10796561.370370369</v>
      </c>
      <c r="AF343" s="1400">
        <f t="shared" si="67"/>
        <v>4.613915115542893</v>
      </c>
      <c r="AG343" s="1225">
        <v>2340000</v>
      </c>
      <c r="AH343" s="1401">
        <f t="shared" si="68"/>
        <v>10796561.370370369</v>
      </c>
      <c r="AI343" s="1099">
        <f t="shared" si="66"/>
        <v>326</v>
      </c>
      <c r="AJ343" s="1215" t="s">
        <v>2378</v>
      </c>
      <c r="AK343" s="1011"/>
      <c r="AL343" s="1012"/>
      <c r="AM343" s="1012"/>
      <c r="AN343" s="1027"/>
      <c r="AO343" s="1012"/>
      <c r="AP343" s="1012"/>
      <c r="AQ343" s="1012"/>
      <c r="AR343" s="1012"/>
      <c r="AS343" s="1012"/>
      <c r="AT343" s="1012"/>
      <c r="AU343" s="1012"/>
      <c r="AV343" s="1012"/>
      <c r="AW343" s="1012"/>
      <c r="AX343" s="1012"/>
    </row>
    <row r="344" spans="1:50" s="1028" customFormat="1" ht="29.25" customHeight="1">
      <c r="A344" s="1014">
        <f>_xlfn.AGGREGATE(4,7,A$17:A343)+1</f>
        <v>327</v>
      </c>
      <c r="B344" s="363" t="s">
        <v>2147</v>
      </c>
      <c r="C344" s="1349"/>
      <c r="D344" s="1350"/>
      <c r="E344" s="81" t="str">
        <f>VLOOKUP(B344,TH.T6!B256:J586,9,FALSE)</f>
        <v>Khoa Động lực</v>
      </c>
      <c r="F344" s="1351"/>
      <c r="G344" s="1352"/>
      <c r="H344" s="1353"/>
      <c r="I344" s="1354"/>
      <c r="J344" s="1355"/>
      <c r="K344" s="1352"/>
      <c r="L344" s="1353"/>
      <c r="M344" s="1354"/>
      <c r="N344" s="1355"/>
      <c r="O344" s="1352"/>
      <c r="P344" s="1356"/>
      <c r="Q344" s="1357"/>
      <c r="R344" s="1357"/>
      <c r="S344" s="1357"/>
      <c r="T344" s="1357"/>
      <c r="U344" s="1357"/>
      <c r="V344" s="1357"/>
      <c r="W344" s="1357"/>
      <c r="X344" s="1357"/>
      <c r="Y344" s="1357"/>
      <c r="Z344" s="1357"/>
      <c r="AA344" s="1358"/>
      <c r="AB344" s="1358"/>
      <c r="AC344" s="1358"/>
      <c r="AD344" s="1359"/>
      <c r="AE344" s="1360">
        <v>18576743.074074075</v>
      </c>
      <c r="AF344" s="1371">
        <f t="shared" si="67"/>
        <v>7.9387790914846477</v>
      </c>
      <c r="AG344" s="1102">
        <v>2340000</v>
      </c>
      <c r="AH344" s="1373">
        <f t="shared" si="68"/>
        <v>18576743.074074075</v>
      </c>
      <c r="AI344" s="1024">
        <f t="shared" si="66"/>
        <v>327</v>
      </c>
      <c r="AJ344" s="1025"/>
      <c r="AK344" s="1011"/>
      <c r="AL344" s="1012"/>
      <c r="AM344" s="1012"/>
      <c r="AN344" s="1027"/>
      <c r="AO344" s="1012"/>
      <c r="AP344" s="1012"/>
      <c r="AQ344" s="1012"/>
      <c r="AR344" s="1012"/>
      <c r="AS344" s="1012"/>
      <c r="AT344" s="1012"/>
      <c r="AU344" s="1012"/>
      <c r="AV344" s="1012"/>
      <c r="AW344" s="1012"/>
      <c r="AX344" s="1012"/>
    </row>
    <row r="345" spans="1:50" s="1028" customFormat="1" ht="29.25" customHeight="1">
      <c r="A345" s="1014">
        <f>_xlfn.AGGREGATE(4,7,A$17:A344)+1</f>
        <v>328</v>
      </c>
      <c r="B345" s="363" t="s">
        <v>2149</v>
      </c>
      <c r="C345" s="1349"/>
      <c r="D345" s="1350"/>
      <c r="E345" s="81" t="s">
        <v>2384</v>
      </c>
      <c r="F345" s="1351"/>
      <c r="G345" s="1352"/>
      <c r="H345" s="1353"/>
      <c r="I345" s="1354"/>
      <c r="J345" s="1355"/>
      <c r="K345" s="1352"/>
      <c r="L345" s="1353"/>
      <c r="M345" s="1354"/>
      <c r="N345" s="1355"/>
      <c r="O345" s="1352"/>
      <c r="P345" s="1356"/>
      <c r="Q345" s="1357"/>
      <c r="R345" s="1357"/>
      <c r="S345" s="1357"/>
      <c r="T345" s="1357"/>
      <c r="U345" s="1357"/>
      <c r="V345" s="1357"/>
      <c r="W345" s="1357"/>
      <c r="X345" s="1357"/>
      <c r="Y345" s="1357"/>
      <c r="Z345" s="1357"/>
      <c r="AA345" s="1358"/>
      <c r="AB345" s="1358"/>
      <c r="AC345" s="1358"/>
      <c r="AD345" s="1359"/>
      <c r="AE345" s="1360">
        <v>10966590</v>
      </c>
      <c r="AF345" s="1371">
        <f t="shared" si="67"/>
        <v>4.686576923076923</v>
      </c>
      <c r="AG345" s="1102">
        <v>2340000</v>
      </c>
      <c r="AH345" s="1373">
        <f t="shared" si="68"/>
        <v>10966590</v>
      </c>
      <c r="AI345" s="1024">
        <f t="shared" si="66"/>
        <v>328</v>
      </c>
      <c r="AJ345" s="1025"/>
      <c r="AK345" s="1011"/>
      <c r="AL345" s="1012"/>
      <c r="AM345" s="1012"/>
      <c r="AN345" s="1027"/>
      <c r="AO345" s="1012"/>
      <c r="AP345" s="1012"/>
      <c r="AQ345" s="1012"/>
      <c r="AR345" s="1012"/>
      <c r="AS345" s="1012"/>
      <c r="AT345" s="1012"/>
      <c r="AU345" s="1012"/>
      <c r="AV345" s="1012"/>
      <c r="AW345" s="1012"/>
      <c r="AX345" s="1012"/>
    </row>
    <row r="346" spans="1:50" s="1028" customFormat="1" ht="29.25" customHeight="1">
      <c r="A346" s="1014">
        <f>_xlfn.AGGREGATE(4,7,A$17:A345)+1</f>
        <v>329</v>
      </c>
      <c r="B346" s="363" t="s">
        <v>2151</v>
      </c>
      <c r="C346" s="1349"/>
      <c r="D346" s="1350"/>
      <c r="E346" s="81" t="s">
        <v>2384</v>
      </c>
      <c r="F346" s="1351"/>
      <c r="G346" s="1352"/>
      <c r="H346" s="1353"/>
      <c r="I346" s="1354"/>
      <c r="J346" s="1355"/>
      <c r="K346" s="1352"/>
      <c r="L346" s="1353"/>
      <c r="M346" s="1354"/>
      <c r="N346" s="1355"/>
      <c r="O346" s="1352"/>
      <c r="P346" s="1356"/>
      <c r="Q346" s="1357"/>
      <c r="R346" s="1357"/>
      <c r="S346" s="1357"/>
      <c r="T346" s="1357"/>
      <c r="U346" s="1357"/>
      <c r="V346" s="1357"/>
      <c r="W346" s="1357"/>
      <c r="X346" s="1357"/>
      <c r="Y346" s="1357"/>
      <c r="Z346" s="1357"/>
      <c r="AA346" s="1358"/>
      <c r="AB346" s="1358"/>
      <c r="AC346" s="1358"/>
      <c r="AD346" s="1359"/>
      <c r="AE346" s="1360">
        <v>6712533.333333334</v>
      </c>
      <c r="AF346" s="1371">
        <f t="shared" si="67"/>
        <v>2.8686039886039887</v>
      </c>
      <c r="AG346" s="1102">
        <v>2340000</v>
      </c>
      <c r="AH346" s="1373">
        <f t="shared" si="68"/>
        <v>6712533.333333334</v>
      </c>
      <c r="AI346" s="1024">
        <f t="shared" si="66"/>
        <v>329</v>
      </c>
      <c r="AJ346" s="1025"/>
      <c r="AK346" s="1011"/>
      <c r="AL346" s="1012"/>
      <c r="AM346" s="1012"/>
      <c r="AN346" s="1027"/>
      <c r="AO346" s="1012"/>
      <c r="AP346" s="1012"/>
      <c r="AQ346" s="1012"/>
      <c r="AR346" s="1012"/>
      <c r="AS346" s="1012"/>
      <c r="AT346" s="1012"/>
      <c r="AU346" s="1012"/>
      <c r="AV346" s="1012"/>
      <c r="AW346" s="1012"/>
      <c r="AX346" s="1012"/>
    </row>
    <row r="347" spans="1:50" s="1028" customFormat="1" ht="24" customHeight="1">
      <c r="A347" s="1014">
        <f>_xlfn.AGGREGATE(4,7,A$17:A346)+1</f>
        <v>330</v>
      </c>
      <c r="B347" s="363" t="s">
        <v>2152</v>
      </c>
      <c r="C347" s="1349"/>
      <c r="D347" s="1350"/>
      <c r="E347" s="81" t="str">
        <f>VLOOKUP(B347,TH.T6!B259:J589,9,FALSE)</f>
        <v xml:space="preserve">NV Thư viện  </v>
      </c>
      <c r="F347" s="1351"/>
      <c r="G347" s="1352"/>
      <c r="H347" s="1353"/>
      <c r="I347" s="1354"/>
      <c r="J347" s="1355"/>
      <c r="K347" s="1352"/>
      <c r="L347" s="1353"/>
      <c r="M347" s="1354"/>
      <c r="N347" s="1355"/>
      <c r="O347" s="1352"/>
      <c r="P347" s="1356"/>
      <c r="Q347" s="1357"/>
      <c r="R347" s="1357"/>
      <c r="S347" s="1357"/>
      <c r="T347" s="1357"/>
      <c r="U347" s="1357"/>
      <c r="V347" s="1357"/>
      <c r="W347" s="1357"/>
      <c r="X347" s="1357"/>
      <c r="Y347" s="1357"/>
      <c r="Z347" s="1357"/>
      <c r="AA347" s="1358"/>
      <c r="AB347" s="1358"/>
      <c r="AC347" s="1358"/>
      <c r="AD347" s="1359"/>
      <c r="AE347" s="1360">
        <v>11903612.518518519</v>
      </c>
      <c r="AF347" s="1371">
        <f t="shared" si="67"/>
        <v>5.0870138968027856</v>
      </c>
      <c r="AG347" s="1102">
        <v>2340000</v>
      </c>
      <c r="AH347" s="1373">
        <f t="shared" si="68"/>
        <v>11903612.518518519</v>
      </c>
      <c r="AI347" s="1024">
        <f t="shared" si="66"/>
        <v>330</v>
      </c>
      <c r="AJ347" s="1025"/>
      <c r="AK347" s="1011"/>
      <c r="AL347" s="1012"/>
      <c r="AM347" s="1012"/>
      <c r="AN347" s="1027"/>
      <c r="AO347" s="1012"/>
      <c r="AP347" s="1012"/>
      <c r="AQ347" s="1012"/>
      <c r="AR347" s="1012"/>
      <c r="AS347" s="1012"/>
      <c r="AT347" s="1012"/>
      <c r="AU347" s="1012"/>
      <c r="AV347" s="1012"/>
      <c r="AW347" s="1012"/>
      <c r="AX347" s="1012"/>
    </row>
    <row r="348" spans="1:50" s="1028" customFormat="1" ht="24" customHeight="1">
      <c r="A348" s="1014">
        <f>_xlfn.AGGREGATE(4,7,A$17:A347)+1</f>
        <v>331</v>
      </c>
      <c r="B348" s="363" t="s">
        <v>2155</v>
      </c>
      <c r="C348" s="1349"/>
      <c r="D348" s="1350"/>
      <c r="E348" s="81" t="str">
        <f>VLOOKUP(B348,TH.T6!B260:J590,9,FALSE)</f>
        <v xml:space="preserve">NV Thư viện  </v>
      </c>
      <c r="F348" s="1351"/>
      <c r="G348" s="1352"/>
      <c r="H348" s="1353"/>
      <c r="I348" s="1354"/>
      <c r="J348" s="1355"/>
      <c r="K348" s="1352"/>
      <c r="L348" s="1353"/>
      <c r="M348" s="1354"/>
      <c r="N348" s="1355"/>
      <c r="O348" s="1352"/>
      <c r="P348" s="1356"/>
      <c r="Q348" s="1357"/>
      <c r="R348" s="1357"/>
      <c r="S348" s="1357"/>
      <c r="T348" s="1357"/>
      <c r="U348" s="1357"/>
      <c r="V348" s="1357"/>
      <c r="W348" s="1357"/>
      <c r="X348" s="1357"/>
      <c r="Y348" s="1357"/>
      <c r="Z348" s="1357"/>
      <c r="AA348" s="1358"/>
      <c r="AB348" s="1358"/>
      <c r="AC348" s="1358"/>
      <c r="AD348" s="1359"/>
      <c r="AE348" s="1360">
        <v>10065739.92995169</v>
      </c>
      <c r="AF348" s="1371">
        <f t="shared" si="67"/>
        <v>4.3015982606631153</v>
      </c>
      <c r="AG348" s="1102">
        <v>2340000</v>
      </c>
      <c r="AH348" s="1373">
        <f t="shared" si="68"/>
        <v>10065739.92995169</v>
      </c>
      <c r="AI348" s="1024">
        <f t="shared" si="66"/>
        <v>331</v>
      </c>
      <c r="AJ348" s="1025"/>
      <c r="AK348" s="1011"/>
      <c r="AL348" s="1012"/>
      <c r="AM348" s="1012"/>
      <c r="AN348" s="1027"/>
      <c r="AO348" s="1012"/>
      <c r="AP348" s="1012"/>
      <c r="AQ348" s="1012"/>
      <c r="AR348" s="1012"/>
      <c r="AS348" s="1012"/>
      <c r="AT348" s="1012"/>
      <c r="AU348" s="1012"/>
      <c r="AV348" s="1012"/>
      <c r="AW348" s="1012"/>
      <c r="AX348" s="1012"/>
    </row>
    <row r="349" spans="1:50" s="1028" customFormat="1" ht="24" customHeight="1">
      <c r="A349" s="1014">
        <f>_xlfn.AGGREGATE(4,7,A$17:A348)+1</f>
        <v>332</v>
      </c>
      <c r="B349" s="363" t="s">
        <v>2156</v>
      </c>
      <c r="C349" s="1349"/>
      <c r="D349" s="1350"/>
      <c r="E349" s="81" t="str">
        <f>VLOOKUP(B349,TH.T6!B261:J591,9,FALSE)</f>
        <v xml:space="preserve">NV Thư viện  </v>
      </c>
      <c r="F349" s="1351"/>
      <c r="G349" s="1352"/>
      <c r="H349" s="1353"/>
      <c r="I349" s="1354"/>
      <c r="J349" s="1355"/>
      <c r="K349" s="1352"/>
      <c r="L349" s="1353"/>
      <c r="M349" s="1354"/>
      <c r="N349" s="1355"/>
      <c r="O349" s="1352"/>
      <c r="P349" s="1356"/>
      <c r="Q349" s="1357"/>
      <c r="R349" s="1357"/>
      <c r="S349" s="1357"/>
      <c r="T349" s="1357"/>
      <c r="U349" s="1357"/>
      <c r="V349" s="1357"/>
      <c r="W349" s="1357"/>
      <c r="X349" s="1357"/>
      <c r="Y349" s="1357"/>
      <c r="Z349" s="1357"/>
      <c r="AA349" s="1358"/>
      <c r="AB349" s="1358"/>
      <c r="AC349" s="1358"/>
      <c r="AD349" s="1359"/>
      <c r="AE349" s="1360">
        <v>11900639.588319089</v>
      </c>
      <c r="AF349" s="1371">
        <f t="shared" si="67"/>
        <v>5.0857434138115769</v>
      </c>
      <c r="AG349" s="1369">
        <v>2340000</v>
      </c>
      <c r="AH349" s="1373">
        <f t="shared" si="68"/>
        <v>11900639.588319089</v>
      </c>
      <c r="AI349" s="1024">
        <f t="shared" ref="AI349" si="69">A349</f>
        <v>332</v>
      </c>
      <c r="AJ349" s="1387"/>
      <c r="AK349" s="1011"/>
      <c r="AL349" s="1012"/>
      <c r="AM349" s="1012"/>
      <c r="AN349" s="1027"/>
      <c r="AO349" s="1012"/>
      <c r="AP349" s="1012"/>
      <c r="AQ349" s="1012"/>
      <c r="AR349" s="1012"/>
      <c r="AS349" s="1012"/>
      <c r="AT349" s="1012"/>
      <c r="AU349" s="1012"/>
      <c r="AV349" s="1012"/>
      <c r="AW349" s="1012"/>
      <c r="AX349" s="1012"/>
    </row>
    <row r="350" spans="1:50" s="1125" customFormat="1" ht="21.75" customHeight="1">
      <c r="A350" s="1115"/>
      <c r="B350" s="1116" t="s">
        <v>1109</v>
      </c>
      <c r="C350" s="1117"/>
      <c r="D350" s="1118"/>
      <c r="E350" s="1118"/>
      <c r="F350" s="1119">
        <f>SUM(F18:F284)</f>
        <v>1016.2970000000004</v>
      </c>
      <c r="G350" s="1119">
        <f>SUM(G18:G284)</f>
        <v>2.7600000000000002</v>
      </c>
      <c r="H350" s="1119"/>
      <c r="I350" s="1119">
        <f>SUM(I18:I284)</f>
        <v>25.099999999999998</v>
      </c>
      <c r="J350" s="1119"/>
      <c r="K350" s="1119"/>
      <c r="L350" s="1119"/>
      <c r="M350" s="1119"/>
      <c r="N350" s="1119"/>
      <c r="O350" s="1119"/>
      <c r="P350" s="1119"/>
      <c r="Q350" s="1119"/>
      <c r="R350" s="1119"/>
      <c r="S350" s="1119"/>
      <c r="T350" s="1119"/>
      <c r="U350" s="1119"/>
      <c r="V350" s="1119"/>
      <c r="W350" s="1119"/>
      <c r="X350" s="1119"/>
      <c r="Y350" s="1119"/>
      <c r="Z350" s="1119"/>
      <c r="AA350" s="1120">
        <f>SUM(AA18:AA284)</f>
        <v>5896.5</v>
      </c>
      <c r="AB350" s="1121">
        <f>SUM(AB18:AB284)</f>
        <v>1995</v>
      </c>
      <c r="AC350" s="1121"/>
      <c r="AD350" s="1121"/>
      <c r="AE350" s="1120">
        <f>SUM(AE18:AE349)</f>
        <v>4305137274.1136494</v>
      </c>
      <c r="AF350" s="1374">
        <f>SUM(AF18:AF349)</f>
        <v>1839.8022538947228</v>
      </c>
      <c r="AG350" s="1122"/>
      <c r="AH350" s="1122">
        <f>SUM(AH18:AH349)</f>
        <v>4308323652.1136494</v>
      </c>
      <c r="AI350" s="1123"/>
      <c r="AJ350" s="1118"/>
      <c r="AK350" s="1124"/>
      <c r="AN350" s="1126"/>
    </row>
    <row r="351" spans="1:50" ht="2.25" customHeight="1">
      <c r="F351" s="1007"/>
      <c r="G351" s="1258"/>
      <c r="H351" s="1258"/>
      <c r="AA351" s="1007"/>
      <c r="AB351" s="1007"/>
      <c r="AC351" s="1007"/>
      <c r="AD351" s="1007"/>
      <c r="AE351" s="1259"/>
      <c r="AF351" s="1259"/>
      <c r="AG351" s="1259"/>
      <c r="AH351" s="1259"/>
    </row>
    <row r="352" spans="1:50" s="1003" customFormat="1" ht="21.75" customHeight="1">
      <c r="B352" s="1127" t="s">
        <v>2377</v>
      </c>
      <c r="C352" s="1004"/>
      <c r="D352" s="1004"/>
      <c r="E352" s="1004"/>
      <c r="F352" s="1260"/>
      <c r="G352" s="1260"/>
      <c r="H352" s="1260"/>
      <c r="I352" s="1260"/>
      <c r="J352" s="1260"/>
      <c r="K352" s="1260"/>
      <c r="L352" s="1260"/>
      <c r="M352" s="1260"/>
      <c r="N352" s="1260"/>
      <c r="O352" s="1260"/>
      <c r="P352" s="1260"/>
      <c r="Q352" s="1260"/>
      <c r="R352" s="1321">
        <f>COUNTIF($R$18:$R$284,"A1")</f>
        <v>34</v>
      </c>
      <c r="S352" s="1322"/>
      <c r="T352" s="1321">
        <f>COUNTIF(T18:T284,"A1")</f>
        <v>36</v>
      </c>
      <c r="U352" s="1322"/>
      <c r="V352" s="1321">
        <f>COUNTIF($V$18:$V$284,"A1")</f>
        <v>42</v>
      </c>
      <c r="W352" s="1260"/>
      <c r="X352" s="1260"/>
      <c r="Y352" s="1260"/>
      <c r="Z352" s="1260"/>
      <c r="AA352" s="1006"/>
      <c r="AB352" s="1006"/>
      <c r="AC352" s="1006"/>
      <c r="AD352" s="1006"/>
      <c r="AE352" s="1261"/>
      <c r="AF352" s="1261"/>
      <c r="AG352" s="1261"/>
      <c r="AH352" s="1261"/>
      <c r="AJ352" s="1262"/>
      <c r="AK352" s="1008"/>
      <c r="AN352" s="1009"/>
    </row>
    <row r="353" spans="1:40" s="1003" customFormat="1" ht="18" customHeight="1">
      <c r="B353" s="1263"/>
      <c r="C353" s="1004"/>
      <c r="D353" s="1004"/>
      <c r="E353" s="1004"/>
      <c r="F353" s="1260"/>
      <c r="G353" s="1260"/>
      <c r="H353" s="1260"/>
      <c r="I353" s="1260"/>
      <c r="J353" s="1260"/>
      <c r="K353" s="1260"/>
      <c r="L353" s="1260"/>
      <c r="M353" s="1260"/>
      <c r="N353" s="1260"/>
      <c r="O353" s="1260"/>
      <c r="P353" s="1260"/>
      <c r="Q353" s="1260"/>
      <c r="R353" s="1321">
        <f>COUNTIF($R$18:$R$284,"A2")</f>
        <v>34</v>
      </c>
      <c r="S353" s="1322"/>
      <c r="T353" s="1321">
        <f>COUNTIF(T19:T350,"A2")</f>
        <v>26</v>
      </c>
      <c r="U353" s="1322"/>
      <c r="V353" s="1321">
        <f>COUNTIF($V$18:$V$284,"A2")</f>
        <v>50</v>
      </c>
      <c r="W353" s="1260"/>
      <c r="X353" s="1260"/>
      <c r="Y353" s="1260"/>
      <c r="Z353" s="1260"/>
      <c r="AA353" s="1006"/>
      <c r="AB353" s="1596" t="s">
        <v>2385</v>
      </c>
      <c r="AC353" s="1596"/>
      <c r="AD353" s="1596"/>
      <c r="AE353" s="1596"/>
      <c r="AF353" s="1596"/>
      <c r="AG353" s="1596"/>
      <c r="AH353" s="1596"/>
      <c r="AI353" s="1596"/>
      <c r="AJ353" s="1596"/>
      <c r="AK353" s="1008"/>
      <c r="AN353" s="1009"/>
    </row>
    <row r="354" spans="1:40">
      <c r="F354" s="1007"/>
      <c r="G354" s="1258"/>
      <c r="H354" s="1258"/>
      <c r="R354" s="1321">
        <f>COUNTIF($R$18:$R$284,"A3")</f>
        <v>121</v>
      </c>
      <c r="S354" s="1323"/>
      <c r="T354" s="1321">
        <f>COUNTIF(T20:T351,"A3")</f>
        <v>20</v>
      </c>
      <c r="U354" s="1323"/>
      <c r="V354" s="1321">
        <f>COUNTIF($V$18:$V$284,"A3")</f>
        <v>94</v>
      </c>
      <c r="AA354" s="1007"/>
      <c r="AB354" s="1004" t="s">
        <v>2303</v>
      </c>
      <c r="AC354" s="1004"/>
      <c r="AD354" s="1004"/>
      <c r="AE354" s="1004"/>
      <c r="AF354" s="1004"/>
      <c r="AG354" s="1570" t="s">
        <v>2303</v>
      </c>
      <c r="AH354" s="1570"/>
      <c r="AI354" s="1570"/>
      <c r="AJ354" s="1570"/>
    </row>
    <row r="355" spans="1:40" s="1003" customFormat="1">
      <c r="A355" s="1570" t="s">
        <v>859</v>
      </c>
      <c r="B355" s="1570"/>
      <c r="C355" s="1004"/>
      <c r="D355" s="1004"/>
      <c r="E355" s="1570" t="s">
        <v>1191</v>
      </c>
      <c r="F355" s="1570"/>
      <c r="G355" s="1570"/>
      <c r="H355" s="1570"/>
      <c r="I355" s="1570"/>
      <c r="J355" s="1570"/>
      <c r="K355" s="1570"/>
      <c r="L355" s="1570"/>
      <c r="M355" s="1570"/>
      <c r="N355" s="1570"/>
      <c r="O355" s="1570"/>
      <c r="P355" s="1570"/>
      <c r="Q355" s="1570"/>
      <c r="R355" s="1570"/>
      <c r="S355" s="1570"/>
      <c r="T355" s="1570"/>
      <c r="U355" s="1570"/>
      <c r="V355" s="1570"/>
      <c r="W355" s="1570"/>
      <c r="X355" s="1570"/>
      <c r="Y355" s="1570"/>
      <c r="Z355" s="1570"/>
      <c r="AA355" s="1570"/>
      <c r="AB355" s="1570"/>
      <c r="AC355" s="1570"/>
      <c r="AD355" s="1570"/>
      <c r="AE355" s="1570"/>
      <c r="AF355" s="1570"/>
      <c r="AG355" s="1570" t="s">
        <v>2304</v>
      </c>
      <c r="AH355" s="1570"/>
      <c r="AI355" s="1570"/>
      <c r="AJ355" s="1570"/>
      <c r="AK355" s="1008"/>
      <c r="AN355" s="1009"/>
    </row>
    <row r="356" spans="1:40" s="1003" customFormat="1" ht="11.25" customHeight="1">
      <c r="A356" s="1218"/>
      <c r="B356" s="1218"/>
      <c r="C356" s="1004"/>
      <c r="D356" s="1004"/>
      <c r="E356" s="1004"/>
      <c r="F356" s="1004"/>
      <c r="G356" s="1004"/>
      <c r="H356" s="1004"/>
      <c r="I356" s="1218"/>
      <c r="J356" s="1218"/>
      <c r="K356" s="1218"/>
      <c r="L356" s="1218"/>
      <c r="M356" s="1218"/>
      <c r="N356" s="1218"/>
      <c r="O356" s="1218"/>
      <c r="P356" s="1218"/>
      <c r="Q356" s="1218"/>
      <c r="R356" s="1324"/>
      <c r="S356" s="1324"/>
      <c r="T356" s="1321">
        <f>COUNTIF(T22:T353,"A DN")</f>
        <v>173</v>
      </c>
      <c r="U356" s="1324"/>
      <c r="V356" s="1324"/>
      <c r="W356" s="1218"/>
      <c r="X356" s="1218"/>
      <c r="Y356" s="1218"/>
      <c r="Z356" s="1218"/>
      <c r="AA356" s="1218"/>
      <c r="AB356" s="1004"/>
      <c r="AC356" s="1004"/>
      <c r="AD356" s="1004"/>
      <c r="AE356" s="1570"/>
      <c r="AF356" s="1570"/>
      <c r="AG356" s="1570"/>
      <c r="AH356" s="1570"/>
      <c r="AI356" s="1570"/>
      <c r="AJ356" s="1570"/>
      <c r="AK356" s="1008"/>
      <c r="AN356" s="1009"/>
    </row>
    <row r="357" spans="1:40" s="1003" customFormat="1" ht="10.5" customHeight="1">
      <c r="A357" s="1218"/>
      <c r="B357" s="1218"/>
      <c r="C357" s="1004"/>
      <c r="D357" s="1004"/>
      <c r="E357" s="1004"/>
      <c r="F357" s="1004"/>
      <c r="G357" s="1004"/>
      <c r="H357" s="1004"/>
      <c r="I357" s="1218"/>
      <c r="J357" s="1218"/>
      <c r="K357" s="1218"/>
      <c r="L357" s="1218"/>
      <c r="M357" s="1218"/>
      <c r="N357" s="1218"/>
      <c r="O357" s="1218"/>
      <c r="P357" s="1218"/>
      <c r="Q357" s="1218"/>
      <c r="R357" s="1324"/>
      <c r="S357" s="1324"/>
      <c r="T357" s="1324"/>
      <c r="U357" s="1324"/>
      <c r="V357" s="1324"/>
      <c r="W357" s="1218"/>
      <c r="X357" s="1218"/>
      <c r="Y357" s="1218"/>
      <c r="Z357" s="1218"/>
      <c r="AA357" s="1218"/>
      <c r="AB357" s="1004"/>
      <c r="AC357" s="1004"/>
      <c r="AD357" s="1004"/>
      <c r="AE357" s="1218"/>
      <c r="AF357" s="1218"/>
      <c r="AG357" s="1218"/>
      <c r="AH357" s="1218"/>
      <c r="AJ357" s="1135"/>
      <c r="AK357" s="1008"/>
      <c r="AN357" s="1009"/>
    </row>
    <row r="358" spans="1:40" s="1003" customFormat="1" ht="13.5" customHeight="1">
      <c r="G358" s="1266"/>
      <c r="H358" s="1266"/>
      <c r="AA358" s="1218"/>
      <c r="AB358" s="1006"/>
      <c r="AC358" s="1006"/>
      <c r="AD358" s="1006"/>
      <c r="AE358" s="1006"/>
      <c r="AF358" s="1006"/>
      <c r="AG358" s="1006"/>
      <c r="AH358" s="1006"/>
      <c r="AJ358" s="1007"/>
      <c r="AK358" s="1008"/>
      <c r="AN358" s="1009"/>
    </row>
    <row r="359" spans="1:40" s="1003" customFormat="1" ht="13.5" customHeight="1">
      <c r="G359" s="1266"/>
      <c r="H359" s="1266"/>
      <c r="AA359" s="1218"/>
      <c r="AB359" s="1006"/>
      <c r="AC359" s="1006"/>
      <c r="AD359" s="1006"/>
      <c r="AE359" s="1006"/>
      <c r="AF359" s="1006"/>
      <c r="AG359" s="1006"/>
      <c r="AH359" s="1006"/>
      <c r="AJ359" s="1264"/>
      <c r="AK359" s="1008"/>
      <c r="AN359" s="1009"/>
    </row>
    <row r="360" spans="1:40" s="1003" customFormat="1" ht="13.5" customHeight="1">
      <c r="G360" s="1266"/>
      <c r="H360" s="1266"/>
      <c r="AA360" s="1218"/>
      <c r="AB360" s="1006"/>
      <c r="AC360" s="1006"/>
      <c r="AD360" s="1006"/>
      <c r="AE360" s="1265"/>
      <c r="AF360" s="1265"/>
      <c r="AG360" s="1265"/>
      <c r="AH360" s="1265"/>
      <c r="AJ360" s="1007"/>
      <c r="AK360" s="1008"/>
      <c r="AN360" s="1009"/>
    </row>
    <row r="361" spans="1:40" s="1003" customFormat="1" ht="13.5" customHeight="1">
      <c r="G361" s="1266"/>
      <c r="H361" s="1266"/>
      <c r="I361" s="1006"/>
      <c r="J361" s="1006"/>
      <c r="K361" s="1006"/>
      <c r="L361" s="1006"/>
      <c r="M361" s="1006"/>
      <c r="N361" s="1006"/>
      <c r="O361" s="1006"/>
      <c r="P361" s="1006"/>
      <c r="Q361" s="1006"/>
      <c r="R361" s="1006"/>
      <c r="S361" s="1006"/>
      <c r="T361" s="1006"/>
      <c r="U361" s="1006"/>
      <c r="V361" s="1006"/>
      <c r="W361" s="1006"/>
      <c r="X361" s="1006"/>
      <c r="Y361" s="1006"/>
      <c r="Z361" s="1006"/>
      <c r="AA361" s="1006"/>
      <c r="AB361" s="1006"/>
      <c r="AC361" s="1006"/>
      <c r="AD361" s="1006"/>
      <c r="AE361" s="1006"/>
      <c r="AF361" s="1006"/>
      <c r="AG361" s="1006"/>
      <c r="AH361" s="1006"/>
      <c r="AJ361" s="1264"/>
      <c r="AK361" s="1008"/>
      <c r="AN361" s="1009"/>
    </row>
    <row r="362" spans="1:40" s="1003" customFormat="1" ht="13.5" customHeight="1">
      <c r="G362" s="1595"/>
      <c r="H362" s="1595"/>
      <c r="I362" s="1006"/>
      <c r="J362" s="1006"/>
      <c r="K362" s="1006"/>
      <c r="L362" s="1006"/>
      <c r="M362" s="1006"/>
      <c r="N362" s="1006"/>
      <c r="O362" s="1006"/>
      <c r="P362" s="1006"/>
      <c r="Q362" s="1006"/>
      <c r="R362" s="1006"/>
      <c r="S362" s="1006"/>
      <c r="T362" s="1006"/>
      <c r="U362" s="1006"/>
      <c r="V362" s="1006"/>
      <c r="W362" s="1006"/>
      <c r="X362" s="1006"/>
      <c r="Y362" s="1006"/>
      <c r="Z362" s="1006"/>
      <c r="AA362" s="1006"/>
      <c r="AB362" s="1006"/>
      <c r="AC362" s="1006"/>
      <c r="AD362" s="1006"/>
      <c r="AE362" s="1006"/>
      <c r="AF362" s="1006"/>
      <c r="AG362" s="1006"/>
      <c r="AH362" s="1006"/>
      <c r="AJ362" s="1007"/>
      <c r="AK362" s="1008"/>
      <c r="AN362" s="1009"/>
    </row>
    <row r="363" spans="1:40" s="1003" customFormat="1">
      <c r="A363" s="1570" t="s">
        <v>1827</v>
      </c>
      <c r="B363" s="1570"/>
      <c r="C363" s="1004"/>
      <c r="D363" s="1004"/>
      <c r="E363" s="1570" t="s">
        <v>1445</v>
      </c>
      <c r="F363" s="1570"/>
      <c r="G363" s="1570"/>
      <c r="H363" s="1570"/>
      <c r="I363" s="1570"/>
      <c r="J363" s="1570"/>
      <c r="K363" s="1570"/>
      <c r="L363" s="1570"/>
      <c r="M363" s="1570"/>
      <c r="N363" s="1570"/>
      <c r="O363" s="1570"/>
      <c r="P363" s="1570"/>
      <c r="Q363" s="1570"/>
      <c r="R363" s="1570"/>
      <c r="S363" s="1570"/>
      <c r="T363" s="1570"/>
      <c r="U363" s="1570"/>
      <c r="V363" s="1570"/>
      <c r="W363" s="1570"/>
      <c r="X363" s="1570"/>
      <c r="Y363" s="1570"/>
      <c r="Z363" s="1570"/>
      <c r="AA363" s="1570"/>
      <c r="AB363" s="1570"/>
      <c r="AC363" s="1570"/>
      <c r="AD363" s="1570"/>
      <c r="AE363" s="1570"/>
      <c r="AF363" s="1570"/>
      <c r="AG363" s="1570" t="s">
        <v>1447</v>
      </c>
      <c r="AH363" s="1570"/>
      <c r="AI363" s="1570"/>
      <c r="AJ363" s="1570"/>
      <c r="AK363" s="1008"/>
      <c r="AN363" s="1009"/>
    </row>
    <row r="364" spans="1:40" ht="15.75">
      <c r="A364" s="1267"/>
    </row>
    <row r="365" spans="1:40" ht="15.75" customHeight="1">
      <c r="A365" s="1267"/>
    </row>
    <row r="421" ht="15.75" customHeight="1"/>
  </sheetData>
  <mergeCells count="62">
    <mergeCell ref="AA11:AD11"/>
    <mergeCell ref="AH5:AJ5"/>
    <mergeCell ref="S1:AJ1"/>
    <mergeCell ref="S2:AJ2"/>
    <mergeCell ref="A8:AJ8"/>
    <mergeCell ref="A9:AJ9"/>
    <mergeCell ref="A10:AJ10"/>
    <mergeCell ref="A1:E1"/>
    <mergeCell ref="A2:E2"/>
    <mergeCell ref="A3:E3"/>
    <mergeCell ref="AH3:AJ3"/>
    <mergeCell ref="AH4:AJ4"/>
    <mergeCell ref="AM18:AN18"/>
    <mergeCell ref="AB353:AJ353"/>
    <mergeCell ref="AG355:AJ355"/>
    <mergeCell ref="AG354:AJ354"/>
    <mergeCell ref="X15:X16"/>
    <mergeCell ref="Y15:Y16"/>
    <mergeCell ref="Z15:Z16"/>
    <mergeCell ref="AA15:AA16"/>
    <mergeCell ref="AB15:AB16"/>
    <mergeCell ref="AC15:AC16"/>
    <mergeCell ref="AD14:AD16"/>
    <mergeCell ref="AE14:AE16"/>
    <mergeCell ref="AI14:AJ16"/>
    <mergeCell ref="AG14:AG15"/>
    <mergeCell ref="AA14:AC14"/>
    <mergeCell ref="F15:F16"/>
    <mergeCell ref="G15:G16"/>
    <mergeCell ref="H15:H16"/>
    <mergeCell ref="A6:AJ6"/>
    <mergeCell ref="A7:AJ7"/>
    <mergeCell ref="E14:E16"/>
    <mergeCell ref="AF14:AF16"/>
    <mergeCell ref="I15:I16"/>
    <mergeCell ref="J15:J16"/>
    <mergeCell ref="K15:K16"/>
    <mergeCell ref="T12:W12"/>
    <mergeCell ref="A14:A16"/>
    <mergeCell ref="B14:B16"/>
    <mergeCell ref="F14:I14"/>
    <mergeCell ref="J14:M14"/>
    <mergeCell ref="N14:Q14"/>
    <mergeCell ref="A355:B355"/>
    <mergeCell ref="A363:B363"/>
    <mergeCell ref="E355:AF355"/>
    <mergeCell ref="E363:AF363"/>
    <mergeCell ref="G362:H362"/>
    <mergeCell ref="AE356:AJ356"/>
    <mergeCell ref="AG363:AJ363"/>
    <mergeCell ref="L15:L16"/>
    <mergeCell ref="M15:M16"/>
    <mergeCell ref="N15:N16"/>
    <mergeCell ref="R14:W14"/>
    <mergeCell ref="AI17:AJ17"/>
    <mergeCell ref="O15:O16"/>
    <mergeCell ref="P15:P16"/>
    <mergeCell ref="Q15:Q16"/>
    <mergeCell ref="R15:S15"/>
    <mergeCell ref="T15:U15"/>
    <mergeCell ref="V15:W15"/>
    <mergeCell ref="AH14:AH15"/>
  </mergeCells>
  <conditionalFormatting sqref="A6:A7">
    <cfRule type="cellIs" dxfId="117" priority="16" stopIfTrue="1" operator="equal">
      <formula>"B"</formula>
    </cfRule>
    <cfRule type="cellIs" dxfId="116" priority="14" stopIfTrue="1" operator="equal">
      <formula>"A DN"</formula>
    </cfRule>
    <cfRule type="cellIs" dxfId="115" priority="15" stopIfTrue="1" operator="equal">
      <formula>"C"</formula>
    </cfRule>
    <cfRule type="cellIs" dxfId="114" priority="13" stopIfTrue="1" operator="equal">
      <formula>"KXL"</formula>
    </cfRule>
  </conditionalFormatting>
  <conditionalFormatting sqref="A14:F14">
    <cfRule type="cellIs" dxfId="113" priority="21" stopIfTrue="1" operator="equal">
      <formula>"KXL"</formula>
    </cfRule>
    <cfRule type="cellIs" dxfId="112" priority="22" stopIfTrue="1" operator="equal">
      <formula>"A DN"</formula>
    </cfRule>
  </conditionalFormatting>
  <conditionalFormatting sqref="A4:AH5">
    <cfRule type="cellIs" dxfId="111" priority="5" stopIfTrue="1" operator="equal">
      <formula>"KXL"</formula>
    </cfRule>
    <cfRule type="cellIs" dxfId="110" priority="6" stopIfTrue="1" operator="equal">
      <formula>"A DN"</formula>
    </cfRule>
  </conditionalFormatting>
  <conditionalFormatting sqref="B56 F56:G56 I56 AL56:JG56 AL69:JG69 AL121:JG121">
    <cfRule type="cellIs" dxfId="109" priority="129" stopIfTrue="1" operator="equal">
      <formula>"B"</formula>
    </cfRule>
  </conditionalFormatting>
  <conditionalFormatting sqref="B56 F56:G56 AL56:JG56 AL69:JG69 AL121:JG121">
    <cfRule type="cellIs" dxfId="108" priority="128" stopIfTrue="1" operator="equal">
      <formula>"C"</formula>
    </cfRule>
  </conditionalFormatting>
  <conditionalFormatting sqref="B69 F69:G69">
    <cfRule type="cellIs" dxfId="107" priority="125" stopIfTrue="1" operator="equal">
      <formula>"C"</formula>
    </cfRule>
    <cfRule type="cellIs" dxfId="106" priority="126" stopIfTrue="1" operator="equal">
      <formula>"B"</formula>
    </cfRule>
  </conditionalFormatting>
  <conditionalFormatting sqref="B69 F69:G88 I69:I89">
    <cfRule type="cellIs" dxfId="105" priority="127" stopIfTrue="1" operator="equal">
      <formula>"A DN"</formula>
    </cfRule>
  </conditionalFormatting>
  <conditionalFormatting sqref="B121 F121:G121">
    <cfRule type="cellIs" dxfId="104" priority="122" stopIfTrue="1" operator="equal">
      <formula>"C"</formula>
    </cfRule>
    <cfRule type="cellIs" dxfId="103" priority="123" stopIfTrue="1" operator="equal">
      <formula>"B"</formula>
    </cfRule>
    <cfRule type="cellIs" dxfId="102" priority="124" stopIfTrue="1" operator="equal">
      <formula>"A DN"</formula>
    </cfRule>
  </conditionalFormatting>
  <conditionalFormatting sqref="B122:B284">
    <cfRule type="cellIs" dxfId="101" priority="132" stopIfTrue="1" operator="equal">
      <formula>"A DN"</formula>
    </cfRule>
    <cfRule type="cellIs" dxfId="100" priority="131" stopIfTrue="1" operator="equal">
      <formula>"KXL"</formula>
    </cfRule>
  </conditionalFormatting>
  <conditionalFormatting sqref="B276">
    <cfRule type="cellIs" dxfId="99" priority="133" stopIfTrue="1" operator="equal">
      <formula>"C"</formula>
    </cfRule>
    <cfRule type="cellIs" dxfId="98" priority="134" stopIfTrue="1" operator="equal">
      <formula>"B"</formula>
    </cfRule>
  </conditionalFormatting>
  <conditionalFormatting sqref="B288:B300">
    <cfRule type="cellIs" dxfId="97" priority="26" stopIfTrue="1" operator="equal">
      <formula>"A DN"</formula>
    </cfRule>
    <cfRule type="cellIs" dxfId="96" priority="27" stopIfTrue="1" operator="equal">
      <formula>"C"</formula>
    </cfRule>
    <cfRule type="cellIs" dxfId="95" priority="28" stopIfTrue="1" operator="equal">
      <formula>"B"</formula>
    </cfRule>
    <cfRule type="cellIs" dxfId="94" priority="25" stopIfTrue="1" operator="equal">
      <formula>"KXL"</formula>
    </cfRule>
  </conditionalFormatting>
  <conditionalFormatting sqref="B305:B315">
    <cfRule type="cellIs" dxfId="93" priority="31" stopIfTrue="1" operator="equal">
      <formula>"C"</formula>
    </cfRule>
    <cfRule type="cellIs" dxfId="92" priority="30" stopIfTrue="1" operator="equal">
      <formula>"A DN"</formula>
    </cfRule>
    <cfRule type="cellIs" dxfId="91" priority="32" stopIfTrue="1" operator="equal">
      <formula>"B"</formula>
    </cfRule>
    <cfRule type="cellIs" dxfId="90" priority="29" stopIfTrue="1" operator="equal">
      <formula>"KXL"</formula>
    </cfRule>
  </conditionalFormatting>
  <conditionalFormatting sqref="C23:D23 F23:G23 I23">
    <cfRule type="cellIs" dxfId="89" priority="117" stopIfTrue="1" operator="equal">
      <formula>"B"</formula>
    </cfRule>
    <cfRule type="cellIs" dxfId="88" priority="116" stopIfTrue="1" operator="equal">
      <formula>"C"</formula>
    </cfRule>
  </conditionalFormatting>
  <conditionalFormatting sqref="C23:D23">
    <cfRule type="cellIs" dxfId="87" priority="115" stopIfTrue="1" operator="equal">
      <formula>"A DN"</formula>
    </cfRule>
    <cfRule type="cellIs" dxfId="86" priority="114" stopIfTrue="1" operator="equal">
      <formula>"KXL"</formula>
    </cfRule>
  </conditionalFormatting>
  <conditionalFormatting sqref="C42:D42 F42:G43 I42:I43 C43">
    <cfRule type="cellIs" dxfId="85" priority="112" stopIfTrue="1" operator="equal">
      <formula>"C"</formula>
    </cfRule>
    <cfRule type="cellIs" dxfId="84" priority="113" stopIfTrue="1" operator="equal">
      <formula>"B"</formula>
    </cfRule>
  </conditionalFormatting>
  <conditionalFormatting sqref="C89:D89 F89:G89 AL89:JG89">
    <cfRule type="cellIs" dxfId="83" priority="105" stopIfTrue="1" operator="equal">
      <formula>"B"</formula>
    </cfRule>
    <cfRule type="cellIs" dxfId="82" priority="104" stopIfTrue="1" operator="equal">
      <formula>"C"</formula>
    </cfRule>
  </conditionalFormatting>
  <conditionalFormatting sqref="D121">
    <cfRule type="cellIs" dxfId="81" priority="121" stopIfTrue="1" operator="equal">
      <formula>"B"</formula>
    </cfRule>
    <cfRule type="cellIs" dxfId="80" priority="120" stopIfTrue="1" operator="equal">
      <formula>"C"</formula>
    </cfRule>
  </conditionalFormatting>
  <conditionalFormatting sqref="D121:D124">
    <cfRule type="cellIs" dxfId="79" priority="119" stopIfTrue="1" operator="equal">
      <formula>"A DN"</formula>
    </cfRule>
    <cfRule type="cellIs" dxfId="78" priority="118" stopIfTrue="1" operator="equal">
      <formula>"KXL"</formula>
    </cfRule>
  </conditionalFormatting>
  <conditionalFormatting sqref="E14">
    <cfRule type="cellIs" dxfId="77" priority="23" stopIfTrue="1" operator="equal">
      <formula>"C"</formula>
    </cfRule>
    <cfRule type="cellIs" dxfId="76" priority="24" stopIfTrue="1" operator="equal">
      <formula>"B"</formula>
    </cfRule>
  </conditionalFormatting>
  <conditionalFormatting sqref="F18:G43 C42:D42 C43">
    <cfRule type="cellIs" dxfId="75" priority="111" stopIfTrue="1" operator="equal">
      <formula>"A DN"</formula>
    </cfRule>
  </conditionalFormatting>
  <conditionalFormatting sqref="F18:G55 C42:D42 C43">
    <cfRule type="cellIs" dxfId="74" priority="110" stopIfTrue="1" operator="equal">
      <formula>"KXL"</formula>
    </cfRule>
  </conditionalFormatting>
  <conditionalFormatting sqref="F44:G56 I44:I68 B56 AL56:JG56 AL69:JG69 AL121:JG121">
    <cfRule type="cellIs" dxfId="73" priority="130" stopIfTrue="1" operator="equal">
      <formula>"A DN"</formula>
    </cfRule>
  </conditionalFormatting>
  <conditionalFormatting sqref="F70:G89 AL72:JG89 C88:D89">
    <cfRule type="cellIs" dxfId="72" priority="102" stopIfTrue="1" operator="equal">
      <formula>"KXL"</formula>
    </cfRule>
  </conditionalFormatting>
  <conditionalFormatting sqref="F1:S2 AK1:JG2 A1:A3 F3:AG3 AK3:XFD5 A4:AG5 A8:XFD9 A10 AK10:JG10 A11:XFD11 A12:T13 X12:XFD13 A14:D14 F14 J14 N14 R14:S14 AA14 AE14:AI14 AK14:XFD16 F15:R15 T15 V15 X15:AC15 C15:D16 R16:W16 AG16:AH16 A17:AI17 AK17:JG17 A18:B18 AK18:AM18 AO18:JG18 D18:D20 F18:G22 I18:I22 AI18:AI88 W18:AC349 AE18:AE349 AL19:JG21 B19:B22 A19:A349 AK19:AK349 AP22:JG47 D24:D26 B24:B31 F24:G41 I24:I41 D29:D30 C32:D32 D33:D37 B33:B41 D39 D44:D48 B44:B55 F44:G55 I44:I55 AL48:JG55 D50:D51 D57:D61 B57:B68 F57:G68 I57:I68 AL57:JG68 D63 D65:D68 B70 D70 AL70:JG70 F70:G88 I70:I89 C71:D71 AM71:JG71 B72:B87 AL72:JG88 D73:D76 D80 D86 C88:D88 C91 AL91:JG100 F91:G120 I91:K120 M91:O120 Q91:Q120 AI91:AI349 B92:B120 D95 D100 AM101:JG101 AL102:JG120 D112:D116 D122:D124 AL122:JG198 F122:G263 B122:B275 I122:I349 D126:D129 D131:D134 D137:D139 D142:D147 D157:D168 D170 D172:D182 D184:D187 D189:D200 AM199:JG199 AL200:JG207 D202:D211 AM208:JG208 AL209:JG209 AM210:JG210 AL211:JG228 D213:D227 AM229:JG229 D229:D244 AL230:JG250 AM251:JG251 D251:D263 AL252:JG259 AM260:JG260 AL261:JG264 G264:G275 AM265:JG275 D276:D282 F276:G349 AL276:JG349 B277:B284 A350:AJ352 AK350:JG355 A353:AB353 A354:AA354 A355 E355 A356:AE356 AK356:XFD356 A357:XFD362 A363 AK363:JG363 A364:XFD65610">
    <cfRule type="cellIs" dxfId="71" priority="137" stopIfTrue="1" operator="equal">
      <formula>"C"</formula>
    </cfRule>
    <cfRule type="cellIs" dxfId="70" priority="138" stopIfTrue="1" operator="equal">
      <formula>"B"</formula>
    </cfRule>
  </conditionalFormatting>
  <conditionalFormatting sqref="F1:S2 AK1:JG2 A1:A3 F3:AG3 AK3:XFD5 A8:XFD9 A10 AK10:JG10 A11:XFD11 A12:T13 X12:XFD13 J14 N14 R14:S14 AA14 AE14:AI14 AK14:XFD16 F15:R15 T15 V15 X15:AC15 C15:D16 R16:W16 AG16:AH16 A17:AI17 AK17:JG17 A18:B18 AK18:AM18 AO18:JG18 D18:D20 W18:AC349 AE18:AE349 AL19:JG21 B19:B22 A19:A349 AK19:AK349 AP22:JG47 D24:D26 B24:B31 D29:D30 C32:D32 D33:D37 B33:B41 D39 D44:D48 B44:B55 AL48:JG55 D50:D51 D57:D61 B57:B68 F57:G68 AL57:JG68 D63 D65:D68 B70 D70 AL70:JG70 C71:D71 AM71:JG71 B72:B87 D73:D76 D80 D86 C91 AL91:JG100 F91:G120 I91:K120 M91:O120 Q91:Q120 AI91:AI349 B92:B120 D95 D100 AM101:JG101 AL102:JG120 D112:D116 AL122:JG198 F122:G263 I122:I349 D126:D129 D131:D134 D137:D139 D142:D147 D157:D168 D170 D172:D182 D184:D187 D189:D200 AM199:JG199 AL200:JG207 D202:D211 AM208:JG208 AL209:JG209 AM210:JG210 AL211:JG228 D213:D227 AM229:JG229 D229:D244 AL230:JG250 AM251:JG251 D251:D263 AL252:JG259 AM260:JG260 AL261:JG264 G264:G275 AM265:JG275 D276:D282 F276:G349 AL276:JG349 A350:AJ352 AK350:JG355 A353:AB353 A354:AA354 A355 E355 A356:AE356 AK356:XFD356 A357:XFD362 A363 AK363:JG363 A364:XFD65610">
    <cfRule type="cellIs" dxfId="69" priority="136" stopIfTrue="1" operator="equal">
      <formula>"A DN"</formula>
    </cfRule>
    <cfRule type="cellIs" dxfId="68" priority="135" stopIfTrue="1" operator="equal">
      <formula>"KXL"</formula>
    </cfRule>
  </conditionalFormatting>
  <conditionalFormatting sqref="I18:K43 M18:M89">
    <cfRule type="cellIs" dxfId="67" priority="82" stopIfTrue="1" operator="equal">
      <formula>"A DN"</formula>
    </cfRule>
  </conditionalFormatting>
  <conditionalFormatting sqref="I18:K55">
    <cfRule type="cellIs" dxfId="66" priority="81" stopIfTrue="1" operator="equal">
      <formula>"KXL"</formula>
    </cfRule>
  </conditionalFormatting>
  <conditionalFormatting sqref="I56:K56">
    <cfRule type="cellIs" dxfId="65" priority="95" stopIfTrue="1" operator="equal">
      <formula>"C"</formula>
    </cfRule>
  </conditionalFormatting>
  <conditionalFormatting sqref="I57:K68 J122:K263 M122:M349 K264:K275 J276:K349">
    <cfRule type="cellIs" dxfId="64" priority="98" stopIfTrue="1" operator="equal">
      <formula>"KXL"</formula>
    </cfRule>
  </conditionalFormatting>
  <conditionalFormatting sqref="I69:K69">
    <cfRule type="cellIs" dxfId="63" priority="93" stopIfTrue="1" operator="equal">
      <formula>"B"</formula>
    </cfRule>
    <cfRule type="cellIs" dxfId="62" priority="92" stopIfTrue="1" operator="equal">
      <formula>"C"</formula>
    </cfRule>
  </conditionalFormatting>
  <conditionalFormatting sqref="I70:K89">
    <cfRule type="cellIs" dxfId="61" priority="77" stopIfTrue="1" operator="equal">
      <formula>"KXL"</formula>
    </cfRule>
  </conditionalFormatting>
  <conditionalFormatting sqref="I121:K121">
    <cfRule type="cellIs" dxfId="60" priority="89" stopIfTrue="1" operator="equal">
      <formula>"C"</formula>
    </cfRule>
    <cfRule type="cellIs" dxfId="59" priority="90" stopIfTrue="1" operator="equal">
      <formula>"B"</formula>
    </cfRule>
    <cfRule type="cellIs" dxfId="58" priority="91" stopIfTrue="1" operator="equal">
      <formula>"A DN"</formula>
    </cfRule>
  </conditionalFormatting>
  <conditionalFormatting sqref="J18:K22 M18:M22 J24:K41 M24:M41 J44:K55 M44:M55 J57:K68 M57:M68 J70:K88 M70:M89 J122:K263 M122:M349 K264:K275 J276:K349">
    <cfRule type="cellIs" dxfId="57" priority="101" stopIfTrue="1" operator="equal">
      <formula>"B"</formula>
    </cfRule>
  </conditionalFormatting>
  <conditionalFormatting sqref="J18:K43 M18:M55">
    <cfRule type="cellIs" dxfId="56" priority="83" stopIfTrue="1" operator="equal">
      <formula>"C"</formula>
    </cfRule>
  </conditionalFormatting>
  <conditionalFormatting sqref="J23:K23 M23">
    <cfRule type="cellIs" dxfId="55" priority="88" stopIfTrue="1" operator="equal">
      <formula>"B"</formula>
    </cfRule>
  </conditionalFormatting>
  <conditionalFormatting sqref="J42:K43 M42:M43">
    <cfRule type="cellIs" dxfId="54" priority="84" stopIfTrue="1" operator="equal">
      <formula>"B"</formula>
    </cfRule>
  </conditionalFormatting>
  <conditionalFormatting sqref="J44:K56">
    <cfRule type="cellIs" dxfId="53" priority="97" stopIfTrue="1" operator="equal">
      <formula>"A DN"</formula>
    </cfRule>
  </conditionalFormatting>
  <conditionalFormatting sqref="J56:K56">
    <cfRule type="cellIs" dxfId="52" priority="96" stopIfTrue="1" operator="equal">
      <formula>"B"</formula>
    </cfRule>
  </conditionalFormatting>
  <conditionalFormatting sqref="J57:K68 J122:K263 M122:M349 K264:K275 J276:K349 J44:K55 J70:K88 M57:M68 M70:M89">
    <cfRule type="cellIs" dxfId="51" priority="100" stopIfTrue="1" operator="equal">
      <formula>"C"</formula>
    </cfRule>
  </conditionalFormatting>
  <conditionalFormatting sqref="J57:K68 J122:K263 M122:M349 K264:K275 J276:K349">
    <cfRule type="cellIs" dxfId="50" priority="99" stopIfTrue="1" operator="equal">
      <formula>"A DN"</formula>
    </cfRule>
  </conditionalFormatting>
  <conditionalFormatting sqref="J69:K88">
    <cfRule type="cellIs" dxfId="49" priority="94" stopIfTrue="1" operator="equal">
      <formula>"A DN"</formula>
    </cfRule>
  </conditionalFormatting>
  <conditionalFormatting sqref="J89:K89">
    <cfRule type="cellIs" dxfId="48" priority="79" stopIfTrue="1" operator="equal">
      <formula>"C"</formula>
    </cfRule>
    <cfRule type="cellIs" dxfId="47" priority="80" stopIfTrue="1" operator="equal">
      <formula>"B"</formula>
    </cfRule>
    <cfRule type="cellIs" dxfId="46" priority="78" stopIfTrue="1" operator="equal">
      <formula>"A DN"</formula>
    </cfRule>
  </conditionalFormatting>
  <conditionalFormatting sqref="M18:O55 Q18:Q55">
    <cfRule type="cellIs" dxfId="45" priority="56" stopIfTrue="1" operator="equal">
      <formula>"KXL"</formula>
    </cfRule>
  </conditionalFormatting>
  <conditionalFormatting sqref="M56:O56 Q56">
    <cfRule type="cellIs" dxfId="44" priority="71" stopIfTrue="1" operator="equal">
      <formula>"B"</formula>
    </cfRule>
    <cfRule type="cellIs" dxfId="43" priority="70" stopIfTrue="1" operator="equal">
      <formula>"C"</formula>
    </cfRule>
  </conditionalFormatting>
  <conditionalFormatting sqref="M57:O68 Q57:Q68 Q70:Q89 N122:O263 Q122:Q349 O264:O275 N276:O349">
    <cfRule type="cellIs" dxfId="42" priority="73" stopIfTrue="1" operator="equal">
      <formula>"KXL"</formula>
    </cfRule>
  </conditionalFormatting>
  <conditionalFormatting sqref="M69:O69 Q69">
    <cfRule type="cellIs" dxfId="41" priority="68" stopIfTrue="1" operator="equal">
      <formula>"B"</formula>
    </cfRule>
    <cfRule type="cellIs" dxfId="40" priority="67" stopIfTrue="1" operator="equal">
      <formula>"C"</formula>
    </cfRule>
  </conditionalFormatting>
  <conditionalFormatting sqref="M70:O89">
    <cfRule type="cellIs" dxfId="39" priority="52" stopIfTrue="1" operator="equal">
      <formula>"KXL"</formula>
    </cfRule>
  </conditionalFormatting>
  <conditionalFormatting sqref="M121:O121 Q121">
    <cfRule type="cellIs" dxfId="38" priority="65" stopIfTrue="1" operator="equal">
      <formula>"B"</formula>
    </cfRule>
    <cfRule type="cellIs" dxfId="37" priority="64" stopIfTrue="1" operator="equal">
      <formula>"C"</formula>
    </cfRule>
    <cfRule type="cellIs" dxfId="36" priority="66" stopIfTrue="1" operator="equal">
      <formula>"A DN"</formula>
    </cfRule>
  </conditionalFormatting>
  <conditionalFormatting sqref="N18:O22 Q18:Q22 N24:O41 Q24:Q41 N44:O55 Q44:Q55 N57:O68 Q57:Q68 N70:O88 Q70:Q89 N122:O263 Q122:Q349 O264:O275 N276:O349">
    <cfRule type="cellIs" dxfId="35" priority="76" stopIfTrue="1" operator="equal">
      <formula>"B"</formula>
    </cfRule>
  </conditionalFormatting>
  <conditionalFormatting sqref="N18:O43 Q18:Q43">
    <cfRule type="cellIs" dxfId="34" priority="58" stopIfTrue="1" operator="equal">
      <formula>"C"</formula>
    </cfRule>
    <cfRule type="cellIs" dxfId="33" priority="57" stopIfTrue="1" operator="equal">
      <formula>"A DN"</formula>
    </cfRule>
  </conditionalFormatting>
  <conditionalFormatting sqref="N23:O23 Q23">
    <cfRule type="cellIs" dxfId="32" priority="63" stopIfTrue="1" operator="equal">
      <formula>"B"</formula>
    </cfRule>
  </conditionalFormatting>
  <conditionalFormatting sqref="N42:O43 Q42:Q43">
    <cfRule type="cellIs" dxfId="31" priority="59" stopIfTrue="1" operator="equal">
      <formula>"B"</formula>
    </cfRule>
  </conditionalFormatting>
  <conditionalFormatting sqref="N44:O56 Q44:Q56">
    <cfRule type="cellIs" dxfId="30" priority="72" stopIfTrue="1" operator="equal">
      <formula>"A DN"</formula>
    </cfRule>
  </conditionalFormatting>
  <conditionalFormatting sqref="N57:O68 Q57:Q68 Q70:Q89 N122:O263 Q122:Q349 O264:O275 N276:O349 N44:O55 Q44:Q55 N70:O88">
    <cfRule type="cellIs" dxfId="29" priority="75" stopIfTrue="1" operator="equal">
      <formula>"C"</formula>
    </cfRule>
  </conditionalFormatting>
  <conditionalFormatting sqref="N57:O68 Q57:Q68 Q70:Q89 N122:O263 Q122:Q349 O264:O275 N276:O349">
    <cfRule type="cellIs" dxfId="28" priority="74" stopIfTrue="1" operator="equal">
      <formula>"A DN"</formula>
    </cfRule>
  </conditionalFormatting>
  <conditionalFormatting sqref="N89:O89">
    <cfRule type="cellIs" dxfId="27" priority="55" stopIfTrue="1" operator="equal">
      <formula>"B"</formula>
    </cfRule>
    <cfRule type="cellIs" dxfId="26" priority="54" stopIfTrue="1" operator="equal">
      <formula>"C"</formula>
    </cfRule>
    <cfRule type="cellIs" dxfId="25" priority="53" stopIfTrue="1" operator="equal">
      <formula>"A DN"</formula>
    </cfRule>
  </conditionalFormatting>
  <conditionalFormatting sqref="Q69 N69:O88">
    <cfRule type="cellIs" dxfId="24" priority="69" stopIfTrue="1" operator="equal">
      <formula>"A DN"</formula>
    </cfRule>
  </conditionalFormatting>
  <conditionalFormatting sqref="R18:V349">
    <cfRule type="cellIs" dxfId="23" priority="39" operator="equal">
      <formula>"D"</formula>
    </cfRule>
    <cfRule type="cellIs" dxfId="22" priority="38" operator="equal">
      <formula>"KXL"</formula>
    </cfRule>
    <cfRule type="cellIs" dxfId="21" priority="37" operator="equal">
      <formula>"A DN"</formula>
    </cfRule>
    <cfRule type="cellIs" dxfId="20" priority="42" operator="equal">
      <formula>"B2"</formula>
    </cfRule>
    <cfRule type="cellIs" dxfId="19" priority="41" operator="equal">
      <formula>"C1"</formula>
    </cfRule>
    <cfRule type="cellIs" dxfId="18" priority="40" operator="equal">
      <formula>"C2"</formula>
    </cfRule>
    <cfRule type="cellIs" dxfId="17" priority="43" operator="equal">
      <formula>"B1"</formula>
    </cfRule>
  </conditionalFormatting>
  <conditionalFormatting sqref="AH4">
    <cfRule type="cellIs" dxfId="16" priority="12" stopIfTrue="1" operator="equal">
      <formula>"B"</formula>
    </cfRule>
    <cfRule type="cellIs" dxfId="15" priority="11" stopIfTrue="1" operator="equal">
      <formula>"C"</formula>
    </cfRule>
  </conditionalFormatting>
  <conditionalFormatting sqref="AH5">
    <cfRule type="cellIs" dxfId="14" priority="8" stopIfTrue="1" operator="equal">
      <formula>"B"</formula>
    </cfRule>
    <cfRule type="cellIs" dxfId="13" priority="1" stopIfTrue="1" operator="equal">
      <formula>"KXL"</formula>
    </cfRule>
    <cfRule type="cellIs" dxfId="12" priority="2" stopIfTrue="1" operator="equal">
      <formula>"A DN"</formula>
    </cfRule>
    <cfRule type="cellIs" dxfId="11" priority="3" stopIfTrue="1" operator="equal">
      <formula>"C"</formula>
    </cfRule>
    <cfRule type="cellIs" dxfId="10" priority="4" stopIfTrue="1" operator="equal">
      <formula>"B"</formula>
    </cfRule>
    <cfRule type="cellIs" dxfId="9" priority="7" stopIfTrue="1" operator="equal">
      <formula>"C"</formula>
    </cfRule>
  </conditionalFormatting>
  <conditionalFormatting sqref="AI18:AI89">
    <cfRule type="cellIs" dxfId="8" priority="107" stopIfTrue="1" operator="equal">
      <formula>"A DN"</formula>
    </cfRule>
    <cfRule type="cellIs" dxfId="7" priority="106" stopIfTrue="1" operator="equal">
      <formula>"KXL"</formula>
    </cfRule>
  </conditionalFormatting>
  <conditionalFormatting sqref="AI89">
    <cfRule type="cellIs" dxfId="6" priority="109" stopIfTrue="1" operator="equal">
      <formula>"B"</formula>
    </cfRule>
    <cfRule type="cellIs" dxfId="5" priority="108" stopIfTrue="1" operator="equal">
      <formula>"C"</formula>
    </cfRule>
  </conditionalFormatting>
  <conditionalFormatting sqref="AK6:IW7">
    <cfRule type="cellIs" dxfId="4" priority="20" stopIfTrue="1" operator="equal">
      <formula>"B"</formula>
    </cfRule>
    <cfRule type="cellIs" dxfId="3" priority="19" stopIfTrue="1" operator="equal">
      <formula>"C"</formula>
    </cfRule>
    <cfRule type="cellIs" dxfId="2" priority="18" stopIfTrue="1" operator="equal">
      <formula>"A DN"</formula>
    </cfRule>
    <cfRule type="cellIs" dxfId="1" priority="17" stopIfTrue="1" operator="equal">
      <formula>"KXL"</formula>
    </cfRule>
  </conditionalFormatting>
  <conditionalFormatting sqref="AL72:JG89 C88:D89 F89:G89">
    <cfRule type="cellIs" dxfId="0" priority="103" stopIfTrue="1" operator="equal">
      <formula>"A DN"</formula>
    </cfRule>
  </conditionalFormatting>
  <dataValidations disablePrompts="1" count="1">
    <dataValidation type="list" allowBlank="1" showInputMessage="1" showErrorMessage="1" sqref="AN22" xr:uid="{00000000-0002-0000-0600-000000000000}">
      <formula1>#REF!</formula1>
    </dataValidation>
  </dataValidations>
  <printOptions horizontalCentered="1"/>
  <pageMargins left="0.19685039370078741" right="0.15748031496062992" top="0.5" bottom="0.38" header="0.15748031496062992" footer="0.15748031496062992"/>
  <pageSetup paperSize="9" scale="90" orientation="portrait" r:id="rId1"/>
  <headerFooter alignWithMargins="0">
    <oddFooter>Page &amp;P of &amp;N</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Q421"/>
  <sheetViews>
    <sheetView zoomScale="120" zoomScaleNormal="120" workbookViewId="0">
      <selection activeCell="Z3" sqref="Z3:AB5"/>
    </sheetView>
  </sheetViews>
  <sheetFormatPr defaultRowHeight="15"/>
  <cols>
    <col min="1" max="1" width="5.5703125" style="2" customWidth="1"/>
    <col min="2" max="2" width="22.7109375" style="2" customWidth="1"/>
    <col min="3" max="3" width="11.28515625" style="2" hidden="1" customWidth="1"/>
    <col min="4" max="4" width="17.7109375" style="2" hidden="1" customWidth="1"/>
    <col min="5" max="5" width="16" style="16" hidden="1" customWidth="1"/>
    <col min="6" max="6" width="10" style="2" hidden="1" customWidth="1"/>
    <col min="7" max="7" width="10.140625" style="109" hidden="1" customWidth="1"/>
    <col min="8" max="8" width="11" style="2" hidden="1" customWidth="1"/>
    <col min="9" max="9" width="5.28515625" style="2" hidden="1" customWidth="1"/>
    <col min="10" max="10" width="20" style="2" customWidth="1"/>
    <col min="11" max="11" width="9.5703125" style="79" hidden="1" customWidth="1"/>
    <col min="12" max="12" width="14.85546875" style="354"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59" hidden="1" customWidth="1"/>
    <col min="19" max="19" width="11.85546875" style="2" hidden="1" customWidth="1"/>
    <col min="20" max="20" width="5.28515625" style="389" hidden="1" customWidth="1"/>
    <col min="21" max="21" width="11.28515625" style="2" hidden="1" customWidth="1"/>
    <col min="22" max="22" width="11.85546875" style="589" hidden="1" customWidth="1"/>
    <col min="23" max="23" width="18.85546875" style="2" hidden="1" customWidth="1"/>
    <col min="24" max="24" width="12.7109375" style="2" customWidth="1"/>
    <col min="25" max="25" width="13" style="2" customWidth="1"/>
    <col min="26" max="26" width="14.85546875" style="2" customWidth="1"/>
    <col min="27" max="27" width="3.85546875" style="2" customWidth="1"/>
    <col min="28" max="28" width="20.5703125" style="96" customWidth="1"/>
    <col min="29" max="29" width="23.5703125" style="219" bestFit="1" customWidth="1"/>
    <col min="30" max="30" width="12.7109375" style="2" customWidth="1"/>
    <col min="31" max="31" width="17.85546875" style="2" customWidth="1"/>
    <col min="32" max="32" width="10.42578125" style="151" bestFit="1" customWidth="1"/>
    <col min="33" max="16384" width="9.140625" style="2"/>
  </cols>
  <sheetData>
    <row r="1" spans="1:32" s="670" customFormat="1">
      <c r="A1" s="1557" t="s">
        <v>492</v>
      </c>
      <c r="B1" s="1557"/>
      <c r="C1" s="1557"/>
      <c r="D1" s="1557"/>
      <c r="E1" s="1557"/>
      <c r="F1" s="1557"/>
      <c r="G1" s="1557"/>
      <c r="H1" s="1557"/>
      <c r="I1" s="1557"/>
      <c r="J1" s="1557"/>
      <c r="K1" s="669"/>
      <c r="L1" s="669"/>
      <c r="M1" s="669"/>
      <c r="O1" s="671"/>
      <c r="P1" s="671"/>
      <c r="Q1" s="671"/>
      <c r="R1" s="671"/>
      <c r="S1" s="671"/>
      <c r="T1" s="672"/>
      <c r="U1" s="1555" t="s">
        <v>849</v>
      </c>
      <c r="V1" s="1555"/>
      <c r="W1" s="1555"/>
      <c r="X1" s="1555"/>
      <c r="Y1" s="1555"/>
      <c r="Z1" s="1555"/>
      <c r="AA1" s="1555"/>
      <c r="AB1" s="1555"/>
      <c r="AC1" s="671"/>
      <c r="AD1" s="671"/>
      <c r="AE1" s="671"/>
      <c r="AF1" s="671"/>
    </row>
    <row r="2" spans="1:32" s="670" customFormat="1" ht="14.25">
      <c r="A2" s="1555" t="s">
        <v>1563</v>
      </c>
      <c r="B2" s="1555"/>
      <c r="C2" s="1555"/>
      <c r="D2" s="1555"/>
      <c r="E2" s="1555"/>
      <c r="F2" s="1555"/>
      <c r="G2" s="1555"/>
      <c r="H2" s="1555"/>
      <c r="I2" s="1555"/>
      <c r="J2" s="1555"/>
      <c r="K2" s="673"/>
      <c r="L2" s="673"/>
      <c r="M2" s="673"/>
      <c r="O2" s="671"/>
      <c r="P2" s="671"/>
      <c r="Q2" s="671"/>
      <c r="R2" s="671"/>
      <c r="S2" s="671"/>
      <c r="T2" s="671"/>
      <c r="U2" s="671"/>
      <c r="V2" s="671"/>
      <c r="W2" s="671"/>
      <c r="X2" s="1555" t="s">
        <v>2179</v>
      </c>
      <c r="Y2" s="1555"/>
      <c r="Z2" s="1555"/>
      <c r="AA2" s="1555"/>
      <c r="AB2" s="1555"/>
      <c r="AC2" s="671"/>
      <c r="AF2" s="671"/>
    </row>
    <row r="3" spans="1:32" s="670" customFormat="1" ht="15" customHeight="1">
      <c r="A3" s="1555" t="s">
        <v>1564</v>
      </c>
      <c r="B3" s="1555"/>
      <c r="C3" s="1555"/>
      <c r="D3" s="1555"/>
      <c r="E3" s="1555"/>
      <c r="F3" s="1555"/>
      <c r="G3" s="1555"/>
      <c r="H3" s="1555"/>
      <c r="I3" s="1555"/>
      <c r="J3" s="1555"/>
      <c r="K3" s="1555"/>
      <c r="L3" s="1555"/>
      <c r="M3" s="1555"/>
      <c r="O3" s="671"/>
      <c r="P3" s="671"/>
      <c r="Q3" s="671"/>
      <c r="R3" s="671"/>
      <c r="S3" s="671"/>
      <c r="T3" s="671"/>
      <c r="U3" s="671"/>
      <c r="V3" s="671"/>
      <c r="W3" s="671"/>
      <c r="X3" s="671"/>
      <c r="Y3" s="671"/>
      <c r="Z3" s="1555" t="s">
        <v>2180</v>
      </c>
      <c r="AA3" s="1555"/>
      <c r="AB3" s="1555"/>
      <c r="AC3" s="671"/>
      <c r="AD3" s="671"/>
      <c r="AE3" s="671"/>
      <c r="AF3" s="671"/>
    </row>
    <row r="4" spans="1:32" s="670" customFormat="1" ht="16.5" customHeight="1">
      <c r="A4" s="1555"/>
      <c r="B4" s="1555"/>
      <c r="C4" s="1555"/>
      <c r="D4" s="1555"/>
      <c r="E4" s="1555"/>
      <c r="F4" s="1555"/>
      <c r="G4" s="1555"/>
      <c r="H4" s="1555"/>
      <c r="I4" s="1555"/>
      <c r="J4" s="1555"/>
      <c r="K4" s="1555"/>
      <c r="L4" s="1555"/>
      <c r="M4" s="1555"/>
      <c r="N4" s="674"/>
      <c r="O4" s="675"/>
      <c r="P4" s="669"/>
      <c r="Q4" s="669"/>
      <c r="R4" s="669"/>
      <c r="S4" s="675"/>
      <c r="T4" s="676"/>
      <c r="U4" s="675"/>
      <c r="V4" s="677"/>
      <c r="W4" s="677"/>
      <c r="X4" s="675"/>
      <c r="Y4" s="675"/>
      <c r="Z4" s="1557" t="s">
        <v>2181</v>
      </c>
      <c r="AA4" s="1557"/>
      <c r="AB4" s="1557"/>
      <c r="AC4" s="680"/>
      <c r="AD4" s="680"/>
      <c r="AE4" s="680"/>
      <c r="AF4" s="680"/>
    </row>
    <row r="5" spans="1:32" s="670" customFormat="1" ht="16.5" customHeight="1">
      <c r="A5" s="678"/>
      <c r="B5" s="679"/>
      <c r="C5" s="679"/>
      <c r="D5" s="679"/>
      <c r="E5" s="679"/>
      <c r="F5" s="679"/>
      <c r="G5" s="679"/>
      <c r="H5" s="679"/>
      <c r="I5" s="679"/>
      <c r="J5" s="679"/>
      <c r="K5" s="678"/>
      <c r="L5" s="678"/>
      <c r="M5" s="678"/>
      <c r="N5" s="674"/>
      <c r="O5" s="675"/>
      <c r="P5" s="669"/>
      <c r="Q5" s="669"/>
      <c r="R5" s="669"/>
      <c r="S5" s="675"/>
      <c r="T5" s="676"/>
      <c r="U5" s="675"/>
      <c r="V5" s="677"/>
      <c r="W5" s="677"/>
      <c r="X5" s="675"/>
      <c r="Y5" s="675"/>
      <c r="Z5" s="1557" t="s">
        <v>2182</v>
      </c>
      <c r="AA5" s="1557"/>
      <c r="AB5" s="1557"/>
      <c r="AC5" s="680"/>
      <c r="AD5" s="680"/>
      <c r="AE5" s="680"/>
      <c r="AF5" s="680"/>
    </row>
    <row r="6" spans="1:32" s="670" customFormat="1" ht="18.75" customHeight="1">
      <c r="A6" s="1554" t="s">
        <v>2183</v>
      </c>
      <c r="B6" s="1554"/>
      <c r="C6" s="1554"/>
      <c r="D6" s="1554"/>
      <c r="E6" s="1554"/>
      <c r="F6" s="1554"/>
      <c r="G6" s="1554"/>
      <c r="H6" s="1554"/>
      <c r="I6" s="1554"/>
      <c r="J6" s="1554"/>
      <c r="K6" s="1554"/>
      <c r="L6" s="1554"/>
      <c r="M6" s="1554"/>
      <c r="N6" s="1554"/>
      <c r="O6" s="1554"/>
      <c r="P6" s="1554"/>
      <c r="Q6" s="1554"/>
      <c r="R6" s="1554"/>
      <c r="S6" s="1554"/>
      <c r="T6" s="1554"/>
      <c r="U6" s="1554"/>
      <c r="V6" s="1554"/>
      <c r="W6" s="1554"/>
      <c r="X6" s="1554"/>
      <c r="Y6" s="1554"/>
      <c r="Z6" s="1554"/>
      <c r="AA6" s="1554"/>
      <c r="AB6" s="1554"/>
      <c r="AC6" s="681"/>
      <c r="AD6" s="681"/>
      <c r="AE6" s="681"/>
      <c r="AF6" s="681"/>
    </row>
    <row r="7" spans="1:32" s="670" customFormat="1" ht="18" customHeight="1">
      <c r="A7" s="1554" t="s">
        <v>2259</v>
      </c>
      <c r="B7" s="1554"/>
      <c r="C7" s="1554"/>
      <c r="D7" s="1554"/>
      <c r="E7" s="1554"/>
      <c r="F7" s="1554"/>
      <c r="G7" s="1554"/>
      <c r="H7" s="1554"/>
      <c r="I7" s="1554"/>
      <c r="J7" s="1554"/>
      <c r="K7" s="1554"/>
      <c r="L7" s="1554"/>
      <c r="M7" s="1554"/>
      <c r="N7" s="1554"/>
      <c r="O7" s="1554"/>
      <c r="P7" s="1554"/>
      <c r="Q7" s="1554"/>
      <c r="R7" s="1554"/>
      <c r="S7" s="1554"/>
      <c r="T7" s="1554"/>
      <c r="U7" s="1554"/>
      <c r="V7" s="1554"/>
      <c r="W7" s="1554"/>
      <c r="X7" s="1554"/>
      <c r="Y7" s="1554"/>
      <c r="Z7" s="1554"/>
      <c r="AA7" s="1554"/>
      <c r="AB7" s="1554"/>
      <c r="AC7" s="681"/>
      <c r="AD7" s="681"/>
      <c r="AE7" s="681"/>
      <c r="AF7" s="681"/>
    </row>
    <row r="8" spans="1:32" s="500" customFormat="1" ht="16.5" customHeight="1">
      <c r="A8" s="499" t="s">
        <v>2013</v>
      </c>
      <c r="C8" s="501">
        <v>1490000</v>
      </c>
      <c r="D8" s="502"/>
      <c r="E8" s="502"/>
      <c r="F8" s="503"/>
      <c r="G8" s="504">
        <v>1800000</v>
      </c>
      <c r="H8" s="504"/>
      <c r="I8" s="505"/>
      <c r="J8" s="505"/>
      <c r="K8" s="506"/>
      <c r="L8" s="507"/>
      <c r="M8" s="505"/>
      <c r="N8" s="508"/>
      <c r="O8" s="1549"/>
      <c r="P8" s="1549"/>
      <c r="Q8" s="1549"/>
      <c r="R8" s="1549"/>
      <c r="S8" s="1549"/>
      <c r="T8" s="509"/>
      <c r="U8" s="510"/>
      <c r="V8" s="580"/>
      <c r="W8" s="651" t="s">
        <v>1181</v>
      </c>
      <c r="X8" s="651"/>
      <c r="Y8" s="651"/>
      <c r="Z8" s="651"/>
      <c r="AA8" s="505"/>
      <c r="AB8" s="511"/>
      <c r="AC8" s="512"/>
      <c r="AF8" s="513"/>
    </row>
    <row r="9" spans="1:32" ht="10.5" customHeight="1">
      <c r="A9" s="1"/>
      <c r="B9" s="7"/>
      <c r="C9" s="7"/>
      <c r="D9" s="7"/>
      <c r="E9" s="14"/>
      <c r="F9" s="188"/>
      <c r="G9" s="222"/>
      <c r="H9" s="1"/>
      <c r="I9" s="1"/>
      <c r="J9" s="1"/>
      <c r="K9" s="73"/>
      <c r="L9" s="356"/>
      <c r="M9" s="1"/>
      <c r="N9" s="3"/>
      <c r="O9" s="1"/>
      <c r="P9" s="1"/>
      <c r="Q9" s="3"/>
      <c r="R9" s="451"/>
      <c r="S9" s="3"/>
      <c r="T9" s="382"/>
      <c r="U9" s="3"/>
      <c r="V9" s="581"/>
      <c r="W9" s="27"/>
      <c r="X9" s="27"/>
      <c r="Y9" s="27"/>
      <c r="Z9" s="27"/>
      <c r="AA9" s="1"/>
    </row>
    <row r="10" spans="1:32" s="111" customFormat="1" ht="27" customHeight="1">
      <c r="A10" s="401" t="s">
        <v>853</v>
      </c>
      <c r="B10" s="1567" t="s">
        <v>854</v>
      </c>
      <c r="C10" s="1567"/>
      <c r="D10" s="88" t="s">
        <v>1598</v>
      </c>
      <c r="E10" s="420" t="s">
        <v>50</v>
      </c>
      <c r="F10" s="667" t="s">
        <v>2176</v>
      </c>
      <c r="G10" s="220" t="s">
        <v>1138</v>
      </c>
      <c r="H10" s="40" t="s">
        <v>1139</v>
      </c>
      <c r="I10" s="40" t="s">
        <v>1140</v>
      </c>
      <c r="J10" s="667" t="s">
        <v>2176</v>
      </c>
      <c r="K10" s="78" t="s">
        <v>855</v>
      </c>
      <c r="L10" s="350" t="s">
        <v>1141</v>
      </c>
      <c r="M10" s="28" t="s">
        <v>860</v>
      </c>
      <c r="N10" s="28" t="s">
        <v>1186</v>
      </c>
      <c r="O10" s="28" t="s">
        <v>861</v>
      </c>
      <c r="P10" s="28" t="s">
        <v>857</v>
      </c>
      <c r="Q10" s="28" t="s">
        <v>1187</v>
      </c>
      <c r="R10" s="452" t="s">
        <v>1247</v>
      </c>
      <c r="S10" s="93" t="s">
        <v>1188</v>
      </c>
      <c r="T10" s="383" t="s">
        <v>1184</v>
      </c>
      <c r="U10" s="28" t="s">
        <v>1189</v>
      </c>
      <c r="V10" s="582" t="s">
        <v>1190</v>
      </c>
      <c r="W10" s="28" t="s">
        <v>1100</v>
      </c>
      <c r="X10" s="666" t="s">
        <v>2172</v>
      </c>
      <c r="Y10" s="666" t="s">
        <v>2173</v>
      </c>
      <c r="Z10" s="666" t="s">
        <v>2174</v>
      </c>
      <c r="AA10" s="1545" t="s">
        <v>2175</v>
      </c>
      <c r="AB10" s="1546"/>
      <c r="AC10" s="437"/>
      <c r="AF10" s="153"/>
    </row>
    <row r="11" spans="1:32" s="108" customFormat="1" ht="15" customHeight="1">
      <c r="A11" s="29" t="s">
        <v>858</v>
      </c>
      <c r="B11" s="1558" t="s">
        <v>525</v>
      </c>
      <c r="C11" s="1558"/>
      <c r="D11" s="29"/>
      <c r="E11" s="421"/>
      <c r="F11" s="29" t="s">
        <v>786</v>
      </c>
      <c r="G11" s="29" t="s">
        <v>1113</v>
      </c>
      <c r="H11" s="29" t="s">
        <v>1114</v>
      </c>
      <c r="I11" s="29" t="s">
        <v>1115</v>
      </c>
      <c r="J11" s="652" t="s">
        <v>786</v>
      </c>
      <c r="K11" s="72" t="s">
        <v>1112</v>
      </c>
      <c r="L11" s="351" t="s">
        <v>1117</v>
      </c>
      <c r="M11" s="29" t="s">
        <v>1113</v>
      </c>
      <c r="N11" s="29" t="s">
        <v>1114</v>
      </c>
      <c r="O11" s="29" t="s">
        <v>1115</v>
      </c>
      <c r="P11" s="29" t="s">
        <v>1116</v>
      </c>
      <c r="Q11" s="29" t="s">
        <v>1117</v>
      </c>
      <c r="R11" s="453" t="s">
        <v>1125</v>
      </c>
      <c r="S11" s="29" t="s">
        <v>1118</v>
      </c>
      <c r="T11" s="384" t="s">
        <v>1127</v>
      </c>
      <c r="U11" s="29">
        <v>10</v>
      </c>
      <c r="V11" s="583" t="s">
        <v>2022</v>
      </c>
      <c r="W11" s="29">
        <v>11</v>
      </c>
      <c r="X11" s="652">
        <v>1</v>
      </c>
      <c r="Y11" s="652">
        <v>2</v>
      </c>
      <c r="Z11" s="652" t="s">
        <v>2177</v>
      </c>
      <c r="AA11" s="1562" t="s">
        <v>2178</v>
      </c>
      <c r="AB11" s="1563"/>
      <c r="AC11" s="141"/>
      <c r="AF11" s="154"/>
    </row>
    <row r="12" spans="1:32" hidden="1">
      <c r="A12" s="1544" t="s">
        <v>492</v>
      </c>
      <c r="B12" s="1544"/>
      <c r="C12" s="1544"/>
      <c r="D12" s="1544"/>
      <c r="E12" s="1544"/>
      <c r="F12" s="1544"/>
      <c r="G12" s="1544"/>
      <c r="H12" s="1544"/>
      <c r="I12" s="1544"/>
      <c r="J12" s="1544"/>
      <c r="K12" s="1544"/>
      <c r="L12" s="1544"/>
      <c r="M12" s="1544"/>
      <c r="O12" s="14"/>
      <c r="P12" s="14"/>
      <c r="Q12" s="14"/>
      <c r="R12" s="449"/>
      <c r="S12" s="1543" t="s">
        <v>849</v>
      </c>
      <c r="T12" s="1543"/>
      <c r="U12" s="1543"/>
      <c r="V12" s="1543"/>
      <c r="W12" s="1543"/>
      <c r="X12" s="1543"/>
      <c r="Y12" s="1543"/>
      <c r="Z12" s="1543"/>
      <c r="AA12" s="1543"/>
      <c r="AB12" s="1543"/>
    </row>
    <row r="13" spans="1:32" ht="15" hidden="1" customHeight="1">
      <c r="A13" s="1543" t="s">
        <v>1563</v>
      </c>
      <c r="B13" s="1543"/>
      <c r="C13" s="1543"/>
      <c r="D13" s="1543"/>
      <c r="E13" s="1543"/>
      <c r="F13" s="1543"/>
      <c r="G13" s="1543"/>
      <c r="H13" s="1543"/>
      <c r="I13" s="1543"/>
      <c r="J13" s="1543"/>
      <c r="K13" s="1543"/>
      <c r="L13" s="1543"/>
      <c r="M13" s="1543"/>
      <c r="O13" s="14"/>
      <c r="P13" s="14"/>
      <c r="Q13" s="14"/>
      <c r="R13" s="449"/>
      <c r="S13" s="1543" t="s">
        <v>851</v>
      </c>
      <c r="T13" s="1543"/>
      <c r="U13" s="1543"/>
      <c r="V13" s="1543"/>
      <c r="W13" s="1543"/>
      <c r="X13" s="1543"/>
      <c r="Y13" s="1543"/>
      <c r="Z13" s="1543"/>
      <c r="AA13" s="1543"/>
      <c r="AB13" s="1543"/>
    </row>
    <row r="14" spans="1:32" ht="16.5" hidden="1" customHeight="1">
      <c r="A14" s="1543" t="s">
        <v>1564</v>
      </c>
      <c r="B14" s="1543"/>
      <c r="C14" s="1543"/>
      <c r="D14" s="1543"/>
      <c r="E14" s="1543"/>
      <c r="F14" s="1543"/>
      <c r="G14" s="1543"/>
      <c r="H14" s="1543"/>
      <c r="I14" s="1543"/>
      <c r="J14" s="1543"/>
      <c r="K14" s="1543"/>
      <c r="L14" s="1543"/>
      <c r="M14" s="1543"/>
      <c r="N14" s="99"/>
      <c r="O14" s="18"/>
      <c r="P14" s="18"/>
      <c r="Q14" s="17"/>
      <c r="R14" s="450"/>
      <c r="S14" s="17"/>
      <c r="T14" s="381"/>
      <c r="U14" s="17"/>
      <c r="V14" s="579"/>
      <c r="W14" s="17"/>
      <c r="X14" s="17"/>
      <c r="Y14" s="17"/>
      <c r="Z14" s="17"/>
      <c r="AA14" s="16"/>
    </row>
    <row r="15" spans="1:32" ht="9" hidden="1" customHeight="1">
      <c r="A15" s="187"/>
      <c r="B15" s="187"/>
      <c r="C15" s="187"/>
      <c r="D15" s="187"/>
      <c r="E15" s="187"/>
      <c r="F15" s="187"/>
      <c r="G15" s="187"/>
      <c r="H15" s="187"/>
      <c r="I15" s="187"/>
      <c r="J15" s="187"/>
      <c r="K15" s="187"/>
      <c r="L15" s="187"/>
      <c r="M15" s="187"/>
      <c r="N15" s="99"/>
      <c r="O15" s="18"/>
      <c r="P15" s="18"/>
      <c r="Q15" s="17"/>
      <c r="R15" s="450"/>
      <c r="S15" s="17"/>
      <c r="T15" s="381"/>
      <c r="U15" s="17"/>
      <c r="V15" s="579"/>
      <c r="W15" s="17"/>
      <c r="X15" s="17"/>
      <c r="Y15" s="17"/>
      <c r="Z15" s="17"/>
      <c r="AA15" s="16"/>
    </row>
    <row r="16" spans="1:32" ht="18.75" hidden="1" customHeight="1">
      <c r="A16" s="1547" t="s">
        <v>2257</v>
      </c>
      <c r="B16" s="1547"/>
      <c r="C16" s="1547"/>
      <c r="D16" s="1547"/>
      <c r="E16" s="1547"/>
      <c r="F16" s="1547"/>
      <c r="G16" s="1547"/>
      <c r="H16" s="1547"/>
      <c r="I16" s="1547"/>
      <c r="J16" s="1547"/>
      <c r="K16" s="1547"/>
      <c r="L16" s="1547"/>
      <c r="M16" s="1547"/>
      <c r="N16" s="1547"/>
      <c r="O16" s="1547"/>
      <c r="P16" s="1547"/>
      <c r="Q16" s="1547"/>
      <c r="R16" s="1547"/>
      <c r="S16" s="1547"/>
      <c r="T16" s="1547"/>
      <c r="U16" s="1547"/>
      <c r="V16" s="1547"/>
      <c r="W16" s="1547"/>
      <c r="X16" s="1547"/>
      <c r="Y16" s="1547"/>
      <c r="Z16" s="1547"/>
      <c r="AA16" s="1547"/>
      <c r="AB16" s="1547"/>
    </row>
    <row r="17" spans="1:42" ht="18.75" hidden="1" customHeight="1">
      <c r="A17" s="1547" t="s">
        <v>1600</v>
      </c>
      <c r="B17" s="1547"/>
      <c r="C17" s="1547"/>
      <c r="D17" s="1547"/>
      <c r="E17" s="1547"/>
      <c r="F17" s="1547"/>
      <c r="G17" s="1547"/>
      <c r="H17" s="1547"/>
      <c r="I17" s="1547"/>
      <c r="J17" s="1547"/>
      <c r="K17" s="1547"/>
      <c r="L17" s="1547"/>
      <c r="M17" s="1547"/>
      <c r="N17" s="1547"/>
      <c r="O17" s="1547"/>
      <c r="P17" s="1547"/>
      <c r="Q17" s="1547"/>
      <c r="R17" s="1547"/>
      <c r="S17" s="1547"/>
      <c r="T17" s="1547"/>
      <c r="U17" s="1547"/>
      <c r="V17" s="1547"/>
      <c r="W17" s="1547"/>
      <c r="X17" s="1547"/>
      <c r="Y17" s="1547"/>
      <c r="Z17" s="1547"/>
      <c r="AA17" s="1547"/>
      <c r="AB17" s="1547"/>
    </row>
    <row r="18" spans="1:42" ht="54" hidden="1" customHeight="1">
      <c r="A18" s="1548" t="s">
        <v>2007</v>
      </c>
      <c r="B18" s="1548"/>
      <c r="C18" s="1548"/>
      <c r="D18" s="1548"/>
      <c r="E18" s="1548"/>
      <c r="F18" s="1548"/>
      <c r="G18" s="1548"/>
      <c r="H18" s="1548"/>
      <c r="I18" s="1548"/>
      <c r="J18" s="1548"/>
      <c r="K18" s="1548"/>
      <c r="L18" s="1548"/>
      <c r="M18" s="1548"/>
      <c r="N18" s="1548"/>
      <c r="O18" s="1548"/>
      <c r="P18" s="1548"/>
      <c r="Q18" s="1548"/>
      <c r="R18" s="1548"/>
      <c r="S18" s="1548"/>
      <c r="T18" s="1548"/>
      <c r="U18" s="1548"/>
      <c r="V18" s="1548"/>
      <c r="W18" s="1548"/>
      <c r="X18" s="1548"/>
      <c r="Y18" s="1548"/>
      <c r="Z18" s="1548"/>
      <c r="AA18" s="1548"/>
      <c r="AB18" s="1548"/>
    </row>
    <row r="19" spans="1:42" s="500" customFormat="1" ht="16.5" hidden="1" customHeight="1">
      <c r="A19" s="499" t="s">
        <v>2013</v>
      </c>
      <c r="C19" s="501">
        <v>1490000</v>
      </c>
      <c r="D19" s="502"/>
      <c r="E19" s="502"/>
      <c r="F19" s="503"/>
      <c r="G19" s="504">
        <v>1800000</v>
      </c>
      <c r="H19" s="504"/>
      <c r="I19" s="505"/>
      <c r="J19" s="505"/>
      <c r="K19" s="506"/>
      <c r="L19" s="507"/>
      <c r="M19" s="505"/>
      <c r="N19" s="508"/>
      <c r="O19" s="1549"/>
      <c r="P19" s="1549"/>
      <c r="Q19" s="1549"/>
      <c r="R19" s="1549"/>
      <c r="S19" s="1549"/>
      <c r="T19" s="509"/>
      <c r="U19" s="510"/>
      <c r="V19" s="580"/>
      <c r="W19" s="651" t="s">
        <v>1181</v>
      </c>
      <c r="X19" s="651"/>
      <c r="Y19" s="651"/>
      <c r="Z19" s="651"/>
      <c r="AA19" s="505"/>
      <c r="AB19" s="511"/>
      <c r="AC19" s="512"/>
      <c r="AF19" s="513"/>
    </row>
    <row r="20" spans="1:42" ht="10.5" hidden="1" customHeight="1">
      <c r="A20" s="1"/>
      <c r="B20" s="7"/>
      <c r="C20" s="7"/>
      <c r="D20" s="7"/>
      <c r="E20" s="14"/>
      <c r="F20" s="188"/>
      <c r="G20" s="222"/>
      <c r="H20" s="1"/>
      <c r="I20" s="1"/>
      <c r="J20" s="1"/>
      <c r="K20" s="73"/>
      <c r="L20" s="356"/>
      <c r="M20" s="1"/>
      <c r="N20" s="3"/>
      <c r="O20" s="1"/>
      <c r="P20" s="1"/>
      <c r="Q20" s="3"/>
      <c r="R20" s="451"/>
      <c r="S20" s="3"/>
      <c r="T20" s="382"/>
      <c r="U20" s="3"/>
      <c r="V20" s="581"/>
      <c r="W20" s="27"/>
      <c r="X20" s="27"/>
      <c r="Y20" s="27"/>
      <c r="Z20" s="27"/>
      <c r="AA20" s="1"/>
    </row>
    <row r="21" spans="1:42" s="111" customFormat="1" ht="63.75" hidden="1" customHeight="1">
      <c r="A21" s="28" t="s">
        <v>853</v>
      </c>
      <c r="B21" s="1550" t="s">
        <v>854</v>
      </c>
      <c r="C21" s="1550"/>
      <c r="D21" s="88" t="s">
        <v>1598</v>
      </c>
      <c r="E21" s="420" t="s">
        <v>50</v>
      </c>
      <c r="F21" s="40" t="s">
        <v>1137</v>
      </c>
      <c r="G21" s="220" t="s">
        <v>1138</v>
      </c>
      <c r="H21" s="40" t="s">
        <v>1139</v>
      </c>
      <c r="I21" s="40" t="s">
        <v>1140</v>
      </c>
      <c r="J21" s="40"/>
      <c r="K21" s="78" t="s">
        <v>855</v>
      </c>
      <c r="L21" s="350" t="s">
        <v>1141</v>
      </c>
      <c r="M21" s="28" t="s">
        <v>860</v>
      </c>
      <c r="N21" s="28" t="s">
        <v>1186</v>
      </c>
      <c r="O21" s="28" t="s">
        <v>861</v>
      </c>
      <c r="P21" s="28" t="s">
        <v>857</v>
      </c>
      <c r="Q21" s="28" t="s">
        <v>1187</v>
      </c>
      <c r="R21" s="452" t="s">
        <v>1247</v>
      </c>
      <c r="S21" s="93" t="s">
        <v>1188</v>
      </c>
      <c r="T21" s="383" t="s">
        <v>1184</v>
      </c>
      <c r="U21" s="28" t="s">
        <v>1189</v>
      </c>
      <c r="V21" s="582" t="s">
        <v>1190</v>
      </c>
      <c r="W21" s="28" t="s">
        <v>1100</v>
      </c>
      <c r="X21" s="441"/>
      <c r="Y21" s="441"/>
      <c r="Z21" s="441"/>
      <c r="AA21" s="1560" t="s">
        <v>40</v>
      </c>
      <c r="AB21" s="1561"/>
      <c r="AC21" s="437"/>
      <c r="AF21" s="153"/>
    </row>
    <row r="22" spans="1:42" s="108" customFormat="1" ht="15" hidden="1" customHeight="1">
      <c r="A22" s="29" t="s">
        <v>1110</v>
      </c>
      <c r="B22" s="1558" t="s">
        <v>1111</v>
      </c>
      <c r="C22" s="1558"/>
      <c r="D22" s="29"/>
      <c r="E22" s="421"/>
      <c r="F22" s="29" t="s">
        <v>1112</v>
      </c>
      <c r="G22" s="29" t="s">
        <v>1113</v>
      </c>
      <c r="H22" s="29" t="s">
        <v>1114</v>
      </c>
      <c r="I22" s="29" t="s">
        <v>1115</v>
      </c>
      <c r="J22" s="29"/>
      <c r="K22" s="72" t="s">
        <v>1112</v>
      </c>
      <c r="L22" s="351" t="s">
        <v>1117</v>
      </c>
      <c r="M22" s="29" t="s">
        <v>1113</v>
      </c>
      <c r="N22" s="29" t="s">
        <v>1114</v>
      </c>
      <c r="O22" s="29" t="s">
        <v>1115</v>
      </c>
      <c r="P22" s="29" t="s">
        <v>1116</v>
      </c>
      <c r="Q22" s="29" t="s">
        <v>1117</v>
      </c>
      <c r="R22" s="453" t="s">
        <v>1125</v>
      </c>
      <c r="S22" s="29" t="s">
        <v>1118</v>
      </c>
      <c r="T22" s="384" t="s">
        <v>1127</v>
      </c>
      <c r="U22" s="29">
        <v>10</v>
      </c>
      <c r="V22" s="583" t="s">
        <v>2022</v>
      </c>
      <c r="W22" s="29">
        <v>11</v>
      </c>
      <c r="X22" s="652"/>
      <c r="Y22" s="652"/>
      <c r="Z22" s="652"/>
      <c r="AA22" s="1562">
        <v>12</v>
      </c>
      <c r="AB22" s="1563"/>
      <c r="AC22" s="141"/>
      <c r="AF22" s="154"/>
    </row>
    <row r="23" spans="1:42" s="372" customFormat="1" ht="24.75" customHeight="1">
      <c r="A23" s="379">
        <f>_xlfn.AGGREGATE(4,7,A$22:A22)+1</f>
        <v>1</v>
      </c>
      <c r="B23" s="954" t="s">
        <v>1433</v>
      </c>
      <c r="C23" s="955" t="s">
        <v>1434</v>
      </c>
      <c r="D23" s="394" t="s">
        <v>1613</v>
      </c>
      <c r="E23" s="478" t="s">
        <v>1435</v>
      </c>
      <c r="F23" s="995">
        <v>5.76</v>
      </c>
      <c r="G23" s="996">
        <v>0</v>
      </c>
      <c r="H23" s="997">
        <f t="shared" ref="H23:H86" si="0">F23+(F23*G23)</f>
        <v>5.76</v>
      </c>
      <c r="I23" s="997">
        <v>0.9</v>
      </c>
      <c r="J23" s="54" t="str">
        <f>VLOOKUP(B23,TH.T5!B23:F352,5,FALSE)</f>
        <v>Hiệu trưởng</v>
      </c>
      <c r="K23" s="369">
        <f t="shared" ref="K23:K86" si="1">H23+I23</f>
        <v>6.66</v>
      </c>
      <c r="L23" s="362">
        <f t="shared" ref="L23:L86" si="2">K23*$G$19</f>
        <v>11988000</v>
      </c>
      <c r="M23" s="366" t="str">
        <f>VLOOKUP(B23,'[24]Gui chi Quynh'!$B$11:$E$400,4,FALSE)</f>
        <v>A1</v>
      </c>
      <c r="N23" s="494">
        <f t="shared" ref="N23:N86" si="3">IF(M23="A1",L23*1.6,IF(M23="A2",L23*1.4,IF(M23="A3",L23*1.2,IF(M23="A4",L23*1,IF(M23="B1",L23*0.7,IF(M23="B2",L23*0.5,IF(M23="C1",L23*0.3,IF(M23="C2",L23*0.2,0))))))))</f>
        <v>19180800</v>
      </c>
      <c r="O23" s="657">
        <v>20</v>
      </c>
      <c r="P23" s="440">
        <f>IFERROR(INDEX('[17]CN BC'!$J$10:$J$276,MATCH(B23,'[17]CN BC'!$H$10:$H$276,0)),"")</f>
        <v>29</v>
      </c>
      <c r="Q23" s="494">
        <f t="shared" ref="Q23:Q86" si="4">IF(P23&gt;=O23,N23,N23/O23*P23)</f>
        <v>19180800</v>
      </c>
      <c r="R23" s="460"/>
      <c r="S23" s="362">
        <f>R23*$G$19*1.6</f>
        <v>0</v>
      </c>
      <c r="T23" s="370"/>
      <c r="U23" s="362">
        <f t="shared" ref="U23:U86" si="5">T23*$G$19*1</f>
        <v>0</v>
      </c>
      <c r="V23" s="584">
        <f t="shared" ref="V23:V86" si="6">IF(OR(M23="A DN",M23="KXL", M23=""),"0",ROUND(K23*0.01*$G$19+R23*1%*$G$19+T23*1%*$G$19,))</f>
        <v>119880</v>
      </c>
      <c r="W23" s="371">
        <f>(Q23+S23+U23)</f>
        <v>19180800</v>
      </c>
      <c r="X23" s="976">
        <f>W23/Y23</f>
        <v>10.656000000000001</v>
      </c>
      <c r="Y23" s="999">
        <v>1800000</v>
      </c>
      <c r="Z23" s="1000">
        <f>X23*Y23</f>
        <v>19180800</v>
      </c>
      <c r="AA23" s="568">
        <f t="shared" ref="AA23:AA86" si="7">A23</f>
        <v>1</v>
      </c>
      <c r="AB23" s="1001">
        <f>IFERROR(INDEX('[17]CN BC'!$M$10:$M$276,MATCH(B23,'[17]CN BC'!$H$10:$H$276,0)),"")</f>
        <v>0</v>
      </c>
      <c r="AC23" s="141" t="str">
        <f>VLOOKUP(B23,TH.T4!B21:AC350,28,FALSE)</f>
        <v>BGH</v>
      </c>
      <c r="AD23" s="495"/>
      <c r="AE23" s="108"/>
      <c r="AF23" s="155"/>
      <c r="AG23" s="108"/>
      <c r="AH23" s="108"/>
      <c r="AI23" s="108"/>
      <c r="AJ23" s="108"/>
      <c r="AK23" s="108"/>
      <c r="AL23" s="108"/>
      <c r="AM23" s="108"/>
      <c r="AN23" s="108"/>
      <c r="AO23" s="108"/>
      <c r="AP23" s="108"/>
    </row>
    <row r="24" spans="1:42" s="372" customFormat="1" ht="27.75" customHeight="1">
      <c r="A24" s="379">
        <f>_xlfn.AGGREGATE(4,7,A$22:A23)+1</f>
        <v>2</v>
      </c>
      <c r="B24" s="363" t="s">
        <v>1447</v>
      </c>
      <c r="C24" s="375" t="s">
        <v>1439</v>
      </c>
      <c r="D24" s="406" t="s">
        <v>1614</v>
      </c>
      <c r="E24" s="422" t="s">
        <v>1442</v>
      </c>
      <c r="F24" s="366">
        <v>4.9800000000000004</v>
      </c>
      <c r="G24" s="367">
        <v>7.0000000000000007E-2</v>
      </c>
      <c r="H24" s="368">
        <f t="shared" si="0"/>
        <v>5.3286000000000007</v>
      </c>
      <c r="I24" s="368">
        <v>0.7</v>
      </c>
      <c r="J24" s="81" t="str">
        <f>VLOOKUP(B24,TH.T5!B24:F353,5,FALSE)</f>
        <v>Phó Hiệu trưởng</v>
      </c>
      <c r="K24" s="369">
        <f t="shared" si="1"/>
        <v>6.0286000000000008</v>
      </c>
      <c r="L24" s="362">
        <f t="shared" si="2"/>
        <v>10851480.000000002</v>
      </c>
      <c r="M24" s="366" t="str">
        <f>VLOOKUP(B24,'[24]Gui chi Quynh'!$B$11:$E$400,4,FALSE)</f>
        <v>A1</v>
      </c>
      <c r="N24" s="494">
        <f t="shared" si="3"/>
        <v>17362368.000000004</v>
      </c>
      <c r="O24" s="366">
        <v>20</v>
      </c>
      <c r="P24" s="440">
        <f>IFERROR(INDEX('[17]CN BC'!$J$10:$J$276,MATCH(B24,'[17]CN BC'!$H$10:$H$276,0)),"")</f>
        <v>26</v>
      </c>
      <c r="Q24" s="494">
        <f t="shared" si="4"/>
        <v>17362368.000000004</v>
      </c>
      <c r="R24" s="460"/>
      <c r="S24" s="362">
        <f>R24*$G$19*1.6</f>
        <v>0</v>
      </c>
      <c r="T24" s="385"/>
      <c r="U24" s="362">
        <f t="shared" si="5"/>
        <v>0</v>
      </c>
      <c r="V24" s="584">
        <f t="shared" si="6"/>
        <v>108515</v>
      </c>
      <c r="W24" s="371">
        <f>(Q24+S24+U24)</f>
        <v>17362368.000000004</v>
      </c>
      <c r="X24" s="977">
        <f t="shared" ref="X24:X87" si="8">W24/Y24</f>
        <v>9.6457600000000028</v>
      </c>
      <c r="Y24" s="999">
        <v>1800000</v>
      </c>
      <c r="Z24" s="1000">
        <f t="shared" ref="Z24:Z87" si="9">X24*Y24</f>
        <v>17362368.000000004</v>
      </c>
      <c r="AA24" s="568">
        <f t="shared" si="7"/>
        <v>2</v>
      </c>
      <c r="AB24" s="493">
        <f>IFERROR(INDEX('[17]CN BC'!$M$10:$M$276,MATCH(B24,'[17]CN BC'!$H$10:$H$276,0)),"")</f>
        <v>0</v>
      </c>
      <c r="AC24" s="141" t="str">
        <f>VLOOKUP(B24,TH.T4!B22:AC352,28,FALSE)</f>
        <v>BGH</v>
      </c>
      <c r="AD24" s="496"/>
      <c r="AE24" s="465"/>
      <c r="AF24" s="155"/>
      <c r="AG24" s="108"/>
      <c r="AH24" s="108"/>
      <c r="AI24" s="108"/>
      <c r="AJ24" s="108"/>
      <c r="AK24" s="108"/>
      <c r="AL24" s="108"/>
      <c r="AM24" s="108"/>
      <c r="AN24" s="108"/>
      <c r="AO24" s="108"/>
      <c r="AP24" s="108"/>
    </row>
    <row r="25" spans="1:42" s="372" customFormat="1" ht="27" customHeight="1">
      <c r="A25" s="379">
        <f>_xlfn.AGGREGATE(4,7,A$22:A24)+1</f>
        <v>3</v>
      </c>
      <c r="B25" s="363" t="s">
        <v>1845</v>
      </c>
      <c r="C25" s="375" t="s">
        <v>867</v>
      </c>
      <c r="D25" s="434" t="s">
        <v>1615</v>
      </c>
      <c r="E25" s="423" t="s">
        <v>1255</v>
      </c>
      <c r="F25" s="366">
        <v>4.9800000000000004</v>
      </c>
      <c r="G25" s="367">
        <v>0.08</v>
      </c>
      <c r="H25" s="368">
        <f t="shared" si="0"/>
        <v>5.3784000000000001</v>
      </c>
      <c r="I25" s="368">
        <v>0.7</v>
      </c>
      <c r="J25" s="81" t="str">
        <f>VLOOKUP(B25,TH.T5!B25:F354,5,FALSE)</f>
        <v>Phó Hiệu trưởng</v>
      </c>
      <c r="K25" s="369">
        <f t="shared" si="1"/>
        <v>6.0784000000000002</v>
      </c>
      <c r="L25" s="362">
        <f t="shared" si="2"/>
        <v>10941120</v>
      </c>
      <c r="M25" s="366" t="str">
        <f>VLOOKUP(B25,'[24]Gui chi Quynh'!$B$11:$E$400,4,FALSE)</f>
        <v>A1</v>
      </c>
      <c r="N25" s="494">
        <f t="shared" si="3"/>
        <v>17505792</v>
      </c>
      <c r="O25" s="366">
        <v>20</v>
      </c>
      <c r="P25" s="440">
        <f>IFERROR(INDEX('[17]CN BC'!$J$10:$J$276,MATCH(B25,'[17]CN BC'!$H$10:$H$276,0)),"")</f>
        <v>26</v>
      </c>
      <c r="Q25" s="494">
        <f t="shared" si="4"/>
        <v>17505792</v>
      </c>
      <c r="R25" s="460"/>
      <c r="S25" s="362">
        <f>R25*$G$19*1.6</f>
        <v>0</v>
      </c>
      <c r="T25" s="370"/>
      <c r="U25" s="362">
        <f t="shared" si="5"/>
        <v>0</v>
      </c>
      <c r="V25" s="362">
        <f t="shared" si="6"/>
        <v>109411</v>
      </c>
      <c r="W25" s="371">
        <f t="shared" ref="W25:W88" si="10">(Q25+S25+U25)</f>
        <v>17505792</v>
      </c>
      <c r="X25" s="977">
        <f t="shared" si="8"/>
        <v>9.7254400000000008</v>
      </c>
      <c r="Y25" s="999">
        <v>1800000</v>
      </c>
      <c r="Z25" s="1000">
        <f t="shared" si="9"/>
        <v>17505792</v>
      </c>
      <c r="AA25" s="568">
        <f t="shared" si="7"/>
        <v>3</v>
      </c>
      <c r="AB25" s="493">
        <f>IFERROR(INDEX('[17]CN BC'!$M$10:$M$276,MATCH(B25,'[17]CN BC'!$H$10:$H$276,0)),"")</f>
        <v>0</v>
      </c>
      <c r="AC25" s="141" t="str">
        <f>VLOOKUP(B25,TH.T4!B23:AC353,28,FALSE)</f>
        <v>BGH</v>
      </c>
      <c r="AD25" s="590"/>
      <c r="AE25" s="591"/>
      <c r="AF25" s="487"/>
    </row>
    <row r="26" spans="1:42" s="372" customFormat="1" ht="24.75" customHeight="1">
      <c r="A26" s="379">
        <f>_xlfn.AGGREGATE(4,7,A$22:A25)+1</f>
        <v>4</v>
      </c>
      <c r="B26" s="363" t="s">
        <v>1533</v>
      </c>
      <c r="C26" s="375"/>
      <c r="D26" s="434" t="s">
        <v>1954</v>
      </c>
      <c r="E26" s="102" t="s">
        <v>1937</v>
      </c>
      <c r="F26" s="373">
        <v>4.6500000000000004</v>
      </c>
      <c r="G26" s="367"/>
      <c r="H26" s="368">
        <f t="shared" si="0"/>
        <v>4.6500000000000004</v>
      </c>
      <c r="I26" s="368">
        <v>0.7</v>
      </c>
      <c r="J26" s="81" t="str">
        <f>VLOOKUP(B26,TH.T5!B26:F355,5,FALSE)</f>
        <v>Phó Hiệu trưởng</v>
      </c>
      <c r="K26" s="369">
        <f t="shared" si="1"/>
        <v>5.3500000000000005</v>
      </c>
      <c r="L26" s="362">
        <f t="shared" si="2"/>
        <v>9630000.0000000019</v>
      </c>
      <c r="M26" s="366" t="str">
        <f>VLOOKUP(B26,'[24]Gui chi Quynh'!$B$11:$E$400,4,FALSE)</f>
        <v>A1</v>
      </c>
      <c r="N26" s="494">
        <f t="shared" si="3"/>
        <v>15408000.000000004</v>
      </c>
      <c r="O26" s="366">
        <v>20</v>
      </c>
      <c r="P26" s="440">
        <f>IFERROR(INDEX('[17]CN BC'!$J$10:$J$276,MATCH(B26,'[17]CN BC'!$H$10:$H$276,0)),"")</f>
        <v>27</v>
      </c>
      <c r="Q26" s="494">
        <f t="shared" si="4"/>
        <v>15408000.000000004</v>
      </c>
      <c r="R26" s="460"/>
      <c r="S26" s="362">
        <f t="shared" ref="S26:S34" si="11">R26*$G$19*1</f>
        <v>0</v>
      </c>
      <c r="T26" s="370"/>
      <c r="U26" s="362">
        <f t="shared" si="5"/>
        <v>0</v>
      </c>
      <c r="V26" s="584">
        <f t="shared" si="6"/>
        <v>96300</v>
      </c>
      <c r="W26" s="371">
        <f t="shared" si="10"/>
        <v>15408000.000000004</v>
      </c>
      <c r="X26" s="977">
        <f t="shared" si="8"/>
        <v>8.5600000000000023</v>
      </c>
      <c r="Y26" s="999">
        <v>1800000</v>
      </c>
      <c r="Z26" s="1000">
        <f t="shared" si="9"/>
        <v>15408000.000000004</v>
      </c>
      <c r="AA26" s="568">
        <f t="shared" si="7"/>
        <v>4</v>
      </c>
      <c r="AB26" s="493">
        <f>IFERROR(INDEX('[17]CN BC'!$M$10:$M$276,MATCH(B26,'[17]CN BC'!$H$10:$H$276,0)),"")</f>
        <v>0</v>
      </c>
      <c r="AC26" s="141" t="str">
        <f>VLOOKUP(B26,TH.T4!B24:AC354,28,FALSE)</f>
        <v>BGH</v>
      </c>
      <c r="AD26" s="497"/>
      <c r="AE26" s="497"/>
      <c r="AF26" s="155"/>
      <c r="AG26" s="108"/>
      <c r="AH26" s="108"/>
      <c r="AI26" s="108"/>
      <c r="AJ26" s="108"/>
      <c r="AK26" s="108"/>
      <c r="AL26" s="108"/>
    </row>
    <row r="27" spans="1:42" s="372" customFormat="1" ht="30.75" customHeight="1">
      <c r="A27" s="379">
        <f>_xlfn.AGGREGATE(4,7,A$22:A26)+1</f>
        <v>5</v>
      </c>
      <c r="B27" s="363" t="s">
        <v>1458</v>
      </c>
      <c r="C27" s="375" t="s">
        <v>891</v>
      </c>
      <c r="D27" s="30" t="s">
        <v>1995</v>
      </c>
      <c r="E27" s="432" t="s">
        <v>1577</v>
      </c>
      <c r="F27" s="366">
        <v>4.9800000000000004</v>
      </c>
      <c r="G27" s="367">
        <v>0.05</v>
      </c>
      <c r="H27" s="368">
        <f t="shared" si="0"/>
        <v>5.2290000000000001</v>
      </c>
      <c r="I27" s="368">
        <v>0.45</v>
      </c>
      <c r="J27" s="81" t="str">
        <f>VLOOKUP(B27,TH.T5!B27:F356,5,FALSE)</f>
        <v>Trưởng phòng TC - HC - TH</v>
      </c>
      <c r="K27" s="369">
        <f t="shared" si="1"/>
        <v>5.6790000000000003</v>
      </c>
      <c r="L27" s="362">
        <f t="shared" si="2"/>
        <v>10222200</v>
      </c>
      <c r="M27" s="366" t="str">
        <f>VLOOKUP(B27,'[24]Gui chi Quynh'!$B$11:$E$400,4,FALSE)</f>
        <v>A1</v>
      </c>
      <c r="N27" s="494">
        <f t="shared" si="3"/>
        <v>16355520</v>
      </c>
      <c r="O27" s="366">
        <v>20</v>
      </c>
      <c r="P27" s="440">
        <f>IFERROR(INDEX('[17]CN BC'!$J$10:$J$276,MATCH(B27,'[17]CN BC'!$H$10:$H$276,0)),"")</f>
        <v>28</v>
      </c>
      <c r="Q27" s="494">
        <f t="shared" si="4"/>
        <v>16355520</v>
      </c>
      <c r="R27" s="392"/>
      <c r="S27" s="362">
        <f t="shared" si="11"/>
        <v>0</v>
      </c>
      <c r="T27" s="385"/>
      <c r="U27" s="362">
        <f t="shared" si="5"/>
        <v>0</v>
      </c>
      <c r="V27" s="584">
        <f t="shared" si="6"/>
        <v>102222</v>
      </c>
      <c r="W27" s="371">
        <f t="shared" si="10"/>
        <v>16355520</v>
      </c>
      <c r="X27" s="977">
        <f t="shared" si="8"/>
        <v>9.0863999999999994</v>
      </c>
      <c r="Y27" s="999">
        <v>1800000</v>
      </c>
      <c r="Z27" s="1000">
        <f t="shared" si="9"/>
        <v>16355519.999999998</v>
      </c>
      <c r="AA27" s="568">
        <f t="shared" si="7"/>
        <v>5</v>
      </c>
      <c r="AB27" s="493">
        <f>IFERROR(INDEX('[17]CN BC'!$M$10:$M$276,MATCH(B27,'[17]CN BC'!$H$10:$H$276,0)),"")</f>
        <v>0</v>
      </c>
      <c r="AC27" s="141" t="str">
        <f>VLOOKUP(B27,TH.T4!B25:AC355,28,FALSE)</f>
        <v>TCHC</v>
      </c>
      <c r="AD27" s="497"/>
      <c r="AE27" s="497"/>
      <c r="AF27" s="155"/>
      <c r="AG27" s="108"/>
      <c r="AH27" s="108"/>
      <c r="AI27" s="108"/>
      <c r="AJ27" s="108"/>
      <c r="AK27" s="108"/>
      <c r="AL27" s="108"/>
      <c r="AM27" s="108"/>
      <c r="AN27" s="108"/>
      <c r="AO27" s="108"/>
      <c r="AP27" s="108"/>
    </row>
    <row r="28" spans="1:42" s="372" customFormat="1" ht="30.75" customHeight="1">
      <c r="A28" s="379">
        <f>_xlfn.AGGREGATE(4,7,A$22:A27)+1</f>
        <v>6</v>
      </c>
      <c r="B28" s="444" t="s">
        <v>1596</v>
      </c>
      <c r="C28" s="419" t="s">
        <v>979</v>
      </c>
      <c r="D28" s="418" t="s">
        <v>1623</v>
      </c>
      <c r="E28" s="426">
        <v>1603205353720</v>
      </c>
      <c r="F28" s="373">
        <v>3.33</v>
      </c>
      <c r="G28" s="367"/>
      <c r="H28" s="445">
        <f t="shared" si="0"/>
        <v>3.33</v>
      </c>
      <c r="I28" s="368">
        <v>0.35</v>
      </c>
      <c r="J28" s="81" t="str">
        <f>VLOOKUP(B28,TH.T5!B28:F357,5,FALSE)</f>
        <v>Phó Trưởng phòng Tổ chức - Hành chính - TH</v>
      </c>
      <c r="K28" s="369">
        <f t="shared" si="1"/>
        <v>3.68</v>
      </c>
      <c r="L28" s="362">
        <f t="shared" si="2"/>
        <v>6624000</v>
      </c>
      <c r="M28" s="366" t="str">
        <f>VLOOKUP(B28,'[24]Gui chi Quynh'!$B$11:$E$400,4,FALSE)</f>
        <v>A2</v>
      </c>
      <c r="N28" s="494">
        <f t="shared" si="3"/>
        <v>9273600</v>
      </c>
      <c r="O28" s="366">
        <v>20</v>
      </c>
      <c r="P28" s="440">
        <f>IFERROR(INDEX('[17]CN BC'!$J$10:$J$276,MATCH(B28,'[17]CN BC'!$H$10:$H$276,0)),"")</f>
        <v>23.5</v>
      </c>
      <c r="Q28" s="494">
        <f t="shared" si="4"/>
        <v>9273600</v>
      </c>
      <c r="R28" s="392"/>
      <c r="S28" s="362">
        <f t="shared" si="11"/>
        <v>0</v>
      </c>
      <c r="T28" s="370"/>
      <c r="U28" s="362">
        <f t="shared" si="5"/>
        <v>0</v>
      </c>
      <c r="V28" s="584">
        <f t="shared" si="6"/>
        <v>66240</v>
      </c>
      <c r="W28" s="371">
        <f t="shared" si="10"/>
        <v>9273600</v>
      </c>
      <c r="X28" s="977">
        <f t="shared" si="8"/>
        <v>5.1520000000000001</v>
      </c>
      <c r="Y28" s="999">
        <v>1800000</v>
      </c>
      <c r="Z28" s="1000">
        <f t="shared" si="9"/>
        <v>9273600</v>
      </c>
      <c r="AA28" s="568">
        <f t="shared" si="7"/>
        <v>6</v>
      </c>
      <c r="AB28" s="493">
        <f>IFERROR(INDEX('[17]CN BC'!$M$10:$M$276,MATCH(B28,'[17]CN BC'!$H$10:$H$276,0)),"")</f>
        <v>0</v>
      </c>
      <c r="AC28" s="141" t="str">
        <f>VLOOKUP(B28,TH.T4!B26:AC356,28,FALSE)</f>
        <v>TCHC</v>
      </c>
      <c r="AD28" s="471"/>
      <c r="AE28" s="497"/>
      <c r="AF28" s="155"/>
      <c r="AG28" s="108"/>
      <c r="AH28" s="108"/>
      <c r="AI28" s="108"/>
      <c r="AJ28" s="108"/>
      <c r="AK28" s="108"/>
      <c r="AL28" s="108"/>
    </row>
    <row r="29" spans="1:42" s="372" customFormat="1" ht="30.75" customHeight="1">
      <c r="A29" s="379">
        <f>_xlfn.AGGREGATE(4,7,A$22:A28)+1</f>
        <v>7</v>
      </c>
      <c r="B29" s="363" t="s">
        <v>1464</v>
      </c>
      <c r="C29" s="375" t="s">
        <v>266</v>
      </c>
      <c r="D29" s="434" t="s">
        <v>1660</v>
      </c>
      <c r="E29" s="428">
        <v>1603205185719</v>
      </c>
      <c r="F29" s="373">
        <v>3</v>
      </c>
      <c r="G29" s="367"/>
      <c r="H29" s="368">
        <f t="shared" si="0"/>
        <v>3</v>
      </c>
      <c r="I29" s="368">
        <v>0.35</v>
      </c>
      <c r="J29" s="81" t="str">
        <f>VLOOKUP(B29,TH.T5!B29:F358,5,FALSE)</f>
        <v>Phó Trưởng phòng Tổ chức - Hành chính - TH</v>
      </c>
      <c r="K29" s="369">
        <f t="shared" si="1"/>
        <v>3.35</v>
      </c>
      <c r="L29" s="362">
        <f t="shared" si="2"/>
        <v>6030000</v>
      </c>
      <c r="M29" s="366" t="str">
        <f>VLOOKUP(B29,'[24]Gui chi Quynh'!$B$11:$E$400,4,FALSE)</f>
        <v>A2</v>
      </c>
      <c r="N29" s="494">
        <f t="shared" si="3"/>
        <v>8442000</v>
      </c>
      <c r="O29" s="366">
        <v>20</v>
      </c>
      <c r="P29" s="440">
        <f>IFERROR(INDEX('[17]CN BC'!$J$10:$J$276,MATCH(B29,'[17]CN BC'!$H$10:$H$276,0)),"")</f>
        <v>24.5</v>
      </c>
      <c r="Q29" s="494">
        <f t="shared" si="4"/>
        <v>8442000</v>
      </c>
      <c r="R29" s="460"/>
      <c r="S29" s="362">
        <f t="shared" si="11"/>
        <v>0</v>
      </c>
      <c r="T29" s="370"/>
      <c r="U29" s="362">
        <f t="shared" si="5"/>
        <v>0</v>
      </c>
      <c r="V29" s="584">
        <f t="shared" si="6"/>
        <v>60300</v>
      </c>
      <c r="W29" s="371">
        <f t="shared" si="10"/>
        <v>8442000</v>
      </c>
      <c r="X29" s="977">
        <f t="shared" si="8"/>
        <v>4.6900000000000004</v>
      </c>
      <c r="Y29" s="999">
        <v>1800000</v>
      </c>
      <c r="Z29" s="1000">
        <f t="shared" si="9"/>
        <v>8442000</v>
      </c>
      <c r="AA29" s="568">
        <f t="shared" si="7"/>
        <v>7</v>
      </c>
      <c r="AB29" s="493">
        <f>IFERROR(INDEX('[17]CN BC'!$M$10:$M$276,MATCH(B29,'[17]CN BC'!$H$10:$H$276,0)),"")</f>
        <v>0</v>
      </c>
      <c r="AC29" s="141" t="str">
        <f>VLOOKUP(B29,TH.T4!B27:AC357,28,FALSE)</f>
        <v>TCHC</v>
      </c>
      <c r="AD29" s="108"/>
      <c r="AE29" s="497"/>
      <c r="AF29" s="155"/>
      <c r="AG29" s="108"/>
      <c r="AH29" s="108"/>
      <c r="AI29" s="108"/>
      <c r="AJ29" s="108"/>
      <c r="AK29" s="108"/>
      <c r="AL29" s="108"/>
    </row>
    <row r="30" spans="1:42" s="372" customFormat="1" ht="30.75" customHeight="1">
      <c r="A30" s="379">
        <f>_xlfn.AGGREGATE(4,7,A$22:A29)+1</f>
        <v>8</v>
      </c>
      <c r="B30" s="363" t="s">
        <v>1846</v>
      </c>
      <c r="C30" s="375" t="s">
        <v>996</v>
      </c>
      <c r="D30" s="434" t="s">
        <v>1618</v>
      </c>
      <c r="E30" s="423" t="s">
        <v>1264</v>
      </c>
      <c r="F30" s="366">
        <v>3.99</v>
      </c>
      <c r="G30" s="367"/>
      <c r="H30" s="368">
        <f t="shared" si="0"/>
        <v>3.99</v>
      </c>
      <c r="I30" s="368"/>
      <c r="J30" s="81" t="str">
        <f>VLOOKUP(B30,TH.T5!B30:F359,5,FALSE)</f>
        <v>NV Phòng Tổ chức - Hành chính - Tổng hợp</v>
      </c>
      <c r="K30" s="369">
        <f t="shared" si="1"/>
        <v>3.99</v>
      </c>
      <c r="L30" s="362">
        <f t="shared" si="2"/>
        <v>7182000</v>
      </c>
      <c r="M30" s="366" t="str">
        <f>VLOOKUP(B30,'[24]Gui chi Quynh'!$B$11:$E$400,4,FALSE)</f>
        <v>A2</v>
      </c>
      <c r="N30" s="494">
        <f t="shared" si="3"/>
        <v>10054800</v>
      </c>
      <c r="O30" s="366">
        <v>20</v>
      </c>
      <c r="P30" s="440">
        <f>IFERROR(INDEX('[17]CN BC'!$J$10:$J$276,MATCH(B30,'[17]CN BC'!$H$10:$H$276,0)),"")</f>
        <v>22</v>
      </c>
      <c r="Q30" s="494">
        <f t="shared" si="4"/>
        <v>10054800</v>
      </c>
      <c r="R30" s="460"/>
      <c r="S30" s="362">
        <f t="shared" si="11"/>
        <v>0</v>
      </c>
      <c r="T30" s="370"/>
      <c r="U30" s="362">
        <f t="shared" si="5"/>
        <v>0</v>
      </c>
      <c r="V30" s="584">
        <f t="shared" si="6"/>
        <v>71820</v>
      </c>
      <c r="W30" s="371">
        <f t="shared" si="10"/>
        <v>10054800</v>
      </c>
      <c r="X30" s="977">
        <f t="shared" si="8"/>
        <v>5.5860000000000003</v>
      </c>
      <c r="Y30" s="999">
        <v>1800000</v>
      </c>
      <c r="Z30" s="1000">
        <f t="shared" si="9"/>
        <v>10054800</v>
      </c>
      <c r="AA30" s="568">
        <f t="shared" si="7"/>
        <v>8</v>
      </c>
      <c r="AB30" s="493">
        <f>IFERROR(INDEX('[17]CN BC'!$M$10:$M$276,MATCH(B30,'[17]CN BC'!$H$10:$H$276,0)),"")</f>
        <v>0</v>
      </c>
      <c r="AC30" s="141" t="str">
        <f>VLOOKUP(B30,TH.T4!B28:AC358,28,FALSE)</f>
        <v>TCHC</v>
      </c>
      <c r="AD30" s="497"/>
      <c r="AE30" s="497"/>
      <c r="AF30" s="155"/>
      <c r="AG30" s="108"/>
      <c r="AH30" s="108"/>
      <c r="AI30" s="108"/>
      <c r="AJ30" s="108"/>
      <c r="AK30" s="108"/>
      <c r="AL30" s="108"/>
    </row>
    <row r="31" spans="1:42" s="372" customFormat="1" ht="30.75" customHeight="1">
      <c r="A31" s="379">
        <f>_xlfn.AGGREGATE(4,7,A$22:A30)+1</f>
        <v>9</v>
      </c>
      <c r="B31" s="363" t="s">
        <v>1827</v>
      </c>
      <c r="C31" s="375" t="s">
        <v>1169</v>
      </c>
      <c r="D31" s="434" t="s">
        <v>1619</v>
      </c>
      <c r="E31" s="423" t="s">
        <v>1265</v>
      </c>
      <c r="F31" s="373">
        <v>3.99</v>
      </c>
      <c r="G31" s="367"/>
      <c r="H31" s="368">
        <f t="shared" si="0"/>
        <v>3.99</v>
      </c>
      <c r="I31" s="368"/>
      <c r="J31" s="81" t="str">
        <f>VLOOKUP(B31,TH.T5!B31:F360,5,FALSE)</f>
        <v>NV Phòng Tổ chức - Hành chính - Tổng hợp</v>
      </c>
      <c r="K31" s="369">
        <f t="shared" si="1"/>
        <v>3.99</v>
      </c>
      <c r="L31" s="362">
        <f t="shared" si="2"/>
        <v>7182000</v>
      </c>
      <c r="M31" s="366" t="str">
        <f>VLOOKUP(B31,'[24]Gui chi Quynh'!$B$11:$E$400,4,FALSE)</f>
        <v>A3</v>
      </c>
      <c r="N31" s="494">
        <f t="shared" si="3"/>
        <v>8618400</v>
      </c>
      <c r="O31" s="366">
        <v>20</v>
      </c>
      <c r="P31" s="440">
        <f>IFERROR(INDEX('[17]CN BC'!$J$10:$J$276,MATCH(B31,'[17]CN BC'!$H$10:$H$276,0)),"")</f>
        <v>22</v>
      </c>
      <c r="Q31" s="494">
        <f t="shared" si="4"/>
        <v>8618400</v>
      </c>
      <c r="R31" s="460"/>
      <c r="S31" s="362">
        <f t="shared" si="11"/>
        <v>0</v>
      </c>
      <c r="T31" s="370"/>
      <c r="U31" s="362">
        <f t="shared" si="5"/>
        <v>0</v>
      </c>
      <c r="V31" s="584">
        <f t="shared" si="6"/>
        <v>71820</v>
      </c>
      <c r="W31" s="371">
        <f t="shared" si="10"/>
        <v>8618400</v>
      </c>
      <c r="X31" s="977">
        <f t="shared" si="8"/>
        <v>4.7880000000000003</v>
      </c>
      <c r="Y31" s="999">
        <v>1800000</v>
      </c>
      <c r="Z31" s="1000">
        <f t="shared" si="9"/>
        <v>8618400</v>
      </c>
      <c r="AA31" s="568">
        <f t="shared" si="7"/>
        <v>9</v>
      </c>
      <c r="AB31" s="493">
        <f>IFERROR(INDEX('[17]CN BC'!$M$10:$M$276,MATCH(B31,'[17]CN BC'!$H$10:$H$276,0)),"")</f>
        <v>0</v>
      </c>
      <c r="AC31" s="141" t="str">
        <f>VLOOKUP(B31,TH.T4!B29:AC359,28,FALSE)</f>
        <v>TCHC</v>
      </c>
      <c r="AD31" s="497"/>
      <c r="AE31" s="497"/>
      <c r="AF31" s="155"/>
      <c r="AG31" s="108"/>
      <c r="AH31" s="108"/>
      <c r="AI31" s="108"/>
      <c r="AJ31" s="108"/>
      <c r="AK31" s="108"/>
      <c r="AL31" s="108"/>
    </row>
    <row r="32" spans="1:42" s="372" customFormat="1" ht="30.75" customHeight="1">
      <c r="A32" s="379">
        <f>_xlfn.AGGREGATE(4,7,A$22:A31)+1</f>
        <v>10</v>
      </c>
      <c r="B32" s="363" t="s">
        <v>1448</v>
      </c>
      <c r="C32" s="375" t="s">
        <v>951</v>
      </c>
      <c r="D32" s="434" t="s">
        <v>1620</v>
      </c>
      <c r="E32" s="426" t="s">
        <v>1574</v>
      </c>
      <c r="F32" s="366">
        <v>3.46</v>
      </c>
      <c r="G32" s="367"/>
      <c r="H32" s="368">
        <f t="shared" si="0"/>
        <v>3.46</v>
      </c>
      <c r="I32" s="368"/>
      <c r="J32" s="81" t="str">
        <f>VLOOKUP(B32,TH.T5!B32:F361,5,FALSE)</f>
        <v>NV Phòng Tổ chức - Hành chính - Tổng hợp</v>
      </c>
      <c r="K32" s="369">
        <f t="shared" si="1"/>
        <v>3.46</v>
      </c>
      <c r="L32" s="362">
        <f t="shared" si="2"/>
        <v>6228000</v>
      </c>
      <c r="M32" s="366" t="str">
        <f>VLOOKUP(B32,'[24]Gui chi Quynh'!$B$11:$E$400,4,FALSE)</f>
        <v>A3</v>
      </c>
      <c r="N32" s="494">
        <f t="shared" si="3"/>
        <v>7473600</v>
      </c>
      <c r="O32" s="366">
        <v>20</v>
      </c>
      <c r="P32" s="440">
        <f>IFERROR(INDEX('[17]CN BC'!$J$10:$J$276,MATCH(B32,'[17]CN BC'!$H$10:$H$276,0)),"")</f>
        <v>21.5</v>
      </c>
      <c r="Q32" s="494">
        <f t="shared" si="4"/>
        <v>7473600</v>
      </c>
      <c r="R32" s="460"/>
      <c r="S32" s="362">
        <f t="shared" si="11"/>
        <v>0</v>
      </c>
      <c r="T32" s="370"/>
      <c r="U32" s="362">
        <f t="shared" si="5"/>
        <v>0</v>
      </c>
      <c r="V32" s="584">
        <f t="shared" si="6"/>
        <v>62280</v>
      </c>
      <c r="W32" s="371">
        <f t="shared" si="10"/>
        <v>7473600</v>
      </c>
      <c r="X32" s="977">
        <f t="shared" si="8"/>
        <v>4.1520000000000001</v>
      </c>
      <c r="Y32" s="999">
        <v>1800000</v>
      </c>
      <c r="Z32" s="1000">
        <f t="shared" si="9"/>
        <v>7473600</v>
      </c>
      <c r="AA32" s="568">
        <f t="shared" si="7"/>
        <v>10</v>
      </c>
      <c r="AB32" s="493">
        <f>IFERROR(INDEX('[17]CN BC'!$M$10:$M$276,MATCH(B32,'[17]CN BC'!$H$10:$H$276,0)),"")</f>
        <v>0</v>
      </c>
      <c r="AC32" s="141" t="str">
        <f>VLOOKUP(B32,TH.T4!B30:AC360,28,FALSE)</f>
        <v>TCHC</v>
      </c>
      <c r="AD32" s="108"/>
      <c r="AE32" s="497"/>
      <c r="AF32" s="155"/>
      <c r="AG32" s="108"/>
      <c r="AH32" s="108"/>
      <c r="AI32" s="108"/>
      <c r="AJ32" s="108"/>
      <c r="AK32" s="108"/>
      <c r="AL32" s="108"/>
    </row>
    <row r="33" spans="1:42" s="372" customFormat="1" ht="30.75" customHeight="1">
      <c r="A33" s="379">
        <f>_xlfn.AGGREGATE(4,7,A$22:A32)+1</f>
        <v>11</v>
      </c>
      <c r="B33" s="363" t="s">
        <v>1449</v>
      </c>
      <c r="C33" s="375" t="s">
        <v>1436</v>
      </c>
      <c r="D33" s="406" t="s">
        <v>1621</v>
      </c>
      <c r="E33" s="427">
        <v>1603205280047</v>
      </c>
      <c r="F33" s="373">
        <v>3.66</v>
      </c>
      <c r="G33" s="378"/>
      <c r="H33" s="368">
        <f t="shared" si="0"/>
        <v>3.66</v>
      </c>
      <c r="I33" s="368"/>
      <c r="J33" s="81" t="str">
        <f>VLOOKUP(B33,TH.T5!B33:F362,5,FALSE)</f>
        <v>NV Phòng Tổ chức - Hành chính - Tổng hợp</v>
      </c>
      <c r="K33" s="369">
        <f t="shared" si="1"/>
        <v>3.66</v>
      </c>
      <c r="L33" s="362">
        <f t="shared" si="2"/>
        <v>6588000</v>
      </c>
      <c r="M33" s="366" t="str">
        <f>VLOOKUP(B33,'[24]Gui chi Quynh'!$B$11:$E$400,4,FALSE)</f>
        <v>A3</v>
      </c>
      <c r="N33" s="494">
        <f t="shared" si="3"/>
        <v>7905600</v>
      </c>
      <c r="O33" s="366">
        <v>20</v>
      </c>
      <c r="P33" s="440">
        <f>IFERROR(INDEX('[17]CN BC'!$J$10:$J$276,MATCH(B33,'[17]CN BC'!$H$10:$H$276,0)),"")</f>
        <v>20</v>
      </c>
      <c r="Q33" s="494">
        <f t="shared" si="4"/>
        <v>7905600</v>
      </c>
      <c r="R33" s="392"/>
      <c r="S33" s="362">
        <f t="shared" si="11"/>
        <v>0</v>
      </c>
      <c r="T33" s="385"/>
      <c r="U33" s="362">
        <f t="shared" si="5"/>
        <v>0</v>
      </c>
      <c r="V33" s="584">
        <f t="shared" si="6"/>
        <v>65880</v>
      </c>
      <c r="W33" s="371">
        <f t="shared" si="10"/>
        <v>7905600</v>
      </c>
      <c r="X33" s="977">
        <f t="shared" si="8"/>
        <v>4.3920000000000003</v>
      </c>
      <c r="Y33" s="999">
        <v>1800000</v>
      </c>
      <c r="Z33" s="1000">
        <f t="shared" si="9"/>
        <v>7905600.0000000009</v>
      </c>
      <c r="AA33" s="568">
        <f t="shared" si="7"/>
        <v>11</v>
      </c>
      <c r="AB33" s="493">
        <f>IFERROR(INDEX('[17]CN BC'!$M$10:$M$276,MATCH(B33,'[17]CN BC'!$H$10:$H$276,0)),"")</f>
        <v>0</v>
      </c>
      <c r="AC33" s="141" t="str">
        <f>VLOOKUP(B33,TH.T4!B31:AC361,28,FALSE)</f>
        <v>TCHC</v>
      </c>
      <c r="AD33" s="108"/>
      <c r="AE33" s="108"/>
      <c r="AF33" s="155"/>
      <c r="AG33" s="108"/>
      <c r="AH33" s="108"/>
      <c r="AI33" s="108"/>
      <c r="AJ33" s="108"/>
      <c r="AK33" s="108"/>
      <c r="AL33" s="108"/>
      <c r="AM33" s="108"/>
      <c r="AN33" s="108"/>
      <c r="AO33" s="108"/>
      <c r="AP33" s="108"/>
    </row>
    <row r="34" spans="1:42" s="372" customFormat="1" ht="30.75" customHeight="1">
      <c r="A34" s="379">
        <f>_xlfn.AGGREGATE(4,7,A$22:A33)+1</f>
        <v>12</v>
      </c>
      <c r="B34" s="363" t="s">
        <v>1828</v>
      </c>
      <c r="C34" s="375" t="s">
        <v>996</v>
      </c>
      <c r="D34" s="434" t="s">
        <v>1622</v>
      </c>
      <c r="E34" s="428" t="s">
        <v>385</v>
      </c>
      <c r="F34" s="366">
        <v>3.66</v>
      </c>
      <c r="G34" s="367"/>
      <c r="H34" s="368">
        <f t="shared" si="0"/>
        <v>3.66</v>
      </c>
      <c r="I34" s="368"/>
      <c r="J34" s="81" t="str">
        <f>VLOOKUP(B34,TH.T5!B34:F363,5,FALSE)</f>
        <v>NV Phòng Tổ chức - Hành chính - Tổng hợp</v>
      </c>
      <c r="K34" s="369">
        <f t="shared" si="1"/>
        <v>3.66</v>
      </c>
      <c r="L34" s="362">
        <f t="shared" si="2"/>
        <v>6588000</v>
      </c>
      <c r="M34" s="366" t="str">
        <f>VLOOKUP(B34,'[24]Gui chi Quynh'!$B$11:$E$400,4,FALSE)</f>
        <v>A3</v>
      </c>
      <c r="N34" s="494">
        <f t="shared" si="3"/>
        <v>7905600</v>
      </c>
      <c r="O34" s="366">
        <v>20</v>
      </c>
      <c r="P34" s="440">
        <f>IFERROR(INDEX('[17]CN BC'!$J$10:$J$276,MATCH(B34,'[17]CN BC'!$H$10:$H$276,0)),"")</f>
        <v>21</v>
      </c>
      <c r="Q34" s="494">
        <f t="shared" si="4"/>
        <v>7905600</v>
      </c>
      <c r="R34" s="460"/>
      <c r="S34" s="362">
        <f t="shared" si="11"/>
        <v>0</v>
      </c>
      <c r="T34" s="370"/>
      <c r="U34" s="362">
        <f t="shared" si="5"/>
        <v>0</v>
      </c>
      <c r="V34" s="584">
        <f t="shared" si="6"/>
        <v>65880</v>
      </c>
      <c r="W34" s="371">
        <f t="shared" si="10"/>
        <v>7905600</v>
      </c>
      <c r="X34" s="977">
        <f t="shared" si="8"/>
        <v>4.3920000000000003</v>
      </c>
      <c r="Y34" s="999">
        <v>1800000</v>
      </c>
      <c r="Z34" s="1000">
        <f t="shared" si="9"/>
        <v>7905600.0000000009</v>
      </c>
      <c r="AA34" s="568">
        <f t="shared" si="7"/>
        <v>12</v>
      </c>
      <c r="AB34" s="493">
        <f>IFERROR(INDEX('[17]CN BC'!$M$10:$M$276,MATCH(B34,'[17]CN BC'!$H$10:$H$276,0)),"")</f>
        <v>0</v>
      </c>
      <c r="AC34" s="141" t="str">
        <f>VLOOKUP(B34,TH.T4!B32:AC362,28,FALSE)</f>
        <v>TCHC</v>
      </c>
      <c r="AD34" s="108"/>
      <c r="AE34" s="108"/>
      <c r="AF34" s="155"/>
      <c r="AG34" s="108"/>
      <c r="AH34" s="108"/>
      <c r="AI34" s="108"/>
      <c r="AJ34" s="108"/>
      <c r="AK34" s="108"/>
      <c r="AL34" s="108"/>
    </row>
    <row r="35" spans="1:42" s="372" customFormat="1" ht="30.75" customHeight="1">
      <c r="A35" s="379">
        <f>_xlfn.AGGREGATE(4,7,A$22:A34)+1</f>
        <v>13</v>
      </c>
      <c r="B35" s="363" t="s">
        <v>1847</v>
      </c>
      <c r="C35" s="375" t="s">
        <v>1094</v>
      </c>
      <c r="D35" s="406" t="s">
        <v>1643</v>
      </c>
      <c r="E35" s="423" t="s">
        <v>8</v>
      </c>
      <c r="F35" s="366">
        <v>3.66</v>
      </c>
      <c r="G35" s="367"/>
      <c r="H35" s="368">
        <f t="shared" si="0"/>
        <v>3.66</v>
      </c>
      <c r="I35" s="368"/>
      <c r="J35" s="81" t="str">
        <f>VLOOKUP(B35,TH.T5!B35:F364,5,FALSE)</f>
        <v>NV Phòng Tổ chức - Hành chính - Tổng hợp</v>
      </c>
      <c r="K35" s="369">
        <f t="shared" si="1"/>
        <v>3.66</v>
      </c>
      <c r="L35" s="362">
        <f t="shared" si="2"/>
        <v>6588000</v>
      </c>
      <c r="M35" s="366" t="str">
        <f>VLOOKUP(B35,'[24]Gui chi Quynh'!$B$11:$E$400,4,FALSE)</f>
        <v>A4</v>
      </c>
      <c r="N35" s="494">
        <f t="shared" si="3"/>
        <v>6588000</v>
      </c>
      <c r="O35" s="366">
        <v>20</v>
      </c>
      <c r="P35" s="440">
        <f>IFERROR(INDEX('[17]CN BC'!$J$10:$J$276,MATCH(B35,'[17]CN BC'!$H$10:$H$276,0)),"")</f>
        <v>20</v>
      </c>
      <c r="Q35" s="494">
        <f t="shared" si="4"/>
        <v>6588000</v>
      </c>
      <c r="R35" s="460"/>
      <c r="S35" s="362">
        <f>R35*$G$19*1.4</f>
        <v>0</v>
      </c>
      <c r="T35" s="370"/>
      <c r="U35" s="362">
        <f t="shared" si="5"/>
        <v>0</v>
      </c>
      <c r="V35" s="584">
        <f t="shared" si="6"/>
        <v>65880</v>
      </c>
      <c r="W35" s="371">
        <f t="shared" si="10"/>
        <v>6588000</v>
      </c>
      <c r="X35" s="977">
        <f t="shared" si="8"/>
        <v>3.66</v>
      </c>
      <c r="Y35" s="999">
        <v>1800000</v>
      </c>
      <c r="Z35" s="1000">
        <f t="shared" si="9"/>
        <v>6588000</v>
      </c>
      <c r="AA35" s="568">
        <f t="shared" si="7"/>
        <v>13</v>
      </c>
      <c r="AB35" s="493" t="str">
        <f>IFERROR(INDEX('[17]CN BC'!$M$10:$M$276,MATCH(B35,'[17]CN BC'!$H$10:$H$276,0)),"")</f>
        <v>Trừ 3 ngày nghỉ phép 3+10+17/6</v>
      </c>
      <c r="AC35" s="141" t="str">
        <f>VLOOKUP(B35,TH.T4!B33:AC363,28,FALSE)</f>
        <v>TCHC</v>
      </c>
      <c r="AD35" s="108"/>
      <c r="AE35" s="108"/>
      <c r="AF35" s="155"/>
      <c r="AG35" s="108"/>
      <c r="AH35" s="108"/>
      <c r="AI35" s="108"/>
      <c r="AJ35" s="108"/>
      <c r="AK35" s="108"/>
      <c r="AL35" s="108"/>
      <c r="AM35" s="108"/>
      <c r="AN35" s="108"/>
      <c r="AO35" s="108"/>
      <c r="AP35" s="108"/>
    </row>
    <row r="36" spans="1:42" s="372" customFormat="1" ht="30.75" customHeight="1">
      <c r="A36" s="379">
        <f>_xlfn.AGGREGATE(4,7,A$22:A35)+1</f>
        <v>14</v>
      </c>
      <c r="B36" s="363" t="s">
        <v>1848</v>
      </c>
      <c r="C36" s="375" t="s">
        <v>1431</v>
      </c>
      <c r="D36" s="434" t="s">
        <v>1644</v>
      </c>
      <c r="E36" s="426">
        <v>1603205360856</v>
      </c>
      <c r="F36" s="373">
        <v>3.33</v>
      </c>
      <c r="G36" s="367"/>
      <c r="H36" s="445">
        <f t="shared" si="0"/>
        <v>3.33</v>
      </c>
      <c r="I36" s="368"/>
      <c r="J36" s="81" t="str">
        <f>VLOOKUP(B36,TH.T5!B36:F365,5,FALSE)</f>
        <v>NV Phòng Tổ chức - Hành chính - Tổng hợp</v>
      </c>
      <c r="K36" s="369">
        <f t="shared" si="1"/>
        <v>3.33</v>
      </c>
      <c r="L36" s="362">
        <f t="shared" si="2"/>
        <v>5994000</v>
      </c>
      <c r="M36" s="366" t="str">
        <f>VLOOKUP(B36,'[24]Gui chi Quynh'!$B$11:$E$400,4,FALSE)</f>
        <v>A2</v>
      </c>
      <c r="N36" s="494">
        <f t="shared" si="3"/>
        <v>8391600</v>
      </c>
      <c r="O36" s="366">
        <v>20</v>
      </c>
      <c r="P36" s="440">
        <f>IFERROR(INDEX('[17]CN BC'!$J$10:$J$276,MATCH(B36,'[17]CN BC'!$H$10:$H$276,0)),"")</f>
        <v>20.5</v>
      </c>
      <c r="Q36" s="494">
        <f t="shared" si="4"/>
        <v>8391600</v>
      </c>
      <c r="R36" s="460"/>
      <c r="S36" s="362">
        <f t="shared" ref="S36:S46" si="12">R36*$G$19*1</f>
        <v>0</v>
      </c>
      <c r="T36" s="370"/>
      <c r="U36" s="362">
        <f t="shared" si="5"/>
        <v>0</v>
      </c>
      <c r="V36" s="584">
        <f t="shared" si="6"/>
        <v>59940</v>
      </c>
      <c r="W36" s="371">
        <f t="shared" si="10"/>
        <v>8391600</v>
      </c>
      <c r="X36" s="977">
        <f t="shared" si="8"/>
        <v>4.6619999999999999</v>
      </c>
      <c r="Y36" s="999">
        <v>1800000</v>
      </c>
      <c r="Z36" s="1000">
        <f t="shared" si="9"/>
        <v>8391600</v>
      </c>
      <c r="AA36" s="568">
        <f t="shared" si="7"/>
        <v>14</v>
      </c>
      <c r="AB36" s="493">
        <f>IFERROR(INDEX('[17]CN BC'!$M$10:$M$276,MATCH(B36,'[17]CN BC'!$H$10:$H$276,0)),"")</f>
        <v>0</v>
      </c>
      <c r="AC36" s="141" t="str">
        <f>VLOOKUP(B36,TH.T4!B34:AC364,28,FALSE)</f>
        <v>TCHC</v>
      </c>
      <c r="AF36" s="487"/>
    </row>
    <row r="37" spans="1:42" s="372" customFormat="1" ht="30.75" customHeight="1">
      <c r="A37" s="379">
        <f>_xlfn.AGGREGATE(4,7,A$22:A36)+1</f>
        <v>15</v>
      </c>
      <c r="B37" s="444" t="s">
        <v>1603</v>
      </c>
      <c r="C37" s="419" t="s">
        <v>1602</v>
      </c>
      <c r="D37" s="418" t="s">
        <v>1624</v>
      </c>
      <c r="E37" s="426">
        <v>1603205545491</v>
      </c>
      <c r="F37" s="373">
        <f>2.46+0.15</f>
        <v>2.61</v>
      </c>
      <c r="G37" s="367"/>
      <c r="H37" s="368">
        <f t="shared" si="0"/>
        <v>2.61</v>
      </c>
      <c r="I37" s="368"/>
      <c r="J37" s="81" t="str">
        <f>VLOOKUP(B37,TH.T5!B37:F366,5,FALSE)</f>
        <v>NV Phòng Tổ chức - Hành chính - Tổng hợp</v>
      </c>
      <c r="K37" s="369">
        <f t="shared" si="1"/>
        <v>2.61</v>
      </c>
      <c r="L37" s="362">
        <f t="shared" si="2"/>
        <v>4698000</v>
      </c>
      <c r="M37" s="366" t="str">
        <f>VLOOKUP(B37,'[24]Gui chi Quynh'!$B$11:$E$400,4,FALSE)</f>
        <v>A3</v>
      </c>
      <c r="N37" s="494">
        <f t="shared" si="3"/>
        <v>5637600</v>
      </c>
      <c r="O37" s="366">
        <v>20</v>
      </c>
      <c r="P37" s="440">
        <f>IFERROR(INDEX('[17]CN BC'!$J$10:$J$276,MATCH(B37,'[17]CN BC'!$H$10:$H$276,0)),"")</f>
        <v>22.5</v>
      </c>
      <c r="Q37" s="494">
        <f t="shared" si="4"/>
        <v>5637600</v>
      </c>
      <c r="R37" s="460"/>
      <c r="S37" s="362">
        <f t="shared" si="12"/>
        <v>0</v>
      </c>
      <c r="T37" s="370"/>
      <c r="U37" s="362">
        <f t="shared" si="5"/>
        <v>0</v>
      </c>
      <c r="V37" s="584">
        <f t="shared" si="6"/>
        <v>46980</v>
      </c>
      <c r="W37" s="371">
        <f t="shared" si="10"/>
        <v>5637600</v>
      </c>
      <c r="X37" s="977">
        <f t="shared" si="8"/>
        <v>3.1320000000000001</v>
      </c>
      <c r="Y37" s="999">
        <v>1800000</v>
      </c>
      <c r="Z37" s="1000">
        <f t="shared" si="9"/>
        <v>5637600</v>
      </c>
      <c r="AA37" s="568">
        <f t="shared" si="7"/>
        <v>15</v>
      </c>
      <c r="AB37" s="493">
        <f>IFERROR(INDEX('[17]CN BC'!$M$10:$M$276,MATCH(B37,'[17]CN BC'!$H$10:$H$276,0)),"")</f>
        <v>0</v>
      </c>
      <c r="AC37" s="141" t="str">
        <f>VLOOKUP(B37,TH.T4!B35:AC365,28,FALSE)</f>
        <v>TCHC</v>
      </c>
      <c r="AD37" s="108"/>
      <c r="AE37" s="108"/>
      <c r="AF37" s="155"/>
      <c r="AG37" s="108"/>
      <c r="AH37" s="108"/>
      <c r="AI37" s="108"/>
      <c r="AJ37" s="108"/>
      <c r="AK37" s="108"/>
      <c r="AL37" s="108"/>
    </row>
    <row r="38" spans="1:42" s="372" customFormat="1" ht="30.75" customHeight="1">
      <c r="A38" s="379">
        <f>_xlfn.AGGREGATE(4,7,A$22:A37)+1</f>
        <v>16</v>
      </c>
      <c r="B38" s="363" t="s">
        <v>1450</v>
      </c>
      <c r="C38" s="375" t="s">
        <v>1440</v>
      </c>
      <c r="D38" s="406" t="s">
        <v>1625</v>
      </c>
      <c r="E38" s="422" t="s">
        <v>1441</v>
      </c>
      <c r="F38" s="366">
        <v>4.9800000000000004</v>
      </c>
      <c r="G38" s="367">
        <v>0.05</v>
      </c>
      <c r="H38" s="368">
        <f t="shared" si="0"/>
        <v>5.2290000000000001</v>
      </c>
      <c r="I38" s="368">
        <v>0.45</v>
      </c>
      <c r="J38" s="81" t="str">
        <f>VLOOKUP(B38,TH.T5!B38:F367,5,FALSE)</f>
        <v>Trưởng phòng Quản trị - Dịch vụ</v>
      </c>
      <c r="K38" s="369">
        <f t="shared" si="1"/>
        <v>5.6790000000000003</v>
      </c>
      <c r="L38" s="362">
        <f t="shared" si="2"/>
        <v>10222200</v>
      </c>
      <c r="M38" s="366" t="str">
        <f>VLOOKUP(B38,'[24]Gui chi Quynh'!$B$11:$E$400,4,FALSE)</f>
        <v>A1</v>
      </c>
      <c r="N38" s="494">
        <f t="shared" si="3"/>
        <v>16355520</v>
      </c>
      <c r="O38" s="366">
        <v>20</v>
      </c>
      <c r="P38" s="440">
        <f>IFERROR(INDEX('[17]CN BC'!$J$10:$J$276,MATCH(B38,'[17]CN BC'!$H$10:$H$276,0)),"")</f>
        <v>22</v>
      </c>
      <c r="Q38" s="494">
        <f t="shared" si="4"/>
        <v>16355520</v>
      </c>
      <c r="R38" s="392"/>
      <c r="S38" s="362">
        <f t="shared" si="12"/>
        <v>0</v>
      </c>
      <c r="T38" s="385"/>
      <c r="U38" s="362">
        <f t="shared" si="5"/>
        <v>0</v>
      </c>
      <c r="V38" s="584">
        <f t="shared" si="6"/>
        <v>102222</v>
      </c>
      <c r="W38" s="371">
        <f t="shared" si="10"/>
        <v>16355520</v>
      </c>
      <c r="X38" s="977">
        <f t="shared" si="8"/>
        <v>9.0863999999999994</v>
      </c>
      <c r="Y38" s="999">
        <v>1800000</v>
      </c>
      <c r="Z38" s="1000">
        <f t="shared" si="9"/>
        <v>16355519.999999998</v>
      </c>
      <c r="AA38" s="568">
        <f t="shared" si="7"/>
        <v>16</v>
      </c>
      <c r="AB38" s="493">
        <f>IFERROR(INDEX('[17]CN BC'!$M$10:$M$276,MATCH(B38,'[17]CN BC'!$H$10:$H$276,0)),"")</f>
        <v>0</v>
      </c>
      <c r="AC38" s="141" t="str">
        <f>VLOOKUP(B38,TH.T4!B36:AC366,28,FALSE)</f>
        <v>QTDV</v>
      </c>
      <c r="AD38" s="108"/>
      <c r="AE38" s="108"/>
      <c r="AF38" s="155"/>
      <c r="AG38" s="108"/>
      <c r="AH38" s="108"/>
      <c r="AI38" s="108"/>
      <c r="AJ38" s="108"/>
      <c r="AK38" s="108"/>
      <c r="AL38" s="108"/>
      <c r="AM38" s="108"/>
      <c r="AN38" s="108"/>
      <c r="AO38" s="108"/>
      <c r="AP38" s="108"/>
    </row>
    <row r="39" spans="1:42" s="372" customFormat="1" ht="30.75" customHeight="1">
      <c r="A39" s="379">
        <f>_xlfn.AGGREGATE(4,7,A$22:A38)+1</f>
        <v>17</v>
      </c>
      <c r="B39" s="363" t="s">
        <v>1996</v>
      </c>
      <c r="C39" s="375" t="s">
        <v>1028</v>
      </c>
      <c r="D39" s="406" t="s">
        <v>1626</v>
      </c>
      <c r="E39" s="423" t="s">
        <v>1393</v>
      </c>
      <c r="F39" s="366">
        <v>4.9800000000000004</v>
      </c>
      <c r="G39" s="367">
        <v>7.0000000000000007E-2</v>
      </c>
      <c r="H39" s="368">
        <f t="shared" si="0"/>
        <v>5.3286000000000007</v>
      </c>
      <c r="I39" s="368">
        <v>0.35</v>
      </c>
      <c r="J39" s="81" t="str">
        <f>VLOOKUP(B39,TH.T5!B39:F368,5,FALSE)</f>
        <v>Phó TP. Quản trị - 
Dịch vụ</v>
      </c>
      <c r="K39" s="369">
        <f t="shared" si="1"/>
        <v>5.6786000000000003</v>
      </c>
      <c r="L39" s="362">
        <f t="shared" si="2"/>
        <v>10221480</v>
      </c>
      <c r="M39" s="366" t="str">
        <f>VLOOKUP(B39,'[24]Gui chi Quynh'!$B$11:$E$400,4,FALSE)</f>
        <v>A1</v>
      </c>
      <c r="N39" s="494">
        <f t="shared" si="3"/>
        <v>16354368</v>
      </c>
      <c r="O39" s="366">
        <v>20</v>
      </c>
      <c r="P39" s="440">
        <f>IFERROR(INDEX('[17]CN BC'!$J$10:$J$276,MATCH(B39,'[17]CN BC'!$H$10:$H$276,0)),"")</f>
        <v>25</v>
      </c>
      <c r="Q39" s="494">
        <f t="shared" si="4"/>
        <v>16354368</v>
      </c>
      <c r="R39" s="392"/>
      <c r="S39" s="362">
        <f t="shared" si="12"/>
        <v>0</v>
      </c>
      <c r="T39" s="385"/>
      <c r="U39" s="362">
        <f t="shared" si="5"/>
        <v>0</v>
      </c>
      <c r="V39" s="584">
        <f t="shared" si="6"/>
        <v>102215</v>
      </c>
      <c r="W39" s="371">
        <f t="shared" si="10"/>
        <v>16354368</v>
      </c>
      <c r="X39" s="977">
        <f t="shared" si="8"/>
        <v>9.0857600000000005</v>
      </c>
      <c r="Y39" s="999">
        <v>1800000</v>
      </c>
      <c r="Z39" s="1000">
        <f t="shared" si="9"/>
        <v>16354368</v>
      </c>
      <c r="AA39" s="568">
        <f t="shared" si="7"/>
        <v>17</v>
      </c>
      <c r="AB39" s="493">
        <f>IFERROR(INDEX('[17]CN BC'!$M$10:$M$276,MATCH(B39,'[17]CN BC'!$H$10:$H$276,0)),"")</f>
        <v>0</v>
      </c>
      <c r="AC39" s="141" t="str">
        <f>VLOOKUP(B39,TH.T4!B37:AC367,28,FALSE)</f>
        <v>QTDV</v>
      </c>
      <c r="AD39" s="108"/>
      <c r="AE39" s="108"/>
      <c r="AF39" s="155"/>
      <c r="AG39" s="108"/>
      <c r="AH39" s="108"/>
      <c r="AI39" s="108"/>
      <c r="AJ39" s="108"/>
      <c r="AK39" s="108"/>
      <c r="AL39" s="108"/>
      <c r="AM39" s="108"/>
      <c r="AN39" s="108"/>
      <c r="AO39" s="108"/>
      <c r="AP39" s="108"/>
    </row>
    <row r="40" spans="1:42" s="108" customFormat="1" ht="30.75" customHeight="1">
      <c r="A40" s="379">
        <f>_xlfn.AGGREGATE(4,7,A$22:A39)+1</f>
        <v>18</v>
      </c>
      <c r="B40" s="33" t="s">
        <v>1849</v>
      </c>
      <c r="C40" s="149" t="s">
        <v>1172</v>
      </c>
      <c r="D40" s="406" t="s">
        <v>1627</v>
      </c>
      <c r="E40" s="424" t="s">
        <v>1267</v>
      </c>
      <c r="F40" s="10">
        <v>3.65</v>
      </c>
      <c r="G40" s="157"/>
      <c r="H40" s="368">
        <f t="shared" si="0"/>
        <v>3.65</v>
      </c>
      <c r="I40" s="81">
        <v>0.25</v>
      </c>
      <c r="J40" s="81" t="str">
        <f>VLOOKUP(B40,TH.T5!B40:F369,5,FALSE)</f>
        <v>NV Phòng Quản trị - Dịch vụ</v>
      </c>
      <c r="K40" s="369">
        <f t="shared" si="1"/>
        <v>3.9</v>
      </c>
      <c r="L40" s="362">
        <f t="shared" si="2"/>
        <v>7020000</v>
      </c>
      <c r="M40" s="366" t="str">
        <f>VLOOKUP(B40,'[24]Gui chi Quynh'!$B$11:$E$400,4,FALSE)</f>
        <v>A1</v>
      </c>
      <c r="N40" s="494">
        <f t="shared" si="3"/>
        <v>11232000</v>
      </c>
      <c r="O40" s="366">
        <v>20</v>
      </c>
      <c r="P40" s="440">
        <f>IFERROR(INDEX('[17]CN BC'!$J$10:$J$276,MATCH(B40,'[17]CN BC'!$H$10:$H$276,0)),"")</f>
        <v>22</v>
      </c>
      <c r="Q40" s="494">
        <f t="shared" si="4"/>
        <v>11232000</v>
      </c>
      <c r="R40" s="392"/>
      <c r="S40" s="362">
        <f t="shared" si="12"/>
        <v>0</v>
      </c>
      <c r="T40" s="385"/>
      <c r="U40" s="362">
        <f t="shared" si="5"/>
        <v>0</v>
      </c>
      <c r="V40" s="584">
        <f t="shared" si="6"/>
        <v>70200</v>
      </c>
      <c r="W40" s="371">
        <f t="shared" si="10"/>
        <v>11232000</v>
      </c>
      <c r="X40" s="977">
        <f t="shared" si="8"/>
        <v>6.24</v>
      </c>
      <c r="Y40" s="999">
        <v>1800000</v>
      </c>
      <c r="Z40" s="1000">
        <f t="shared" si="9"/>
        <v>11232000</v>
      </c>
      <c r="AA40" s="568">
        <f t="shared" si="7"/>
        <v>18</v>
      </c>
      <c r="AB40" s="493">
        <f>IFERROR(INDEX('[17]CN BC'!$M$10:$M$276,MATCH(B40,'[17]CN BC'!$H$10:$H$276,0)),"")</f>
        <v>0</v>
      </c>
      <c r="AC40" s="141" t="str">
        <f>VLOOKUP(B40,TH.T4!B38:AC368,28,FALSE)</f>
        <v>QTDV</v>
      </c>
      <c r="AF40" s="155"/>
    </row>
    <row r="41" spans="1:42" s="372" customFormat="1" ht="30.75" customHeight="1">
      <c r="A41" s="379">
        <f>_xlfn.AGGREGATE(4,7,A$22:A40)+1</f>
        <v>19</v>
      </c>
      <c r="B41" s="363" t="s">
        <v>1850</v>
      </c>
      <c r="C41" s="375" t="s">
        <v>1035</v>
      </c>
      <c r="D41" s="434" t="s">
        <v>1628</v>
      </c>
      <c r="E41" s="423" t="s">
        <v>1268</v>
      </c>
      <c r="F41" s="366">
        <v>3.46</v>
      </c>
      <c r="G41" s="367"/>
      <c r="H41" s="368">
        <f t="shared" si="0"/>
        <v>3.46</v>
      </c>
      <c r="I41" s="368"/>
      <c r="J41" s="81" t="str">
        <f>VLOOKUP(B41,TH.T5!B41:F370,5,FALSE)</f>
        <v>NV Phòng Quản trị - Dịch vụ</v>
      </c>
      <c r="K41" s="369">
        <f t="shared" si="1"/>
        <v>3.46</v>
      </c>
      <c r="L41" s="362">
        <f t="shared" si="2"/>
        <v>6228000</v>
      </c>
      <c r="M41" s="366" t="str">
        <f>VLOOKUP(B41,'[24]Gui chi Quynh'!$B$11:$E$400,4,FALSE)</f>
        <v>A3</v>
      </c>
      <c r="N41" s="494">
        <f t="shared" si="3"/>
        <v>7473600</v>
      </c>
      <c r="O41" s="366">
        <v>20</v>
      </c>
      <c r="P41" s="440">
        <f>IFERROR(INDEX('[17]CN BC'!$J$10:$J$276,MATCH(B41,'[17]CN BC'!$H$10:$H$276,0)),"")</f>
        <v>19</v>
      </c>
      <c r="Q41" s="494">
        <f t="shared" si="4"/>
        <v>7099920</v>
      </c>
      <c r="R41" s="460"/>
      <c r="S41" s="362">
        <f t="shared" si="12"/>
        <v>0</v>
      </c>
      <c r="T41" s="370"/>
      <c r="U41" s="362">
        <f t="shared" si="5"/>
        <v>0</v>
      </c>
      <c r="V41" s="584">
        <f t="shared" si="6"/>
        <v>62280</v>
      </c>
      <c r="W41" s="371">
        <f t="shared" si="10"/>
        <v>7099920</v>
      </c>
      <c r="X41" s="977">
        <f t="shared" si="8"/>
        <v>3.9443999999999999</v>
      </c>
      <c r="Y41" s="999">
        <v>1800000</v>
      </c>
      <c r="Z41" s="1000">
        <f t="shared" si="9"/>
        <v>7099920</v>
      </c>
      <c r="AA41" s="568">
        <f t="shared" si="7"/>
        <v>19</v>
      </c>
      <c r="AB41" s="493">
        <f>IFERROR(INDEX('[17]CN BC'!$M$10:$M$276,MATCH(B41,'[17]CN BC'!$H$10:$H$276,0)),"")</f>
        <v>0</v>
      </c>
      <c r="AC41" s="141" t="str">
        <f>VLOOKUP(B41,TH.T4!B39:AC369,28,FALSE)</f>
        <v>QTDV</v>
      </c>
      <c r="AD41" s="108"/>
      <c r="AE41" s="108"/>
      <c r="AF41" s="155"/>
      <c r="AG41" s="108"/>
      <c r="AH41" s="108"/>
      <c r="AI41" s="108"/>
      <c r="AJ41" s="108"/>
      <c r="AK41" s="108"/>
      <c r="AL41" s="108"/>
    </row>
    <row r="42" spans="1:42" s="108" customFormat="1" ht="30.75" customHeight="1">
      <c r="A42" s="379">
        <f>_xlfn.AGGREGATE(4,7,A$22:A41)+1</f>
        <v>20</v>
      </c>
      <c r="B42" s="33" t="s">
        <v>1451</v>
      </c>
      <c r="C42" s="149" t="s">
        <v>1087</v>
      </c>
      <c r="D42" s="406" t="s">
        <v>1629</v>
      </c>
      <c r="E42" s="431" t="s">
        <v>367</v>
      </c>
      <c r="F42" s="10">
        <v>3.46</v>
      </c>
      <c r="G42" s="157"/>
      <c r="H42" s="368">
        <f t="shared" si="0"/>
        <v>3.46</v>
      </c>
      <c r="I42" s="81"/>
      <c r="J42" s="81" t="str">
        <f>VLOOKUP(B42,TH.T5!B42:F371,5,FALSE)</f>
        <v>Nhân viên phòng Quản trị - Dịch vụ</v>
      </c>
      <c r="K42" s="369">
        <f t="shared" si="1"/>
        <v>3.46</v>
      </c>
      <c r="L42" s="362">
        <f t="shared" si="2"/>
        <v>6228000</v>
      </c>
      <c r="M42" s="366" t="str">
        <f>VLOOKUP(B42,'[24]Gui chi Quynh'!$B$11:$E$400,4,FALSE)</f>
        <v>A3</v>
      </c>
      <c r="N42" s="494">
        <f t="shared" si="3"/>
        <v>7473600</v>
      </c>
      <c r="O42" s="366">
        <v>20</v>
      </c>
      <c r="P42" s="440">
        <f>IFERROR(INDEX('[17]CN BC'!$J$10:$J$276,MATCH(B42,'[17]CN BC'!$H$10:$H$276,0)),"")</f>
        <v>18</v>
      </c>
      <c r="Q42" s="494">
        <f t="shared" si="4"/>
        <v>6726240</v>
      </c>
      <c r="R42" s="392"/>
      <c r="S42" s="362">
        <f t="shared" si="12"/>
        <v>0</v>
      </c>
      <c r="T42" s="385"/>
      <c r="U42" s="362">
        <f t="shared" si="5"/>
        <v>0</v>
      </c>
      <c r="V42" s="584">
        <f t="shared" si="6"/>
        <v>62280</v>
      </c>
      <c r="W42" s="371">
        <f t="shared" si="10"/>
        <v>6726240</v>
      </c>
      <c r="X42" s="977">
        <f t="shared" si="8"/>
        <v>3.7368000000000001</v>
      </c>
      <c r="Y42" s="999">
        <v>1800000</v>
      </c>
      <c r="Z42" s="1000">
        <f t="shared" si="9"/>
        <v>6726240</v>
      </c>
      <c r="AA42" s="568">
        <f t="shared" si="7"/>
        <v>20</v>
      </c>
      <c r="AB42" s="493" t="str">
        <f>IFERROR(INDEX('[17]CN BC'!$M$10:$M$276,MATCH(B42,'[17]CN BC'!$H$10:$H$276,0)),"")</f>
        <v>Trừ 2 ngày nghỉ phép 17+18/6</v>
      </c>
      <c r="AC42" s="141" t="str">
        <f>VLOOKUP(B42,TH.T4!B40:AC370,28,FALSE)</f>
        <v>QTDV</v>
      </c>
      <c r="AD42" s="471"/>
      <c r="AF42" s="155"/>
    </row>
    <row r="43" spans="1:42" s="372" customFormat="1" ht="30.75" customHeight="1">
      <c r="A43" s="379">
        <f>_xlfn.AGGREGATE(4,7,A$22:A42)+1</f>
        <v>21</v>
      </c>
      <c r="B43" s="363" t="s">
        <v>1452</v>
      </c>
      <c r="C43" s="375" t="s">
        <v>876</v>
      </c>
      <c r="D43" s="434" t="s">
        <v>1630</v>
      </c>
      <c r="E43" s="426">
        <v>1603205348129</v>
      </c>
      <c r="F43" s="366">
        <v>3.34</v>
      </c>
      <c r="G43" s="367"/>
      <c r="H43" s="368">
        <f t="shared" si="0"/>
        <v>3.34</v>
      </c>
      <c r="I43" s="368"/>
      <c r="J43" s="81" t="str">
        <f>VLOOKUP(B43,TH.T5!B43:F372,5,FALSE)</f>
        <v>Nhân viên phòng Quản trị - Dịch vụ</v>
      </c>
      <c r="K43" s="369">
        <f t="shared" si="1"/>
        <v>3.34</v>
      </c>
      <c r="L43" s="362">
        <f t="shared" si="2"/>
        <v>6012000</v>
      </c>
      <c r="M43" s="366" t="str">
        <f>VLOOKUP(B43,'[24]Gui chi Quynh'!$B$11:$E$400,4,FALSE)</f>
        <v>A3</v>
      </c>
      <c r="N43" s="494">
        <f t="shared" si="3"/>
        <v>7214400</v>
      </c>
      <c r="O43" s="366">
        <v>20</v>
      </c>
      <c r="P43" s="440">
        <f>IFERROR(INDEX('[17]CN BC'!$J$10:$J$276,MATCH(B43,'[17]CN BC'!$H$10:$H$276,0)),"")</f>
        <v>20</v>
      </c>
      <c r="Q43" s="494">
        <f t="shared" si="4"/>
        <v>7214400</v>
      </c>
      <c r="R43" s="460"/>
      <c r="S43" s="362">
        <f t="shared" si="12"/>
        <v>0</v>
      </c>
      <c r="T43" s="370"/>
      <c r="U43" s="362">
        <f t="shared" si="5"/>
        <v>0</v>
      </c>
      <c r="V43" s="584">
        <f t="shared" si="6"/>
        <v>60120</v>
      </c>
      <c r="W43" s="371">
        <f t="shared" si="10"/>
        <v>7214400</v>
      </c>
      <c r="X43" s="977">
        <f t="shared" si="8"/>
        <v>4.008</v>
      </c>
      <c r="Y43" s="999">
        <v>1800000</v>
      </c>
      <c r="Z43" s="1000">
        <f t="shared" si="9"/>
        <v>7214400</v>
      </c>
      <c r="AA43" s="568">
        <f t="shared" si="7"/>
        <v>21</v>
      </c>
      <c r="AB43" s="493">
        <f>IFERROR(INDEX('[17]CN BC'!$M$10:$M$276,MATCH(B43,'[17]CN BC'!$H$10:$H$276,0)),"")</f>
        <v>0</v>
      </c>
      <c r="AC43" s="141" t="str">
        <f>VLOOKUP(B43,TH.T4!B41:AC371,28,FALSE)</f>
        <v>QTDV</v>
      </c>
      <c r="AD43" s="108"/>
      <c r="AE43" s="108"/>
      <c r="AF43" s="155"/>
      <c r="AG43" s="108"/>
      <c r="AH43" s="108"/>
      <c r="AI43" s="108"/>
      <c r="AJ43" s="108"/>
      <c r="AK43" s="108"/>
      <c r="AL43" s="108"/>
    </row>
    <row r="44" spans="1:42" s="108" customFormat="1" ht="30.75" customHeight="1">
      <c r="A44" s="379">
        <f>_xlfn.AGGREGATE(4,7,A$22:A43)+1</f>
        <v>22</v>
      </c>
      <c r="B44" s="33" t="s">
        <v>1453</v>
      </c>
      <c r="C44" s="149" t="s">
        <v>939</v>
      </c>
      <c r="D44" s="406" t="s">
        <v>1631</v>
      </c>
      <c r="E44" s="431" t="s">
        <v>384</v>
      </c>
      <c r="F44" s="83">
        <v>3.66</v>
      </c>
      <c r="G44" s="157"/>
      <c r="H44" s="445">
        <f t="shared" si="0"/>
        <v>3.66</v>
      </c>
      <c r="I44" s="81"/>
      <c r="J44" s="81" t="str">
        <f>VLOOKUP(B44,TH.T5!B44:F373,5,FALSE)</f>
        <v>Nhân viên phòng Quản trị - Dịch vụ</v>
      </c>
      <c r="K44" s="369">
        <f t="shared" si="1"/>
        <v>3.66</v>
      </c>
      <c r="L44" s="362">
        <f t="shared" si="2"/>
        <v>6588000</v>
      </c>
      <c r="M44" s="366" t="str">
        <f>VLOOKUP(B44,'[24]Gui chi Quynh'!$B$11:$E$400,4,FALSE)</f>
        <v>A3</v>
      </c>
      <c r="N44" s="494">
        <f t="shared" si="3"/>
        <v>7905600</v>
      </c>
      <c r="O44" s="366">
        <v>20</v>
      </c>
      <c r="P44" s="440">
        <f>IFERROR(INDEX('[17]CN BC'!$J$10:$J$276,MATCH(B44,'[17]CN BC'!$H$10:$H$276,0)),"")</f>
        <v>22</v>
      </c>
      <c r="Q44" s="494">
        <f t="shared" si="4"/>
        <v>7905600</v>
      </c>
      <c r="R44" s="392"/>
      <c r="S44" s="362">
        <f t="shared" si="12"/>
        <v>0</v>
      </c>
      <c r="T44" s="385"/>
      <c r="U44" s="362">
        <f t="shared" si="5"/>
        <v>0</v>
      </c>
      <c r="V44" s="584">
        <f t="shared" si="6"/>
        <v>65880</v>
      </c>
      <c r="W44" s="371">
        <f t="shared" si="10"/>
        <v>7905600</v>
      </c>
      <c r="X44" s="977">
        <f t="shared" si="8"/>
        <v>4.3920000000000003</v>
      </c>
      <c r="Y44" s="999">
        <v>1800000</v>
      </c>
      <c r="Z44" s="1000">
        <f t="shared" si="9"/>
        <v>7905600.0000000009</v>
      </c>
      <c r="AA44" s="568">
        <f t="shared" si="7"/>
        <v>22</v>
      </c>
      <c r="AB44" s="493">
        <f>IFERROR(INDEX('[17]CN BC'!$M$10:$M$276,MATCH(B44,'[17]CN BC'!$H$10:$H$276,0)),"")</f>
        <v>0</v>
      </c>
      <c r="AC44" s="141" t="str">
        <f>VLOOKUP(B44,TH.T4!B42:AC372,28,FALSE)</f>
        <v>QTDV</v>
      </c>
      <c r="AF44" s="155"/>
    </row>
    <row r="45" spans="1:42" s="372" customFormat="1" ht="30.75" customHeight="1">
      <c r="A45" s="379">
        <f>_xlfn.AGGREGATE(4,7,A$22:A44)+1</f>
        <v>23</v>
      </c>
      <c r="B45" s="363" t="s">
        <v>1522</v>
      </c>
      <c r="C45" s="380" t="s">
        <v>891</v>
      </c>
      <c r="D45" s="434" t="s">
        <v>1633</v>
      </c>
      <c r="E45" s="430">
        <v>1603205357238</v>
      </c>
      <c r="F45" s="366">
        <v>3.03</v>
      </c>
      <c r="G45" s="367"/>
      <c r="H45" s="368">
        <f t="shared" si="0"/>
        <v>3.03</v>
      </c>
      <c r="I45" s="368"/>
      <c r="J45" s="81" t="str">
        <f>VLOOKUP(B45,TH.T5!B45:F374,5,FALSE)</f>
        <v>Nhân viên TT Đào tạo và QLTB</v>
      </c>
      <c r="K45" s="369">
        <f t="shared" si="1"/>
        <v>3.03</v>
      </c>
      <c r="L45" s="362">
        <f t="shared" si="2"/>
        <v>5454000</v>
      </c>
      <c r="M45" s="366" t="str">
        <f>VLOOKUP(B45,'[24]Gui chi Quynh'!$B$11:$E$400,4,FALSE)</f>
        <v>A2</v>
      </c>
      <c r="N45" s="494">
        <f t="shared" si="3"/>
        <v>7635599.9999999991</v>
      </c>
      <c r="O45" s="366">
        <v>20</v>
      </c>
      <c r="P45" s="440">
        <f>IFERROR(INDEX('[17]CN BC'!$J$10:$J$276,MATCH(B45,'[17]CN BC'!$H$10:$H$276,0)),"")</f>
        <v>21</v>
      </c>
      <c r="Q45" s="494">
        <f t="shared" si="4"/>
        <v>7635599.9999999991</v>
      </c>
      <c r="R45" s="460"/>
      <c r="S45" s="362">
        <f t="shared" si="12"/>
        <v>0</v>
      </c>
      <c r="T45" s="370"/>
      <c r="U45" s="362">
        <f t="shared" si="5"/>
        <v>0</v>
      </c>
      <c r="V45" s="584">
        <f t="shared" si="6"/>
        <v>54540</v>
      </c>
      <c r="W45" s="371">
        <f t="shared" si="10"/>
        <v>7635599.9999999991</v>
      </c>
      <c r="X45" s="977">
        <f t="shared" si="8"/>
        <v>4.2419999999999991</v>
      </c>
      <c r="Y45" s="999">
        <v>1800000</v>
      </c>
      <c r="Z45" s="1000">
        <f t="shared" si="9"/>
        <v>7635599.9999999981</v>
      </c>
      <c r="AA45" s="568">
        <f t="shared" si="7"/>
        <v>23</v>
      </c>
      <c r="AB45" s="493">
        <f>IFERROR(INDEX('[17]CN BC'!$M$10:$M$276,MATCH(B45,'[17]CN BC'!$H$10:$H$276,0)),"")</f>
        <v>0</v>
      </c>
      <c r="AC45" s="141" t="str">
        <f>VLOOKUP(B45,TH.T4!B43:AC373,28,FALSE)</f>
        <v>TTĐT</v>
      </c>
      <c r="AD45" s="108"/>
      <c r="AE45" s="108"/>
      <c r="AF45" s="155"/>
      <c r="AG45" s="108"/>
      <c r="AH45" s="108"/>
      <c r="AI45" s="108"/>
      <c r="AJ45" s="108"/>
      <c r="AK45" s="108"/>
      <c r="AL45" s="108"/>
    </row>
    <row r="46" spans="1:42" s="372" customFormat="1" ht="30.75" customHeight="1">
      <c r="A46" s="379">
        <f>_xlfn.AGGREGATE(4,7,A$22:A45)+1</f>
        <v>24</v>
      </c>
      <c r="B46" s="363" t="s">
        <v>1523</v>
      </c>
      <c r="C46" s="380" t="s">
        <v>876</v>
      </c>
      <c r="D46" s="434" t="s">
        <v>1634</v>
      </c>
      <c r="E46" s="426">
        <v>1603205302590</v>
      </c>
      <c r="F46" s="366">
        <v>3.34</v>
      </c>
      <c r="G46" s="367"/>
      <c r="H46" s="368">
        <f t="shared" si="0"/>
        <v>3.34</v>
      </c>
      <c r="I46" s="368"/>
      <c r="J46" s="81" t="str">
        <f>VLOOKUP(B46,TH.T5!B46:F375,5,FALSE)</f>
        <v>Nhân viên TT Đào tạo và QLTB</v>
      </c>
      <c r="K46" s="369">
        <f t="shared" si="1"/>
        <v>3.34</v>
      </c>
      <c r="L46" s="362">
        <f t="shared" si="2"/>
        <v>6012000</v>
      </c>
      <c r="M46" s="366" t="str">
        <f>VLOOKUP(B46,'[24]Gui chi Quynh'!$B$11:$E$400,4,FALSE)</f>
        <v>A2</v>
      </c>
      <c r="N46" s="494">
        <f t="shared" si="3"/>
        <v>8416800</v>
      </c>
      <c r="O46" s="366">
        <v>20</v>
      </c>
      <c r="P46" s="440">
        <f>IFERROR(INDEX('[17]CN BC'!$J$10:$J$276,MATCH(B46,'[17]CN BC'!$H$10:$H$276,0)),"")</f>
        <v>21</v>
      </c>
      <c r="Q46" s="494">
        <f t="shared" si="4"/>
        <v>8416800</v>
      </c>
      <c r="R46" s="460"/>
      <c r="S46" s="362">
        <f t="shared" si="12"/>
        <v>0</v>
      </c>
      <c r="T46" s="370"/>
      <c r="U46" s="362">
        <f t="shared" si="5"/>
        <v>0</v>
      </c>
      <c r="V46" s="584">
        <f t="shared" si="6"/>
        <v>60120</v>
      </c>
      <c r="W46" s="371">
        <f t="shared" si="10"/>
        <v>8416800</v>
      </c>
      <c r="X46" s="977">
        <f t="shared" si="8"/>
        <v>4.6760000000000002</v>
      </c>
      <c r="Y46" s="999">
        <v>1800000</v>
      </c>
      <c r="Z46" s="1000">
        <f t="shared" si="9"/>
        <v>8416800</v>
      </c>
      <c r="AA46" s="568">
        <f t="shared" si="7"/>
        <v>24</v>
      </c>
      <c r="AB46" s="493">
        <f>IFERROR(INDEX('[17]CN BC'!$M$10:$M$276,MATCH(B46,'[17]CN BC'!$H$10:$H$276,0)),"")</f>
        <v>0</v>
      </c>
      <c r="AC46" s="141" t="str">
        <f>VLOOKUP(B46,TH.T4!B44:AC374,28,FALSE)</f>
        <v>TTĐT</v>
      </c>
      <c r="AD46" s="108"/>
      <c r="AE46" s="108"/>
      <c r="AF46" s="155"/>
      <c r="AG46" s="108"/>
      <c r="AH46" s="108"/>
      <c r="AI46" s="108"/>
      <c r="AJ46" s="108"/>
      <c r="AK46" s="108"/>
      <c r="AL46" s="108"/>
    </row>
    <row r="47" spans="1:42" s="372" customFormat="1" ht="30.75" customHeight="1">
      <c r="A47" s="379">
        <f>_xlfn.AGGREGATE(4,7,A$22:A46)+1</f>
        <v>25</v>
      </c>
      <c r="B47" s="444" t="s">
        <v>1606</v>
      </c>
      <c r="C47" s="419" t="s">
        <v>1605</v>
      </c>
      <c r="D47" s="418" t="s">
        <v>1635</v>
      </c>
      <c r="E47" s="488" t="s">
        <v>1604</v>
      </c>
      <c r="F47" s="373">
        <v>3</v>
      </c>
      <c r="G47" s="367"/>
      <c r="H47" s="445">
        <f t="shared" si="0"/>
        <v>3</v>
      </c>
      <c r="I47" s="368">
        <v>0.35</v>
      </c>
      <c r="J47" s="81" t="str">
        <f>VLOOKUP(B47,TH.T5!B47:F376,5,FALSE)</f>
        <v>Phó Trưởng TT Đào tạo và QLTB</v>
      </c>
      <c r="K47" s="369">
        <f t="shared" si="1"/>
        <v>3.35</v>
      </c>
      <c r="L47" s="362">
        <f t="shared" si="2"/>
        <v>6030000</v>
      </c>
      <c r="M47" s="366" t="str">
        <f>VLOOKUP(B47,'[24]Gui chi Quynh'!$B$11:$E$400,4,FALSE)</f>
        <v>A1</v>
      </c>
      <c r="N47" s="494">
        <f t="shared" si="3"/>
        <v>9648000</v>
      </c>
      <c r="O47" s="366">
        <v>20</v>
      </c>
      <c r="P47" s="440">
        <f>IFERROR(INDEX('[17]CN BC'!$J$10:$J$276,MATCH(B47,'[17]CN BC'!$H$10:$H$276,0)),"")</f>
        <v>30</v>
      </c>
      <c r="Q47" s="494">
        <f t="shared" si="4"/>
        <v>9648000</v>
      </c>
      <c r="R47" s="460"/>
      <c r="S47" s="362">
        <f>R47*$G$19*1.6</f>
        <v>0</v>
      </c>
      <c r="T47" s="370"/>
      <c r="U47" s="362">
        <f t="shared" si="5"/>
        <v>0</v>
      </c>
      <c r="V47" s="584">
        <f t="shared" si="6"/>
        <v>60300</v>
      </c>
      <c r="W47" s="371">
        <f t="shared" si="10"/>
        <v>9648000</v>
      </c>
      <c r="X47" s="977">
        <f t="shared" si="8"/>
        <v>5.36</v>
      </c>
      <c r="Y47" s="999">
        <v>1800000</v>
      </c>
      <c r="Z47" s="1000">
        <f t="shared" si="9"/>
        <v>9648000</v>
      </c>
      <c r="AA47" s="568">
        <f t="shared" si="7"/>
        <v>25</v>
      </c>
      <c r="AB47" s="493">
        <f>IFERROR(INDEX('[17]CN BC'!$M$10:$M$276,MATCH(B47,'[17]CN BC'!$H$10:$H$276,0)),"")</f>
        <v>0</v>
      </c>
      <c r="AC47" s="141" t="str">
        <f>VLOOKUP(B47,TH.T4!B45:AC375,28,FALSE)</f>
        <v>TTĐT</v>
      </c>
      <c r="AD47" s="108"/>
      <c r="AE47" s="108"/>
      <c r="AF47" s="155"/>
    </row>
    <row r="48" spans="1:42" s="372" customFormat="1" ht="30.75" customHeight="1">
      <c r="A48" s="379">
        <f>_xlfn.AGGREGATE(4,7,A$22:A47)+1</f>
        <v>26</v>
      </c>
      <c r="B48" s="444" t="s">
        <v>1843</v>
      </c>
      <c r="C48" s="419"/>
      <c r="D48" s="418" t="s">
        <v>1955</v>
      </c>
      <c r="E48" s="479" t="s">
        <v>1936</v>
      </c>
      <c r="F48" s="366">
        <v>2.67</v>
      </c>
      <c r="G48" s="367"/>
      <c r="H48" s="368">
        <f t="shared" si="0"/>
        <v>2.67</v>
      </c>
      <c r="I48" s="368"/>
      <c r="J48" s="81" t="str">
        <f>VLOOKUP(B48,TH.T5!B48:F377,5,FALSE)</f>
        <v>Nhân viên TT Đào tạo và QLTB</v>
      </c>
      <c r="K48" s="369">
        <f t="shared" si="1"/>
        <v>2.67</v>
      </c>
      <c r="L48" s="362">
        <f t="shared" si="2"/>
        <v>4806000</v>
      </c>
      <c r="M48" s="366" t="str">
        <f>VLOOKUP(B48,'[24]Gui chi Quynh'!$B$11:$E$400,4,FALSE)</f>
        <v>A2</v>
      </c>
      <c r="N48" s="494">
        <f t="shared" si="3"/>
        <v>6728400</v>
      </c>
      <c r="O48" s="366">
        <v>20</v>
      </c>
      <c r="P48" s="440">
        <f>IFERROR(INDEX('[17]CN BC'!$J$10:$J$276,MATCH(B48,'[17]CN BC'!$H$10:$H$276,0)),"")</f>
        <v>24</v>
      </c>
      <c r="Q48" s="494">
        <f t="shared" si="4"/>
        <v>6728400</v>
      </c>
      <c r="R48" s="460"/>
      <c r="S48" s="362">
        <f>R48*$G$19*1</f>
        <v>0</v>
      </c>
      <c r="T48" s="370"/>
      <c r="U48" s="362">
        <f t="shared" si="5"/>
        <v>0</v>
      </c>
      <c r="V48" s="584">
        <f t="shared" si="6"/>
        <v>48060</v>
      </c>
      <c r="W48" s="371">
        <f t="shared" si="10"/>
        <v>6728400</v>
      </c>
      <c r="X48" s="977">
        <f t="shared" si="8"/>
        <v>3.738</v>
      </c>
      <c r="Y48" s="999">
        <v>1800000</v>
      </c>
      <c r="Z48" s="1000">
        <f t="shared" si="9"/>
        <v>6728400</v>
      </c>
      <c r="AA48" s="568">
        <f t="shared" si="7"/>
        <v>26</v>
      </c>
      <c r="AB48" s="493">
        <f>IFERROR(INDEX('[17]CN BC'!$M$10:$M$276,MATCH(B48,'[17]CN BC'!$H$10:$H$276,0)),"")</f>
        <v>0</v>
      </c>
      <c r="AC48" s="141" t="str">
        <f>VLOOKUP(B48,TH.T4!B46:AC376,28,FALSE)</f>
        <v>TTĐT</v>
      </c>
      <c r="AD48" s="108"/>
      <c r="AE48" s="108"/>
      <c r="AF48" s="155"/>
      <c r="AG48" s="108"/>
      <c r="AH48" s="108"/>
      <c r="AI48" s="108"/>
      <c r="AJ48" s="108"/>
      <c r="AK48" s="108"/>
      <c r="AL48" s="108"/>
    </row>
    <row r="49" spans="1:42" s="108" customFormat="1" ht="30.75" customHeight="1">
      <c r="A49" s="379">
        <f>_xlfn.AGGREGATE(4,7,A$22:A48)+1</f>
        <v>27</v>
      </c>
      <c r="B49" s="33" t="s">
        <v>1856</v>
      </c>
      <c r="C49" s="149" t="s">
        <v>880</v>
      </c>
      <c r="D49" s="406" t="s">
        <v>1652</v>
      </c>
      <c r="E49" s="424" t="s">
        <v>1293</v>
      </c>
      <c r="F49" s="10">
        <v>4.9800000000000004</v>
      </c>
      <c r="G49" s="157">
        <v>0.05</v>
      </c>
      <c r="H49" s="368">
        <f t="shared" si="0"/>
        <v>5.2290000000000001</v>
      </c>
      <c r="I49" s="368">
        <v>0.25</v>
      </c>
      <c r="J49" s="81" t="str">
        <f>VLOOKUP(B49,TH.T5!B49:F378,5,FALSE)</f>
        <v>Nhân viên phòng Quản trị - Dịch vụ</v>
      </c>
      <c r="K49" s="369">
        <f t="shared" si="1"/>
        <v>5.4790000000000001</v>
      </c>
      <c r="L49" s="362">
        <f t="shared" si="2"/>
        <v>9862200</v>
      </c>
      <c r="M49" s="366" t="str">
        <f>VLOOKUP(B49,'[24]Gui chi Quynh'!$B$11:$E$400,4,FALSE)</f>
        <v>A3</v>
      </c>
      <c r="N49" s="494">
        <f t="shared" si="3"/>
        <v>11834640</v>
      </c>
      <c r="O49" s="366">
        <v>20</v>
      </c>
      <c r="P49" s="440">
        <f>IFERROR(INDEX('[17]CN BC'!$J$10:$J$276,MATCH(B49,'[17]CN BC'!$H$10:$H$276,0)),"")</f>
        <v>24</v>
      </c>
      <c r="Q49" s="494">
        <f t="shared" si="4"/>
        <v>11834640</v>
      </c>
      <c r="R49" s="392"/>
      <c r="S49" s="362">
        <f>R49*$G$19*1</f>
        <v>0</v>
      </c>
      <c r="T49" s="385"/>
      <c r="U49" s="362">
        <f t="shared" si="5"/>
        <v>0</v>
      </c>
      <c r="V49" s="584">
        <f t="shared" si="6"/>
        <v>98622</v>
      </c>
      <c r="W49" s="371">
        <f t="shared" si="10"/>
        <v>11834640</v>
      </c>
      <c r="X49" s="977">
        <f t="shared" si="8"/>
        <v>6.5747999999999998</v>
      </c>
      <c r="Y49" s="999">
        <v>1800000</v>
      </c>
      <c r="Z49" s="1000">
        <f t="shared" si="9"/>
        <v>11834640</v>
      </c>
      <c r="AA49" s="568">
        <f t="shared" si="7"/>
        <v>27</v>
      </c>
      <c r="AB49" s="493">
        <f>IFERROR(INDEX('[17]CN BC'!$M$10:$M$276,MATCH(B49,'[17]CN BC'!$H$10:$H$276,0)),"")</f>
        <v>0</v>
      </c>
      <c r="AC49" s="141" t="str">
        <f>VLOOKUP(B49,TH.T4!B47:AC377,28,FALSE)</f>
        <v>QTDV</v>
      </c>
      <c r="AF49" s="155"/>
    </row>
    <row r="50" spans="1:42" s="372" customFormat="1" ht="30.75" customHeight="1">
      <c r="A50" s="379">
        <f>_xlfn.AGGREGATE(4,7,A$22:A49)+1</f>
        <v>28</v>
      </c>
      <c r="B50" s="363" t="s">
        <v>1462</v>
      </c>
      <c r="C50" s="375" t="s">
        <v>962</v>
      </c>
      <c r="D50" s="434" t="s">
        <v>1654</v>
      </c>
      <c r="E50" s="428">
        <v>1603205182619</v>
      </c>
      <c r="F50" s="366">
        <v>3.66</v>
      </c>
      <c r="G50" s="367"/>
      <c r="H50" s="368">
        <f t="shared" si="0"/>
        <v>3.66</v>
      </c>
      <c r="I50" s="368"/>
      <c r="J50" s="81" t="str">
        <f>VLOOKUP(B50,TH.T5!B50:F379,5,FALSE)</f>
        <v>Nhân viên phòng Quản trị - Dịch vụ</v>
      </c>
      <c r="K50" s="369">
        <f t="shared" si="1"/>
        <v>3.66</v>
      </c>
      <c r="L50" s="362">
        <f t="shared" si="2"/>
        <v>6588000</v>
      </c>
      <c r="M50" s="366" t="str">
        <f>VLOOKUP(B50,'[24]Gui chi Quynh'!$B$11:$E$400,4,FALSE)</f>
        <v>A4</v>
      </c>
      <c r="N50" s="494">
        <f t="shared" si="3"/>
        <v>6588000</v>
      </c>
      <c r="O50" s="366">
        <v>20</v>
      </c>
      <c r="P50" s="440">
        <f>IFERROR(INDEX('[17]CN BC'!$J$10:$J$276,MATCH(B50,'[17]CN BC'!$H$10:$H$276,0)),"")</f>
        <v>25</v>
      </c>
      <c r="Q50" s="494">
        <f t="shared" si="4"/>
        <v>6588000</v>
      </c>
      <c r="R50" s="460"/>
      <c r="S50" s="362">
        <f>R50*$G$19*0.8</f>
        <v>0</v>
      </c>
      <c r="T50" s="370"/>
      <c r="U50" s="362">
        <f t="shared" si="5"/>
        <v>0</v>
      </c>
      <c r="V50" s="362">
        <f t="shared" si="6"/>
        <v>65880</v>
      </c>
      <c r="W50" s="371">
        <f t="shared" si="10"/>
        <v>6588000</v>
      </c>
      <c r="X50" s="977">
        <f t="shared" si="8"/>
        <v>3.66</v>
      </c>
      <c r="Y50" s="999">
        <v>1800000</v>
      </c>
      <c r="Z50" s="1000">
        <f t="shared" si="9"/>
        <v>6588000</v>
      </c>
      <c r="AA50" s="568">
        <f t="shared" si="7"/>
        <v>28</v>
      </c>
      <c r="AB50" s="493">
        <f>IFERROR(INDEX('[17]CN BC'!$M$10:$M$276,MATCH(B50,'[17]CN BC'!$H$10:$H$276,0)),"")</f>
        <v>0</v>
      </c>
      <c r="AC50" s="141" t="str">
        <f>VLOOKUP(B50,TH.T4!B48:AC378,28,FALSE)</f>
        <v>QTDV</v>
      </c>
      <c r="AF50" s="487"/>
    </row>
    <row r="51" spans="1:42" s="372" customFormat="1" ht="30.75" customHeight="1">
      <c r="A51" s="379">
        <f>_xlfn.AGGREGATE(4,7,A$22:A50)+1</f>
        <v>29</v>
      </c>
      <c r="B51" s="363" t="s">
        <v>2012</v>
      </c>
      <c r="C51" s="375"/>
      <c r="D51" s="434"/>
      <c r="E51" s="428"/>
      <c r="F51" s="366">
        <v>4.0599999999999996</v>
      </c>
      <c r="G51" s="367">
        <v>0.1</v>
      </c>
      <c r="H51" s="368">
        <f t="shared" si="0"/>
        <v>4.4659999999999993</v>
      </c>
      <c r="I51" s="368">
        <v>0.35</v>
      </c>
      <c r="J51" s="81" t="str">
        <f>VLOOKUP(B51,TH.T5!B51:F380,5,FALSE)</f>
        <v>Nhân viên phòng Quản trị - Dịch vụ</v>
      </c>
      <c r="K51" s="369">
        <f t="shared" si="1"/>
        <v>4.8159999999999989</v>
      </c>
      <c r="L51" s="362">
        <f t="shared" si="2"/>
        <v>8668799.9999999981</v>
      </c>
      <c r="M51" s="366" t="str">
        <f>VLOOKUP(B51,'[24]Gui chi Quynh'!$B$11:$E$400,4,FALSE)</f>
        <v>A1</v>
      </c>
      <c r="N51" s="494">
        <f t="shared" si="3"/>
        <v>13870079.999999998</v>
      </c>
      <c r="O51" s="366">
        <v>20</v>
      </c>
      <c r="P51" s="440">
        <f>IFERROR(INDEX('[17]CN BC'!$J$10:$J$276,MATCH(B51,'[17]CN BC'!$H$10:$H$276,0)),"")</f>
        <v>25</v>
      </c>
      <c r="Q51" s="494">
        <f t="shared" si="4"/>
        <v>13870079.999999998</v>
      </c>
      <c r="R51" s="460"/>
      <c r="S51" s="362">
        <f>R51*$G$19*0.8</f>
        <v>0</v>
      </c>
      <c r="T51" s="370"/>
      <c r="U51" s="362">
        <f t="shared" si="5"/>
        <v>0</v>
      </c>
      <c r="V51" s="584">
        <f t="shared" si="6"/>
        <v>86688</v>
      </c>
      <c r="W51" s="371">
        <f t="shared" si="10"/>
        <v>13870079.999999998</v>
      </c>
      <c r="X51" s="977">
        <f t="shared" si="8"/>
        <v>7.7055999999999987</v>
      </c>
      <c r="Y51" s="999">
        <v>1800000</v>
      </c>
      <c r="Z51" s="1000">
        <f t="shared" si="9"/>
        <v>13870079.999999998</v>
      </c>
      <c r="AA51" s="568">
        <f t="shared" si="7"/>
        <v>29</v>
      </c>
      <c r="AB51" s="493" t="str">
        <f>IFERROR(INDEX('[17]CN BC'!$M$10:$M$276,MATCH(B51,'[17]CN BC'!$H$10:$H$276,0)),"")</f>
        <v xml:space="preserve">Cộng 12 ngày đi học </v>
      </c>
      <c r="AC51" s="141" t="str">
        <f>VLOOKUP(B51,TH.T4!B49:AC379,28,FALSE)</f>
        <v>QTDV</v>
      </c>
      <c r="AF51" s="487"/>
    </row>
    <row r="52" spans="1:42" s="108" customFormat="1" ht="27" customHeight="1">
      <c r="A52" s="379">
        <f>_xlfn.AGGREGATE(4,7,A$22:A51)+1</f>
        <v>30</v>
      </c>
      <c r="B52" s="33" t="s">
        <v>1852</v>
      </c>
      <c r="C52" s="149" t="s">
        <v>900</v>
      </c>
      <c r="D52" s="406" t="s">
        <v>1636</v>
      </c>
      <c r="E52" s="424" t="s">
        <v>1258</v>
      </c>
      <c r="F52" s="83">
        <v>4.6500000000000004</v>
      </c>
      <c r="G52" s="161"/>
      <c r="H52" s="368">
        <f t="shared" si="0"/>
        <v>4.6500000000000004</v>
      </c>
      <c r="I52" s="81">
        <v>0.45</v>
      </c>
      <c r="J52" s="81" t="str">
        <f>VLOOKUP(B52,TH.T5!B52:F381,5,FALSE)</f>
        <v>Trưởng TT Y tế</v>
      </c>
      <c r="K52" s="369">
        <f t="shared" si="1"/>
        <v>5.1000000000000005</v>
      </c>
      <c r="L52" s="362">
        <f t="shared" si="2"/>
        <v>9180000.0000000019</v>
      </c>
      <c r="M52" s="366" t="str">
        <f>VLOOKUP(B52,'[24]Gui chi Quynh'!$B$11:$E$400,4,FALSE)</f>
        <v>A4</v>
      </c>
      <c r="N52" s="494">
        <f t="shared" si="3"/>
        <v>9180000.0000000019</v>
      </c>
      <c r="O52" s="366">
        <v>20</v>
      </c>
      <c r="P52" s="440">
        <f>IFERROR(INDEX('[17]CN BC'!$J$10:$J$276,MATCH(B52,'[17]CN BC'!$H$10:$H$276,0)),"")</f>
        <v>21</v>
      </c>
      <c r="Q52" s="494">
        <f t="shared" si="4"/>
        <v>9180000.0000000019</v>
      </c>
      <c r="R52" s="392"/>
      <c r="S52" s="362">
        <f>R52*$G$19*1</f>
        <v>0</v>
      </c>
      <c r="T52" s="385"/>
      <c r="U52" s="362">
        <f t="shared" si="5"/>
        <v>0</v>
      </c>
      <c r="V52" s="584">
        <f t="shared" si="6"/>
        <v>91800</v>
      </c>
      <c r="W52" s="371">
        <f t="shared" si="10"/>
        <v>9180000.0000000019</v>
      </c>
      <c r="X52" s="977">
        <f t="shared" si="8"/>
        <v>5.1000000000000014</v>
      </c>
      <c r="Y52" s="999">
        <v>1800000</v>
      </c>
      <c r="Z52" s="1000">
        <f t="shared" si="9"/>
        <v>9180000.0000000019</v>
      </c>
      <c r="AA52" s="568">
        <f t="shared" si="7"/>
        <v>30</v>
      </c>
      <c r="AB52" s="493" t="str">
        <f>IFERROR(INDEX('[17]CN BC'!$M$10:$M$276,MATCH(B52,'[17]CN BC'!$H$10:$H$276,0)),"")</f>
        <v>Trừ 4 ngày nghỉ phép 5+6+7+8/6</v>
      </c>
      <c r="AC52" s="141" t="str">
        <f>VLOOKUP(B52,TH.T4!B50:AC380,28,FALSE)</f>
        <v>TTYT</v>
      </c>
      <c r="AF52" s="155"/>
    </row>
    <row r="53" spans="1:42" s="108" customFormat="1" ht="27" customHeight="1">
      <c r="A53" s="379">
        <f>_xlfn.AGGREGATE(4,7,A$22:A52)+1</f>
        <v>31</v>
      </c>
      <c r="B53" s="33" t="s">
        <v>1454</v>
      </c>
      <c r="C53" s="149" t="s">
        <v>885</v>
      </c>
      <c r="D53" s="406" t="s">
        <v>1637</v>
      </c>
      <c r="E53" s="431">
        <v>1603205247426</v>
      </c>
      <c r="F53" s="10">
        <v>3.66</v>
      </c>
      <c r="G53" s="157"/>
      <c r="H53" s="368">
        <f t="shared" si="0"/>
        <v>3.66</v>
      </c>
      <c r="I53" s="81"/>
      <c r="J53" s="81" t="str">
        <f>VLOOKUP(B53,TH.T5!B53:F382,5,FALSE)</f>
        <v>Nhân viên Trung tâm Y tế</v>
      </c>
      <c r="K53" s="369">
        <f t="shared" si="1"/>
        <v>3.66</v>
      </c>
      <c r="L53" s="362">
        <f t="shared" si="2"/>
        <v>6588000</v>
      </c>
      <c r="M53" s="366" t="str">
        <f>VLOOKUP(B53,'[24]Gui chi Quynh'!$B$11:$E$400,4,FALSE)</f>
        <v>A2</v>
      </c>
      <c r="N53" s="494">
        <f t="shared" si="3"/>
        <v>9223200</v>
      </c>
      <c r="O53" s="366">
        <v>20</v>
      </c>
      <c r="P53" s="440">
        <f>IFERROR(INDEX('[17]CN BC'!$J$10:$J$276,MATCH(B53,'[17]CN BC'!$H$10:$H$276,0)),"")</f>
        <v>25</v>
      </c>
      <c r="Q53" s="494">
        <f t="shared" si="4"/>
        <v>9223200</v>
      </c>
      <c r="R53" s="392"/>
      <c r="S53" s="362">
        <f>R53*$G$19*1</f>
        <v>0</v>
      </c>
      <c r="T53" s="385"/>
      <c r="U53" s="362">
        <f t="shared" si="5"/>
        <v>0</v>
      </c>
      <c r="V53" s="584">
        <f t="shared" si="6"/>
        <v>65880</v>
      </c>
      <c r="W53" s="371">
        <f t="shared" si="10"/>
        <v>9223200</v>
      </c>
      <c r="X53" s="977">
        <f t="shared" si="8"/>
        <v>5.1239999999999997</v>
      </c>
      <c r="Y53" s="999">
        <v>1800000</v>
      </c>
      <c r="Z53" s="1000">
        <f t="shared" si="9"/>
        <v>9223200</v>
      </c>
      <c r="AA53" s="568">
        <f t="shared" si="7"/>
        <v>31</v>
      </c>
      <c r="AB53" s="493">
        <f>IFERROR(INDEX('[17]CN BC'!$M$10:$M$276,MATCH(B53,'[17]CN BC'!$H$10:$H$276,0)),"")</f>
        <v>0</v>
      </c>
      <c r="AC53" s="141" t="str">
        <f>VLOOKUP(B53,TH.T4!B51:AC381,28,FALSE)</f>
        <v>TTYT</v>
      </c>
      <c r="AF53" s="155"/>
    </row>
    <row r="54" spans="1:42" s="372" customFormat="1" ht="27" customHeight="1">
      <c r="A54" s="379">
        <f>_xlfn.AGGREGATE(4,7,A$22:A53)+1</f>
        <v>32</v>
      </c>
      <c r="B54" s="363" t="s">
        <v>1445</v>
      </c>
      <c r="C54" s="375" t="s">
        <v>1443</v>
      </c>
      <c r="D54" s="406" t="s">
        <v>1638</v>
      </c>
      <c r="E54" s="422" t="s">
        <v>1576</v>
      </c>
      <c r="F54" s="373">
        <v>4.9800000000000004</v>
      </c>
      <c r="G54" s="367">
        <v>0.37</v>
      </c>
      <c r="H54" s="368">
        <f t="shared" si="0"/>
        <v>6.8226000000000004</v>
      </c>
      <c r="I54" s="368">
        <v>0.45</v>
      </c>
      <c r="J54" s="81" t="str">
        <f>VLOOKUP(B54,TH.T5!B54:F383,5,FALSE)</f>
        <v>TP. Kế hoạch - Tài chính</v>
      </c>
      <c r="K54" s="369">
        <f t="shared" si="1"/>
        <v>7.2726000000000006</v>
      </c>
      <c r="L54" s="362">
        <f t="shared" si="2"/>
        <v>13090680.000000002</v>
      </c>
      <c r="M54" s="366" t="str">
        <f>VLOOKUP(B54,'[24]Gui chi Quynh'!$B$11:$E$400,4,FALSE)</f>
        <v>A1</v>
      </c>
      <c r="N54" s="494">
        <f t="shared" si="3"/>
        <v>20945088.000000004</v>
      </c>
      <c r="O54" s="366">
        <v>20</v>
      </c>
      <c r="P54" s="440">
        <f>IFERROR(INDEX('[17]CN BC'!$J$10:$J$276,MATCH(B54,'[17]CN BC'!$H$10:$H$276,0)),"")</f>
        <v>25</v>
      </c>
      <c r="Q54" s="494">
        <f t="shared" si="4"/>
        <v>20945088.000000004</v>
      </c>
      <c r="R54" s="392"/>
      <c r="S54" s="362">
        <f>R54*$G$19*1</f>
        <v>0</v>
      </c>
      <c r="T54" s="385"/>
      <c r="U54" s="362">
        <f t="shared" si="5"/>
        <v>0</v>
      </c>
      <c r="V54" s="584">
        <f t="shared" si="6"/>
        <v>130907</v>
      </c>
      <c r="W54" s="371">
        <f t="shared" si="10"/>
        <v>20945088.000000004</v>
      </c>
      <c r="X54" s="977">
        <f t="shared" si="8"/>
        <v>11.636160000000002</v>
      </c>
      <c r="Y54" s="999">
        <v>1800000</v>
      </c>
      <c r="Z54" s="1000">
        <f t="shared" si="9"/>
        <v>20945088.000000004</v>
      </c>
      <c r="AA54" s="568">
        <f t="shared" si="7"/>
        <v>32</v>
      </c>
      <c r="AB54" s="493">
        <f>IFERROR(INDEX('[17]CN BC'!$M$10:$M$276,MATCH(B54,'[17]CN BC'!$H$10:$H$276,0)),"")</f>
        <v>0</v>
      </c>
      <c r="AC54" s="141" t="str">
        <f>VLOOKUP(B54,TH.T4!B52:AC382,28,FALSE)</f>
        <v>KHTC</v>
      </c>
      <c r="AD54" s="108"/>
      <c r="AE54" s="108"/>
      <c r="AF54" s="155"/>
      <c r="AG54" s="108"/>
      <c r="AH54" s="108"/>
      <c r="AI54" s="108"/>
      <c r="AJ54" s="108"/>
      <c r="AK54" s="108"/>
      <c r="AL54" s="108"/>
      <c r="AM54" s="108"/>
      <c r="AN54" s="108"/>
      <c r="AO54" s="108"/>
      <c r="AP54" s="108"/>
    </row>
    <row r="55" spans="1:42" s="108" customFormat="1" ht="26.25" customHeight="1">
      <c r="A55" s="379">
        <f>_xlfn.AGGREGATE(4,7,A$22:A54)+1</f>
        <v>33</v>
      </c>
      <c r="B55" s="33" t="s">
        <v>1455</v>
      </c>
      <c r="C55" s="149" t="s">
        <v>912</v>
      </c>
      <c r="D55" s="406" t="s">
        <v>1640</v>
      </c>
      <c r="E55" s="424" t="s">
        <v>368</v>
      </c>
      <c r="F55" s="10">
        <v>3.99</v>
      </c>
      <c r="G55" s="157"/>
      <c r="H55" s="368">
        <f t="shared" si="0"/>
        <v>3.99</v>
      </c>
      <c r="I55" s="81"/>
      <c r="J55" s="81" t="str">
        <f>VLOOKUP(B55,TH.T5!B55:F384,5,FALSE)</f>
        <v>NV phòng KH-TC</v>
      </c>
      <c r="K55" s="369">
        <f t="shared" si="1"/>
        <v>3.99</v>
      </c>
      <c r="L55" s="362">
        <f t="shared" si="2"/>
        <v>7182000</v>
      </c>
      <c r="M55" s="366" t="str">
        <f>VLOOKUP(B55,'[24]Gui chi Quynh'!$B$11:$E$400,4,FALSE)</f>
        <v>A1</v>
      </c>
      <c r="N55" s="494">
        <f t="shared" si="3"/>
        <v>11491200</v>
      </c>
      <c r="O55" s="366">
        <v>20</v>
      </c>
      <c r="P55" s="440">
        <f>IFERROR(INDEX('[17]CN BC'!$J$10:$J$276,MATCH(B55,'[17]CN BC'!$H$10:$H$276,0)),"")</f>
        <v>25</v>
      </c>
      <c r="Q55" s="494">
        <f t="shared" si="4"/>
        <v>11491200</v>
      </c>
      <c r="R55" s="392"/>
      <c r="S55" s="362">
        <f>R55*$G$19*1</f>
        <v>0</v>
      </c>
      <c r="T55" s="385"/>
      <c r="U55" s="362">
        <f t="shared" si="5"/>
        <v>0</v>
      </c>
      <c r="V55" s="584">
        <f t="shared" si="6"/>
        <v>71820</v>
      </c>
      <c r="W55" s="371">
        <f t="shared" si="10"/>
        <v>11491200</v>
      </c>
      <c r="X55" s="977">
        <f t="shared" si="8"/>
        <v>6.3840000000000003</v>
      </c>
      <c r="Y55" s="999">
        <v>1800000</v>
      </c>
      <c r="Z55" s="1000">
        <f t="shared" si="9"/>
        <v>11491200</v>
      </c>
      <c r="AA55" s="568">
        <f t="shared" si="7"/>
        <v>33</v>
      </c>
      <c r="AB55" s="493">
        <f>IFERROR(INDEX('[17]CN BC'!$M$10:$M$276,MATCH(B55,'[17]CN BC'!$H$10:$H$276,0)),"")</f>
        <v>0</v>
      </c>
      <c r="AC55" s="141" t="str">
        <f>VLOOKUP(B55,TH.T4!B53:AC383,28,FALSE)</f>
        <v>KHTC</v>
      </c>
      <c r="AF55" s="155"/>
    </row>
    <row r="56" spans="1:42" s="372" customFormat="1" ht="27" customHeight="1">
      <c r="A56" s="379">
        <f>_xlfn.AGGREGATE(4,7,A$22:A55)+1</f>
        <v>34</v>
      </c>
      <c r="B56" s="363" t="s">
        <v>1456</v>
      </c>
      <c r="C56" s="375" t="s">
        <v>494</v>
      </c>
      <c r="D56" s="434" t="s">
        <v>1641</v>
      </c>
      <c r="E56" s="428">
        <v>1603205178873</v>
      </c>
      <c r="F56" s="366">
        <v>3.66</v>
      </c>
      <c r="G56" s="367"/>
      <c r="H56" s="368">
        <f t="shared" si="0"/>
        <v>3.66</v>
      </c>
      <c r="I56" s="368"/>
      <c r="J56" s="81" t="str">
        <f>VLOOKUP(B56,TH.T5!B56:F385,5,FALSE)</f>
        <v>NV phòng KH-TC</v>
      </c>
      <c r="K56" s="369">
        <f t="shared" si="1"/>
        <v>3.66</v>
      </c>
      <c r="L56" s="362">
        <f t="shared" si="2"/>
        <v>6588000</v>
      </c>
      <c r="M56" s="366" t="str">
        <f>VLOOKUP(B56,'[24]Gui chi Quynh'!$B$11:$E$400,4,FALSE)</f>
        <v>A1</v>
      </c>
      <c r="N56" s="494">
        <f t="shared" si="3"/>
        <v>10540800</v>
      </c>
      <c r="O56" s="366">
        <v>20</v>
      </c>
      <c r="P56" s="440">
        <f>IFERROR(INDEX('[17]CN BC'!$J$10:$J$276,MATCH(B56,'[17]CN BC'!$H$10:$H$276,0)),"")</f>
        <v>24</v>
      </c>
      <c r="Q56" s="494">
        <f t="shared" si="4"/>
        <v>10540800</v>
      </c>
      <c r="R56" s="460"/>
      <c r="S56" s="362">
        <f>R56*$G$19*1.6</f>
        <v>0</v>
      </c>
      <c r="T56" s="370"/>
      <c r="U56" s="362">
        <f t="shared" si="5"/>
        <v>0</v>
      </c>
      <c r="V56" s="584">
        <f t="shared" si="6"/>
        <v>65880</v>
      </c>
      <c r="W56" s="371">
        <f t="shared" si="10"/>
        <v>10540800</v>
      </c>
      <c r="X56" s="977">
        <f t="shared" si="8"/>
        <v>5.8559999999999999</v>
      </c>
      <c r="Y56" s="999">
        <v>1800000</v>
      </c>
      <c r="Z56" s="1000">
        <f t="shared" si="9"/>
        <v>10540800</v>
      </c>
      <c r="AA56" s="568">
        <f t="shared" si="7"/>
        <v>34</v>
      </c>
      <c r="AB56" s="493" t="str">
        <f>IFERROR(INDEX('[17]CN BC'!$M$10:$M$276,MATCH(B56,'[17]CN BC'!$H$10:$H$276,0)),"")</f>
        <v>Trừ 1 ngày nghỉ phép 24/6</v>
      </c>
      <c r="AC56" s="141" t="str">
        <f>VLOOKUP(B56,TH.T4!B54:AC384,28,FALSE)</f>
        <v>KHTC</v>
      </c>
      <c r="AD56" s="108"/>
      <c r="AE56" s="108"/>
      <c r="AF56" s="155"/>
      <c r="AG56" s="108"/>
      <c r="AH56" s="108"/>
      <c r="AI56" s="108"/>
      <c r="AJ56" s="108"/>
      <c r="AK56" s="108"/>
      <c r="AL56" s="108"/>
    </row>
    <row r="57" spans="1:42" s="372" customFormat="1" ht="27" customHeight="1">
      <c r="A57" s="379">
        <f>_xlfn.AGGREGATE(4,7,A$22:A56)+1</f>
        <v>35</v>
      </c>
      <c r="B57" s="363" t="s">
        <v>1457</v>
      </c>
      <c r="C57" s="375" t="s">
        <v>1178</v>
      </c>
      <c r="D57" s="434" t="s">
        <v>1642</v>
      </c>
      <c r="E57" s="426">
        <v>1603205372861</v>
      </c>
      <c r="F57" s="373">
        <v>3</v>
      </c>
      <c r="G57" s="367"/>
      <c r="H57" s="368">
        <f t="shared" si="0"/>
        <v>3</v>
      </c>
      <c r="I57" s="368"/>
      <c r="J57" s="81" t="str">
        <f>VLOOKUP(B57,TH.T5!B57:F386,5,FALSE)</f>
        <v>NV phòng KH-TC</v>
      </c>
      <c r="K57" s="369">
        <f t="shared" si="1"/>
        <v>3</v>
      </c>
      <c r="L57" s="362">
        <f t="shared" si="2"/>
        <v>5400000</v>
      </c>
      <c r="M57" s="366" t="str">
        <f>VLOOKUP(B57,'[24]Gui chi Quynh'!$B$11:$E$400,4,FALSE)</f>
        <v>A2</v>
      </c>
      <c r="N57" s="494">
        <f t="shared" si="3"/>
        <v>7559999.9999999991</v>
      </c>
      <c r="O57" s="366">
        <v>20</v>
      </c>
      <c r="P57" s="440">
        <f>IFERROR(INDEX('[17]CN BC'!$J$10:$J$276,MATCH(B57,'[17]CN BC'!$H$10:$H$276,0)),"")</f>
        <v>23</v>
      </c>
      <c r="Q57" s="494">
        <f t="shared" si="4"/>
        <v>7559999.9999999991</v>
      </c>
      <c r="R57" s="460"/>
      <c r="S57" s="362">
        <f>R57*$G$19*1</f>
        <v>0</v>
      </c>
      <c r="T57" s="370"/>
      <c r="U57" s="362">
        <f t="shared" si="5"/>
        <v>0</v>
      </c>
      <c r="V57" s="584">
        <f t="shared" si="6"/>
        <v>54000</v>
      </c>
      <c r="W57" s="371">
        <f t="shared" si="10"/>
        <v>7559999.9999999991</v>
      </c>
      <c r="X57" s="977">
        <f t="shared" si="8"/>
        <v>4.1999999999999993</v>
      </c>
      <c r="Y57" s="999">
        <v>1800000</v>
      </c>
      <c r="Z57" s="1000">
        <f t="shared" si="9"/>
        <v>7559999.9999999991</v>
      </c>
      <c r="AA57" s="568">
        <f t="shared" si="7"/>
        <v>35</v>
      </c>
      <c r="AB57" s="493" t="str">
        <f>IFERROR(INDEX('[17]CN BC'!$M$10:$M$276,MATCH(B57,'[17]CN BC'!$H$10:$H$276,0)),"")</f>
        <v>Trừ 1 ngày nghỉ phép 10/6</v>
      </c>
      <c r="AC57" s="141" t="str">
        <f>VLOOKUP(B57,TH.T4!B55:AC385,28,FALSE)</f>
        <v>KHTC</v>
      </c>
      <c r="AD57" s="108"/>
      <c r="AE57" s="108"/>
      <c r="AF57" s="155"/>
      <c r="AG57" s="108"/>
      <c r="AH57" s="108"/>
      <c r="AI57" s="108"/>
      <c r="AJ57" s="108"/>
      <c r="AK57" s="108"/>
      <c r="AL57" s="108"/>
    </row>
    <row r="58" spans="1:42" s="372" customFormat="1" ht="27" customHeight="1">
      <c r="A58" s="379">
        <f>_xlfn.AGGREGATE(4,7,A$22:A57)+1</f>
        <v>36</v>
      </c>
      <c r="B58" s="363" t="s">
        <v>1859</v>
      </c>
      <c r="C58" s="375" t="s">
        <v>986</v>
      </c>
      <c r="D58" s="434" t="s">
        <v>1665</v>
      </c>
      <c r="E58" s="430">
        <v>1603205185357</v>
      </c>
      <c r="F58" s="373">
        <v>3.66</v>
      </c>
      <c r="G58" s="367"/>
      <c r="H58" s="368">
        <f t="shared" si="0"/>
        <v>3.66</v>
      </c>
      <c r="I58" s="368"/>
      <c r="J58" s="81" t="str">
        <f>VLOOKUP(B58,TH.T5!B58:F387,5,FALSE)</f>
        <v>NV Phòng KH-TC</v>
      </c>
      <c r="K58" s="369">
        <f t="shared" si="1"/>
        <v>3.66</v>
      </c>
      <c r="L58" s="362">
        <f t="shared" si="2"/>
        <v>6588000</v>
      </c>
      <c r="M58" s="366" t="str">
        <f>VLOOKUP(B58,'[24]Gui chi Quynh'!$B$11:$E$400,4,FALSE)</f>
        <v>A1</v>
      </c>
      <c r="N58" s="494">
        <f t="shared" si="3"/>
        <v>10540800</v>
      </c>
      <c r="O58" s="366">
        <v>20</v>
      </c>
      <c r="P58" s="440">
        <f>IFERROR(INDEX('[17]CN BC'!$J$10:$J$276,MATCH(B58,'[17]CN BC'!$H$10:$H$276,0)),"")</f>
        <v>24</v>
      </c>
      <c r="Q58" s="494">
        <f t="shared" si="4"/>
        <v>10540800</v>
      </c>
      <c r="R58" s="460"/>
      <c r="S58" s="362">
        <f>R58*$G$19*1</f>
        <v>0</v>
      </c>
      <c r="T58" s="537"/>
      <c r="U58" s="362">
        <f t="shared" si="5"/>
        <v>0</v>
      </c>
      <c r="V58" s="584">
        <f t="shared" si="6"/>
        <v>65880</v>
      </c>
      <c r="W58" s="371">
        <f t="shared" si="10"/>
        <v>10540800</v>
      </c>
      <c r="X58" s="977">
        <f t="shared" si="8"/>
        <v>5.8559999999999999</v>
      </c>
      <c r="Y58" s="999">
        <v>1800000</v>
      </c>
      <c r="Z58" s="1000">
        <f t="shared" si="9"/>
        <v>10540800</v>
      </c>
      <c r="AA58" s="568">
        <f t="shared" si="7"/>
        <v>36</v>
      </c>
      <c r="AB58" s="493">
        <f>IFERROR(INDEX('[17]CN BC'!$M$10:$M$276,MATCH(B58,'[17]CN BC'!$H$10:$H$276,0)),"")</f>
        <v>0</v>
      </c>
      <c r="AC58" s="141" t="str">
        <f>VLOOKUP(B58,TH.T4!B56:AC386,28,FALSE)</f>
        <v>KHTC</v>
      </c>
      <c r="AF58" s="487"/>
    </row>
    <row r="59" spans="1:42" s="372" customFormat="1" ht="28.5" customHeight="1">
      <c r="A59" s="379">
        <f>_xlfn.AGGREGATE(4,7,A$22:A58)+1</f>
        <v>37</v>
      </c>
      <c r="B59" s="363" t="s">
        <v>1459</v>
      </c>
      <c r="C59" s="375" t="s">
        <v>1437</v>
      </c>
      <c r="D59" s="434" t="s">
        <v>1645</v>
      </c>
      <c r="E59" s="426" t="s">
        <v>1578</v>
      </c>
      <c r="F59" s="366">
        <v>4.32</v>
      </c>
      <c r="G59" s="367"/>
      <c r="H59" s="368">
        <f t="shared" si="0"/>
        <v>4.32</v>
      </c>
      <c r="I59" s="368">
        <v>0.45</v>
      </c>
      <c r="J59" s="81" t="str">
        <f>VLOOKUP(B59,TH.T5!B59:F388,5,FALSE)</f>
        <v>Trưởng phòng Thanh tra GD - Quan hệ DN</v>
      </c>
      <c r="K59" s="369">
        <f t="shared" si="1"/>
        <v>4.7700000000000005</v>
      </c>
      <c r="L59" s="362">
        <f t="shared" si="2"/>
        <v>8586000</v>
      </c>
      <c r="M59" s="366" t="str">
        <f>VLOOKUP(B59,'[24]Gui chi Quynh'!$B$11:$E$400,4,FALSE)</f>
        <v>A3</v>
      </c>
      <c r="N59" s="494">
        <f t="shared" si="3"/>
        <v>10303200</v>
      </c>
      <c r="O59" s="366">
        <v>20</v>
      </c>
      <c r="P59" s="440">
        <f>IFERROR(INDEX('[17]CN BC'!$J$10:$J$276,MATCH(B59,'[17]CN BC'!$H$10:$H$276,0)),"")</f>
        <v>24</v>
      </c>
      <c r="Q59" s="494">
        <f t="shared" si="4"/>
        <v>10303200</v>
      </c>
      <c r="R59" s="460"/>
      <c r="S59" s="362">
        <v>0</v>
      </c>
      <c r="T59" s="370"/>
      <c r="U59" s="362">
        <f t="shared" si="5"/>
        <v>0</v>
      </c>
      <c r="V59" s="584">
        <f t="shared" si="6"/>
        <v>85860</v>
      </c>
      <c r="W59" s="371">
        <f t="shared" si="10"/>
        <v>10303200</v>
      </c>
      <c r="X59" s="977">
        <f t="shared" si="8"/>
        <v>5.7240000000000002</v>
      </c>
      <c r="Y59" s="999">
        <v>1800000</v>
      </c>
      <c r="Z59" s="1000">
        <f t="shared" si="9"/>
        <v>10303200</v>
      </c>
      <c r="AA59" s="568">
        <f t="shared" si="7"/>
        <v>37</v>
      </c>
      <c r="AB59" s="493">
        <f>IFERROR(INDEX('[17]CN BC'!$M$10:$M$276,MATCH(B59,'[17]CN BC'!$H$10:$H$276,0)),"")</f>
        <v>0</v>
      </c>
      <c r="AC59" s="141" t="str">
        <f>VLOOKUP(B59,TH.T4!B57:AC387,28,FALSE)</f>
        <v>TTrGD</v>
      </c>
      <c r="AD59" s="108"/>
      <c r="AE59" s="108"/>
      <c r="AF59" s="155"/>
    </row>
    <row r="60" spans="1:42" s="372" customFormat="1" ht="28.5" customHeight="1">
      <c r="A60" s="379">
        <f>_xlfn.AGGREGATE(4,7,A$22:A59)+1</f>
        <v>38</v>
      </c>
      <c r="B60" s="363" t="s">
        <v>1541</v>
      </c>
      <c r="C60" s="364" t="s">
        <v>962</v>
      </c>
      <c r="D60" s="434" t="s">
        <v>1802</v>
      </c>
      <c r="E60" s="426">
        <v>1603205356140</v>
      </c>
      <c r="F60" s="366">
        <v>3.99</v>
      </c>
      <c r="G60" s="367"/>
      <c r="H60" s="368">
        <f t="shared" si="0"/>
        <v>3.99</v>
      </c>
      <c r="I60" s="368"/>
      <c r="J60" s="81" t="str">
        <f>VLOOKUP(B60,TH.T5!B60:F389,5,FALSE)</f>
        <v>Nhân viên phòng Thanh tra GD - Quan hệ DN</v>
      </c>
      <c r="K60" s="369">
        <f t="shared" si="1"/>
        <v>3.99</v>
      </c>
      <c r="L60" s="362">
        <f t="shared" si="2"/>
        <v>7182000</v>
      </c>
      <c r="M60" s="366" t="str">
        <f>VLOOKUP(B60,'[24]Gui chi Quynh'!$B$11:$E$400,4,FALSE)</f>
        <v>A4</v>
      </c>
      <c r="N60" s="494">
        <f t="shared" si="3"/>
        <v>7182000</v>
      </c>
      <c r="O60" s="366">
        <v>20</v>
      </c>
      <c r="P60" s="440">
        <f>IFERROR(INDEX('[17]CN BC'!$J$10:$J$276,MATCH(B60,'[17]CN BC'!$H$10:$H$276,0)),"")</f>
        <v>20</v>
      </c>
      <c r="Q60" s="494">
        <f t="shared" si="4"/>
        <v>7182000</v>
      </c>
      <c r="R60" s="460"/>
      <c r="S60" s="362">
        <f t="shared" ref="S60:S74" si="13">R60*$G$19*1</f>
        <v>0</v>
      </c>
      <c r="T60" s="370"/>
      <c r="U60" s="362">
        <f t="shared" si="5"/>
        <v>0</v>
      </c>
      <c r="V60" s="584">
        <f t="shared" si="6"/>
        <v>71820</v>
      </c>
      <c r="W60" s="371">
        <f t="shared" si="10"/>
        <v>7182000</v>
      </c>
      <c r="X60" s="977">
        <f t="shared" si="8"/>
        <v>3.99</v>
      </c>
      <c r="Y60" s="999">
        <v>1800000</v>
      </c>
      <c r="Z60" s="1000">
        <f t="shared" si="9"/>
        <v>7182000</v>
      </c>
      <c r="AA60" s="568">
        <f t="shared" si="7"/>
        <v>38</v>
      </c>
      <c r="AB60" s="493" t="str">
        <f>IFERROR(INDEX('[17]CN BC'!$M$10:$M$276,MATCH(B60,'[17]CN BC'!$H$10:$H$276,0)),"")</f>
        <v>Trừ 1 ngày nghỉ phép 10/6</v>
      </c>
      <c r="AC60" s="141" t="str">
        <f>VLOOKUP(B60,TH.T4!B58:AC388,28,FALSE)</f>
        <v>TTrGD</v>
      </c>
      <c r="AF60" s="487"/>
    </row>
    <row r="61" spans="1:42" s="372" customFormat="1" ht="28.5" customHeight="1">
      <c r="A61" s="379">
        <f>_xlfn.AGGREGATE(4,7,A$22:A60)+1</f>
        <v>39</v>
      </c>
      <c r="B61" s="377" t="s">
        <v>1556</v>
      </c>
      <c r="C61" s="364" t="s">
        <v>885</v>
      </c>
      <c r="D61" s="434" t="s">
        <v>1648</v>
      </c>
      <c r="E61" s="430">
        <v>1603205182727</v>
      </c>
      <c r="F61" s="373">
        <v>4.6500000000000004</v>
      </c>
      <c r="G61" s="374"/>
      <c r="H61" s="368">
        <f t="shared" si="0"/>
        <v>4.6500000000000004</v>
      </c>
      <c r="I61" s="366"/>
      <c r="J61" s="81" t="str">
        <f>VLOOKUP(B61,TH.T5!B61:F390,5,FALSE)</f>
        <v>Nhân viên phòng Thanh tra GD - Quan hệ DN</v>
      </c>
      <c r="K61" s="369">
        <f t="shared" si="1"/>
        <v>4.6500000000000004</v>
      </c>
      <c r="L61" s="362">
        <f t="shared" si="2"/>
        <v>8370000.0000000009</v>
      </c>
      <c r="M61" s="366" t="str">
        <f>VLOOKUP(B61,'[24]Gui chi Quynh'!$B$11:$E$400,4,FALSE)</f>
        <v>A2</v>
      </c>
      <c r="N61" s="494">
        <f t="shared" si="3"/>
        <v>11718000</v>
      </c>
      <c r="O61" s="366">
        <v>20</v>
      </c>
      <c r="P61" s="440">
        <f>IFERROR(INDEX('[17]CN BC'!$J$10:$J$276,MATCH(B61,'[17]CN BC'!$H$10:$H$276,0)),"")</f>
        <v>22</v>
      </c>
      <c r="Q61" s="494">
        <f t="shared" si="4"/>
        <v>11718000</v>
      </c>
      <c r="R61" s="476">
        <v>0</v>
      </c>
      <c r="S61" s="362">
        <f t="shared" si="13"/>
        <v>0</v>
      </c>
      <c r="T61" s="370"/>
      <c r="U61" s="362">
        <f t="shared" si="5"/>
        <v>0</v>
      </c>
      <c r="V61" s="584">
        <f t="shared" si="6"/>
        <v>83700</v>
      </c>
      <c r="W61" s="371">
        <f t="shared" si="10"/>
        <v>11718000</v>
      </c>
      <c r="X61" s="977">
        <f t="shared" si="8"/>
        <v>6.51</v>
      </c>
      <c r="Y61" s="999">
        <v>1800000</v>
      </c>
      <c r="Z61" s="1000">
        <f t="shared" si="9"/>
        <v>11718000</v>
      </c>
      <c r="AA61" s="568">
        <f t="shared" si="7"/>
        <v>39</v>
      </c>
      <c r="AB61" s="493">
        <f>IFERROR(INDEX('[17]CN BC'!$M$10:$M$276,MATCH(B61,'[17]CN BC'!$H$10:$H$276,0)),"")</f>
        <v>0</v>
      </c>
      <c r="AC61" s="141" t="str">
        <f>VLOOKUP(B61,TH.T4!B59:AC389,28,FALSE)</f>
        <v>TTrGD</v>
      </c>
      <c r="AD61" s="108"/>
      <c r="AE61" s="108"/>
      <c r="AF61" s="155"/>
      <c r="AG61" s="108"/>
      <c r="AH61" s="108"/>
      <c r="AI61" s="108"/>
      <c r="AJ61" s="108"/>
      <c r="AK61" s="108"/>
      <c r="AL61" s="108"/>
    </row>
    <row r="62" spans="1:42" s="372" customFormat="1" ht="28.5" customHeight="1">
      <c r="A62" s="379">
        <f>_xlfn.AGGREGATE(4,7,A$22:A61)+1</f>
        <v>40</v>
      </c>
      <c r="B62" s="363" t="s">
        <v>1854</v>
      </c>
      <c r="C62" s="375" t="s">
        <v>903</v>
      </c>
      <c r="D62" s="406" t="s">
        <v>1616</v>
      </c>
      <c r="E62" s="423" t="s">
        <v>1260</v>
      </c>
      <c r="F62" s="366">
        <v>4.9800000000000004</v>
      </c>
      <c r="G62" s="367">
        <v>7.0000000000000007E-2</v>
      </c>
      <c r="H62" s="368">
        <f t="shared" si="0"/>
        <v>5.3286000000000007</v>
      </c>
      <c r="I62" s="368">
        <v>0.45</v>
      </c>
      <c r="J62" s="81" t="str">
        <f>VLOOKUP(B62,TH.T5!B62:F391,5,FALSE)</f>
        <v>Nhân viên phòng Thanh tra GD - Quan hệ DN</v>
      </c>
      <c r="K62" s="369">
        <f t="shared" si="1"/>
        <v>5.7786000000000008</v>
      </c>
      <c r="L62" s="362">
        <f t="shared" si="2"/>
        <v>10401480.000000002</v>
      </c>
      <c r="M62" s="366" t="str">
        <f>VLOOKUP(B62,'[24]Gui chi Quynh'!$B$11:$E$400,4,FALSE)</f>
        <v>A2</v>
      </c>
      <c r="N62" s="494">
        <f t="shared" si="3"/>
        <v>14562072.000000002</v>
      </c>
      <c r="O62" s="366">
        <v>20</v>
      </c>
      <c r="P62" s="440">
        <f>IFERROR(INDEX('[17]CN BC'!$J$10:$J$276,MATCH(B62,'[17]CN BC'!$H$10:$H$276,0)),"")</f>
        <v>20</v>
      </c>
      <c r="Q62" s="494">
        <f t="shared" si="4"/>
        <v>14562072.000000002</v>
      </c>
      <c r="R62" s="392"/>
      <c r="S62" s="362">
        <f t="shared" si="13"/>
        <v>0</v>
      </c>
      <c r="T62" s="385"/>
      <c r="U62" s="362">
        <f t="shared" si="5"/>
        <v>0</v>
      </c>
      <c r="V62" s="584">
        <f t="shared" si="6"/>
        <v>104015</v>
      </c>
      <c r="W62" s="371">
        <f t="shared" si="10"/>
        <v>14562072.000000002</v>
      </c>
      <c r="X62" s="977">
        <f t="shared" si="8"/>
        <v>8.0900400000000019</v>
      </c>
      <c r="Y62" s="999">
        <v>1800000</v>
      </c>
      <c r="Z62" s="1000">
        <f t="shared" si="9"/>
        <v>14562072.000000004</v>
      </c>
      <c r="AA62" s="568">
        <f t="shared" si="7"/>
        <v>40</v>
      </c>
      <c r="AB62" s="493">
        <f>IFERROR(INDEX('[17]CN BC'!$M$10:$M$276,MATCH(B62,'[17]CN BC'!$H$10:$H$276,0)),"")</f>
        <v>0</v>
      </c>
      <c r="AC62" s="141" t="str">
        <f>VLOOKUP(B62,TH.T4!B60:AC390,28,FALSE)</f>
        <v>TTrGD</v>
      </c>
      <c r="AD62" s="154"/>
      <c r="AE62" s="155"/>
      <c r="AF62" s="155">
        <v>5000000</v>
      </c>
      <c r="AG62" s="108"/>
      <c r="AH62" s="108"/>
      <c r="AI62" s="108"/>
      <c r="AJ62" s="108"/>
      <c r="AK62" s="108"/>
      <c r="AL62" s="108"/>
      <c r="AM62" s="108"/>
      <c r="AN62" s="108"/>
      <c r="AO62" s="108"/>
      <c r="AP62" s="108"/>
    </row>
    <row r="63" spans="1:42" s="372" customFormat="1" ht="28.5" customHeight="1">
      <c r="A63" s="379">
        <f>_xlfn.AGGREGATE(4,7,A$22:A62)+1</f>
        <v>41</v>
      </c>
      <c r="B63" s="363" t="s">
        <v>1460</v>
      </c>
      <c r="C63" s="375" t="s">
        <v>885</v>
      </c>
      <c r="D63" s="434" t="s">
        <v>1650</v>
      </c>
      <c r="E63" s="428">
        <v>1603205189653</v>
      </c>
      <c r="F63" s="366">
        <v>3.99</v>
      </c>
      <c r="G63" s="367"/>
      <c r="H63" s="368">
        <f t="shared" si="0"/>
        <v>3.99</v>
      </c>
      <c r="I63" s="368"/>
      <c r="J63" s="81" t="str">
        <f>VLOOKUP(B63,TH.T5!B63:F392,5,FALSE)</f>
        <v>Nhân viên phòng Thanh tra GD - Quan hệ DN</v>
      </c>
      <c r="K63" s="369">
        <f t="shared" si="1"/>
        <v>3.99</v>
      </c>
      <c r="L63" s="362">
        <f t="shared" si="2"/>
        <v>7182000</v>
      </c>
      <c r="M63" s="366" t="str">
        <f>VLOOKUP(B63,'[24]Gui chi Quynh'!$B$11:$E$400,4,FALSE)</f>
        <v>A4</v>
      </c>
      <c r="N63" s="494">
        <f t="shared" si="3"/>
        <v>7182000</v>
      </c>
      <c r="O63" s="366">
        <v>20</v>
      </c>
      <c r="P63" s="440">
        <f>IFERROR(INDEX('[17]CN BC'!$J$10:$J$276,MATCH(B63,'[17]CN BC'!$H$10:$H$276,0)),"")</f>
        <v>21</v>
      </c>
      <c r="Q63" s="494">
        <f t="shared" si="4"/>
        <v>7182000</v>
      </c>
      <c r="R63" s="460"/>
      <c r="S63" s="362">
        <f t="shared" si="13"/>
        <v>0</v>
      </c>
      <c r="T63" s="370"/>
      <c r="U63" s="362">
        <f t="shared" si="5"/>
        <v>0</v>
      </c>
      <c r="V63" s="584">
        <f t="shared" si="6"/>
        <v>71820</v>
      </c>
      <c r="W63" s="371">
        <f t="shared" si="10"/>
        <v>7182000</v>
      </c>
      <c r="X63" s="977">
        <f t="shared" si="8"/>
        <v>3.99</v>
      </c>
      <c r="Y63" s="999">
        <v>1800000</v>
      </c>
      <c r="Z63" s="1000">
        <f t="shared" si="9"/>
        <v>7182000</v>
      </c>
      <c r="AA63" s="568">
        <f t="shared" si="7"/>
        <v>41</v>
      </c>
      <c r="AB63" s="493">
        <f>IFERROR(INDEX('[17]CN BC'!$M$10:$M$276,MATCH(B63,'[17]CN BC'!$H$10:$H$276,0)),"")</f>
        <v>0</v>
      </c>
      <c r="AC63" s="141" t="str">
        <f>VLOOKUP(B63,TH.T4!B61:AC391,28,FALSE)</f>
        <v>TTrGD</v>
      </c>
      <c r="AF63" s="487"/>
    </row>
    <row r="64" spans="1:42" s="372" customFormat="1" ht="28.5" customHeight="1">
      <c r="A64" s="379">
        <f>_xlfn.AGGREGATE(4,7,A$22:A63)+1</f>
        <v>42</v>
      </c>
      <c r="B64" s="363" t="s">
        <v>1461</v>
      </c>
      <c r="C64" s="375" t="s">
        <v>270</v>
      </c>
      <c r="D64" s="434" t="s">
        <v>1653</v>
      </c>
      <c r="E64" s="423" t="s">
        <v>370</v>
      </c>
      <c r="F64" s="373">
        <v>3.66</v>
      </c>
      <c r="G64" s="367"/>
      <c r="H64" s="368">
        <f t="shared" si="0"/>
        <v>3.66</v>
      </c>
      <c r="I64" s="368"/>
      <c r="J64" s="81" t="str">
        <f>VLOOKUP(B64,TH.T5!B64:F393,5,FALSE)</f>
        <v>Nhân viên phòng Thanh tra GD - Quan hệ DN</v>
      </c>
      <c r="K64" s="369">
        <f t="shared" si="1"/>
        <v>3.66</v>
      </c>
      <c r="L64" s="362">
        <f t="shared" si="2"/>
        <v>6588000</v>
      </c>
      <c r="M64" s="366" t="str">
        <f>VLOOKUP(B64,'[24]Gui chi Quynh'!$B$11:$E$400,4,FALSE)</f>
        <v>A4</v>
      </c>
      <c r="N64" s="494">
        <f t="shared" si="3"/>
        <v>6588000</v>
      </c>
      <c r="O64" s="366">
        <v>20</v>
      </c>
      <c r="P64" s="440">
        <f>IFERROR(INDEX('[17]CN BC'!$J$10:$J$276,MATCH(B64,'[17]CN BC'!$H$10:$H$276,0)),"")</f>
        <v>19</v>
      </c>
      <c r="Q64" s="494">
        <f t="shared" si="4"/>
        <v>6258600</v>
      </c>
      <c r="R64" s="460"/>
      <c r="S64" s="362">
        <f t="shared" si="13"/>
        <v>0</v>
      </c>
      <c r="T64" s="370"/>
      <c r="U64" s="362">
        <f t="shared" si="5"/>
        <v>0</v>
      </c>
      <c r="V64" s="584">
        <f t="shared" si="6"/>
        <v>65880</v>
      </c>
      <c r="W64" s="371">
        <f t="shared" si="10"/>
        <v>6258600</v>
      </c>
      <c r="X64" s="977">
        <f t="shared" si="8"/>
        <v>3.4769999999999999</v>
      </c>
      <c r="Y64" s="999">
        <v>1800000</v>
      </c>
      <c r="Z64" s="1000">
        <f t="shared" si="9"/>
        <v>6258600</v>
      </c>
      <c r="AA64" s="568">
        <f t="shared" si="7"/>
        <v>42</v>
      </c>
      <c r="AB64" s="493" t="str">
        <f>IFERROR(INDEX('[17]CN BC'!$M$10:$M$276,MATCH(B64,'[17]CN BC'!$H$10:$H$276,0)),"")</f>
        <v>Trừ 2 ngày nghỉ phép 27+28/6</v>
      </c>
      <c r="AC64" s="141" t="str">
        <f>VLOOKUP(B64,TH.T4!B62:AC392,28,FALSE)</f>
        <v>TTrGD</v>
      </c>
      <c r="AD64" s="108"/>
      <c r="AE64" s="108"/>
      <c r="AF64" s="155"/>
      <c r="AG64" s="108"/>
      <c r="AH64" s="108"/>
      <c r="AI64" s="108"/>
      <c r="AJ64" s="108"/>
      <c r="AK64" s="108"/>
      <c r="AL64" s="108"/>
    </row>
    <row r="65" spans="1:42" s="372" customFormat="1" ht="28.5" customHeight="1">
      <c r="A65" s="379">
        <f>_xlfn.AGGREGATE(4,7,A$22:A64)+1</f>
        <v>43</v>
      </c>
      <c r="B65" s="363" t="s">
        <v>848</v>
      </c>
      <c r="C65" s="375" t="s">
        <v>883</v>
      </c>
      <c r="D65" s="434" t="s">
        <v>1655</v>
      </c>
      <c r="E65" s="423" t="s">
        <v>1263</v>
      </c>
      <c r="F65" s="366">
        <v>4.32</v>
      </c>
      <c r="G65" s="367"/>
      <c r="H65" s="368">
        <f t="shared" si="0"/>
        <v>4.32</v>
      </c>
      <c r="I65" s="368"/>
      <c r="J65" s="81" t="str">
        <f>VLOOKUP(B65,TH.T5!B65:F394,5,FALSE)</f>
        <v>Nhân viên phòng Thanh tra GD - Quan hệ DN</v>
      </c>
      <c r="K65" s="369">
        <f t="shared" si="1"/>
        <v>4.32</v>
      </c>
      <c r="L65" s="362">
        <f t="shared" si="2"/>
        <v>7776000.0000000009</v>
      </c>
      <c r="M65" s="366" t="str">
        <f>VLOOKUP(B65,'[24]Gui chi Quynh'!$B$11:$E$400,4,FALSE)</f>
        <v>A3</v>
      </c>
      <c r="N65" s="494">
        <f t="shared" si="3"/>
        <v>9331200</v>
      </c>
      <c r="O65" s="366">
        <v>20</v>
      </c>
      <c r="P65" s="440">
        <f>IFERROR(INDEX('[17]CN BC'!$J$10:$J$276,MATCH(B65,'[17]CN BC'!$H$10:$H$276,0)),"")</f>
        <v>21</v>
      </c>
      <c r="Q65" s="494">
        <f t="shared" si="4"/>
        <v>9331200</v>
      </c>
      <c r="R65" s="460"/>
      <c r="S65" s="362">
        <f t="shared" si="13"/>
        <v>0</v>
      </c>
      <c r="T65" s="370"/>
      <c r="U65" s="362">
        <f t="shared" si="5"/>
        <v>0</v>
      </c>
      <c r="V65" s="584">
        <f t="shared" si="6"/>
        <v>77760</v>
      </c>
      <c r="W65" s="371">
        <f t="shared" si="10"/>
        <v>9331200</v>
      </c>
      <c r="X65" s="977">
        <f t="shared" si="8"/>
        <v>5.1840000000000002</v>
      </c>
      <c r="Y65" s="999">
        <v>1800000</v>
      </c>
      <c r="Z65" s="1000">
        <f t="shared" si="9"/>
        <v>9331200</v>
      </c>
      <c r="AA65" s="568">
        <f t="shared" si="7"/>
        <v>43</v>
      </c>
      <c r="AB65" s="493">
        <f>IFERROR(INDEX('[17]CN BC'!$M$10:$M$276,MATCH(B65,'[17]CN BC'!$H$10:$H$276,0)),"")</f>
        <v>0</v>
      </c>
      <c r="AC65" s="141" t="str">
        <f>VLOOKUP(B65,TH.T4!B63:AC393,28,FALSE)</f>
        <v>TTrGD</v>
      </c>
      <c r="AD65" s="108"/>
      <c r="AE65" s="108"/>
      <c r="AF65" s="155"/>
      <c r="AG65" s="108"/>
      <c r="AH65" s="108"/>
      <c r="AI65" s="108"/>
      <c r="AJ65" s="108"/>
      <c r="AK65" s="108"/>
      <c r="AL65" s="108"/>
    </row>
    <row r="66" spans="1:42" s="372" customFormat="1" ht="28.5" customHeight="1">
      <c r="A66" s="379">
        <f>_xlfn.AGGREGATE(4,7,A$22:A65)+1</f>
        <v>44</v>
      </c>
      <c r="B66" s="363" t="s">
        <v>1857</v>
      </c>
      <c r="C66" s="375" t="s">
        <v>942</v>
      </c>
      <c r="D66" s="434" t="s">
        <v>1656</v>
      </c>
      <c r="E66" s="428" t="s">
        <v>1358</v>
      </c>
      <c r="F66" s="366">
        <v>4.32</v>
      </c>
      <c r="G66" s="367"/>
      <c r="H66" s="368">
        <f t="shared" si="0"/>
        <v>4.32</v>
      </c>
      <c r="I66" s="368"/>
      <c r="J66" s="81" t="str">
        <f>VLOOKUP(B66,TH.T5!B66:F395,5,FALSE)</f>
        <v>Nhân viên phòng Thanh tra GD - Quan hệ DN</v>
      </c>
      <c r="K66" s="369">
        <f t="shared" si="1"/>
        <v>4.32</v>
      </c>
      <c r="L66" s="362">
        <f t="shared" si="2"/>
        <v>7776000.0000000009</v>
      </c>
      <c r="M66" s="366" t="str">
        <f>VLOOKUP(B66,'[24]Gui chi Quynh'!$B$11:$E$400,4,FALSE)</f>
        <v>A4</v>
      </c>
      <c r="N66" s="494">
        <f t="shared" si="3"/>
        <v>7776000.0000000009</v>
      </c>
      <c r="O66" s="366">
        <v>20</v>
      </c>
      <c r="P66" s="440">
        <f>IFERROR(INDEX('[17]CN BC'!$J$10:$J$276,MATCH(B66,'[17]CN BC'!$H$10:$H$276,0)),"")</f>
        <v>21</v>
      </c>
      <c r="Q66" s="494">
        <f t="shared" si="4"/>
        <v>7776000.0000000009</v>
      </c>
      <c r="R66" s="460"/>
      <c r="S66" s="362">
        <f t="shared" si="13"/>
        <v>0</v>
      </c>
      <c r="T66" s="370"/>
      <c r="U66" s="362">
        <f t="shared" si="5"/>
        <v>0</v>
      </c>
      <c r="V66" s="584">
        <f t="shared" si="6"/>
        <v>77760</v>
      </c>
      <c r="W66" s="371">
        <f t="shared" si="10"/>
        <v>7776000.0000000009</v>
      </c>
      <c r="X66" s="977">
        <f t="shared" si="8"/>
        <v>4.32</v>
      </c>
      <c r="Y66" s="999">
        <v>1800000</v>
      </c>
      <c r="Z66" s="1000">
        <f t="shared" si="9"/>
        <v>7776000.0000000009</v>
      </c>
      <c r="AA66" s="568">
        <f t="shared" si="7"/>
        <v>44</v>
      </c>
      <c r="AB66" s="493">
        <f>IFERROR(INDEX('[17]CN BC'!$M$10:$M$276,MATCH(B66,'[17]CN BC'!$H$10:$H$276,0)),"")</f>
        <v>0</v>
      </c>
      <c r="AC66" s="141" t="str">
        <f>VLOOKUP(B66,TH.T4!B64:AC394,28,FALSE)</f>
        <v>TTrGD</v>
      </c>
      <c r="AD66" s="108"/>
      <c r="AE66" s="108"/>
      <c r="AF66" s="155"/>
      <c r="AG66" s="108"/>
      <c r="AH66" s="108"/>
      <c r="AI66" s="108"/>
      <c r="AJ66" s="108"/>
      <c r="AK66" s="108"/>
      <c r="AL66" s="108"/>
    </row>
    <row r="67" spans="1:42" s="372" customFormat="1" ht="28.5" customHeight="1">
      <c r="A67" s="379">
        <f>_xlfn.AGGREGATE(4,7,A$22:A66)+1</f>
        <v>45</v>
      </c>
      <c r="B67" s="363" t="s">
        <v>1851</v>
      </c>
      <c r="C67" s="375" t="s">
        <v>886</v>
      </c>
      <c r="D67" s="406" t="s">
        <v>1632</v>
      </c>
      <c r="E67" s="429" t="s">
        <v>1575</v>
      </c>
      <c r="F67" s="373">
        <v>3.66</v>
      </c>
      <c r="G67" s="367"/>
      <c r="H67" s="445">
        <f t="shared" si="0"/>
        <v>3.66</v>
      </c>
      <c r="I67" s="368"/>
      <c r="J67" s="81" t="str">
        <f>VLOOKUP(B67,TH.T5!B67:F396,5,FALSE)</f>
        <v>Nhân viên phòng Thanh tra GD - Quan hệ DN</v>
      </c>
      <c r="K67" s="369">
        <f t="shared" si="1"/>
        <v>3.66</v>
      </c>
      <c r="L67" s="362">
        <f t="shared" si="2"/>
        <v>6588000</v>
      </c>
      <c r="M67" s="366" t="str">
        <f>VLOOKUP(B67,'[24]Gui chi Quynh'!$B$11:$E$400,4,FALSE)</f>
        <v>A4</v>
      </c>
      <c r="N67" s="494">
        <f t="shared" si="3"/>
        <v>6588000</v>
      </c>
      <c r="O67" s="366">
        <v>20</v>
      </c>
      <c r="P67" s="440">
        <f>IFERROR(INDEX('[17]CN BC'!$J$10:$J$276,MATCH(B67,'[17]CN BC'!$H$10:$H$276,0)),"")</f>
        <v>20</v>
      </c>
      <c r="Q67" s="494">
        <f t="shared" si="4"/>
        <v>6588000</v>
      </c>
      <c r="R67" s="392"/>
      <c r="S67" s="362">
        <f t="shared" si="13"/>
        <v>0</v>
      </c>
      <c r="T67" s="370"/>
      <c r="U67" s="362">
        <f t="shared" si="5"/>
        <v>0</v>
      </c>
      <c r="V67" s="584">
        <f t="shared" si="6"/>
        <v>65880</v>
      </c>
      <c r="W67" s="371">
        <f t="shared" si="10"/>
        <v>6588000</v>
      </c>
      <c r="X67" s="977">
        <f t="shared" si="8"/>
        <v>3.66</v>
      </c>
      <c r="Y67" s="999">
        <v>1800000</v>
      </c>
      <c r="Z67" s="1000">
        <f t="shared" si="9"/>
        <v>6588000</v>
      </c>
      <c r="AA67" s="568">
        <f t="shared" si="7"/>
        <v>45</v>
      </c>
      <c r="AB67" s="493">
        <f>IFERROR(INDEX('[17]CN BC'!$M$10:$M$276,MATCH(B67,'[17]CN BC'!$H$10:$H$276,0)),"")</f>
        <v>0</v>
      </c>
      <c r="AC67" s="141" t="str">
        <f>VLOOKUP(B67,TH.T4!B65:AC395,28,FALSE)</f>
        <v>TTrGD</v>
      </c>
      <c r="AD67" s="108"/>
      <c r="AE67" s="108"/>
      <c r="AF67" s="155"/>
      <c r="AG67" s="108"/>
      <c r="AH67" s="108"/>
      <c r="AI67" s="108"/>
      <c r="AJ67" s="108"/>
      <c r="AK67" s="108"/>
      <c r="AL67" s="108"/>
      <c r="AM67" s="108"/>
      <c r="AN67" s="108"/>
      <c r="AO67" s="108"/>
      <c r="AP67" s="108"/>
    </row>
    <row r="68" spans="1:42" s="372" customFormat="1" ht="28.5" customHeight="1">
      <c r="A68" s="379">
        <f>_xlfn.AGGREGATE(4,7,A$22:A67)+1</f>
        <v>46</v>
      </c>
      <c r="B68" s="363" t="s">
        <v>1561</v>
      </c>
      <c r="C68" s="375" t="s">
        <v>915</v>
      </c>
      <c r="D68" s="434" t="s">
        <v>1657</v>
      </c>
      <c r="E68" s="422" t="s">
        <v>1562</v>
      </c>
      <c r="F68" s="373">
        <v>3.66</v>
      </c>
      <c r="G68" s="367"/>
      <c r="H68" s="368">
        <f t="shared" si="0"/>
        <v>3.66</v>
      </c>
      <c r="I68" s="368"/>
      <c r="J68" s="81" t="str">
        <f>VLOOKUP(B68,TH.T5!B68:F397,5,FALSE)</f>
        <v>Nhân viên phòng Tuyển sinh - Đào tạo</v>
      </c>
      <c r="K68" s="369">
        <f t="shared" si="1"/>
        <v>3.66</v>
      </c>
      <c r="L68" s="362">
        <f t="shared" si="2"/>
        <v>6588000</v>
      </c>
      <c r="M68" s="366" t="str">
        <f>VLOOKUP(B68,'[24]Gui chi Quynh'!$B$11:$E$400,4,FALSE)</f>
        <v>A4</v>
      </c>
      <c r="N68" s="494">
        <f t="shared" si="3"/>
        <v>6588000</v>
      </c>
      <c r="O68" s="366">
        <v>20</v>
      </c>
      <c r="P68" s="440">
        <f>IFERROR(INDEX('[17]CN BC'!$J$10:$J$276,MATCH(B68,'[17]CN BC'!$H$10:$H$276,0)),"")</f>
        <v>18</v>
      </c>
      <c r="Q68" s="494">
        <f t="shared" si="4"/>
        <v>5929200</v>
      </c>
      <c r="R68" s="460"/>
      <c r="S68" s="362">
        <f t="shared" si="13"/>
        <v>0</v>
      </c>
      <c r="T68" s="370"/>
      <c r="U68" s="362">
        <f t="shared" si="5"/>
        <v>0</v>
      </c>
      <c r="V68" s="584">
        <f t="shared" si="6"/>
        <v>65880</v>
      </c>
      <c r="W68" s="371">
        <f t="shared" si="10"/>
        <v>5929200</v>
      </c>
      <c r="X68" s="977">
        <f t="shared" si="8"/>
        <v>3.294</v>
      </c>
      <c r="Y68" s="999">
        <v>1800000</v>
      </c>
      <c r="Z68" s="1000">
        <f t="shared" si="9"/>
        <v>5929200</v>
      </c>
      <c r="AA68" s="568">
        <f t="shared" si="7"/>
        <v>46</v>
      </c>
      <c r="AB68" s="493" t="str">
        <f>IFERROR(INDEX('[17]CN BC'!$M$10:$M$276,MATCH(B68,'[17]CN BC'!$H$10:$H$276,0)),"")</f>
        <v>Trừ 3 ngày nghỉ phép 19+20+21/6</v>
      </c>
      <c r="AC68" s="141" t="str">
        <f>VLOOKUP(B68,TH.T4!B66:AC396,28,FALSE)</f>
        <v>TSĐT</v>
      </c>
      <c r="AD68" s="108"/>
      <c r="AE68" s="108"/>
      <c r="AF68" s="487"/>
    </row>
    <row r="69" spans="1:42" s="372" customFormat="1" ht="28.5" customHeight="1">
      <c r="A69" s="379">
        <f>_xlfn.AGGREGATE(4,7,A$22:A68)+1</f>
        <v>47</v>
      </c>
      <c r="B69" s="363" t="s">
        <v>1463</v>
      </c>
      <c r="C69" s="375" t="s">
        <v>1030</v>
      </c>
      <c r="D69" s="434" t="s">
        <v>1617</v>
      </c>
      <c r="E69" s="423" t="s">
        <v>1573</v>
      </c>
      <c r="F69" s="373">
        <v>4.74</v>
      </c>
      <c r="G69" s="367"/>
      <c r="H69" s="368">
        <f t="shared" si="0"/>
        <v>4.74</v>
      </c>
      <c r="I69" s="368">
        <v>0.45</v>
      </c>
      <c r="J69" s="81" t="str">
        <f>VLOOKUP(B69,TH.T5!B69:F398,5,FALSE)</f>
        <v>Trưởng phòng Tuyển sinh - Đào tạo</v>
      </c>
      <c r="K69" s="369">
        <f t="shared" si="1"/>
        <v>5.19</v>
      </c>
      <c r="L69" s="362">
        <f t="shared" si="2"/>
        <v>9342000</v>
      </c>
      <c r="M69" s="366" t="str">
        <f>VLOOKUP(B69,'[24]Gui chi Quynh'!$B$11:$E$400,4,FALSE)</f>
        <v>A1</v>
      </c>
      <c r="N69" s="494">
        <f t="shared" si="3"/>
        <v>14947200</v>
      </c>
      <c r="O69" s="366">
        <v>20</v>
      </c>
      <c r="P69" s="440">
        <f>IFERROR(INDEX('[17]CN BC'!$J$10:$J$276,MATCH(B69,'[17]CN BC'!$H$10:$H$276,0)),"")</f>
        <v>22.5</v>
      </c>
      <c r="Q69" s="494">
        <f t="shared" si="4"/>
        <v>14947200</v>
      </c>
      <c r="R69" s="460"/>
      <c r="S69" s="362">
        <f>R69*$G$19*1.6</f>
        <v>0</v>
      </c>
      <c r="T69" s="370"/>
      <c r="U69" s="362">
        <f t="shared" si="5"/>
        <v>0</v>
      </c>
      <c r="V69" s="584">
        <f t="shared" si="6"/>
        <v>93420</v>
      </c>
      <c r="W69" s="371">
        <f t="shared" si="10"/>
        <v>14947200</v>
      </c>
      <c r="X69" s="977">
        <f t="shared" si="8"/>
        <v>8.3040000000000003</v>
      </c>
      <c r="Y69" s="999">
        <v>1800000</v>
      </c>
      <c r="Z69" s="1000">
        <f t="shared" si="9"/>
        <v>14947200</v>
      </c>
      <c r="AA69" s="568">
        <f t="shared" si="7"/>
        <v>47</v>
      </c>
      <c r="AB69" s="493">
        <f>IFERROR(INDEX('[17]CN BC'!$M$10:$M$276,MATCH(B69,'[17]CN BC'!$H$10:$H$276,0)),"")</f>
        <v>0</v>
      </c>
      <c r="AC69" s="141" t="str">
        <f>VLOOKUP(B69,TH.T4!B67:AC397,28,FALSE)</f>
        <v>TSĐT</v>
      </c>
      <c r="AD69" s="154"/>
      <c r="AE69" s="108"/>
      <c r="AF69" s="155"/>
      <c r="AG69" s="108"/>
      <c r="AH69" s="108"/>
      <c r="AI69" s="108"/>
      <c r="AJ69" s="108"/>
      <c r="AK69" s="108"/>
      <c r="AL69" s="108"/>
    </row>
    <row r="70" spans="1:42" s="108" customFormat="1" ht="28.5" customHeight="1">
      <c r="A70" s="379">
        <f>_xlfn.AGGREGATE(4,7,A$22:A69)+1</f>
        <v>48</v>
      </c>
      <c r="B70" s="33" t="s">
        <v>1902</v>
      </c>
      <c r="C70" s="34" t="s">
        <v>1056</v>
      </c>
      <c r="D70" s="406" t="s">
        <v>1785</v>
      </c>
      <c r="E70" s="424" t="s">
        <v>1391</v>
      </c>
      <c r="F70" s="10">
        <v>4.32</v>
      </c>
      <c r="G70" s="157"/>
      <c r="H70" s="368">
        <f>F70+(F70*G70)</f>
        <v>4.32</v>
      </c>
      <c r="I70" s="81">
        <v>0.35</v>
      </c>
      <c r="J70" s="81" t="str">
        <f>VLOOKUP(B70,TH.T5!B70:F399,5,FALSE)</f>
        <v>Phó TP. Tuyể sinh - Đào tạo</v>
      </c>
      <c r="K70" s="369">
        <f>H70+I70</f>
        <v>4.67</v>
      </c>
      <c r="L70" s="362">
        <f>K70*$G$19</f>
        <v>8406000</v>
      </c>
      <c r="M70" s="366" t="str">
        <f>VLOOKUP(B70,'[24]Gui chi Quynh'!$B$11:$E$400,4,FALSE)</f>
        <v>A1</v>
      </c>
      <c r="N70" s="494">
        <f>IF(M70="A1",L70*1.6,IF(M70="A2",L70*1.4,IF(M70="A3",L70*1.2,IF(M70="A4",L70*1,IF(M70="B1",L70*0.7,IF(M70="B2",L70*0.5,IF(M70="C1",L70*0.3,IF(M70="C2",L70*0.2,0))))))))</f>
        <v>13449600</v>
      </c>
      <c r="O70" s="366">
        <v>20</v>
      </c>
      <c r="P70" s="440">
        <f>IFERROR(INDEX('[17]CN BC'!$J$10:$J$276,MATCH(B70,'[17]CN BC'!$H$10:$H$276,0)),"")</f>
        <v>20.5</v>
      </c>
      <c r="Q70" s="494">
        <f>IF(P70&gt;=O70,N70,N70/O70*P70)</f>
        <v>13449600</v>
      </c>
      <c r="R70" s="392"/>
      <c r="S70" s="362">
        <f>R70*$G$19*1</f>
        <v>0</v>
      </c>
      <c r="T70" s="385"/>
      <c r="U70" s="362">
        <f>T70*$G$19*1</f>
        <v>0</v>
      </c>
      <c r="V70" s="584">
        <f>IF(OR(M70="A DN",M70="KXL", M70=""),"0",ROUND(K70*0.01*$G$19+R70*1%*$G$19+T70*1%*$G$19,))</f>
        <v>84060</v>
      </c>
      <c r="W70" s="371">
        <f t="shared" si="10"/>
        <v>13449600</v>
      </c>
      <c r="X70" s="977">
        <f t="shared" si="8"/>
        <v>7.4720000000000004</v>
      </c>
      <c r="Y70" s="999">
        <v>1800000</v>
      </c>
      <c r="Z70" s="1000">
        <f t="shared" si="9"/>
        <v>13449600</v>
      </c>
      <c r="AA70" s="568">
        <f t="shared" si="7"/>
        <v>48</v>
      </c>
      <c r="AB70" s="493">
        <f>IFERROR(INDEX('[17]CN BC'!$M$10:$M$276,MATCH(B70,'[17]CN BC'!$H$10:$H$276,0)),"")</f>
        <v>0</v>
      </c>
      <c r="AC70" s="141" t="str">
        <f>VLOOKUP(B70,TH.T4!B68:AC398,28,FALSE)</f>
        <v>TSĐT</v>
      </c>
      <c r="AF70" s="155"/>
    </row>
    <row r="71" spans="1:42" s="372" customFormat="1" ht="28.5" customHeight="1">
      <c r="A71" s="379">
        <f>_xlfn.AGGREGATE(4,7,A$22:A70)+1</f>
        <v>49</v>
      </c>
      <c r="B71" s="363" t="s">
        <v>1858</v>
      </c>
      <c r="C71" s="375" t="s">
        <v>929</v>
      </c>
      <c r="D71" s="434" t="s">
        <v>1659</v>
      </c>
      <c r="E71" s="423" t="s">
        <v>1285</v>
      </c>
      <c r="F71" s="366">
        <v>4.6500000000000004</v>
      </c>
      <c r="G71" s="367"/>
      <c r="H71" s="368">
        <f t="shared" si="0"/>
        <v>4.6500000000000004</v>
      </c>
      <c r="I71" s="368"/>
      <c r="J71" s="81" t="str">
        <f>VLOOKUP(B71,TH.T5!B71:F400,5,FALSE)</f>
        <v>Nhân viên phòng TS - Đào tạo</v>
      </c>
      <c r="K71" s="369">
        <f t="shared" si="1"/>
        <v>4.6500000000000004</v>
      </c>
      <c r="L71" s="362">
        <f t="shared" si="2"/>
        <v>8370000.0000000009</v>
      </c>
      <c r="M71" s="366" t="str">
        <f>VLOOKUP(B71,'[24]Gui chi Quynh'!$B$11:$E$400,4,FALSE)</f>
        <v>A1</v>
      </c>
      <c r="N71" s="494">
        <f t="shared" si="3"/>
        <v>13392000.000000002</v>
      </c>
      <c r="O71" s="366">
        <v>20</v>
      </c>
      <c r="P71" s="440">
        <f>IFERROR(INDEX('[17]CN BC'!$J$10:$J$276,MATCH(B71,'[17]CN BC'!$H$10:$H$276,0)),"")</f>
        <v>21.5</v>
      </c>
      <c r="Q71" s="494">
        <f t="shared" si="4"/>
        <v>13392000.000000002</v>
      </c>
      <c r="R71" s="460"/>
      <c r="S71" s="362">
        <f t="shared" si="13"/>
        <v>0</v>
      </c>
      <c r="T71" s="370"/>
      <c r="U71" s="362">
        <f t="shared" si="5"/>
        <v>0</v>
      </c>
      <c r="V71" s="584">
        <f t="shared" si="6"/>
        <v>83700</v>
      </c>
      <c r="W71" s="371">
        <f t="shared" si="10"/>
        <v>13392000.000000002</v>
      </c>
      <c r="X71" s="977">
        <f t="shared" si="8"/>
        <v>7.4400000000000013</v>
      </c>
      <c r="Y71" s="999">
        <v>1800000</v>
      </c>
      <c r="Z71" s="1000">
        <f t="shared" si="9"/>
        <v>13392000.000000002</v>
      </c>
      <c r="AA71" s="568">
        <f t="shared" si="7"/>
        <v>49</v>
      </c>
      <c r="AB71" s="493">
        <f>IFERROR(INDEX('[17]CN BC'!$M$10:$M$276,MATCH(B71,'[17]CN BC'!$H$10:$H$276,0)),"")</f>
        <v>0</v>
      </c>
      <c r="AC71" s="141" t="str">
        <f>VLOOKUP(B71,TH.T4!B69:AC399,28,FALSE)</f>
        <v>TSĐT</v>
      </c>
      <c r="AD71" s="108"/>
      <c r="AE71" s="108"/>
      <c r="AF71" s="155"/>
      <c r="AG71" s="108"/>
      <c r="AH71" s="108"/>
      <c r="AI71" s="108"/>
      <c r="AJ71" s="108"/>
      <c r="AK71" s="108"/>
      <c r="AL71" s="108"/>
    </row>
    <row r="72" spans="1:42" s="372" customFormat="1" ht="28.5" customHeight="1">
      <c r="A72" s="379">
        <f>_xlfn.AGGREGATE(4,7,A$22:A71)+1</f>
        <v>50</v>
      </c>
      <c r="B72" s="363" t="s">
        <v>1465</v>
      </c>
      <c r="C72" s="375" t="s">
        <v>1103</v>
      </c>
      <c r="D72" s="434" t="s">
        <v>1661</v>
      </c>
      <c r="E72" s="428">
        <v>1603205182394</v>
      </c>
      <c r="F72" s="366">
        <v>3.99</v>
      </c>
      <c r="G72" s="367"/>
      <c r="H72" s="368">
        <f t="shared" si="0"/>
        <v>3.99</v>
      </c>
      <c r="I72" s="368"/>
      <c r="J72" s="81" t="str">
        <f>VLOOKUP(B72,TH.T5!B72:F401,5,FALSE)</f>
        <v>Nhân viên phòng TS - Đào tạo</v>
      </c>
      <c r="K72" s="369">
        <f t="shared" si="1"/>
        <v>3.99</v>
      </c>
      <c r="L72" s="362">
        <f t="shared" si="2"/>
        <v>7182000</v>
      </c>
      <c r="M72" s="366" t="str">
        <f>VLOOKUP(B72,'[24]Gui chi Quynh'!$B$11:$E$400,4,FALSE)</f>
        <v>A3</v>
      </c>
      <c r="N72" s="494">
        <f t="shared" si="3"/>
        <v>8618400</v>
      </c>
      <c r="O72" s="366">
        <v>20</v>
      </c>
      <c r="P72" s="440">
        <f>IFERROR(INDEX('[17]CN BC'!$J$10:$J$276,MATCH(B72,'[17]CN BC'!$H$10:$H$276,0)),"")</f>
        <v>20.5</v>
      </c>
      <c r="Q72" s="494">
        <f t="shared" si="4"/>
        <v>8618400</v>
      </c>
      <c r="R72" s="460"/>
      <c r="S72" s="362">
        <f t="shared" si="13"/>
        <v>0</v>
      </c>
      <c r="T72" s="370"/>
      <c r="U72" s="362">
        <f t="shared" si="5"/>
        <v>0</v>
      </c>
      <c r="V72" s="584">
        <f t="shared" si="6"/>
        <v>71820</v>
      </c>
      <c r="W72" s="371">
        <f t="shared" si="10"/>
        <v>8618400</v>
      </c>
      <c r="X72" s="977">
        <f t="shared" si="8"/>
        <v>4.7880000000000003</v>
      </c>
      <c r="Y72" s="999">
        <v>1800000</v>
      </c>
      <c r="Z72" s="1000">
        <f t="shared" si="9"/>
        <v>8618400</v>
      </c>
      <c r="AA72" s="568">
        <f t="shared" si="7"/>
        <v>50</v>
      </c>
      <c r="AB72" s="493">
        <f>IFERROR(INDEX('[17]CN BC'!$M$10:$M$276,MATCH(B72,'[17]CN BC'!$H$10:$H$276,0)),"")</f>
        <v>0</v>
      </c>
      <c r="AC72" s="141" t="str">
        <f>VLOOKUP(B72,TH.T4!B70:AC400,28,FALSE)</f>
        <v>TSĐT</v>
      </c>
      <c r="AD72" s="108"/>
      <c r="AE72" s="108"/>
      <c r="AF72" s="155"/>
      <c r="AG72" s="108"/>
      <c r="AH72" s="108"/>
      <c r="AI72" s="108"/>
      <c r="AJ72" s="108"/>
      <c r="AK72" s="108"/>
      <c r="AL72" s="108"/>
    </row>
    <row r="73" spans="1:42" s="372" customFormat="1" ht="28.5" customHeight="1">
      <c r="A73" s="379">
        <f>_xlfn.AGGREGATE(4,7,A$22:A72)+1</f>
        <v>51</v>
      </c>
      <c r="B73" s="363" t="s">
        <v>844</v>
      </c>
      <c r="C73" s="375" t="s">
        <v>267</v>
      </c>
      <c r="D73" s="434" t="s">
        <v>1662</v>
      </c>
      <c r="E73" s="428" t="s">
        <v>369</v>
      </c>
      <c r="F73" s="366">
        <v>3.66</v>
      </c>
      <c r="G73" s="367"/>
      <c r="H73" s="368">
        <f t="shared" si="0"/>
        <v>3.66</v>
      </c>
      <c r="I73" s="368"/>
      <c r="J73" s="81" t="str">
        <f>VLOOKUP(B73,TH.T5!B73:F402,5,FALSE)</f>
        <v>Nhân viên phòng TS - Đào tạo</v>
      </c>
      <c r="K73" s="369">
        <f t="shared" si="1"/>
        <v>3.66</v>
      </c>
      <c r="L73" s="362">
        <f t="shared" si="2"/>
        <v>6588000</v>
      </c>
      <c r="M73" s="366" t="str">
        <f>VLOOKUP(B73,'[24]Gui chi Quynh'!$B$11:$E$400,4,FALSE)</f>
        <v>A3</v>
      </c>
      <c r="N73" s="494">
        <f t="shared" si="3"/>
        <v>7905600</v>
      </c>
      <c r="O73" s="366">
        <v>20</v>
      </c>
      <c r="P73" s="440">
        <f>IFERROR(INDEX('[17]CN BC'!$J$10:$J$276,MATCH(B73,'[17]CN BC'!$H$10:$H$276,0)),"")</f>
        <v>20.5</v>
      </c>
      <c r="Q73" s="494">
        <f t="shared" si="4"/>
        <v>7905600</v>
      </c>
      <c r="R73" s="460">
        <v>0</v>
      </c>
      <c r="S73" s="362">
        <f t="shared" si="13"/>
        <v>0</v>
      </c>
      <c r="T73" s="370"/>
      <c r="U73" s="362">
        <f t="shared" si="5"/>
        <v>0</v>
      </c>
      <c r="V73" s="584">
        <f t="shared" si="6"/>
        <v>65880</v>
      </c>
      <c r="W73" s="371">
        <f t="shared" si="10"/>
        <v>7905600</v>
      </c>
      <c r="X73" s="977">
        <f t="shared" si="8"/>
        <v>4.3920000000000003</v>
      </c>
      <c r="Y73" s="999">
        <v>1800000</v>
      </c>
      <c r="Z73" s="1000">
        <f t="shared" si="9"/>
        <v>7905600.0000000009</v>
      </c>
      <c r="AA73" s="568">
        <f t="shared" si="7"/>
        <v>51</v>
      </c>
      <c r="AB73" s="493">
        <f>IFERROR(INDEX('[17]CN BC'!$M$10:$M$276,MATCH(B73,'[17]CN BC'!$H$10:$H$276,0)),"")</f>
        <v>0</v>
      </c>
      <c r="AC73" s="141" t="str">
        <f>VLOOKUP(B73,TH.T4!B71:AC401,28,FALSE)</f>
        <v>TSĐT</v>
      </c>
      <c r="AD73" s="108"/>
      <c r="AE73" s="108"/>
      <c r="AF73" s="155"/>
      <c r="AG73" s="108"/>
      <c r="AH73" s="108"/>
      <c r="AI73" s="108"/>
      <c r="AJ73" s="108"/>
      <c r="AK73" s="108"/>
      <c r="AL73" s="108"/>
    </row>
    <row r="74" spans="1:42" s="372" customFormat="1" ht="28.5" customHeight="1">
      <c r="A74" s="379">
        <f>_xlfn.AGGREGATE(4,7,A$22:A73)+1</f>
        <v>52</v>
      </c>
      <c r="B74" s="377" t="s">
        <v>1557</v>
      </c>
      <c r="C74" s="364" t="s">
        <v>272</v>
      </c>
      <c r="D74" s="434" t="s">
        <v>1664</v>
      </c>
      <c r="E74" s="430">
        <v>1603205182762</v>
      </c>
      <c r="F74" s="373">
        <v>3.96</v>
      </c>
      <c r="G74" s="374"/>
      <c r="H74" s="368">
        <f t="shared" si="0"/>
        <v>3.96</v>
      </c>
      <c r="I74" s="366"/>
      <c r="J74" s="81" t="str">
        <f>VLOOKUP(B74,TH.T5!B74:F403,5,FALSE)</f>
        <v>Nhân viên phòng TS - Đào tạo</v>
      </c>
      <c r="K74" s="369">
        <f t="shared" si="1"/>
        <v>3.96</v>
      </c>
      <c r="L74" s="362">
        <f t="shared" si="2"/>
        <v>7128000</v>
      </c>
      <c r="M74" s="366" t="str">
        <f>VLOOKUP(B74,'[24]Gui chi Quynh'!$B$11:$E$400,4,FALSE)</f>
        <v>A1</v>
      </c>
      <c r="N74" s="494">
        <f t="shared" si="3"/>
        <v>11404800</v>
      </c>
      <c r="O74" s="366">
        <v>20</v>
      </c>
      <c r="P74" s="440">
        <f>IFERROR(INDEX('[17]CN BC'!$J$10:$J$276,MATCH(B74,'[17]CN BC'!$H$10:$H$276,0)),"")</f>
        <v>23.5</v>
      </c>
      <c r="Q74" s="494">
        <f t="shared" si="4"/>
        <v>11404800</v>
      </c>
      <c r="R74" s="476"/>
      <c r="S74" s="362">
        <f t="shared" si="13"/>
        <v>0</v>
      </c>
      <c r="T74" s="370"/>
      <c r="U74" s="362">
        <f t="shared" si="5"/>
        <v>0</v>
      </c>
      <c r="V74" s="584">
        <f t="shared" si="6"/>
        <v>71280</v>
      </c>
      <c r="W74" s="371">
        <f t="shared" si="10"/>
        <v>11404800</v>
      </c>
      <c r="X74" s="977">
        <f t="shared" si="8"/>
        <v>6.3360000000000003</v>
      </c>
      <c r="Y74" s="999">
        <v>1800000</v>
      </c>
      <c r="Z74" s="1000">
        <f t="shared" si="9"/>
        <v>11404800</v>
      </c>
      <c r="AA74" s="568">
        <f t="shared" si="7"/>
        <v>52</v>
      </c>
      <c r="AB74" s="493">
        <f>IFERROR(INDEX('[17]CN BC'!$M$10:$M$276,MATCH(B74,'[17]CN BC'!$H$10:$H$276,0)),"")</f>
        <v>0</v>
      </c>
      <c r="AC74" s="141" t="str">
        <f>VLOOKUP(B74,TH.T4!B72:AC402,28,FALSE)</f>
        <v>TSĐT</v>
      </c>
      <c r="AD74" s="108"/>
      <c r="AE74" s="108"/>
      <c r="AF74" s="155"/>
      <c r="AG74" s="108"/>
      <c r="AH74" s="108"/>
      <c r="AI74" s="108"/>
      <c r="AJ74" s="108"/>
      <c r="AK74" s="108"/>
      <c r="AL74" s="108"/>
    </row>
    <row r="75" spans="1:42" s="372" customFormat="1" ht="28.5" customHeight="1">
      <c r="A75" s="379">
        <f>_xlfn.AGGREGATE(4,7,A$22:A74)+1</f>
        <v>53</v>
      </c>
      <c r="B75" s="363" t="s">
        <v>1524</v>
      </c>
      <c r="C75" s="375" t="s">
        <v>883</v>
      </c>
      <c r="D75" s="434" t="s">
        <v>1666</v>
      </c>
      <c r="E75" s="428">
        <v>1603205182178</v>
      </c>
      <c r="F75" s="366">
        <v>3.66</v>
      </c>
      <c r="G75" s="367"/>
      <c r="H75" s="368">
        <f t="shared" si="0"/>
        <v>3.66</v>
      </c>
      <c r="I75" s="368"/>
      <c r="J75" s="81" t="str">
        <f>VLOOKUP(B75,TH.T5!B75:F404,5,FALSE)</f>
        <v>Nhân viên phòng TS - Đào tạo</v>
      </c>
      <c r="K75" s="369">
        <f t="shared" si="1"/>
        <v>3.66</v>
      </c>
      <c r="L75" s="362">
        <f t="shared" si="2"/>
        <v>6588000</v>
      </c>
      <c r="M75" s="366" t="str">
        <f>VLOOKUP(B75,'[24]Gui chi Quynh'!$B$11:$E$400,4,FALSE)</f>
        <v>A3</v>
      </c>
      <c r="N75" s="494">
        <f t="shared" si="3"/>
        <v>7905600</v>
      </c>
      <c r="O75" s="366">
        <v>20</v>
      </c>
      <c r="P75" s="440">
        <f>IFERROR(INDEX('[17]CN BC'!$J$10:$J$276,MATCH(B75,'[17]CN BC'!$H$10:$H$276,0)),"")</f>
        <v>21</v>
      </c>
      <c r="Q75" s="494">
        <f t="shared" si="4"/>
        <v>7905600</v>
      </c>
      <c r="R75" s="460"/>
      <c r="S75" s="362">
        <f>R75*$G$19*1.6</f>
        <v>0</v>
      </c>
      <c r="T75" s="370"/>
      <c r="U75" s="362">
        <f t="shared" si="5"/>
        <v>0</v>
      </c>
      <c r="V75" s="584">
        <f t="shared" si="6"/>
        <v>65880</v>
      </c>
      <c r="W75" s="371">
        <f t="shared" si="10"/>
        <v>7905600</v>
      </c>
      <c r="X75" s="977">
        <f t="shared" si="8"/>
        <v>4.3920000000000003</v>
      </c>
      <c r="Y75" s="999">
        <v>1800000</v>
      </c>
      <c r="Z75" s="1000">
        <f t="shared" si="9"/>
        <v>7905600.0000000009</v>
      </c>
      <c r="AA75" s="568">
        <f t="shared" si="7"/>
        <v>53</v>
      </c>
      <c r="AB75" s="493">
        <f>IFERROR(INDEX('[17]CN BC'!$M$10:$M$276,MATCH(B75,'[17]CN BC'!$H$10:$H$276,0)),"")</f>
        <v>0</v>
      </c>
      <c r="AC75" s="141" t="str">
        <f>VLOOKUP(B75,TH.T4!B73:AC403,28,FALSE)</f>
        <v>TSĐT</v>
      </c>
      <c r="AD75" s="108"/>
      <c r="AE75" s="108"/>
      <c r="AF75" s="155"/>
    </row>
    <row r="76" spans="1:42" s="372" customFormat="1" ht="28.5" customHeight="1">
      <c r="A76" s="379">
        <f>_xlfn.AGGREGATE(4,7,A$22:A75)+1</f>
        <v>54</v>
      </c>
      <c r="B76" s="444" t="s">
        <v>1860</v>
      </c>
      <c r="C76" s="419" t="s">
        <v>1601</v>
      </c>
      <c r="D76" s="418" t="s">
        <v>1667</v>
      </c>
      <c r="E76" s="426">
        <v>1603205351697</v>
      </c>
      <c r="F76" s="373">
        <v>3.33</v>
      </c>
      <c r="G76" s="367"/>
      <c r="H76" s="445">
        <f t="shared" si="0"/>
        <v>3.33</v>
      </c>
      <c r="I76" s="368"/>
      <c r="J76" s="81" t="str">
        <f>VLOOKUP(B76,TH.T5!B76:F405,5,FALSE)</f>
        <v>Nhân viên phòng TS - Đào tạo</v>
      </c>
      <c r="K76" s="369">
        <f t="shared" si="1"/>
        <v>3.33</v>
      </c>
      <c r="L76" s="362">
        <f t="shared" si="2"/>
        <v>5994000</v>
      </c>
      <c r="M76" s="366" t="str">
        <f>VLOOKUP(B76,'[24]Gui chi Quynh'!$B$11:$E$400,4,FALSE)</f>
        <v>A4</v>
      </c>
      <c r="N76" s="494">
        <f t="shared" si="3"/>
        <v>5994000</v>
      </c>
      <c r="O76" s="366">
        <v>20</v>
      </c>
      <c r="P76" s="440">
        <f>IFERROR(INDEX('[17]CN BC'!$J$10:$J$276,MATCH(B76,'[17]CN BC'!$H$10:$H$276,0)),"")</f>
        <v>19.5</v>
      </c>
      <c r="Q76" s="494">
        <f t="shared" si="4"/>
        <v>5844150</v>
      </c>
      <c r="R76" s="460"/>
      <c r="S76" s="362">
        <f>R76*$G$19*1</f>
        <v>0</v>
      </c>
      <c r="T76" s="370"/>
      <c r="U76" s="362">
        <f t="shared" si="5"/>
        <v>0</v>
      </c>
      <c r="V76" s="584">
        <f t="shared" si="6"/>
        <v>59940</v>
      </c>
      <c r="W76" s="371">
        <f t="shared" si="10"/>
        <v>5844150</v>
      </c>
      <c r="X76" s="977">
        <f t="shared" si="8"/>
        <v>3.24675</v>
      </c>
      <c r="Y76" s="999">
        <v>1800000</v>
      </c>
      <c r="Z76" s="1000">
        <f t="shared" si="9"/>
        <v>5844150</v>
      </c>
      <c r="AA76" s="568">
        <f t="shared" si="7"/>
        <v>54</v>
      </c>
      <c r="AB76" s="493">
        <f>IFERROR(INDEX('[17]CN BC'!$M$10:$M$276,MATCH(B76,'[17]CN BC'!$H$10:$H$276,0)),"")</f>
        <v>0</v>
      </c>
      <c r="AC76" s="141" t="str">
        <f>VLOOKUP(B76,TH.T4!B74:AC404,28,FALSE)</f>
        <v>TSĐT</v>
      </c>
      <c r="AD76" s="471"/>
      <c r="AE76" s="108"/>
      <c r="AF76" s="155"/>
      <c r="AG76" s="108"/>
      <c r="AH76" s="108"/>
      <c r="AI76" s="108"/>
      <c r="AJ76" s="108"/>
      <c r="AK76" s="108"/>
      <c r="AL76" s="108"/>
    </row>
    <row r="77" spans="1:42" s="372" customFormat="1" ht="28.5" customHeight="1">
      <c r="A77" s="379">
        <f>_xlfn.AGGREGATE(4,7,A$22:A76)+1</f>
        <v>55</v>
      </c>
      <c r="B77" s="363" t="s">
        <v>1484</v>
      </c>
      <c r="C77" s="380" t="s">
        <v>979</v>
      </c>
      <c r="D77" s="434" t="s">
        <v>1649</v>
      </c>
      <c r="E77" s="426">
        <v>1603205357194</v>
      </c>
      <c r="F77" s="489">
        <v>3.33</v>
      </c>
      <c r="G77" s="367"/>
      <c r="H77" s="445">
        <f t="shared" si="0"/>
        <v>3.33</v>
      </c>
      <c r="I77" s="368"/>
      <c r="J77" s="81" t="str">
        <f>VLOOKUP(B77,TH.T5!B77:F406,5,FALSE)</f>
        <v>Nhân viên phòng Tuyển sinh - Đào tạo</v>
      </c>
      <c r="K77" s="369">
        <f t="shared" si="1"/>
        <v>3.33</v>
      </c>
      <c r="L77" s="362">
        <f t="shared" si="2"/>
        <v>5994000</v>
      </c>
      <c r="M77" s="366" t="str">
        <f>VLOOKUP(B77,'[24]Gui chi Quynh'!$B$11:$E$400,4,FALSE)</f>
        <v>A2</v>
      </c>
      <c r="N77" s="494">
        <f t="shared" si="3"/>
        <v>8391600</v>
      </c>
      <c r="O77" s="366">
        <v>20</v>
      </c>
      <c r="P77" s="440">
        <f>IFERROR(INDEX('[17]CN BC'!$J$10:$J$276,MATCH(B77,'[17]CN BC'!$H$10:$H$276,0)),"")</f>
        <v>22.5</v>
      </c>
      <c r="Q77" s="494">
        <f t="shared" si="4"/>
        <v>8391600</v>
      </c>
      <c r="R77" s="460"/>
      <c r="S77" s="362">
        <f>R77*$G$19*1</f>
        <v>0</v>
      </c>
      <c r="T77" s="370"/>
      <c r="U77" s="362">
        <f t="shared" si="5"/>
        <v>0</v>
      </c>
      <c r="V77" s="584">
        <f t="shared" si="6"/>
        <v>59940</v>
      </c>
      <c r="W77" s="371">
        <f t="shared" si="10"/>
        <v>8391600</v>
      </c>
      <c r="X77" s="977">
        <f t="shared" si="8"/>
        <v>4.6619999999999999</v>
      </c>
      <c r="Y77" s="999">
        <v>1800000</v>
      </c>
      <c r="Z77" s="1000">
        <f t="shared" si="9"/>
        <v>8391600</v>
      </c>
      <c r="AA77" s="568">
        <f t="shared" si="7"/>
        <v>55</v>
      </c>
      <c r="AB77" s="493">
        <f>IFERROR(INDEX('[17]CN BC'!$M$10:$M$276,MATCH(B77,'[17]CN BC'!$H$10:$H$276,0)),"")</f>
        <v>0</v>
      </c>
      <c r="AC77" s="141" t="str">
        <f>VLOOKUP(B77,TH.T4!B75:AC405,28,FALSE)</f>
        <v>KTĐBCL</v>
      </c>
      <c r="AD77" s="108"/>
      <c r="AE77" s="108"/>
      <c r="AF77" s="155"/>
    </row>
    <row r="78" spans="1:42" s="108" customFormat="1" ht="28.5" customHeight="1">
      <c r="A78" s="379">
        <f>_xlfn.AGGREGATE(4,7,A$22:A77)+1</f>
        <v>56</v>
      </c>
      <c r="B78" s="33" t="s">
        <v>1861</v>
      </c>
      <c r="C78" s="149" t="s">
        <v>1026</v>
      </c>
      <c r="D78" s="406" t="s">
        <v>1668</v>
      </c>
      <c r="E78" s="424" t="s">
        <v>1361</v>
      </c>
      <c r="F78" s="10">
        <v>4.6500000000000004</v>
      </c>
      <c r="G78" s="157"/>
      <c r="H78" s="368">
        <f t="shared" si="0"/>
        <v>4.6500000000000004</v>
      </c>
      <c r="I78" s="368">
        <v>0.45</v>
      </c>
      <c r="J78" s="81" t="str">
        <f>VLOOKUP(B78,TH.T5!B78:F407,5,FALSE)</f>
        <v>Trưởng phòng Khảo thí và ĐBCL</v>
      </c>
      <c r="K78" s="369">
        <f t="shared" si="1"/>
        <v>5.1000000000000005</v>
      </c>
      <c r="L78" s="362">
        <f t="shared" si="2"/>
        <v>9180000.0000000019</v>
      </c>
      <c r="M78" s="366" t="str">
        <f>VLOOKUP(B78,'[24]Gui chi Quynh'!$B$11:$E$400,4,FALSE)</f>
        <v>A2</v>
      </c>
      <c r="N78" s="494">
        <f t="shared" si="3"/>
        <v>12852000.000000002</v>
      </c>
      <c r="O78" s="366">
        <v>20</v>
      </c>
      <c r="P78" s="440">
        <f>IFERROR(INDEX('[17]CN BC'!$J$10:$J$276,MATCH(B78,'[17]CN BC'!$H$10:$H$276,0)),"")</f>
        <v>24</v>
      </c>
      <c r="Q78" s="494">
        <f t="shared" si="4"/>
        <v>12852000.000000002</v>
      </c>
      <c r="R78" s="392"/>
      <c r="S78" s="362">
        <f>R78*$G$19*1</f>
        <v>0</v>
      </c>
      <c r="T78" s="385"/>
      <c r="U78" s="362">
        <f t="shared" si="5"/>
        <v>0</v>
      </c>
      <c r="V78" s="584">
        <f t="shared" si="6"/>
        <v>91800</v>
      </c>
      <c r="W78" s="371">
        <f t="shared" si="10"/>
        <v>12852000.000000002</v>
      </c>
      <c r="X78" s="977">
        <f t="shared" si="8"/>
        <v>7.1400000000000015</v>
      </c>
      <c r="Y78" s="999">
        <v>1800000</v>
      </c>
      <c r="Z78" s="1000">
        <f t="shared" si="9"/>
        <v>12852000.000000002</v>
      </c>
      <c r="AA78" s="568">
        <f t="shared" si="7"/>
        <v>56</v>
      </c>
      <c r="AB78" s="493">
        <f>IFERROR(INDEX('[17]CN BC'!$M$10:$M$276,MATCH(B78,'[17]CN BC'!$H$10:$H$276,0)),"")</f>
        <v>0</v>
      </c>
      <c r="AC78" s="141" t="str">
        <f>VLOOKUP(B78,TH.T4!B76:AC406,28,FALSE)</f>
        <v>KTĐBCL</v>
      </c>
      <c r="AF78" s="155"/>
    </row>
    <row r="79" spans="1:42" s="108" customFormat="1" ht="28.5" customHeight="1">
      <c r="A79" s="379">
        <f>_xlfn.AGGREGATE(4,7,A$22:A78)+1</f>
        <v>57</v>
      </c>
      <c r="B79" s="33" t="s">
        <v>1853</v>
      </c>
      <c r="C79" s="149" t="s">
        <v>912</v>
      </c>
      <c r="D79" s="406" t="s">
        <v>1639</v>
      </c>
      <c r="E79" s="424" t="s">
        <v>1271</v>
      </c>
      <c r="F79" s="366">
        <v>4.32</v>
      </c>
      <c r="G79" s="157"/>
      <c r="H79" s="368">
        <f>F79+(F79*G79)</f>
        <v>4.32</v>
      </c>
      <c r="I79" s="81">
        <v>0.35</v>
      </c>
      <c r="J79" s="81" t="str">
        <f>VLOOKUP(B79,TH.T5!B79:F408,5,FALSE)</f>
        <v>Phó TP. Kế hoạch - Tài chính</v>
      </c>
      <c r="K79" s="369">
        <f>H79+I79</f>
        <v>4.67</v>
      </c>
      <c r="L79" s="362">
        <f>K79*$G$19</f>
        <v>8406000</v>
      </c>
      <c r="M79" s="366" t="str">
        <f>VLOOKUP(B79,'[24]Gui chi Quynh'!$B$11:$E$400,4,FALSE)</f>
        <v>A2</v>
      </c>
      <c r="N79" s="494">
        <f>IF(M79="A1",L79*1.6,IF(M79="A2",L79*1.4,IF(M79="A3",L79*1.2,IF(M79="A4",L79*1,IF(M79="B1",L79*0.7,IF(M79="B2",L79*0.5,IF(M79="C1",L79*0.3,IF(M79="C2",L79*0.2,0))))))))</f>
        <v>11768400</v>
      </c>
      <c r="O79" s="366">
        <v>20</v>
      </c>
      <c r="P79" s="440">
        <f>IFERROR(INDEX('[17]CN BC'!$J$10:$J$276,MATCH(B79,'[17]CN BC'!$H$10:$H$276,0)),"")</f>
        <v>20</v>
      </c>
      <c r="Q79" s="494">
        <f>IF(P79&gt;=O79,N79,N79/O79*P79)</f>
        <v>11768400</v>
      </c>
      <c r="R79" s="392"/>
      <c r="S79" s="362">
        <f>R79*$G$19*1</f>
        <v>0</v>
      </c>
      <c r="T79" s="385"/>
      <c r="U79" s="362">
        <f>T79*$G$19*1</f>
        <v>0</v>
      </c>
      <c r="V79" s="584">
        <f>IF(OR(M79="A DN",M79="KXL", M79=""),"0",ROUND(K79*0.01*$G$19+R79*1%*$G$19+T79*1%*$G$19,))</f>
        <v>84060</v>
      </c>
      <c r="W79" s="371">
        <f t="shared" si="10"/>
        <v>11768400</v>
      </c>
      <c r="X79" s="977">
        <f t="shared" si="8"/>
        <v>6.5380000000000003</v>
      </c>
      <c r="Y79" s="999">
        <v>1800000</v>
      </c>
      <c r="Z79" s="1000">
        <f t="shared" si="9"/>
        <v>11768400</v>
      </c>
      <c r="AA79" s="568">
        <f t="shared" si="7"/>
        <v>57</v>
      </c>
      <c r="AB79" s="493">
        <f>IFERROR(INDEX('[17]CN BC'!$M$10:$M$276,MATCH(B79,'[17]CN BC'!$H$10:$H$276,0)),"")</f>
        <v>0</v>
      </c>
      <c r="AC79" s="141" t="str">
        <f>VLOOKUP(B79,TH.T4!B77:AC407,28,FALSE)</f>
        <v>KTĐBCL</v>
      </c>
      <c r="AD79" s="141"/>
      <c r="AF79" s="155"/>
    </row>
    <row r="80" spans="1:42" s="372" customFormat="1" ht="28.5" customHeight="1">
      <c r="A80" s="379">
        <f>_xlfn.AGGREGATE(4,7,A$22:A79)+1</f>
        <v>58</v>
      </c>
      <c r="B80" s="363" t="s">
        <v>1862</v>
      </c>
      <c r="C80" s="375" t="s">
        <v>499</v>
      </c>
      <c r="D80" s="434" t="s">
        <v>1669</v>
      </c>
      <c r="E80" s="423" t="s">
        <v>497</v>
      </c>
      <c r="F80" s="366">
        <v>4.9800000000000004</v>
      </c>
      <c r="G80" s="378">
        <v>0.2</v>
      </c>
      <c r="H80" s="368">
        <f t="shared" si="0"/>
        <v>5.9760000000000009</v>
      </c>
      <c r="I80" s="368"/>
      <c r="J80" s="81" t="str">
        <f>VLOOKUP(B80,TH.T5!B80:F409,5,FALSE)</f>
        <v>Nhân viên phòng Khảo thí và ĐBCL</v>
      </c>
      <c r="K80" s="369">
        <f t="shared" si="1"/>
        <v>5.9760000000000009</v>
      </c>
      <c r="L80" s="362">
        <f t="shared" si="2"/>
        <v>10756800.000000002</v>
      </c>
      <c r="M80" s="366" t="str">
        <f>VLOOKUP(B80,'[24]Gui chi Quynh'!$B$11:$E$400,4,FALSE)</f>
        <v>A3</v>
      </c>
      <c r="N80" s="494">
        <f t="shared" si="3"/>
        <v>12908160.000000002</v>
      </c>
      <c r="O80" s="366">
        <v>20</v>
      </c>
      <c r="P80" s="440">
        <f>IFERROR(INDEX('[17]CN BC'!$J$10:$J$276,MATCH(B80,'[17]CN BC'!$H$10:$H$276,0)),"")</f>
        <v>20</v>
      </c>
      <c r="Q80" s="494">
        <f t="shared" si="4"/>
        <v>12908160.000000002</v>
      </c>
      <c r="R80" s="460"/>
      <c r="S80" s="362">
        <f>R80*$G$19*1</f>
        <v>0</v>
      </c>
      <c r="T80" s="370"/>
      <c r="U80" s="362">
        <f t="shared" si="5"/>
        <v>0</v>
      </c>
      <c r="V80" s="584">
        <f t="shared" si="6"/>
        <v>107568</v>
      </c>
      <c r="W80" s="371">
        <f t="shared" si="10"/>
        <v>12908160.000000002</v>
      </c>
      <c r="X80" s="977">
        <f t="shared" si="8"/>
        <v>7.1712000000000007</v>
      </c>
      <c r="Y80" s="999">
        <v>1800000</v>
      </c>
      <c r="Z80" s="1000">
        <f t="shared" si="9"/>
        <v>12908160.000000002</v>
      </c>
      <c r="AA80" s="568">
        <f t="shared" si="7"/>
        <v>58</v>
      </c>
      <c r="AB80" s="493">
        <f>IFERROR(INDEX('[17]CN BC'!$M$10:$M$276,MATCH(B80,'[17]CN BC'!$H$10:$H$276,0)),"")</f>
        <v>0</v>
      </c>
      <c r="AC80" s="141" t="str">
        <f>VLOOKUP(B80,TH.T4!B78:AC408,28,FALSE)</f>
        <v>KTĐBCL</v>
      </c>
      <c r="AF80" s="487"/>
    </row>
    <row r="81" spans="1:42" s="372" customFormat="1" ht="28.5" customHeight="1">
      <c r="A81" s="379">
        <f>_xlfn.AGGREGATE(4,7,A$22:A80)+1</f>
        <v>59</v>
      </c>
      <c r="B81" s="363" t="s">
        <v>842</v>
      </c>
      <c r="C81" s="375" t="s">
        <v>874</v>
      </c>
      <c r="D81" s="434" t="s">
        <v>1671</v>
      </c>
      <c r="E81" s="423" t="s">
        <v>396</v>
      </c>
      <c r="F81" s="366">
        <v>3.66</v>
      </c>
      <c r="G81" s="367"/>
      <c r="H81" s="368">
        <f t="shared" si="0"/>
        <v>3.66</v>
      </c>
      <c r="I81" s="368"/>
      <c r="J81" s="81" t="str">
        <f>VLOOKUP(B81,TH.T5!B81:F410,5,FALSE)</f>
        <v>Nhân viên phòng Khảo thí và ĐBCL</v>
      </c>
      <c r="K81" s="369">
        <f t="shared" si="1"/>
        <v>3.66</v>
      </c>
      <c r="L81" s="362">
        <f t="shared" si="2"/>
        <v>6588000</v>
      </c>
      <c r="M81" s="366" t="str">
        <f>VLOOKUP(B81,'[24]Gui chi Quynh'!$B$11:$E$400,4,FALSE)</f>
        <v>A3</v>
      </c>
      <c r="N81" s="494">
        <f t="shared" si="3"/>
        <v>7905600</v>
      </c>
      <c r="O81" s="366">
        <v>20</v>
      </c>
      <c r="P81" s="440">
        <f>IFERROR(INDEX('[17]CN BC'!$J$10:$J$276,MATCH(B81,'[17]CN BC'!$H$10:$H$276,0)),"")</f>
        <v>21</v>
      </c>
      <c r="Q81" s="494">
        <f t="shared" si="4"/>
        <v>7905600</v>
      </c>
      <c r="R81" s="460"/>
      <c r="S81" s="362">
        <f>R81*$G$19*0.8</f>
        <v>0</v>
      </c>
      <c r="T81" s="370"/>
      <c r="U81" s="362">
        <f t="shared" si="5"/>
        <v>0</v>
      </c>
      <c r="V81" s="584">
        <f t="shared" si="6"/>
        <v>65880</v>
      </c>
      <c r="W81" s="371">
        <f t="shared" si="10"/>
        <v>7905600</v>
      </c>
      <c r="X81" s="977">
        <f t="shared" si="8"/>
        <v>4.3920000000000003</v>
      </c>
      <c r="Y81" s="999">
        <v>1800000</v>
      </c>
      <c r="Z81" s="1000">
        <f t="shared" si="9"/>
        <v>7905600.0000000009</v>
      </c>
      <c r="AA81" s="568">
        <f t="shared" si="7"/>
        <v>59</v>
      </c>
      <c r="AB81" s="493">
        <f>IFERROR(INDEX('[17]CN BC'!$M$10:$M$276,MATCH(B81,'[17]CN BC'!$H$10:$H$276,0)),"")</f>
        <v>0</v>
      </c>
      <c r="AC81" s="141" t="str">
        <f>VLOOKUP(B81,TH.T4!B79:AC409,28,FALSE)</f>
        <v>KTĐBCL</v>
      </c>
      <c r="AD81" s="108"/>
      <c r="AE81" s="108"/>
      <c r="AF81" s="155"/>
      <c r="AG81" s="108"/>
      <c r="AH81" s="108"/>
      <c r="AI81" s="108"/>
      <c r="AJ81" s="108"/>
      <c r="AK81" s="108"/>
      <c r="AL81" s="108"/>
    </row>
    <row r="82" spans="1:42" s="372" customFormat="1" ht="28.5" customHeight="1">
      <c r="A82" s="379">
        <f>_xlfn.AGGREGATE(4,7,A$22:A81)+1</f>
        <v>60</v>
      </c>
      <c r="B82" s="363" t="s">
        <v>1551</v>
      </c>
      <c r="C82" s="375" t="s">
        <v>896</v>
      </c>
      <c r="D82" s="406" t="s">
        <v>1672</v>
      </c>
      <c r="E82" s="430">
        <v>1603205182756</v>
      </c>
      <c r="F82" s="366">
        <v>3.66</v>
      </c>
      <c r="G82" s="367"/>
      <c r="H82" s="368">
        <f t="shared" si="0"/>
        <v>3.66</v>
      </c>
      <c r="I82" s="368"/>
      <c r="J82" s="81" t="str">
        <f>VLOOKUP(B82,TH.T5!B82:F411,5,FALSE)</f>
        <v>Nhân viên phòng Khảo thí và ĐBCL</v>
      </c>
      <c r="K82" s="369">
        <f t="shared" si="1"/>
        <v>3.66</v>
      </c>
      <c r="L82" s="362">
        <f t="shared" si="2"/>
        <v>6588000</v>
      </c>
      <c r="M82" s="366" t="str">
        <f>VLOOKUP(B82,'[24]Gui chi Quynh'!$B$11:$E$400,4,FALSE)</f>
        <v>A2</v>
      </c>
      <c r="N82" s="494">
        <f t="shared" si="3"/>
        <v>9223200</v>
      </c>
      <c r="O82" s="366">
        <v>20</v>
      </c>
      <c r="P82" s="440">
        <f>IFERROR(INDEX('[17]CN BC'!$J$10:$J$276,MATCH(B82,'[17]CN BC'!$H$10:$H$276,0)),"")</f>
        <v>22</v>
      </c>
      <c r="Q82" s="494">
        <f t="shared" si="4"/>
        <v>9223200</v>
      </c>
      <c r="R82" s="460"/>
      <c r="S82" s="362">
        <f>R82*$G$19*0.8</f>
        <v>0</v>
      </c>
      <c r="T82" s="370"/>
      <c r="U82" s="362">
        <f t="shared" si="5"/>
        <v>0</v>
      </c>
      <c r="V82" s="584">
        <f t="shared" si="6"/>
        <v>65880</v>
      </c>
      <c r="W82" s="371">
        <f t="shared" si="10"/>
        <v>9223200</v>
      </c>
      <c r="X82" s="977">
        <f t="shared" si="8"/>
        <v>5.1239999999999997</v>
      </c>
      <c r="Y82" s="999">
        <v>1800000</v>
      </c>
      <c r="Z82" s="1000">
        <f t="shared" si="9"/>
        <v>9223200</v>
      </c>
      <c r="AA82" s="568">
        <f t="shared" si="7"/>
        <v>60</v>
      </c>
      <c r="AB82" s="493">
        <f>IFERROR(INDEX('[17]CN BC'!$M$10:$M$276,MATCH(B82,'[17]CN BC'!$H$10:$H$276,0)),"")</f>
        <v>0</v>
      </c>
      <c r="AC82" s="141" t="str">
        <f>VLOOKUP(B82,TH.T4!B80:AC410,28,FALSE)</f>
        <v>KTĐBCL</v>
      </c>
      <c r="AD82" s="108"/>
      <c r="AE82" s="659"/>
      <c r="AF82" s="155"/>
      <c r="AG82" s="108"/>
      <c r="AH82" s="108"/>
      <c r="AI82" s="108"/>
      <c r="AJ82" s="108"/>
      <c r="AK82" s="108"/>
      <c r="AL82" s="108"/>
      <c r="AM82" s="108"/>
      <c r="AN82" s="108"/>
      <c r="AO82" s="108"/>
      <c r="AP82" s="108"/>
    </row>
    <row r="83" spans="1:42" s="372" customFormat="1" ht="28.5" customHeight="1">
      <c r="A83" s="379">
        <f>_xlfn.AGGREGATE(4,7,A$22:A82)+1</f>
        <v>61</v>
      </c>
      <c r="B83" s="363" t="s">
        <v>1521</v>
      </c>
      <c r="C83" s="380" t="s">
        <v>891</v>
      </c>
      <c r="D83" s="406" t="s">
        <v>1673</v>
      </c>
      <c r="E83" s="429">
        <v>1603205286752</v>
      </c>
      <c r="F83" s="373">
        <v>3.66</v>
      </c>
      <c r="G83" s="367"/>
      <c r="H83" s="445">
        <f t="shared" si="0"/>
        <v>3.66</v>
      </c>
      <c r="I83" s="368"/>
      <c r="J83" s="81" t="str">
        <f>VLOOKUP(B83,TH.T5!B83:F412,5,FALSE)</f>
        <v>Nhân viên phòng Khảo thí và ĐBCL</v>
      </c>
      <c r="K83" s="369">
        <f t="shared" si="1"/>
        <v>3.66</v>
      </c>
      <c r="L83" s="362">
        <f t="shared" si="2"/>
        <v>6588000</v>
      </c>
      <c r="M83" s="366" t="str">
        <f>VLOOKUP(B83,'[24]Gui chi Quynh'!$B$11:$E$400,4,FALSE)</f>
        <v>A3</v>
      </c>
      <c r="N83" s="494">
        <f t="shared" si="3"/>
        <v>7905600</v>
      </c>
      <c r="O83" s="366">
        <v>20</v>
      </c>
      <c r="P83" s="440">
        <f>IFERROR(INDEX('[17]CN BC'!$J$10:$J$276,MATCH(B83,'[17]CN BC'!$H$10:$H$276,0)),"")</f>
        <v>22</v>
      </c>
      <c r="Q83" s="494">
        <f t="shared" si="4"/>
        <v>7905600</v>
      </c>
      <c r="R83" s="392"/>
      <c r="S83" s="362">
        <f>R83*$G$19*0.8</f>
        <v>0</v>
      </c>
      <c r="T83" s="385"/>
      <c r="U83" s="362">
        <f t="shared" si="5"/>
        <v>0</v>
      </c>
      <c r="V83" s="584">
        <f t="shared" si="6"/>
        <v>65880</v>
      </c>
      <c r="W83" s="371">
        <f t="shared" si="10"/>
        <v>7905600</v>
      </c>
      <c r="X83" s="977">
        <f t="shared" si="8"/>
        <v>4.3920000000000003</v>
      </c>
      <c r="Y83" s="999">
        <v>1800000</v>
      </c>
      <c r="Z83" s="1000">
        <f t="shared" si="9"/>
        <v>7905600.0000000009</v>
      </c>
      <c r="AA83" s="568">
        <f t="shared" si="7"/>
        <v>61</v>
      </c>
      <c r="AB83" s="493">
        <f>IFERROR(INDEX('[17]CN BC'!$M$10:$M$276,MATCH(B83,'[17]CN BC'!$H$10:$H$276,0)),"")</f>
        <v>0</v>
      </c>
      <c r="AC83" s="141" t="str">
        <f>VLOOKUP(B83,TH.T4!B81:AC411,28,FALSE)</f>
        <v>KTĐBCL</v>
      </c>
      <c r="AD83" s="108"/>
      <c r="AE83" s="108"/>
      <c r="AF83" s="461"/>
      <c r="AG83" s="108"/>
      <c r="AH83" s="108"/>
      <c r="AI83" s="108"/>
      <c r="AJ83" s="108"/>
      <c r="AK83" s="108"/>
      <c r="AL83" s="108"/>
      <c r="AM83" s="108"/>
      <c r="AN83" s="108"/>
      <c r="AO83" s="108"/>
      <c r="AP83" s="108"/>
    </row>
    <row r="84" spans="1:42" s="372" customFormat="1" ht="28.5" customHeight="1">
      <c r="A84" s="379">
        <f>_xlfn.AGGREGATE(4,7,A$22:A83)+1</f>
        <v>62</v>
      </c>
      <c r="B84" s="363" t="s">
        <v>1841</v>
      </c>
      <c r="C84" s="364"/>
      <c r="D84" s="434" t="s">
        <v>1956</v>
      </c>
      <c r="E84" s="480" t="s">
        <v>1931</v>
      </c>
      <c r="F84" s="373">
        <v>3</v>
      </c>
      <c r="G84" s="367"/>
      <c r="H84" s="445">
        <f t="shared" si="0"/>
        <v>3</v>
      </c>
      <c r="I84" s="368">
        <v>0.35</v>
      </c>
      <c r="J84" s="81" t="str">
        <f>VLOOKUP(B84,TH.T5!B84:F413,5,FALSE)</f>
        <v>Nhân viên phòng Khảo thí và ĐBCL</v>
      </c>
      <c r="K84" s="369">
        <f t="shared" si="1"/>
        <v>3.35</v>
      </c>
      <c r="L84" s="362">
        <f t="shared" si="2"/>
        <v>6030000</v>
      </c>
      <c r="M84" s="366" t="str">
        <f>VLOOKUP(B84,'[24]Gui chi Quynh'!$B$11:$E$400,4,FALSE)</f>
        <v>A1</v>
      </c>
      <c r="N84" s="494">
        <f t="shared" si="3"/>
        <v>9648000</v>
      </c>
      <c r="O84" s="366">
        <v>20</v>
      </c>
      <c r="P84" s="440">
        <f>IFERROR(INDEX('[17]CN BC'!$J$10:$J$276,MATCH(B84,'[17]CN BC'!$H$10:$H$276,0)),"")</f>
        <v>25</v>
      </c>
      <c r="Q84" s="494">
        <f t="shared" si="4"/>
        <v>9648000</v>
      </c>
      <c r="R84" s="460"/>
      <c r="S84" s="362">
        <f>R84*$G$19*1</f>
        <v>0</v>
      </c>
      <c r="T84" s="370"/>
      <c r="U84" s="362">
        <f t="shared" si="5"/>
        <v>0</v>
      </c>
      <c r="V84" s="584">
        <f t="shared" si="6"/>
        <v>60300</v>
      </c>
      <c r="W84" s="371">
        <f t="shared" si="10"/>
        <v>9648000</v>
      </c>
      <c r="X84" s="977">
        <f t="shared" si="8"/>
        <v>5.36</v>
      </c>
      <c r="Y84" s="999">
        <v>1800000</v>
      </c>
      <c r="Z84" s="1000">
        <f t="shared" si="9"/>
        <v>9648000</v>
      </c>
      <c r="AA84" s="568">
        <f t="shared" si="7"/>
        <v>62</v>
      </c>
      <c r="AB84" s="493">
        <f>IFERROR(INDEX('[17]CN BC'!$M$10:$M$276,MATCH(B84,'[17]CN BC'!$H$10:$H$276,0)),"")</f>
        <v>0</v>
      </c>
      <c r="AC84" s="141" t="str">
        <f>VLOOKUP(B84,TH.T4!B82:AC412,28,FALSE)</f>
        <v>TTĐHDL</v>
      </c>
      <c r="AD84" s="108"/>
      <c r="AE84" s="108"/>
      <c r="AF84" s="155"/>
      <c r="AG84" s="108"/>
      <c r="AH84" s="108"/>
      <c r="AI84" s="108"/>
      <c r="AJ84" s="108"/>
      <c r="AK84" s="108"/>
      <c r="AL84" s="108"/>
    </row>
    <row r="85" spans="1:42" s="108" customFormat="1" ht="28.5" customHeight="1">
      <c r="A85" s="379">
        <f>_xlfn.AGGREGATE(4,7,A$22:A84)+1</f>
        <v>63</v>
      </c>
      <c r="B85" s="33" t="s">
        <v>1863</v>
      </c>
      <c r="C85" s="149" t="s">
        <v>903</v>
      </c>
      <c r="D85" s="406" t="s">
        <v>1675</v>
      </c>
      <c r="E85" s="424" t="s">
        <v>1357</v>
      </c>
      <c r="F85" s="83">
        <v>3.66</v>
      </c>
      <c r="G85" s="157"/>
      <c r="H85" s="368">
        <f t="shared" si="0"/>
        <v>3.66</v>
      </c>
      <c r="I85" s="81">
        <v>0.45</v>
      </c>
      <c r="J85" s="81" t="str">
        <f>VLOOKUP(B85,TH.T5!B85:F414,5,FALSE)</f>
        <v>Trưởng TT Điều hành và QLDL</v>
      </c>
      <c r="K85" s="369">
        <f t="shared" si="1"/>
        <v>4.1100000000000003</v>
      </c>
      <c r="L85" s="362">
        <f t="shared" si="2"/>
        <v>7398000.0000000009</v>
      </c>
      <c r="M85" s="366" t="str">
        <f>VLOOKUP(B85,'[24]Gui chi Quynh'!$B$11:$E$400,4,FALSE)</f>
        <v>A2</v>
      </c>
      <c r="N85" s="494">
        <f t="shared" si="3"/>
        <v>10357200</v>
      </c>
      <c r="O85" s="366">
        <v>20</v>
      </c>
      <c r="P85" s="440">
        <f>IFERROR(INDEX('[17]CN BC'!$J$10:$J$276,MATCH(B85,'[17]CN BC'!$H$10:$H$276,0)),"")</f>
        <v>24</v>
      </c>
      <c r="Q85" s="494">
        <f t="shared" si="4"/>
        <v>10357200</v>
      </c>
      <c r="R85" s="392"/>
      <c r="S85" s="362">
        <f>R85*$G$19*1</f>
        <v>0</v>
      </c>
      <c r="T85" s="385"/>
      <c r="U85" s="362">
        <f t="shared" si="5"/>
        <v>0</v>
      </c>
      <c r="V85" s="584">
        <f t="shared" si="6"/>
        <v>73980</v>
      </c>
      <c r="W85" s="371">
        <f t="shared" si="10"/>
        <v>10357200</v>
      </c>
      <c r="X85" s="977">
        <f t="shared" si="8"/>
        <v>5.7539999999999996</v>
      </c>
      <c r="Y85" s="999">
        <v>1800000</v>
      </c>
      <c r="Z85" s="1000">
        <f t="shared" si="9"/>
        <v>10357200</v>
      </c>
      <c r="AA85" s="568">
        <f t="shared" si="7"/>
        <v>63</v>
      </c>
      <c r="AB85" s="493" t="str">
        <f>IFERROR(INDEX('[17]CN BC'!$M$10:$M$276,MATCH(B85,'[17]CN BC'!$H$10:$H$276,0)),"")</f>
        <v>Trừ 1 ngày nghỉ phép 3/6</v>
      </c>
      <c r="AC85" s="141" t="str">
        <f>VLOOKUP(B85,TH.T4!B83:AC413,28,FALSE)</f>
        <v>TTĐHDL</v>
      </c>
      <c r="AF85" s="155"/>
    </row>
    <row r="86" spans="1:42" s="372" customFormat="1" ht="28.5" customHeight="1">
      <c r="A86" s="379">
        <f>_xlfn.AGGREGATE(4,7,A$22:A85)+1</f>
        <v>64</v>
      </c>
      <c r="B86" s="363" t="s">
        <v>1470</v>
      </c>
      <c r="C86" s="380" t="s">
        <v>1434</v>
      </c>
      <c r="D86" s="406" t="s">
        <v>1679</v>
      </c>
      <c r="E86" s="426" t="s">
        <v>1438</v>
      </c>
      <c r="F86" s="366">
        <v>3.66</v>
      </c>
      <c r="G86" s="367"/>
      <c r="H86" s="368">
        <f t="shared" si="0"/>
        <v>3.66</v>
      </c>
      <c r="I86" s="368"/>
      <c r="J86" s="81" t="str">
        <f>VLOOKUP(B86,TH.T5!B86:F415,5,FALSE)</f>
        <v>NV Trung tâm ĐH và QLDL</v>
      </c>
      <c r="K86" s="369">
        <f t="shared" si="1"/>
        <v>3.66</v>
      </c>
      <c r="L86" s="362">
        <f t="shared" si="2"/>
        <v>6588000</v>
      </c>
      <c r="M86" s="366" t="str">
        <f>VLOOKUP(B86,'[24]Gui chi Quynh'!$B$11:$E$400,4,FALSE)</f>
        <v>A2</v>
      </c>
      <c r="N86" s="494">
        <f t="shared" si="3"/>
        <v>9223200</v>
      </c>
      <c r="O86" s="366">
        <v>20</v>
      </c>
      <c r="P86" s="440">
        <f>IFERROR(INDEX('[17]CN BC'!$J$10:$J$276,MATCH(B86,'[17]CN BC'!$H$10:$H$276,0)),"")</f>
        <v>21</v>
      </c>
      <c r="Q86" s="494">
        <f t="shared" si="4"/>
        <v>9223200</v>
      </c>
      <c r="R86" s="392"/>
      <c r="S86" s="362">
        <f>R86*$G$19*1</f>
        <v>0</v>
      </c>
      <c r="T86" s="385"/>
      <c r="U86" s="362">
        <f t="shared" si="5"/>
        <v>0</v>
      </c>
      <c r="V86" s="584">
        <f t="shared" si="6"/>
        <v>65880</v>
      </c>
      <c r="W86" s="371">
        <f t="shared" si="10"/>
        <v>9223200</v>
      </c>
      <c r="X86" s="977">
        <f t="shared" si="8"/>
        <v>5.1239999999999997</v>
      </c>
      <c r="Y86" s="999">
        <v>1800000</v>
      </c>
      <c r="Z86" s="1000">
        <f t="shared" si="9"/>
        <v>9223200</v>
      </c>
      <c r="AA86" s="568">
        <f t="shared" si="7"/>
        <v>64</v>
      </c>
      <c r="AB86" s="493">
        <f>IFERROR(INDEX('[17]CN BC'!$M$10:$M$276,MATCH(B86,'[17]CN BC'!$H$10:$H$276,0)),"")</f>
        <v>0</v>
      </c>
      <c r="AC86" s="141" t="str">
        <f>VLOOKUP(B86,TH.T4!B84:AC414,28,FALSE)</f>
        <v>TTĐHDL</v>
      </c>
      <c r="AD86" s="141"/>
      <c r="AE86" s="108"/>
      <c r="AF86" s="461"/>
      <c r="AG86" s="108"/>
      <c r="AH86" s="108"/>
      <c r="AI86" s="108"/>
      <c r="AJ86" s="108"/>
      <c r="AK86" s="108"/>
      <c r="AL86" s="108"/>
      <c r="AM86" s="108"/>
      <c r="AN86" s="108"/>
      <c r="AO86" s="108"/>
      <c r="AP86" s="108"/>
    </row>
    <row r="87" spans="1:42" s="372" customFormat="1" ht="28.5" customHeight="1">
      <c r="A87" s="379">
        <f>_xlfn.AGGREGATE(4,7,A$22:A86)+1</f>
        <v>65</v>
      </c>
      <c r="B87" s="363" t="s">
        <v>1466</v>
      </c>
      <c r="C87" s="375" t="s">
        <v>1211</v>
      </c>
      <c r="D87" s="434" t="s">
        <v>1663</v>
      </c>
      <c r="E87" s="426" t="s">
        <v>1579</v>
      </c>
      <c r="F87" s="366">
        <v>3.26</v>
      </c>
      <c r="G87" s="367"/>
      <c r="H87" s="368">
        <f t="shared" ref="H87:H119" si="14">F87+(F87*G87)</f>
        <v>3.26</v>
      </c>
      <c r="I87" s="368"/>
      <c r="J87" s="81" t="str">
        <f>VLOOKUP(B87,TH.T5!B87:F416,5,FALSE)</f>
        <v>Nhân viên TT Điều hành và QLDL</v>
      </c>
      <c r="K87" s="369">
        <f t="shared" ref="K87:K119" si="15">H87+I87</f>
        <v>3.26</v>
      </c>
      <c r="L87" s="362">
        <f t="shared" ref="L87:L116" si="16">K87*$G$19</f>
        <v>5868000</v>
      </c>
      <c r="M87" s="366" t="str">
        <f>VLOOKUP(B87,'[24]Gui chi Quynh'!$B$11:$E$400,4,FALSE)</f>
        <v>A2</v>
      </c>
      <c r="N87" s="494">
        <f t="shared" ref="N87:N150" si="17">IF(M87="A1",L87*1.6,IF(M87="A2",L87*1.4,IF(M87="A3",L87*1.2,IF(M87="A4",L87*1,IF(M87="B1",L87*0.7,IF(M87="B2",L87*0.5,IF(M87="C1",L87*0.3,IF(M87="C2",L87*0.2,0))))))))</f>
        <v>8215199.9999999991</v>
      </c>
      <c r="O87" s="366">
        <v>20</v>
      </c>
      <c r="P87" s="440">
        <f>IFERROR(INDEX('[17]CN BC'!$J$10:$J$276,MATCH(B87,'[17]CN BC'!$H$10:$H$276,0)),"")</f>
        <v>21</v>
      </c>
      <c r="Q87" s="494">
        <f t="shared" ref="Q87:Q150" si="18">IF(P87&gt;=O87,N87,N87/O87*P87)</f>
        <v>8215199.9999999991</v>
      </c>
      <c r="R87" s="460"/>
      <c r="S87" s="362">
        <f>R87*$G$19*1.2</f>
        <v>0</v>
      </c>
      <c r="T87" s="370"/>
      <c r="U87" s="362">
        <f t="shared" ref="U87:U150" si="19">T87*$G$19*1</f>
        <v>0</v>
      </c>
      <c r="V87" s="584">
        <f t="shared" ref="V87:V150" si="20">IF(OR(M87="A DN",M87="KXL", M87=""),"0",ROUND(K87*0.01*$G$19+R87*1%*$G$19+T87*1%*$G$19,))</f>
        <v>58680</v>
      </c>
      <c r="W87" s="371">
        <f t="shared" si="10"/>
        <v>8215199.9999999991</v>
      </c>
      <c r="X87" s="977">
        <f t="shared" si="8"/>
        <v>4.5639999999999992</v>
      </c>
      <c r="Y87" s="999">
        <v>1800000</v>
      </c>
      <c r="Z87" s="1000">
        <f t="shared" si="9"/>
        <v>8215199.9999999981</v>
      </c>
      <c r="AA87" s="568">
        <f t="shared" ref="AA87:AA150" si="21">A87</f>
        <v>65</v>
      </c>
      <c r="AB87" s="493">
        <f>IFERROR(INDEX('[17]CN BC'!$M$10:$M$276,MATCH(B87,'[17]CN BC'!$H$10:$H$276,0)),"")</f>
        <v>0</v>
      </c>
      <c r="AC87" s="141" t="str">
        <f>VLOOKUP(B87,TH.T4!B85:AC415,28,FALSE)</f>
        <v>TTĐHDL</v>
      </c>
      <c r="AD87" s="108"/>
      <c r="AE87" s="108"/>
      <c r="AF87" s="155"/>
      <c r="AG87" s="108"/>
      <c r="AH87" s="108"/>
      <c r="AI87" s="108"/>
      <c r="AJ87" s="108"/>
      <c r="AK87" s="108"/>
      <c r="AL87" s="108"/>
    </row>
    <row r="88" spans="1:42" s="372" customFormat="1" ht="23.25" customHeight="1">
      <c r="A88" s="379">
        <f>_xlfn.AGGREGATE(4,7,A$22:A87)+1</f>
        <v>66</v>
      </c>
      <c r="B88" s="363" t="s">
        <v>1834</v>
      </c>
      <c r="C88" s="364"/>
      <c r="D88" s="434" t="s">
        <v>1967</v>
      </c>
      <c r="E88" s="480">
        <v>1603215005599</v>
      </c>
      <c r="F88" s="373">
        <v>3.66</v>
      </c>
      <c r="G88" s="367"/>
      <c r="H88" s="368">
        <f t="shared" si="14"/>
        <v>3.66</v>
      </c>
      <c r="I88" s="368">
        <v>0.45</v>
      </c>
      <c r="J88" s="81" t="str">
        <f>VLOOKUP(B88,TH.T5!B88:F417,5,FALSE)</f>
        <v>Phụ trách TT Thư viện</v>
      </c>
      <c r="K88" s="369">
        <f t="shared" si="15"/>
        <v>4.1100000000000003</v>
      </c>
      <c r="L88" s="362">
        <f t="shared" si="16"/>
        <v>7398000.0000000009</v>
      </c>
      <c r="M88" s="366" t="str">
        <f>VLOOKUP(B88,'[24]Gui chi Quynh'!$B$11:$E$400,4,FALSE)</f>
        <v>A3</v>
      </c>
      <c r="N88" s="494">
        <f t="shared" si="17"/>
        <v>8877600</v>
      </c>
      <c r="O88" s="366">
        <v>20</v>
      </c>
      <c r="P88" s="440">
        <f>IFERROR(INDEX('[17]CN BC'!$J$10:$J$276,MATCH(B88,'[17]CN BC'!$H$10:$H$276,0)),"")</f>
        <v>19</v>
      </c>
      <c r="Q88" s="494">
        <f t="shared" si="18"/>
        <v>8433720</v>
      </c>
      <c r="R88" s="460"/>
      <c r="S88" s="362">
        <f t="shared" ref="S88:S142" si="22">R88*$G$19*1</f>
        <v>0</v>
      </c>
      <c r="T88" s="370"/>
      <c r="U88" s="362">
        <f t="shared" si="19"/>
        <v>0</v>
      </c>
      <c r="V88" s="584">
        <f t="shared" si="20"/>
        <v>73980</v>
      </c>
      <c r="W88" s="371">
        <f t="shared" si="10"/>
        <v>8433720</v>
      </c>
      <c r="X88" s="977">
        <f t="shared" ref="X88:X151" si="23">W88/Y88</f>
        <v>4.6853999999999996</v>
      </c>
      <c r="Y88" s="999">
        <v>1800000</v>
      </c>
      <c r="Z88" s="1000">
        <f t="shared" ref="Z88:Z151" si="24">X88*Y88</f>
        <v>8433720</v>
      </c>
      <c r="AA88" s="568">
        <f t="shared" si="21"/>
        <v>66</v>
      </c>
      <c r="AB88" s="493" t="str">
        <f>IFERROR(INDEX('[17]CN BC'!$M$10:$M$276,MATCH(B88,'[17]CN BC'!$H$10:$H$276,0)),"")</f>
        <v>Trừ 1 ngày nghỉ phép 3/6</v>
      </c>
      <c r="AC88" s="141" t="str">
        <f>VLOOKUP(B88,TH.T4!B86:AC416,28,FALSE)</f>
        <v>TTTV</v>
      </c>
      <c r="AD88" s="108"/>
      <c r="AE88" s="108"/>
      <c r="AF88" s="155"/>
      <c r="AG88" s="108"/>
      <c r="AH88" s="108"/>
      <c r="AI88" s="108"/>
      <c r="AJ88" s="108"/>
      <c r="AK88" s="108"/>
      <c r="AL88" s="108"/>
    </row>
    <row r="89" spans="1:42" s="372" customFormat="1" ht="27" customHeight="1">
      <c r="A89" s="379">
        <f>_xlfn.AGGREGATE(4,7,A$22:A88)+1</f>
        <v>67</v>
      </c>
      <c r="B89" s="363" t="s">
        <v>1468</v>
      </c>
      <c r="C89" s="375" t="s">
        <v>883</v>
      </c>
      <c r="D89" s="434" t="s">
        <v>1676</v>
      </c>
      <c r="E89" s="426" t="s">
        <v>1580</v>
      </c>
      <c r="F89" s="373">
        <v>3.33</v>
      </c>
      <c r="G89" s="367"/>
      <c r="H89" s="445">
        <f t="shared" si="14"/>
        <v>3.33</v>
      </c>
      <c r="I89" s="368"/>
      <c r="J89" s="81" t="str">
        <f>VLOOKUP(B89,TH.T5!B89:F418,5,FALSE)</f>
        <v>Nhân viên TT Thư viện</v>
      </c>
      <c r="K89" s="369">
        <f t="shared" si="15"/>
        <v>3.33</v>
      </c>
      <c r="L89" s="362">
        <f t="shared" si="16"/>
        <v>5994000</v>
      </c>
      <c r="M89" s="366" t="str">
        <f>VLOOKUP(B89,'[24]Gui chi Quynh'!$B$11:$E$400,4,FALSE)</f>
        <v>A3</v>
      </c>
      <c r="N89" s="494">
        <f t="shared" si="17"/>
        <v>7192800</v>
      </c>
      <c r="O89" s="366">
        <v>20</v>
      </c>
      <c r="P89" s="440">
        <f>IFERROR(INDEX('[17]CN BC'!$J$10:$J$276,MATCH(B89,'[17]CN BC'!$H$10:$H$276,0)),"")</f>
        <v>21</v>
      </c>
      <c r="Q89" s="494">
        <f t="shared" si="18"/>
        <v>7192800</v>
      </c>
      <c r="R89" s="392"/>
      <c r="S89" s="362">
        <f t="shared" si="22"/>
        <v>0</v>
      </c>
      <c r="T89" s="370"/>
      <c r="U89" s="362">
        <f t="shared" si="19"/>
        <v>0</v>
      </c>
      <c r="V89" s="584">
        <f t="shared" si="20"/>
        <v>59940</v>
      </c>
      <c r="W89" s="371">
        <f t="shared" ref="W89:W153" si="25">(Q89+S89+U89)</f>
        <v>7192800</v>
      </c>
      <c r="X89" s="977">
        <f t="shared" si="23"/>
        <v>3.996</v>
      </c>
      <c r="Y89" s="999">
        <v>1800000</v>
      </c>
      <c r="Z89" s="1000">
        <f t="shared" si="24"/>
        <v>7192800</v>
      </c>
      <c r="AA89" s="568">
        <f t="shared" si="21"/>
        <v>67</v>
      </c>
      <c r="AB89" s="493">
        <f>IFERROR(INDEX('[17]CN BC'!$M$10:$M$276,MATCH(B89,'[17]CN BC'!$H$10:$H$276,0)),"")</f>
        <v>0</v>
      </c>
      <c r="AC89" s="141" t="str">
        <f>VLOOKUP(B89,TH.T4!B87:AC417,28,FALSE)</f>
        <v>TTTV</v>
      </c>
      <c r="AD89" s="108"/>
      <c r="AE89" s="108"/>
      <c r="AF89" s="155"/>
      <c r="AG89" s="108"/>
      <c r="AH89" s="108"/>
      <c r="AI89" s="108"/>
      <c r="AJ89" s="108"/>
      <c r="AK89" s="108"/>
      <c r="AL89" s="108"/>
    </row>
    <row r="90" spans="1:42" s="372" customFormat="1" ht="27" customHeight="1">
      <c r="A90" s="379">
        <f>_xlfn.AGGREGATE(4,7,A$22:A89)+1</f>
        <v>68</v>
      </c>
      <c r="B90" s="363" t="s">
        <v>1469</v>
      </c>
      <c r="C90" s="375" t="s">
        <v>49</v>
      </c>
      <c r="D90" s="434" t="s">
        <v>1677</v>
      </c>
      <c r="E90" s="430">
        <v>1603205185623</v>
      </c>
      <c r="F90" s="373">
        <v>3.33</v>
      </c>
      <c r="G90" s="367"/>
      <c r="H90" s="445">
        <f t="shared" si="14"/>
        <v>3.33</v>
      </c>
      <c r="I90" s="368"/>
      <c r="J90" s="81" t="str">
        <f>VLOOKUP(B90,TH.T5!B90:F419,5,FALSE)</f>
        <v>Nhân viên TT Thư viện</v>
      </c>
      <c r="K90" s="369">
        <f t="shared" si="15"/>
        <v>3.33</v>
      </c>
      <c r="L90" s="362">
        <f t="shared" si="16"/>
        <v>5994000</v>
      </c>
      <c r="M90" s="366" t="str">
        <f>VLOOKUP(B90,'[24]Gui chi Quynh'!$B$11:$E$400,4,FALSE)</f>
        <v>A3</v>
      </c>
      <c r="N90" s="494">
        <f t="shared" si="17"/>
        <v>7192800</v>
      </c>
      <c r="O90" s="366">
        <v>20</v>
      </c>
      <c r="P90" s="440">
        <f>IFERROR(INDEX('[17]CN BC'!$J$10:$J$276,MATCH(B90,'[17]CN BC'!$H$10:$H$276,0)),"")</f>
        <v>19</v>
      </c>
      <c r="Q90" s="494">
        <f t="shared" si="18"/>
        <v>6833160</v>
      </c>
      <c r="R90" s="460"/>
      <c r="S90" s="362">
        <f t="shared" si="22"/>
        <v>0</v>
      </c>
      <c r="T90" s="370"/>
      <c r="U90" s="362">
        <f t="shared" si="19"/>
        <v>0</v>
      </c>
      <c r="V90" s="584">
        <f t="shared" si="20"/>
        <v>59940</v>
      </c>
      <c r="W90" s="371">
        <f t="shared" si="25"/>
        <v>6833160</v>
      </c>
      <c r="X90" s="977">
        <f t="shared" si="23"/>
        <v>3.7961999999999998</v>
      </c>
      <c r="Y90" s="999">
        <v>1800000</v>
      </c>
      <c r="Z90" s="1000">
        <f t="shared" si="24"/>
        <v>6833160</v>
      </c>
      <c r="AA90" s="568">
        <f t="shared" si="21"/>
        <v>68</v>
      </c>
      <c r="AB90" s="493" t="str">
        <f>IFERROR(INDEX('[17]CN BC'!$M$10:$M$276,MATCH(B90,'[17]CN BC'!$H$10:$H$276,0)),"")</f>
        <v>Trừ 1 ngày nghỉ phép 10/6</v>
      </c>
      <c r="AC90" s="141" t="str">
        <f>VLOOKUP(B90,TH.T4!B88:AC418,28,FALSE)</f>
        <v>TTTV</v>
      </c>
      <c r="AD90" s="108"/>
      <c r="AE90" s="108"/>
      <c r="AF90" s="155"/>
      <c r="AG90" s="108"/>
      <c r="AH90" s="108"/>
      <c r="AI90" s="108"/>
      <c r="AJ90" s="108"/>
      <c r="AK90" s="108"/>
      <c r="AL90" s="108"/>
    </row>
    <row r="91" spans="1:42" s="372" customFormat="1" ht="27" customHeight="1">
      <c r="A91" s="379">
        <f>_xlfn.AGGREGATE(4,7,A$22:A90)+1</f>
        <v>69</v>
      </c>
      <c r="B91" s="363" t="s">
        <v>1864</v>
      </c>
      <c r="C91" s="380" t="s">
        <v>1066</v>
      </c>
      <c r="D91" s="434" t="s">
        <v>1678</v>
      </c>
      <c r="E91" s="423" t="s">
        <v>1402</v>
      </c>
      <c r="F91" s="366">
        <v>4.9800000000000004</v>
      </c>
      <c r="G91" s="367">
        <v>0.05</v>
      </c>
      <c r="H91" s="368">
        <f t="shared" si="14"/>
        <v>5.2290000000000001</v>
      </c>
      <c r="I91" s="368"/>
      <c r="J91" s="81" t="str">
        <f>VLOOKUP(B91,TH.T5!B91:F420,5,FALSE)</f>
        <v>Nhân viên TT Thư viện</v>
      </c>
      <c r="K91" s="369">
        <f t="shared" si="15"/>
        <v>5.2290000000000001</v>
      </c>
      <c r="L91" s="362">
        <f t="shared" si="16"/>
        <v>9412200</v>
      </c>
      <c r="M91" s="366" t="str">
        <f>VLOOKUP(B91,'[24]Gui chi Quynh'!$B$11:$E$400,4,FALSE)</f>
        <v>A4</v>
      </c>
      <c r="N91" s="494">
        <f t="shared" si="17"/>
        <v>9412200</v>
      </c>
      <c r="O91" s="366">
        <v>20</v>
      </c>
      <c r="P91" s="440">
        <f>IFERROR(INDEX('[17]CN BC'!$J$10:$J$276,MATCH(B91,'[17]CN BC'!$H$10:$H$276,0)),"")</f>
        <v>20</v>
      </c>
      <c r="Q91" s="494">
        <f t="shared" si="18"/>
        <v>9412200</v>
      </c>
      <c r="R91" s="460"/>
      <c r="S91" s="362">
        <f t="shared" si="22"/>
        <v>0</v>
      </c>
      <c r="T91" s="370"/>
      <c r="U91" s="362">
        <f t="shared" si="19"/>
        <v>0</v>
      </c>
      <c r="V91" s="362">
        <f t="shared" si="20"/>
        <v>94122</v>
      </c>
      <c r="W91" s="371">
        <f t="shared" si="25"/>
        <v>9412200</v>
      </c>
      <c r="X91" s="977">
        <f t="shared" si="23"/>
        <v>5.2290000000000001</v>
      </c>
      <c r="Y91" s="999">
        <v>1800000</v>
      </c>
      <c r="Z91" s="1000">
        <f t="shared" si="24"/>
        <v>9412200</v>
      </c>
      <c r="AA91" s="568">
        <f t="shared" si="21"/>
        <v>69</v>
      </c>
      <c r="AB91" s="493">
        <f>IFERROR(INDEX('[17]CN BC'!$M$10:$M$276,MATCH(B91,'[17]CN BC'!$H$10:$H$276,0)),"")</f>
        <v>0</v>
      </c>
      <c r="AC91" s="536" t="str">
        <f>VLOOKUP(B91,TH.T4!B89:AC419,28,FALSE)</f>
        <v>TTTV</v>
      </c>
      <c r="AF91" s="487"/>
    </row>
    <row r="92" spans="1:42" s="372" customFormat="1" ht="30" customHeight="1">
      <c r="A92" s="379">
        <f>_xlfn.AGGREGATE(4,7,A$22:A91)+1</f>
        <v>70</v>
      </c>
      <c r="B92" s="363" t="s">
        <v>1471</v>
      </c>
      <c r="C92" s="364" t="s">
        <v>1060</v>
      </c>
      <c r="D92" s="434" t="s">
        <v>1680</v>
      </c>
      <c r="E92" s="426" t="s">
        <v>1581</v>
      </c>
      <c r="F92" s="366">
        <v>4.9800000000000004</v>
      </c>
      <c r="G92" s="367"/>
      <c r="H92" s="368">
        <f t="shared" si="14"/>
        <v>4.9800000000000004</v>
      </c>
      <c r="I92" s="368">
        <v>0.45</v>
      </c>
      <c r="J92" s="81" t="str">
        <f>VLOOKUP(B92,TH.T5!B92:F421,5,FALSE)</f>
        <v>Trưởng phòng KHCN &amp; HTQT</v>
      </c>
      <c r="K92" s="369">
        <f t="shared" si="15"/>
        <v>5.4300000000000006</v>
      </c>
      <c r="L92" s="362">
        <f t="shared" si="16"/>
        <v>9774000.0000000019</v>
      </c>
      <c r="M92" s="366" t="str">
        <f>VLOOKUP(B92,'[24]Gui chi Quynh'!$B$11:$E$400,4,FALSE)</f>
        <v>A1</v>
      </c>
      <c r="N92" s="494">
        <f t="shared" si="17"/>
        <v>15638400.000000004</v>
      </c>
      <c r="O92" s="366">
        <v>20</v>
      </c>
      <c r="P92" s="440">
        <f>IFERROR(INDEX('[17]CN BC'!$J$10:$J$276,MATCH(B92,'[17]CN BC'!$H$10:$H$276,0)),"")</f>
        <v>20</v>
      </c>
      <c r="Q92" s="494">
        <f t="shared" si="18"/>
        <v>15638400.000000004</v>
      </c>
      <c r="R92" s="460"/>
      <c r="S92" s="362">
        <f t="shared" si="22"/>
        <v>0</v>
      </c>
      <c r="T92" s="370"/>
      <c r="U92" s="362">
        <f t="shared" si="19"/>
        <v>0</v>
      </c>
      <c r="V92" s="584">
        <f t="shared" si="20"/>
        <v>97740</v>
      </c>
      <c r="W92" s="371">
        <f t="shared" si="25"/>
        <v>15638400.000000004</v>
      </c>
      <c r="X92" s="977">
        <f t="shared" si="23"/>
        <v>8.6880000000000024</v>
      </c>
      <c r="Y92" s="999">
        <v>1800000</v>
      </c>
      <c r="Z92" s="1000">
        <f t="shared" si="24"/>
        <v>15638400.000000004</v>
      </c>
      <c r="AA92" s="568">
        <f t="shared" si="21"/>
        <v>70</v>
      </c>
      <c r="AB92" s="493">
        <f>IFERROR(INDEX('[17]CN BC'!$M$10:$M$276,MATCH(B92,'[17]CN BC'!$H$10:$H$276,0)),"")</f>
        <v>0</v>
      </c>
      <c r="AC92" s="141" t="str">
        <f>VLOOKUP(B92,TH.T4!B90:AC420,28,FALSE)</f>
        <v>QLKH</v>
      </c>
      <c r="AF92" s="487"/>
    </row>
    <row r="93" spans="1:42" s="372" customFormat="1" ht="30" customHeight="1">
      <c r="A93" s="379">
        <f>_xlfn.AGGREGATE(4,7,A$22:A92)+1</f>
        <v>71</v>
      </c>
      <c r="B93" s="444" t="s">
        <v>2009</v>
      </c>
      <c r="C93" s="419"/>
      <c r="D93" s="418"/>
      <c r="E93" s="426"/>
      <c r="F93" s="373">
        <v>3.66</v>
      </c>
      <c r="G93" s="367"/>
      <c r="H93" s="368">
        <f>F93+(F93*G93)</f>
        <v>3.66</v>
      </c>
      <c r="I93" s="368"/>
      <c r="J93" s="81" t="str">
        <f>VLOOKUP(B93,TH.T5!B93:F422,5,FALSE)</f>
        <v>NV Phòng KHCN &amp; HTQT</v>
      </c>
      <c r="K93" s="369">
        <f>H93+I93</f>
        <v>3.66</v>
      </c>
      <c r="L93" s="362">
        <f>K93*$G$19</f>
        <v>6588000</v>
      </c>
      <c r="M93" s="366" t="str">
        <f>VLOOKUP(B93,'[24]Gui chi Quynh'!$B$11:$E$400,4,FALSE)</f>
        <v>A2</v>
      </c>
      <c r="N93" s="494">
        <f>IF(M93="A1",L93*1.6,IF(M93="A2",L93*1.4,IF(M93="A3",L93*1.2,IF(M93="A4",L93*1,IF(M93="B1",L93*0.7,IF(M93="B2",L93*0.5,IF(M93="C1",L93*0.3,IF(M93="C2",L93*0.2,0))))))))</f>
        <v>9223200</v>
      </c>
      <c r="O93" s="366">
        <v>20</v>
      </c>
      <c r="P93" s="440">
        <f>IFERROR(INDEX('[17]CN BC'!$J$10:$J$276,MATCH(B93,'[17]CN BC'!$H$10:$H$276,0)),"")</f>
        <v>20</v>
      </c>
      <c r="Q93" s="494">
        <f>IF(P93&gt;=O93,N93,N93/O93*P93)</f>
        <v>9223200</v>
      </c>
      <c r="R93" s="460"/>
      <c r="S93" s="362">
        <f>R93*$G$19*1</f>
        <v>0</v>
      </c>
      <c r="T93" s="370"/>
      <c r="U93" s="362">
        <f>T93*$G$19*1</f>
        <v>0</v>
      </c>
      <c r="V93" s="584">
        <f>IF(OR(M93="A DN",M93="KXL", M93=""),"0",ROUND(K93*0.01*$G$19+R93*1%*$G$19+T93*1%*$G$19,))</f>
        <v>65880</v>
      </c>
      <c r="W93" s="371">
        <f>(Q93+S93+U93)</f>
        <v>9223200</v>
      </c>
      <c r="X93" s="977">
        <f t="shared" si="23"/>
        <v>5.1239999999999997</v>
      </c>
      <c r="Y93" s="999">
        <v>1800000</v>
      </c>
      <c r="Z93" s="1000">
        <f t="shared" si="24"/>
        <v>9223200</v>
      </c>
      <c r="AA93" s="568">
        <f t="shared" si="21"/>
        <v>71</v>
      </c>
      <c r="AB93" s="493">
        <f>IFERROR(INDEX('[17]CN BC'!$M$10:$M$276,MATCH(B93,'[17]CN BC'!$H$10:$H$276,0)),"")</f>
        <v>0</v>
      </c>
      <c r="AC93" s="141" t="str">
        <f>VLOOKUP(B93,TH.T4!B91:AC421,28,FALSE)</f>
        <v>QLKH</v>
      </c>
      <c r="AF93" s="487"/>
    </row>
    <row r="94" spans="1:42" s="372" customFormat="1" ht="30" customHeight="1">
      <c r="A94" s="379">
        <f>_xlfn.AGGREGATE(4,7,A$22:A93)+1</f>
        <v>72</v>
      </c>
      <c r="B94" s="444" t="s">
        <v>1830</v>
      </c>
      <c r="C94" s="419" t="s">
        <v>1087</v>
      </c>
      <c r="D94" s="418" t="s">
        <v>1829</v>
      </c>
      <c r="E94" s="446">
        <v>1603205354978</v>
      </c>
      <c r="F94" s="366">
        <v>2.67</v>
      </c>
      <c r="G94" s="367"/>
      <c r="H94" s="368">
        <f>F94+(F94*G94)</f>
        <v>2.67</v>
      </c>
      <c r="I94" s="368">
        <v>0.45</v>
      </c>
      <c r="J94" s="81" t="str">
        <f>VLOOKUP(B94,TH.T5!B94:F423,5,FALSE)</f>
        <v>Giám đốc TT Đào tạo và QLTB</v>
      </c>
      <c r="K94" s="369">
        <f>H94+I94</f>
        <v>3.12</v>
      </c>
      <c r="L94" s="362">
        <f>K94*TH.T6!$G$19</f>
        <v>5616000</v>
      </c>
      <c r="M94" s="366" t="str">
        <f>VLOOKUP(B94,'[24]Gui chi Quynh'!$B$11:$E$400,4,FALSE)</f>
        <v>A1</v>
      </c>
      <c r="N94" s="494">
        <f t="shared" si="17"/>
        <v>8985600</v>
      </c>
      <c r="O94" s="366">
        <v>20</v>
      </c>
      <c r="P94" s="440">
        <f>IFERROR(INDEX('[17]CN BC'!$J$10:$J$276,MATCH(B94,'[17]CN BC'!$H$10:$H$276,0)),"")</f>
        <v>30</v>
      </c>
      <c r="Q94" s="362">
        <f>IF(P94&gt;=O94,N94,N94/O94*P94)</f>
        <v>8985600</v>
      </c>
      <c r="R94" s="392"/>
      <c r="S94" s="362">
        <f>R94*TH.T6!$G$19*1</f>
        <v>0</v>
      </c>
      <c r="T94" s="370"/>
      <c r="U94" s="362">
        <f>T94*[3]CN!$G$8*0.65</f>
        <v>0</v>
      </c>
      <c r="V94" s="584">
        <f>IF(OR(M94="A DN",M94="KXL", M94=""),"0",ROUND(K94*0.01*TH.T6!$G$19+R94*1%*TH.T6!$G$19+T94*1%*TH.T6!$G$19,))</f>
        <v>56160</v>
      </c>
      <c r="W94" s="371">
        <f t="shared" si="25"/>
        <v>8985600</v>
      </c>
      <c r="X94" s="977">
        <f t="shared" si="23"/>
        <v>4.992</v>
      </c>
      <c r="Y94" s="999">
        <v>1800000</v>
      </c>
      <c r="Z94" s="1000">
        <f t="shared" si="24"/>
        <v>8985600</v>
      </c>
      <c r="AA94" s="568">
        <f t="shared" si="21"/>
        <v>72</v>
      </c>
      <c r="AB94" s="493">
        <f>IFERROR(INDEX('[17]CN BC'!$M$10:$M$276,MATCH(B94,'[17]CN BC'!$H$10:$H$276,0)),"")</f>
        <v>0</v>
      </c>
      <c r="AC94" s="141" t="str">
        <f>VLOOKUP(B94,TH.T4!B92:AC422,28,FALSE)</f>
        <v>TTĐT</v>
      </c>
      <c r="AD94" s="155"/>
      <c r="AE94" s="108"/>
      <c r="AF94" s="108"/>
      <c r="AG94" s="108"/>
      <c r="AH94" s="108"/>
      <c r="AI94" s="108"/>
      <c r="AJ94" s="108"/>
      <c r="AK94" s="108"/>
      <c r="AL94" s="108"/>
    </row>
    <row r="95" spans="1:42" s="108" customFormat="1" ht="30" customHeight="1">
      <c r="A95" s="379">
        <f>_xlfn.AGGREGATE(4,7,A$22:A94)+1</f>
        <v>73</v>
      </c>
      <c r="B95" s="33" t="s">
        <v>2005</v>
      </c>
      <c r="C95" s="149" t="s">
        <v>987</v>
      </c>
      <c r="D95" s="62" t="s">
        <v>1826</v>
      </c>
      <c r="E95" s="75" t="s">
        <v>12</v>
      </c>
      <c r="F95" s="81">
        <v>3.34</v>
      </c>
      <c r="G95" s="172"/>
      <c r="H95" s="81">
        <f>F95+(F95*G95)</f>
        <v>3.34</v>
      </c>
      <c r="I95" s="172">
        <v>0</v>
      </c>
      <c r="J95" s="81" t="str">
        <f>VLOOKUP(B95,TH.T5!B95:F424,5,FALSE)</f>
        <v>Giám đốc TT Đào tạo và QLTB</v>
      </c>
      <c r="K95" s="10">
        <f>I95+H95</f>
        <v>3.34</v>
      </c>
      <c r="L95" s="362">
        <f>K95*TH.T6!$G$19</f>
        <v>6012000</v>
      </c>
      <c r="M95" s="366" t="str">
        <f>VLOOKUP(B95,'[24]Gui chi Quynh'!$B$11:$E$400,4,FALSE)</f>
        <v>A4</v>
      </c>
      <c r="N95" s="494">
        <f t="shared" si="17"/>
        <v>6012000</v>
      </c>
      <c r="O95" s="366">
        <v>20</v>
      </c>
      <c r="P95" s="440">
        <f>IFERROR(INDEX('[17]CN BC'!$J$10:$J$276,MATCH(B95,'[17]CN BC'!$H$10:$H$276,0)),"")</f>
        <v>25</v>
      </c>
      <c r="Q95" s="31">
        <f>IF(P95&gt;=O95,N95,N95/O95*P95)</f>
        <v>6012000</v>
      </c>
      <c r="R95" s="517"/>
      <c r="S95" s="31">
        <f>R95*$H$20*0.65</f>
        <v>0</v>
      </c>
      <c r="T95" s="74"/>
      <c r="U95" s="31">
        <f>T95*$H$20*0.65</f>
        <v>0</v>
      </c>
      <c r="V95" s="585">
        <f>L95*1%</f>
        <v>60120</v>
      </c>
      <c r="W95" s="371">
        <f t="shared" si="25"/>
        <v>6012000</v>
      </c>
      <c r="X95" s="977">
        <f t="shared" si="23"/>
        <v>3.34</v>
      </c>
      <c r="Y95" s="999">
        <v>1800000</v>
      </c>
      <c r="Z95" s="1000">
        <f t="shared" si="24"/>
        <v>6012000</v>
      </c>
      <c r="AA95" s="568">
        <f t="shared" si="21"/>
        <v>73</v>
      </c>
      <c r="AB95" s="493">
        <f>IFERROR(INDEX('[17]CN BC'!$M$10:$M$276,MATCH(B95,'[17]CN BC'!$H$10:$H$276,0)),"")</f>
        <v>0</v>
      </c>
      <c r="AC95" s="141" t="str">
        <f>VLOOKUP(B95,TH.T4!B93:AC423,28,FALSE)</f>
        <v>TTĐT</v>
      </c>
    </row>
    <row r="96" spans="1:42" s="372" customFormat="1" ht="30" customHeight="1">
      <c r="A96" s="379">
        <f>_xlfn.AGGREGATE(4,7,A$22:A95)+1</f>
        <v>74</v>
      </c>
      <c r="B96" s="444" t="s">
        <v>1607</v>
      </c>
      <c r="C96" s="419" t="s">
        <v>1009</v>
      </c>
      <c r="D96" s="418" t="s">
        <v>1957</v>
      </c>
      <c r="E96" s="479">
        <v>1603215003961</v>
      </c>
      <c r="F96" s="373">
        <v>3.66</v>
      </c>
      <c r="G96" s="367"/>
      <c r="H96" s="445">
        <f t="shared" si="14"/>
        <v>3.66</v>
      </c>
      <c r="I96" s="368">
        <v>0.45</v>
      </c>
      <c r="J96" s="81" t="str">
        <f>VLOOKUP(B96,TH.T5!B96:F425,5,FALSE)</f>
        <v>Trưởng khoa Xây dựng - Nhiệt lạnh</v>
      </c>
      <c r="K96" s="369">
        <f t="shared" si="15"/>
        <v>4.1100000000000003</v>
      </c>
      <c r="L96" s="362">
        <f>K96*TH.T6!$G$19</f>
        <v>7398000.0000000009</v>
      </c>
      <c r="M96" s="366" t="str">
        <f>VLOOKUP(B96,'[24]Gui chi Quynh'!$B$11:$E$400,4,FALSE)</f>
        <v>A1</v>
      </c>
      <c r="N96" s="494">
        <f t="shared" si="17"/>
        <v>11836800.000000002</v>
      </c>
      <c r="O96" s="366">
        <v>20</v>
      </c>
      <c r="P96" s="440">
        <f>IFERROR(INDEX('[17]CN BC'!$J$10:$J$276,MATCH(B96,'[17]CN BC'!$H$10:$H$276,0)),"")</f>
        <v>20</v>
      </c>
      <c r="Q96" s="494">
        <f t="shared" si="18"/>
        <v>11836800.000000002</v>
      </c>
      <c r="R96" s="460"/>
      <c r="S96" s="362">
        <f t="shared" si="22"/>
        <v>0</v>
      </c>
      <c r="T96" s="370"/>
      <c r="U96" s="362">
        <f t="shared" si="19"/>
        <v>0</v>
      </c>
      <c r="V96" s="362">
        <f t="shared" si="20"/>
        <v>73980</v>
      </c>
      <c r="W96" s="371">
        <f t="shared" si="25"/>
        <v>11836800.000000002</v>
      </c>
      <c r="X96" s="977">
        <f t="shared" si="23"/>
        <v>6.5760000000000014</v>
      </c>
      <c r="Y96" s="999">
        <v>1800000</v>
      </c>
      <c r="Z96" s="1000">
        <f t="shared" si="24"/>
        <v>11836800.000000002</v>
      </c>
      <c r="AA96" s="568">
        <f t="shared" si="21"/>
        <v>74</v>
      </c>
      <c r="AB96" s="493">
        <f>IFERROR(INDEX('[17]CN BC'!$M$10:$M$276,MATCH(B96,'[17]CN BC'!$H$10:$H$276,0)),"")</f>
        <v>0</v>
      </c>
      <c r="AC96" s="141" t="str">
        <f>VLOOKUP(B96,TH.T4!B94:AC424,28,FALSE)</f>
        <v>XD-NL</v>
      </c>
      <c r="AF96" s="487"/>
    </row>
    <row r="97" spans="1:42" s="372" customFormat="1" ht="30" customHeight="1">
      <c r="A97" s="379">
        <f>_xlfn.AGGREGATE(4,7,A$22:A96)+1</f>
        <v>75</v>
      </c>
      <c r="B97" s="363" t="s">
        <v>1924</v>
      </c>
      <c r="C97" s="364"/>
      <c r="D97" s="434" t="s">
        <v>1958</v>
      </c>
      <c r="E97" s="480" t="s">
        <v>1935</v>
      </c>
      <c r="F97" s="373">
        <v>3</v>
      </c>
      <c r="G97" s="367"/>
      <c r="H97" s="445">
        <f t="shared" si="14"/>
        <v>3</v>
      </c>
      <c r="I97" s="368"/>
      <c r="J97" s="81" t="str">
        <f>VLOOKUP(B97,TH.T5!B97:F426,5,FALSE)</f>
        <v>Giảng viên khoa Xây dựng - Nhiệt lạnh</v>
      </c>
      <c r="K97" s="369">
        <f t="shared" si="15"/>
        <v>3</v>
      </c>
      <c r="L97" s="362">
        <f t="shared" si="16"/>
        <v>5400000</v>
      </c>
      <c r="M97" s="366" t="str">
        <f>VLOOKUP(B97,'[24]Gui chi Quynh'!$B$11:$E$400,4,FALSE)</f>
        <v>A4</v>
      </c>
      <c r="N97" s="494">
        <f t="shared" si="17"/>
        <v>5400000</v>
      </c>
      <c r="O97" s="366">
        <v>20</v>
      </c>
      <c r="P97" s="440">
        <f>IFERROR(INDEX('[17]CN BC'!$J$10:$J$276,MATCH(B97,'[17]CN BC'!$H$10:$H$276,0)),"")</f>
        <v>20</v>
      </c>
      <c r="Q97" s="494">
        <f t="shared" si="18"/>
        <v>5400000</v>
      </c>
      <c r="R97" s="460"/>
      <c r="S97" s="362">
        <f t="shared" si="22"/>
        <v>0</v>
      </c>
      <c r="T97" s="370"/>
      <c r="U97" s="362">
        <f t="shared" si="19"/>
        <v>0</v>
      </c>
      <c r="V97" s="362">
        <f t="shared" si="20"/>
        <v>54000</v>
      </c>
      <c r="W97" s="371">
        <f t="shared" si="25"/>
        <v>5400000</v>
      </c>
      <c r="X97" s="977">
        <f t="shared" si="23"/>
        <v>3</v>
      </c>
      <c r="Y97" s="999">
        <v>1800000</v>
      </c>
      <c r="Z97" s="1000">
        <f t="shared" si="24"/>
        <v>5400000</v>
      </c>
      <c r="AA97" s="568">
        <f t="shared" si="21"/>
        <v>75</v>
      </c>
      <c r="AB97" s="493">
        <f>IFERROR(INDEX('[17]CN BC'!$M$10:$M$276,MATCH(B97,'[17]CN BC'!$H$10:$H$276,0)),"")</f>
        <v>0</v>
      </c>
      <c r="AC97" s="141" t="str">
        <f>VLOOKUP(B97,TH.T4!B95:AC425,28,FALSE)</f>
        <v>XD-NL</v>
      </c>
      <c r="AF97" s="487"/>
    </row>
    <row r="98" spans="1:42" s="372" customFormat="1" ht="30" customHeight="1">
      <c r="A98" s="379">
        <f>_xlfn.AGGREGATE(4,7,A$22:A97)+1</f>
        <v>76</v>
      </c>
      <c r="B98" s="363" t="s">
        <v>1944</v>
      </c>
      <c r="C98" s="364"/>
      <c r="D98" s="434" t="s">
        <v>1959</v>
      </c>
      <c r="E98" s="479"/>
      <c r="F98" s="366">
        <v>2.34</v>
      </c>
      <c r="G98" s="367"/>
      <c r="H98" s="445">
        <f t="shared" si="14"/>
        <v>2.34</v>
      </c>
      <c r="I98" s="368"/>
      <c r="J98" s="81" t="str">
        <f>VLOOKUP(B98,TH.T5!B98:F427,5,FALSE)</f>
        <v>Giảng viên khoa Xây dựng - Nhiệt lạnh</v>
      </c>
      <c r="K98" s="369">
        <f t="shared" si="15"/>
        <v>2.34</v>
      </c>
      <c r="L98" s="362">
        <f t="shared" si="16"/>
        <v>4212000</v>
      </c>
      <c r="M98" s="366" t="str">
        <f>VLOOKUP(B98,'[24]Gui chi Quynh'!$B$11:$E$400,4,FALSE)</f>
        <v>A3</v>
      </c>
      <c r="N98" s="494">
        <f t="shared" si="17"/>
        <v>5054400</v>
      </c>
      <c r="O98" s="366">
        <v>20</v>
      </c>
      <c r="P98" s="440">
        <f>IFERROR(INDEX('[17]CN BC'!$J$10:$J$276,MATCH(B98,'[17]CN BC'!$H$10:$H$276,0)),"")</f>
        <v>20</v>
      </c>
      <c r="Q98" s="494">
        <f t="shared" si="18"/>
        <v>5054400</v>
      </c>
      <c r="R98" s="460"/>
      <c r="S98" s="362">
        <f t="shared" si="22"/>
        <v>0</v>
      </c>
      <c r="T98" s="370"/>
      <c r="U98" s="362">
        <f t="shared" si="19"/>
        <v>0</v>
      </c>
      <c r="V98" s="362">
        <f t="shared" si="20"/>
        <v>42120</v>
      </c>
      <c r="W98" s="371">
        <f t="shared" si="25"/>
        <v>5054400</v>
      </c>
      <c r="X98" s="977">
        <f t="shared" si="23"/>
        <v>2.8079999999999998</v>
      </c>
      <c r="Y98" s="999">
        <v>1800000</v>
      </c>
      <c r="Z98" s="1000">
        <f t="shared" si="24"/>
        <v>5054400</v>
      </c>
      <c r="AA98" s="568">
        <f t="shared" si="21"/>
        <v>76</v>
      </c>
      <c r="AB98" s="493">
        <f>IFERROR(INDEX('[17]CN BC'!$M$10:$M$276,MATCH(B98,'[17]CN BC'!$H$10:$H$276,0)),"")</f>
        <v>0</v>
      </c>
      <c r="AC98" s="141" t="str">
        <f>VLOOKUP(B98,TH.T4!B96:AC426,28,FALSE)</f>
        <v>XD-NL</v>
      </c>
      <c r="AF98" s="487"/>
    </row>
    <row r="99" spans="1:42" s="372" customFormat="1" ht="25.5" customHeight="1">
      <c r="A99" s="379">
        <f>_xlfn.AGGREGATE(4,7,A$22:A98)+1</f>
        <v>77</v>
      </c>
      <c r="B99" s="363" t="s">
        <v>1472</v>
      </c>
      <c r="C99" s="364" t="s">
        <v>939</v>
      </c>
      <c r="D99" s="406" t="s">
        <v>1682</v>
      </c>
      <c r="E99" s="426" t="s">
        <v>1582</v>
      </c>
      <c r="F99" s="373">
        <v>3.99</v>
      </c>
      <c r="G99" s="367"/>
      <c r="H99" s="368">
        <f t="shared" si="14"/>
        <v>3.99</v>
      </c>
      <c r="I99" s="368">
        <v>0.45</v>
      </c>
      <c r="J99" s="81" t="str">
        <f>VLOOKUP(B99,TH.T5!B99:F428,5,FALSE)</f>
        <v>Trưởng khoa Kinh tế</v>
      </c>
      <c r="K99" s="369">
        <f t="shared" si="15"/>
        <v>4.4400000000000004</v>
      </c>
      <c r="L99" s="362">
        <f t="shared" si="16"/>
        <v>7992000.0000000009</v>
      </c>
      <c r="M99" s="366" t="str">
        <f>VLOOKUP(B99,'[24]Gui chi Quynh'!$B$11:$E$400,4,FALSE)</f>
        <v>A2</v>
      </c>
      <c r="N99" s="494">
        <f t="shared" si="17"/>
        <v>11188800</v>
      </c>
      <c r="O99" s="366">
        <v>20</v>
      </c>
      <c r="P99" s="440">
        <f>IFERROR(INDEX('[17]CN BC'!$J$10:$J$276,MATCH(B99,'[17]CN BC'!$H$10:$H$276,0)),"")</f>
        <v>20</v>
      </c>
      <c r="Q99" s="494">
        <f t="shared" si="18"/>
        <v>11188800</v>
      </c>
      <c r="R99" s="392"/>
      <c r="S99" s="362">
        <f t="shared" si="22"/>
        <v>0</v>
      </c>
      <c r="T99" s="370"/>
      <c r="U99" s="362">
        <f t="shared" si="19"/>
        <v>0</v>
      </c>
      <c r="V99" s="584">
        <f t="shared" si="20"/>
        <v>79920</v>
      </c>
      <c r="W99" s="371">
        <f t="shared" si="25"/>
        <v>11188800</v>
      </c>
      <c r="X99" s="977">
        <f t="shared" si="23"/>
        <v>6.2160000000000002</v>
      </c>
      <c r="Y99" s="999">
        <v>1800000</v>
      </c>
      <c r="Z99" s="1000">
        <f t="shared" si="24"/>
        <v>11188800</v>
      </c>
      <c r="AA99" s="568">
        <f t="shared" si="21"/>
        <v>77</v>
      </c>
      <c r="AB99" s="493">
        <f>IFERROR(INDEX('[17]CN BC'!$M$10:$M$276,MATCH(B99,'[17]CN BC'!$H$10:$H$276,0)),"")</f>
        <v>0</v>
      </c>
      <c r="AC99" s="141" t="str">
        <f>VLOOKUP(B99,TH.T4!B97:AC427,28,FALSE)</f>
        <v>KT</v>
      </c>
      <c r="AD99" s="108"/>
      <c r="AE99" s="108"/>
      <c r="AF99" s="155"/>
      <c r="AG99" s="108"/>
      <c r="AH99" s="108"/>
      <c r="AI99" s="108"/>
      <c r="AJ99" s="108"/>
      <c r="AK99" s="108"/>
      <c r="AL99" s="108"/>
      <c r="AM99" s="108"/>
      <c r="AN99" s="108"/>
      <c r="AO99" s="108"/>
      <c r="AP99" s="108"/>
    </row>
    <row r="100" spans="1:42" s="372" customFormat="1" ht="25.15" customHeight="1">
      <c r="A100" s="379">
        <f>_xlfn.AGGREGATE(4,7,A$22:A99)+1</f>
        <v>78</v>
      </c>
      <c r="B100" s="363" t="s">
        <v>1566</v>
      </c>
      <c r="C100" s="364"/>
      <c r="D100" s="434" t="s">
        <v>1681</v>
      </c>
      <c r="E100" s="435" t="s">
        <v>1567</v>
      </c>
      <c r="F100" s="369">
        <v>3</v>
      </c>
      <c r="G100" s="367"/>
      <c r="H100" s="445">
        <f t="shared" si="14"/>
        <v>3</v>
      </c>
      <c r="I100" s="368"/>
      <c r="J100" s="81" t="str">
        <f>VLOOKUP(B100,TH.T5!B100:F429,5,FALSE)</f>
        <v>Giảng viên khoa Kinh tế</v>
      </c>
      <c r="K100" s="369">
        <f t="shared" si="15"/>
        <v>3</v>
      </c>
      <c r="L100" s="362">
        <f t="shared" si="16"/>
        <v>5400000</v>
      </c>
      <c r="M100" s="366" t="str">
        <f>VLOOKUP(B100,'[24]Gui chi Quynh'!$B$11:$E$400,4,FALSE)</f>
        <v>A3</v>
      </c>
      <c r="N100" s="494">
        <f t="shared" si="17"/>
        <v>6480000</v>
      </c>
      <c r="O100" s="366">
        <v>20</v>
      </c>
      <c r="P100" s="440">
        <f>IFERROR(INDEX('[17]CN BC'!$J$10:$J$276,MATCH(B100,'[17]CN BC'!$H$10:$H$276,0)),"")</f>
        <v>20</v>
      </c>
      <c r="Q100" s="494">
        <f t="shared" si="18"/>
        <v>6480000</v>
      </c>
      <c r="R100" s="460"/>
      <c r="S100" s="362">
        <f t="shared" si="22"/>
        <v>0</v>
      </c>
      <c r="T100" s="370"/>
      <c r="U100" s="362">
        <f t="shared" si="19"/>
        <v>0</v>
      </c>
      <c r="V100" s="584">
        <f t="shared" si="20"/>
        <v>54000</v>
      </c>
      <c r="W100" s="371">
        <f t="shared" si="25"/>
        <v>6480000</v>
      </c>
      <c r="X100" s="977">
        <f t="shared" si="23"/>
        <v>3.6</v>
      </c>
      <c r="Y100" s="999">
        <v>1800000</v>
      </c>
      <c r="Z100" s="1000">
        <f t="shared" si="24"/>
        <v>6480000</v>
      </c>
      <c r="AA100" s="568">
        <f t="shared" si="21"/>
        <v>78</v>
      </c>
      <c r="AB100" s="493">
        <f>IFERROR(INDEX('[17]CN BC'!$M$10:$M$276,MATCH(B100,'[17]CN BC'!$H$10:$H$276,0)),"")</f>
        <v>0</v>
      </c>
      <c r="AC100" s="141" t="str">
        <f>VLOOKUP(B100,TH.T4!B98:AC428,28,FALSE)</f>
        <v>KT</v>
      </c>
      <c r="AD100" s="108"/>
      <c r="AE100" s="108"/>
      <c r="AF100" s="155"/>
    </row>
    <row r="101" spans="1:42" s="372" customFormat="1" ht="28.5" customHeight="1">
      <c r="A101" s="379">
        <f>_xlfn.AGGREGATE(4,7,A$22:A100)+1</f>
        <v>79</v>
      </c>
      <c r="B101" s="363" t="s">
        <v>1831</v>
      </c>
      <c r="C101" s="364"/>
      <c r="D101" s="434" t="s">
        <v>1960</v>
      </c>
      <c r="E101" s="481">
        <v>1603215005603</v>
      </c>
      <c r="F101" s="369">
        <v>3</v>
      </c>
      <c r="G101" s="367"/>
      <c r="H101" s="445">
        <f t="shared" si="14"/>
        <v>3</v>
      </c>
      <c r="I101" s="368"/>
      <c r="J101" s="81" t="str">
        <f>VLOOKUP(B101,TH.T5!B101:F430,5,FALSE)</f>
        <v>Giảng viên khoa 
Kinh tế</v>
      </c>
      <c r="K101" s="369">
        <f t="shared" si="15"/>
        <v>3</v>
      </c>
      <c r="L101" s="362">
        <f t="shared" si="16"/>
        <v>5400000</v>
      </c>
      <c r="M101" s="366" t="str">
        <f>VLOOKUP(B101,'[24]Gui chi Quynh'!$B$11:$E$400,4,FALSE)</f>
        <v>A3</v>
      </c>
      <c r="N101" s="494">
        <f t="shared" si="17"/>
        <v>6480000</v>
      </c>
      <c r="O101" s="366">
        <v>20</v>
      </c>
      <c r="P101" s="440">
        <f>IFERROR(INDEX('[17]CN BC'!$J$10:$J$276,MATCH(B101,'[17]CN BC'!$H$10:$H$276,0)),"")</f>
        <v>20</v>
      </c>
      <c r="Q101" s="494">
        <f t="shared" si="18"/>
        <v>6480000</v>
      </c>
      <c r="R101" s="460"/>
      <c r="S101" s="362">
        <f t="shared" si="22"/>
        <v>0</v>
      </c>
      <c r="T101" s="370"/>
      <c r="U101" s="362">
        <f t="shared" si="19"/>
        <v>0</v>
      </c>
      <c r="V101" s="584">
        <f t="shared" si="20"/>
        <v>54000</v>
      </c>
      <c r="W101" s="371">
        <f t="shared" si="25"/>
        <v>6480000</v>
      </c>
      <c r="X101" s="977">
        <f t="shared" si="23"/>
        <v>3.6</v>
      </c>
      <c r="Y101" s="999">
        <v>1800000</v>
      </c>
      <c r="Z101" s="1000">
        <f t="shared" si="24"/>
        <v>6480000</v>
      </c>
      <c r="AA101" s="568">
        <f t="shared" si="21"/>
        <v>79</v>
      </c>
      <c r="AB101" s="493">
        <f>IFERROR(INDEX('[17]CN BC'!$M$10:$M$276,MATCH(B101,'[17]CN BC'!$H$10:$H$276,0)),"")</f>
        <v>0</v>
      </c>
      <c r="AC101" s="141" t="str">
        <f>VLOOKUP(B101,TH.T4!B99:AC429,28,FALSE)</f>
        <v>KT</v>
      </c>
      <c r="AD101" s="108"/>
      <c r="AE101" s="108"/>
      <c r="AF101" s="155"/>
      <c r="AG101" s="108"/>
      <c r="AH101" s="108"/>
      <c r="AI101" s="108"/>
      <c r="AJ101" s="108"/>
      <c r="AK101" s="108"/>
      <c r="AL101" s="108"/>
    </row>
    <row r="102" spans="1:42" s="372" customFormat="1" ht="26.25" customHeight="1">
      <c r="A102" s="379">
        <f>_xlfn.AGGREGATE(4,7,A$22:A101)+1</f>
        <v>80</v>
      </c>
      <c r="B102" s="363" t="s">
        <v>1473</v>
      </c>
      <c r="C102" s="364" t="s">
        <v>1444</v>
      </c>
      <c r="D102" s="434" t="s">
        <v>1683</v>
      </c>
      <c r="E102" s="426" t="s">
        <v>1583</v>
      </c>
      <c r="F102" s="373">
        <v>3.66</v>
      </c>
      <c r="G102" s="367"/>
      <c r="H102" s="368">
        <f t="shared" si="14"/>
        <v>3.66</v>
      </c>
      <c r="I102" s="368">
        <v>0.35</v>
      </c>
      <c r="J102" s="81" t="str">
        <f>VLOOKUP(B102,TH.T5!B102:F431,5,FALSE)</f>
        <v>Phó Trưởng khoa Kinh tế</v>
      </c>
      <c r="K102" s="369">
        <f t="shared" si="15"/>
        <v>4.01</v>
      </c>
      <c r="L102" s="362">
        <f t="shared" si="16"/>
        <v>7218000</v>
      </c>
      <c r="M102" s="366" t="str">
        <f>VLOOKUP(B102,'[24]Gui chi Quynh'!$B$11:$E$400,4,FALSE)</f>
        <v>A2</v>
      </c>
      <c r="N102" s="494">
        <f t="shared" si="17"/>
        <v>10105200</v>
      </c>
      <c r="O102" s="366">
        <v>20</v>
      </c>
      <c r="P102" s="440">
        <f>IFERROR(INDEX('[17]CN BC'!$J$10:$J$276,MATCH(B102,'[17]CN BC'!$H$10:$H$276,0)),"")</f>
        <v>20</v>
      </c>
      <c r="Q102" s="494">
        <f t="shared" si="18"/>
        <v>10105200</v>
      </c>
      <c r="R102" s="460"/>
      <c r="S102" s="362">
        <f t="shared" si="22"/>
        <v>0</v>
      </c>
      <c r="T102" s="370"/>
      <c r="U102" s="362">
        <f t="shared" si="19"/>
        <v>0</v>
      </c>
      <c r="V102" s="584">
        <f t="shared" si="20"/>
        <v>72180</v>
      </c>
      <c r="W102" s="371">
        <f t="shared" si="25"/>
        <v>10105200</v>
      </c>
      <c r="X102" s="977">
        <f t="shared" si="23"/>
        <v>5.6139999999999999</v>
      </c>
      <c r="Y102" s="999">
        <v>1800000</v>
      </c>
      <c r="Z102" s="1000">
        <f t="shared" si="24"/>
        <v>10105200</v>
      </c>
      <c r="AA102" s="568">
        <f t="shared" si="21"/>
        <v>80</v>
      </c>
      <c r="AB102" s="493">
        <f>IFERROR(INDEX('[17]CN BC'!$M$10:$M$276,MATCH(B102,'[17]CN BC'!$H$10:$H$276,0)),"")</f>
        <v>0</v>
      </c>
      <c r="AC102" s="141" t="str">
        <f>VLOOKUP(B102,TH.T4!B100:AC430,28,FALSE)</f>
        <v>KT</v>
      </c>
      <c r="AF102" s="487"/>
    </row>
    <row r="103" spans="1:42" s="372" customFormat="1" ht="30.75" customHeight="1">
      <c r="A103" s="379">
        <f>_xlfn.AGGREGATE(4,7,A$22:A102)+1</f>
        <v>81</v>
      </c>
      <c r="B103" s="462" t="s">
        <v>1928</v>
      </c>
      <c r="C103" s="364"/>
      <c r="D103" s="434" t="s">
        <v>1961</v>
      </c>
      <c r="E103" s="479" t="s">
        <v>1934</v>
      </c>
      <c r="F103" s="369">
        <v>2.34</v>
      </c>
      <c r="G103" s="367"/>
      <c r="H103" s="368">
        <f t="shared" si="14"/>
        <v>2.34</v>
      </c>
      <c r="I103" s="368"/>
      <c r="J103" s="81" t="str">
        <f>VLOOKUP(B103,TH.T5!B103:F432,5,FALSE)</f>
        <v>Giảng viên khoa Du lịch - Khách sạn</v>
      </c>
      <c r="K103" s="369">
        <f t="shared" si="15"/>
        <v>2.34</v>
      </c>
      <c r="L103" s="362">
        <f t="shared" si="16"/>
        <v>4212000</v>
      </c>
      <c r="M103" s="366" t="str">
        <f>VLOOKUP(B103,'[24]Gui chi Quynh'!$B$11:$E$400,4,FALSE)</f>
        <v>A3</v>
      </c>
      <c r="N103" s="494">
        <f t="shared" si="17"/>
        <v>5054400</v>
      </c>
      <c r="O103" s="366">
        <v>20</v>
      </c>
      <c r="P103" s="440">
        <f>IFERROR(INDEX('[17]CN BC'!$J$10:$J$276,MATCH(B103,'[17]CN BC'!$H$10:$H$276,0)),"")</f>
        <v>20</v>
      </c>
      <c r="Q103" s="494">
        <f t="shared" si="18"/>
        <v>5054400</v>
      </c>
      <c r="R103" s="460"/>
      <c r="S103" s="362">
        <f t="shared" si="22"/>
        <v>0</v>
      </c>
      <c r="T103" s="370"/>
      <c r="U103" s="362">
        <f t="shared" si="19"/>
        <v>0</v>
      </c>
      <c r="V103" s="584">
        <f t="shared" si="20"/>
        <v>42120</v>
      </c>
      <c r="W103" s="371">
        <f t="shared" si="25"/>
        <v>5054400</v>
      </c>
      <c r="X103" s="977">
        <f t="shared" si="23"/>
        <v>2.8079999999999998</v>
      </c>
      <c r="Y103" s="999">
        <v>1800000</v>
      </c>
      <c r="Z103" s="1000">
        <f t="shared" si="24"/>
        <v>5054400</v>
      </c>
      <c r="AA103" s="568">
        <f t="shared" si="21"/>
        <v>81</v>
      </c>
      <c r="AB103" s="493">
        <f>IFERROR(INDEX('[17]CN BC'!$M$10:$M$276,MATCH(B103,'[17]CN BC'!$H$10:$H$276,0)),"")</f>
        <v>0</v>
      </c>
      <c r="AC103" s="141" t="str">
        <f>VLOOKUP(B103,TH.T4!B101:AC431,28,FALSE)</f>
        <v>KT</v>
      </c>
      <c r="AF103" s="487"/>
    </row>
    <row r="104" spans="1:42" s="372" customFormat="1" ht="32.25" customHeight="1">
      <c r="A104" s="379">
        <f>_xlfn.AGGREGATE(4,7,A$22:A103)+1</f>
        <v>82</v>
      </c>
      <c r="B104" s="363" t="s">
        <v>1474</v>
      </c>
      <c r="C104" s="364" t="s">
        <v>1103</v>
      </c>
      <c r="D104" s="434" t="s">
        <v>1684</v>
      </c>
      <c r="E104" s="426" t="s">
        <v>1584</v>
      </c>
      <c r="F104" s="373">
        <v>3.33</v>
      </c>
      <c r="G104" s="367"/>
      <c r="H104" s="445">
        <f t="shared" si="14"/>
        <v>3.33</v>
      </c>
      <c r="I104" s="368"/>
      <c r="J104" s="81" t="str">
        <f>VLOOKUP(B104,TH.T5!B104:F433,5,FALSE)</f>
        <v>Giảng viên khoa Kinh tế</v>
      </c>
      <c r="K104" s="369">
        <f t="shared" si="15"/>
        <v>3.33</v>
      </c>
      <c r="L104" s="362">
        <f t="shared" si="16"/>
        <v>5994000</v>
      </c>
      <c r="M104" s="366" t="str">
        <f>VLOOKUP(B104,'[24]Gui chi Quynh'!$B$11:$E$400,4,FALSE)</f>
        <v>A2</v>
      </c>
      <c r="N104" s="494">
        <f t="shared" si="17"/>
        <v>8391600</v>
      </c>
      <c r="O104" s="366">
        <v>20</v>
      </c>
      <c r="P104" s="440">
        <f>IFERROR(INDEX('[17]CN BC'!$J$10:$J$276,MATCH(B104,'[17]CN BC'!$H$10:$H$276,0)),"")</f>
        <v>20</v>
      </c>
      <c r="Q104" s="494">
        <f t="shared" si="18"/>
        <v>8391600</v>
      </c>
      <c r="R104" s="460"/>
      <c r="S104" s="362">
        <f t="shared" si="22"/>
        <v>0</v>
      </c>
      <c r="T104" s="370"/>
      <c r="U104" s="362">
        <f t="shared" si="19"/>
        <v>0</v>
      </c>
      <c r="V104" s="584">
        <f t="shared" si="20"/>
        <v>59940</v>
      </c>
      <c r="W104" s="371">
        <f t="shared" si="25"/>
        <v>8391600</v>
      </c>
      <c r="X104" s="977">
        <f t="shared" si="23"/>
        <v>4.6619999999999999</v>
      </c>
      <c r="Y104" s="999">
        <v>1800000</v>
      </c>
      <c r="Z104" s="1000">
        <f t="shared" si="24"/>
        <v>8391600</v>
      </c>
      <c r="AA104" s="568">
        <f t="shared" si="21"/>
        <v>82</v>
      </c>
      <c r="AB104" s="493">
        <f>IFERROR(INDEX('[17]CN BC'!$M$10:$M$276,MATCH(B104,'[17]CN BC'!$H$10:$H$276,0)),"")</f>
        <v>0</v>
      </c>
      <c r="AC104" s="141" t="str">
        <f>VLOOKUP(B104,TH.T4!B102:AC432,28,FALSE)</f>
        <v>KT</v>
      </c>
      <c r="AF104" s="487"/>
    </row>
    <row r="105" spans="1:42" s="372" customFormat="1" ht="28.5" customHeight="1">
      <c r="A105" s="379">
        <f>_xlfn.AGGREGATE(4,7,A$22:A104)+1</f>
        <v>83</v>
      </c>
      <c r="B105" s="363" t="s">
        <v>1571</v>
      </c>
      <c r="C105" s="364"/>
      <c r="D105" s="434" t="s">
        <v>1685</v>
      </c>
      <c r="E105" s="435" t="s">
        <v>1572</v>
      </c>
      <c r="F105" s="369">
        <v>3</v>
      </c>
      <c r="G105" s="367"/>
      <c r="H105" s="445">
        <f t="shared" si="14"/>
        <v>3</v>
      </c>
      <c r="I105" s="368"/>
      <c r="J105" s="81" t="str">
        <f>VLOOKUP(B105,TH.T5!B105:F434,5,FALSE)</f>
        <v>Giảng viên khoa Kinh tế</v>
      </c>
      <c r="K105" s="369">
        <f t="shared" si="15"/>
        <v>3</v>
      </c>
      <c r="L105" s="362">
        <f t="shared" si="16"/>
        <v>5400000</v>
      </c>
      <c r="M105" s="366" t="str">
        <f>VLOOKUP(B105,'[24]Gui chi Quynh'!$B$11:$E$400,4,FALSE)</f>
        <v>A3</v>
      </c>
      <c r="N105" s="494">
        <f t="shared" si="17"/>
        <v>6480000</v>
      </c>
      <c r="O105" s="366">
        <v>20</v>
      </c>
      <c r="P105" s="440">
        <f>IFERROR(INDEX('[17]CN BC'!$J$10:$J$276,MATCH(B105,'[17]CN BC'!$H$10:$H$276,0)),"")</f>
        <v>20</v>
      </c>
      <c r="Q105" s="494">
        <f t="shared" si="18"/>
        <v>6480000</v>
      </c>
      <c r="R105" s="392"/>
      <c r="S105" s="362">
        <f t="shared" si="22"/>
        <v>0</v>
      </c>
      <c r="T105" s="370"/>
      <c r="U105" s="362">
        <f t="shared" si="19"/>
        <v>0</v>
      </c>
      <c r="V105" s="584">
        <f t="shared" si="20"/>
        <v>54000</v>
      </c>
      <c r="W105" s="371">
        <f t="shared" si="25"/>
        <v>6480000</v>
      </c>
      <c r="X105" s="977">
        <f t="shared" si="23"/>
        <v>3.6</v>
      </c>
      <c r="Y105" s="999">
        <v>1800000</v>
      </c>
      <c r="Z105" s="1000">
        <f t="shared" si="24"/>
        <v>6480000</v>
      </c>
      <c r="AA105" s="568">
        <f t="shared" si="21"/>
        <v>83</v>
      </c>
      <c r="AB105" s="493">
        <f>IFERROR(INDEX('[17]CN BC'!$M$10:$M$276,MATCH(B105,'[17]CN BC'!$H$10:$H$276,0)),"")</f>
        <v>0</v>
      </c>
      <c r="AC105" s="141" t="str">
        <f>VLOOKUP(B105,TH.T4!B103:AC433,28,FALSE)</f>
        <v>KT</v>
      </c>
      <c r="AD105" s="108"/>
      <c r="AE105" s="108"/>
      <c r="AF105" s="155"/>
      <c r="AG105" s="108"/>
      <c r="AH105" s="108"/>
      <c r="AI105" s="108"/>
      <c r="AJ105" s="108"/>
      <c r="AK105" s="108"/>
      <c r="AL105" s="108"/>
    </row>
    <row r="106" spans="1:42" s="372" customFormat="1" ht="28.5" customHeight="1">
      <c r="A106" s="379">
        <f>_xlfn.AGGREGATE(4,7,A$22:A105)+1</f>
        <v>84</v>
      </c>
      <c r="B106" s="363" t="s">
        <v>1475</v>
      </c>
      <c r="C106" s="364" t="s">
        <v>49</v>
      </c>
      <c r="D106" s="434" t="s">
        <v>1686</v>
      </c>
      <c r="E106" s="426" t="s">
        <v>1585</v>
      </c>
      <c r="F106" s="373">
        <v>3.66</v>
      </c>
      <c r="G106" s="367"/>
      <c r="H106" s="445">
        <f t="shared" si="14"/>
        <v>3.66</v>
      </c>
      <c r="I106" s="368"/>
      <c r="J106" s="81" t="str">
        <f>VLOOKUP(B106,TH.T5!B106:F435,5,FALSE)</f>
        <v>Giảng viên khoa Kinh tế</v>
      </c>
      <c r="K106" s="369">
        <f t="shared" si="15"/>
        <v>3.66</v>
      </c>
      <c r="L106" s="362">
        <f t="shared" si="16"/>
        <v>6588000</v>
      </c>
      <c r="M106" s="366" t="str">
        <f>VLOOKUP(B106,'[24]Gui chi Quynh'!$B$11:$E$400,4,FALSE)</f>
        <v>A2</v>
      </c>
      <c r="N106" s="494">
        <f t="shared" si="17"/>
        <v>9223200</v>
      </c>
      <c r="O106" s="366">
        <v>20</v>
      </c>
      <c r="P106" s="440">
        <f>IFERROR(INDEX('[17]CN BC'!$J$10:$J$276,MATCH(B106,'[17]CN BC'!$H$10:$H$276,0)),"")</f>
        <v>20</v>
      </c>
      <c r="Q106" s="494">
        <f t="shared" si="18"/>
        <v>9223200</v>
      </c>
      <c r="R106" s="460"/>
      <c r="S106" s="362">
        <f t="shared" si="22"/>
        <v>0</v>
      </c>
      <c r="T106" s="370"/>
      <c r="U106" s="362">
        <f t="shared" si="19"/>
        <v>0</v>
      </c>
      <c r="V106" s="584">
        <f t="shared" si="20"/>
        <v>65880</v>
      </c>
      <c r="W106" s="371">
        <f t="shared" si="25"/>
        <v>9223200</v>
      </c>
      <c r="X106" s="977">
        <f t="shared" si="23"/>
        <v>5.1239999999999997</v>
      </c>
      <c r="Y106" s="999">
        <v>1800000</v>
      </c>
      <c r="Z106" s="1000">
        <f t="shared" si="24"/>
        <v>9223200</v>
      </c>
      <c r="AA106" s="568">
        <f t="shared" si="21"/>
        <v>84</v>
      </c>
      <c r="AB106" s="493">
        <f>IFERROR(INDEX('[17]CN BC'!$M$10:$M$276,MATCH(B106,'[17]CN BC'!$H$10:$H$276,0)),"")</f>
        <v>0</v>
      </c>
      <c r="AC106" s="141" t="str">
        <f>VLOOKUP(B106,TH.T4!B104:AC434,28,FALSE)</f>
        <v>KT</v>
      </c>
      <c r="AD106" s="471"/>
      <c r="AE106" s="108"/>
      <c r="AF106" s="155"/>
    </row>
    <row r="107" spans="1:42" s="372" customFormat="1" ht="28.5" customHeight="1">
      <c r="A107" s="379">
        <f>_xlfn.AGGREGATE(4,7,A$22:A106)+1</f>
        <v>85</v>
      </c>
      <c r="B107" s="363" t="s">
        <v>1476</v>
      </c>
      <c r="C107" s="364" t="s">
        <v>1209</v>
      </c>
      <c r="D107" s="434" t="s">
        <v>1687</v>
      </c>
      <c r="E107" s="426" t="s">
        <v>1586</v>
      </c>
      <c r="F107" s="373">
        <v>3</v>
      </c>
      <c r="G107" s="367"/>
      <c r="H107" s="445">
        <f t="shared" si="14"/>
        <v>3</v>
      </c>
      <c r="I107" s="368"/>
      <c r="J107" s="81" t="str">
        <f>VLOOKUP(B107,TH.T5!B107:F436,5,FALSE)</f>
        <v>Giảng viên khoa Du lịch - Khách sạn</v>
      </c>
      <c r="K107" s="369">
        <f t="shared" si="15"/>
        <v>3</v>
      </c>
      <c r="L107" s="362">
        <f t="shared" si="16"/>
        <v>5400000</v>
      </c>
      <c r="M107" s="366" t="str">
        <f>VLOOKUP(B107,'[24]Gui chi Quynh'!$B$11:$E$400,4,FALSE)</f>
        <v>A3</v>
      </c>
      <c r="N107" s="494">
        <f t="shared" si="17"/>
        <v>6480000</v>
      </c>
      <c r="O107" s="366">
        <v>20</v>
      </c>
      <c r="P107" s="440">
        <f>IFERROR(INDEX('[17]CN BC'!$J$10:$J$276,MATCH(B107,'[17]CN BC'!$H$10:$H$276,0)),"")</f>
        <v>20</v>
      </c>
      <c r="Q107" s="494">
        <f t="shared" si="18"/>
        <v>6480000</v>
      </c>
      <c r="R107" s="392"/>
      <c r="S107" s="362">
        <f t="shared" si="22"/>
        <v>0</v>
      </c>
      <c r="T107" s="370"/>
      <c r="U107" s="362">
        <f t="shared" si="19"/>
        <v>0</v>
      </c>
      <c r="V107" s="584">
        <f t="shared" si="20"/>
        <v>54000</v>
      </c>
      <c r="W107" s="371">
        <f t="shared" si="25"/>
        <v>6480000</v>
      </c>
      <c r="X107" s="977">
        <f t="shared" si="23"/>
        <v>3.6</v>
      </c>
      <c r="Y107" s="999">
        <v>1800000</v>
      </c>
      <c r="Z107" s="1000">
        <f t="shared" si="24"/>
        <v>6480000</v>
      </c>
      <c r="AA107" s="568">
        <f t="shared" si="21"/>
        <v>85</v>
      </c>
      <c r="AB107" s="493">
        <f>IFERROR(INDEX('[17]CN BC'!$M$10:$M$276,MATCH(B107,'[17]CN BC'!$H$10:$H$276,0)),"")</f>
        <v>0</v>
      </c>
      <c r="AC107" s="141" t="s">
        <v>2236</v>
      </c>
      <c r="AD107" s="108"/>
      <c r="AE107" s="108"/>
      <c r="AF107" s="155"/>
      <c r="AG107" s="108"/>
      <c r="AH107" s="108"/>
      <c r="AI107" s="108"/>
      <c r="AJ107" s="108"/>
      <c r="AK107" s="108"/>
      <c r="AL107" s="108"/>
    </row>
    <row r="108" spans="1:42" s="372" customFormat="1" ht="28.5" customHeight="1">
      <c r="A108" s="379">
        <f>_xlfn.AGGREGATE(4,7,A$22:A107)+1</f>
        <v>86</v>
      </c>
      <c r="B108" s="363" t="s">
        <v>1477</v>
      </c>
      <c r="C108" s="364" t="s">
        <v>920</v>
      </c>
      <c r="D108" s="434" t="s">
        <v>1688</v>
      </c>
      <c r="E108" s="426" t="s">
        <v>1587</v>
      </c>
      <c r="F108" s="373">
        <v>3.66</v>
      </c>
      <c r="G108" s="367"/>
      <c r="H108" s="445">
        <f t="shared" si="14"/>
        <v>3.66</v>
      </c>
      <c r="I108" s="368">
        <v>0.25</v>
      </c>
      <c r="J108" s="81" t="str">
        <f>VLOOKUP(B108,TH.T5!B108:F437,5,FALSE)</f>
        <v>Giảng viên khoa Du lịch - Khách sạn</v>
      </c>
      <c r="K108" s="369">
        <f t="shared" si="15"/>
        <v>3.91</v>
      </c>
      <c r="L108" s="362">
        <f t="shared" si="16"/>
        <v>7038000</v>
      </c>
      <c r="M108" s="366" t="str">
        <f>VLOOKUP(B108,'[24]Gui chi Quynh'!$B$11:$E$400,4,FALSE)</f>
        <v>A1</v>
      </c>
      <c r="N108" s="494">
        <f t="shared" si="17"/>
        <v>11260800</v>
      </c>
      <c r="O108" s="366">
        <v>20</v>
      </c>
      <c r="P108" s="440">
        <f>IFERROR(INDEX('[17]CN BC'!$J$10:$J$276,MATCH(B108,'[17]CN BC'!$H$10:$H$276,0)),"")</f>
        <v>20</v>
      </c>
      <c r="Q108" s="494">
        <f t="shared" si="18"/>
        <v>11260800</v>
      </c>
      <c r="R108" s="460"/>
      <c r="S108" s="362">
        <f t="shared" si="22"/>
        <v>0</v>
      </c>
      <c r="T108" s="370"/>
      <c r="U108" s="362">
        <f t="shared" si="19"/>
        <v>0</v>
      </c>
      <c r="V108" s="584">
        <f t="shared" si="20"/>
        <v>70380</v>
      </c>
      <c r="W108" s="371">
        <f t="shared" si="25"/>
        <v>11260800</v>
      </c>
      <c r="X108" s="977">
        <f t="shared" si="23"/>
        <v>6.2560000000000002</v>
      </c>
      <c r="Y108" s="999">
        <v>1800000</v>
      </c>
      <c r="Z108" s="1000">
        <f t="shared" si="24"/>
        <v>11260800</v>
      </c>
      <c r="AA108" s="568">
        <f t="shared" si="21"/>
        <v>86</v>
      </c>
      <c r="AB108" s="493">
        <f>IFERROR(INDEX('[17]CN BC'!$M$10:$M$276,MATCH(B108,'[17]CN BC'!$H$10:$H$276,0)),"")</f>
        <v>0</v>
      </c>
      <c r="AC108" s="141" t="str">
        <f>VLOOKUP(B108,TH.T4!B106:AC436,28,FALSE)</f>
        <v>DLKS</v>
      </c>
      <c r="AD108" s="108"/>
      <c r="AE108" s="108"/>
      <c r="AF108" s="155"/>
      <c r="AG108" s="108"/>
      <c r="AH108" s="108"/>
      <c r="AI108" s="108"/>
      <c r="AJ108" s="108"/>
      <c r="AK108" s="108"/>
      <c r="AL108" s="108"/>
    </row>
    <row r="109" spans="1:42" s="372" customFormat="1" ht="28.5" customHeight="1">
      <c r="A109" s="379">
        <f>_xlfn.AGGREGATE(4,7,A$22:A108)+1</f>
        <v>87</v>
      </c>
      <c r="B109" s="462" t="s">
        <v>1842</v>
      </c>
      <c r="C109" s="364"/>
      <c r="D109" s="434" t="s">
        <v>1962</v>
      </c>
      <c r="E109" s="479" t="s">
        <v>1933</v>
      </c>
      <c r="F109" s="373">
        <v>3</v>
      </c>
      <c r="G109" s="367"/>
      <c r="H109" s="445">
        <f t="shared" si="14"/>
        <v>3</v>
      </c>
      <c r="I109" s="368"/>
      <c r="J109" s="81" t="str">
        <f>VLOOKUP(B109,TH.T5!B109:F438,5,FALSE)</f>
        <v>Giảng viên khoa Kinh tế</v>
      </c>
      <c r="K109" s="369">
        <f t="shared" si="15"/>
        <v>3</v>
      </c>
      <c r="L109" s="362">
        <f t="shared" si="16"/>
        <v>5400000</v>
      </c>
      <c r="M109" s="366" t="str">
        <f>VLOOKUP(B109,'[24]Gui chi Quynh'!$B$11:$E$400,4,FALSE)</f>
        <v>A1</v>
      </c>
      <c r="N109" s="494">
        <f t="shared" si="17"/>
        <v>8640000</v>
      </c>
      <c r="O109" s="366">
        <v>20</v>
      </c>
      <c r="P109" s="440">
        <f>IFERROR(INDEX('[17]CN BC'!$J$10:$J$276,MATCH(B109,'[17]CN BC'!$H$10:$H$276,0)),"")</f>
        <v>24</v>
      </c>
      <c r="Q109" s="494">
        <f t="shared" si="18"/>
        <v>8640000</v>
      </c>
      <c r="R109" s="460"/>
      <c r="S109" s="362">
        <f t="shared" si="22"/>
        <v>0</v>
      </c>
      <c r="T109" s="370"/>
      <c r="U109" s="362">
        <f t="shared" si="19"/>
        <v>0</v>
      </c>
      <c r="V109" s="584">
        <f t="shared" si="20"/>
        <v>54000</v>
      </c>
      <c r="W109" s="371">
        <f t="shared" si="25"/>
        <v>8640000</v>
      </c>
      <c r="X109" s="977">
        <f t="shared" si="23"/>
        <v>4.8</v>
      </c>
      <c r="Y109" s="999">
        <v>1800000</v>
      </c>
      <c r="Z109" s="1000">
        <f t="shared" si="24"/>
        <v>8640000</v>
      </c>
      <c r="AA109" s="568">
        <f t="shared" si="21"/>
        <v>87</v>
      </c>
      <c r="AB109" s="493" t="str">
        <f>IFERROR(INDEX('[17]CN BC'!$M$10:$M$276,MATCH(B109,'[17]CN BC'!$H$10:$H$276,0)),"")</f>
        <v>Hỗ trợ công việc phòng KHTC</v>
      </c>
      <c r="AC109" s="141" t="str">
        <f>VLOOKUP(B109,TH.T4!B107:AC437,28,FALSE)</f>
        <v>KT</v>
      </c>
      <c r="AD109" s="108"/>
      <c r="AE109" s="108"/>
      <c r="AF109" s="155"/>
      <c r="AG109" s="108"/>
      <c r="AH109" s="108"/>
      <c r="AI109" s="108"/>
      <c r="AJ109" s="108"/>
      <c r="AK109" s="108"/>
      <c r="AL109" s="108"/>
    </row>
    <row r="110" spans="1:42" s="372" customFormat="1" ht="28.5" customHeight="1">
      <c r="A110" s="379">
        <f>_xlfn.AGGREGATE(4,7,A$22:A109)+1</f>
        <v>88</v>
      </c>
      <c r="B110" s="462" t="s">
        <v>1946</v>
      </c>
      <c r="C110" s="364"/>
      <c r="D110" s="379" t="s">
        <v>1950</v>
      </c>
      <c r="E110" s="479" t="s">
        <v>1951</v>
      </c>
      <c r="F110" s="369">
        <v>2.67</v>
      </c>
      <c r="G110" s="367"/>
      <c r="H110" s="445">
        <f t="shared" si="14"/>
        <v>2.67</v>
      </c>
      <c r="I110" s="368">
        <v>0.45</v>
      </c>
      <c r="J110" s="81" t="str">
        <f>VLOOKUP(B110,TH.T5!B110:F439,5,FALSE)</f>
        <v>Trưởng khoa Du lịch - Khách sạn</v>
      </c>
      <c r="K110" s="369">
        <f t="shared" si="15"/>
        <v>3.12</v>
      </c>
      <c r="L110" s="362">
        <f t="shared" si="16"/>
        <v>5616000</v>
      </c>
      <c r="M110" s="366" t="str">
        <f>VLOOKUP(B110,'[24]Gui chi Quynh'!$B$11:$E$400,4,FALSE)</f>
        <v>A1</v>
      </c>
      <c r="N110" s="494">
        <f t="shared" si="17"/>
        <v>8985600</v>
      </c>
      <c r="O110" s="366">
        <v>20</v>
      </c>
      <c r="P110" s="440">
        <f>IFERROR(INDEX('[17]CN BC'!$J$10:$J$276,MATCH(B110,'[17]CN BC'!$H$10:$H$276,0)),"")</f>
        <v>20</v>
      </c>
      <c r="Q110" s="494">
        <f t="shared" si="18"/>
        <v>8985600</v>
      </c>
      <c r="R110" s="460"/>
      <c r="S110" s="362">
        <f t="shared" si="22"/>
        <v>0</v>
      </c>
      <c r="T110" s="370"/>
      <c r="U110" s="362">
        <f t="shared" si="19"/>
        <v>0</v>
      </c>
      <c r="V110" s="584">
        <f t="shared" si="20"/>
        <v>56160</v>
      </c>
      <c r="W110" s="371">
        <f t="shared" si="25"/>
        <v>8985600</v>
      </c>
      <c r="X110" s="977">
        <f t="shared" si="23"/>
        <v>4.992</v>
      </c>
      <c r="Y110" s="999">
        <v>1800000</v>
      </c>
      <c r="Z110" s="1000">
        <f t="shared" si="24"/>
        <v>8985600</v>
      </c>
      <c r="AA110" s="568">
        <f t="shared" si="21"/>
        <v>88</v>
      </c>
      <c r="AB110" s="493">
        <f>IFERROR(INDEX('[17]CN BC'!$M$10:$M$276,MATCH(B110,'[17]CN BC'!$H$10:$H$276,0)),"")</f>
        <v>0</v>
      </c>
      <c r="AC110" s="141" t="str">
        <f>VLOOKUP(B110,TH.T4!B108:AC438,28,FALSE)</f>
        <v>DLKS</v>
      </c>
      <c r="AD110" s="108"/>
      <c r="AE110" s="108"/>
      <c r="AF110" s="155"/>
      <c r="AG110" s="108"/>
      <c r="AH110" s="108"/>
      <c r="AI110" s="108"/>
      <c r="AJ110" s="108"/>
      <c r="AK110" s="108"/>
      <c r="AL110" s="108"/>
    </row>
    <row r="111" spans="1:42" s="372" customFormat="1" ht="36.75" customHeight="1">
      <c r="A111" s="379">
        <f>_xlfn.AGGREGATE(4,7,A$22:A110)+1</f>
        <v>89</v>
      </c>
      <c r="B111" s="544" t="s">
        <v>1947</v>
      </c>
      <c r="C111" s="527"/>
      <c r="D111" s="543" t="s">
        <v>1952</v>
      </c>
      <c r="E111" s="545" t="s">
        <v>1953</v>
      </c>
      <c r="F111" s="529">
        <v>2.34</v>
      </c>
      <c r="G111" s="528"/>
      <c r="H111" s="546">
        <f t="shared" si="14"/>
        <v>2.34</v>
      </c>
      <c r="I111" s="472"/>
      <c r="J111" s="81" t="str">
        <f>VLOOKUP(B111,TH.T5!B111:F440,5,FALSE)</f>
        <v>Giảng viên khoa Du lịch - Khách sạn</v>
      </c>
      <c r="K111" s="529">
        <f t="shared" si="15"/>
        <v>2.34</v>
      </c>
      <c r="L111" s="530">
        <f t="shared" si="16"/>
        <v>4212000</v>
      </c>
      <c r="M111" s="366" t="str">
        <f>VLOOKUP(B111,'[24]Gui chi Quynh'!$B$11:$E$400,4,FALSE)</f>
        <v>A DN</v>
      </c>
      <c r="N111" s="531">
        <f t="shared" si="17"/>
        <v>0</v>
      </c>
      <c r="O111" s="366">
        <v>20</v>
      </c>
      <c r="P111" s="440">
        <f>IFERROR(INDEX('[17]CN BC'!$J$10:$J$276,MATCH(B111,'[17]CN BC'!$H$10:$H$276,0)),"")</f>
        <v>0</v>
      </c>
      <c r="Q111" s="531">
        <f t="shared" si="18"/>
        <v>0</v>
      </c>
      <c r="R111" s="533"/>
      <c r="S111" s="530">
        <f t="shared" si="22"/>
        <v>0</v>
      </c>
      <c r="T111" s="534"/>
      <c r="U111" s="530">
        <f t="shared" si="19"/>
        <v>0</v>
      </c>
      <c r="V111" s="530" t="str">
        <f t="shared" si="20"/>
        <v>0</v>
      </c>
      <c r="W111" s="547">
        <f t="shared" si="25"/>
        <v>0</v>
      </c>
      <c r="X111" s="977">
        <f t="shared" si="23"/>
        <v>0</v>
      </c>
      <c r="Y111" s="999">
        <v>1800000</v>
      </c>
      <c r="Z111" s="1000">
        <f t="shared" si="24"/>
        <v>0</v>
      </c>
      <c r="AA111" s="568">
        <f t="shared" si="21"/>
        <v>89</v>
      </c>
      <c r="AB111" s="493" t="str">
        <f>IFERROR(INDEX('[17]CN BC'!$M$10:$M$276,MATCH(B111,'[17]CN BC'!$H$10:$H$276,0)),"")</f>
        <v>Đi du học nước ngoài từ 28/2/2023</v>
      </c>
      <c r="AC111" s="141" t="str">
        <f>VLOOKUP(B111,TH.T4!B109:AC439,28,FALSE)</f>
        <v>DLKS</v>
      </c>
      <c r="AD111" s="108"/>
      <c r="AE111" s="108"/>
      <c r="AF111" s="155"/>
      <c r="AG111" s="108"/>
      <c r="AH111" s="108"/>
      <c r="AI111" s="108"/>
      <c r="AJ111" s="108"/>
      <c r="AK111" s="108"/>
      <c r="AL111" s="108"/>
    </row>
    <row r="112" spans="1:42" s="372" customFormat="1" ht="28.5" customHeight="1">
      <c r="A112" s="379">
        <f>_xlfn.AGGREGATE(4,7,A$22:A111)+1</f>
        <v>90</v>
      </c>
      <c r="B112" s="462" t="s">
        <v>1997</v>
      </c>
      <c r="C112" s="364"/>
      <c r="D112" s="379"/>
      <c r="E112" s="479"/>
      <c r="F112" s="369">
        <v>2.34</v>
      </c>
      <c r="G112" s="367"/>
      <c r="H112" s="445">
        <f t="shared" si="14"/>
        <v>2.34</v>
      </c>
      <c r="I112" s="368"/>
      <c r="J112" s="81" t="str">
        <f>VLOOKUP(B112,TH.T5!B112:F441,5,FALSE)</f>
        <v>Giảng viên khoa Kinh tế</v>
      </c>
      <c r="K112" s="369">
        <f t="shared" si="15"/>
        <v>2.34</v>
      </c>
      <c r="L112" s="362">
        <f t="shared" si="16"/>
        <v>4212000</v>
      </c>
      <c r="M112" s="366" t="str">
        <f>VLOOKUP(B112,'[24]Gui chi Quynh'!$B$11:$E$400,4,FALSE)</f>
        <v>A2</v>
      </c>
      <c r="N112" s="494">
        <f t="shared" si="17"/>
        <v>5896800</v>
      </c>
      <c r="O112" s="366">
        <v>20</v>
      </c>
      <c r="P112" s="440">
        <f>IFERROR(INDEX('[17]CN BC'!$J$10:$J$276,MATCH(B112,'[17]CN BC'!$H$10:$H$276,0)),"")</f>
        <v>20</v>
      </c>
      <c r="Q112" s="494">
        <f t="shared" si="18"/>
        <v>5896800</v>
      </c>
      <c r="R112" s="460"/>
      <c r="S112" s="362">
        <f>R112*$G$19*1.4</f>
        <v>0</v>
      </c>
      <c r="T112" s="370"/>
      <c r="U112" s="362">
        <f t="shared" si="19"/>
        <v>0</v>
      </c>
      <c r="V112" s="584">
        <f t="shared" si="20"/>
        <v>42120</v>
      </c>
      <c r="W112" s="371">
        <f t="shared" si="25"/>
        <v>5896800</v>
      </c>
      <c r="X112" s="977">
        <f t="shared" si="23"/>
        <v>3.2759999999999998</v>
      </c>
      <c r="Y112" s="999">
        <v>1800000</v>
      </c>
      <c r="Z112" s="1000">
        <f t="shared" si="24"/>
        <v>5896800</v>
      </c>
      <c r="AA112" s="568">
        <f t="shared" si="21"/>
        <v>90</v>
      </c>
      <c r="AB112" s="493">
        <f>IFERROR(INDEX('[17]CN BC'!$M$10:$M$276,MATCH(B112,'[17]CN BC'!$H$10:$H$276,0)),"")</f>
        <v>0</v>
      </c>
      <c r="AC112" s="141" t="str">
        <f>VLOOKUP(B112,TH.T4!B110:AC440,28,FALSE)</f>
        <v>KT</v>
      </c>
      <c r="AD112" s="108"/>
      <c r="AE112" s="108"/>
      <c r="AF112" s="487"/>
    </row>
    <row r="113" spans="1:42" s="372" customFormat="1" ht="28.5" customHeight="1">
      <c r="A113" s="379">
        <f>_xlfn.AGGREGATE(4,7,A$22:A112)+1</f>
        <v>91</v>
      </c>
      <c r="B113" s="462" t="s">
        <v>1998</v>
      </c>
      <c r="C113" s="364"/>
      <c r="D113" s="379"/>
      <c r="E113" s="479"/>
      <c r="F113" s="373">
        <v>3.33</v>
      </c>
      <c r="G113" s="367"/>
      <c r="H113" s="445">
        <f t="shared" si="14"/>
        <v>3.33</v>
      </c>
      <c r="I113" s="368"/>
      <c r="J113" s="81" t="str">
        <f>VLOOKUP(B113,TH.T5!B113:F442,5,FALSE)</f>
        <v>Giảng viên khoa Du lịch - Khách sạn</v>
      </c>
      <c r="K113" s="369">
        <f t="shared" si="15"/>
        <v>3.33</v>
      </c>
      <c r="L113" s="362">
        <f t="shared" si="16"/>
        <v>5994000</v>
      </c>
      <c r="M113" s="366" t="str">
        <f>VLOOKUP(B113,'[24]Gui chi Quynh'!$B$11:$E$400,4,FALSE)</f>
        <v>A2</v>
      </c>
      <c r="N113" s="494">
        <f t="shared" si="17"/>
        <v>8391600</v>
      </c>
      <c r="O113" s="366">
        <v>20</v>
      </c>
      <c r="P113" s="440">
        <f>IFERROR(INDEX('[17]CN BC'!$J$10:$J$276,MATCH(B113,'[17]CN BC'!$H$10:$H$276,0)),"")</f>
        <v>20</v>
      </c>
      <c r="Q113" s="494">
        <f t="shared" si="18"/>
        <v>8391600</v>
      </c>
      <c r="R113" s="460"/>
      <c r="S113" s="362">
        <f t="shared" si="22"/>
        <v>0</v>
      </c>
      <c r="T113" s="370"/>
      <c r="U113" s="362">
        <f t="shared" si="19"/>
        <v>0</v>
      </c>
      <c r="V113" s="584">
        <f t="shared" si="20"/>
        <v>59940</v>
      </c>
      <c r="W113" s="371">
        <f t="shared" si="25"/>
        <v>8391600</v>
      </c>
      <c r="X113" s="977">
        <f t="shared" si="23"/>
        <v>4.6619999999999999</v>
      </c>
      <c r="Y113" s="999">
        <v>1800000</v>
      </c>
      <c r="Z113" s="1000">
        <f t="shared" si="24"/>
        <v>8391600</v>
      </c>
      <c r="AA113" s="568">
        <f t="shared" si="21"/>
        <v>91</v>
      </c>
      <c r="AB113" s="493">
        <f>IFERROR(INDEX('[17]CN BC'!$M$10:$M$276,MATCH(B113,'[17]CN BC'!$H$10:$H$276,0)),"")</f>
        <v>0</v>
      </c>
      <c r="AC113" s="141" t="str">
        <f>VLOOKUP(B113,TH.T4!B111:AC441,28,FALSE)</f>
        <v>DLKS</v>
      </c>
      <c r="AD113" s="108"/>
      <c r="AE113" s="108"/>
      <c r="AF113" s="487"/>
    </row>
    <row r="114" spans="1:42" s="372" customFormat="1" ht="28.5" customHeight="1">
      <c r="A114" s="379">
        <f>_xlfn.AGGREGATE(4,7,A$22:A113)+1</f>
        <v>92</v>
      </c>
      <c r="B114" s="462" t="s">
        <v>1999</v>
      </c>
      <c r="C114" s="364"/>
      <c r="D114" s="379"/>
      <c r="E114" s="479"/>
      <c r="F114" s="373">
        <v>3.66</v>
      </c>
      <c r="G114" s="367"/>
      <c r="H114" s="445">
        <f t="shared" si="14"/>
        <v>3.66</v>
      </c>
      <c r="I114" s="368"/>
      <c r="J114" s="81" t="str">
        <f>VLOOKUP(B114,TH.T5!B114:F443,5,FALSE)</f>
        <v>Giảng viên khoa Kinh tế</v>
      </c>
      <c r="K114" s="369">
        <f t="shared" si="15"/>
        <v>3.66</v>
      </c>
      <c r="L114" s="362">
        <f t="shared" si="16"/>
        <v>6588000</v>
      </c>
      <c r="M114" s="366" t="str">
        <f>VLOOKUP(B114,'[24]Gui chi Quynh'!$B$11:$E$400,4,FALSE)</f>
        <v>A3</v>
      </c>
      <c r="N114" s="494">
        <f t="shared" si="17"/>
        <v>7905600</v>
      </c>
      <c r="O114" s="366">
        <v>20</v>
      </c>
      <c r="P114" s="440">
        <f>IFERROR(INDEX('[17]CN BC'!$J$10:$J$276,MATCH(B114,'[17]CN BC'!$H$10:$H$276,0)),"")</f>
        <v>20</v>
      </c>
      <c r="Q114" s="494">
        <f t="shared" si="18"/>
        <v>7905600</v>
      </c>
      <c r="R114" s="460"/>
      <c r="S114" s="362">
        <f t="shared" si="22"/>
        <v>0</v>
      </c>
      <c r="T114" s="370"/>
      <c r="U114" s="362">
        <f t="shared" si="19"/>
        <v>0</v>
      </c>
      <c r="V114" s="584">
        <f t="shared" si="20"/>
        <v>65880</v>
      </c>
      <c r="W114" s="371">
        <f t="shared" si="25"/>
        <v>7905600</v>
      </c>
      <c r="X114" s="977">
        <f t="shared" si="23"/>
        <v>4.3920000000000003</v>
      </c>
      <c r="Y114" s="999">
        <v>1800000</v>
      </c>
      <c r="Z114" s="1000">
        <f t="shared" si="24"/>
        <v>7905600.0000000009</v>
      </c>
      <c r="AA114" s="568">
        <f t="shared" si="21"/>
        <v>92</v>
      </c>
      <c r="AB114" s="493">
        <f>IFERROR(INDEX('[17]CN BC'!$M$10:$M$276,MATCH(B114,'[17]CN BC'!$H$10:$H$276,0)),"")</f>
        <v>0</v>
      </c>
      <c r="AC114" s="141" t="str">
        <f>VLOOKUP(B114,TH.T4!B112:AC442,28,FALSE)</f>
        <v>KT</v>
      </c>
      <c r="AD114" s="108"/>
      <c r="AE114" s="108"/>
      <c r="AF114" s="487"/>
    </row>
    <row r="115" spans="1:42" s="372" customFormat="1" ht="28.5" customHeight="1">
      <c r="A115" s="379">
        <f>_xlfn.AGGREGATE(4,7,A$22:A114)+1</f>
        <v>93</v>
      </c>
      <c r="B115" s="462" t="s">
        <v>2001</v>
      </c>
      <c r="C115" s="364"/>
      <c r="D115" s="379"/>
      <c r="E115" s="479"/>
      <c r="F115" s="373">
        <v>3</v>
      </c>
      <c r="G115" s="367"/>
      <c r="H115" s="445">
        <f t="shared" si="14"/>
        <v>3</v>
      </c>
      <c r="I115" s="368"/>
      <c r="J115" s="81" t="str">
        <f>VLOOKUP(B115,TH.T5!B115:F444,5,FALSE)</f>
        <v>Giảng viên khoa Kinh tế</v>
      </c>
      <c r="K115" s="369">
        <f t="shared" si="15"/>
        <v>3</v>
      </c>
      <c r="L115" s="362">
        <f t="shared" si="16"/>
        <v>5400000</v>
      </c>
      <c r="M115" s="366" t="str">
        <f>VLOOKUP(B115,'[24]Gui chi Quynh'!$B$11:$E$400,4,FALSE)</f>
        <v>A2</v>
      </c>
      <c r="N115" s="494">
        <f t="shared" si="17"/>
        <v>7559999.9999999991</v>
      </c>
      <c r="O115" s="366">
        <v>20</v>
      </c>
      <c r="P115" s="440">
        <f>IFERROR(INDEX('[17]CN BC'!$J$10:$J$276,MATCH(B115,'[17]CN BC'!$H$10:$H$276,0)),"")</f>
        <v>20</v>
      </c>
      <c r="Q115" s="494">
        <f t="shared" si="18"/>
        <v>7559999.9999999991</v>
      </c>
      <c r="R115" s="460"/>
      <c r="S115" s="362">
        <f t="shared" si="22"/>
        <v>0</v>
      </c>
      <c r="T115" s="370"/>
      <c r="U115" s="362">
        <f t="shared" si="19"/>
        <v>0</v>
      </c>
      <c r="V115" s="584">
        <f t="shared" si="20"/>
        <v>54000</v>
      </c>
      <c r="W115" s="371">
        <f t="shared" si="25"/>
        <v>7559999.9999999991</v>
      </c>
      <c r="X115" s="977">
        <f t="shared" si="23"/>
        <v>4.1999999999999993</v>
      </c>
      <c r="Y115" s="999">
        <v>1800000</v>
      </c>
      <c r="Z115" s="1000">
        <f t="shared" si="24"/>
        <v>7559999.9999999991</v>
      </c>
      <c r="AA115" s="568">
        <f t="shared" si="21"/>
        <v>93</v>
      </c>
      <c r="AB115" s="493">
        <f>IFERROR(INDEX('[17]CN BC'!$M$10:$M$276,MATCH(B115,'[17]CN BC'!$H$10:$H$276,0)),"")</f>
        <v>0</v>
      </c>
      <c r="AC115" s="141" t="str">
        <f>VLOOKUP(B115,TH.T4!B113:AC443,28,FALSE)</f>
        <v>DLKS</v>
      </c>
      <c r="AD115" s="108"/>
      <c r="AE115" s="108"/>
      <c r="AF115" s="487"/>
    </row>
    <row r="116" spans="1:42" s="372" customFormat="1" ht="37.5" customHeight="1">
      <c r="A116" s="379">
        <f>_xlfn.AGGREGATE(4,7,A$22:A115)+1</f>
        <v>94</v>
      </c>
      <c r="B116" s="462" t="s">
        <v>2021</v>
      </c>
      <c r="C116" s="364"/>
      <c r="D116" s="379"/>
      <c r="E116" s="479"/>
      <c r="F116" s="373">
        <v>3.66</v>
      </c>
      <c r="G116" s="367"/>
      <c r="H116" s="445">
        <f t="shared" si="14"/>
        <v>3.66</v>
      </c>
      <c r="I116" s="368"/>
      <c r="J116" s="81" t="str">
        <f>VLOOKUP(B116,TH.T5!B116:F445,5,FALSE)</f>
        <v>Giảng viên khoa Kinh tế</v>
      </c>
      <c r="K116" s="369">
        <f t="shared" si="15"/>
        <v>3.66</v>
      </c>
      <c r="L116" s="362">
        <f t="shared" si="16"/>
        <v>6588000</v>
      </c>
      <c r="M116" s="366" t="str">
        <f>VLOOKUP(B116,'[24]Gui chi Quynh'!$B$11:$E$400,4,FALSE)</f>
        <v>A3</v>
      </c>
      <c r="N116" s="494">
        <f t="shared" si="17"/>
        <v>7905600</v>
      </c>
      <c r="O116" s="366">
        <v>20</v>
      </c>
      <c r="P116" s="440">
        <f>IFERROR(INDEX('[17]CN BC'!$J$10:$J$276,MATCH(B116,'[17]CN BC'!$H$10:$H$276,0)),"")</f>
        <v>20</v>
      </c>
      <c r="Q116" s="494">
        <f t="shared" si="18"/>
        <v>7905600</v>
      </c>
      <c r="R116" s="460"/>
      <c r="S116" s="362">
        <f t="shared" si="22"/>
        <v>0</v>
      </c>
      <c r="T116" s="370"/>
      <c r="U116" s="362">
        <f t="shared" si="19"/>
        <v>0</v>
      </c>
      <c r="V116" s="584">
        <f t="shared" si="20"/>
        <v>65880</v>
      </c>
      <c r="W116" s="371">
        <f t="shared" si="25"/>
        <v>7905600</v>
      </c>
      <c r="X116" s="977">
        <f t="shared" si="23"/>
        <v>4.3920000000000003</v>
      </c>
      <c r="Y116" s="999">
        <v>1800000</v>
      </c>
      <c r="Z116" s="1000">
        <f t="shared" si="24"/>
        <v>7905600.0000000009</v>
      </c>
      <c r="AA116" s="568">
        <f t="shared" si="21"/>
        <v>94</v>
      </c>
      <c r="AB116" s="493">
        <f>IFERROR(INDEX('[17]CN BC'!$M$10:$M$276,MATCH(B116,'[17]CN BC'!$H$10:$H$276,0)),"")</f>
        <v>0</v>
      </c>
      <c r="AC116" s="141" t="str">
        <f>VLOOKUP(B116,TH.T4!B114:AC444,28,FALSE)</f>
        <v>KT</v>
      </c>
      <c r="AF116" s="487"/>
    </row>
    <row r="117" spans="1:42" s="372" customFormat="1" ht="31.5" customHeight="1">
      <c r="A117" s="379">
        <f>_xlfn.AGGREGATE(4,7,A$22:A116)+1</f>
        <v>95</v>
      </c>
      <c r="B117" s="363" t="s">
        <v>1478</v>
      </c>
      <c r="C117" s="364" t="s">
        <v>272</v>
      </c>
      <c r="D117" s="434" t="s">
        <v>1689</v>
      </c>
      <c r="E117" s="423" t="s">
        <v>371</v>
      </c>
      <c r="F117" s="373">
        <v>3.66</v>
      </c>
      <c r="G117" s="367"/>
      <c r="H117" s="368">
        <f t="shared" si="14"/>
        <v>3.66</v>
      </c>
      <c r="I117" s="368"/>
      <c r="J117" s="81" t="str">
        <f>VLOOKUP(B117,TH.T5!B117:F446,5,FALSE)</f>
        <v>Giảng viên khoa May - Thời trang</v>
      </c>
      <c r="K117" s="369">
        <f t="shared" si="15"/>
        <v>3.66</v>
      </c>
      <c r="L117" s="362">
        <f>K117*$G$19</f>
        <v>6588000</v>
      </c>
      <c r="M117" s="366" t="str">
        <f>VLOOKUP(B117,'[24]Gui chi Quynh'!$B$11:$E$400,4,FALSE)</f>
        <v>A3</v>
      </c>
      <c r="N117" s="494">
        <f t="shared" si="17"/>
        <v>7905600</v>
      </c>
      <c r="O117" s="366">
        <v>20</v>
      </c>
      <c r="P117" s="440">
        <f>IFERROR(INDEX('[17]CN BC'!$J$10:$J$276,MATCH(B117,'[17]CN BC'!$H$10:$H$276,0)),"")</f>
        <v>20</v>
      </c>
      <c r="Q117" s="494">
        <f t="shared" si="18"/>
        <v>7905600</v>
      </c>
      <c r="R117" s="460"/>
      <c r="S117" s="362">
        <f t="shared" si="22"/>
        <v>0</v>
      </c>
      <c r="T117" s="370"/>
      <c r="U117" s="362">
        <f t="shared" si="19"/>
        <v>0</v>
      </c>
      <c r="V117" s="584">
        <f t="shared" si="20"/>
        <v>65880</v>
      </c>
      <c r="W117" s="371">
        <f t="shared" si="25"/>
        <v>7905600</v>
      </c>
      <c r="X117" s="977">
        <f t="shared" si="23"/>
        <v>4.3920000000000003</v>
      </c>
      <c r="Y117" s="999">
        <v>1800000</v>
      </c>
      <c r="Z117" s="1000">
        <f t="shared" si="24"/>
        <v>7905600.0000000009</v>
      </c>
      <c r="AA117" s="568">
        <f t="shared" si="21"/>
        <v>95</v>
      </c>
      <c r="AB117" s="493">
        <f>IFERROR(INDEX('[17]CN BC'!$M$10:$M$276,MATCH(B117,'[17]CN BC'!$H$10:$H$276,0)),"")</f>
        <v>0</v>
      </c>
      <c r="AC117" s="141" t="str">
        <f>VLOOKUP(B117,TH.T4!B115:AC445,28,FALSE)</f>
        <v>M-TT</v>
      </c>
      <c r="AD117" s="108"/>
      <c r="AE117" s="108"/>
      <c r="AF117" s="155"/>
      <c r="AG117" s="108"/>
      <c r="AH117" s="108"/>
      <c r="AI117" s="108"/>
      <c r="AJ117" s="108"/>
      <c r="AK117" s="108"/>
      <c r="AL117" s="108"/>
    </row>
    <row r="118" spans="1:42" s="372" customFormat="1" ht="31.5" customHeight="1">
      <c r="A118" s="379">
        <f>_xlfn.AGGREGATE(4,7,A$22:A117)+1</f>
        <v>96</v>
      </c>
      <c r="B118" s="33" t="s">
        <v>1479</v>
      </c>
      <c r="C118" s="34" t="s">
        <v>912</v>
      </c>
      <c r="D118" s="406" t="s">
        <v>1690</v>
      </c>
      <c r="E118" s="424" t="s">
        <v>372</v>
      </c>
      <c r="F118" s="83">
        <v>3.66</v>
      </c>
      <c r="G118" s="157"/>
      <c r="H118" s="368">
        <f t="shared" si="14"/>
        <v>3.66</v>
      </c>
      <c r="I118" s="81"/>
      <c r="J118" s="81" t="str">
        <f>VLOOKUP(B118,TH.T5!B118:F447,5,FALSE)</f>
        <v>Giảng viên khoa May - Thời trang</v>
      </c>
      <c r="K118" s="369">
        <f t="shared" si="15"/>
        <v>3.66</v>
      </c>
      <c r="L118" s="362">
        <f>K118*$G$19</f>
        <v>6588000</v>
      </c>
      <c r="M118" s="366" t="str">
        <f>VLOOKUP(B118,'[24]Gui chi Quynh'!$B$11:$E$400,4,FALSE)</f>
        <v>A3</v>
      </c>
      <c r="N118" s="494">
        <f t="shared" si="17"/>
        <v>7905600</v>
      </c>
      <c r="O118" s="366">
        <v>20</v>
      </c>
      <c r="P118" s="440">
        <f>IFERROR(INDEX('[17]CN BC'!$J$10:$J$276,MATCH(B118,'[17]CN BC'!$H$10:$H$276,0)),"")</f>
        <v>20</v>
      </c>
      <c r="Q118" s="494">
        <f t="shared" si="18"/>
        <v>7905600</v>
      </c>
      <c r="R118" s="392"/>
      <c r="S118" s="362">
        <f t="shared" si="22"/>
        <v>0</v>
      </c>
      <c r="T118" s="74"/>
      <c r="U118" s="362">
        <f t="shared" si="19"/>
        <v>0</v>
      </c>
      <c r="V118" s="584">
        <f t="shared" si="20"/>
        <v>65880</v>
      </c>
      <c r="W118" s="371">
        <f t="shared" si="25"/>
        <v>7905600</v>
      </c>
      <c r="X118" s="977">
        <f t="shared" si="23"/>
        <v>4.3920000000000003</v>
      </c>
      <c r="Y118" s="999">
        <v>1800000</v>
      </c>
      <c r="Z118" s="1000">
        <f t="shared" si="24"/>
        <v>7905600.0000000009</v>
      </c>
      <c r="AA118" s="568">
        <f t="shared" si="21"/>
        <v>96</v>
      </c>
      <c r="AB118" s="493">
        <f>IFERROR(INDEX('[17]CN BC'!$M$10:$M$276,MATCH(B118,'[17]CN BC'!$H$10:$H$276,0)),"")</f>
        <v>0</v>
      </c>
      <c r="AC118" s="141" t="str">
        <f>VLOOKUP(B118,TH.T4!B116:AC446,28,FALSE)</f>
        <v>M-TT</v>
      </c>
      <c r="AD118" s="108"/>
      <c r="AE118" s="108"/>
      <c r="AF118" s="155"/>
      <c r="AG118" s="108"/>
      <c r="AH118" s="108"/>
      <c r="AI118" s="108"/>
      <c r="AJ118" s="108"/>
      <c r="AK118" s="108"/>
      <c r="AL118" s="108"/>
      <c r="AM118" s="108"/>
      <c r="AN118" s="108"/>
      <c r="AO118" s="108"/>
      <c r="AP118" s="108"/>
    </row>
    <row r="119" spans="1:42" s="372" customFormat="1" ht="31.5" customHeight="1">
      <c r="A119" s="379">
        <f>_xlfn.AGGREGATE(4,7,A$22:A118)+1</f>
        <v>97</v>
      </c>
      <c r="B119" s="363" t="s">
        <v>1480</v>
      </c>
      <c r="C119" s="364" t="s">
        <v>733</v>
      </c>
      <c r="D119" s="406" t="s">
        <v>1691</v>
      </c>
      <c r="E119" s="426" t="s">
        <v>735</v>
      </c>
      <c r="F119" s="373">
        <v>3.33</v>
      </c>
      <c r="G119" s="367"/>
      <c r="H119" s="445">
        <f t="shared" si="14"/>
        <v>3.33</v>
      </c>
      <c r="I119" s="368">
        <v>0.45</v>
      </c>
      <c r="J119" s="81" t="str">
        <f>VLOOKUP(B119,TH.T5!B119:F448,5,FALSE)</f>
        <v>Phó Trưởng khoa May - Thời trang</v>
      </c>
      <c r="K119" s="369">
        <f t="shared" si="15"/>
        <v>3.7800000000000002</v>
      </c>
      <c r="L119" s="362">
        <f>K119*$G$19</f>
        <v>6804000</v>
      </c>
      <c r="M119" s="366" t="str">
        <f>VLOOKUP(B119,'[24]Gui chi Quynh'!$B$11:$E$400,4,FALSE)</f>
        <v>A2</v>
      </c>
      <c r="N119" s="494">
        <f t="shared" si="17"/>
        <v>9525600</v>
      </c>
      <c r="O119" s="366">
        <v>20</v>
      </c>
      <c r="P119" s="440">
        <f>IFERROR(INDEX('[17]CN BC'!$J$10:$J$276,MATCH(B119,'[17]CN BC'!$H$10:$H$276,0)),"")</f>
        <v>20</v>
      </c>
      <c r="Q119" s="494">
        <f t="shared" si="18"/>
        <v>9525600</v>
      </c>
      <c r="R119" s="392"/>
      <c r="S119" s="362">
        <f t="shared" si="22"/>
        <v>0</v>
      </c>
      <c r="T119" s="370"/>
      <c r="U119" s="362">
        <f t="shared" si="19"/>
        <v>0</v>
      </c>
      <c r="V119" s="584">
        <f t="shared" si="20"/>
        <v>68040</v>
      </c>
      <c r="W119" s="371">
        <f t="shared" si="25"/>
        <v>9525600</v>
      </c>
      <c r="X119" s="977">
        <f t="shared" si="23"/>
        <v>5.2919999999999998</v>
      </c>
      <c r="Y119" s="999">
        <v>1800000</v>
      </c>
      <c r="Z119" s="1000">
        <f t="shared" si="24"/>
        <v>9525600</v>
      </c>
      <c r="AA119" s="568">
        <f t="shared" si="21"/>
        <v>97</v>
      </c>
      <c r="AB119" s="493">
        <f>IFERROR(INDEX('[17]CN BC'!$M$10:$M$276,MATCH(B119,'[17]CN BC'!$H$10:$H$276,0)),"")</f>
        <v>0</v>
      </c>
      <c r="AC119" s="141" t="str">
        <f>VLOOKUP(B119,TH.T4!B117:AC447,28,FALSE)</f>
        <v>M-TT</v>
      </c>
      <c r="AD119" s="108"/>
      <c r="AE119" s="108"/>
      <c r="AF119" s="155"/>
      <c r="AG119" s="108"/>
      <c r="AH119" s="108"/>
      <c r="AI119" s="108"/>
      <c r="AJ119" s="108"/>
      <c r="AK119" s="108"/>
      <c r="AL119" s="108"/>
      <c r="AM119" s="108"/>
      <c r="AN119" s="108"/>
      <c r="AO119" s="108"/>
      <c r="AP119" s="108"/>
    </row>
    <row r="120" spans="1:42" s="372" customFormat="1" ht="31.5" customHeight="1">
      <c r="A120" s="379">
        <f>_xlfn.AGGREGATE(4,7,A$22:A119)+1</f>
        <v>98</v>
      </c>
      <c r="B120" s="363" t="s">
        <v>1481</v>
      </c>
      <c r="C120" s="364" t="s">
        <v>736</v>
      </c>
      <c r="D120" s="434" t="s">
        <v>1692</v>
      </c>
      <c r="E120" s="426">
        <v>1603205353742</v>
      </c>
      <c r="F120" s="373">
        <v>3.33</v>
      </c>
      <c r="G120" s="367"/>
      <c r="H120" s="445">
        <f>F120+(F120*G120)</f>
        <v>3.33</v>
      </c>
      <c r="I120" s="368"/>
      <c r="J120" s="81" t="str">
        <f>VLOOKUP(B120,TH.T5!B120:F449,5,FALSE)</f>
        <v>Giảng viên khoa May - Thời trang</v>
      </c>
      <c r="K120" s="369">
        <f>H120+I120</f>
        <v>3.33</v>
      </c>
      <c r="L120" s="362">
        <f>K120*$G$19</f>
        <v>5994000</v>
      </c>
      <c r="M120" s="366" t="str">
        <f>VLOOKUP(B120,'[24]Gui chi Quynh'!$B$11:$E$400,4,FALSE)</f>
        <v>A3</v>
      </c>
      <c r="N120" s="494">
        <f t="shared" si="17"/>
        <v>7192800</v>
      </c>
      <c r="O120" s="366">
        <v>20</v>
      </c>
      <c r="P120" s="440">
        <f>IFERROR(INDEX('[17]CN BC'!$J$10:$J$276,MATCH(B120,'[17]CN BC'!$H$10:$H$276,0)),"")</f>
        <v>20</v>
      </c>
      <c r="Q120" s="494">
        <f t="shared" si="18"/>
        <v>7192800</v>
      </c>
      <c r="R120" s="460"/>
      <c r="S120" s="362">
        <f t="shared" si="22"/>
        <v>0</v>
      </c>
      <c r="T120" s="370"/>
      <c r="U120" s="362">
        <f t="shared" si="19"/>
        <v>0</v>
      </c>
      <c r="V120" s="584">
        <f t="shared" si="20"/>
        <v>59940</v>
      </c>
      <c r="W120" s="371">
        <f t="shared" si="25"/>
        <v>7192800</v>
      </c>
      <c r="X120" s="977">
        <f t="shared" si="23"/>
        <v>3.996</v>
      </c>
      <c r="Y120" s="999">
        <v>1800000</v>
      </c>
      <c r="Z120" s="1000">
        <f t="shared" si="24"/>
        <v>7192800</v>
      </c>
      <c r="AA120" s="568">
        <f t="shared" si="21"/>
        <v>98</v>
      </c>
      <c r="AB120" s="493">
        <f>IFERROR(INDEX('[17]CN BC'!$M$10:$M$276,MATCH(B120,'[17]CN BC'!$H$10:$H$276,0)),"")</f>
        <v>0</v>
      </c>
      <c r="AC120" s="141" t="str">
        <f>VLOOKUP(B120,TH.T4!B118:AC448,28,FALSE)</f>
        <v>M-TT</v>
      </c>
      <c r="AD120" s="108"/>
      <c r="AE120" s="108"/>
      <c r="AF120" s="155"/>
      <c r="AG120" s="108"/>
      <c r="AH120" s="108"/>
      <c r="AI120" s="108"/>
      <c r="AJ120" s="108"/>
      <c r="AK120" s="108"/>
      <c r="AL120" s="108"/>
    </row>
    <row r="121" spans="1:42" s="372" customFormat="1" ht="31.5" customHeight="1">
      <c r="A121" s="379">
        <f>_xlfn.AGGREGATE(4,7,A$22:A120)+1</f>
        <v>99</v>
      </c>
      <c r="B121" s="363" t="s">
        <v>1865</v>
      </c>
      <c r="C121" s="364" t="s">
        <v>737</v>
      </c>
      <c r="D121" s="406" t="s">
        <v>1693</v>
      </c>
      <c r="E121" s="426">
        <v>1603205357136</v>
      </c>
      <c r="F121" s="373">
        <v>3.33</v>
      </c>
      <c r="G121" s="367"/>
      <c r="H121" s="445">
        <f t="shared" ref="H121:H184" si="26">F121+(F121*G121)</f>
        <v>3.33</v>
      </c>
      <c r="I121" s="368"/>
      <c r="J121" s="81" t="str">
        <f>VLOOKUP(B121,TH.T5!B121:F450,5,FALSE)</f>
        <v>Giảng viên khoa May - Thời trang</v>
      </c>
      <c r="K121" s="369">
        <f t="shared" ref="K121:K184" si="27">H121+I121</f>
        <v>3.33</v>
      </c>
      <c r="L121" s="362">
        <f t="shared" ref="L121:L184" si="28">K121*$G$19</f>
        <v>5994000</v>
      </c>
      <c r="M121" s="366" t="str">
        <f>VLOOKUP(B121,'[24]Gui chi Quynh'!$B$11:$E$400,4,FALSE)</f>
        <v>A3</v>
      </c>
      <c r="N121" s="494">
        <f t="shared" si="17"/>
        <v>7192800</v>
      </c>
      <c r="O121" s="366">
        <v>20</v>
      </c>
      <c r="P121" s="440">
        <f>IFERROR(INDEX('[17]CN BC'!$J$10:$J$276,MATCH(B121,'[17]CN BC'!$H$10:$H$276,0)),"")</f>
        <v>20</v>
      </c>
      <c r="Q121" s="494">
        <f t="shared" si="18"/>
        <v>7192800</v>
      </c>
      <c r="R121" s="392"/>
      <c r="S121" s="362">
        <f t="shared" si="22"/>
        <v>0</v>
      </c>
      <c r="T121" s="370"/>
      <c r="U121" s="362">
        <f t="shared" si="19"/>
        <v>0</v>
      </c>
      <c r="V121" s="584">
        <f t="shared" si="20"/>
        <v>59940</v>
      </c>
      <c r="W121" s="371">
        <f t="shared" si="25"/>
        <v>7192800</v>
      </c>
      <c r="X121" s="977">
        <f t="shared" si="23"/>
        <v>3.996</v>
      </c>
      <c r="Y121" s="999">
        <v>1800000</v>
      </c>
      <c r="Z121" s="1000">
        <f t="shared" si="24"/>
        <v>7192800</v>
      </c>
      <c r="AA121" s="568">
        <f t="shared" si="21"/>
        <v>99</v>
      </c>
      <c r="AB121" s="493">
        <f>IFERROR(INDEX('[17]CN BC'!$M$10:$M$276,MATCH(B121,'[17]CN BC'!$H$10:$H$276,0)),"")</f>
        <v>0</v>
      </c>
      <c r="AC121" s="141" t="str">
        <f>VLOOKUP(B121,TH.T4!B119:AC449,28,FALSE)</f>
        <v>M-TT</v>
      </c>
      <c r="AD121" s="108"/>
      <c r="AE121" s="108"/>
      <c r="AF121" s="155"/>
      <c r="AG121" s="108"/>
      <c r="AH121" s="108"/>
      <c r="AI121" s="108"/>
      <c r="AJ121" s="108"/>
      <c r="AK121" s="108"/>
      <c r="AL121" s="108"/>
      <c r="AM121" s="108"/>
      <c r="AN121" s="108"/>
      <c r="AO121" s="108"/>
      <c r="AP121" s="108"/>
    </row>
    <row r="122" spans="1:42" s="372" customFormat="1" ht="31.5" customHeight="1">
      <c r="A122" s="379">
        <f>_xlfn.AGGREGATE(4,7,A$22:A121)+1</f>
        <v>100</v>
      </c>
      <c r="B122" s="363" t="s">
        <v>1482</v>
      </c>
      <c r="C122" s="364" t="s">
        <v>1421</v>
      </c>
      <c r="D122" s="406" t="s">
        <v>1694</v>
      </c>
      <c r="E122" s="422" t="s">
        <v>1422</v>
      </c>
      <c r="F122" s="373">
        <v>3.33</v>
      </c>
      <c r="G122" s="367"/>
      <c r="H122" s="445">
        <f t="shared" si="26"/>
        <v>3.33</v>
      </c>
      <c r="I122" s="368"/>
      <c r="J122" s="81" t="str">
        <f>VLOOKUP(B122,TH.T5!B122:F451,5,FALSE)</f>
        <v>Giảng viên khoa May - Thời trang</v>
      </c>
      <c r="K122" s="369">
        <f t="shared" si="27"/>
        <v>3.33</v>
      </c>
      <c r="L122" s="362">
        <f t="shared" si="28"/>
        <v>5994000</v>
      </c>
      <c r="M122" s="366" t="str">
        <f>VLOOKUP(B122,'[24]Gui chi Quynh'!$B$11:$E$400,4,FALSE)</f>
        <v>A3</v>
      </c>
      <c r="N122" s="494">
        <f t="shared" si="17"/>
        <v>7192800</v>
      </c>
      <c r="O122" s="366">
        <v>20</v>
      </c>
      <c r="P122" s="440">
        <f>IFERROR(INDEX('[17]CN BC'!$J$10:$J$276,MATCH(B122,'[17]CN BC'!$H$10:$H$276,0)),"")</f>
        <v>20</v>
      </c>
      <c r="Q122" s="494">
        <f t="shared" si="18"/>
        <v>7192800</v>
      </c>
      <c r="R122" s="392"/>
      <c r="S122" s="362">
        <f t="shared" si="22"/>
        <v>0</v>
      </c>
      <c r="T122" s="385"/>
      <c r="U122" s="362">
        <f t="shared" si="19"/>
        <v>0</v>
      </c>
      <c r="V122" s="584">
        <f t="shared" si="20"/>
        <v>59940</v>
      </c>
      <c r="W122" s="371">
        <f t="shared" si="25"/>
        <v>7192800</v>
      </c>
      <c r="X122" s="977">
        <f t="shared" si="23"/>
        <v>3.996</v>
      </c>
      <c r="Y122" s="999">
        <v>1800000</v>
      </c>
      <c r="Z122" s="1000">
        <f t="shared" si="24"/>
        <v>7192800</v>
      </c>
      <c r="AA122" s="568">
        <f t="shared" si="21"/>
        <v>100</v>
      </c>
      <c r="AB122" s="493">
        <f>IFERROR(INDEX('[17]CN BC'!$M$10:$M$276,MATCH(B122,'[17]CN BC'!$H$10:$H$276,0)),"")</f>
        <v>0</v>
      </c>
      <c r="AC122" s="141" t="str">
        <f>VLOOKUP(B122,TH.T4!B120:AC450,28,FALSE)</f>
        <v>M-TT</v>
      </c>
      <c r="AD122" s="108"/>
      <c r="AE122" s="108"/>
      <c r="AF122" s="155"/>
      <c r="AG122" s="108"/>
      <c r="AH122" s="108"/>
      <c r="AI122" s="108"/>
      <c r="AJ122" s="108"/>
      <c r="AK122" s="108"/>
      <c r="AL122" s="108"/>
      <c r="AM122" s="108"/>
      <c r="AN122" s="108"/>
      <c r="AO122" s="108"/>
      <c r="AP122" s="108"/>
    </row>
    <row r="123" spans="1:42" s="372" customFormat="1" ht="31.5" customHeight="1">
      <c r="A123" s="379">
        <f>_xlfn.AGGREGATE(4,7,A$22:A122)+1</f>
        <v>101</v>
      </c>
      <c r="B123" s="363" t="s">
        <v>1483</v>
      </c>
      <c r="C123" s="364" t="s">
        <v>49</v>
      </c>
      <c r="D123" s="406" t="s">
        <v>1695</v>
      </c>
      <c r="E123" s="422" t="s">
        <v>1432</v>
      </c>
      <c r="F123" s="366">
        <v>4.9800000000000004</v>
      </c>
      <c r="G123" s="367">
        <v>0.05</v>
      </c>
      <c r="H123" s="368">
        <f t="shared" si="26"/>
        <v>5.2290000000000001</v>
      </c>
      <c r="I123" s="395">
        <v>0.25</v>
      </c>
      <c r="J123" s="81" t="str">
        <f>VLOOKUP(B123,TH.T5!B123:F452,5,FALSE)</f>
        <v>Giảng viên khoa Du lịch - Khách sạn</v>
      </c>
      <c r="K123" s="369">
        <f t="shared" si="27"/>
        <v>5.4790000000000001</v>
      </c>
      <c r="L123" s="362">
        <f t="shared" si="28"/>
        <v>9862200</v>
      </c>
      <c r="M123" s="366" t="str">
        <f>VLOOKUP(B123,'[24]Gui chi Quynh'!$B$11:$E$400,4,FALSE)</f>
        <v>A2</v>
      </c>
      <c r="N123" s="494">
        <f t="shared" si="17"/>
        <v>13807080</v>
      </c>
      <c r="O123" s="366">
        <v>20</v>
      </c>
      <c r="P123" s="440">
        <f>IFERROR(INDEX('[17]CN BC'!$J$10:$J$276,MATCH(B123,'[17]CN BC'!$H$10:$H$276,0)),"")</f>
        <v>20</v>
      </c>
      <c r="Q123" s="494">
        <f t="shared" si="18"/>
        <v>13807080</v>
      </c>
      <c r="R123" s="392"/>
      <c r="S123" s="362">
        <f t="shared" si="22"/>
        <v>0</v>
      </c>
      <c r="T123" s="385"/>
      <c r="U123" s="362">
        <f t="shared" si="19"/>
        <v>0</v>
      </c>
      <c r="V123" s="584">
        <f t="shared" si="20"/>
        <v>98622</v>
      </c>
      <c r="W123" s="371">
        <f t="shared" si="25"/>
        <v>13807080</v>
      </c>
      <c r="X123" s="977">
        <f t="shared" si="23"/>
        <v>7.6706000000000003</v>
      </c>
      <c r="Y123" s="999">
        <v>1800000</v>
      </c>
      <c r="Z123" s="1000">
        <f t="shared" si="24"/>
        <v>13807080</v>
      </c>
      <c r="AA123" s="568">
        <f t="shared" si="21"/>
        <v>101</v>
      </c>
      <c r="AB123" s="493">
        <f>IFERROR(INDEX('[17]CN BC'!$M$10:$M$276,MATCH(B123,'[17]CN BC'!$H$10:$H$276,0)),"")</f>
        <v>0</v>
      </c>
      <c r="AC123" s="141" t="str">
        <f>VLOOKUP(B123,TH.T4!B121:AC451,28,FALSE)</f>
        <v>DLKS</v>
      </c>
      <c r="AD123" s="108"/>
      <c r="AE123" s="108"/>
      <c r="AF123" s="155"/>
      <c r="AG123" s="108"/>
      <c r="AH123" s="108"/>
      <c r="AI123" s="108"/>
      <c r="AJ123" s="108"/>
      <c r="AK123" s="108"/>
      <c r="AL123" s="108"/>
      <c r="AM123" s="108"/>
      <c r="AN123" s="108"/>
      <c r="AO123" s="108"/>
      <c r="AP123" s="108"/>
    </row>
    <row r="124" spans="1:42" s="372" customFormat="1" ht="31.5" customHeight="1">
      <c r="A124" s="379">
        <f>_xlfn.AGGREGATE(4,7,A$22:A123)+1</f>
        <v>102</v>
      </c>
      <c r="B124" s="33" t="s">
        <v>1568</v>
      </c>
      <c r="C124" s="34"/>
      <c r="D124" s="406" t="s">
        <v>1696</v>
      </c>
      <c r="E124" s="432" t="s">
        <v>1569</v>
      </c>
      <c r="F124" s="83">
        <v>3.33</v>
      </c>
      <c r="G124" s="157"/>
      <c r="H124" s="445">
        <f t="shared" si="26"/>
        <v>3.33</v>
      </c>
      <c r="I124" s="81"/>
      <c r="J124" s="81" t="str">
        <f>VLOOKUP(B124,TH.T5!B124:F453,5,FALSE)</f>
        <v>Giảng viên khoa May - Thời trang</v>
      </c>
      <c r="K124" s="369">
        <f t="shared" si="27"/>
        <v>3.33</v>
      </c>
      <c r="L124" s="362">
        <f t="shared" si="28"/>
        <v>5994000</v>
      </c>
      <c r="M124" s="366" t="str">
        <f>VLOOKUP(B124,'[24]Gui chi Quynh'!$B$11:$E$400,4,FALSE)</f>
        <v>A3</v>
      </c>
      <c r="N124" s="494">
        <f t="shared" si="17"/>
        <v>7192800</v>
      </c>
      <c r="O124" s="366">
        <v>20</v>
      </c>
      <c r="P124" s="440">
        <f>IFERROR(INDEX('[17]CN BC'!$J$10:$J$276,MATCH(B124,'[17]CN BC'!$H$10:$H$276,0)),"")</f>
        <v>20</v>
      </c>
      <c r="Q124" s="494">
        <f t="shared" si="18"/>
        <v>7192800</v>
      </c>
      <c r="R124" s="392"/>
      <c r="S124" s="362">
        <f t="shared" si="22"/>
        <v>0</v>
      </c>
      <c r="T124" s="74"/>
      <c r="U124" s="362">
        <f t="shared" si="19"/>
        <v>0</v>
      </c>
      <c r="V124" s="584">
        <f t="shared" si="20"/>
        <v>59940</v>
      </c>
      <c r="W124" s="371">
        <f t="shared" si="25"/>
        <v>7192800</v>
      </c>
      <c r="X124" s="977">
        <f t="shared" si="23"/>
        <v>3.996</v>
      </c>
      <c r="Y124" s="999">
        <v>1800000</v>
      </c>
      <c r="Z124" s="1000">
        <f t="shared" si="24"/>
        <v>7192800</v>
      </c>
      <c r="AA124" s="568">
        <f t="shared" si="21"/>
        <v>102</v>
      </c>
      <c r="AB124" s="493">
        <f>IFERROR(INDEX('[17]CN BC'!$M$10:$M$276,MATCH(B124,'[17]CN BC'!$H$10:$H$276,0)),"")</f>
        <v>0</v>
      </c>
      <c r="AC124" s="141" t="str">
        <f>VLOOKUP(B124,TH.T4!B122:AC452,28,FALSE)</f>
        <v>M-TT</v>
      </c>
      <c r="AD124" s="108"/>
      <c r="AE124" s="108"/>
      <c r="AF124" s="155"/>
      <c r="AG124" s="108"/>
      <c r="AH124" s="108"/>
      <c r="AI124" s="108"/>
      <c r="AJ124" s="108"/>
      <c r="AK124" s="108"/>
      <c r="AL124" s="108"/>
      <c r="AM124" s="108"/>
      <c r="AN124" s="108"/>
      <c r="AO124" s="108"/>
      <c r="AP124" s="108"/>
    </row>
    <row r="125" spans="1:42" s="372" customFormat="1" ht="31.5" customHeight="1">
      <c r="A125" s="379">
        <f>_xlfn.AGGREGATE(4,7,A$22:A124)+1</f>
        <v>103</v>
      </c>
      <c r="B125" s="363" t="s">
        <v>1832</v>
      </c>
      <c r="C125" s="364"/>
      <c r="D125" s="434" t="s">
        <v>1963</v>
      </c>
      <c r="E125" s="195">
        <v>1603215005610</v>
      </c>
      <c r="F125" s="373">
        <v>3</v>
      </c>
      <c r="G125" s="367"/>
      <c r="H125" s="368">
        <f t="shared" si="26"/>
        <v>3</v>
      </c>
      <c r="I125" s="368"/>
      <c r="J125" s="81" t="str">
        <f>VLOOKUP(B125,TH.T5!B125:F454,5,FALSE)</f>
        <v>Giảng viên khoa May - Thời trang</v>
      </c>
      <c r="K125" s="369">
        <f t="shared" si="27"/>
        <v>3</v>
      </c>
      <c r="L125" s="362">
        <f t="shared" si="28"/>
        <v>5400000</v>
      </c>
      <c r="M125" s="366" t="str">
        <f>VLOOKUP(B125,'[24]Gui chi Quynh'!$B$11:$E$400,4,FALSE)</f>
        <v>A3</v>
      </c>
      <c r="N125" s="494">
        <f t="shared" si="17"/>
        <v>6480000</v>
      </c>
      <c r="O125" s="366">
        <v>20</v>
      </c>
      <c r="P125" s="440">
        <f>IFERROR(INDEX('[17]CN BC'!$J$10:$J$276,MATCH(B125,'[17]CN BC'!$H$10:$H$276,0)),"")</f>
        <v>20</v>
      </c>
      <c r="Q125" s="494">
        <f t="shared" si="18"/>
        <v>6480000</v>
      </c>
      <c r="R125" s="392"/>
      <c r="S125" s="362">
        <f t="shared" si="22"/>
        <v>0</v>
      </c>
      <c r="T125" s="370"/>
      <c r="U125" s="362">
        <f t="shared" si="19"/>
        <v>0</v>
      </c>
      <c r="V125" s="584">
        <f t="shared" si="20"/>
        <v>54000</v>
      </c>
      <c r="W125" s="371">
        <f t="shared" si="25"/>
        <v>6480000</v>
      </c>
      <c r="X125" s="977">
        <f t="shared" si="23"/>
        <v>3.6</v>
      </c>
      <c r="Y125" s="999">
        <v>1800000</v>
      </c>
      <c r="Z125" s="1000">
        <f t="shared" si="24"/>
        <v>6480000</v>
      </c>
      <c r="AA125" s="568">
        <f t="shared" si="21"/>
        <v>103</v>
      </c>
      <c r="AB125" s="493">
        <f>IFERROR(INDEX('[17]CN BC'!$M$10:$M$276,MATCH(B125,'[17]CN BC'!$H$10:$H$276,0)),"")</f>
        <v>0</v>
      </c>
      <c r="AC125" s="141" t="str">
        <f>VLOOKUP(B125,TH.T4!B123:AC453,28,FALSE)</f>
        <v>M-TT</v>
      </c>
      <c r="AD125" s="108"/>
      <c r="AE125" s="108"/>
      <c r="AF125" s="155"/>
      <c r="AG125" s="108"/>
      <c r="AH125" s="108"/>
      <c r="AI125" s="108"/>
      <c r="AJ125" s="108"/>
      <c r="AK125" s="108"/>
      <c r="AL125" s="108"/>
    </row>
    <row r="126" spans="1:42" s="108" customFormat="1" ht="27" customHeight="1">
      <c r="A126" s="379">
        <f>_xlfn.AGGREGATE(4,7,A$22:A125)+1</f>
        <v>104</v>
      </c>
      <c r="B126" s="33" t="s">
        <v>1555</v>
      </c>
      <c r="C126" s="149" t="s">
        <v>1105</v>
      </c>
      <c r="D126" s="406" t="s">
        <v>1658</v>
      </c>
      <c r="E126" s="424" t="s">
        <v>1278</v>
      </c>
      <c r="F126" s="10">
        <v>4.9800000000000004</v>
      </c>
      <c r="G126" s="45"/>
      <c r="H126" s="368">
        <f t="shared" si="26"/>
        <v>4.9800000000000004</v>
      </c>
      <c r="I126" s="464">
        <v>0.45</v>
      </c>
      <c r="J126" s="81" t="str">
        <f>VLOOKUP(B126,TH.T5!B126:F455,5,FALSE)</f>
        <v>Trưởng khoa KHCB</v>
      </c>
      <c r="K126" s="369">
        <f t="shared" si="27"/>
        <v>5.4300000000000006</v>
      </c>
      <c r="L126" s="362">
        <f t="shared" si="28"/>
        <v>9774000.0000000019</v>
      </c>
      <c r="M126" s="366" t="str">
        <f>VLOOKUP(B126,'[24]Gui chi Quynh'!$B$11:$E$400,4,FALSE)</f>
        <v>A4</v>
      </c>
      <c r="N126" s="494">
        <f t="shared" si="17"/>
        <v>9774000.0000000019</v>
      </c>
      <c r="O126" s="366">
        <v>20</v>
      </c>
      <c r="P126" s="440">
        <f>IFERROR(INDEX('[17]CN BC'!$J$10:$J$276,MATCH(B126,'[17]CN BC'!$H$10:$H$276,0)),"")</f>
        <v>20</v>
      </c>
      <c r="Q126" s="494">
        <f t="shared" si="18"/>
        <v>9774000.0000000019</v>
      </c>
      <c r="R126" s="454"/>
      <c r="S126" s="362">
        <f t="shared" si="22"/>
        <v>0</v>
      </c>
      <c r="T126" s="74"/>
      <c r="U126" s="362">
        <f t="shared" si="19"/>
        <v>0</v>
      </c>
      <c r="V126" s="584">
        <f t="shared" si="20"/>
        <v>97740</v>
      </c>
      <c r="W126" s="371">
        <f t="shared" si="25"/>
        <v>9774000.0000000019</v>
      </c>
      <c r="X126" s="977">
        <f t="shared" si="23"/>
        <v>5.4300000000000006</v>
      </c>
      <c r="Y126" s="999">
        <v>1800000</v>
      </c>
      <c r="Z126" s="1000">
        <f t="shared" si="24"/>
        <v>9774000.0000000019</v>
      </c>
      <c r="AA126" s="568">
        <f t="shared" si="21"/>
        <v>104</v>
      </c>
      <c r="AB126" s="493">
        <f>IFERROR(INDEX('[17]CN BC'!$M$10:$M$276,MATCH(B126,'[17]CN BC'!$H$10:$H$276,0)),"")</f>
        <v>0</v>
      </c>
      <c r="AC126" s="141" t="str">
        <f>VLOOKUP(B126,TH.T4!B124:AC454,28,FALSE)</f>
        <v>KHCB</v>
      </c>
      <c r="AF126" s="155"/>
    </row>
    <row r="127" spans="1:42" s="372" customFormat="1" ht="28.5" customHeight="1">
      <c r="A127" s="379">
        <f>_xlfn.AGGREGATE(4,7,A$22:A126)+1</f>
        <v>105</v>
      </c>
      <c r="B127" s="363" t="s">
        <v>1866</v>
      </c>
      <c r="C127" s="364" t="s">
        <v>873</v>
      </c>
      <c r="D127" s="434" t="s">
        <v>1697</v>
      </c>
      <c r="E127" s="423" t="s">
        <v>1300</v>
      </c>
      <c r="F127" s="366">
        <v>4.9800000000000004</v>
      </c>
      <c r="G127" s="367">
        <v>7.0000000000000007E-2</v>
      </c>
      <c r="H127" s="368">
        <f t="shared" si="26"/>
        <v>5.3286000000000007</v>
      </c>
      <c r="I127" s="368">
        <v>0.25</v>
      </c>
      <c r="J127" s="81" t="str">
        <f>VLOOKUP(B127,TH.T5!B127:F456,5,FALSE)</f>
        <v>Giảng viên Khoa KHCB</v>
      </c>
      <c r="K127" s="369">
        <f t="shared" si="27"/>
        <v>5.5786000000000007</v>
      </c>
      <c r="L127" s="362">
        <f t="shared" si="28"/>
        <v>10041480.000000002</v>
      </c>
      <c r="M127" s="366" t="str">
        <f>VLOOKUP(B127,'[24]Gui chi Quynh'!$B$11:$E$400,4,FALSE)</f>
        <v>A4</v>
      </c>
      <c r="N127" s="494">
        <f t="shared" si="17"/>
        <v>10041480.000000002</v>
      </c>
      <c r="O127" s="366">
        <v>20</v>
      </c>
      <c r="P127" s="440">
        <f>IFERROR(INDEX('[17]CN BC'!$J$10:$J$276,MATCH(B127,'[17]CN BC'!$H$10:$H$276,0)),"")</f>
        <v>20</v>
      </c>
      <c r="Q127" s="494">
        <f t="shared" si="18"/>
        <v>10041480.000000002</v>
      </c>
      <c r="R127" s="460"/>
      <c r="S127" s="362">
        <f t="shared" si="22"/>
        <v>0</v>
      </c>
      <c r="T127" s="370"/>
      <c r="U127" s="362">
        <f t="shared" si="19"/>
        <v>0</v>
      </c>
      <c r="V127" s="584">
        <f t="shared" si="20"/>
        <v>100415</v>
      </c>
      <c r="W127" s="371">
        <f t="shared" si="25"/>
        <v>10041480.000000002</v>
      </c>
      <c r="X127" s="977">
        <f t="shared" si="23"/>
        <v>5.5786000000000007</v>
      </c>
      <c r="Y127" s="999">
        <v>1800000</v>
      </c>
      <c r="Z127" s="1000">
        <f t="shared" si="24"/>
        <v>10041480.000000002</v>
      </c>
      <c r="AA127" s="568">
        <f t="shared" si="21"/>
        <v>105</v>
      </c>
      <c r="AB127" s="493">
        <f>IFERROR(INDEX('[17]CN BC'!$M$10:$M$276,MATCH(B127,'[17]CN BC'!$H$10:$H$276,0)),"")</f>
        <v>0</v>
      </c>
      <c r="AC127" s="141" t="str">
        <f>VLOOKUP(B127,TH.T4!B125:AC455,28,FALSE)</f>
        <v>KHCB</v>
      </c>
      <c r="AD127" s="108"/>
      <c r="AE127" s="108"/>
      <c r="AF127" s="487"/>
    </row>
    <row r="128" spans="1:42" s="108" customFormat="1" ht="30" customHeight="1">
      <c r="A128" s="379">
        <f>_xlfn.AGGREGATE(4,7,A$22:A127)+1</f>
        <v>106</v>
      </c>
      <c r="B128" s="33" t="s">
        <v>1867</v>
      </c>
      <c r="C128" s="34" t="s">
        <v>883</v>
      </c>
      <c r="D128" s="406" t="s">
        <v>1698</v>
      </c>
      <c r="E128" s="424" t="s">
        <v>1299</v>
      </c>
      <c r="F128" s="10">
        <v>4.32</v>
      </c>
      <c r="G128" s="157"/>
      <c r="H128" s="368">
        <f t="shared" si="26"/>
        <v>4.32</v>
      </c>
      <c r="I128" s="81"/>
      <c r="J128" s="81" t="str">
        <f>VLOOKUP(B128,TH.T5!B128:F457,5,FALSE)</f>
        <v>Giảng viên Khoa KHCB</v>
      </c>
      <c r="K128" s="369">
        <f t="shared" si="27"/>
        <v>4.32</v>
      </c>
      <c r="L128" s="362">
        <f t="shared" si="28"/>
        <v>7776000.0000000009</v>
      </c>
      <c r="M128" s="366" t="str">
        <f>VLOOKUP(B128,'[24]Gui chi Quynh'!$B$11:$E$400,4,FALSE)</f>
        <v>A4</v>
      </c>
      <c r="N128" s="494">
        <f t="shared" si="17"/>
        <v>7776000.0000000009</v>
      </c>
      <c r="O128" s="366">
        <v>20</v>
      </c>
      <c r="P128" s="440">
        <f>IFERROR(INDEX('[17]CN BC'!$J$10:$J$276,MATCH(B128,'[17]CN BC'!$H$10:$H$276,0)),"")</f>
        <v>20</v>
      </c>
      <c r="Q128" s="494">
        <f t="shared" si="18"/>
        <v>7776000.0000000009</v>
      </c>
      <c r="R128" s="392"/>
      <c r="S128" s="362">
        <f t="shared" si="22"/>
        <v>0</v>
      </c>
      <c r="T128" s="385"/>
      <c r="U128" s="362">
        <f t="shared" si="19"/>
        <v>0</v>
      </c>
      <c r="V128" s="584">
        <f t="shared" si="20"/>
        <v>77760</v>
      </c>
      <c r="W128" s="371">
        <f t="shared" si="25"/>
        <v>7776000.0000000009</v>
      </c>
      <c r="X128" s="977">
        <f t="shared" si="23"/>
        <v>4.32</v>
      </c>
      <c r="Y128" s="999">
        <v>1800000</v>
      </c>
      <c r="Z128" s="1000">
        <f t="shared" si="24"/>
        <v>7776000.0000000009</v>
      </c>
      <c r="AA128" s="568">
        <f t="shared" si="21"/>
        <v>106</v>
      </c>
      <c r="AB128" s="493">
        <f>IFERROR(INDEX('[17]CN BC'!$M$10:$M$276,MATCH(B128,'[17]CN BC'!$H$10:$H$276,0)),"")</f>
        <v>0</v>
      </c>
      <c r="AC128" s="141" t="str">
        <f>VLOOKUP(B128,TH.T4!B126:AC456,28,FALSE)</f>
        <v>KHCB</v>
      </c>
      <c r="AF128" s="155"/>
    </row>
    <row r="129" spans="1:42" s="372" customFormat="1" ht="30" customHeight="1">
      <c r="A129" s="379">
        <f>_xlfn.AGGREGATE(4,7,A$22:A128)+1</f>
        <v>107</v>
      </c>
      <c r="B129" s="363" t="s">
        <v>1485</v>
      </c>
      <c r="C129" s="364" t="s">
        <v>1009</v>
      </c>
      <c r="D129" s="406" t="s">
        <v>1699</v>
      </c>
      <c r="E129" s="423" t="s">
        <v>373</v>
      </c>
      <c r="F129" s="366">
        <v>3.99</v>
      </c>
      <c r="G129" s="367"/>
      <c r="H129" s="368">
        <f t="shared" si="26"/>
        <v>3.99</v>
      </c>
      <c r="I129" s="368"/>
      <c r="J129" s="81" t="str">
        <f>VLOOKUP(B129,TH.T5!B129:F458,5,FALSE)</f>
        <v>Giảng viên khoa KHCB</v>
      </c>
      <c r="K129" s="369">
        <f t="shared" si="27"/>
        <v>3.99</v>
      </c>
      <c r="L129" s="362">
        <f t="shared" si="28"/>
        <v>7182000</v>
      </c>
      <c r="M129" s="366" t="str">
        <f>VLOOKUP(B129,'[24]Gui chi Quynh'!$B$11:$E$400,4,FALSE)</f>
        <v>A4</v>
      </c>
      <c r="N129" s="494">
        <f t="shared" si="17"/>
        <v>7182000</v>
      </c>
      <c r="O129" s="366">
        <v>20</v>
      </c>
      <c r="P129" s="440">
        <f>IFERROR(INDEX('[17]CN BC'!$J$10:$J$276,MATCH(B129,'[17]CN BC'!$H$10:$H$276,0)),"")</f>
        <v>20</v>
      </c>
      <c r="Q129" s="494">
        <f t="shared" si="18"/>
        <v>7182000</v>
      </c>
      <c r="R129" s="392"/>
      <c r="S129" s="362">
        <f t="shared" si="22"/>
        <v>0</v>
      </c>
      <c r="T129" s="385"/>
      <c r="U129" s="362">
        <f t="shared" si="19"/>
        <v>0</v>
      </c>
      <c r="V129" s="584">
        <f t="shared" si="20"/>
        <v>71820</v>
      </c>
      <c r="W129" s="371">
        <f t="shared" si="25"/>
        <v>7182000</v>
      </c>
      <c r="X129" s="977">
        <f t="shared" si="23"/>
        <v>3.99</v>
      </c>
      <c r="Y129" s="999">
        <v>1800000</v>
      </c>
      <c r="Z129" s="1000">
        <f t="shared" si="24"/>
        <v>7182000</v>
      </c>
      <c r="AA129" s="568">
        <f t="shared" si="21"/>
        <v>107</v>
      </c>
      <c r="AB129" s="493">
        <f>IFERROR(INDEX('[17]CN BC'!$M$10:$M$276,MATCH(B129,'[17]CN BC'!$H$10:$H$276,0)),"")</f>
        <v>0</v>
      </c>
      <c r="AC129" s="141" t="str">
        <f>VLOOKUP(B129,TH.T4!B127:AC457,28,FALSE)</f>
        <v>KHCB</v>
      </c>
      <c r="AD129" s="108"/>
      <c r="AE129" s="108"/>
      <c r="AF129" s="155"/>
      <c r="AG129" s="108"/>
      <c r="AH129" s="108"/>
      <c r="AI129" s="108"/>
      <c r="AJ129" s="108"/>
      <c r="AK129" s="108"/>
      <c r="AL129" s="108"/>
      <c r="AM129" s="108"/>
      <c r="AN129" s="108"/>
      <c r="AO129" s="108"/>
      <c r="AP129" s="108"/>
    </row>
    <row r="130" spans="1:42" s="372" customFormat="1" ht="30" customHeight="1">
      <c r="A130" s="379">
        <f>_xlfn.AGGREGATE(4,7,A$22:A129)+1</f>
        <v>108</v>
      </c>
      <c r="B130" s="363" t="s">
        <v>1559</v>
      </c>
      <c r="C130" s="375"/>
      <c r="D130" s="406" t="s">
        <v>1647</v>
      </c>
      <c r="E130" s="423" t="s">
        <v>406</v>
      </c>
      <c r="F130" s="373">
        <v>3.66</v>
      </c>
      <c r="G130" s="378"/>
      <c r="H130" s="368">
        <f t="shared" si="26"/>
        <v>3.66</v>
      </c>
      <c r="I130" s="368"/>
      <c r="J130" s="81" t="str">
        <f>VLOOKUP(B130,TH.T5!B130:F459,5,FALSE)</f>
        <v>Giảng viên khoa KHCB</v>
      </c>
      <c r="K130" s="369">
        <f t="shared" si="27"/>
        <v>3.66</v>
      </c>
      <c r="L130" s="362">
        <f t="shared" si="28"/>
        <v>6588000</v>
      </c>
      <c r="M130" s="366" t="str">
        <f>VLOOKUP(B130,'[24]Gui chi Quynh'!$B$11:$E$400,4,FALSE)</f>
        <v>A4</v>
      </c>
      <c r="N130" s="494">
        <f t="shared" si="17"/>
        <v>6588000</v>
      </c>
      <c r="O130" s="366">
        <v>20</v>
      </c>
      <c r="P130" s="440">
        <f>IFERROR(INDEX('[17]CN BC'!$J$10:$J$276,MATCH(B130,'[17]CN BC'!$H$10:$H$276,0)),"")</f>
        <v>20</v>
      </c>
      <c r="Q130" s="494">
        <f t="shared" si="18"/>
        <v>6588000</v>
      </c>
      <c r="R130" s="392"/>
      <c r="S130" s="362">
        <f t="shared" si="22"/>
        <v>0</v>
      </c>
      <c r="T130" s="370"/>
      <c r="U130" s="362">
        <f t="shared" si="19"/>
        <v>0</v>
      </c>
      <c r="V130" s="584">
        <f t="shared" si="20"/>
        <v>65880</v>
      </c>
      <c r="W130" s="371">
        <f t="shared" si="25"/>
        <v>6588000</v>
      </c>
      <c r="X130" s="977">
        <f t="shared" si="23"/>
        <v>3.66</v>
      </c>
      <c r="Y130" s="999">
        <v>1800000</v>
      </c>
      <c r="Z130" s="1000">
        <f t="shared" si="24"/>
        <v>6588000</v>
      </c>
      <c r="AA130" s="568">
        <f t="shared" si="21"/>
        <v>108</v>
      </c>
      <c r="AB130" s="493">
        <f>IFERROR(INDEX('[17]CN BC'!$M$10:$M$276,MATCH(B130,'[17]CN BC'!$H$10:$H$276,0)),"")</f>
        <v>0</v>
      </c>
      <c r="AC130" s="141" t="str">
        <f>VLOOKUP(B130,TH.T4!B128:AC458,28,FALSE)</f>
        <v>KHCB</v>
      </c>
      <c r="AD130" s="108"/>
      <c r="AE130" s="108"/>
      <c r="AF130" s="155"/>
      <c r="AG130" s="108"/>
      <c r="AH130" s="108"/>
      <c r="AI130" s="108"/>
      <c r="AJ130" s="108"/>
      <c r="AK130" s="108"/>
      <c r="AL130" s="108"/>
      <c r="AM130" s="108"/>
      <c r="AN130" s="108"/>
      <c r="AO130" s="108"/>
      <c r="AP130" s="108"/>
    </row>
    <row r="131" spans="1:42" s="372" customFormat="1" ht="30" customHeight="1">
      <c r="A131" s="379">
        <f>_xlfn.AGGREGATE(4,7,A$22:A130)+1</f>
        <v>109</v>
      </c>
      <c r="B131" s="363" t="s">
        <v>1868</v>
      </c>
      <c r="C131" s="364" t="s">
        <v>956</v>
      </c>
      <c r="D131" s="434" t="s">
        <v>1700</v>
      </c>
      <c r="E131" s="423" t="s">
        <v>1303</v>
      </c>
      <c r="F131" s="366">
        <v>4.6500000000000004</v>
      </c>
      <c r="G131" s="367"/>
      <c r="H131" s="368">
        <f t="shared" si="26"/>
        <v>4.6500000000000004</v>
      </c>
      <c r="I131" s="368"/>
      <c r="J131" s="81" t="str">
        <f>VLOOKUP(B131,TH.T5!B131:F460,5,FALSE)</f>
        <v>Giảng viên Khoa KHCB</v>
      </c>
      <c r="K131" s="369">
        <f t="shared" si="27"/>
        <v>4.6500000000000004</v>
      </c>
      <c r="L131" s="362">
        <f t="shared" si="28"/>
        <v>8370000.0000000009</v>
      </c>
      <c r="M131" s="366" t="str">
        <f>VLOOKUP(B131,'[24]Gui chi Quynh'!$B$11:$E$400,4,FALSE)</f>
        <v>A4</v>
      </c>
      <c r="N131" s="494">
        <f t="shared" si="17"/>
        <v>8370000.0000000009</v>
      </c>
      <c r="O131" s="366">
        <v>20</v>
      </c>
      <c r="P131" s="440">
        <f>IFERROR(INDEX('[17]CN BC'!$J$10:$J$276,MATCH(B131,'[17]CN BC'!$H$10:$H$276,0)),"")</f>
        <v>20</v>
      </c>
      <c r="Q131" s="494">
        <f t="shared" si="18"/>
        <v>8370000.0000000009</v>
      </c>
      <c r="R131" s="392"/>
      <c r="S131" s="362">
        <f t="shared" si="22"/>
        <v>0</v>
      </c>
      <c r="T131" s="370"/>
      <c r="U131" s="362">
        <f t="shared" si="19"/>
        <v>0</v>
      </c>
      <c r="V131" s="584">
        <f t="shared" si="20"/>
        <v>83700</v>
      </c>
      <c r="W131" s="371">
        <f t="shared" si="25"/>
        <v>8370000.0000000009</v>
      </c>
      <c r="X131" s="977">
        <f t="shared" si="23"/>
        <v>4.6500000000000004</v>
      </c>
      <c r="Y131" s="999">
        <v>1800000</v>
      </c>
      <c r="Z131" s="1000">
        <f t="shared" si="24"/>
        <v>8370000.0000000009</v>
      </c>
      <c r="AA131" s="568">
        <f t="shared" si="21"/>
        <v>109</v>
      </c>
      <c r="AB131" s="493">
        <f>IFERROR(INDEX('[17]CN BC'!$M$10:$M$276,MATCH(B131,'[17]CN BC'!$H$10:$H$276,0)),"")</f>
        <v>0</v>
      </c>
      <c r="AC131" s="141" t="str">
        <f>VLOOKUP(B131,TH.T4!B129:AC459,28,FALSE)</f>
        <v>KHCB</v>
      </c>
      <c r="AD131" s="108"/>
      <c r="AE131" s="108"/>
      <c r="AF131" s="155"/>
      <c r="AG131" s="108"/>
      <c r="AH131" s="108"/>
      <c r="AI131" s="108"/>
      <c r="AJ131" s="108"/>
      <c r="AK131" s="108"/>
      <c r="AL131" s="108"/>
    </row>
    <row r="132" spans="1:42" s="372" customFormat="1" ht="30" customHeight="1">
      <c r="A132" s="379">
        <f>_xlfn.AGGREGATE(4,7,A$22:A131)+1</f>
        <v>110</v>
      </c>
      <c r="B132" s="363" t="s">
        <v>1869</v>
      </c>
      <c r="C132" s="364" t="s">
        <v>958</v>
      </c>
      <c r="D132" s="406" t="s">
        <v>1701</v>
      </c>
      <c r="E132" s="423" t="s">
        <v>1304</v>
      </c>
      <c r="F132" s="373">
        <v>4.32</v>
      </c>
      <c r="G132" s="367"/>
      <c r="H132" s="368">
        <f t="shared" si="26"/>
        <v>4.32</v>
      </c>
      <c r="I132" s="368"/>
      <c r="J132" s="81" t="str">
        <f>VLOOKUP(B132,TH.T5!B132:F461,5,FALSE)</f>
        <v>Giảng viên Khoa KHCB</v>
      </c>
      <c r="K132" s="369">
        <f t="shared" si="27"/>
        <v>4.32</v>
      </c>
      <c r="L132" s="362">
        <f t="shared" si="28"/>
        <v>7776000.0000000009</v>
      </c>
      <c r="M132" s="366" t="str">
        <f>VLOOKUP(B132,'[24]Gui chi Quynh'!$B$11:$E$400,4,FALSE)</f>
        <v>A4</v>
      </c>
      <c r="N132" s="494">
        <f t="shared" si="17"/>
        <v>7776000.0000000009</v>
      </c>
      <c r="O132" s="366">
        <v>20</v>
      </c>
      <c r="P132" s="440">
        <f>IFERROR(INDEX('[17]CN BC'!$J$10:$J$276,MATCH(B132,'[17]CN BC'!$H$10:$H$276,0)),"")</f>
        <v>20</v>
      </c>
      <c r="Q132" s="494">
        <f t="shared" si="18"/>
        <v>7776000.0000000009</v>
      </c>
      <c r="R132" s="392"/>
      <c r="S132" s="362">
        <f t="shared" si="22"/>
        <v>0</v>
      </c>
      <c r="T132" s="385"/>
      <c r="U132" s="362">
        <f t="shared" si="19"/>
        <v>0</v>
      </c>
      <c r="V132" s="584">
        <f t="shared" si="20"/>
        <v>77760</v>
      </c>
      <c r="W132" s="371">
        <f t="shared" si="25"/>
        <v>7776000.0000000009</v>
      </c>
      <c r="X132" s="977">
        <f t="shared" si="23"/>
        <v>4.32</v>
      </c>
      <c r="Y132" s="999">
        <v>1800000</v>
      </c>
      <c r="Z132" s="1000">
        <f t="shared" si="24"/>
        <v>7776000.0000000009</v>
      </c>
      <c r="AA132" s="568">
        <f t="shared" si="21"/>
        <v>110</v>
      </c>
      <c r="AB132" s="493">
        <f>IFERROR(INDEX('[17]CN BC'!$M$10:$M$276,MATCH(B132,'[17]CN BC'!$H$10:$H$276,0)),"")</f>
        <v>0</v>
      </c>
      <c r="AC132" s="141" t="str">
        <f>VLOOKUP(B132,TH.T4!B130:AC460,28,FALSE)</f>
        <v>KHCB</v>
      </c>
      <c r="AD132" s="108"/>
      <c r="AE132" s="108"/>
      <c r="AF132" s="155"/>
      <c r="AG132" s="108"/>
      <c r="AH132" s="108"/>
      <c r="AI132" s="108"/>
      <c r="AJ132" s="108"/>
      <c r="AK132" s="108"/>
      <c r="AL132" s="108"/>
      <c r="AM132" s="108"/>
      <c r="AN132" s="108"/>
      <c r="AO132" s="108"/>
      <c r="AP132" s="108"/>
    </row>
    <row r="133" spans="1:42" s="372" customFormat="1" ht="30" customHeight="1">
      <c r="A133" s="379">
        <f>_xlfn.AGGREGATE(4,7,A$22:A132)+1</f>
        <v>111</v>
      </c>
      <c r="B133" s="363" t="s">
        <v>1870</v>
      </c>
      <c r="C133" s="364" t="s">
        <v>967</v>
      </c>
      <c r="D133" s="434" t="s">
        <v>1702</v>
      </c>
      <c r="E133" s="423" t="s">
        <v>1306</v>
      </c>
      <c r="F133" s="366">
        <v>4.9800000000000004</v>
      </c>
      <c r="G133" s="367">
        <v>0.08</v>
      </c>
      <c r="H133" s="368">
        <f t="shared" si="26"/>
        <v>5.3784000000000001</v>
      </c>
      <c r="I133" s="368"/>
      <c r="J133" s="81" t="str">
        <f>VLOOKUP(B133,TH.T5!B133:F462,5,FALSE)</f>
        <v>Giảng viên Khoa KHCB</v>
      </c>
      <c r="K133" s="369">
        <f t="shared" si="27"/>
        <v>5.3784000000000001</v>
      </c>
      <c r="L133" s="362">
        <f t="shared" si="28"/>
        <v>9681120</v>
      </c>
      <c r="M133" s="366" t="str">
        <f>VLOOKUP(B133,'[24]Gui chi Quynh'!$B$11:$E$400,4,FALSE)</f>
        <v>A4</v>
      </c>
      <c r="N133" s="494">
        <f t="shared" si="17"/>
        <v>9681120</v>
      </c>
      <c r="O133" s="366">
        <v>20</v>
      </c>
      <c r="P133" s="440">
        <f>IFERROR(INDEX('[17]CN BC'!$J$10:$J$276,MATCH(B133,'[17]CN BC'!$H$10:$H$276,0)),"")</f>
        <v>20</v>
      </c>
      <c r="Q133" s="494">
        <f t="shared" si="18"/>
        <v>9681120</v>
      </c>
      <c r="R133" s="460"/>
      <c r="S133" s="362">
        <f t="shared" si="22"/>
        <v>0</v>
      </c>
      <c r="T133" s="370"/>
      <c r="U133" s="362">
        <f t="shared" si="19"/>
        <v>0</v>
      </c>
      <c r="V133" s="584">
        <f t="shared" si="20"/>
        <v>96811</v>
      </c>
      <c r="W133" s="371">
        <f t="shared" si="25"/>
        <v>9681120</v>
      </c>
      <c r="X133" s="977">
        <f t="shared" si="23"/>
        <v>5.3784000000000001</v>
      </c>
      <c r="Y133" s="999">
        <v>1800000</v>
      </c>
      <c r="Z133" s="1000">
        <f t="shared" si="24"/>
        <v>9681120</v>
      </c>
      <c r="AA133" s="568">
        <f t="shared" si="21"/>
        <v>111</v>
      </c>
      <c r="AB133" s="493">
        <f>IFERROR(INDEX('[17]CN BC'!$M$10:$M$276,MATCH(B133,'[17]CN BC'!$H$10:$H$276,0)),"")</f>
        <v>0</v>
      </c>
      <c r="AC133" s="141" t="str">
        <f>VLOOKUP(B133,TH.T4!B131:AC461,28,FALSE)</f>
        <v>KHCB</v>
      </c>
      <c r="AD133" s="108"/>
      <c r="AE133" s="108"/>
      <c r="AF133" s="487"/>
    </row>
    <row r="134" spans="1:42" s="372" customFormat="1" ht="26.25" customHeight="1">
      <c r="A134" s="379">
        <f>_xlfn.AGGREGATE(4,7,A$22:A133)+1</f>
        <v>112</v>
      </c>
      <c r="B134" s="363" t="s">
        <v>847</v>
      </c>
      <c r="C134" s="364" t="s">
        <v>896</v>
      </c>
      <c r="D134" s="434" t="s">
        <v>1703</v>
      </c>
      <c r="E134" s="423" t="s">
        <v>1307</v>
      </c>
      <c r="F134" s="373">
        <v>3.99</v>
      </c>
      <c r="G134" s="367"/>
      <c r="H134" s="368">
        <f t="shared" si="26"/>
        <v>3.99</v>
      </c>
      <c r="I134" s="368"/>
      <c r="J134" s="81" t="str">
        <f>VLOOKUP(B134,TH.T5!B134:F463,5,FALSE)</f>
        <v>Giảng viên khoa KHCB</v>
      </c>
      <c r="K134" s="369">
        <f t="shared" si="27"/>
        <v>3.99</v>
      </c>
      <c r="L134" s="362">
        <f t="shared" si="28"/>
        <v>7182000</v>
      </c>
      <c r="M134" s="366" t="str">
        <f>VLOOKUP(B134,'[24]Gui chi Quynh'!$B$11:$E$400,4,FALSE)</f>
        <v>A4</v>
      </c>
      <c r="N134" s="494">
        <f t="shared" si="17"/>
        <v>7182000</v>
      </c>
      <c r="O134" s="366">
        <v>20</v>
      </c>
      <c r="P134" s="440">
        <f>IFERROR(INDEX('[17]CN BC'!$J$10:$J$276,MATCH(B134,'[17]CN BC'!$H$10:$H$276,0)),"")</f>
        <v>20</v>
      </c>
      <c r="Q134" s="494">
        <f t="shared" si="18"/>
        <v>7182000</v>
      </c>
      <c r="R134" s="460"/>
      <c r="S134" s="362">
        <f t="shared" si="22"/>
        <v>0</v>
      </c>
      <c r="T134" s="370"/>
      <c r="U134" s="362">
        <f t="shared" si="19"/>
        <v>0</v>
      </c>
      <c r="V134" s="362">
        <f t="shared" si="20"/>
        <v>71820</v>
      </c>
      <c r="W134" s="371">
        <f t="shared" si="25"/>
        <v>7182000</v>
      </c>
      <c r="X134" s="977">
        <f t="shared" si="23"/>
        <v>3.99</v>
      </c>
      <c r="Y134" s="999">
        <v>1800000</v>
      </c>
      <c r="Z134" s="1000">
        <f t="shared" si="24"/>
        <v>7182000</v>
      </c>
      <c r="AA134" s="568">
        <f t="shared" si="21"/>
        <v>112</v>
      </c>
      <c r="AB134" s="493">
        <f>IFERROR(INDEX('[17]CN BC'!$M$10:$M$276,MATCH(B134,'[17]CN BC'!$H$10:$H$276,0)),"")</f>
        <v>0</v>
      </c>
      <c r="AC134" s="141" t="str">
        <f>VLOOKUP(B134,TH.T4!B132:AC462,28,FALSE)</f>
        <v>KHCB</v>
      </c>
      <c r="AF134" s="487"/>
    </row>
    <row r="135" spans="1:42" s="372" customFormat="1" ht="30" customHeight="1">
      <c r="A135" s="379">
        <f>_xlfn.AGGREGATE(4,7,A$22:A134)+1</f>
        <v>113</v>
      </c>
      <c r="B135" s="363" t="s">
        <v>1486</v>
      </c>
      <c r="C135" s="364" t="s">
        <v>1218</v>
      </c>
      <c r="D135" s="406" t="s">
        <v>1704</v>
      </c>
      <c r="E135" s="426" t="s">
        <v>1588</v>
      </c>
      <c r="F135" s="373">
        <v>3.66</v>
      </c>
      <c r="G135" s="367"/>
      <c r="H135" s="368">
        <f t="shared" si="26"/>
        <v>3.66</v>
      </c>
      <c r="I135" s="368"/>
      <c r="J135" s="81" t="str">
        <f>VLOOKUP(B135,TH.T5!B135:F464,5,FALSE)</f>
        <v>Giảng viên khoa KHCB</v>
      </c>
      <c r="K135" s="369">
        <f t="shared" si="27"/>
        <v>3.66</v>
      </c>
      <c r="L135" s="362">
        <f t="shared" si="28"/>
        <v>6588000</v>
      </c>
      <c r="M135" s="366" t="str">
        <f>VLOOKUP(B135,'[24]Gui chi Quynh'!$B$11:$E$400,4,FALSE)</f>
        <v>A4</v>
      </c>
      <c r="N135" s="494">
        <f t="shared" si="17"/>
        <v>6588000</v>
      </c>
      <c r="O135" s="366">
        <v>20</v>
      </c>
      <c r="P135" s="440">
        <f>IFERROR(INDEX('[17]CN BC'!$J$10:$J$276,MATCH(B135,'[17]CN BC'!$H$10:$H$276,0)),"")</f>
        <v>20</v>
      </c>
      <c r="Q135" s="494">
        <f t="shared" si="18"/>
        <v>6588000</v>
      </c>
      <c r="R135" s="392"/>
      <c r="S135" s="362">
        <f t="shared" si="22"/>
        <v>0</v>
      </c>
      <c r="T135" s="370"/>
      <c r="U135" s="362">
        <f t="shared" si="19"/>
        <v>0</v>
      </c>
      <c r="V135" s="584">
        <f t="shared" si="20"/>
        <v>65880</v>
      </c>
      <c r="W135" s="371">
        <f t="shared" si="25"/>
        <v>6588000</v>
      </c>
      <c r="X135" s="977">
        <f t="shared" si="23"/>
        <v>3.66</v>
      </c>
      <c r="Y135" s="999">
        <v>1800000</v>
      </c>
      <c r="Z135" s="1000">
        <f t="shared" si="24"/>
        <v>6588000</v>
      </c>
      <c r="AA135" s="568">
        <f t="shared" si="21"/>
        <v>113</v>
      </c>
      <c r="AB135" s="493">
        <f>IFERROR(INDEX('[17]CN BC'!$M$10:$M$276,MATCH(B135,'[17]CN BC'!$H$10:$H$276,0)),"")</f>
        <v>0</v>
      </c>
      <c r="AC135" s="141" t="str">
        <f>VLOOKUP(B135,TH.T4!B133:AC463,28,FALSE)</f>
        <v>KHCB</v>
      </c>
      <c r="AD135" s="108"/>
      <c r="AE135" s="108"/>
      <c r="AF135" s="155"/>
      <c r="AG135" s="108"/>
      <c r="AH135" s="108"/>
      <c r="AI135" s="108"/>
      <c r="AJ135" s="108"/>
      <c r="AK135" s="108"/>
      <c r="AL135" s="108"/>
      <c r="AM135" s="108"/>
      <c r="AN135" s="108"/>
      <c r="AO135" s="108"/>
      <c r="AP135" s="108"/>
    </row>
    <row r="136" spans="1:42" s="108" customFormat="1" ht="30" customHeight="1">
      <c r="A136" s="379">
        <f>_xlfn.AGGREGATE(4,7,A$22:A135)+1</f>
        <v>114</v>
      </c>
      <c r="B136" s="363" t="s">
        <v>1871</v>
      </c>
      <c r="C136" s="364" t="s">
        <v>873</v>
      </c>
      <c r="D136" s="434" t="s">
        <v>1705</v>
      </c>
      <c r="E136" s="423" t="s">
        <v>1309</v>
      </c>
      <c r="F136" s="366">
        <v>4.9800000000000004</v>
      </c>
      <c r="G136" s="367"/>
      <c r="H136" s="368">
        <f t="shared" si="26"/>
        <v>4.9800000000000004</v>
      </c>
      <c r="I136" s="368">
        <v>0.35</v>
      </c>
      <c r="J136" s="81" t="str">
        <f>VLOOKUP(B136,TH.T5!B136:F465,5,FALSE)</f>
        <v>Phó TK Khoa KHCB</v>
      </c>
      <c r="K136" s="369">
        <f t="shared" si="27"/>
        <v>5.33</v>
      </c>
      <c r="L136" s="362">
        <f t="shared" si="28"/>
        <v>9594000</v>
      </c>
      <c r="M136" s="366" t="str">
        <f>VLOOKUP(B136,'[24]Gui chi Quynh'!$B$11:$E$400,4,FALSE)</f>
        <v>A4</v>
      </c>
      <c r="N136" s="494">
        <f t="shared" si="17"/>
        <v>9594000</v>
      </c>
      <c r="O136" s="366">
        <v>20</v>
      </c>
      <c r="P136" s="440">
        <f>IFERROR(INDEX('[17]CN BC'!$J$10:$J$276,MATCH(B136,'[17]CN BC'!$H$10:$H$276,0)),"")</f>
        <v>20</v>
      </c>
      <c r="Q136" s="494">
        <f t="shared" si="18"/>
        <v>9594000</v>
      </c>
      <c r="R136" s="460"/>
      <c r="S136" s="362">
        <f t="shared" si="22"/>
        <v>0</v>
      </c>
      <c r="T136" s="370"/>
      <c r="U136" s="362">
        <f t="shared" si="19"/>
        <v>0</v>
      </c>
      <c r="V136" s="584">
        <f t="shared" si="20"/>
        <v>95940</v>
      </c>
      <c r="W136" s="371">
        <f t="shared" si="25"/>
        <v>9594000</v>
      </c>
      <c r="X136" s="977">
        <f t="shared" si="23"/>
        <v>5.33</v>
      </c>
      <c r="Y136" s="999">
        <v>1800000</v>
      </c>
      <c r="Z136" s="1000">
        <f t="shared" si="24"/>
        <v>9594000</v>
      </c>
      <c r="AA136" s="568">
        <f t="shared" si="21"/>
        <v>114</v>
      </c>
      <c r="AB136" s="493">
        <f>IFERROR(INDEX('[17]CN BC'!$M$10:$M$276,MATCH(B136,'[17]CN BC'!$H$10:$H$276,0)),"")</f>
        <v>0</v>
      </c>
      <c r="AC136" s="141" t="str">
        <f>VLOOKUP(B136,TH.T4!B134:AC464,28,FALSE)</f>
        <v>KHCB</v>
      </c>
      <c r="AF136" s="155"/>
    </row>
    <row r="137" spans="1:42" s="372" customFormat="1" ht="30" customHeight="1">
      <c r="A137" s="379">
        <f>_xlfn.AGGREGATE(4,7,A$22:A136)+1</f>
        <v>115</v>
      </c>
      <c r="B137" s="363" t="s">
        <v>1872</v>
      </c>
      <c r="C137" s="364" t="s">
        <v>966</v>
      </c>
      <c r="D137" s="434" t="s">
        <v>1706</v>
      </c>
      <c r="E137" s="423" t="s">
        <v>1311</v>
      </c>
      <c r="F137" s="366">
        <v>4.9800000000000004</v>
      </c>
      <c r="G137" s="367">
        <v>0.05</v>
      </c>
      <c r="H137" s="368">
        <f t="shared" si="26"/>
        <v>5.2290000000000001</v>
      </c>
      <c r="I137" s="368"/>
      <c r="J137" s="81" t="str">
        <f>VLOOKUP(B137,TH.T5!B137:F466,5,FALSE)</f>
        <v>Giảng viên Khoa KHCB</v>
      </c>
      <c r="K137" s="369">
        <f t="shared" si="27"/>
        <v>5.2290000000000001</v>
      </c>
      <c r="L137" s="362">
        <f t="shared" si="28"/>
        <v>9412200</v>
      </c>
      <c r="M137" s="366" t="str">
        <f>VLOOKUP(B137,'[24]Gui chi Quynh'!$B$11:$E$400,4,FALSE)</f>
        <v>A4</v>
      </c>
      <c r="N137" s="494">
        <f t="shared" si="17"/>
        <v>9412200</v>
      </c>
      <c r="O137" s="366">
        <v>20</v>
      </c>
      <c r="P137" s="440">
        <f>IFERROR(INDEX('[17]CN BC'!$J$10:$J$276,MATCH(B137,'[17]CN BC'!$H$10:$H$276,0)),"")</f>
        <v>20</v>
      </c>
      <c r="Q137" s="494">
        <f t="shared" si="18"/>
        <v>9412200</v>
      </c>
      <c r="R137" s="460"/>
      <c r="S137" s="362">
        <f t="shared" si="22"/>
        <v>0</v>
      </c>
      <c r="T137" s="370"/>
      <c r="U137" s="362">
        <f t="shared" si="19"/>
        <v>0</v>
      </c>
      <c r="V137" s="584">
        <f t="shared" si="20"/>
        <v>94122</v>
      </c>
      <c r="W137" s="371">
        <f t="shared" si="25"/>
        <v>9412200</v>
      </c>
      <c r="X137" s="977">
        <f t="shared" si="23"/>
        <v>5.2290000000000001</v>
      </c>
      <c r="Y137" s="999">
        <v>1800000</v>
      </c>
      <c r="Z137" s="1000">
        <f t="shared" si="24"/>
        <v>9412200</v>
      </c>
      <c r="AA137" s="568">
        <f t="shared" si="21"/>
        <v>115</v>
      </c>
      <c r="AB137" s="493">
        <f>IFERROR(INDEX('[17]CN BC'!$M$10:$M$276,MATCH(B137,'[17]CN BC'!$H$10:$H$276,0)),"")</f>
        <v>0</v>
      </c>
      <c r="AC137" s="141" t="str">
        <f>VLOOKUP(B137,TH.T4!B135:AC465,28,FALSE)</f>
        <v>KHCB</v>
      </c>
      <c r="AD137" s="108"/>
      <c r="AE137" s="108"/>
      <c r="AF137" s="487"/>
    </row>
    <row r="138" spans="1:42" s="372" customFormat="1" ht="32.25" customHeight="1">
      <c r="A138" s="379">
        <f>_xlfn.AGGREGATE(4,7,A$22:A137)+1</f>
        <v>116</v>
      </c>
      <c r="B138" s="363" t="s">
        <v>1487</v>
      </c>
      <c r="C138" s="364" t="s">
        <v>917</v>
      </c>
      <c r="D138" s="434" t="s">
        <v>1707</v>
      </c>
      <c r="E138" s="423" t="s">
        <v>1312</v>
      </c>
      <c r="F138" s="373">
        <v>3.99</v>
      </c>
      <c r="G138" s="367"/>
      <c r="H138" s="368">
        <f t="shared" si="26"/>
        <v>3.99</v>
      </c>
      <c r="I138" s="368"/>
      <c r="J138" s="81" t="str">
        <f>VLOOKUP(B138,TH.T5!B138:F467,5,FALSE)</f>
        <v>Giảng viên khoa KHCB</v>
      </c>
      <c r="K138" s="369">
        <f t="shared" si="27"/>
        <v>3.99</v>
      </c>
      <c r="L138" s="362">
        <f t="shared" si="28"/>
        <v>7182000</v>
      </c>
      <c r="M138" s="366" t="str">
        <f>VLOOKUP(B138,'[24]Gui chi Quynh'!$B$11:$E$400,4,FALSE)</f>
        <v>A4</v>
      </c>
      <c r="N138" s="494">
        <f t="shared" si="17"/>
        <v>7182000</v>
      </c>
      <c r="O138" s="366">
        <v>20</v>
      </c>
      <c r="P138" s="440">
        <f>IFERROR(INDEX('[17]CN BC'!$J$10:$J$276,MATCH(B138,'[17]CN BC'!$H$10:$H$276,0)),"")</f>
        <v>20</v>
      </c>
      <c r="Q138" s="494">
        <f t="shared" si="18"/>
        <v>7182000</v>
      </c>
      <c r="R138" s="460"/>
      <c r="S138" s="362">
        <f t="shared" si="22"/>
        <v>0</v>
      </c>
      <c r="T138" s="370"/>
      <c r="U138" s="362">
        <f t="shared" si="19"/>
        <v>0</v>
      </c>
      <c r="V138" s="584">
        <f t="shared" si="20"/>
        <v>71820</v>
      </c>
      <c r="W138" s="371">
        <f t="shared" si="25"/>
        <v>7182000</v>
      </c>
      <c r="X138" s="977">
        <f t="shared" si="23"/>
        <v>3.99</v>
      </c>
      <c r="Y138" s="999">
        <v>1800000</v>
      </c>
      <c r="Z138" s="1000">
        <f t="shared" si="24"/>
        <v>7182000</v>
      </c>
      <c r="AA138" s="568">
        <f t="shared" si="21"/>
        <v>116</v>
      </c>
      <c r="AB138" s="493">
        <f>IFERROR(INDEX('[17]CN BC'!$M$10:$M$276,MATCH(B138,'[17]CN BC'!$H$10:$H$276,0)),"")</f>
        <v>0</v>
      </c>
      <c r="AC138" s="141" t="str">
        <f>VLOOKUP(B138,TH.T4!B136:AC466,28,FALSE)</f>
        <v>KHCB</v>
      </c>
      <c r="AD138" s="108"/>
      <c r="AE138" s="108"/>
      <c r="AF138" s="487"/>
    </row>
    <row r="139" spans="1:42" s="372" customFormat="1" ht="30" customHeight="1">
      <c r="A139" s="379">
        <f>_xlfn.AGGREGATE(4,7,A$22:A138)+1</f>
        <v>117</v>
      </c>
      <c r="B139" s="363" t="s">
        <v>1488</v>
      </c>
      <c r="C139" s="364" t="s">
        <v>874</v>
      </c>
      <c r="D139" s="434" t="s">
        <v>1708</v>
      </c>
      <c r="E139" s="423" t="s">
        <v>374</v>
      </c>
      <c r="F139" s="373">
        <v>3.66</v>
      </c>
      <c r="G139" s="367"/>
      <c r="H139" s="368">
        <f t="shared" si="26"/>
        <v>3.66</v>
      </c>
      <c r="I139" s="368"/>
      <c r="J139" s="81" t="str">
        <f>VLOOKUP(B139,TH.T5!B139:F468,5,FALSE)</f>
        <v>Giảng viên khoa KHCB</v>
      </c>
      <c r="K139" s="369">
        <f t="shared" si="27"/>
        <v>3.66</v>
      </c>
      <c r="L139" s="362">
        <f t="shared" si="28"/>
        <v>6588000</v>
      </c>
      <c r="M139" s="366" t="str">
        <f>VLOOKUP(B139,'[24]Gui chi Quynh'!$B$11:$E$400,4,FALSE)</f>
        <v>A4</v>
      </c>
      <c r="N139" s="494">
        <f t="shared" si="17"/>
        <v>6588000</v>
      </c>
      <c r="O139" s="366">
        <v>20</v>
      </c>
      <c r="P139" s="440">
        <f>IFERROR(INDEX('[17]CN BC'!$J$10:$J$276,MATCH(B139,'[17]CN BC'!$H$10:$H$276,0)),"")</f>
        <v>20</v>
      </c>
      <c r="Q139" s="494">
        <f t="shared" si="18"/>
        <v>6588000</v>
      </c>
      <c r="R139" s="460"/>
      <c r="S139" s="362">
        <f t="shared" si="22"/>
        <v>0</v>
      </c>
      <c r="T139" s="370"/>
      <c r="U139" s="362">
        <f t="shared" si="19"/>
        <v>0</v>
      </c>
      <c r="V139" s="584">
        <f t="shared" si="20"/>
        <v>65880</v>
      </c>
      <c r="W139" s="371">
        <f t="shared" si="25"/>
        <v>6588000</v>
      </c>
      <c r="X139" s="977">
        <f t="shared" si="23"/>
        <v>3.66</v>
      </c>
      <c r="Y139" s="999">
        <v>1800000</v>
      </c>
      <c r="Z139" s="1000">
        <f t="shared" si="24"/>
        <v>6588000</v>
      </c>
      <c r="AA139" s="568">
        <f t="shared" si="21"/>
        <v>117</v>
      </c>
      <c r="AB139" s="493">
        <f>IFERROR(INDEX('[17]CN BC'!$M$10:$M$276,MATCH(B139,'[17]CN BC'!$H$10:$H$276,0)),"")</f>
        <v>0</v>
      </c>
      <c r="AC139" s="141" t="str">
        <f>VLOOKUP(B139,TH.T4!B137:AC467,28,FALSE)</f>
        <v>KHCB</v>
      </c>
      <c r="AD139" s="108"/>
      <c r="AE139" s="108"/>
      <c r="AF139" s="155"/>
      <c r="AG139" s="108"/>
      <c r="AH139" s="108"/>
      <c r="AI139" s="108"/>
      <c r="AJ139" s="108"/>
      <c r="AK139" s="108"/>
      <c r="AL139" s="108"/>
    </row>
    <row r="140" spans="1:42" s="372" customFormat="1" ht="30" customHeight="1">
      <c r="A140" s="379">
        <f>_xlfn.AGGREGATE(4,7,A$22:A139)+1</f>
        <v>118</v>
      </c>
      <c r="B140" s="363" t="s">
        <v>1489</v>
      </c>
      <c r="C140" s="364" t="s">
        <v>1423</v>
      </c>
      <c r="D140" s="434" t="s">
        <v>1709</v>
      </c>
      <c r="E140" s="422" t="s">
        <v>1424</v>
      </c>
      <c r="F140" s="373">
        <v>3.33</v>
      </c>
      <c r="G140" s="367"/>
      <c r="H140" s="445">
        <f t="shared" si="26"/>
        <v>3.33</v>
      </c>
      <c r="I140" s="368"/>
      <c r="J140" s="81" t="str">
        <f>VLOOKUP(B140,TH.T5!B140:F469,5,FALSE)</f>
        <v>Giảng viên khoa KHCB</v>
      </c>
      <c r="K140" s="369">
        <f t="shared" si="27"/>
        <v>3.33</v>
      </c>
      <c r="L140" s="362">
        <f t="shared" si="28"/>
        <v>5994000</v>
      </c>
      <c r="M140" s="366" t="str">
        <f>VLOOKUP(B140,'[24]Gui chi Quynh'!$B$11:$E$400,4,FALSE)</f>
        <v>A4</v>
      </c>
      <c r="N140" s="494">
        <f t="shared" si="17"/>
        <v>5994000</v>
      </c>
      <c r="O140" s="366">
        <v>20</v>
      </c>
      <c r="P140" s="440">
        <f>IFERROR(INDEX('[17]CN BC'!$J$10:$J$276,MATCH(B140,'[17]CN BC'!$H$10:$H$276,0)),"")</f>
        <v>20</v>
      </c>
      <c r="Q140" s="494">
        <f t="shared" si="18"/>
        <v>5994000</v>
      </c>
      <c r="R140" s="460"/>
      <c r="S140" s="362">
        <f t="shared" si="22"/>
        <v>0</v>
      </c>
      <c r="T140" s="370"/>
      <c r="U140" s="362">
        <f t="shared" si="19"/>
        <v>0</v>
      </c>
      <c r="V140" s="584">
        <f t="shared" si="20"/>
        <v>59940</v>
      </c>
      <c r="W140" s="371">
        <f t="shared" si="25"/>
        <v>5994000</v>
      </c>
      <c r="X140" s="977">
        <f t="shared" si="23"/>
        <v>3.33</v>
      </c>
      <c r="Y140" s="999">
        <v>1800000</v>
      </c>
      <c r="Z140" s="1000">
        <f t="shared" si="24"/>
        <v>5994000</v>
      </c>
      <c r="AA140" s="568">
        <f t="shared" si="21"/>
        <v>118</v>
      </c>
      <c r="AB140" s="493">
        <f>IFERROR(INDEX('[17]CN BC'!$M$10:$M$276,MATCH(B140,'[17]CN BC'!$H$10:$H$276,0)),"")</f>
        <v>0</v>
      </c>
      <c r="AC140" s="141" t="str">
        <f>VLOOKUP(B140,TH.T4!B138:AC468,28,FALSE)</f>
        <v>KHCB</v>
      </c>
      <c r="AD140" s="108"/>
      <c r="AE140" s="108"/>
      <c r="AF140" s="155"/>
      <c r="AG140" s="108"/>
      <c r="AH140" s="108"/>
      <c r="AI140" s="108"/>
      <c r="AJ140" s="108"/>
      <c r="AK140" s="108"/>
      <c r="AL140" s="108"/>
    </row>
    <row r="141" spans="1:42" s="372" customFormat="1" ht="42" customHeight="1">
      <c r="A141" s="379">
        <f>_xlfn.AGGREGATE(4,7,A$22:A140)+1</f>
        <v>119</v>
      </c>
      <c r="B141" s="363" t="s">
        <v>1490</v>
      </c>
      <c r="C141" s="364" t="s">
        <v>960</v>
      </c>
      <c r="D141" s="434" t="s">
        <v>1710</v>
      </c>
      <c r="E141" s="422" t="s">
        <v>1425</v>
      </c>
      <c r="F141" s="373">
        <v>3.33</v>
      </c>
      <c r="G141" s="367"/>
      <c r="H141" s="445">
        <f t="shared" si="26"/>
        <v>3.33</v>
      </c>
      <c r="I141" s="368"/>
      <c r="J141" s="81" t="str">
        <f>VLOOKUP(B141,TH.T5!B141:F470,5,FALSE)</f>
        <v>Giảng viên khoa KHCB</v>
      </c>
      <c r="K141" s="369">
        <f t="shared" si="27"/>
        <v>3.33</v>
      </c>
      <c r="L141" s="362">
        <f t="shared" si="28"/>
        <v>5994000</v>
      </c>
      <c r="M141" s="366" t="str">
        <f>VLOOKUP(B141,'[24]Gui chi Quynh'!$B$11:$E$400,4,FALSE)</f>
        <v>A4</v>
      </c>
      <c r="N141" s="494">
        <f t="shared" si="17"/>
        <v>5994000</v>
      </c>
      <c r="O141" s="366">
        <v>20</v>
      </c>
      <c r="P141" s="440">
        <f>IFERROR(INDEX('[17]CN BC'!$J$10:$J$276,MATCH(B141,'[17]CN BC'!$H$10:$H$276,0)),"")</f>
        <v>20</v>
      </c>
      <c r="Q141" s="494">
        <f t="shared" si="18"/>
        <v>5994000</v>
      </c>
      <c r="R141" s="460"/>
      <c r="S141" s="362">
        <f t="shared" si="22"/>
        <v>0</v>
      </c>
      <c r="T141" s="370"/>
      <c r="U141" s="362">
        <f t="shared" si="19"/>
        <v>0</v>
      </c>
      <c r="V141" s="362">
        <f t="shared" si="20"/>
        <v>59940</v>
      </c>
      <c r="W141" s="371">
        <f t="shared" si="25"/>
        <v>5994000</v>
      </c>
      <c r="X141" s="977">
        <f t="shared" si="23"/>
        <v>3.33</v>
      </c>
      <c r="Y141" s="999">
        <v>1800000</v>
      </c>
      <c r="Z141" s="1000">
        <f t="shared" si="24"/>
        <v>5994000</v>
      </c>
      <c r="AA141" s="568">
        <f t="shared" si="21"/>
        <v>119</v>
      </c>
      <c r="AB141" s="493">
        <f>IFERROR(INDEX('[17]CN BC'!$M$10:$M$276,MATCH(B141,'[17]CN BC'!$H$10:$H$276,0)),"")</f>
        <v>0</v>
      </c>
      <c r="AC141" s="536" t="str">
        <f>VLOOKUP(B141,TH.T4!B139:AC469,28,FALSE)</f>
        <v>KHCB</v>
      </c>
      <c r="AF141" s="487"/>
    </row>
    <row r="142" spans="1:42" s="372" customFormat="1" ht="30" customHeight="1">
      <c r="A142" s="379">
        <f>_xlfn.AGGREGATE(4,7,A$22:A141)+1</f>
        <v>120</v>
      </c>
      <c r="B142" s="363" t="s">
        <v>1873</v>
      </c>
      <c r="C142" s="364" t="s">
        <v>889</v>
      </c>
      <c r="D142" s="406" t="s">
        <v>1711</v>
      </c>
      <c r="E142" s="423" t="s">
        <v>1322</v>
      </c>
      <c r="F142" s="373">
        <v>3.99</v>
      </c>
      <c r="G142" s="367"/>
      <c r="H142" s="368">
        <f t="shared" si="26"/>
        <v>3.99</v>
      </c>
      <c r="I142" s="368">
        <f>0.25</f>
        <v>0.25</v>
      </c>
      <c r="J142" s="81" t="str">
        <f>VLOOKUP(B142,TH.T5!B142:F471,5,FALSE)</f>
        <v>Giảng viên Khoa KHCB</v>
      </c>
      <c r="K142" s="369">
        <f t="shared" si="27"/>
        <v>4.24</v>
      </c>
      <c r="L142" s="362">
        <f t="shared" si="28"/>
        <v>7632000</v>
      </c>
      <c r="M142" s="366" t="str">
        <f>VLOOKUP(B142,'[24]Gui chi Quynh'!$B$11:$E$400,4,FALSE)</f>
        <v>A3</v>
      </c>
      <c r="N142" s="494">
        <f t="shared" si="17"/>
        <v>9158400</v>
      </c>
      <c r="O142" s="366">
        <v>20</v>
      </c>
      <c r="P142" s="440">
        <f>IFERROR(INDEX('[17]CN BC'!$J$10:$J$276,MATCH(B142,'[17]CN BC'!$H$10:$H$276,0)),"")</f>
        <v>20</v>
      </c>
      <c r="Q142" s="494">
        <f t="shared" si="18"/>
        <v>9158400</v>
      </c>
      <c r="R142" s="392"/>
      <c r="S142" s="362">
        <f t="shared" si="22"/>
        <v>0</v>
      </c>
      <c r="T142" s="370"/>
      <c r="U142" s="362">
        <f t="shared" si="19"/>
        <v>0</v>
      </c>
      <c r="V142" s="584">
        <f t="shared" si="20"/>
        <v>76320</v>
      </c>
      <c r="W142" s="371">
        <f t="shared" si="25"/>
        <v>9158400</v>
      </c>
      <c r="X142" s="977">
        <f t="shared" si="23"/>
        <v>5.0880000000000001</v>
      </c>
      <c r="Y142" s="999">
        <v>1800000</v>
      </c>
      <c r="Z142" s="1000">
        <f t="shared" si="24"/>
        <v>9158400</v>
      </c>
      <c r="AA142" s="568">
        <f t="shared" si="21"/>
        <v>120</v>
      </c>
      <c r="AB142" s="493">
        <f>IFERROR(INDEX('[17]CN BC'!$M$10:$M$276,MATCH(B142,'[17]CN BC'!$H$10:$H$276,0)),"")</f>
        <v>0</v>
      </c>
      <c r="AC142" s="141" t="str">
        <f>VLOOKUP(B142,TH.T4!B140:AC470,28,FALSE)</f>
        <v>KHCB</v>
      </c>
      <c r="AD142" s="108"/>
      <c r="AE142" s="108"/>
      <c r="AF142" s="155"/>
      <c r="AG142" s="108"/>
      <c r="AH142" s="108"/>
      <c r="AI142" s="108"/>
      <c r="AJ142" s="108"/>
      <c r="AK142" s="108"/>
      <c r="AL142" s="108"/>
      <c r="AM142" s="108"/>
      <c r="AN142" s="108"/>
      <c r="AO142" s="108"/>
      <c r="AP142" s="108"/>
    </row>
    <row r="143" spans="1:42" s="372" customFormat="1" ht="30" customHeight="1">
      <c r="A143" s="379">
        <f>_xlfn.AGGREGATE(4,7,A$22:A142)+1</f>
        <v>121</v>
      </c>
      <c r="B143" s="363" t="s">
        <v>1491</v>
      </c>
      <c r="C143" s="364" t="s">
        <v>1206</v>
      </c>
      <c r="D143" s="434" t="s">
        <v>1712</v>
      </c>
      <c r="E143" s="423" t="s">
        <v>1323</v>
      </c>
      <c r="F143" s="373">
        <v>4.32</v>
      </c>
      <c r="G143" s="367"/>
      <c r="H143" s="368">
        <f t="shared" si="26"/>
        <v>4.32</v>
      </c>
      <c r="I143" s="368"/>
      <c r="J143" s="81" t="str">
        <f>VLOOKUP(B143,TH.T5!B143:F472,5,FALSE)</f>
        <v>Giảng viên khoa KHCB</v>
      </c>
      <c r="K143" s="369">
        <f t="shared" si="27"/>
        <v>4.32</v>
      </c>
      <c r="L143" s="362">
        <f t="shared" si="28"/>
        <v>7776000.0000000009</v>
      </c>
      <c r="M143" s="366" t="str">
        <f>VLOOKUP(B143,'[24]Gui chi Quynh'!$B$11:$E$400,4,FALSE)</f>
        <v>A3</v>
      </c>
      <c r="N143" s="494">
        <f t="shared" si="17"/>
        <v>9331200</v>
      </c>
      <c r="O143" s="366">
        <v>20</v>
      </c>
      <c r="P143" s="440">
        <f>IFERROR(INDEX('[17]CN BC'!$J$10:$J$276,MATCH(B143,'[17]CN BC'!$H$10:$H$276,0)),"")</f>
        <v>20</v>
      </c>
      <c r="Q143" s="494">
        <f t="shared" si="18"/>
        <v>9331200</v>
      </c>
      <c r="R143" s="460">
        <v>0</v>
      </c>
      <c r="S143" s="362">
        <f>R143*$G$19*0.8</f>
        <v>0</v>
      </c>
      <c r="T143" s="370"/>
      <c r="U143" s="362">
        <f t="shared" si="19"/>
        <v>0</v>
      </c>
      <c r="V143" s="584">
        <f t="shared" si="20"/>
        <v>77760</v>
      </c>
      <c r="W143" s="371">
        <f t="shared" si="25"/>
        <v>9331200</v>
      </c>
      <c r="X143" s="977">
        <f t="shared" si="23"/>
        <v>5.1840000000000002</v>
      </c>
      <c r="Y143" s="999">
        <v>1800000</v>
      </c>
      <c r="Z143" s="1000">
        <f t="shared" si="24"/>
        <v>9331200</v>
      </c>
      <c r="AA143" s="568">
        <f t="shared" si="21"/>
        <v>121</v>
      </c>
      <c r="AB143" s="493">
        <f>IFERROR(INDEX('[17]CN BC'!$M$10:$M$276,MATCH(B143,'[17]CN BC'!$H$10:$H$276,0)),"")</f>
        <v>0</v>
      </c>
      <c r="AC143" s="141" t="str">
        <f>VLOOKUP(B143,TH.T4!B141:AC471,28,FALSE)</f>
        <v>KHCB</v>
      </c>
      <c r="AD143" s="108"/>
      <c r="AE143" s="108"/>
      <c r="AF143" s="155"/>
      <c r="AG143" s="108"/>
      <c r="AH143" s="108"/>
      <c r="AI143" s="108"/>
      <c r="AJ143" s="108"/>
      <c r="AK143" s="108"/>
      <c r="AL143" s="108"/>
    </row>
    <row r="144" spans="1:42" s="372" customFormat="1" ht="30" customHeight="1">
      <c r="A144" s="379">
        <f>_xlfn.AGGREGATE(4,7,A$22:A143)+1</f>
        <v>122</v>
      </c>
      <c r="B144" s="363" t="s">
        <v>845</v>
      </c>
      <c r="C144" s="364" t="s">
        <v>992</v>
      </c>
      <c r="D144" s="434" t="s">
        <v>1713</v>
      </c>
      <c r="E144" s="423" t="s">
        <v>1324</v>
      </c>
      <c r="F144" s="373">
        <v>3.99</v>
      </c>
      <c r="G144" s="367"/>
      <c r="H144" s="368">
        <f t="shared" si="26"/>
        <v>3.99</v>
      </c>
      <c r="I144" s="368"/>
      <c r="J144" s="81" t="str">
        <f>VLOOKUP(B144,TH.T5!B144:F473,5,FALSE)</f>
        <v>Giảng viên khoa KHCB</v>
      </c>
      <c r="K144" s="369">
        <f t="shared" si="27"/>
        <v>3.99</v>
      </c>
      <c r="L144" s="362">
        <f t="shared" si="28"/>
        <v>7182000</v>
      </c>
      <c r="M144" s="366" t="str">
        <f>VLOOKUP(B144,'[24]Gui chi Quynh'!$B$11:$E$400,4,FALSE)</f>
        <v>A3</v>
      </c>
      <c r="N144" s="494">
        <f t="shared" si="17"/>
        <v>8618400</v>
      </c>
      <c r="O144" s="366">
        <v>20</v>
      </c>
      <c r="P144" s="440">
        <f>IFERROR(INDEX('[17]CN BC'!$J$10:$J$276,MATCH(B144,'[17]CN BC'!$H$10:$H$276,0)),"")</f>
        <v>20</v>
      </c>
      <c r="Q144" s="494">
        <f t="shared" si="18"/>
        <v>8618400</v>
      </c>
      <c r="R144" s="392"/>
      <c r="S144" s="362">
        <f t="shared" ref="S144:S207" si="29">R144*$G$19*1</f>
        <v>0</v>
      </c>
      <c r="T144" s="370"/>
      <c r="U144" s="362">
        <f t="shared" si="19"/>
        <v>0</v>
      </c>
      <c r="V144" s="584">
        <f t="shared" si="20"/>
        <v>71820</v>
      </c>
      <c r="W144" s="371">
        <f t="shared" si="25"/>
        <v>8618400</v>
      </c>
      <c r="X144" s="977">
        <f t="shared" si="23"/>
        <v>4.7880000000000003</v>
      </c>
      <c r="Y144" s="999">
        <v>1800000</v>
      </c>
      <c r="Z144" s="1000">
        <f t="shared" si="24"/>
        <v>8618400</v>
      </c>
      <c r="AA144" s="568">
        <f t="shared" si="21"/>
        <v>122</v>
      </c>
      <c r="AB144" s="493">
        <f>IFERROR(INDEX('[17]CN BC'!$M$10:$M$276,MATCH(B144,'[17]CN BC'!$H$10:$H$276,0)),"")</f>
        <v>0</v>
      </c>
      <c r="AC144" s="141" t="str">
        <f>VLOOKUP(B144,TH.T4!B142:AC472,28,FALSE)</f>
        <v>KHCB</v>
      </c>
      <c r="AD144" s="108"/>
      <c r="AE144" s="108"/>
      <c r="AF144" s="155"/>
      <c r="AG144" s="108"/>
      <c r="AH144" s="108"/>
      <c r="AI144" s="108"/>
      <c r="AJ144" s="108"/>
      <c r="AK144" s="108"/>
      <c r="AL144" s="108"/>
    </row>
    <row r="145" spans="1:42" s="372" customFormat="1" ht="31.5" customHeight="1">
      <c r="A145" s="379">
        <f>_xlfn.AGGREGATE(4,7,A$22:A144)+1</f>
        <v>123</v>
      </c>
      <c r="B145" s="363" t="s">
        <v>1492</v>
      </c>
      <c r="C145" s="364" t="s">
        <v>889</v>
      </c>
      <c r="D145" s="406" t="s">
        <v>1714</v>
      </c>
      <c r="E145" s="194" t="s">
        <v>1938</v>
      </c>
      <c r="F145" s="373">
        <v>3.99</v>
      </c>
      <c r="G145" s="367"/>
      <c r="H145" s="368">
        <f t="shared" si="26"/>
        <v>3.99</v>
      </c>
      <c r="I145" s="368"/>
      <c r="J145" s="81" t="str">
        <f>VLOOKUP(B145,TH.T5!B145:F474,5,FALSE)</f>
        <v>Giảng viên khoa KHCB</v>
      </c>
      <c r="K145" s="369">
        <f t="shared" si="27"/>
        <v>3.99</v>
      </c>
      <c r="L145" s="362">
        <f t="shared" si="28"/>
        <v>7182000</v>
      </c>
      <c r="M145" s="366" t="str">
        <f>VLOOKUP(B145,'[24]Gui chi Quynh'!$B$11:$E$400,4,FALSE)</f>
        <v>A1</v>
      </c>
      <c r="N145" s="494">
        <f t="shared" si="17"/>
        <v>11491200</v>
      </c>
      <c r="O145" s="366">
        <v>20</v>
      </c>
      <c r="P145" s="440">
        <f>IFERROR(INDEX('[17]CN BC'!$J$10:$J$276,MATCH(B145,'[17]CN BC'!$H$10:$H$276,0)),"")</f>
        <v>20</v>
      </c>
      <c r="Q145" s="494">
        <f t="shared" si="18"/>
        <v>11491200</v>
      </c>
      <c r="R145" s="392"/>
      <c r="S145" s="362">
        <f t="shared" si="29"/>
        <v>0</v>
      </c>
      <c r="T145" s="385"/>
      <c r="U145" s="362">
        <f t="shared" si="19"/>
        <v>0</v>
      </c>
      <c r="V145" s="584">
        <f t="shared" si="20"/>
        <v>71820</v>
      </c>
      <c r="W145" s="371">
        <f t="shared" si="25"/>
        <v>11491200</v>
      </c>
      <c r="X145" s="977">
        <f t="shared" si="23"/>
        <v>6.3840000000000003</v>
      </c>
      <c r="Y145" s="999">
        <v>1800000</v>
      </c>
      <c r="Z145" s="1000">
        <f t="shared" si="24"/>
        <v>11491200</v>
      </c>
      <c r="AA145" s="568">
        <f t="shared" si="21"/>
        <v>123</v>
      </c>
      <c r="AB145" s="493">
        <f>IFERROR(INDEX('[17]CN BC'!$M$10:$M$276,MATCH(B145,'[17]CN BC'!$H$10:$H$276,0)),"")</f>
        <v>0</v>
      </c>
      <c r="AC145" s="141" t="str">
        <f>VLOOKUP(B145,TH.T4!B143:AC473,28,FALSE)</f>
        <v>KHCB</v>
      </c>
      <c r="AD145" s="108"/>
      <c r="AE145" s="108"/>
      <c r="AF145" s="155"/>
      <c r="AG145" s="108"/>
      <c r="AH145" s="108"/>
      <c r="AI145" s="108"/>
      <c r="AJ145" s="108"/>
      <c r="AK145" s="108"/>
      <c r="AL145" s="108"/>
      <c r="AM145" s="108"/>
      <c r="AN145" s="108"/>
      <c r="AO145" s="108"/>
      <c r="AP145" s="108"/>
    </row>
    <row r="146" spans="1:42" s="372" customFormat="1" ht="31.5" customHeight="1">
      <c r="A146" s="379">
        <f>_xlfn.AGGREGATE(4,7,A$22:A145)+1</f>
        <v>124</v>
      </c>
      <c r="B146" s="363" t="s">
        <v>1558</v>
      </c>
      <c r="C146" s="364"/>
      <c r="D146" s="434" t="s">
        <v>1715</v>
      </c>
      <c r="E146" s="423" t="s">
        <v>21</v>
      </c>
      <c r="F146" s="373">
        <v>4.32</v>
      </c>
      <c r="G146" s="367"/>
      <c r="H146" s="368">
        <f t="shared" si="26"/>
        <v>4.32</v>
      </c>
      <c r="I146" s="368"/>
      <c r="J146" s="81" t="str">
        <f>VLOOKUP(B146,TH.T5!B146:F475,5,FALSE)</f>
        <v>Giảng viên khoa KHCB</v>
      </c>
      <c r="K146" s="369">
        <f t="shared" si="27"/>
        <v>4.32</v>
      </c>
      <c r="L146" s="362">
        <f t="shared" si="28"/>
        <v>7776000.0000000009</v>
      </c>
      <c r="M146" s="366" t="str">
        <f>VLOOKUP(B146,'[24]Gui chi Quynh'!$B$11:$E$400,4,FALSE)</f>
        <v>A2</v>
      </c>
      <c r="N146" s="494">
        <f t="shared" si="17"/>
        <v>10886400</v>
      </c>
      <c r="O146" s="366">
        <v>20</v>
      </c>
      <c r="P146" s="440">
        <f>IFERROR(INDEX('[17]CN BC'!$J$10:$J$276,MATCH(B146,'[17]CN BC'!$H$10:$H$276,0)),"")</f>
        <v>20</v>
      </c>
      <c r="Q146" s="494">
        <f t="shared" si="18"/>
        <v>10886400</v>
      </c>
      <c r="R146" s="392"/>
      <c r="S146" s="362">
        <f t="shared" si="29"/>
        <v>0</v>
      </c>
      <c r="T146" s="370"/>
      <c r="U146" s="362">
        <f t="shared" si="19"/>
        <v>0</v>
      </c>
      <c r="V146" s="584">
        <f t="shared" si="20"/>
        <v>77760</v>
      </c>
      <c r="W146" s="371">
        <f t="shared" si="25"/>
        <v>10886400</v>
      </c>
      <c r="X146" s="977">
        <f t="shared" si="23"/>
        <v>6.048</v>
      </c>
      <c r="Y146" s="999">
        <v>1800000</v>
      </c>
      <c r="Z146" s="1000">
        <f t="shared" si="24"/>
        <v>10886400</v>
      </c>
      <c r="AA146" s="568">
        <f t="shared" si="21"/>
        <v>124</v>
      </c>
      <c r="AB146" s="493">
        <f>IFERROR(INDEX('[17]CN BC'!$M$10:$M$276,MATCH(B146,'[17]CN BC'!$H$10:$H$276,0)),"")</f>
        <v>0</v>
      </c>
      <c r="AC146" s="141" t="str">
        <f>VLOOKUP(B146,TH.T4!B144:AC474,28,FALSE)</f>
        <v>KHCB</v>
      </c>
      <c r="AD146" s="108"/>
      <c r="AE146" s="108"/>
      <c r="AF146" s="155"/>
      <c r="AG146" s="108"/>
      <c r="AH146" s="108"/>
      <c r="AI146" s="108"/>
      <c r="AJ146" s="108"/>
      <c r="AK146" s="108"/>
      <c r="AL146" s="108"/>
    </row>
    <row r="147" spans="1:42" s="372" customFormat="1" ht="31.5" customHeight="1">
      <c r="A147" s="379">
        <f>_xlfn.AGGREGATE(4,7,A$22:A146)+1</f>
        <v>125</v>
      </c>
      <c r="B147" s="363" t="s">
        <v>1493</v>
      </c>
      <c r="C147" s="364" t="s">
        <v>874</v>
      </c>
      <c r="D147" s="434" t="s">
        <v>1716</v>
      </c>
      <c r="E147" s="423" t="s">
        <v>1330</v>
      </c>
      <c r="F147" s="366">
        <v>4.6500000000000004</v>
      </c>
      <c r="G147" s="367"/>
      <c r="H147" s="368">
        <f t="shared" si="26"/>
        <v>4.6500000000000004</v>
      </c>
      <c r="I147" s="368"/>
      <c r="J147" s="81" t="str">
        <f>VLOOKUP(B147,TH.T5!B147:F476,5,FALSE)</f>
        <v>Giảng viên khoa Ngoại ngữ</v>
      </c>
      <c r="K147" s="369">
        <f t="shared" si="27"/>
        <v>4.6500000000000004</v>
      </c>
      <c r="L147" s="362">
        <f t="shared" si="28"/>
        <v>8370000.0000000009</v>
      </c>
      <c r="M147" s="366" t="str">
        <f>VLOOKUP(B147,'[24]Gui chi Quynh'!$B$11:$E$400,4,FALSE)</f>
        <v>A4</v>
      </c>
      <c r="N147" s="494">
        <f t="shared" si="17"/>
        <v>8370000.0000000009</v>
      </c>
      <c r="O147" s="366">
        <v>20</v>
      </c>
      <c r="P147" s="440">
        <f>IFERROR(INDEX('[17]CN BC'!$J$10:$J$276,MATCH(B147,'[17]CN BC'!$H$10:$H$276,0)),"")</f>
        <v>20</v>
      </c>
      <c r="Q147" s="494">
        <f t="shared" si="18"/>
        <v>8370000.0000000009</v>
      </c>
      <c r="R147" s="460"/>
      <c r="S147" s="362">
        <f t="shared" si="29"/>
        <v>0</v>
      </c>
      <c r="T147" s="370"/>
      <c r="U147" s="362">
        <f t="shared" si="19"/>
        <v>0</v>
      </c>
      <c r="V147" s="584">
        <f t="shared" si="20"/>
        <v>83700</v>
      </c>
      <c r="W147" s="371">
        <f t="shared" si="25"/>
        <v>8370000.0000000009</v>
      </c>
      <c r="X147" s="977">
        <f t="shared" si="23"/>
        <v>4.6500000000000004</v>
      </c>
      <c r="Y147" s="999">
        <v>1800000</v>
      </c>
      <c r="Z147" s="1000">
        <f t="shared" si="24"/>
        <v>8370000.0000000009</v>
      </c>
      <c r="AA147" s="568">
        <f t="shared" si="21"/>
        <v>125</v>
      </c>
      <c r="AB147" s="493">
        <f>IFERROR(INDEX('[17]CN BC'!$M$10:$M$276,MATCH(B147,'[17]CN BC'!$H$10:$H$276,0)),"")</f>
        <v>0</v>
      </c>
      <c r="AC147" s="141" t="str">
        <f>VLOOKUP(B147,TH.T4!B145:AC475,28,FALSE)</f>
        <v>NN</v>
      </c>
      <c r="AD147" s="108"/>
      <c r="AE147" s="108"/>
      <c r="AF147" s="155"/>
    </row>
    <row r="148" spans="1:42" s="372" customFormat="1" ht="31.5" customHeight="1">
      <c r="A148" s="379">
        <f>_xlfn.AGGREGATE(4,7,A$22:A147)+1</f>
        <v>126</v>
      </c>
      <c r="B148" s="363" t="s">
        <v>1874</v>
      </c>
      <c r="C148" s="364" t="s">
        <v>986</v>
      </c>
      <c r="D148" s="434" t="s">
        <v>1717</v>
      </c>
      <c r="E148" s="423" t="s">
        <v>1331</v>
      </c>
      <c r="F148" s="366">
        <v>4.6500000000000004</v>
      </c>
      <c r="G148" s="367"/>
      <c r="H148" s="368">
        <f t="shared" si="26"/>
        <v>4.6500000000000004</v>
      </c>
      <c r="I148" s="368"/>
      <c r="J148" s="81" t="str">
        <f>VLOOKUP(B148,TH.T5!B148:F477,5,FALSE)</f>
        <v>Giảng viên khoa Ngoại ngữ</v>
      </c>
      <c r="K148" s="369">
        <f t="shared" si="27"/>
        <v>4.6500000000000004</v>
      </c>
      <c r="L148" s="362">
        <f t="shared" si="28"/>
        <v>8370000.0000000009</v>
      </c>
      <c r="M148" s="366" t="str">
        <f>VLOOKUP(B148,'[24]Gui chi Quynh'!$B$11:$E$400,4,FALSE)</f>
        <v>A4</v>
      </c>
      <c r="N148" s="494">
        <f t="shared" si="17"/>
        <v>8370000.0000000009</v>
      </c>
      <c r="O148" s="366">
        <v>20</v>
      </c>
      <c r="P148" s="440">
        <f>IFERROR(INDEX('[17]CN BC'!$J$10:$J$276,MATCH(B148,'[17]CN BC'!$H$10:$H$276,0)),"")</f>
        <v>20</v>
      </c>
      <c r="Q148" s="494">
        <f t="shared" si="18"/>
        <v>8370000.0000000009</v>
      </c>
      <c r="R148" s="460"/>
      <c r="S148" s="362">
        <f t="shared" si="29"/>
        <v>0</v>
      </c>
      <c r="T148" s="370"/>
      <c r="U148" s="362">
        <f t="shared" si="19"/>
        <v>0</v>
      </c>
      <c r="V148" s="584">
        <f t="shared" si="20"/>
        <v>83700</v>
      </c>
      <c r="W148" s="371">
        <f t="shared" si="25"/>
        <v>8370000.0000000009</v>
      </c>
      <c r="X148" s="977">
        <f t="shared" si="23"/>
        <v>4.6500000000000004</v>
      </c>
      <c r="Y148" s="999">
        <v>1800000</v>
      </c>
      <c r="Z148" s="1000">
        <f t="shared" si="24"/>
        <v>8370000.0000000009</v>
      </c>
      <c r="AA148" s="568">
        <f t="shared" si="21"/>
        <v>126</v>
      </c>
      <c r="AB148" s="493">
        <f>IFERROR(INDEX('[17]CN BC'!$M$10:$M$276,MATCH(B148,'[17]CN BC'!$H$10:$H$276,0)),"")</f>
        <v>0</v>
      </c>
      <c r="AC148" s="141" t="str">
        <f>VLOOKUP(B148,TH.T4!B146:AC476,28,FALSE)</f>
        <v>NN</v>
      </c>
      <c r="AD148" s="108"/>
      <c r="AE148" s="108"/>
      <c r="AF148" s="155"/>
      <c r="AG148" s="108"/>
      <c r="AH148" s="108"/>
      <c r="AI148" s="108"/>
      <c r="AJ148" s="108"/>
      <c r="AK148" s="108"/>
      <c r="AL148" s="108"/>
    </row>
    <row r="149" spans="1:42" s="372" customFormat="1" ht="31.5" customHeight="1">
      <c r="A149" s="379">
        <f>_xlfn.AGGREGATE(4,7,A$22:A148)+1</f>
        <v>127</v>
      </c>
      <c r="B149" s="363" t="s">
        <v>1875</v>
      </c>
      <c r="C149" s="364" t="s">
        <v>987</v>
      </c>
      <c r="D149" s="434" t="s">
        <v>1718</v>
      </c>
      <c r="E149" s="423" t="s">
        <v>1332</v>
      </c>
      <c r="F149" s="366">
        <v>4.6500000000000004</v>
      </c>
      <c r="G149" s="367"/>
      <c r="H149" s="368">
        <f t="shared" si="26"/>
        <v>4.6500000000000004</v>
      </c>
      <c r="I149" s="368"/>
      <c r="J149" s="81" t="str">
        <f>VLOOKUP(B149,TH.T5!B149:F478,5,FALSE)</f>
        <v>Giảng viên khoa Ngoại ngữ</v>
      </c>
      <c r="K149" s="369">
        <f t="shared" si="27"/>
        <v>4.6500000000000004</v>
      </c>
      <c r="L149" s="362">
        <f t="shared" si="28"/>
        <v>8370000.0000000009</v>
      </c>
      <c r="M149" s="366" t="str">
        <f>VLOOKUP(B149,'[24]Gui chi Quynh'!$B$11:$E$400,4,FALSE)</f>
        <v>A4</v>
      </c>
      <c r="N149" s="494">
        <f t="shared" si="17"/>
        <v>8370000.0000000009</v>
      </c>
      <c r="O149" s="366">
        <v>20</v>
      </c>
      <c r="P149" s="440">
        <f>IFERROR(INDEX('[17]CN BC'!$J$10:$J$276,MATCH(B149,'[17]CN BC'!$H$10:$H$276,0)),"")</f>
        <v>20</v>
      </c>
      <c r="Q149" s="494">
        <f t="shared" si="18"/>
        <v>8370000.0000000009</v>
      </c>
      <c r="R149" s="460"/>
      <c r="S149" s="362">
        <f t="shared" si="29"/>
        <v>0</v>
      </c>
      <c r="T149" s="370"/>
      <c r="U149" s="362">
        <f t="shared" si="19"/>
        <v>0</v>
      </c>
      <c r="V149" s="584">
        <f t="shared" si="20"/>
        <v>83700</v>
      </c>
      <c r="W149" s="371">
        <f t="shared" si="25"/>
        <v>8370000.0000000009</v>
      </c>
      <c r="X149" s="977">
        <f t="shared" si="23"/>
        <v>4.6500000000000004</v>
      </c>
      <c r="Y149" s="999">
        <v>1800000</v>
      </c>
      <c r="Z149" s="1000">
        <f t="shared" si="24"/>
        <v>8370000.0000000009</v>
      </c>
      <c r="AA149" s="568">
        <f t="shared" si="21"/>
        <v>127</v>
      </c>
      <c r="AB149" s="493">
        <f>IFERROR(INDEX('[17]CN BC'!$M$10:$M$276,MATCH(B149,'[17]CN BC'!$H$10:$H$276,0)),"")</f>
        <v>0</v>
      </c>
      <c r="AC149" s="141" t="str">
        <f>VLOOKUP(B149,TH.T4!B147:AC477,28,FALSE)</f>
        <v>NN</v>
      </c>
      <c r="AD149" s="108"/>
      <c r="AE149" s="108"/>
      <c r="AF149" s="155"/>
    </row>
    <row r="150" spans="1:42" s="372" customFormat="1" ht="31.5" customHeight="1">
      <c r="A150" s="379">
        <f>_xlfn.AGGREGATE(4,7,A$22:A149)+1</f>
        <v>128</v>
      </c>
      <c r="B150" s="363" t="s">
        <v>1494</v>
      </c>
      <c r="C150" s="364" t="s">
        <v>967</v>
      </c>
      <c r="D150" s="434" t="s">
        <v>1719</v>
      </c>
      <c r="E150" s="423" t="s">
        <v>1333</v>
      </c>
      <c r="F150" s="373">
        <v>3.99</v>
      </c>
      <c r="G150" s="367"/>
      <c r="H150" s="368">
        <f t="shared" si="26"/>
        <v>3.99</v>
      </c>
      <c r="I150" s="368"/>
      <c r="J150" s="81" t="str">
        <f>VLOOKUP(B150,TH.T5!B150:F479,5,FALSE)</f>
        <v>Giảng viên khoa Ngoại ngữ</v>
      </c>
      <c r="K150" s="369">
        <f t="shared" si="27"/>
        <v>3.99</v>
      </c>
      <c r="L150" s="362">
        <f t="shared" si="28"/>
        <v>7182000</v>
      </c>
      <c r="M150" s="366" t="str">
        <f>VLOOKUP(B150,'[24]Gui chi Quynh'!$B$11:$E$400,4,FALSE)</f>
        <v>A4</v>
      </c>
      <c r="N150" s="494">
        <f t="shared" si="17"/>
        <v>7182000</v>
      </c>
      <c r="O150" s="366">
        <v>20</v>
      </c>
      <c r="P150" s="440">
        <f>IFERROR(INDEX('[17]CN BC'!$J$10:$J$276,MATCH(B150,'[17]CN BC'!$H$10:$H$276,0)),"")</f>
        <v>20</v>
      </c>
      <c r="Q150" s="494">
        <f t="shared" si="18"/>
        <v>7182000</v>
      </c>
      <c r="R150" s="460"/>
      <c r="S150" s="362">
        <f t="shared" si="29"/>
        <v>0</v>
      </c>
      <c r="T150" s="370"/>
      <c r="U150" s="362">
        <f t="shared" si="19"/>
        <v>0</v>
      </c>
      <c r="V150" s="584">
        <f t="shared" si="20"/>
        <v>71820</v>
      </c>
      <c r="W150" s="371">
        <f t="shared" si="25"/>
        <v>7182000</v>
      </c>
      <c r="X150" s="977">
        <f t="shared" si="23"/>
        <v>3.99</v>
      </c>
      <c r="Y150" s="999">
        <v>1800000</v>
      </c>
      <c r="Z150" s="1000">
        <f t="shared" si="24"/>
        <v>7182000</v>
      </c>
      <c r="AA150" s="568">
        <f t="shared" si="21"/>
        <v>128</v>
      </c>
      <c r="AB150" s="493">
        <f>IFERROR(INDEX('[17]CN BC'!$M$10:$M$276,MATCH(B150,'[17]CN BC'!$H$10:$H$276,0)),"")</f>
        <v>0</v>
      </c>
      <c r="AC150" s="141" t="str">
        <f>VLOOKUP(B150,TH.T4!B148:AC478,28,FALSE)</f>
        <v>NN</v>
      </c>
      <c r="AD150" s="108"/>
      <c r="AE150" s="108"/>
      <c r="AF150" s="155"/>
      <c r="AG150" s="108"/>
      <c r="AH150" s="108"/>
      <c r="AI150" s="108"/>
      <c r="AJ150" s="108"/>
      <c r="AK150" s="108"/>
      <c r="AL150" s="108"/>
    </row>
    <row r="151" spans="1:42" s="372" customFormat="1" ht="31.5" customHeight="1">
      <c r="A151" s="379">
        <f>_xlfn.AGGREGATE(4,7,A$22:A150)+1</f>
        <v>129</v>
      </c>
      <c r="B151" s="363" t="s">
        <v>1495</v>
      </c>
      <c r="C151" s="364" t="s">
        <v>1200</v>
      </c>
      <c r="D151" s="434" t="s">
        <v>1720</v>
      </c>
      <c r="E151" s="423" t="s">
        <v>1335</v>
      </c>
      <c r="F151" s="366">
        <v>4.9800000000000004</v>
      </c>
      <c r="G151" s="367"/>
      <c r="H151" s="368">
        <f t="shared" si="26"/>
        <v>4.9800000000000004</v>
      </c>
      <c r="I151" s="368"/>
      <c r="J151" s="81" t="str">
        <f>VLOOKUP(B151,TH.T5!B151:F480,5,FALSE)</f>
        <v>Giảng viên khoa Ngoại ngữ</v>
      </c>
      <c r="K151" s="369">
        <f t="shared" si="27"/>
        <v>4.9800000000000004</v>
      </c>
      <c r="L151" s="362">
        <f t="shared" si="28"/>
        <v>8964000</v>
      </c>
      <c r="M151" s="366" t="str">
        <f>VLOOKUP(B151,'[24]Gui chi Quynh'!$B$11:$E$400,4,FALSE)</f>
        <v>A4</v>
      </c>
      <c r="N151" s="494">
        <f t="shared" ref="N151:N214" si="30">IF(M151="A1",L151*1.6,IF(M151="A2",L151*1.4,IF(M151="A3",L151*1.2,IF(M151="A4",L151*1,IF(M151="B1",L151*0.7,IF(M151="B2",L151*0.5,IF(M151="C1",L151*0.3,IF(M151="C2",L151*0.2,0))))))))</f>
        <v>8964000</v>
      </c>
      <c r="O151" s="366">
        <v>20</v>
      </c>
      <c r="P151" s="440">
        <f>IFERROR(INDEX('[17]CN BC'!$J$10:$J$276,MATCH(B151,'[17]CN BC'!$H$10:$H$276,0)),"")</f>
        <v>20</v>
      </c>
      <c r="Q151" s="494">
        <f t="shared" ref="Q151" si="31">IF(P151&gt;=O151,N151,N151/O151*P151)</f>
        <v>8964000</v>
      </c>
      <c r="R151" s="460"/>
      <c r="S151" s="362">
        <f t="shared" si="29"/>
        <v>0</v>
      </c>
      <c r="T151" s="370"/>
      <c r="U151" s="362">
        <f t="shared" ref="U151" si="32">T151*$G$19*1</f>
        <v>0</v>
      </c>
      <c r="V151" s="584">
        <f t="shared" ref="V151:V214" si="33">IF(OR(M151="A DN",M151="KXL", M151=""),"0",ROUND(K151*0.01*$G$19+R151*1%*$G$19+T151*1%*$G$19,))</f>
        <v>89640</v>
      </c>
      <c r="W151" s="371">
        <f t="shared" si="25"/>
        <v>8964000</v>
      </c>
      <c r="X151" s="977">
        <f t="shared" si="23"/>
        <v>4.9800000000000004</v>
      </c>
      <c r="Y151" s="999">
        <v>1800000</v>
      </c>
      <c r="Z151" s="1000">
        <f t="shared" si="24"/>
        <v>8964000</v>
      </c>
      <c r="AA151" s="568">
        <f t="shared" ref="AA151:AA214" si="34">A151</f>
        <v>129</v>
      </c>
      <c r="AB151" s="493">
        <f>IFERROR(INDEX('[17]CN BC'!$M$10:$M$276,MATCH(B151,'[17]CN BC'!$H$10:$H$276,0)),"")</f>
        <v>0</v>
      </c>
      <c r="AC151" s="141" t="str">
        <f>VLOOKUP(B151,TH.T4!B149:AC479,28,FALSE)</f>
        <v>NN</v>
      </c>
      <c r="AD151" s="108"/>
      <c r="AE151" s="108"/>
      <c r="AF151" s="155"/>
      <c r="AG151" s="108"/>
      <c r="AH151" s="108"/>
      <c r="AI151" s="108"/>
      <c r="AJ151" s="108"/>
      <c r="AK151" s="108"/>
      <c r="AL151" s="108"/>
    </row>
    <row r="152" spans="1:42" s="372" customFormat="1" ht="31.5" customHeight="1">
      <c r="A152" s="379">
        <f>_xlfn.AGGREGATE(4,7,A$22:A151)+1</f>
        <v>130</v>
      </c>
      <c r="B152" s="363" t="s">
        <v>1876</v>
      </c>
      <c r="C152" s="364" t="s">
        <v>448</v>
      </c>
      <c r="D152" s="434" t="s">
        <v>1721</v>
      </c>
      <c r="E152" s="423" t="s">
        <v>504</v>
      </c>
      <c r="F152" s="373">
        <v>3.99</v>
      </c>
      <c r="G152" s="367"/>
      <c r="H152" s="368">
        <f t="shared" si="26"/>
        <v>3.99</v>
      </c>
      <c r="I152" s="368"/>
      <c r="J152" s="81" t="str">
        <f>VLOOKUP(B152,TH.T5!B152:F481,5,FALSE)</f>
        <v>Giảng viên khoa Ngoại ngữ</v>
      </c>
      <c r="K152" s="369">
        <f t="shared" si="27"/>
        <v>3.99</v>
      </c>
      <c r="L152" s="362">
        <f t="shared" si="28"/>
        <v>7182000</v>
      </c>
      <c r="M152" s="366" t="str">
        <f>VLOOKUP(B152,'[24]Gui chi Quynh'!$B$11:$E$400,4,FALSE)</f>
        <v>A4</v>
      </c>
      <c r="N152" s="494">
        <f t="shared" si="30"/>
        <v>7182000</v>
      </c>
      <c r="O152" s="366">
        <v>20</v>
      </c>
      <c r="P152" s="440">
        <f>IFERROR(INDEX('[17]CN BC'!$J$10:$J$276,MATCH(B152,'[17]CN BC'!$H$10:$H$276,0)),"")</f>
        <v>20</v>
      </c>
      <c r="Q152" s="494">
        <f>IF(P152&gt;=O152,N152,N152/O152*P152)</f>
        <v>7182000</v>
      </c>
      <c r="R152" s="460"/>
      <c r="S152" s="362">
        <f t="shared" si="29"/>
        <v>0</v>
      </c>
      <c r="T152" s="370"/>
      <c r="U152" s="362">
        <f>T152*$G$19*1</f>
        <v>0</v>
      </c>
      <c r="V152" s="584">
        <f t="shared" si="33"/>
        <v>71820</v>
      </c>
      <c r="W152" s="371">
        <f t="shared" si="25"/>
        <v>7182000</v>
      </c>
      <c r="X152" s="977">
        <f t="shared" ref="X152:X215" si="35">W152/Y152</f>
        <v>3.99</v>
      </c>
      <c r="Y152" s="999">
        <v>1800000</v>
      </c>
      <c r="Z152" s="1000">
        <f t="shared" ref="Z152:Z215" si="36">X152*Y152</f>
        <v>7182000</v>
      </c>
      <c r="AA152" s="568">
        <f t="shared" si="34"/>
        <v>130</v>
      </c>
      <c r="AB152" s="493">
        <f>IFERROR(INDEX('[17]CN BC'!$M$10:$M$276,MATCH(B152,'[17]CN BC'!$H$10:$H$276,0)),"")</f>
        <v>0</v>
      </c>
      <c r="AC152" s="141" t="str">
        <f>VLOOKUP(B152,TH.T4!B150:AC480,28,FALSE)</f>
        <v>NN</v>
      </c>
      <c r="AD152" s="108"/>
      <c r="AE152" s="108"/>
      <c r="AF152" s="155"/>
      <c r="AG152" s="108"/>
      <c r="AH152" s="108"/>
      <c r="AI152" s="108"/>
      <c r="AJ152" s="108"/>
      <c r="AK152" s="108"/>
      <c r="AL152" s="108"/>
    </row>
    <row r="153" spans="1:42" s="372" customFormat="1" ht="31.5" customHeight="1">
      <c r="A153" s="379">
        <f>_xlfn.AGGREGATE(4,7,A$22:A152)+1</f>
        <v>131</v>
      </c>
      <c r="B153" s="363" t="s">
        <v>1496</v>
      </c>
      <c r="C153" s="364" t="s">
        <v>883</v>
      </c>
      <c r="D153" s="434" t="s">
        <v>1722</v>
      </c>
      <c r="E153" s="422" t="s">
        <v>1589</v>
      </c>
      <c r="F153" s="373">
        <v>3.33</v>
      </c>
      <c r="G153" s="367"/>
      <c r="H153" s="445">
        <f t="shared" si="26"/>
        <v>3.33</v>
      </c>
      <c r="I153" s="368">
        <v>0.45</v>
      </c>
      <c r="J153" s="81" t="str">
        <f>VLOOKUP(B153,TH.T5!B153:F482,5,FALSE)</f>
        <v>Giảng viên khoa Ngoại ngữ</v>
      </c>
      <c r="K153" s="369">
        <f t="shared" si="27"/>
        <v>3.7800000000000002</v>
      </c>
      <c r="L153" s="362">
        <f t="shared" si="28"/>
        <v>6804000</v>
      </c>
      <c r="M153" s="366" t="str">
        <f>VLOOKUP(B153,'[24]Gui chi Quynh'!$B$11:$E$400,4,FALSE)</f>
        <v>A2</v>
      </c>
      <c r="N153" s="494">
        <f t="shared" si="30"/>
        <v>9525600</v>
      </c>
      <c r="O153" s="366">
        <v>20</v>
      </c>
      <c r="P153" s="440">
        <f>IFERROR(INDEX('[17]CN BC'!$J$10:$J$276,MATCH(B153,'[17]CN BC'!$H$10:$H$276,0)),"")</f>
        <v>20</v>
      </c>
      <c r="Q153" s="494">
        <f>IF(P153&gt;=O153,N153,N153/O153*P153)</f>
        <v>9525600</v>
      </c>
      <c r="R153" s="392"/>
      <c r="S153" s="362">
        <f t="shared" si="29"/>
        <v>0</v>
      </c>
      <c r="T153" s="370"/>
      <c r="U153" s="362">
        <f>T153*$G$19*1</f>
        <v>0</v>
      </c>
      <c r="V153" s="584">
        <f t="shared" si="33"/>
        <v>68040</v>
      </c>
      <c r="W153" s="371">
        <f t="shared" si="25"/>
        <v>9525600</v>
      </c>
      <c r="X153" s="977">
        <f t="shared" si="35"/>
        <v>5.2919999999999998</v>
      </c>
      <c r="Y153" s="999">
        <v>1800000</v>
      </c>
      <c r="Z153" s="1000">
        <f t="shared" si="36"/>
        <v>9525600</v>
      </c>
      <c r="AA153" s="568">
        <f t="shared" si="34"/>
        <v>131</v>
      </c>
      <c r="AB153" s="493">
        <f>IFERROR(INDEX('[17]CN BC'!$M$10:$M$276,MATCH(B153,'[17]CN BC'!$H$10:$H$276,0)),"")</f>
        <v>0</v>
      </c>
      <c r="AC153" s="141" t="str">
        <f>VLOOKUP(B153,TH.T4!B151:AC481,28,FALSE)</f>
        <v>NN</v>
      </c>
      <c r="AD153" s="108"/>
      <c r="AE153" s="108"/>
      <c r="AF153" s="155"/>
      <c r="AG153" s="108"/>
      <c r="AH153" s="108"/>
      <c r="AI153" s="108"/>
      <c r="AJ153" s="108"/>
      <c r="AK153" s="108"/>
      <c r="AL153" s="108"/>
    </row>
    <row r="154" spans="1:42" s="372" customFormat="1" ht="31.5" customHeight="1">
      <c r="A154" s="379">
        <f>_xlfn.AGGREGATE(4,7,A$22:A153)+1</f>
        <v>132</v>
      </c>
      <c r="B154" s="363" t="s">
        <v>1497</v>
      </c>
      <c r="C154" s="364" t="s">
        <v>1078</v>
      </c>
      <c r="D154" s="434" t="s">
        <v>1723</v>
      </c>
      <c r="E154" s="422" t="s">
        <v>1590</v>
      </c>
      <c r="F154" s="373">
        <v>3</v>
      </c>
      <c r="G154" s="367"/>
      <c r="H154" s="445">
        <f t="shared" si="26"/>
        <v>3</v>
      </c>
      <c r="I154" s="368"/>
      <c r="J154" s="81" t="str">
        <f>VLOOKUP(B154,TH.T5!B154:F483,5,FALSE)</f>
        <v>Giảng viên khoa Ngoại ngữ</v>
      </c>
      <c r="K154" s="369">
        <f t="shared" si="27"/>
        <v>3</v>
      </c>
      <c r="L154" s="362">
        <f t="shared" si="28"/>
        <v>5400000</v>
      </c>
      <c r="M154" s="366" t="str">
        <f>VLOOKUP(B154,'[24]Gui chi Quynh'!$B$11:$E$400,4,FALSE)</f>
        <v>A3</v>
      </c>
      <c r="N154" s="494">
        <f t="shared" si="30"/>
        <v>6480000</v>
      </c>
      <c r="O154" s="366">
        <v>20</v>
      </c>
      <c r="P154" s="440">
        <f>IFERROR(INDEX('[17]CN BC'!$J$10:$J$276,MATCH(B154,'[17]CN BC'!$H$10:$H$276,0)),"")</f>
        <v>20</v>
      </c>
      <c r="Q154" s="494">
        <f t="shared" ref="Q154:Q217" si="37">IF(P154&gt;=O154,N154,N154/O154*P154)</f>
        <v>6480000</v>
      </c>
      <c r="R154" s="460"/>
      <c r="S154" s="362">
        <f t="shared" si="29"/>
        <v>0</v>
      </c>
      <c r="T154" s="370"/>
      <c r="U154" s="362">
        <f>T154*$G$19*1</f>
        <v>0</v>
      </c>
      <c r="V154" s="584">
        <f t="shared" si="33"/>
        <v>54000</v>
      </c>
      <c r="W154" s="371">
        <f t="shared" ref="W154:W217" si="38">(Q154+S154+U154)</f>
        <v>6480000</v>
      </c>
      <c r="X154" s="977">
        <f t="shared" si="35"/>
        <v>3.6</v>
      </c>
      <c r="Y154" s="999">
        <v>1800000</v>
      </c>
      <c r="Z154" s="1000">
        <f t="shared" si="36"/>
        <v>6480000</v>
      </c>
      <c r="AA154" s="568">
        <f t="shared" si="34"/>
        <v>132</v>
      </c>
      <c r="AB154" s="493">
        <f>IFERROR(INDEX('[17]CN BC'!$M$10:$M$276,MATCH(B154,'[17]CN BC'!$H$10:$H$276,0)),"")</f>
        <v>0</v>
      </c>
      <c r="AC154" s="141" t="str">
        <f>VLOOKUP(B154,TH.T4!B152:AC482,28,FALSE)</f>
        <v>NN</v>
      </c>
      <c r="AD154" s="108"/>
      <c r="AE154" s="108"/>
      <c r="AF154" s="155"/>
      <c r="AG154" s="108"/>
      <c r="AH154" s="108"/>
      <c r="AI154" s="108"/>
      <c r="AJ154" s="108"/>
      <c r="AK154" s="108"/>
      <c r="AL154" s="108"/>
    </row>
    <row r="155" spans="1:42" s="372" customFormat="1" ht="31.5" customHeight="1">
      <c r="A155" s="379">
        <f>_xlfn.AGGREGATE(4,7,A$22:A154)+1</f>
        <v>133</v>
      </c>
      <c r="B155" s="363" t="s">
        <v>1929</v>
      </c>
      <c r="C155" s="364"/>
      <c r="D155" s="434" t="s">
        <v>1964</v>
      </c>
      <c r="E155" s="480" t="s">
        <v>1932</v>
      </c>
      <c r="F155" s="366">
        <v>2.34</v>
      </c>
      <c r="G155" s="367"/>
      <c r="H155" s="368">
        <f t="shared" si="26"/>
        <v>2.34</v>
      </c>
      <c r="I155" s="368"/>
      <c r="J155" s="81" t="str">
        <f>VLOOKUP(B155,TH.T5!B155:F484,5,FALSE)</f>
        <v>Giảng viên khoa Ngoại ngữ</v>
      </c>
      <c r="K155" s="369">
        <f t="shared" si="27"/>
        <v>2.34</v>
      </c>
      <c r="L155" s="362">
        <f t="shared" si="28"/>
        <v>4212000</v>
      </c>
      <c r="M155" s="366" t="str">
        <f>VLOOKUP(B155,'[24]Gui chi Quynh'!$B$11:$E$400,4,FALSE)</f>
        <v>A4</v>
      </c>
      <c r="N155" s="494">
        <f t="shared" si="30"/>
        <v>4212000</v>
      </c>
      <c r="O155" s="366">
        <v>20</v>
      </c>
      <c r="P155" s="440">
        <f>IFERROR(INDEX('[17]CN BC'!$J$10:$J$276,MATCH(B155,'[17]CN BC'!$H$10:$H$276,0)),"")</f>
        <v>20</v>
      </c>
      <c r="Q155" s="494">
        <f t="shared" si="37"/>
        <v>4212000</v>
      </c>
      <c r="R155" s="460"/>
      <c r="S155" s="362">
        <f t="shared" si="29"/>
        <v>0</v>
      </c>
      <c r="T155" s="370"/>
      <c r="U155" s="362">
        <f>T155*$G$19*1</f>
        <v>0</v>
      </c>
      <c r="V155" s="584">
        <f t="shared" si="33"/>
        <v>42120</v>
      </c>
      <c r="W155" s="371">
        <f t="shared" si="38"/>
        <v>4212000</v>
      </c>
      <c r="X155" s="977">
        <f t="shared" si="35"/>
        <v>2.34</v>
      </c>
      <c r="Y155" s="999">
        <v>1800000</v>
      </c>
      <c r="Z155" s="1000">
        <f t="shared" si="36"/>
        <v>4212000</v>
      </c>
      <c r="AA155" s="568">
        <f t="shared" si="34"/>
        <v>133</v>
      </c>
      <c r="AB155" s="493">
        <f>IFERROR(INDEX('[17]CN BC'!$M$10:$M$276,MATCH(B155,'[17]CN BC'!$H$10:$H$276,0)),"")</f>
        <v>0</v>
      </c>
      <c r="AC155" s="141" t="str">
        <f>VLOOKUP(B155,TH.T4!B153:AC483,28,FALSE)</f>
        <v>NN</v>
      </c>
      <c r="AD155" s="108"/>
      <c r="AE155" s="108"/>
      <c r="AF155" s="155"/>
      <c r="AG155" s="108"/>
      <c r="AH155" s="108"/>
      <c r="AI155" s="108"/>
      <c r="AJ155" s="108"/>
      <c r="AK155" s="108"/>
      <c r="AL155" s="108"/>
    </row>
    <row r="156" spans="1:42" s="372" customFormat="1" ht="31.5" customHeight="1">
      <c r="A156" s="379">
        <f>_xlfn.AGGREGATE(4,7,A$22:A155)+1</f>
        <v>134</v>
      </c>
      <c r="B156" s="363" t="s">
        <v>1498</v>
      </c>
      <c r="C156" s="364" t="s">
        <v>958</v>
      </c>
      <c r="D156" s="434" t="s">
        <v>1724</v>
      </c>
      <c r="E156" s="422" t="s">
        <v>1591</v>
      </c>
      <c r="F156" s="373">
        <v>3</v>
      </c>
      <c r="G156" s="367"/>
      <c r="H156" s="445">
        <f t="shared" si="26"/>
        <v>3</v>
      </c>
      <c r="I156" s="368"/>
      <c r="J156" s="81" t="str">
        <f>VLOOKUP(B156,TH.T5!B156:F485,5,FALSE)</f>
        <v>Giảng viên khoa Ngoại ngữ</v>
      </c>
      <c r="K156" s="369">
        <f t="shared" si="27"/>
        <v>3</v>
      </c>
      <c r="L156" s="362">
        <f t="shared" si="28"/>
        <v>5400000</v>
      </c>
      <c r="M156" s="366" t="str">
        <f>VLOOKUP(B156,'[24]Gui chi Quynh'!$B$11:$E$400,4,FALSE)</f>
        <v>A3</v>
      </c>
      <c r="N156" s="494">
        <f t="shared" si="30"/>
        <v>6480000</v>
      </c>
      <c r="O156" s="366">
        <v>20</v>
      </c>
      <c r="P156" s="440">
        <f>IFERROR(INDEX('[17]CN BC'!$J$10:$J$276,MATCH(B156,'[17]CN BC'!$H$10:$H$276,0)),"")</f>
        <v>20</v>
      </c>
      <c r="Q156" s="494">
        <f t="shared" si="37"/>
        <v>6480000</v>
      </c>
      <c r="R156" s="460"/>
      <c r="S156" s="362">
        <f t="shared" si="29"/>
        <v>0</v>
      </c>
      <c r="T156" s="370"/>
      <c r="U156" s="362">
        <f t="shared" ref="U156:U219" si="39">T156*$G$19*1</f>
        <v>0</v>
      </c>
      <c r="V156" s="584">
        <f t="shared" si="33"/>
        <v>54000</v>
      </c>
      <c r="W156" s="371">
        <f t="shared" si="38"/>
        <v>6480000</v>
      </c>
      <c r="X156" s="977">
        <f t="shared" si="35"/>
        <v>3.6</v>
      </c>
      <c r="Y156" s="999">
        <v>1800000</v>
      </c>
      <c r="Z156" s="1000">
        <f t="shared" si="36"/>
        <v>6480000</v>
      </c>
      <c r="AA156" s="568">
        <f t="shared" si="34"/>
        <v>134</v>
      </c>
      <c r="AB156" s="493">
        <f>IFERROR(INDEX('[17]CN BC'!$M$10:$M$276,MATCH(B156,'[17]CN BC'!$H$10:$H$276,0)),"")</f>
        <v>0</v>
      </c>
      <c r="AC156" s="141" t="str">
        <f>VLOOKUP(B156,TH.T4!B154:AC484,28,FALSE)</f>
        <v>NN</v>
      </c>
      <c r="AD156" s="108"/>
      <c r="AE156" s="108"/>
      <c r="AF156" s="487"/>
    </row>
    <row r="157" spans="1:42" s="372" customFormat="1" ht="30.75" customHeight="1">
      <c r="A157" s="379">
        <f>_xlfn.AGGREGATE(4,7,A$22:A156)+1</f>
        <v>135</v>
      </c>
      <c r="B157" s="363" t="s">
        <v>1925</v>
      </c>
      <c r="C157" s="364"/>
      <c r="D157" s="434" t="s">
        <v>1965</v>
      </c>
      <c r="E157" s="515" t="s">
        <v>1930</v>
      </c>
      <c r="F157" s="366">
        <v>2.67</v>
      </c>
      <c r="G157" s="367"/>
      <c r="H157" s="368">
        <f t="shared" si="26"/>
        <v>2.67</v>
      </c>
      <c r="I157" s="368"/>
      <c r="J157" s="81" t="str">
        <f>VLOOKUP(B157,TH.T5!B157:F486,5,FALSE)</f>
        <v>Giảng viên khoa Ngoại ngữ</v>
      </c>
      <c r="K157" s="369">
        <f t="shared" si="27"/>
        <v>2.67</v>
      </c>
      <c r="L157" s="362">
        <f t="shared" si="28"/>
        <v>4806000</v>
      </c>
      <c r="M157" s="366" t="str">
        <f>VLOOKUP(B157,'[24]Gui chi Quynh'!$B$11:$E$400,4,FALSE)</f>
        <v>A3</v>
      </c>
      <c r="N157" s="494">
        <f t="shared" si="30"/>
        <v>5767200</v>
      </c>
      <c r="O157" s="366">
        <v>20</v>
      </c>
      <c r="P157" s="440">
        <f>IFERROR(INDEX('[17]CN BC'!$J$10:$J$276,MATCH(B157,'[17]CN BC'!$H$10:$H$276,0)),"")</f>
        <v>20</v>
      </c>
      <c r="Q157" s="494">
        <f t="shared" si="37"/>
        <v>5767200</v>
      </c>
      <c r="R157" s="460"/>
      <c r="S157" s="362">
        <f t="shared" si="29"/>
        <v>0</v>
      </c>
      <c r="T157" s="370"/>
      <c r="U157" s="362">
        <f t="shared" si="39"/>
        <v>0</v>
      </c>
      <c r="V157" s="584">
        <f t="shared" si="33"/>
        <v>48060</v>
      </c>
      <c r="W157" s="371">
        <f t="shared" si="38"/>
        <v>5767200</v>
      </c>
      <c r="X157" s="977">
        <f t="shared" si="35"/>
        <v>3.2040000000000002</v>
      </c>
      <c r="Y157" s="999">
        <v>1800000</v>
      </c>
      <c r="Z157" s="1000">
        <f t="shared" si="36"/>
        <v>5767200</v>
      </c>
      <c r="AA157" s="568">
        <f t="shared" si="34"/>
        <v>135</v>
      </c>
      <c r="AB157" s="493">
        <f>IFERROR(INDEX('[17]CN BC'!$M$10:$M$276,MATCH(B157,'[17]CN BC'!$H$10:$H$276,0)),"")</f>
        <v>0</v>
      </c>
      <c r="AC157" s="141" t="str">
        <f>VLOOKUP(B157,TH.T4!B155:AC485,28,FALSE)</f>
        <v>NN</v>
      </c>
      <c r="AD157" s="108"/>
      <c r="AE157" s="108"/>
      <c r="AF157" s="487"/>
    </row>
    <row r="158" spans="1:42" s="372" customFormat="1" ht="30.75" customHeight="1">
      <c r="A158" s="379">
        <f>_xlfn.AGGREGATE(4,7,A$22:A157)+1</f>
        <v>136</v>
      </c>
      <c r="B158" s="563" t="s">
        <v>2018</v>
      </c>
      <c r="C158" s="552"/>
      <c r="D158" s="564"/>
      <c r="E158" s="565"/>
      <c r="F158" s="557">
        <v>1.9890000000000001</v>
      </c>
      <c r="G158" s="553"/>
      <c r="H158" s="554">
        <f t="shared" si="26"/>
        <v>1.9890000000000001</v>
      </c>
      <c r="I158" s="554"/>
      <c r="J158" s="81" t="str">
        <f>VLOOKUP(B158,TH.T5!B158:F487,5,FALSE)</f>
        <v>Giảng viên khoa Ngoại ngữ</v>
      </c>
      <c r="K158" s="555">
        <f t="shared" si="27"/>
        <v>1.9890000000000001</v>
      </c>
      <c r="L158" s="556">
        <f t="shared" si="28"/>
        <v>3580200</v>
      </c>
      <c r="M158" s="366" t="str">
        <f>VLOOKUP(B158,'[24]Gui chi Quynh'!$B$11:$E$400,4,FALSE)</f>
        <v>A DN</v>
      </c>
      <c r="N158" s="558">
        <f t="shared" si="30"/>
        <v>0</v>
      </c>
      <c r="O158" s="366">
        <v>20</v>
      </c>
      <c r="P158" s="440">
        <f>IFERROR(INDEX('[17]CN BC'!$J$10:$J$276,MATCH(B158,'[17]CN BC'!$H$10:$H$276,0)),"")</f>
        <v>0</v>
      </c>
      <c r="Q158" s="558">
        <f t="shared" si="37"/>
        <v>0</v>
      </c>
      <c r="R158" s="560"/>
      <c r="S158" s="556">
        <f t="shared" si="29"/>
        <v>0</v>
      </c>
      <c r="T158" s="561"/>
      <c r="U158" s="556">
        <f t="shared" si="39"/>
        <v>0</v>
      </c>
      <c r="V158" s="556" t="str">
        <f t="shared" si="33"/>
        <v>0</v>
      </c>
      <c r="W158" s="656">
        <f t="shared" si="38"/>
        <v>0</v>
      </c>
      <c r="X158" s="977">
        <f t="shared" si="35"/>
        <v>0</v>
      </c>
      <c r="Y158" s="999">
        <v>1800000</v>
      </c>
      <c r="Z158" s="1000">
        <f t="shared" si="36"/>
        <v>0</v>
      </c>
      <c r="AA158" s="568">
        <f t="shared" si="34"/>
        <v>136</v>
      </c>
      <c r="AB158" s="493" t="str">
        <f>IFERROR(INDEX('[17]CN BC'!$M$10:$M$276,MATCH(B158,'[17]CN BC'!$H$10:$H$276,0)),"")</f>
        <v>Nghỉ hộ sản hưởng chế độ BHXH từ 9/3/2024</v>
      </c>
      <c r="AC158" s="141" t="str">
        <f>VLOOKUP(B158,TH.T4!B156:AC486,28,FALSE)</f>
        <v>NN</v>
      </c>
      <c r="AF158" s="487"/>
    </row>
    <row r="159" spans="1:42" s="372" customFormat="1" ht="30.75" customHeight="1">
      <c r="A159" s="379">
        <f>_xlfn.AGGREGATE(4,7,A$22:A158)+1</f>
        <v>137</v>
      </c>
      <c r="B159" s="363" t="s">
        <v>2024</v>
      </c>
      <c r="C159" s="364"/>
      <c r="D159" s="434"/>
      <c r="E159" s="515"/>
      <c r="F159" s="366">
        <v>1.9890000000000001</v>
      </c>
      <c r="G159" s="367"/>
      <c r="H159" s="368">
        <f t="shared" si="26"/>
        <v>1.9890000000000001</v>
      </c>
      <c r="I159" s="368"/>
      <c r="J159" s="81" t="str">
        <f>VLOOKUP(B159,TH.T5!B159:F488,5,FALSE)</f>
        <v>Giảng viên khoa Ngoại ngữ</v>
      </c>
      <c r="K159" s="369">
        <f t="shared" si="27"/>
        <v>1.9890000000000001</v>
      </c>
      <c r="L159" s="362">
        <f t="shared" si="28"/>
        <v>3580200</v>
      </c>
      <c r="M159" s="366" t="str">
        <f>VLOOKUP(B159,'[24]Gui chi Quynh'!$B$11:$E$400,4,FALSE)</f>
        <v>A3</v>
      </c>
      <c r="N159" s="494">
        <f t="shared" si="30"/>
        <v>4296240</v>
      </c>
      <c r="O159" s="366">
        <v>20</v>
      </c>
      <c r="P159" s="440">
        <f>IFERROR(INDEX('[17]CN BC'!$J$10:$J$276,MATCH(B159,'[17]CN BC'!$H$10:$H$276,0)),"")</f>
        <v>20</v>
      </c>
      <c r="Q159" s="494">
        <f t="shared" si="37"/>
        <v>4296240</v>
      </c>
      <c r="R159" s="460"/>
      <c r="S159" s="362">
        <f t="shared" si="29"/>
        <v>0</v>
      </c>
      <c r="T159" s="370"/>
      <c r="U159" s="362">
        <f t="shared" si="39"/>
        <v>0</v>
      </c>
      <c r="V159" s="362"/>
      <c r="W159" s="371">
        <f t="shared" si="38"/>
        <v>4296240</v>
      </c>
      <c r="X159" s="977">
        <f t="shared" si="35"/>
        <v>2.3868</v>
      </c>
      <c r="Y159" s="999">
        <v>1800000</v>
      </c>
      <c r="Z159" s="1000">
        <f t="shared" si="36"/>
        <v>4296240</v>
      </c>
      <c r="AA159" s="568">
        <f t="shared" si="34"/>
        <v>137</v>
      </c>
      <c r="AB159" s="493">
        <f>IFERROR(INDEX('[17]CN BC'!$M$10:$M$276,MATCH(B159,'[17]CN BC'!$H$10:$H$276,0)),"")</f>
        <v>0</v>
      </c>
      <c r="AC159" s="141" t="str">
        <f>VLOOKUP(B159,TH.T4!B157:AC487,28,FALSE)</f>
        <v>NN</v>
      </c>
      <c r="AF159" s="487"/>
    </row>
    <row r="160" spans="1:42" s="372" customFormat="1" ht="30.75" customHeight="1">
      <c r="A160" s="379">
        <f>_xlfn.AGGREGATE(4,7,A$22:A159)+1</f>
        <v>138</v>
      </c>
      <c r="B160" s="363" t="s">
        <v>2006</v>
      </c>
      <c r="C160" s="364"/>
      <c r="D160" s="434"/>
      <c r="E160" s="515"/>
      <c r="F160" s="366">
        <v>1.9890000000000001</v>
      </c>
      <c r="G160" s="367"/>
      <c r="H160" s="368">
        <f t="shared" si="26"/>
        <v>1.9890000000000001</v>
      </c>
      <c r="I160" s="368"/>
      <c r="J160" s="81" t="str">
        <f>VLOOKUP(B160,TH.T5!B160:F489,5,FALSE)</f>
        <v>Giảng viên khoa Ngoại ngữ</v>
      </c>
      <c r="K160" s="369">
        <f t="shared" si="27"/>
        <v>1.9890000000000001</v>
      </c>
      <c r="L160" s="362">
        <f t="shared" si="28"/>
        <v>3580200</v>
      </c>
      <c r="M160" s="366" t="str">
        <f>VLOOKUP(B160,'[24]Gui chi Quynh'!$B$11:$E$400,4,FALSE)</f>
        <v>A3</v>
      </c>
      <c r="N160" s="494">
        <f t="shared" si="30"/>
        <v>4296240</v>
      </c>
      <c r="O160" s="366">
        <v>20</v>
      </c>
      <c r="P160" s="440">
        <f>IFERROR(INDEX('[17]CN BC'!$J$10:$J$276,MATCH(B160,'[17]CN BC'!$H$10:$H$276,0)),"")</f>
        <v>20</v>
      </c>
      <c r="Q160" s="494">
        <f t="shared" si="37"/>
        <v>4296240</v>
      </c>
      <c r="R160" s="460"/>
      <c r="S160" s="362">
        <f t="shared" si="29"/>
        <v>0</v>
      </c>
      <c r="T160" s="370"/>
      <c r="U160" s="362">
        <f t="shared" si="39"/>
        <v>0</v>
      </c>
      <c r="V160" s="362">
        <f t="shared" si="33"/>
        <v>35802</v>
      </c>
      <c r="W160" s="371">
        <f t="shared" si="38"/>
        <v>4296240</v>
      </c>
      <c r="X160" s="977">
        <f t="shared" si="35"/>
        <v>2.3868</v>
      </c>
      <c r="Y160" s="999">
        <v>1800000</v>
      </c>
      <c r="Z160" s="1000">
        <f t="shared" si="36"/>
        <v>4296240</v>
      </c>
      <c r="AA160" s="568">
        <f t="shared" si="34"/>
        <v>138</v>
      </c>
      <c r="AB160" s="493">
        <f>IFERROR(INDEX('[17]CN BC'!$M$10:$M$276,MATCH(B160,'[17]CN BC'!$H$10:$H$276,0)),"")</f>
        <v>0</v>
      </c>
      <c r="AC160" s="141" t="str">
        <f>VLOOKUP(B160,TH.T4!B158:AC488,28,FALSE)</f>
        <v>NN</v>
      </c>
      <c r="AF160" s="487"/>
    </row>
    <row r="161" spans="1:42" s="372" customFormat="1" ht="30" customHeight="1">
      <c r="A161" s="379">
        <f>_xlfn.AGGREGATE(4,7,A$22:A160)+1</f>
        <v>139</v>
      </c>
      <c r="B161" s="363" t="s">
        <v>1499</v>
      </c>
      <c r="C161" s="525" t="s">
        <v>365</v>
      </c>
      <c r="D161" s="434" t="s">
        <v>1725</v>
      </c>
      <c r="E161" s="423" t="s">
        <v>378</v>
      </c>
      <c r="F161" s="373">
        <v>3.99</v>
      </c>
      <c r="G161" s="526"/>
      <c r="H161" s="368">
        <f t="shared" si="26"/>
        <v>3.99</v>
      </c>
      <c r="I161" s="368">
        <v>0.35</v>
      </c>
      <c r="J161" s="81" t="str">
        <f>VLOOKUP(B161,TH.T5!B161:F490,5,FALSE)</f>
        <v>Phó Trưởng khoa LLCT</v>
      </c>
      <c r="K161" s="369">
        <f t="shared" si="27"/>
        <v>4.34</v>
      </c>
      <c r="L161" s="362">
        <f t="shared" si="28"/>
        <v>7812000</v>
      </c>
      <c r="M161" s="366" t="str">
        <f>VLOOKUP(B161,'[24]Gui chi Quynh'!$B$11:$E$400,4,FALSE)</f>
        <v>A4</v>
      </c>
      <c r="N161" s="494">
        <f t="shared" si="30"/>
        <v>7812000</v>
      </c>
      <c r="O161" s="366">
        <v>20</v>
      </c>
      <c r="P161" s="440">
        <f>IFERROR(INDEX('[17]CN BC'!$J$10:$J$276,MATCH(B161,'[17]CN BC'!$H$10:$H$276,0)),"")</f>
        <v>20</v>
      </c>
      <c r="Q161" s="494">
        <f t="shared" si="37"/>
        <v>7812000</v>
      </c>
      <c r="R161" s="460"/>
      <c r="S161" s="362">
        <f t="shared" si="29"/>
        <v>0</v>
      </c>
      <c r="T161" s="370"/>
      <c r="U161" s="362">
        <f t="shared" si="39"/>
        <v>0</v>
      </c>
      <c r="V161" s="584">
        <f t="shared" si="33"/>
        <v>78120</v>
      </c>
      <c r="W161" s="371">
        <f t="shared" si="38"/>
        <v>7812000</v>
      </c>
      <c r="X161" s="977">
        <f t="shared" si="35"/>
        <v>4.34</v>
      </c>
      <c r="Y161" s="999">
        <v>1800000</v>
      </c>
      <c r="Z161" s="1000">
        <f t="shared" si="36"/>
        <v>7812000</v>
      </c>
      <c r="AA161" s="568">
        <f t="shared" si="34"/>
        <v>139</v>
      </c>
      <c r="AB161" s="493">
        <f>IFERROR(INDEX('[17]CN BC'!$M$10:$M$276,MATCH(B161,'[17]CN BC'!$H$10:$H$276,0)),"")</f>
        <v>0</v>
      </c>
      <c r="AC161" s="141" t="str">
        <f>VLOOKUP(B161,TH.T4!B159:AC489,28,FALSE)</f>
        <v>LLCT</v>
      </c>
      <c r="AD161" s="108"/>
      <c r="AE161" s="108"/>
      <c r="AF161" s="487"/>
    </row>
    <row r="162" spans="1:42" s="108" customFormat="1" ht="28.5" customHeight="1">
      <c r="A162" s="379">
        <f>_xlfn.AGGREGATE(4,7,A$22:A161)+1</f>
        <v>140</v>
      </c>
      <c r="B162" s="33" t="s">
        <v>843</v>
      </c>
      <c r="C162" s="34" t="s">
        <v>865</v>
      </c>
      <c r="D162" s="406" t="s">
        <v>1726</v>
      </c>
      <c r="E162" s="424" t="s">
        <v>1316</v>
      </c>
      <c r="F162" s="83">
        <v>3.99</v>
      </c>
      <c r="G162" s="157"/>
      <c r="H162" s="368">
        <f t="shared" si="26"/>
        <v>3.99</v>
      </c>
      <c r="I162" s="81">
        <v>0.45</v>
      </c>
      <c r="J162" s="81" t="str">
        <f>VLOOKUP(B162,TH.T5!B162:F491,5,FALSE)</f>
        <v>Phó Trưởng khoa LLCT</v>
      </c>
      <c r="K162" s="369">
        <f t="shared" si="27"/>
        <v>4.4400000000000004</v>
      </c>
      <c r="L162" s="362">
        <f t="shared" si="28"/>
        <v>7992000.0000000009</v>
      </c>
      <c r="M162" s="366" t="str">
        <f>VLOOKUP(B162,'[24]Gui chi Quynh'!$B$11:$E$400,4,FALSE)</f>
        <v>A4</v>
      </c>
      <c r="N162" s="494">
        <f t="shared" si="30"/>
        <v>7992000.0000000009</v>
      </c>
      <c r="O162" s="366">
        <v>20</v>
      </c>
      <c r="P162" s="440">
        <f>IFERROR(INDEX('[17]CN BC'!$J$10:$J$276,MATCH(B162,'[17]CN BC'!$H$10:$H$276,0)),"")</f>
        <v>20</v>
      </c>
      <c r="Q162" s="494">
        <f t="shared" si="37"/>
        <v>7992000.0000000009</v>
      </c>
      <c r="R162" s="392"/>
      <c r="S162" s="362">
        <f t="shared" si="29"/>
        <v>0</v>
      </c>
      <c r="T162" s="385"/>
      <c r="U162" s="362">
        <f t="shared" si="39"/>
        <v>0</v>
      </c>
      <c r="V162" s="584">
        <f t="shared" si="33"/>
        <v>79920</v>
      </c>
      <c r="W162" s="371">
        <f t="shared" si="38"/>
        <v>7992000.0000000009</v>
      </c>
      <c r="X162" s="977">
        <f t="shared" si="35"/>
        <v>4.4400000000000004</v>
      </c>
      <c r="Y162" s="999">
        <v>1800000</v>
      </c>
      <c r="Z162" s="1000">
        <f t="shared" si="36"/>
        <v>7992000.0000000009</v>
      </c>
      <c r="AA162" s="568">
        <f t="shared" si="34"/>
        <v>140</v>
      </c>
      <c r="AB162" s="493">
        <f>IFERROR(INDEX('[17]CN BC'!$M$10:$M$276,MATCH(B162,'[17]CN BC'!$H$10:$H$276,0)),"")</f>
        <v>0</v>
      </c>
      <c r="AC162" s="141" t="str">
        <f>VLOOKUP(B162,TH.T4!B160:AC490,28,FALSE)</f>
        <v>LLCT</v>
      </c>
      <c r="AF162" s="155"/>
    </row>
    <row r="163" spans="1:42" s="372" customFormat="1" ht="28.5" customHeight="1">
      <c r="A163" s="379">
        <f>_xlfn.AGGREGATE(4,7,A$22:A162)+1</f>
        <v>141</v>
      </c>
      <c r="B163" s="363" t="s">
        <v>846</v>
      </c>
      <c r="C163" s="364" t="s">
        <v>920</v>
      </c>
      <c r="D163" s="406" t="s">
        <v>1727</v>
      </c>
      <c r="E163" s="423" t="s">
        <v>1317</v>
      </c>
      <c r="F163" s="373">
        <v>3.99</v>
      </c>
      <c r="G163" s="367"/>
      <c r="H163" s="368">
        <f t="shared" si="26"/>
        <v>3.99</v>
      </c>
      <c r="I163" s="368">
        <v>0.25</v>
      </c>
      <c r="J163" s="81" t="str">
        <f>VLOOKUP(B163,TH.T5!B163:F492,5,FALSE)</f>
        <v>Trưởng BM khoa LLCT</v>
      </c>
      <c r="K163" s="369">
        <f t="shared" si="27"/>
        <v>4.24</v>
      </c>
      <c r="L163" s="362">
        <f t="shared" si="28"/>
        <v>7632000</v>
      </c>
      <c r="M163" s="366" t="str">
        <f>VLOOKUP(B163,'[24]Gui chi Quynh'!$B$11:$E$400,4,FALSE)</f>
        <v>A4</v>
      </c>
      <c r="N163" s="494">
        <f t="shared" si="30"/>
        <v>7632000</v>
      </c>
      <c r="O163" s="366">
        <v>20</v>
      </c>
      <c r="P163" s="440">
        <f>IFERROR(INDEX('[17]CN BC'!$J$10:$J$276,MATCH(B163,'[17]CN BC'!$H$10:$H$276,0)),"")</f>
        <v>20</v>
      </c>
      <c r="Q163" s="494">
        <f t="shared" si="37"/>
        <v>7632000</v>
      </c>
      <c r="R163" s="392"/>
      <c r="S163" s="362">
        <f t="shared" si="29"/>
        <v>0</v>
      </c>
      <c r="T163" s="370"/>
      <c r="U163" s="362">
        <f t="shared" si="39"/>
        <v>0</v>
      </c>
      <c r="V163" s="584">
        <f t="shared" si="33"/>
        <v>76320</v>
      </c>
      <c r="W163" s="371">
        <f t="shared" si="38"/>
        <v>7632000</v>
      </c>
      <c r="X163" s="977">
        <f t="shared" si="35"/>
        <v>4.24</v>
      </c>
      <c r="Y163" s="999">
        <v>1800000</v>
      </c>
      <c r="Z163" s="1000">
        <f t="shared" si="36"/>
        <v>7632000</v>
      </c>
      <c r="AA163" s="568">
        <f t="shared" si="34"/>
        <v>141</v>
      </c>
      <c r="AB163" s="493">
        <f>IFERROR(INDEX('[17]CN BC'!$M$10:$M$276,MATCH(B163,'[17]CN BC'!$H$10:$H$276,0)),"")</f>
        <v>0</v>
      </c>
      <c r="AC163" s="141" t="str">
        <f>VLOOKUP(B163,TH.T4!B161:AC491,28,FALSE)</f>
        <v>LLCT</v>
      </c>
      <c r="AD163" s="108"/>
      <c r="AE163" s="108"/>
      <c r="AF163" s="155"/>
      <c r="AG163" s="108"/>
      <c r="AH163" s="108"/>
      <c r="AI163" s="108"/>
      <c r="AJ163" s="108"/>
      <c r="AK163" s="108"/>
      <c r="AL163" s="108"/>
      <c r="AM163" s="108"/>
      <c r="AN163" s="108"/>
      <c r="AO163" s="108"/>
      <c r="AP163" s="108"/>
    </row>
    <row r="164" spans="1:42" s="372" customFormat="1" ht="33" customHeight="1">
      <c r="A164" s="379">
        <f>_xlfn.AGGREGATE(4,7,A$22:A163)+1</f>
        <v>142</v>
      </c>
      <c r="B164" s="363" t="s">
        <v>1500</v>
      </c>
      <c r="C164" s="364" t="s">
        <v>277</v>
      </c>
      <c r="D164" s="434" t="s">
        <v>1728</v>
      </c>
      <c r="E164" s="423" t="s">
        <v>377</v>
      </c>
      <c r="F164" s="373">
        <v>3.99</v>
      </c>
      <c r="G164" s="367"/>
      <c r="H164" s="368">
        <f t="shared" si="26"/>
        <v>3.99</v>
      </c>
      <c r="I164" s="368"/>
      <c r="J164" s="81" t="str">
        <f>VLOOKUP(B164,TH.T5!B164:F493,5,FALSE)</f>
        <v>Giảng viên khoa LLCT</v>
      </c>
      <c r="K164" s="369">
        <f t="shared" si="27"/>
        <v>3.99</v>
      </c>
      <c r="L164" s="362">
        <f t="shared" si="28"/>
        <v>7182000</v>
      </c>
      <c r="M164" s="366" t="str">
        <f>VLOOKUP(B164,'[24]Gui chi Quynh'!$B$11:$E$400,4,FALSE)</f>
        <v>A4</v>
      </c>
      <c r="N164" s="494">
        <f t="shared" si="30"/>
        <v>7182000</v>
      </c>
      <c r="O164" s="366">
        <v>20</v>
      </c>
      <c r="P164" s="440">
        <f>IFERROR(INDEX('[17]CN BC'!$J$10:$J$276,MATCH(B164,'[17]CN BC'!$H$10:$H$276,0)),"")</f>
        <v>20</v>
      </c>
      <c r="Q164" s="494">
        <f t="shared" si="37"/>
        <v>7182000</v>
      </c>
      <c r="R164" s="460"/>
      <c r="S164" s="362">
        <f t="shared" si="29"/>
        <v>0</v>
      </c>
      <c r="T164" s="370"/>
      <c r="U164" s="362">
        <f t="shared" si="39"/>
        <v>0</v>
      </c>
      <c r="V164" s="584">
        <f t="shared" si="33"/>
        <v>71820</v>
      </c>
      <c r="W164" s="371">
        <f t="shared" si="38"/>
        <v>7182000</v>
      </c>
      <c r="X164" s="977">
        <f t="shared" si="35"/>
        <v>3.99</v>
      </c>
      <c r="Y164" s="999">
        <v>1800000</v>
      </c>
      <c r="Z164" s="1000">
        <f t="shared" si="36"/>
        <v>7182000</v>
      </c>
      <c r="AA164" s="568">
        <f t="shared" si="34"/>
        <v>142</v>
      </c>
      <c r="AB164" s="493">
        <f>IFERROR(INDEX('[17]CN BC'!$M$10:$M$276,MATCH(B164,'[17]CN BC'!$H$10:$H$276,0)),"")</f>
        <v>0</v>
      </c>
      <c r="AC164" s="141" t="str">
        <f>VLOOKUP(B164,TH.T4!B162:AC492,28,FALSE)</f>
        <v>LLCT</v>
      </c>
      <c r="AF164" s="487"/>
    </row>
    <row r="165" spans="1:42" s="372" customFormat="1" ht="30.75" customHeight="1">
      <c r="A165" s="379">
        <f>_xlfn.AGGREGATE(4,7,A$22:A164)+1</f>
        <v>143</v>
      </c>
      <c r="B165" s="363" t="s">
        <v>1877</v>
      </c>
      <c r="C165" s="364" t="s">
        <v>973</v>
      </c>
      <c r="D165" s="434" t="s">
        <v>1729</v>
      </c>
      <c r="E165" s="423" t="s">
        <v>1320</v>
      </c>
      <c r="F165" s="366">
        <v>4.6500000000000004</v>
      </c>
      <c r="G165" s="367"/>
      <c r="H165" s="368">
        <f t="shared" si="26"/>
        <v>4.6500000000000004</v>
      </c>
      <c r="I165" s="368"/>
      <c r="J165" s="81" t="str">
        <f>VLOOKUP(B165,TH.T5!B165:F494,5,FALSE)</f>
        <v>Giảng viên khoa LLCT</v>
      </c>
      <c r="K165" s="369">
        <f t="shared" si="27"/>
        <v>4.6500000000000004</v>
      </c>
      <c r="L165" s="362">
        <f t="shared" si="28"/>
        <v>8370000.0000000009</v>
      </c>
      <c r="M165" s="366" t="str">
        <f>VLOOKUP(B165,'[24]Gui chi Quynh'!$B$11:$E$400,4,FALSE)</f>
        <v>A4</v>
      </c>
      <c r="N165" s="494">
        <f t="shared" si="30"/>
        <v>8370000.0000000009</v>
      </c>
      <c r="O165" s="366">
        <v>20</v>
      </c>
      <c r="P165" s="440">
        <f>IFERROR(INDEX('[17]CN BC'!$J$10:$J$276,MATCH(B165,'[17]CN BC'!$H$10:$H$276,0)),"")</f>
        <v>20</v>
      </c>
      <c r="Q165" s="494">
        <f t="shared" si="37"/>
        <v>8370000.0000000009</v>
      </c>
      <c r="R165" s="460"/>
      <c r="S165" s="362">
        <f t="shared" si="29"/>
        <v>0</v>
      </c>
      <c r="T165" s="370"/>
      <c r="U165" s="362">
        <f t="shared" si="39"/>
        <v>0</v>
      </c>
      <c r="V165" s="584">
        <f t="shared" si="33"/>
        <v>83700</v>
      </c>
      <c r="W165" s="371">
        <f t="shared" si="38"/>
        <v>8370000.0000000009</v>
      </c>
      <c r="X165" s="977">
        <f t="shared" si="35"/>
        <v>4.6500000000000004</v>
      </c>
      <c r="Y165" s="999">
        <v>1800000</v>
      </c>
      <c r="Z165" s="1000">
        <f t="shared" si="36"/>
        <v>8370000.0000000009</v>
      </c>
      <c r="AA165" s="568">
        <f t="shared" si="34"/>
        <v>143</v>
      </c>
      <c r="AB165" s="493">
        <f>IFERROR(INDEX('[17]CN BC'!$M$10:$M$276,MATCH(B165,'[17]CN BC'!$H$10:$H$276,0)),"")</f>
        <v>0</v>
      </c>
      <c r="AC165" s="141" t="str">
        <f>VLOOKUP(B165,TH.T4!B163:AC493,28,FALSE)</f>
        <v>LLCT</v>
      </c>
      <c r="AF165" s="487"/>
    </row>
    <row r="166" spans="1:42" s="372" customFormat="1" ht="28.5" customHeight="1">
      <c r="A166" s="379">
        <f>_xlfn.AGGREGATE(4,7,A$22:A165)+1</f>
        <v>144</v>
      </c>
      <c r="B166" s="363" t="s">
        <v>1501</v>
      </c>
      <c r="C166" s="364" t="s">
        <v>313</v>
      </c>
      <c r="D166" s="434" t="s">
        <v>1730</v>
      </c>
      <c r="E166" s="422" t="s">
        <v>314</v>
      </c>
      <c r="F166" s="373">
        <v>3.66</v>
      </c>
      <c r="G166" s="367"/>
      <c r="H166" s="368">
        <f t="shared" si="26"/>
        <v>3.66</v>
      </c>
      <c r="I166" s="368"/>
      <c r="J166" s="81" t="str">
        <f>VLOOKUP(B166,TH.T5!B166:F495,5,FALSE)</f>
        <v>Giảng viên khoa LLCT</v>
      </c>
      <c r="K166" s="369">
        <f t="shared" si="27"/>
        <v>3.66</v>
      </c>
      <c r="L166" s="362">
        <f t="shared" si="28"/>
        <v>6588000</v>
      </c>
      <c r="M166" s="366" t="str">
        <f>VLOOKUP(B166,'[24]Gui chi Quynh'!$B$11:$E$400,4,FALSE)</f>
        <v>A4</v>
      </c>
      <c r="N166" s="494">
        <f t="shared" si="30"/>
        <v>6588000</v>
      </c>
      <c r="O166" s="366">
        <v>20</v>
      </c>
      <c r="P166" s="440">
        <f>IFERROR(INDEX('[17]CN BC'!$J$10:$J$276,MATCH(B166,'[17]CN BC'!$H$10:$H$276,0)),"")</f>
        <v>20</v>
      </c>
      <c r="Q166" s="494">
        <f t="shared" si="37"/>
        <v>6588000</v>
      </c>
      <c r="R166" s="460"/>
      <c r="S166" s="362">
        <f t="shared" si="29"/>
        <v>0</v>
      </c>
      <c r="T166" s="370"/>
      <c r="U166" s="362">
        <f t="shared" si="39"/>
        <v>0</v>
      </c>
      <c r="V166" s="584">
        <f t="shared" si="33"/>
        <v>65880</v>
      </c>
      <c r="W166" s="371">
        <f t="shared" si="38"/>
        <v>6588000</v>
      </c>
      <c r="X166" s="977">
        <f t="shared" si="35"/>
        <v>3.66</v>
      </c>
      <c r="Y166" s="999">
        <v>1800000</v>
      </c>
      <c r="Z166" s="1000">
        <f t="shared" si="36"/>
        <v>6588000</v>
      </c>
      <c r="AA166" s="568">
        <f t="shared" si="34"/>
        <v>144</v>
      </c>
      <c r="AB166" s="493">
        <f>IFERROR(INDEX('[17]CN BC'!$M$10:$M$276,MATCH(B166,'[17]CN BC'!$H$10:$H$276,0)),"")</f>
        <v>0</v>
      </c>
      <c r="AC166" s="141" t="str">
        <f>VLOOKUP(B166,TH.T4!B164:AC494,28,FALSE)</f>
        <v>LLCT</v>
      </c>
      <c r="AD166" s="108"/>
      <c r="AE166" s="108"/>
      <c r="AF166" s="155"/>
      <c r="AG166" s="108"/>
      <c r="AH166" s="108"/>
      <c r="AI166" s="108"/>
      <c r="AJ166" s="108"/>
      <c r="AK166" s="108"/>
      <c r="AL166" s="108"/>
    </row>
    <row r="167" spans="1:42" s="372" customFormat="1" ht="28.5" customHeight="1">
      <c r="A167" s="379">
        <f>_xlfn.AGGREGATE(4,7,A$22:A166)+1</f>
        <v>145</v>
      </c>
      <c r="B167" s="363" t="s">
        <v>1878</v>
      </c>
      <c r="C167" s="364" t="s">
        <v>970</v>
      </c>
      <c r="D167" s="434" t="s">
        <v>1731</v>
      </c>
      <c r="E167" s="423" t="s">
        <v>1314</v>
      </c>
      <c r="F167" s="366">
        <v>4.32</v>
      </c>
      <c r="G167" s="367"/>
      <c r="H167" s="368">
        <f t="shared" si="26"/>
        <v>4.32</v>
      </c>
      <c r="I167" s="368"/>
      <c r="J167" s="81" t="str">
        <f>VLOOKUP(B167,TH.T5!B167:F496,5,FALSE)</f>
        <v>Giảng viên khoa LLCT</v>
      </c>
      <c r="K167" s="369">
        <f t="shared" si="27"/>
        <v>4.32</v>
      </c>
      <c r="L167" s="362">
        <f t="shared" si="28"/>
        <v>7776000.0000000009</v>
      </c>
      <c r="M167" s="366" t="str">
        <f>VLOOKUP(B167,'[24]Gui chi Quynh'!$B$11:$E$400,4,FALSE)</f>
        <v>A4</v>
      </c>
      <c r="N167" s="494">
        <f t="shared" si="30"/>
        <v>7776000.0000000009</v>
      </c>
      <c r="O167" s="366">
        <v>20</v>
      </c>
      <c r="P167" s="440">
        <f>IFERROR(INDEX('[17]CN BC'!$J$10:$J$276,MATCH(B167,'[17]CN BC'!$H$10:$H$276,0)),"")</f>
        <v>20</v>
      </c>
      <c r="Q167" s="494">
        <f t="shared" si="37"/>
        <v>7776000.0000000009</v>
      </c>
      <c r="R167" s="460"/>
      <c r="S167" s="362">
        <f t="shared" si="29"/>
        <v>0</v>
      </c>
      <c r="T167" s="370"/>
      <c r="U167" s="362">
        <f t="shared" si="39"/>
        <v>0</v>
      </c>
      <c r="V167" s="584">
        <f t="shared" si="33"/>
        <v>77760</v>
      </c>
      <c r="W167" s="371">
        <f t="shared" si="38"/>
        <v>7776000.0000000009</v>
      </c>
      <c r="X167" s="977">
        <f t="shared" si="35"/>
        <v>4.32</v>
      </c>
      <c r="Y167" s="999">
        <v>1800000</v>
      </c>
      <c r="Z167" s="1000">
        <f t="shared" si="36"/>
        <v>7776000.0000000009</v>
      </c>
      <c r="AA167" s="568">
        <f t="shared" si="34"/>
        <v>145</v>
      </c>
      <c r="AB167" s="493">
        <f>IFERROR(INDEX('[17]CN BC'!$M$10:$M$276,MATCH(B167,'[17]CN BC'!$H$10:$H$276,0)),"")</f>
        <v>0</v>
      </c>
      <c r="AC167" s="141" t="str">
        <f>VLOOKUP(B167,TH.T4!B165:AC495,28,FALSE)</f>
        <v>LLCT</v>
      </c>
      <c r="AD167" s="108"/>
      <c r="AE167" s="108"/>
      <c r="AF167" s="155"/>
      <c r="AG167" s="108"/>
      <c r="AH167" s="108"/>
      <c r="AI167" s="108"/>
      <c r="AJ167" s="108"/>
      <c r="AK167" s="108"/>
      <c r="AL167" s="108"/>
    </row>
    <row r="168" spans="1:42" s="372" customFormat="1" ht="28.5" customHeight="1">
      <c r="A168" s="379">
        <f>_xlfn.AGGREGATE(4,7,A$22:A167)+1</f>
        <v>146</v>
      </c>
      <c r="B168" s="363" t="s">
        <v>1879</v>
      </c>
      <c r="C168" s="364" t="s">
        <v>927</v>
      </c>
      <c r="D168" s="434" t="s">
        <v>1732</v>
      </c>
      <c r="E168" s="423" t="s">
        <v>1315</v>
      </c>
      <c r="F168" s="373">
        <v>4.32</v>
      </c>
      <c r="G168" s="367"/>
      <c r="H168" s="368">
        <f t="shared" si="26"/>
        <v>4.32</v>
      </c>
      <c r="I168" s="368"/>
      <c r="J168" s="81" t="str">
        <f>VLOOKUP(B168,TH.T5!B168:F497,5,FALSE)</f>
        <v>Giảng viên khoa LLCT</v>
      </c>
      <c r="K168" s="369">
        <f t="shared" si="27"/>
        <v>4.32</v>
      </c>
      <c r="L168" s="362">
        <f t="shared" si="28"/>
        <v>7776000.0000000009</v>
      </c>
      <c r="M168" s="366" t="str">
        <f>VLOOKUP(B168,'[24]Gui chi Quynh'!$B$11:$E$400,4,FALSE)</f>
        <v>A3</v>
      </c>
      <c r="N168" s="494">
        <f t="shared" si="30"/>
        <v>9331200</v>
      </c>
      <c r="O168" s="366">
        <v>20</v>
      </c>
      <c r="P168" s="440">
        <f>IFERROR(INDEX('[17]CN BC'!$J$10:$J$276,MATCH(B168,'[17]CN BC'!$H$10:$H$276,0)),"")</f>
        <v>20</v>
      </c>
      <c r="Q168" s="494">
        <f t="shared" si="37"/>
        <v>9331200</v>
      </c>
      <c r="R168" s="460"/>
      <c r="S168" s="362">
        <f t="shared" si="29"/>
        <v>0</v>
      </c>
      <c r="T168" s="370"/>
      <c r="U168" s="362">
        <f t="shared" si="39"/>
        <v>0</v>
      </c>
      <c r="V168" s="584">
        <f t="shared" si="33"/>
        <v>77760</v>
      </c>
      <c r="W168" s="371">
        <f t="shared" si="38"/>
        <v>9331200</v>
      </c>
      <c r="X168" s="977">
        <f t="shared" si="35"/>
        <v>5.1840000000000002</v>
      </c>
      <c r="Y168" s="999">
        <v>1800000</v>
      </c>
      <c r="Z168" s="1000">
        <f t="shared" si="36"/>
        <v>9331200</v>
      </c>
      <c r="AA168" s="568">
        <f t="shared" si="34"/>
        <v>146</v>
      </c>
      <c r="AB168" s="493">
        <f>IFERROR(INDEX('[17]CN BC'!$M$10:$M$276,MATCH(B168,'[17]CN BC'!$H$10:$H$276,0)),"")</f>
        <v>0</v>
      </c>
      <c r="AC168" s="141" t="str">
        <f>VLOOKUP(B168,TH.T4!B166:AC496,28,FALSE)</f>
        <v>LLCT</v>
      </c>
      <c r="AD168" s="108"/>
      <c r="AE168" s="108"/>
      <c r="AF168" s="155"/>
      <c r="AG168" s="108"/>
      <c r="AH168" s="108"/>
      <c r="AI168" s="108"/>
      <c r="AJ168" s="108"/>
      <c r="AK168" s="108"/>
      <c r="AL168" s="108"/>
    </row>
    <row r="169" spans="1:42" s="372" customFormat="1" ht="28.5" customHeight="1">
      <c r="A169" s="379">
        <f>_xlfn.AGGREGATE(4,7,A$22:A168)+1</f>
        <v>147</v>
      </c>
      <c r="B169" s="363" t="s">
        <v>1502</v>
      </c>
      <c r="C169" s="364" t="s">
        <v>1205</v>
      </c>
      <c r="D169" s="434" t="s">
        <v>1733</v>
      </c>
      <c r="E169" s="423" t="s">
        <v>1318</v>
      </c>
      <c r="F169" s="373">
        <v>3.66</v>
      </c>
      <c r="G169" s="367"/>
      <c r="H169" s="368">
        <f t="shared" si="26"/>
        <v>3.66</v>
      </c>
      <c r="I169" s="368"/>
      <c r="J169" s="81" t="str">
        <f>VLOOKUP(B169,TH.T5!B169:F498,5,FALSE)</f>
        <v>Trưởng BM khoa LLCT</v>
      </c>
      <c r="K169" s="369">
        <f t="shared" si="27"/>
        <v>3.66</v>
      </c>
      <c r="L169" s="362">
        <f t="shared" si="28"/>
        <v>6588000</v>
      </c>
      <c r="M169" s="366" t="str">
        <f>VLOOKUP(B169,'[24]Gui chi Quynh'!$B$11:$E$400,4,FALSE)</f>
        <v>A4</v>
      </c>
      <c r="N169" s="494">
        <f t="shared" si="30"/>
        <v>6588000</v>
      </c>
      <c r="O169" s="366">
        <v>20</v>
      </c>
      <c r="P169" s="440">
        <f>IFERROR(INDEX('[17]CN BC'!$J$10:$J$276,MATCH(B169,'[17]CN BC'!$H$10:$H$276,0)),"")</f>
        <v>20</v>
      </c>
      <c r="Q169" s="494">
        <f t="shared" si="37"/>
        <v>6588000</v>
      </c>
      <c r="R169" s="460"/>
      <c r="S169" s="362">
        <f t="shared" si="29"/>
        <v>0</v>
      </c>
      <c r="T169" s="370"/>
      <c r="U169" s="362">
        <f t="shared" si="39"/>
        <v>0</v>
      </c>
      <c r="V169" s="584">
        <f t="shared" si="33"/>
        <v>65880</v>
      </c>
      <c r="W169" s="371">
        <f t="shared" si="38"/>
        <v>6588000</v>
      </c>
      <c r="X169" s="977">
        <f t="shared" si="35"/>
        <v>3.66</v>
      </c>
      <c r="Y169" s="999">
        <v>1800000</v>
      </c>
      <c r="Z169" s="1000">
        <f t="shared" si="36"/>
        <v>6588000</v>
      </c>
      <c r="AA169" s="568">
        <f t="shared" si="34"/>
        <v>147</v>
      </c>
      <c r="AB169" s="493">
        <f>IFERROR(INDEX('[17]CN BC'!$M$10:$M$276,MATCH(B169,'[17]CN BC'!$H$10:$H$276,0)),"")</f>
        <v>0</v>
      </c>
      <c r="AC169" s="141" t="str">
        <f>VLOOKUP(B169,TH.T4!B167:AC497,28,FALSE)</f>
        <v>LLCT</v>
      </c>
      <c r="AD169" s="108"/>
      <c r="AE169" s="108"/>
      <c r="AF169" s="155"/>
      <c r="AG169" s="108"/>
      <c r="AH169" s="108"/>
      <c r="AI169" s="108"/>
      <c r="AJ169" s="108"/>
      <c r="AK169" s="108"/>
      <c r="AL169" s="108"/>
    </row>
    <row r="170" spans="1:42" s="372" customFormat="1" ht="28.5" customHeight="1">
      <c r="A170" s="379">
        <f>_xlfn.AGGREGATE(4,7,A$22:A169)+1</f>
        <v>148</v>
      </c>
      <c r="B170" s="563" t="s">
        <v>1880</v>
      </c>
      <c r="C170" s="552" t="s">
        <v>1178</v>
      </c>
      <c r="D170" s="564" t="s">
        <v>1734</v>
      </c>
      <c r="E170" s="567" t="s">
        <v>375</v>
      </c>
      <c r="F170" s="566">
        <v>3.66</v>
      </c>
      <c r="G170" s="553"/>
      <c r="H170" s="554">
        <f t="shared" si="26"/>
        <v>3.66</v>
      </c>
      <c r="I170" s="554"/>
      <c r="J170" s="81" t="str">
        <f>VLOOKUP(B170,TH.T5!B170:F499,5,FALSE)</f>
        <v>Giảng viên khoa LLCT</v>
      </c>
      <c r="K170" s="555">
        <f t="shared" si="27"/>
        <v>3.66</v>
      </c>
      <c r="L170" s="556">
        <f t="shared" si="28"/>
        <v>6588000</v>
      </c>
      <c r="M170" s="366" t="str">
        <f>VLOOKUP(B170,'[24]Gui chi Quynh'!$B$11:$E$400,4,FALSE)</f>
        <v>A4</v>
      </c>
      <c r="N170" s="558">
        <f t="shared" si="30"/>
        <v>6588000</v>
      </c>
      <c r="O170" s="366">
        <v>20</v>
      </c>
      <c r="P170" s="440">
        <f>IFERROR(INDEX('[17]CN BC'!$J$10:$J$276,MATCH(B170,'[17]CN BC'!$H$10:$H$276,0)),"")</f>
        <v>13</v>
      </c>
      <c r="Q170" s="558">
        <f t="shared" si="37"/>
        <v>4282200</v>
      </c>
      <c r="R170" s="560"/>
      <c r="S170" s="556">
        <f t="shared" si="29"/>
        <v>0</v>
      </c>
      <c r="T170" s="561"/>
      <c r="U170" s="556">
        <f t="shared" si="39"/>
        <v>0</v>
      </c>
      <c r="V170" s="556">
        <v>0</v>
      </c>
      <c r="W170" s="656">
        <f t="shared" si="38"/>
        <v>4282200</v>
      </c>
      <c r="X170" s="977">
        <f t="shared" si="35"/>
        <v>2.379</v>
      </c>
      <c r="Y170" s="999">
        <v>1800000</v>
      </c>
      <c r="Z170" s="1000">
        <f t="shared" si="36"/>
        <v>4282200</v>
      </c>
      <c r="AA170" s="568">
        <f t="shared" si="34"/>
        <v>148</v>
      </c>
      <c r="AB170" s="493" t="str">
        <f>IFERROR(INDEX('[17]CN BC'!$M$10:$M$276,MATCH(B170,'[17]CN BC'!$H$10:$H$276,0)),"")</f>
        <v>Hết thời gian nghỉ thai sản, đi làm lại từ ngày 12/06/2024</v>
      </c>
      <c r="AC170" s="141" t="str">
        <f>VLOOKUP(B170,TH.T4!B168:AC498,28,FALSE)</f>
        <v>LLCT</v>
      </c>
      <c r="AD170" s="108"/>
      <c r="AE170" s="108"/>
      <c r="AF170" s="155"/>
      <c r="AG170" s="108"/>
      <c r="AH170" s="108"/>
      <c r="AI170" s="108"/>
      <c r="AJ170" s="108"/>
      <c r="AK170" s="108"/>
      <c r="AL170" s="108"/>
    </row>
    <row r="171" spans="1:42" s="372" customFormat="1" ht="28.5" customHeight="1">
      <c r="A171" s="379">
        <f>_xlfn.AGGREGATE(4,7,A$22:A170)+1</f>
        <v>149</v>
      </c>
      <c r="B171" s="363" t="s">
        <v>1503</v>
      </c>
      <c r="C171" s="364" t="s">
        <v>276</v>
      </c>
      <c r="D171" s="434" t="s">
        <v>1735</v>
      </c>
      <c r="E171" s="423" t="s">
        <v>376</v>
      </c>
      <c r="F171" s="373">
        <v>3.66</v>
      </c>
      <c r="G171" s="367"/>
      <c r="H171" s="368">
        <f t="shared" si="26"/>
        <v>3.66</v>
      </c>
      <c r="I171" s="368"/>
      <c r="J171" s="81" t="str">
        <f>VLOOKUP(B171,TH.T5!B171:F500,5,FALSE)</f>
        <v>Giảng viên khoa LLCT</v>
      </c>
      <c r="K171" s="369">
        <f t="shared" si="27"/>
        <v>3.66</v>
      </c>
      <c r="L171" s="362">
        <f t="shared" si="28"/>
        <v>6588000</v>
      </c>
      <c r="M171" s="366" t="str">
        <f>VLOOKUP(B171,'[24]Gui chi Quynh'!$B$11:$E$400,4,FALSE)</f>
        <v>A3</v>
      </c>
      <c r="N171" s="494">
        <f t="shared" si="30"/>
        <v>7905600</v>
      </c>
      <c r="O171" s="366">
        <v>20</v>
      </c>
      <c r="P171" s="440">
        <f>IFERROR(INDEX('[17]CN BC'!$J$10:$J$276,MATCH(B171,'[17]CN BC'!$H$10:$H$276,0)),"")</f>
        <v>20</v>
      </c>
      <c r="Q171" s="494">
        <f t="shared" si="37"/>
        <v>7905600</v>
      </c>
      <c r="R171" s="460"/>
      <c r="S171" s="362">
        <f t="shared" si="29"/>
        <v>0</v>
      </c>
      <c r="T171" s="370"/>
      <c r="U171" s="362">
        <f t="shared" si="39"/>
        <v>0</v>
      </c>
      <c r="V171" s="584">
        <f t="shared" si="33"/>
        <v>65880</v>
      </c>
      <c r="W171" s="371">
        <f t="shared" si="38"/>
        <v>7905600</v>
      </c>
      <c r="X171" s="977">
        <f t="shared" si="35"/>
        <v>4.3920000000000003</v>
      </c>
      <c r="Y171" s="999">
        <v>1800000</v>
      </c>
      <c r="Z171" s="1000">
        <f t="shared" si="36"/>
        <v>7905600.0000000009</v>
      </c>
      <c r="AA171" s="568">
        <f t="shared" si="34"/>
        <v>149</v>
      </c>
      <c r="AB171" s="493">
        <f>IFERROR(INDEX('[17]CN BC'!$M$10:$M$276,MATCH(B171,'[17]CN BC'!$H$10:$H$276,0)),"")</f>
        <v>0</v>
      </c>
      <c r="AC171" s="141" t="str">
        <f>VLOOKUP(B171,TH.T4!B169:AC499,28,FALSE)</f>
        <v>LLCT</v>
      </c>
      <c r="AD171" s="108"/>
      <c r="AE171" s="108"/>
      <c r="AF171" s="155"/>
      <c r="AG171" s="108"/>
      <c r="AH171" s="108"/>
      <c r="AI171" s="108"/>
      <c r="AJ171" s="108"/>
      <c r="AK171" s="108"/>
      <c r="AL171" s="108"/>
    </row>
    <row r="172" spans="1:42" s="372" customFormat="1" ht="26.25" customHeight="1">
      <c r="A172" s="379">
        <f>_xlfn.AGGREGATE(4,7,A$22:A171)+1</f>
        <v>150</v>
      </c>
      <c r="B172" s="363" t="s">
        <v>1504</v>
      </c>
      <c r="C172" s="364" t="s">
        <v>1041</v>
      </c>
      <c r="D172" s="434" t="s">
        <v>1736</v>
      </c>
      <c r="E172" s="434" t="s">
        <v>503</v>
      </c>
      <c r="F172" s="373">
        <v>4.32</v>
      </c>
      <c r="G172" s="367"/>
      <c r="H172" s="368">
        <f t="shared" si="26"/>
        <v>4.32</v>
      </c>
      <c r="I172" s="368"/>
      <c r="J172" s="81" t="str">
        <f>VLOOKUP(B172,TH.T5!B172:F501,5,FALSE)</f>
        <v>Giảng viên khoa LLCT</v>
      </c>
      <c r="K172" s="369">
        <f t="shared" si="27"/>
        <v>4.32</v>
      </c>
      <c r="L172" s="362">
        <f t="shared" si="28"/>
        <v>7776000.0000000009</v>
      </c>
      <c r="M172" s="366" t="str">
        <f>VLOOKUP(B172,'[24]Gui chi Quynh'!$B$11:$E$400,4,FALSE)</f>
        <v>A4</v>
      </c>
      <c r="N172" s="494">
        <f t="shared" si="30"/>
        <v>7776000.0000000009</v>
      </c>
      <c r="O172" s="366">
        <v>20</v>
      </c>
      <c r="P172" s="440">
        <f>IFERROR(INDEX('[17]CN BC'!$J$10:$J$276,MATCH(B172,'[17]CN BC'!$H$10:$H$276,0)),"")</f>
        <v>20</v>
      </c>
      <c r="Q172" s="494">
        <f t="shared" si="37"/>
        <v>7776000.0000000009</v>
      </c>
      <c r="R172" s="460"/>
      <c r="S172" s="362">
        <f t="shared" si="29"/>
        <v>0</v>
      </c>
      <c r="T172" s="370"/>
      <c r="U172" s="362">
        <f t="shared" si="39"/>
        <v>0</v>
      </c>
      <c r="V172" s="584">
        <f t="shared" si="33"/>
        <v>77760</v>
      </c>
      <c r="W172" s="371">
        <f t="shared" si="38"/>
        <v>7776000.0000000009</v>
      </c>
      <c r="X172" s="977">
        <f t="shared" si="35"/>
        <v>4.32</v>
      </c>
      <c r="Y172" s="999">
        <v>1800000</v>
      </c>
      <c r="Z172" s="1000">
        <f t="shared" si="36"/>
        <v>7776000.0000000009</v>
      </c>
      <c r="AA172" s="568">
        <f t="shared" si="34"/>
        <v>150</v>
      </c>
      <c r="AB172" s="493">
        <f>IFERROR(INDEX('[17]CN BC'!$M$10:$M$276,MATCH(B172,'[17]CN BC'!$H$10:$H$276,0)),"")</f>
        <v>0</v>
      </c>
      <c r="AC172" s="141" t="str">
        <f>VLOOKUP(B172,TH.T4!B170:AC500,28,FALSE)</f>
        <v>LLCT</v>
      </c>
      <c r="AD172" s="108"/>
      <c r="AE172" s="108"/>
      <c r="AF172" s="155"/>
      <c r="AG172" s="108"/>
      <c r="AH172" s="108"/>
      <c r="AI172" s="108"/>
      <c r="AJ172" s="108"/>
      <c r="AK172" s="108"/>
      <c r="AL172" s="108"/>
    </row>
    <row r="173" spans="1:42" s="372" customFormat="1" ht="27" customHeight="1">
      <c r="A173" s="379">
        <f>_xlfn.AGGREGATE(4,7,A$22:A172)+1</f>
        <v>151</v>
      </c>
      <c r="B173" s="363" t="s">
        <v>1505</v>
      </c>
      <c r="C173" s="364" t="s">
        <v>920</v>
      </c>
      <c r="D173" s="434" t="s">
        <v>1737</v>
      </c>
      <c r="E173" s="422" t="s">
        <v>1592</v>
      </c>
      <c r="F173" s="373">
        <v>3.33</v>
      </c>
      <c r="G173" s="367"/>
      <c r="H173" s="445">
        <f t="shared" si="26"/>
        <v>3.33</v>
      </c>
      <c r="I173" s="368"/>
      <c r="J173" s="81" t="str">
        <f>VLOOKUP(B173,TH.T5!B173:F502,5,FALSE)</f>
        <v>Giảng viên khoa LLCT</v>
      </c>
      <c r="K173" s="369">
        <f t="shared" si="27"/>
        <v>3.33</v>
      </c>
      <c r="L173" s="362">
        <f t="shared" si="28"/>
        <v>5994000</v>
      </c>
      <c r="M173" s="366" t="str">
        <f>VLOOKUP(B173,'[24]Gui chi Quynh'!$B$11:$E$400,4,FALSE)</f>
        <v>A4</v>
      </c>
      <c r="N173" s="494">
        <f t="shared" si="30"/>
        <v>5994000</v>
      </c>
      <c r="O173" s="366">
        <v>20</v>
      </c>
      <c r="P173" s="440">
        <f>IFERROR(INDEX('[17]CN BC'!$J$10:$J$276,MATCH(B173,'[17]CN BC'!$H$10:$H$276,0)),"")</f>
        <v>20</v>
      </c>
      <c r="Q173" s="494">
        <f t="shared" si="37"/>
        <v>5994000</v>
      </c>
      <c r="R173" s="460"/>
      <c r="S173" s="362">
        <f t="shared" si="29"/>
        <v>0</v>
      </c>
      <c r="T173" s="370"/>
      <c r="U173" s="362">
        <f t="shared" si="39"/>
        <v>0</v>
      </c>
      <c r="V173" s="584">
        <f t="shared" si="33"/>
        <v>59940</v>
      </c>
      <c r="W173" s="371">
        <f t="shared" si="38"/>
        <v>5994000</v>
      </c>
      <c r="X173" s="977">
        <f t="shared" si="35"/>
        <v>3.33</v>
      </c>
      <c r="Y173" s="999">
        <v>1800000</v>
      </c>
      <c r="Z173" s="1000">
        <f t="shared" si="36"/>
        <v>5994000</v>
      </c>
      <c r="AA173" s="568">
        <f t="shared" si="34"/>
        <v>151</v>
      </c>
      <c r="AB173" s="493">
        <f>IFERROR(INDEX('[17]CN BC'!$M$10:$M$276,MATCH(B173,'[17]CN BC'!$H$10:$H$276,0)),"")</f>
        <v>0</v>
      </c>
      <c r="AC173" s="141" t="str">
        <f>VLOOKUP(B173,TH.T4!B171:AC501,28,FALSE)</f>
        <v>LLCT</v>
      </c>
      <c r="AD173" s="108"/>
      <c r="AE173" s="108"/>
      <c r="AF173" s="155"/>
      <c r="AG173" s="108"/>
      <c r="AH173" s="108"/>
      <c r="AI173" s="108"/>
      <c r="AJ173" s="108"/>
      <c r="AK173" s="108"/>
      <c r="AL173" s="108"/>
    </row>
    <row r="174" spans="1:42" s="372" customFormat="1" ht="28.15" customHeight="1">
      <c r="A174" s="379">
        <f>_xlfn.AGGREGATE(4,7,A$22:A173)+1</f>
        <v>152</v>
      </c>
      <c r="B174" s="363" t="s">
        <v>1881</v>
      </c>
      <c r="C174" s="364" t="s">
        <v>891</v>
      </c>
      <c r="D174" s="434" t="s">
        <v>1738</v>
      </c>
      <c r="E174" s="423" t="s">
        <v>379</v>
      </c>
      <c r="F174" s="373">
        <v>3.66</v>
      </c>
      <c r="G174" s="367"/>
      <c r="H174" s="368">
        <f t="shared" si="26"/>
        <v>3.66</v>
      </c>
      <c r="I174" s="368"/>
      <c r="J174" s="81" t="str">
        <f>VLOOKUP(B174,TH.T5!B174:F503,5,FALSE)</f>
        <v>Giảng viên khoa LLCT</v>
      </c>
      <c r="K174" s="369">
        <f t="shared" si="27"/>
        <v>3.66</v>
      </c>
      <c r="L174" s="362">
        <f t="shared" si="28"/>
        <v>6588000</v>
      </c>
      <c r="M174" s="366" t="str">
        <f>VLOOKUP(B174,'[24]Gui chi Quynh'!$B$11:$E$400,4,FALSE)</f>
        <v>A4</v>
      </c>
      <c r="N174" s="494">
        <f t="shared" si="30"/>
        <v>6588000</v>
      </c>
      <c r="O174" s="366">
        <v>20</v>
      </c>
      <c r="P174" s="440">
        <f>IFERROR(INDEX('[17]CN BC'!$J$10:$J$276,MATCH(B174,'[17]CN BC'!$H$10:$H$276,0)),"")</f>
        <v>20</v>
      </c>
      <c r="Q174" s="494">
        <f t="shared" si="37"/>
        <v>6588000</v>
      </c>
      <c r="R174" s="460">
        <v>0</v>
      </c>
      <c r="S174" s="362">
        <f t="shared" si="29"/>
        <v>0</v>
      </c>
      <c r="T174" s="370"/>
      <c r="U174" s="362">
        <f t="shared" si="39"/>
        <v>0</v>
      </c>
      <c r="V174" s="584">
        <f t="shared" si="33"/>
        <v>65880</v>
      </c>
      <c r="W174" s="371">
        <f t="shared" si="38"/>
        <v>6588000</v>
      </c>
      <c r="X174" s="977">
        <f t="shared" si="35"/>
        <v>3.66</v>
      </c>
      <c r="Y174" s="999">
        <v>1800000</v>
      </c>
      <c r="Z174" s="1000">
        <f t="shared" si="36"/>
        <v>6588000</v>
      </c>
      <c r="AA174" s="568">
        <f t="shared" si="34"/>
        <v>152</v>
      </c>
      <c r="AB174" s="493">
        <f>IFERROR(INDEX('[17]CN BC'!$M$10:$M$276,MATCH(B174,'[17]CN BC'!$H$10:$H$276,0)),"")</f>
        <v>0</v>
      </c>
      <c r="AC174" s="141" t="str">
        <f>VLOOKUP(B174,TH.T4!B172:AC502,28,FALSE)</f>
        <v>LLCT</v>
      </c>
      <c r="AD174" s="108"/>
      <c r="AE174" s="108"/>
      <c r="AF174" s="155"/>
      <c r="AG174" s="108"/>
      <c r="AH174" s="108"/>
      <c r="AI174" s="108"/>
      <c r="AJ174" s="108"/>
      <c r="AK174" s="108"/>
      <c r="AL174" s="108"/>
    </row>
    <row r="175" spans="1:42" s="372" customFormat="1" ht="27.75" customHeight="1">
      <c r="A175" s="379">
        <f>_xlfn.AGGREGATE(4,7,A$22:A174)+1</f>
        <v>153</v>
      </c>
      <c r="B175" s="390" t="s">
        <v>1506</v>
      </c>
      <c r="C175" s="490" t="s">
        <v>1426</v>
      </c>
      <c r="D175" s="434" t="s">
        <v>1739</v>
      </c>
      <c r="E175" s="422" t="s">
        <v>1427</v>
      </c>
      <c r="F175" s="373">
        <v>3.33</v>
      </c>
      <c r="G175" s="367"/>
      <c r="H175" s="445">
        <f t="shared" si="26"/>
        <v>3.33</v>
      </c>
      <c r="I175" s="368"/>
      <c r="J175" s="81" t="str">
        <f>VLOOKUP(B175,TH.T5!B175:F504,5,FALSE)</f>
        <v>Giảng viên khoa LLCT</v>
      </c>
      <c r="K175" s="369">
        <f t="shared" si="27"/>
        <v>3.33</v>
      </c>
      <c r="L175" s="362">
        <f t="shared" si="28"/>
        <v>5994000</v>
      </c>
      <c r="M175" s="366" t="str">
        <f>VLOOKUP(B175,'[24]Gui chi Quynh'!$B$11:$E$400,4,FALSE)</f>
        <v>A4</v>
      </c>
      <c r="N175" s="494">
        <f t="shared" si="30"/>
        <v>5994000</v>
      </c>
      <c r="O175" s="366">
        <v>20</v>
      </c>
      <c r="P175" s="440">
        <f>IFERROR(INDEX('[17]CN BC'!$J$10:$J$276,MATCH(B175,'[17]CN BC'!$H$10:$H$276,0)),"")</f>
        <v>20</v>
      </c>
      <c r="Q175" s="494">
        <f t="shared" si="37"/>
        <v>5994000</v>
      </c>
      <c r="R175" s="460"/>
      <c r="S175" s="362">
        <f t="shared" si="29"/>
        <v>0</v>
      </c>
      <c r="T175" s="370"/>
      <c r="U175" s="362">
        <f t="shared" si="39"/>
        <v>0</v>
      </c>
      <c r="V175" s="584">
        <f t="shared" si="33"/>
        <v>59940</v>
      </c>
      <c r="W175" s="371">
        <f t="shared" si="38"/>
        <v>5994000</v>
      </c>
      <c r="X175" s="977">
        <f t="shared" si="35"/>
        <v>3.33</v>
      </c>
      <c r="Y175" s="999">
        <v>1800000</v>
      </c>
      <c r="Z175" s="1000">
        <f t="shared" si="36"/>
        <v>5994000</v>
      </c>
      <c r="AA175" s="568">
        <f t="shared" si="34"/>
        <v>153</v>
      </c>
      <c r="AB175" s="493">
        <f>IFERROR(INDEX('[17]CN BC'!$M$10:$M$276,MATCH(B175,'[17]CN BC'!$H$10:$H$276,0)),"")</f>
        <v>0</v>
      </c>
      <c r="AC175" s="141" t="str">
        <f>VLOOKUP(B175,TH.T4!B173:AC503,28,FALSE)</f>
        <v>LLCT</v>
      </c>
      <c r="AD175" s="108"/>
      <c r="AE175" s="108"/>
      <c r="AF175" s="155"/>
    </row>
    <row r="176" spans="1:42" s="372" customFormat="1" ht="27" customHeight="1">
      <c r="A176" s="379">
        <f>_xlfn.AGGREGATE(4,7,A$22:A175)+1</f>
        <v>154</v>
      </c>
      <c r="B176" s="363" t="s">
        <v>1882</v>
      </c>
      <c r="C176" s="364" t="s">
        <v>947</v>
      </c>
      <c r="D176" s="434" t="s">
        <v>1741</v>
      </c>
      <c r="E176" s="423" t="s">
        <v>1341</v>
      </c>
      <c r="F176" s="373">
        <v>4.32</v>
      </c>
      <c r="G176" s="367"/>
      <c r="H176" s="368">
        <f t="shared" si="26"/>
        <v>4.32</v>
      </c>
      <c r="I176" s="368"/>
      <c r="J176" s="81" t="str">
        <f>VLOOKUP(B176,TH.T5!B176:F505,5,FALSE)</f>
        <v>Giảng viên khoa CNTT</v>
      </c>
      <c r="K176" s="369">
        <f t="shared" si="27"/>
        <v>4.32</v>
      </c>
      <c r="L176" s="362">
        <f t="shared" si="28"/>
        <v>7776000.0000000009</v>
      </c>
      <c r="M176" s="366" t="str">
        <f>VLOOKUP(B176,'[24]Gui chi Quynh'!$B$11:$E$400,4,FALSE)</f>
        <v>A3</v>
      </c>
      <c r="N176" s="494">
        <f t="shared" si="30"/>
        <v>9331200</v>
      </c>
      <c r="O176" s="366">
        <v>20</v>
      </c>
      <c r="P176" s="440">
        <f>IFERROR(INDEX('[17]CN BC'!$J$10:$J$276,MATCH(B176,'[17]CN BC'!$H$10:$H$276,0)),"")</f>
        <v>20</v>
      </c>
      <c r="Q176" s="494">
        <f t="shared" si="37"/>
        <v>9331200</v>
      </c>
      <c r="R176" s="460"/>
      <c r="S176" s="362">
        <f t="shared" si="29"/>
        <v>0</v>
      </c>
      <c r="T176" s="370"/>
      <c r="U176" s="362">
        <f t="shared" si="39"/>
        <v>0</v>
      </c>
      <c r="V176" s="584">
        <f t="shared" si="33"/>
        <v>77760</v>
      </c>
      <c r="W176" s="371">
        <f t="shared" si="38"/>
        <v>9331200</v>
      </c>
      <c r="X176" s="977">
        <f t="shared" si="35"/>
        <v>5.1840000000000002</v>
      </c>
      <c r="Y176" s="999">
        <v>1800000</v>
      </c>
      <c r="Z176" s="1000">
        <f t="shared" si="36"/>
        <v>9331200</v>
      </c>
      <c r="AA176" s="568">
        <f t="shared" si="34"/>
        <v>154</v>
      </c>
      <c r="AB176" s="493">
        <f>IFERROR(INDEX('[17]CN BC'!$M$10:$M$276,MATCH(B176,'[17]CN BC'!$H$10:$H$276,0)),"")</f>
        <v>0</v>
      </c>
      <c r="AC176" s="141" t="str">
        <f>VLOOKUP(B176,TH.T4!B174:AC504,28,FALSE)</f>
        <v>CNTT</v>
      </c>
      <c r="AD176" s="108"/>
      <c r="AE176" s="108"/>
      <c r="AF176" s="155"/>
    </row>
    <row r="177" spans="1:42" s="108" customFormat="1" ht="28.5" customHeight="1">
      <c r="A177" s="379">
        <f>_xlfn.AGGREGATE(4,7,A$22:A176)+1</f>
        <v>155</v>
      </c>
      <c r="B177" s="33" t="s">
        <v>1508</v>
      </c>
      <c r="C177" s="34" t="s">
        <v>1019</v>
      </c>
      <c r="D177" s="406" t="s">
        <v>1742</v>
      </c>
      <c r="E177" s="424" t="s">
        <v>1342</v>
      </c>
      <c r="F177" s="83">
        <v>3.99</v>
      </c>
      <c r="G177" s="157"/>
      <c r="H177" s="368">
        <f t="shared" si="26"/>
        <v>3.99</v>
      </c>
      <c r="I177" s="81"/>
      <c r="J177" s="81" t="str">
        <f>VLOOKUP(B177,TH.T5!B177:F506,5,FALSE)</f>
        <v>Giảng viên khoa CNTT</v>
      </c>
      <c r="K177" s="369">
        <f t="shared" si="27"/>
        <v>3.99</v>
      </c>
      <c r="L177" s="362">
        <f t="shared" si="28"/>
        <v>7182000</v>
      </c>
      <c r="M177" s="366" t="str">
        <f>VLOOKUP(B177,'[24]Gui chi Quynh'!$B$11:$E$400,4,FALSE)</f>
        <v>A3</v>
      </c>
      <c r="N177" s="494">
        <f t="shared" si="30"/>
        <v>8618400</v>
      </c>
      <c r="O177" s="366">
        <v>20</v>
      </c>
      <c r="P177" s="440">
        <f>IFERROR(INDEX('[17]CN BC'!$J$10:$J$276,MATCH(B177,'[17]CN BC'!$H$10:$H$276,0)),"")</f>
        <v>20</v>
      </c>
      <c r="Q177" s="494">
        <f t="shared" si="37"/>
        <v>8618400</v>
      </c>
      <c r="R177" s="392"/>
      <c r="S177" s="362">
        <f t="shared" si="29"/>
        <v>0</v>
      </c>
      <c r="T177" s="385"/>
      <c r="U177" s="362">
        <f t="shared" si="39"/>
        <v>0</v>
      </c>
      <c r="V177" s="584">
        <f t="shared" si="33"/>
        <v>71820</v>
      </c>
      <c r="W177" s="371">
        <f t="shared" si="38"/>
        <v>8618400</v>
      </c>
      <c r="X177" s="977">
        <f t="shared" si="35"/>
        <v>4.7880000000000003</v>
      </c>
      <c r="Y177" s="999">
        <v>1800000</v>
      </c>
      <c r="Z177" s="1000">
        <f t="shared" si="36"/>
        <v>8618400</v>
      </c>
      <c r="AA177" s="568">
        <f t="shared" si="34"/>
        <v>155</v>
      </c>
      <c r="AB177" s="493">
        <f>IFERROR(INDEX('[17]CN BC'!$M$10:$M$276,MATCH(B177,'[17]CN BC'!$H$10:$H$276,0)),"")</f>
        <v>0</v>
      </c>
      <c r="AC177" s="141" t="str">
        <f>VLOOKUP(B177,TH.T4!B175:AC505,28,FALSE)</f>
        <v>CNTT</v>
      </c>
      <c r="AF177" s="155"/>
    </row>
    <row r="178" spans="1:42" s="108" customFormat="1" ht="26.25" customHeight="1">
      <c r="A178" s="379">
        <f>_xlfn.AGGREGATE(4,7,A$22:A177)+1</f>
        <v>156</v>
      </c>
      <c r="B178" s="33" t="s">
        <v>1509</v>
      </c>
      <c r="C178" s="34" t="s">
        <v>1023</v>
      </c>
      <c r="D178" s="406" t="s">
        <v>1743</v>
      </c>
      <c r="E178" s="424" t="s">
        <v>1344</v>
      </c>
      <c r="F178" s="10">
        <v>3.99</v>
      </c>
      <c r="G178" s="157"/>
      <c r="H178" s="368">
        <f t="shared" si="26"/>
        <v>3.99</v>
      </c>
      <c r="I178" s="81"/>
      <c r="J178" s="81" t="str">
        <f>VLOOKUP(B178,TH.T5!B178:F507,5,FALSE)</f>
        <v>Giảng viên khoa CNTT</v>
      </c>
      <c r="K178" s="369">
        <f t="shared" si="27"/>
        <v>3.99</v>
      </c>
      <c r="L178" s="362">
        <f t="shared" si="28"/>
        <v>7182000</v>
      </c>
      <c r="M178" s="366" t="str">
        <f>VLOOKUP(B178,'[24]Gui chi Quynh'!$B$11:$E$400,4,FALSE)</f>
        <v>A3</v>
      </c>
      <c r="N178" s="494">
        <f t="shared" si="30"/>
        <v>8618400</v>
      </c>
      <c r="O178" s="366">
        <v>20</v>
      </c>
      <c r="P178" s="440">
        <f>IFERROR(INDEX('[17]CN BC'!$J$10:$J$276,MATCH(B178,'[17]CN BC'!$H$10:$H$276,0)),"")</f>
        <v>20</v>
      </c>
      <c r="Q178" s="494">
        <f t="shared" si="37"/>
        <v>8618400</v>
      </c>
      <c r="R178" s="392"/>
      <c r="S178" s="362">
        <f t="shared" si="29"/>
        <v>0</v>
      </c>
      <c r="T178" s="385"/>
      <c r="U178" s="362">
        <f t="shared" si="39"/>
        <v>0</v>
      </c>
      <c r="V178" s="584">
        <f t="shared" si="33"/>
        <v>71820</v>
      </c>
      <c r="W178" s="371">
        <f t="shared" si="38"/>
        <v>8618400</v>
      </c>
      <c r="X178" s="977">
        <f t="shared" si="35"/>
        <v>4.7880000000000003</v>
      </c>
      <c r="Y178" s="999">
        <v>1800000</v>
      </c>
      <c r="Z178" s="1000">
        <f t="shared" si="36"/>
        <v>8618400</v>
      </c>
      <c r="AA178" s="568">
        <f t="shared" si="34"/>
        <v>156</v>
      </c>
      <c r="AB178" s="493">
        <f>IFERROR(INDEX('[17]CN BC'!$M$10:$M$276,MATCH(B178,'[17]CN BC'!$H$10:$H$276,0)),"")</f>
        <v>0</v>
      </c>
      <c r="AC178" s="141" t="str">
        <f>VLOOKUP(B178,TH.T4!B176:AC506,28,FALSE)</f>
        <v>CNTT</v>
      </c>
      <c r="AF178" s="155"/>
    </row>
    <row r="179" spans="1:42" s="372" customFormat="1" ht="27.75" customHeight="1">
      <c r="A179" s="379">
        <f>_xlfn.AGGREGATE(4,7,A$22:A178)+1</f>
        <v>157</v>
      </c>
      <c r="B179" s="363" t="s">
        <v>1510</v>
      </c>
      <c r="C179" s="364" t="s">
        <v>891</v>
      </c>
      <c r="D179" s="434" t="s">
        <v>1744</v>
      </c>
      <c r="E179" s="423" t="s">
        <v>1347</v>
      </c>
      <c r="F179" s="373">
        <v>3.66</v>
      </c>
      <c r="G179" s="367"/>
      <c r="H179" s="368">
        <f t="shared" si="26"/>
        <v>3.66</v>
      </c>
      <c r="I179" s="368"/>
      <c r="J179" s="81" t="str">
        <f>VLOOKUP(B179,TH.T5!B179:F508,5,FALSE)</f>
        <v>Giảng viên khoa CNTT</v>
      </c>
      <c r="K179" s="369">
        <f t="shared" si="27"/>
        <v>3.66</v>
      </c>
      <c r="L179" s="362">
        <f t="shared" si="28"/>
        <v>6588000</v>
      </c>
      <c r="M179" s="366" t="str">
        <f>VLOOKUP(B179,'[24]Gui chi Quynh'!$B$11:$E$400,4,FALSE)</f>
        <v>A4</v>
      </c>
      <c r="N179" s="494">
        <f t="shared" si="30"/>
        <v>6588000</v>
      </c>
      <c r="O179" s="366">
        <v>20</v>
      </c>
      <c r="P179" s="467">
        <f>IFERROR(INDEX('[17]CN BC'!$J$10:$J$276,MATCH(B179,'[17]CN BC'!$H$10:$H$276,0)),"")</f>
        <v>20</v>
      </c>
      <c r="Q179" s="494">
        <f t="shared" si="37"/>
        <v>6588000</v>
      </c>
      <c r="R179" s="460"/>
      <c r="S179" s="362">
        <f t="shared" si="29"/>
        <v>0</v>
      </c>
      <c r="T179" s="370"/>
      <c r="U179" s="362">
        <f t="shared" si="39"/>
        <v>0</v>
      </c>
      <c r="V179" s="362">
        <f t="shared" si="33"/>
        <v>65880</v>
      </c>
      <c r="W179" s="371">
        <f t="shared" si="38"/>
        <v>6588000</v>
      </c>
      <c r="X179" s="977">
        <f t="shared" si="35"/>
        <v>3.66</v>
      </c>
      <c r="Y179" s="999">
        <v>1800000</v>
      </c>
      <c r="Z179" s="1000">
        <f t="shared" si="36"/>
        <v>6588000</v>
      </c>
      <c r="AA179" s="568">
        <f t="shared" si="34"/>
        <v>157</v>
      </c>
      <c r="AB179" s="551">
        <f>IFERROR(INDEX('[17]CN BC'!$M$10:$M$276,MATCH(B179,'[17]CN BC'!$H$10:$H$276,0)),"")</f>
        <v>0</v>
      </c>
      <c r="AC179" s="536" t="str">
        <f>VLOOKUP(B179,TH.T4!B177:AC507,28,FALSE)</f>
        <v>CNTT</v>
      </c>
      <c r="AF179" s="487"/>
    </row>
    <row r="180" spans="1:42" s="372" customFormat="1" ht="27" customHeight="1">
      <c r="A180" s="379">
        <f>_xlfn.AGGREGATE(4,7,A$22:A179)+1</f>
        <v>158</v>
      </c>
      <c r="B180" s="390" t="s">
        <v>1511</v>
      </c>
      <c r="C180" s="364" t="s">
        <v>867</v>
      </c>
      <c r="D180" s="434" t="s">
        <v>1745</v>
      </c>
      <c r="E180" s="423" t="s">
        <v>1349</v>
      </c>
      <c r="F180" s="373">
        <v>3.99</v>
      </c>
      <c r="G180" s="367"/>
      <c r="H180" s="368">
        <f t="shared" si="26"/>
        <v>3.99</v>
      </c>
      <c r="I180" s="368"/>
      <c r="J180" s="81" t="str">
        <f>VLOOKUP(B180,TH.T5!B180:F509,5,FALSE)</f>
        <v>Giảng viên khoa CNTT</v>
      </c>
      <c r="K180" s="369">
        <f t="shared" si="27"/>
        <v>3.99</v>
      </c>
      <c r="L180" s="362">
        <f t="shared" si="28"/>
        <v>7182000</v>
      </c>
      <c r="M180" s="366" t="str">
        <f>VLOOKUP(B180,'[24]Gui chi Quynh'!$B$11:$E$400,4,FALSE)</f>
        <v>A3</v>
      </c>
      <c r="N180" s="494">
        <f t="shared" si="30"/>
        <v>8618400</v>
      </c>
      <c r="O180" s="366">
        <v>20</v>
      </c>
      <c r="P180" s="440">
        <f>IFERROR(INDEX('[17]CN BC'!$J$10:$J$276,MATCH(B180,'[17]CN BC'!$H$10:$H$276,0)),"")</f>
        <v>20</v>
      </c>
      <c r="Q180" s="494">
        <f t="shared" si="37"/>
        <v>8618400</v>
      </c>
      <c r="R180" s="392"/>
      <c r="S180" s="362">
        <f t="shared" si="29"/>
        <v>0</v>
      </c>
      <c r="T180" s="370"/>
      <c r="U180" s="362">
        <f t="shared" si="39"/>
        <v>0</v>
      </c>
      <c r="V180" s="584">
        <f t="shared" si="33"/>
        <v>71820</v>
      </c>
      <c r="W180" s="371">
        <f t="shared" si="38"/>
        <v>8618400</v>
      </c>
      <c r="X180" s="977">
        <f t="shared" si="35"/>
        <v>4.7880000000000003</v>
      </c>
      <c r="Y180" s="999">
        <v>1800000</v>
      </c>
      <c r="Z180" s="1000">
        <f t="shared" si="36"/>
        <v>8618400</v>
      </c>
      <c r="AA180" s="568">
        <f t="shared" si="34"/>
        <v>158</v>
      </c>
      <c r="AB180" s="493">
        <f>IFERROR(INDEX('[17]CN BC'!$M$10:$M$276,MATCH(B180,'[17]CN BC'!$H$10:$H$276,0)),"")</f>
        <v>0</v>
      </c>
      <c r="AC180" s="141" t="str">
        <f>VLOOKUP(B180,TH.T4!B178:AC508,28,FALSE)</f>
        <v>CNTT</v>
      </c>
      <c r="AD180" s="108"/>
      <c r="AE180" s="108"/>
      <c r="AF180" s="155"/>
      <c r="AG180" s="108"/>
      <c r="AH180" s="108"/>
      <c r="AI180" s="108"/>
      <c r="AJ180" s="108"/>
      <c r="AK180" s="108"/>
      <c r="AL180" s="108"/>
    </row>
    <row r="181" spans="1:42" s="372" customFormat="1" ht="27" customHeight="1">
      <c r="A181" s="379">
        <f>_xlfn.AGGREGATE(4,7,A$22:A180)+1</f>
        <v>159</v>
      </c>
      <c r="B181" s="363" t="s">
        <v>1512</v>
      </c>
      <c r="C181" s="364" t="s">
        <v>1209</v>
      </c>
      <c r="D181" s="434" t="s">
        <v>1746</v>
      </c>
      <c r="E181" s="423" t="s">
        <v>1350</v>
      </c>
      <c r="F181" s="373">
        <v>3.99</v>
      </c>
      <c r="G181" s="367"/>
      <c r="H181" s="368">
        <f t="shared" si="26"/>
        <v>3.99</v>
      </c>
      <c r="I181" s="368"/>
      <c r="J181" s="81" t="str">
        <f>VLOOKUP(B181,TH.T5!B181:F510,5,FALSE)</f>
        <v>Giảng viên khoa CNTT</v>
      </c>
      <c r="K181" s="369">
        <f t="shared" si="27"/>
        <v>3.99</v>
      </c>
      <c r="L181" s="362">
        <f t="shared" si="28"/>
        <v>7182000</v>
      </c>
      <c r="M181" s="366" t="str">
        <f>VLOOKUP(B181,'[24]Gui chi Quynh'!$B$11:$E$400,4,FALSE)</f>
        <v>A3</v>
      </c>
      <c r="N181" s="494">
        <f t="shared" si="30"/>
        <v>8618400</v>
      </c>
      <c r="O181" s="366">
        <v>20</v>
      </c>
      <c r="P181" s="440">
        <f>IFERROR(INDEX('[17]CN BC'!$J$10:$J$276,MATCH(B181,'[17]CN BC'!$H$10:$H$276,0)),"")</f>
        <v>20</v>
      </c>
      <c r="Q181" s="494">
        <f t="shared" si="37"/>
        <v>8618400</v>
      </c>
      <c r="R181" s="460"/>
      <c r="S181" s="362">
        <f t="shared" si="29"/>
        <v>0</v>
      </c>
      <c r="T181" s="370"/>
      <c r="U181" s="362">
        <f t="shared" si="39"/>
        <v>0</v>
      </c>
      <c r="V181" s="584">
        <f t="shared" si="33"/>
        <v>71820</v>
      </c>
      <c r="W181" s="371">
        <f t="shared" si="38"/>
        <v>8618400</v>
      </c>
      <c r="X181" s="977">
        <f t="shared" si="35"/>
        <v>4.7880000000000003</v>
      </c>
      <c r="Y181" s="999">
        <v>1800000</v>
      </c>
      <c r="Z181" s="1000">
        <f t="shared" si="36"/>
        <v>8618400</v>
      </c>
      <c r="AA181" s="568">
        <f t="shared" si="34"/>
        <v>159</v>
      </c>
      <c r="AB181" s="493">
        <f>IFERROR(INDEX('[17]CN BC'!$M$10:$M$276,MATCH(B181,'[17]CN BC'!$H$10:$H$276,0)),"")</f>
        <v>0</v>
      </c>
      <c r="AC181" s="141" t="str">
        <f>VLOOKUP(B181,TH.T4!B179:AC509,28,FALSE)</f>
        <v>CNTT</v>
      </c>
      <c r="AD181" s="108"/>
      <c r="AE181" s="108"/>
      <c r="AF181" s="155"/>
      <c r="AG181" s="108"/>
      <c r="AH181" s="108"/>
      <c r="AI181" s="108"/>
      <c r="AJ181" s="108"/>
      <c r="AK181" s="108"/>
      <c r="AL181" s="108"/>
    </row>
    <row r="182" spans="1:42" s="108" customFormat="1" ht="27" customHeight="1">
      <c r="A182" s="379">
        <f>_xlfn.AGGREGATE(4,7,A$22:A181)+1</f>
        <v>160</v>
      </c>
      <c r="B182" s="33" t="s">
        <v>1513</v>
      </c>
      <c r="C182" s="34" t="s">
        <v>1211</v>
      </c>
      <c r="D182" s="406" t="s">
        <v>1747</v>
      </c>
      <c r="E182" s="424" t="s">
        <v>1353</v>
      </c>
      <c r="F182" s="83">
        <v>3.99</v>
      </c>
      <c r="G182" s="157"/>
      <c r="H182" s="368">
        <f t="shared" si="26"/>
        <v>3.99</v>
      </c>
      <c r="I182" s="514">
        <v>0.45</v>
      </c>
      <c r="J182" s="81" t="str">
        <f>VLOOKUP(B182,TH.T5!B182:F511,5,FALSE)</f>
        <v>Trưởng BM khoa CNTT</v>
      </c>
      <c r="K182" s="369">
        <f t="shared" si="27"/>
        <v>4.4400000000000004</v>
      </c>
      <c r="L182" s="362">
        <f t="shared" si="28"/>
        <v>7992000.0000000009</v>
      </c>
      <c r="M182" s="366" t="str">
        <f>VLOOKUP(B182,'[24]Gui chi Quynh'!$B$11:$E$400,4,FALSE)</f>
        <v>A3</v>
      </c>
      <c r="N182" s="494">
        <f t="shared" si="30"/>
        <v>9590400</v>
      </c>
      <c r="O182" s="366">
        <v>20</v>
      </c>
      <c r="P182" s="440">
        <f>IFERROR(INDEX('[17]CN BC'!$J$10:$J$276,MATCH(B182,'[17]CN BC'!$H$10:$H$276,0)),"")</f>
        <v>20</v>
      </c>
      <c r="Q182" s="494">
        <f t="shared" si="37"/>
        <v>9590400</v>
      </c>
      <c r="R182" s="392"/>
      <c r="S182" s="362">
        <f t="shared" si="29"/>
        <v>0</v>
      </c>
      <c r="T182" s="385"/>
      <c r="U182" s="362">
        <f t="shared" si="39"/>
        <v>0</v>
      </c>
      <c r="V182" s="584">
        <f t="shared" si="33"/>
        <v>79920</v>
      </c>
      <c r="W182" s="371">
        <f t="shared" si="38"/>
        <v>9590400</v>
      </c>
      <c r="X182" s="977">
        <f t="shared" si="35"/>
        <v>5.3280000000000003</v>
      </c>
      <c r="Y182" s="999">
        <v>1800000</v>
      </c>
      <c r="Z182" s="1000">
        <f t="shared" si="36"/>
        <v>9590400</v>
      </c>
      <c r="AA182" s="568">
        <f t="shared" si="34"/>
        <v>160</v>
      </c>
      <c r="AB182" s="493">
        <f>IFERROR(INDEX('[17]CN BC'!$M$10:$M$276,MATCH(B182,'[17]CN BC'!$H$10:$H$276,0)),"")</f>
        <v>0</v>
      </c>
      <c r="AC182" s="141" t="str">
        <f>VLOOKUP(B182,TH.T4!B180:AC510,28,FALSE)</f>
        <v>CNTT</v>
      </c>
      <c r="AF182" s="155"/>
    </row>
    <row r="183" spans="1:42" s="372" customFormat="1" ht="30" customHeight="1">
      <c r="A183" s="379">
        <f>_xlfn.AGGREGATE(4,7,A$22:A182)+1</f>
        <v>161</v>
      </c>
      <c r="B183" s="363" t="s">
        <v>1514</v>
      </c>
      <c r="C183" s="364" t="s">
        <v>979</v>
      </c>
      <c r="D183" s="434" t="s">
        <v>1748</v>
      </c>
      <c r="E183" s="423" t="s">
        <v>1354</v>
      </c>
      <c r="F183" s="373">
        <v>3.66</v>
      </c>
      <c r="G183" s="367"/>
      <c r="H183" s="368">
        <f t="shared" si="26"/>
        <v>3.66</v>
      </c>
      <c r="I183" s="368"/>
      <c r="J183" s="81" t="str">
        <f>VLOOKUP(B183,TH.T5!B183:F512,5,FALSE)</f>
        <v>Giảng viên khoa CNTT</v>
      </c>
      <c r="K183" s="369">
        <f t="shared" si="27"/>
        <v>3.66</v>
      </c>
      <c r="L183" s="362">
        <f t="shared" si="28"/>
        <v>6588000</v>
      </c>
      <c r="M183" s="366" t="str">
        <f>VLOOKUP(B183,'[24]Gui chi Quynh'!$B$11:$E$400,4,FALSE)</f>
        <v>A3</v>
      </c>
      <c r="N183" s="494">
        <f t="shared" si="30"/>
        <v>7905600</v>
      </c>
      <c r="O183" s="366">
        <v>20</v>
      </c>
      <c r="P183" s="440">
        <f>IFERROR(INDEX('[17]CN BC'!$J$10:$J$276,MATCH(B183,'[17]CN BC'!$H$10:$H$276,0)),"")</f>
        <v>20</v>
      </c>
      <c r="Q183" s="494">
        <f t="shared" si="37"/>
        <v>7905600</v>
      </c>
      <c r="R183" s="460"/>
      <c r="S183" s="362">
        <f t="shared" si="29"/>
        <v>0</v>
      </c>
      <c r="T183" s="370"/>
      <c r="U183" s="362">
        <f t="shared" si="39"/>
        <v>0</v>
      </c>
      <c r="V183" s="584">
        <f t="shared" si="33"/>
        <v>65880</v>
      </c>
      <c r="W183" s="371">
        <f t="shared" si="38"/>
        <v>7905600</v>
      </c>
      <c r="X183" s="977">
        <f t="shared" si="35"/>
        <v>4.3920000000000003</v>
      </c>
      <c r="Y183" s="999">
        <v>1800000</v>
      </c>
      <c r="Z183" s="1000">
        <f t="shared" si="36"/>
        <v>7905600.0000000009</v>
      </c>
      <c r="AA183" s="568">
        <f t="shared" si="34"/>
        <v>161</v>
      </c>
      <c r="AB183" s="493">
        <f>IFERROR(INDEX('[17]CN BC'!$M$10:$M$276,MATCH(B183,'[17]CN BC'!$H$10:$H$276,0)),"")</f>
        <v>0</v>
      </c>
      <c r="AC183" s="141" t="str">
        <f>VLOOKUP(B183,TH.T4!B181:AC511,28,FALSE)</f>
        <v>CNTT</v>
      </c>
      <c r="AD183" s="108"/>
      <c r="AE183" s="108"/>
      <c r="AF183" s="487"/>
    </row>
    <row r="184" spans="1:42" s="372" customFormat="1" ht="24.75" customHeight="1">
      <c r="A184" s="379">
        <f>_xlfn.AGGREGATE(4,7,A$22:A183)+1</f>
        <v>162</v>
      </c>
      <c r="B184" s="363" t="s">
        <v>1515</v>
      </c>
      <c r="C184" s="364" t="s">
        <v>1212</v>
      </c>
      <c r="D184" s="434" t="s">
        <v>1749</v>
      </c>
      <c r="E184" s="423" t="s">
        <v>1355</v>
      </c>
      <c r="F184" s="373">
        <v>3.66</v>
      </c>
      <c r="G184" s="367"/>
      <c r="H184" s="368">
        <f t="shared" si="26"/>
        <v>3.66</v>
      </c>
      <c r="I184" s="368"/>
      <c r="J184" s="81" t="str">
        <f>VLOOKUP(B184,TH.T5!B184:F513,5,FALSE)</f>
        <v>Giảng viên khoa CNTT</v>
      </c>
      <c r="K184" s="369">
        <f t="shared" si="27"/>
        <v>3.66</v>
      </c>
      <c r="L184" s="362">
        <f t="shared" si="28"/>
        <v>6588000</v>
      </c>
      <c r="M184" s="366" t="str">
        <f>VLOOKUP(B184,'[24]Gui chi Quynh'!$B$11:$E$400,4,FALSE)</f>
        <v>A3</v>
      </c>
      <c r="N184" s="494">
        <f t="shared" si="30"/>
        <v>7905600</v>
      </c>
      <c r="O184" s="366">
        <v>20</v>
      </c>
      <c r="P184" s="440">
        <f>IFERROR(INDEX('[17]CN BC'!$J$10:$J$276,MATCH(B184,'[17]CN BC'!$H$10:$H$276,0)),"")</f>
        <v>20</v>
      </c>
      <c r="Q184" s="494">
        <f t="shared" si="37"/>
        <v>7905600</v>
      </c>
      <c r="R184" s="392"/>
      <c r="S184" s="362">
        <f t="shared" si="29"/>
        <v>0</v>
      </c>
      <c r="T184" s="370"/>
      <c r="U184" s="362">
        <f t="shared" si="39"/>
        <v>0</v>
      </c>
      <c r="V184" s="584">
        <f t="shared" si="33"/>
        <v>65880</v>
      </c>
      <c r="W184" s="371">
        <f t="shared" si="38"/>
        <v>7905600</v>
      </c>
      <c r="X184" s="977">
        <f t="shared" si="35"/>
        <v>4.3920000000000003</v>
      </c>
      <c r="Y184" s="999">
        <v>1800000</v>
      </c>
      <c r="Z184" s="1000">
        <f t="shared" si="36"/>
        <v>7905600.0000000009</v>
      </c>
      <c r="AA184" s="568">
        <f t="shared" si="34"/>
        <v>162</v>
      </c>
      <c r="AB184" s="493">
        <f>IFERROR(INDEX('[17]CN BC'!$M$10:$M$276,MATCH(B184,'[17]CN BC'!$H$10:$H$276,0)),"")</f>
        <v>0</v>
      </c>
      <c r="AC184" s="141" t="str">
        <f>VLOOKUP(B184,TH.T4!B182:AC512,28,FALSE)</f>
        <v>CNTT</v>
      </c>
      <c r="AD184" s="108"/>
      <c r="AE184" s="108"/>
      <c r="AF184" s="155"/>
      <c r="AG184" s="108"/>
      <c r="AH184" s="108"/>
      <c r="AI184" s="108"/>
      <c r="AJ184" s="108"/>
      <c r="AK184" s="108"/>
      <c r="AL184" s="108"/>
    </row>
    <row r="185" spans="1:42" s="108" customFormat="1" ht="24.75" customHeight="1">
      <c r="A185" s="379">
        <f>_xlfn.AGGREGATE(4,7,A$22:A184)+1</f>
        <v>163</v>
      </c>
      <c r="B185" s="33" t="s">
        <v>1516</v>
      </c>
      <c r="C185" s="34" t="s">
        <v>1213</v>
      </c>
      <c r="D185" s="406" t="s">
        <v>1750</v>
      </c>
      <c r="E185" s="424" t="s">
        <v>1356</v>
      </c>
      <c r="F185" s="373">
        <v>3.66</v>
      </c>
      <c r="G185" s="157"/>
      <c r="H185" s="368">
        <f t="shared" ref="H185:H248" si="40">F185+(F185*G185)</f>
        <v>3.66</v>
      </c>
      <c r="I185" s="81"/>
      <c r="J185" s="81" t="str">
        <f>VLOOKUP(B185,TH.T5!B185:F514,5,FALSE)</f>
        <v>Giảng viên khoa CNTT</v>
      </c>
      <c r="K185" s="369">
        <f t="shared" ref="K185:K248" si="41">H185+I185</f>
        <v>3.66</v>
      </c>
      <c r="L185" s="362">
        <f t="shared" ref="L185:L248" si="42">K185*$G$19</f>
        <v>6588000</v>
      </c>
      <c r="M185" s="366" t="str">
        <f>VLOOKUP(B185,'[24]Gui chi Quynh'!$B$11:$E$400,4,FALSE)</f>
        <v>A3</v>
      </c>
      <c r="N185" s="494">
        <f t="shared" si="30"/>
        <v>7905600</v>
      </c>
      <c r="O185" s="366">
        <v>20</v>
      </c>
      <c r="P185" s="440">
        <f>IFERROR(INDEX('[17]CN BC'!$J$10:$J$276,MATCH(B185,'[17]CN BC'!$H$10:$H$276,0)),"")</f>
        <v>20</v>
      </c>
      <c r="Q185" s="494">
        <f t="shared" si="37"/>
        <v>7905600</v>
      </c>
      <c r="R185" s="392"/>
      <c r="S185" s="362">
        <f t="shared" si="29"/>
        <v>0</v>
      </c>
      <c r="T185" s="385"/>
      <c r="U185" s="362">
        <f t="shared" si="39"/>
        <v>0</v>
      </c>
      <c r="V185" s="584">
        <f t="shared" si="33"/>
        <v>65880</v>
      </c>
      <c r="W185" s="371">
        <f t="shared" si="38"/>
        <v>7905600</v>
      </c>
      <c r="X185" s="977">
        <f t="shared" si="35"/>
        <v>4.3920000000000003</v>
      </c>
      <c r="Y185" s="999">
        <v>1800000</v>
      </c>
      <c r="Z185" s="1000">
        <f t="shared" si="36"/>
        <v>7905600.0000000009</v>
      </c>
      <c r="AA185" s="568">
        <f t="shared" si="34"/>
        <v>163</v>
      </c>
      <c r="AB185" s="493">
        <f>IFERROR(INDEX('[17]CN BC'!$M$10:$M$276,MATCH(B185,'[17]CN BC'!$H$10:$H$276,0)),"")</f>
        <v>0</v>
      </c>
      <c r="AC185" s="141" t="str">
        <f>VLOOKUP(B185,TH.T4!B183:AC513,28,FALSE)</f>
        <v>CNTT</v>
      </c>
      <c r="AF185" s="155"/>
    </row>
    <row r="186" spans="1:42" s="108" customFormat="1" ht="26.25" customHeight="1">
      <c r="A186" s="379">
        <f>_xlfn.AGGREGATE(4,7,A$22:A185)+1</f>
        <v>164</v>
      </c>
      <c r="B186" s="33" t="s">
        <v>1883</v>
      </c>
      <c r="C186" s="34" t="s">
        <v>282</v>
      </c>
      <c r="D186" s="406" t="s">
        <v>1751</v>
      </c>
      <c r="E186" s="424" t="s">
        <v>381</v>
      </c>
      <c r="F186" s="83">
        <v>3.99</v>
      </c>
      <c r="G186" s="157"/>
      <c r="H186" s="368">
        <f t="shared" si="40"/>
        <v>3.99</v>
      </c>
      <c r="I186" s="81">
        <v>0.35</v>
      </c>
      <c r="J186" s="81" t="str">
        <f>VLOOKUP(B186,TH.T5!B186:F515,5,FALSE)</f>
        <v>Phó Trưởng khoa CNTT</v>
      </c>
      <c r="K186" s="369">
        <f t="shared" si="41"/>
        <v>4.34</v>
      </c>
      <c r="L186" s="362">
        <f t="shared" si="42"/>
        <v>7812000</v>
      </c>
      <c r="M186" s="366" t="str">
        <f>VLOOKUP(B186,'[24]Gui chi Quynh'!$B$11:$E$400,4,FALSE)</f>
        <v>A2</v>
      </c>
      <c r="N186" s="494">
        <f t="shared" si="30"/>
        <v>10936800</v>
      </c>
      <c r="O186" s="366">
        <v>20</v>
      </c>
      <c r="P186" s="440">
        <f>IFERROR(INDEX('[17]CN BC'!$J$10:$J$276,MATCH(B186,'[17]CN BC'!$H$10:$H$276,0)),"")</f>
        <v>20</v>
      </c>
      <c r="Q186" s="494">
        <f t="shared" si="37"/>
        <v>10936800</v>
      </c>
      <c r="R186" s="392"/>
      <c r="S186" s="362">
        <f t="shared" si="29"/>
        <v>0</v>
      </c>
      <c r="T186" s="385"/>
      <c r="U186" s="362">
        <f t="shared" si="39"/>
        <v>0</v>
      </c>
      <c r="V186" s="584">
        <f t="shared" si="33"/>
        <v>78120</v>
      </c>
      <c r="W186" s="371">
        <f t="shared" si="38"/>
        <v>10936800</v>
      </c>
      <c r="X186" s="977">
        <f t="shared" si="35"/>
        <v>6.0759999999999996</v>
      </c>
      <c r="Y186" s="999">
        <v>1800000</v>
      </c>
      <c r="Z186" s="1000">
        <f t="shared" si="36"/>
        <v>10936800</v>
      </c>
      <c r="AA186" s="568">
        <f t="shared" si="34"/>
        <v>164</v>
      </c>
      <c r="AB186" s="493">
        <f>IFERROR(INDEX('[17]CN BC'!$M$10:$M$276,MATCH(B186,'[17]CN BC'!$H$10:$H$276,0)),"")</f>
        <v>0</v>
      </c>
      <c r="AC186" s="141" t="str">
        <f>VLOOKUP(B186,TH.T4!B184:AC514,28,FALSE)</f>
        <v>CNTT</v>
      </c>
      <c r="AF186" s="155"/>
    </row>
    <row r="187" spans="1:42" s="372" customFormat="1" ht="23.25" customHeight="1">
      <c r="A187" s="379">
        <f>_xlfn.AGGREGATE(4,7,A$22:A186)+1</f>
        <v>165</v>
      </c>
      <c r="B187" s="363" t="s">
        <v>1833</v>
      </c>
      <c r="C187" s="364"/>
      <c r="D187" s="434" t="s">
        <v>1966</v>
      </c>
      <c r="E187" s="486">
        <v>1603215005649</v>
      </c>
      <c r="F187" s="373">
        <v>3.66</v>
      </c>
      <c r="G187" s="367"/>
      <c r="H187" s="445">
        <f t="shared" si="40"/>
        <v>3.66</v>
      </c>
      <c r="I187" s="368"/>
      <c r="J187" s="81" t="str">
        <f>VLOOKUP(B187,TH.T5!B187:F516,5,FALSE)</f>
        <v>Giảng viên khoa CNTT</v>
      </c>
      <c r="K187" s="369">
        <f t="shared" si="41"/>
        <v>3.66</v>
      </c>
      <c r="L187" s="362">
        <f t="shared" si="42"/>
        <v>6588000</v>
      </c>
      <c r="M187" s="366" t="str">
        <f>VLOOKUP(B187,'[24]Gui chi Quynh'!$B$11:$E$400,4,FALSE)</f>
        <v>A4</v>
      </c>
      <c r="N187" s="494">
        <f t="shared" si="30"/>
        <v>6588000</v>
      </c>
      <c r="O187" s="366">
        <v>20</v>
      </c>
      <c r="P187" s="440">
        <f>IFERROR(INDEX('[17]CN BC'!$J$10:$J$276,MATCH(B187,'[17]CN BC'!$H$10:$H$276,0)),"")</f>
        <v>20</v>
      </c>
      <c r="Q187" s="494">
        <f t="shared" si="37"/>
        <v>6588000</v>
      </c>
      <c r="R187" s="460"/>
      <c r="S187" s="362">
        <f t="shared" si="29"/>
        <v>0</v>
      </c>
      <c r="T187" s="370"/>
      <c r="U187" s="362">
        <f t="shared" si="39"/>
        <v>0</v>
      </c>
      <c r="V187" s="584">
        <f t="shared" si="33"/>
        <v>65880</v>
      </c>
      <c r="W187" s="371">
        <f t="shared" si="38"/>
        <v>6588000</v>
      </c>
      <c r="X187" s="977">
        <f t="shared" si="35"/>
        <v>3.66</v>
      </c>
      <c r="Y187" s="999">
        <v>1800000</v>
      </c>
      <c r="Z187" s="1000">
        <f t="shared" si="36"/>
        <v>6588000</v>
      </c>
      <c r="AA187" s="568">
        <f t="shared" si="34"/>
        <v>165</v>
      </c>
      <c r="AB187" s="493">
        <f>IFERROR(INDEX('[17]CN BC'!$M$10:$M$276,MATCH(B187,'[17]CN BC'!$H$10:$H$276,0)),"")</f>
        <v>0</v>
      </c>
      <c r="AC187" s="141" t="str">
        <f>VLOOKUP(B187,TH.T4!B185:AC515,28,FALSE)</f>
        <v>CNTT</v>
      </c>
      <c r="AD187" s="108"/>
      <c r="AE187" s="108"/>
      <c r="AF187" s="155"/>
    </row>
    <row r="188" spans="1:42" s="372" customFormat="1" ht="29.25" customHeight="1">
      <c r="A188" s="379">
        <f>_xlfn.AGGREGATE(4,7,A$22:A187)+1</f>
        <v>166</v>
      </c>
      <c r="B188" s="363" t="s">
        <v>1884</v>
      </c>
      <c r="C188" s="364" t="s">
        <v>1175</v>
      </c>
      <c r="D188" s="406" t="s">
        <v>1752</v>
      </c>
      <c r="E188" s="423" t="s">
        <v>1345</v>
      </c>
      <c r="F188" s="373">
        <v>3.99</v>
      </c>
      <c r="G188" s="367"/>
      <c r="H188" s="368">
        <f t="shared" si="40"/>
        <v>3.99</v>
      </c>
      <c r="I188" s="368">
        <v>0.25</v>
      </c>
      <c r="J188" s="81" t="str">
        <f>VLOOKUP(B188,TH.T5!B188:F517,5,FALSE)</f>
        <v>Giảng viên khoa CNTT</v>
      </c>
      <c r="K188" s="369">
        <f t="shared" si="41"/>
        <v>4.24</v>
      </c>
      <c r="L188" s="362">
        <f t="shared" si="42"/>
        <v>7632000</v>
      </c>
      <c r="M188" s="366" t="str">
        <f>VLOOKUP(B188,'[24]Gui chi Quynh'!$B$11:$E$400,4,FALSE)</f>
        <v>A3</v>
      </c>
      <c r="N188" s="494">
        <f t="shared" si="30"/>
        <v>9158400</v>
      </c>
      <c r="O188" s="366">
        <v>20</v>
      </c>
      <c r="P188" s="440">
        <f>IFERROR(INDEX('[17]CN BC'!$J$10:$J$276,MATCH(B188,'[17]CN BC'!$H$10:$H$276,0)),"")</f>
        <v>20</v>
      </c>
      <c r="Q188" s="494">
        <f t="shared" si="37"/>
        <v>9158400</v>
      </c>
      <c r="R188" s="392"/>
      <c r="S188" s="362">
        <f t="shared" si="29"/>
        <v>0</v>
      </c>
      <c r="T188" s="370"/>
      <c r="U188" s="362">
        <f t="shared" si="39"/>
        <v>0</v>
      </c>
      <c r="V188" s="584">
        <f t="shared" si="33"/>
        <v>76320</v>
      </c>
      <c r="W188" s="371">
        <f t="shared" si="38"/>
        <v>9158400</v>
      </c>
      <c r="X188" s="977">
        <f t="shared" si="35"/>
        <v>5.0880000000000001</v>
      </c>
      <c r="Y188" s="999">
        <v>1800000</v>
      </c>
      <c r="Z188" s="1000">
        <f t="shared" si="36"/>
        <v>9158400</v>
      </c>
      <c r="AA188" s="568">
        <f t="shared" si="34"/>
        <v>166</v>
      </c>
      <c r="AB188" s="493">
        <f>IFERROR(INDEX('[17]CN BC'!$M$10:$M$276,MATCH(B188,'[17]CN BC'!$H$10:$H$276,0)),"")</f>
        <v>0</v>
      </c>
      <c r="AC188" s="141" t="str">
        <f>VLOOKUP(B188,TH.T4!B186:AC516,28,FALSE)</f>
        <v>CNTT</v>
      </c>
      <c r="AD188" s="108"/>
      <c r="AE188" s="108"/>
      <c r="AF188" s="155"/>
      <c r="AG188" s="108"/>
      <c r="AH188" s="108"/>
      <c r="AI188" s="108"/>
      <c r="AJ188" s="108"/>
      <c r="AK188" s="108"/>
      <c r="AL188" s="108"/>
      <c r="AM188" s="108"/>
      <c r="AN188" s="108"/>
      <c r="AO188" s="108"/>
      <c r="AP188" s="108"/>
    </row>
    <row r="189" spans="1:42" s="372" customFormat="1" ht="29.25" customHeight="1">
      <c r="A189" s="379">
        <f>_xlfn.AGGREGATE(4,7,A$22:A188)+1</f>
        <v>167</v>
      </c>
      <c r="B189" s="363" t="s">
        <v>1517</v>
      </c>
      <c r="C189" s="364" t="s">
        <v>731</v>
      </c>
      <c r="D189" s="434" t="s">
        <v>1753</v>
      </c>
      <c r="E189" s="426">
        <v>1603205286594</v>
      </c>
      <c r="F189" s="373">
        <v>3.33</v>
      </c>
      <c r="G189" s="367"/>
      <c r="H189" s="445">
        <f t="shared" si="40"/>
        <v>3.33</v>
      </c>
      <c r="I189" s="368"/>
      <c r="J189" s="81" t="str">
        <f>VLOOKUP(B189,TH.T5!B189:F518,5,FALSE)</f>
        <v>Giảng viên khoa CNTT</v>
      </c>
      <c r="K189" s="369">
        <f t="shared" si="41"/>
        <v>3.33</v>
      </c>
      <c r="L189" s="362">
        <f t="shared" si="42"/>
        <v>5994000</v>
      </c>
      <c r="M189" s="366" t="str">
        <f>VLOOKUP(B189,'[24]Gui chi Quynh'!$B$11:$E$400,4,FALSE)</f>
        <v>A3</v>
      </c>
      <c r="N189" s="494">
        <f t="shared" si="30"/>
        <v>7192800</v>
      </c>
      <c r="O189" s="366">
        <v>20</v>
      </c>
      <c r="P189" s="440">
        <f>IFERROR(INDEX('[17]CN BC'!$J$10:$J$276,MATCH(B189,'[17]CN BC'!$H$10:$H$276,0)),"")</f>
        <v>20</v>
      </c>
      <c r="Q189" s="494">
        <f t="shared" si="37"/>
        <v>7192800</v>
      </c>
      <c r="R189" s="460"/>
      <c r="S189" s="362">
        <f t="shared" si="29"/>
        <v>0</v>
      </c>
      <c r="T189" s="370"/>
      <c r="U189" s="362">
        <f t="shared" si="39"/>
        <v>0</v>
      </c>
      <c r="V189" s="584">
        <f t="shared" si="33"/>
        <v>59940</v>
      </c>
      <c r="W189" s="371">
        <f t="shared" si="38"/>
        <v>7192800</v>
      </c>
      <c r="X189" s="977">
        <f t="shared" si="35"/>
        <v>3.996</v>
      </c>
      <c r="Y189" s="999">
        <v>1800000</v>
      </c>
      <c r="Z189" s="1000">
        <f t="shared" si="36"/>
        <v>7192800</v>
      </c>
      <c r="AA189" s="568">
        <f t="shared" si="34"/>
        <v>167</v>
      </c>
      <c r="AB189" s="493">
        <f>IFERROR(INDEX('[17]CN BC'!$M$10:$M$276,MATCH(B189,'[17]CN BC'!$H$10:$H$276,0)),"")</f>
        <v>0</v>
      </c>
      <c r="AC189" s="141" t="str">
        <f>VLOOKUP(B189,TH.T4!B187:AC517,28,FALSE)</f>
        <v>CNTT</v>
      </c>
      <c r="AD189" s="108"/>
      <c r="AE189" s="108"/>
      <c r="AF189" s="487"/>
    </row>
    <row r="190" spans="1:42" s="372" customFormat="1" ht="28.5" customHeight="1">
      <c r="A190" s="379">
        <f>_xlfn.AGGREGATE(4,7,A$22:A189)+1</f>
        <v>168</v>
      </c>
      <c r="B190" s="363" t="s">
        <v>1518</v>
      </c>
      <c r="C190" s="364" t="s">
        <v>1207</v>
      </c>
      <c r="D190" s="406" t="s">
        <v>1754</v>
      </c>
      <c r="E190" s="423" t="s">
        <v>1346</v>
      </c>
      <c r="F190" s="366">
        <v>3.99</v>
      </c>
      <c r="G190" s="367"/>
      <c r="H190" s="368">
        <f t="shared" si="40"/>
        <v>3.99</v>
      </c>
      <c r="I190" s="368"/>
      <c r="J190" s="81" t="str">
        <f>VLOOKUP(B190,TH.T5!B190:F519,5,FALSE)</f>
        <v>Giảng viên khoa CNTT</v>
      </c>
      <c r="K190" s="369">
        <f t="shared" si="41"/>
        <v>3.99</v>
      </c>
      <c r="L190" s="362">
        <f t="shared" si="42"/>
        <v>7182000</v>
      </c>
      <c r="M190" s="366" t="str">
        <f>VLOOKUP(B190,'[24]Gui chi Quynh'!$B$11:$E$400,4,FALSE)</f>
        <v>A3</v>
      </c>
      <c r="N190" s="494">
        <f t="shared" si="30"/>
        <v>8618400</v>
      </c>
      <c r="O190" s="366">
        <v>20</v>
      </c>
      <c r="P190" s="440">
        <f>IFERROR(INDEX('[17]CN BC'!$J$10:$J$276,MATCH(B190,'[17]CN BC'!$H$10:$H$276,0)),"")</f>
        <v>20</v>
      </c>
      <c r="Q190" s="494">
        <f t="shared" si="37"/>
        <v>8618400</v>
      </c>
      <c r="R190" s="392"/>
      <c r="S190" s="362">
        <f t="shared" si="29"/>
        <v>0</v>
      </c>
      <c r="T190" s="385"/>
      <c r="U190" s="362">
        <f t="shared" si="39"/>
        <v>0</v>
      </c>
      <c r="V190" s="584">
        <f t="shared" si="33"/>
        <v>71820</v>
      </c>
      <c r="W190" s="371">
        <f t="shared" si="38"/>
        <v>8618400</v>
      </c>
      <c r="X190" s="977">
        <f t="shared" si="35"/>
        <v>4.7880000000000003</v>
      </c>
      <c r="Y190" s="999">
        <v>1800000</v>
      </c>
      <c r="Z190" s="1000">
        <f t="shared" si="36"/>
        <v>8618400</v>
      </c>
      <c r="AA190" s="568">
        <f t="shared" si="34"/>
        <v>168</v>
      </c>
      <c r="AB190" s="493">
        <f>IFERROR(INDEX('[17]CN BC'!$M$10:$M$276,MATCH(B190,'[17]CN BC'!$H$10:$H$276,0)),"")</f>
        <v>0</v>
      </c>
      <c r="AC190" s="141" t="str">
        <f>VLOOKUP(B190,TH.T4!B188:AC518,28,FALSE)</f>
        <v>CNTT</v>
      </c>
      <c r="AD190" s="108"/>
      <c r="AE190" s="108"/>
      <c r="AF190" s="155"/>
      <c r="AG190" s="108"/>
      <c r="AH190" s="108"/>
      <c r="AI190" s="108"/>
      <c r="AJ190" s="108"/>
      <c r="AK190" s="108"/>
      <c r="AL190" s="108"/>
      <c r="AM190" s="108"/>
      <c r="AN190" s="108"/>
      <c r="AO190" s="108"/>
      <c r="AP190" s="108"/>
    </row>
    <row r="191" spans="1:42" s="372" customFormat="1" ht="28.5" customHeight="1">
      <c r="A191" s="379">
        <f>_xlfn.AGGREGATE(4,7,A$22:A190)+1</f>
        <v>169</v>
      </c>
      <c r="B191" s="363" t="s">
        <v>1519</v>
      </c>
      <c r="C191" s="364" t="s">
        <v>728</v>
      </c>
      <c r="D191" s="406" t="s">
        <v>1755</v>
      </c>
      <c r="E191" s="423" t="s">
        <v>771</v>
      </c>
      <c r="F191" s="373">
        <v>3.66</v>
      </c>
      <c r="G191" s="367"/>
      <c r="H191" s="368">
        <f t="shared" si="40"/>
        <v>3.66</v>
      </c>
      <c r="I191" s="368"/>
      <c r="J191" s="81" t="str">
        <f>VLOOKUP(B191,TH.T5!B191:F520,5,FALSE)</f>
        <v>Giảng viên khoa CNTT</v>
      </c>
      <c r="K191" s="369">
        <f t="shared" si="41"/>
        <v>3.66</v>
      </c>
      <c r="L191" s="362">
        <f t="shared" si="42"/>
        <v>6588000</v>
      </c>
      <c r="M191" s="366" t="str">
        <f>VLOOKUP(B191,'[24]Gui chi Quynh'!$B$11:$E$400,4,FALSE)</f>
        <v>A3</v>
      </c>
      <c r="N191" s="494">
        <f t="shared" si="30"/>
        <v>7905600</v>
      </c>
      <c r="O191" s="366">
        <v>20</v>
      </c>
      <c r="P191" s="440">
        <f>IFERROR(INDEX('[17]CN BC'!$J$10:$J$276,MATCH(B191,'[17]CN BC'!$H$10:$H$276,0)),"")</f>
        <v>20</v>
      </c>
      <c r="Q191" s="494">
        <f t="shared" si="37"/>
        <v>7905600</v>
      </c>
      <c r="R191" s="392"/>
      <c r="S191" s="362">
        <f t="shared" si="29"/>
        <v>0</v>
      </c>
      <c r="T191" s="385"/>
      <c r="U191" s="362">
        <f t="shared" si="39"/>
        <v>0</v>
      </c>
      <c r="V191" s="584">
        <f t="shared" si="33"/>
        <v>65880</v>
      </c>
      <c r="W191" s="371">
        <f t="shared" si="38"/>
        <v>7905600</v>
      </c>
      <c r="X191" s="977">
        <f t="shared" si="35"/>
        <v>4.3920000000000003</v>
      </c>
      <c r="Y191" s="999">
        <v>1800000</v>
      </c>
      <c r="Z191" s="1000">
        <f t="shared" si="36"/>
        <v>7905600.0000000009</v>
      </c>
      <c r="AA191" s="568">
        <f t="shared" si="34"/>
        <v>169</v>
      </c>
      <c r="AB191" s="493">
        <f>IFERROR(INDEX('[17]CN BC'!$M$10:$M$276,MATCH(B191,'[17]CN BC'!$H$10:$H$276,0)),"")</f>
        <v>0</v>
      </c>
      <c r="AC191" s="141" t="str">
        <f>VLOOKUP(B191,TH.T4!B189:AC519,28,FALSE)</f>
        <v>CNTT</v>
      </c>
      <c r="AD191" s="108"/>
      <c r="AE191" s="108"/>
      <c r="AF191" s="155"/>
      <c r="AG191" s="108"/>
      <c r="AH191" s="108"/>
      <c r="AI191" s="108"/>
      <c r="AJ191" s="108"/>
      <c r="AK191" s="108"/>
      <c r="AL191" s="108"/>
      <c r="AM191" s="108"/>
      <c r="AN191" s="108"/>
      <c r="AO191" s="108"/>
      <c r="AP191" s="108"/>
    </row>
    <row r="192" spans="1:42" s="372" customFormat="1" ht="25.5" customHeight="1">
      <c r="A192" s="379">
        <f>_xlfn.AGGREGATE(4,7,A$22:A191)+1</f>
        <v>170</v>
      </c>
      <c r="B192" s="363" t="s">
        <v>1520</v>
      </c>
      <c r="C192" s="364" t="s">
        <v>876</v>
      </c>
      <c r="D192" s="434" t="s">
        <v>1756</v>
      </c>
      <c r="E192" s="365" t="s">
        <v>1593</v>
      </c>
      <c r="F192" s="373">
        <v>3.99</v>
      </c>
      <c r="G192" s="367"/>
      <c r="H192" s="368">
        <f t="shared" si="40"/>
        <v>3.99</v>
      </c>
      <c r="I192" s="368">
        <v>0.25</v>
      </c>
      <c r="J192" s="81" t="str">
        <f>VLOOKUP(B192,TH.T5!B192:F521,5,FALSE)</f>
        <v>Giảng viên khoa CNTT</v>
      </c>
      <c r="K192" s="369">
        <f t="shared" si="41"/>
        <v>4.24</v>
      </c>
      <c r="L192" s="362">
        <f t="shared" si="42"/>
        <v>7632000</v>
      </c>
      <c r="M192" s="366" t="str">
        <f>VLOOKUP(B192,'[24]Gui chi Quynh'!$B$11:$E$400,4,FALSE)</f>
        <v>A1</v>
      </c>
      <c r="N192" s="494">
        <f t="shared" si="30"/>
        <v>12211200</v>
      </c>
      <c r="O192" s="366">
        <v>20</v>
      </c>
      <c r="P192" s="440">
        <f>IFERROR(INDEX('[17]CN BC'!$J$10:$J$276,MATCH(B192,'[17]CN BC'!$H$10:$H$276,0)),"")</f>
        <v>20</v>
      </c>
      <c r="Q192" s="494">
        <f t="shared" si="37"/>
        <v>12211200</v>
      </c>
      <c r="R192" s="460"/>
      <c r="S192" s="362">
        <f t="shared" si="29"/>
        <v>0</v>
      </c>
      <c r="T192" s="370"/>
      <c r="U192" s="362">
        <f t="shared" si="39"/>
        <v>0</v>
      </c>
      <c r="V192" s="362">
        <f t="shared" si="33"/>
        <v>76320</v>
      </c>
      <c r="W192" s="371">
        <f t="shared" si="38"/>
        <v>12211200</v>
      </c>
      <c r="X192" s="977">
        <f t="shared" si="35"/>
        <v>6.7839999999999998</v>
      </c>
      <c r="Y192" s="999">
        <v>1800000</v>
      </c>
      <c r="Z192" s="1000">
        <f t="shared" si="36"/>
        <v>12211200</v>
      </c>
      <c r="AA192" s="568">
        <f t="shared" si="34"/>
        <v>170</v>
      </c>
      <c r="AB192" s="493">
        <f>IFERROR(INDEX('[17]CN BC'!$M$10:$M$276,MATCH(B192,'[17]CN BC'!$H$10:$H$276,0)),"")</f>
        <v>0</v>
      </c>
      <c r="AC192" s="141" t="str">
        <f>VLOOKUP(B192,TH.T4!B190:AC520,28,FALSE)</f>
        <v>CNTT</v>
      </c>
      <c r="AF192" s="487"/>
    </row>
    <row r="193" spans="1:42" s="372" customFormat="1" ht="28.5" customHeight="1">
      <c r="A193" s="379">
        <f>_xlfn.AGGREGATE(4,7,A$22:A192)+1</f>
        <v>171</v>
      </c>
      <c r="B193" s="363" t="s">
        <v>1467</v>
      </c>
      <c r="C193" s="375" t="s">
        <v>1021</v>
      </c>
      <c r="D193" s="434" t="s">
        <v>1674</v>
      </c>
      <c r="E193" s="423" t="s">
        <v>1343</v>
      </c>
      <c r="F193" s="366">
        <v>4.32</v>
      </c>
      <c r="G193" s="367"/>
      <c r="H193" s="368">
        <f>F193+(F193*G193)</f>
        <v>4.32</v>
      </c>
      <c r="I193" s="368"/>
      <c r="J193" s="81" t="str">
        <f>VLOOKUP(B193,TH.T5!B193:F522,5,FALSE)</f>
        <v>Giảng viên khoa CNTT</v>
      </c>
      <c r="K193" s="369">
        <f>H193+I193</f>
        <v>4.32</v>
      </c>
      <c r="L193" s="362">
        <f>K193*$G$19</f>
        <v>7776000.0000000009</v>
      </c>
      <c r="M193" s="366" t="str">
        <f>VLOOKUP(B193,'[24]Gui chi Quynh'!$B$11:$E$400,4,FALSE)</f>
        <v>A3</v>
      </c>
      <c r="N193" s="494">
        <f t="shared" si="30"/>
        <v>9331200</v>
      </c>
      <c r="O193" s="366">
        <v>20</v>
      </c>
      <c r="P193" s="440">
        <f>IFERROR(INDEX('[17]CN BC'!$J$10:$J$276,MATCH(B193,'[17]CN BC'!$H$10:$H$276,0)),"")</f>
        <v>20</v>
      </c>
      <c r="Q193" s="494">
        <f t="shared" si="37"/>
        <v>9331200</v>
      </c>
      <c r="R193" s="460"/>
      <c r="S193" s="362">
        <f t="shared" si="29"/>
        <v>0</v>
      </c>
      <c r="T193" s="370"/>
      <c r="U193" s="362">
        <f t="shared" si="39"/>
        <v>0</v>
      </c>
      <c r="V193" s="584">
        <f>IF(OR(M193="A DN",M193="KXL", M193=""),"0",ROUND(K193*0.01*$G$19+R193*1%*$G$19+T193*1%*$G$19,))</f>
        <v>77760</v>
      </c>
      <c r="W193" s="371">
        <f t="shared" si="38"/>
        <v>9331200</v>
      </c>
      <c r="X193" s="977">
        <f t="shared" si="35"/>
        <v>5.1840000000000002</v>
      </c>
      <c r="Y193" s="999">
        <v>1800000</v>
      </c>
      <c r="Z193" s="1000">
        <f t="shared" si="36"/>
        <v>9331200</v>
      </c>
      <c r="AA193" s="568">
        <f t="shared" si="34"/>
        <v>171</v>
      </c>
      <c r="AB193" s="493">
        <f>IFERROR(INDEX('[17]CN BC'!$M$10:$M$276,MATCH(B193,'[17]CN BC'!$H$10:$H$276,0)),"")</f>
        <v>0</v>
      </c>
      <c r="AC193" s="141" t="str">
        <f>VLOOKUP(B193,TH.T4!B191:AC521,28,FALSE)</f>
        <v>CNTT</v>
      </c>
      <c r="AD193" s="108"/>
      <c r="AE193" s="108"/>
      <c r="AF193" s="155">
        <f>3.68*1490000*1.4</f>
        <v>7676479.9999999991</v>
      </c>
      <c r="AG193" s="108"/>
      <c r="AH193" s="108"/>
      <c r="AI193" s="108"/>
      <c r="AJ193" s="108"/>
      <c r="AK193" s="108"/>
      <c r="AL193" s="108"/>
    </row>
    <row r="194" spans="1:42" s="372" customFormat="1" ht="28.5" customHeight="1">
      <c r="A194" s="379">
        <f>_xlfn.AGGREGATE(4,7,A$22:A193)+1</f>
        <v>172</v>
      </c>
      <c r="B194" s="363" t="s">
        <v>2011</v>
      </c>
      <c r="C194" s="375"/>
      <c r="D194" s="434"/>
      <c r="E194" s="423"/>
      <c r="F194" s="366">
        <v>2.2690000000000001</v>
      </c>
      <c r="G194" s="367"/>
      <c r="H194" s="368">
        <f>F194+(F194*G194)</f>
        <v>2.2690000000000001</v>
      </c>
      <c r="I194" s="368"/>
      <c r="J194" s="81" t="str">
        <f>VLOOKUP(B194,TH.T5!B194:F523,5,FALSE)</f>
        <v>Giảng viên khoa CNTT</v>
      </c>
      <c r="K194" s="369">
        <f>H194+I194</f>
        <v>2.2690000000000001</v>
      </c>
      <c r="L194" s="362">
        <f>K194*$G$19</f>
        <v>4084200</v>
      </c>
      <c r="M194" s="366" t="str">
        <f>VLOOKUP(B194,'[24]Gui chi Quynh'!$B$11:$E$400,4,FALSE)</f>
        <v>A3</v>
      </c>
      <c r="N194" s="494">
        <f t="shared" si="30"/>
        <v>4901040</v>
      </c>
      <c r="O194" s="366">
        <v>20</v>
      </c>
      <c r="P194" s="440">
        <f>IFERROR(INDEX('[17]CN BC'!$J$10:$J$276,MATCH(B194,'[17]CN BC'!$H$10:$H$276,0)),"")</f>
        <v>20</v>
      </c>
      <c r="Q194" s="494">
        <f t="shared" si="37"/>
        <v>4901040</v>
      </c>
      <c r="R194" s="460"/>
      <c r="S194" s="362">
        <f t="shared" si="29"/>
        <v>0</v>
      </c>
      <c r="T194" s="370"/>
      <c r="U194" s="362">
        <f t="shared" si="39"/>
        <v>0</v>
      </c>
      <c r="V194" s="584">
        <f>IF(OR(M194="A DN",M194="KXL", M194=""),"0",ROUND(K194*0.01*$G$19+R194*1%*$G$19+T194*1%*$G$19,))</f>
        <v>40842</v>
      </c>
      <c r="W194" s="371">
        <f t="shared" si="38"/>
        <v>4901040</v>
      </c>
      <c r="X194" s="977">
        <f t="shared" si="35"/>
        <v>2.7227999999999999</v>
      </c>
      <c r="Y194" s="999">
        <v>1800000</v>
      </c>
      <c r="Z194" s="1000">
        <f t="shared" si="36"/>
        <v>4901040</v>
      </c>
      <c r="AA194" s="568">
        <f t="shared" si="34"/>
        <v>172</v>
      </c>
      <c r="AB194" s="493">
        <f>IFERROR(INDEX('[17]CN BC'!$M$10:$M$276,MATCH(B194,'[17]CN BC'!$H$10:$H$276,0)),"")</f>
        <v>0</v>
      </c>
      <c r="AC194" s="141" t="str">
        <f>VLOOKUP(B194,TH.T4!B192:AC522,28,FALSE)</f>
        <v>CNTT</v>
      </c>
      <c r="AF194" s="487"/>
    </row>
    <row r="195" spans="1:42" s="372" customFormat="1" ht="28.5" customHeight="1">
      <c r="A195" s="379">
        <f>_xlfn.AGGREGATE(4,7,A$22:A194)+1</f>
        <v>173</v>
      </c>
      <c r="B195" s="363" t="s">
        <v>2017</v>
      </c>
      <c r="C195" s="375"/>
      <c r="D195" s="434"/>
      <c r="E195" s="423"/>
      <c r="F195" s="366">
        <v>1.9890000000000001</v>
      </c>
      <c r="G195" s="367"/>
      <c r="H195" s="368">
        <f>F195+(F195*G195)</f>
        <v>1.9890000000000001</v>
      </c>
      <c r="I195" s="368"/>
      <c r="J195" s="81" t="str">
        <f>VLOOKUP(B195,TH.T5!B195:F524,5,FALSE)</f>
        <v>Giảng viên khoa CNTT</v>
      </c>
      <c r="K195" s="369">
        <f>H195+I195</f>
        <v>1.9890000000000001</v>
      </c>
      <c r="L195" s="362">
        <f>K195*$G$19</f>
        <v>3580200</v>
      </c>
      <c r="M195" s="366" t="str">
        <f>VLOOKUP(B195,'[24]Gui chi Quynh'!$B$11:$E$400,4,FALSE)</f>
        <v>A3</v>
      </c>
      <c r="N195" s="494">
        <f t="shared" si="30"/>
        <v>4296240</v>
      </c>
      <c r="O195" s="366">
        <v>20</v>
      </c>
      <c r="P195" s="440">
        <f>IFERROR(INDEX('[17]CN BC'!$J$10:$J$276,MATCH(B195,'[17]CN BC'!$H$10:$H$276,0)),"")</f>
        <v>20</v>
      </c>
      <c r="Q195" s="494">
        <f t="shared" si="37"/>
        <v>4296240</v>
      </c>
      <c r="R195" s="460"/>
      <c r="S195" s="362">
        <f t="shared" si="29"/>
        <v>0</v>
      </c>
      <c r="T195" s="370"/>
      <c r="U195" s="362">
        <f t="shared" si="39"/>
        <v>0</v>
      </c>
      <c r="V195" s="584">
        <f>IF(OR(M195="A DN",M195="KXL", M195=""),"0",ROUND(K195*0.01*$G$19+R195*1%*$G$19+T195*1%*$G$19,))</f>
        <v>35802</v>
      </c>
      <c r="W195" s="371">
        <f t="shared" si="38"/>
        <v>4296240</v>
      </c>
      <c r="X195" s="977">
        <f t="shared" si="35"/>
        <v>2.3868</v>
      </c>
      <c r="Y195" s="999">
        <v>1800000</v>
      </c>
      <c r="Z195" s="1000">
        <f t="shared" si="36"/>
        <v>4296240</v>
      </c>
      <c r="AA195" s="568">
        <f t="shared" si="34"/>
        <v>173</v>
      </c>
      <c r="AB195" s="493">
        <f>IFERROR(INDEX('[17]CN BC'!$M$10:$M$276,MATCH(B195,'[17]CN BC'!$H$10:$H$276,0)),"")</f>
        <v>0</v>
      </c>
      <c r="AC195" s="141" t="str">
        <f>VLOOKUP(B195,TH.T4!B193:AC523,28,FALSE)</f>
        <v>CNTT</v>
      </c>
      <c r="AF195" s="487"/>
    </row>
    <row r="196" spans="1:42" s="372" customFormat="1" ht="28.5" customHeight="1">
      <c r="A196" s="379">
        <f>_xlfn.AGGREGATE(4,7,A$22:A195)+1</f>
        <v>174</v>
      </c>
      <c r="B196" s="363" t="s">
        <v>1885</v>
      </c>
      <c r="C196" s="364" t="s">
        <v>1041</v>
      </c>
      <c r="D196" s="434" t="s">
        <v>1757</v>
      </c>
      <c r="E196" s="423" t="s">
        <v>1368</v>
      </c>
      <c r="F196" s="366">
        <v>4.6500000000000004</v>
      </c>
      <c r="G196" s="367"/>
      <c r="H196" s="368">
        <f t="shared" si="40"/>
        <v>4.6500000000000004</v>
      </c>
      <c r="I196" s="368">
        <v>0.45</v>
      </c>
      <c r="J196" s="81" t="str">
        <f>VLOOKUP(B196,TH.T5!B196:F525,5,FALSE)</f>
        <v>Trưởng khoa Cơ khí</v>
      </c>
      <c r="K196" s="369">
        <f t="shared" si="41"/>
        <v>5.1000000000000005</v>
      </c>
      <c r="L196" s="362">
        <f t="shared" si="42"/>
        <v>9180000.0000000019</v>
      </c>
      <c r="M196" s="366" t="str">
        <f>VLOOKUP(B196,'[24]Gui chi Quynh'!$B$11:$E$400,4,FALSE)</f>
        <v>A1</v>
      </c>
      <c r="N196" s="494">
        <f t="shared" si="30"/>
        <v>14688000.000000004</v>
      </c>
      <c r="O196" s="366">
        <v>20</v>
      </c>
      <c r="P196" s="440">
        <f>IFERROR(INDEX('[17]CN BC'!$J$10:$J$276,MATCH(B196,'[17]CN BC'!$H$10:$H$276,0)),"")</f>
        <v>24</v>
      </c>
      <c r="Q196" s="494">
        <f t="shared" si="37"/>
        <v>14688000.000000004</v>
      </c>
      <c r="R196" s="392"/>
      <c r="S196" s="362">
        <f t="shared" si="29"/>
        <v>0</v>
      </c>
      <c r="T196" s="370"/>
      <c r="U196" s="362">
        <f t="shared" si="39"/>
        <v>0</v>
      </c>
      <c r="V196" s="584">
        <f>IF(OR(M196="A DN",M196="KXL", M196=""),"0",ROUND(K196*0.01*$G$19+R196*1%*$G$19+T196*1%*$G$19,))</f>
        <v>91800</v>
      </c>
      <c r="W196" s="371">
        <f t="shared" si="38"/>
        <v>14688000.000000004</v>
      </c>
      <c r="X196" s="977">
        <f t="shared" si="35"/>
        <v>8.1600000000000019</v>
      </c>
      <c r="Y196" s="999">
        <v>1800000</v>
      </c>
      <c r="Z196" s="1000">
        <f t="shared" si="36"/>
        <v>14688000.000000004</v>
      </c>
      <c r="AA196" s="568">
        <f t="shared" si="34"/>
        <v>174</v>
      </c>
      <c r="AB196" s="493">
        <f>IFERROR(INDEX('[17]CN BC'!$M$10:$M$276,MATCH(B196,'[17]CN BC'!$H$10:$H$276,0)),"")</f>
        <v>0</v>
      </c>
      <c r="AC196" s="141" t="str">
        <f>VLOOKUP(B196,TH.T4!B194:AC524,28,FALSE)</f>
        <v>CK</v>
      </c>
      <c r="AD196" s="108"/>
      <c r="AE196" s="108"/>
      <c r="AF196" s="155"/>
      <c r="AG196" s="108"/>
      <c r="AH196" s="108"/>
      <c r="AI196" s="108"/>
      <c r="AJ196" s="108"/>
      <c r="AK196" s="108"/>
      <c r="AL196" s="108"/>
    </row>
    <row r="197" spans="1:42" s="108" customFormat="1" ht="26.25" customHeight="1">
      <c r="A197" s="379">
        <f>_xlfn.AGGREGATE(4,7,A$22:A196)+1</f>
        <v>175</v>
      </c>
      <c r="B197" s="33" t="s">
        <v>1886</v>
      </c>
      <c r="C197" s="34" t="s">
        <v>1032</v>
      </c>
      <c r="D197" s="406" t="s">
        <v>1758</v>
      </c>
      <c r="E197" s="424" t="s">
        <v>1363</v>
      </c>
      <c r="F197" s="10">
        <v>4.9800000000000004</v>
      </c>
      <c r="G197" s="157">
        <v>7.0000000000000007E-2</v>
      </c>
      <c r="H197" s="368">
        <f t="shared" si="40"/>
        <v>5.3286000000000007</v>
      </c>
      <c r="I197" s="81"/>
      <c r="J197" s="81" t="str">
        <f>VLOOKUP(B197,TH.T5!B197:F526,5,FALSE)</f>
        <v>Giảng viên khoa Cơ khí</v>
      </c>
      <c r="K197" s="369">
        <f t="shared" si="41"/>
        <v>5.3286000000000007</v>
      </c>
      <c r="L197" s="362">
        <f t="shared" si="42"/>
        <v>9591480.0000000019</v>
      </c>
      <c r="M197" s="366" t="str">
        <f>VLOOKUP(B197,'[24]Gui chi Quynh'!$B$11:$E$400,4,FALSE)</f>
        <v>A1</v>
      </c>
      <c r="N197" s="494">
        <f t="shared" si="30"/>
        <v>15346368.000000004</v>
      </c>
      <c r="O197" s="366">
        <v>20</v>
      </c>
      <c r="P197" s="440">
        <f>IFERROR(INDEX('[17]CN BC'!$J$10:$J$276,MATCH(B197,'[17]CN BC'!$H$10:$H$276,0)),"")</f>
        <v>20</v>
      </c>
      <c r="Q197" s="494">
        <f t="shared" si="37"/>
        <v>15346368.000000004</v>
      </c>
      <c r="R197" s="392"/>
      <c r="S197" s="362">
        <f t="shared" si="29"/>
        <v>0</v>
      </c>
      <c r="T197" s="385"/>
      <c r="U197" s="362">
        <f t="shared" si="39"/>
        <v>0</v>
      </c>
      <c r="V197" s="584">
        <f t="shared" si="33"/>
        <v>95915</v>
      </c>
      <c r="W197" s="371">
        <f t="shared" si="38"/>
        <v>15346368.000000004</v>
      </c>
      <c r="X197" s="977">
        <f t="shared" si="35"/>
        <v>8.5257600000000018</v>
      </c>
      <c r="Y197" s="999">
        <v>1800000</v>
      </c>
      <c r="Z197" s="1000">
        <f t="shared" si="36"/>
        <v>15346368.000000004</v>
      </c>
      <c r="AA197" s="568">
        <f t="shared" si="34"/>
        <v>175</v>
      </c>
      <c r="AB197" s="493">
        <f>IFERROR(INDEX('[17]CN BC'!$M$10:$M$276,MATCH(B197,'[17]CN BC'!$H$10:$H$276,0)),"")</f>
        <v>0</v>
      </c>
      <c r="AC197" s="141" t="str">
        <f>VLOOKUP(B197,TH.T4!B195:AC525,28,FALSE)</f>
        <v>CK</v>
      </c>
      <c r="AF197" s="155"/>
    </row>
    <row r="198" spans="1:42" s="372" customFormat="1" ht="31.5" customHeight="1">
      <c r="A198" s="379">
        <f>_xlfn.AGGREGATE(4,7,A$22:A197)+1</f>
        <v>176</v>
      </c>
      <c r="B198" s="363" t="s">
        <v>1887</v>
      </c>
      <c r="C198" s="364" t="s">
        <v>884</v>
      </c>
      <c r="D198" s="434" t="s">
        <v>1759</v>
      </c>
      <c r="E198" s="423" t="s">
        <v>1364</v>
      </c>
      <c r="F198" s="366">
        <v>4.9800000000000004</v>
      </c>
      <c r="G198" s="367">
        <v>7.0000000000000007E-2</v>
      </c>
      <c r="H198" s="368">
        <f t="shared" si="40"/>
        <v>5.3286000000000007</v>
      </c>
      <c r="I198" s="368"/>
      <c r="J198" s="81" t="str">
        <f>VLOOKUP(B198,TH.T5!B198:F527,5,FALSE)</f>
        <v>Giảng viên khoa Cơ khí</v>
      </c>
      <c r="K198" s="369">
        <f t="shared" si="41"/>
        <v>5.3286000000000007</v>
      </c>
      <c r="L198" s="362">
        <f t="shared" si="42"/>
        <v>9591480.0000000019</v>
      </c>
      <c r="M198" s="366" t="str">
        <f>VLOOKUP(B198,'[24]Gui chi Quynh'!$B$11:$E$400,4,FALSE)</f>
        <v>A1</v>
      </c>
      <c r="N198" s="494">
        <f t="shared" si="30"/>
        <v>15346368.000000004</v>
      </c>
      <c r="O198" s="366">
        <v>20</v>
      </c>
      <c r="P198" s="440">
        <f>IFERROR(INDEX('[17]CN BC'!$J$10:$J$276,MATCH(B198,'[17]CN BC'!$H$10:$H$276,0)),"")</f>
        <v>20</v>
      </c>
      <c r="Q198" s="494">
        <f t="shared" si="37"/>
        <v>15346368.000000004</v>
      </c>
      <c r="R198" s="392"/>
      <c r="S198" s="362">
        <f t="shared" si="29"/>
        <v>0</v>
      </c>
      <c r="T198" s="370"/>
      <c r="U198" s="362">
        <f t="shared" si="39"/>
        <v>0</v>
      </c>
      <c r="V198" s="584">
        <f t="shared" si="33"/>
        <v>95915</v>
      </c>
      <c r="W198" s="371">
        <f t="shared" si="38"/>
        <v>15346368.000000004</v>
      </c>
      <c r="X198" s="977">
        <f t="shared" si="35"/>
        <v>8.5257600000000018</v>
      </c>
      <c r="Y198" s="999">
        <v>1800000</v>
      </c>
      <c r="Z198" s="1000">
        <f t="shared" si="36"/>
        <v>15346368.000000004</v>
      </c>
      <c r="AA198" s="568">
        <f t="shared" si="34"/>
        <v>176</v>
      </c>
      <c r="AB198" s="493">
        <f>IFERROR(INDEX('[17]CN BC'!$M$10:$M$276,MATCH(B198,'[17]CN BC'!$H$10:$H$276,0)),"")</f>
        <v>0</v>
      </c>
      <c r="AC198" s="141" t="str">
        <f>VLOOKUP(B198,TH.T4!B196:AC526,28,FALSE)</f>
        <v>CK</v>
      </c>
      <c r="AD198" s="108"/>
      <c r="AE198" s="108"/>
      <c r="AF198" s="155"/>
      <c r="AG198" s="108"/>
      <c r="AH198" s="108"/>
      <c r="AI198" s="108"/>
      <c r="AJ198" s="108"/>
      <c r="AK198" s="108"/>
      <c r="AL198" s="108"/>
    </row>
    <row r="199" spans="1:42" s="372" customFormat="1" ht="25.5" customHeight="1">
      <c r="A199" s="379">
        <f>_xlfn.AGGREGATE(4,7,A$22:A198)+1</f>
        <v>177</v>
      </c>
      <c r="B199" s="363" t="s">
        <v>1888</v>
      </c>
      <c r="C199" s="364" t="s">
        <v>1043</v>
      </c>
      <c r="D199" s="434" t="s">
        <v>1760</v>
      </c>
      <c r="E199" s="423" t="s">
        <v>1369</v>
      </c>
      <c r="F199" s="366">
        <v>4.32</v>
      </c>
      <c r="G199" s="367"/>
      <c r="H199" s="368">
        <f t="shared" si="40"/>
        <v>4.32</v>
      </c>
      <c r="I199" s="368"/>
      <c r="J199" s="81" t="str">
        <f>VLOOKUP(B199,TH.T5!B199:F528,5,FALSE)</f>
        <v>Giảng viên khoa Cơ khí</v>
      </c>
      <c r="K199" s="369">
        <f t="shared" si="41"/>
        <v>4.32</v>
      </c>
      <c r="L199" s="362">
        <f t="shared" si="42"/>
        <v>7776000.0000000009</v>
      </c>
      <c r="M199" s="366" t="str">
        <f>VLOOKUP(B199,'[24]Gui chi Quynh'!$B$11:$E$400,4,FALSE)</f>
        <v>A4</v>
      </c>
      <c r="N199" s="494">
        <f t="shared" si="30"/>
        <v>7776000.0000000009</v>
      </c>
      <c r="O199" s="366">
        <v>20</v>
      </c>
      <c r="P199" s="440">
        <f>IFERROR(INDEX('[17]CN BC'!$J$10:$J$276,MATCH(B199,'[17]CN BC'!$H$10:$H$276,0)),"")</f>
        <v>20</v>
      </c>
      <c r="Q199" s="494">
        <f t="shared" si="37"/>
        <v>7776000.0000000009</v>
      </c>
      <c r="R199" s="460"/>
      <c r="S199" s="362">
        <f t="shared" si="29"/>
        <v>0</v>
      </c>
      <c r="T199" s="370"/>
      <c r="U199" s="362">
        <f t="shared" si="39"/>
        <v>0</v>
      </c>
      <c r="V199" s="584">
        <f t="shared" si="33"/>
        <v>77760</v>
      </c>
      <c r="W199" s="371">
        <f t="shared" si="38"/>
        <v>7776000.0000000009</v>
      </c>
      <c r="X199" s="977">
        <f t="shared" si="35"/>
        <v>4.32</v>
      </c>
      <c r="Y199" s="999">
        <v>1800000</v>
      </c>
      <c r="Z199" s="1000">
        <f t="shared" si="36"/>
        <v>7776000.0000000009</v>
      </c>
      <c r="AA199" s="568">
        <f t="shared" si="34"/>
        <v>177</v>
      </c>
      <c r="AB199" s="493">
        <f>IFERROR(INDEX('[17]CN BC'!$M$10:$M$276,MATCH(B199,'[17]CN BC'!$H$10:$H$276,0)),"")</f>
        <v>0</v>
      </c>
      <c r="AC199" s="141" t="str">
        <f>VLOOKUP(B199,TH.T4!B197:AC527,28,FALSE)</f>
        <v>CK</v>
      </c>
      <c r="AD199" s="108"/>
      <c r="AE199" s="108"/>
      <c r="AF199" s="155"/>
      <c r="AG199" s="108"/>
      <c r="AH199" s="108"/>
      <c r="AI199" s="108"/>
      <c r="AJ199" s="108"/>
      <c r="AK199" s="108"/>
      <c r="AL199" s="108"/>
    </row>
    <row r="200" spans="1:42" s="372" customFormat="1" ht="25.5" customHeight="1">
      <c r="A200" s="379">
        <f>_xlfn.AGGREGATE(4,7,A$22:A199)+1</f>
        <v>178</v>
      </c>
      <c r="B200" s="363" t="s">
        <v>1889</v>
      </c>
      <c r="C200" s="364" t="s">
        <v>1028</v>
      </c>
      <c r="D200" s="434" t="s">
        <v>1761</v>
      </c>
      <c r="E200" s="423" t="s">
        <v>42</v>
      </c>
      <c r="F200" s="366">
        <v>4.9800000000000004</v>
      </c>
      <c r="G200" s="367">
        <v>0.15</v>
      </c>
      <c r="H200" s="368">
        <f t="shared" si="40"/>
        <v>5.7270000000000003</v>
      </c>
      <c r="I200" s="368"/>
      <c r="J200" s="81" t="str">
        <f>VLOOKUP(B200,TH.T5!B200:F529,5,FALSE)</f>
        <v>Giảng viên khoa Cơ khí</v>
      </c>
      <c r="K200" s="369">
        <f t="shared" si="41"/>
        <v>5.7270000000000003</v>
      </c>
      <c r="L200" s="362">
        <f t="shared" si="42"/>
        <v>10308600</v>
      </c>
      <c r="M200" s="366" t="str">
        <f>VLOOKUP(B200,'[24]Gui chi Quynh'!$B$11:$E$400,4,FALSE)</f>
        <v>A3</v>
      </c>
      <c r="N200" s="494">
        <f t="shared" si="30"/>
        <v>12370320</v>
      </c>
      <c r="O200" s="366">
        <v>20</v>
      </c>
      <c r="P200" s="440">
        <f>IFERROR(INDEX('[17]CN BC'!$J$10:$J$276,MATCH(B200,'[17]CN BC'!$H$10:$H$276,0)),"")</f>
        <v>20</v>
      </c>
      <c r="Q200" s="494">
        <f t="shared" si="37"/>
        <v>12370320</v>
      </c>
      <c r="R200" s="460"/>
      <c r="S200" s="362">
        <f t="shared" si="29"/>
        <v>0</v>
      </c>
      <c r="T200" s="370"/>
      <c r="U200" s="362">
        <f t="shared" si="39"/>
        <v>0</v>
      </c>
      <c r="V200" s="584">
        <f t="shared" si="33"/>
        <v>103086</v>
      </c>
      <c r="W200" s="371">
        <f t="shared" si="38"/>
        <v>12370320</v>
      </c>
      <c r="X200" s="977">
        <f t="shared" si="35"/>
        <v>6.8723999999999998</v>
      </c>
      <c r="Y200" s="999">
        <v>1800000</v>
      </c>
      <c r="Z200" s="1000">
        <f t="shared" si="36"/>
        <v>12370320</v>
      </c>
      <c r="AA200" s="568">
        <f t="shared" si="34"/>
        <v>178</v>
      </c>
      <c r="AB200" s="493">
        <f>IFERROR(INDEX('[17]CN BC'!$M$10:$M$276,MATCH(B200,'[17]CN BC'!$H$10:$H$276,0)),"")</f>
        <v>0</v>
      </c>
      <c r="AC200" s="141" t="str">
        <f>VLOOKUP(B200,TH.T4!B198:AC528,28,FALSE)</f>
        <v>CK</v>
      </c>
      <c r="AD200" s="108"/>
      <c r="AE200" s="108"/>
      <c r="AF200" s="155"/>
      <c r="AG200" s="108"/>
      <c r="AH200" s="108"/>
      <c r="AI200" s="108"/>
      <c r="AJ200" s="108"/>
      <c r="AK200" s="108"/>
      <c r="AL200" s="108"/>
    </row>
    <row r="201" spans="1:42" s="372" customFormat="1" ht="25.5" customHeight="1">
      <c r="A201" s="379">
        <f>_xlfn.AGGREGATE(4,7,A$22:A200)+1</f>
        <v>179</v>
      </c>
      <c r="B201" s="363" t="s">
        <v>1890</v>
      </c>
      <c r="C201" s="364" t="s">
        <v>1039</v>
      </c>
      <c r="D201" s="434" t="s">
        <v>1762</v>
      </c>
      <c r="E201" s="423" t="s">
        <v>1367</v>
      </c>
      <c r="F201" s="366">
        <v>4.6500000000000004</v>
      </c>
      <c r="G201" s="367"/>
      <c r="H201" s="368">
        <f t="shared" si="40"/>
        <v>4.6500000000000004</v>
      </c>
      <c r="I201" s="368">
        <f>0.25</f>
        <v>0.25</v>
      </c>
      <c r="J201" s="81" t="str">
        <f>VLOOKUP(B201,TH.T5!B201:F530,5,FALSE)</f>
        <v>Giảng viên khoa Cơ khí</v>
      </c>
      <c r="K201" s="369">
        <f t="shared" si="41"/>
        <v>4.9000000000000004</v>
      </c>
      <c r="L201" s="362">
        <f t="shared" si="42"/>
        <v>8820000</v>
      </c>
      <c r="M201" s="366" t="str">
        <f>VLOOKUP(B201,'[24]Gui chi Quynh'!$B$11:$E$400,4,FALSE)</f>
        <v>A1</v>
      </c>
      <c r="N201" s="494">
        <f t="shared" si="30"/>
        <v>14112000</v>
      </c>
      <c r="O201" s="366">
        <v>20</v>
      </c>
      <c r="P201" s="440">
        <f>IFERROR(INDEX('[17]CN BC'!$J$10:$J$276,MATCH(B201,'[17]CN BC'!$H$10:$H$276,0)),"")</f>
        <v>20</v>
      </c>
      <c r="Q201" s="494">
        <f t="shared" si="37"/>
        <v>14112000</v>
      </c>
      <c r="R201" s="460"/>
      <c r="S201" s="362">
        <f t="shared" si="29"/>
        <v>0</v>
      </c>
      <c r="T201" s="370"/>
      <c r="U201" s="362">
        <f t="shared" si="39"/>
        <v>0</v>
      </c>
      <c r="V201" s="584">
        <f t="shared" si="33"/>
        <v>88200</v>
      </c>
      <c r="W201" s="371">
        <f t="shared" si="38"/>
        <v>14112000</v>
      </c>
      <c r="X201" s="977">
        <f t="shared" si="35"/>
        <v>7.84</v>
      </c>
      <c r="Y201" s="999">
        <v>1800000</v>
      </c>
      <c r="Z201" s="1000">
        <f t="shared" si="36"/>
        <v>14112000</v>
      </c>
      <c r="AA201" s="568">
        <f t="shared" si="34"/>
        <v>179</v>
      </c>
      <c r="AB201" s="493">
        <f>IFERROR(INDEX('[17]CN BC'!$M$10:$M$276,MATCH(B201,'[17]CN BC'!$H$10:$H$276,0)),"")</f>
        <v>0</v>
      </c>
      <c r="AC201" s="141" t="str">
        <f>VLOOKUP(B201,TH.T4!B199:AC529,28,FALSE)</f>
        <v>CK</v>
      </c>
      <c r="AD201" s="108"/>
      <c r="AE201" s="108"/>
      <c r="AF201" s="155"/>
      <c r="AG201" s="108"/>
      <c r="AH201" s="108"/>
      <c r="AI201" s="108"/>
      <c r="AJ201" s="108"/>
      <c r="AK201" s="108"/>
      <c r="AL201" s="108"/>
    </row>
    <row r="202" spans="1:42" s="372" customFormat="1" ht="25.5" customHeight="1">
      <c r="A202" s="379">
        <f>_xlfn.AGGREGATE(4,7,A$22:A201)+1</f>
        <v>180</v>
      </c>
      <c r="B202" s="363" t="s">
        <v>1891</v>
      </c>
      <c r="C202" s="364" t="s">
        <v>1000</v>
      </c>
      <c r="D202" s="434" t="s">
        <v>1763</v>
      </c>
      <c r="E202" s="423" t="s">
        <v>1377</v>
      </c>
      <c r="F202" s="366">
        <v>4.9800000000000004</v>
      </c>
      <c r="G202" s="367">
        <v>0.06</v>
      </c>
      <c r="H202" s="368">
        <f t="shared" si="40"/>
        <v>5.2788000000000004</v>
      </c>
      <c r="I202" s="368">
        <v>0.25</v>
      </c>
      <c r="J202" s="81" t="str">
        <f>VLOOKUP(B202,TH.T5!B202:F531,5,FALSE)</f>
        <v>Giảng viên khoa Cơ khí</v>
      </c>
      <c r="K202" s="369">
        <f t="shared" si="41"/>
        <v>5.5288000000000004</v>
      </c>
      <c r="L202" s="362">
        <f t="shared" si="42"/>
        <v>9951840</v>
      </c>
      <c r="M202" s="366" t="str">
        <f>VLOOKUP(B202,'[24]Gui chi Quynh'!$B$11:$E$400,4,FALSE)</f>
        <v>A3</v>
      </c>
      <c r="N202" s="494">
        <f t="shared" si="30"/>
        <v>11942208</v>
      </c>
      <c r="O202" s="366">
        <v>20</v>
      </c>
      <c r="P202" s="440">
        <f>IFERROR(INDEX('[17]CN BC'!$J$10:$J$276,MATCH(B202,'[17]CN BC'!$H$10:$H$276,0)),"")</f>
        <v>20</v>
      </c>
      <c r="Q202" s="494">
        <f t="shared" si="37"/>
        <v>11942208</v>
      </c>
      <c r="R202" s="392"/>
      <c r="S202" s="362">
        <f t="shared" si="29"/>
        <v>0</v>
      </c>
      <c r="T202" s="370"/>
      <c r="U202" s="362">
        <f t="shared" si="39"/>
        <v>0</v>
      </c>
      <c r="V202" s="584">
        <f t="shared" si="33"/>
        <v>99518</v>
      </c>
      <c r="W202" s="371">
        <f t="shared" si="38"/>
        <v>11942208</v>
      </c>
      <c r="X202" s="977">
        <f t="shared" si="35"/>
        <v>6.6345599999999996</v>
      </c>
      <c r="Y202" s="999">
        <v>1800000</v>
      </c>
      <c r="Z202" s="1000">
        <f t="shared" si="36"/>
        <v>11942208</v>
      </c>
      <c r="AA202" s="568">
        <f t="shared" si="34"/>
        <v>180</v>
      </c>
      <c r="AB202" s="493">
        <f>IFERROR(INDEX('[17]CN BC'!$M$10:$M$276,MATCH(B202,'[17]CN BC'!$H$10:$H$276,0)),"")</f>
        <v>0</v>
      </c>
      <c r="AC202" s="141" t="str">
        <f>VLOOKUP(B202,TH.T4!B200:AC530,28,FALSE)</f>
        <v>CK</v>
      </c>
      <c r="AD202" s="108"/>
      <c r="AE202" s="108"/>
      <c r="AF202" s="155"/>
      <c r="AG202" s="108"/>
      <c r="AH202" s="108"/>
      <c r="AI202" s="108"/>
      <c r="AJ202" s="108"/>
      <c r="AK202" s="108"/>
      <c r="AL202" s="108"/>
    </row>
    <row r="203" spans="1:42" s="372" customFormat="1" ht="25.5" customHeight="1">
      <c r="A203" s="379">
        <f>_xlfn.AGGREGATE(4,7,A$22:A202)+1</f>
        <v>181</v>
      </c>
      <c r="B203" s="363" t="s">
        <v>1525</v>
      </c>
      <c r="C203" s="364" t="s">
        <v>1009</v>
      </c>
      <c r="D203" s="434" t="s">
        <v>1764</v>
      </c>
      <c r="E203" s="423" t="s">
        <v>1372</v>
      </c>
      <c r="F203" s="373">
        <v>3.99</v>
      </c>
      <c r="G203" s="367"/>
      <c r="H203" s="368">
        <f t="shared" si="40"/>
        <v>3.99</v>
      </c>
      <c r="I203" s="368"/>
      <c r="J203" s="81" t="str">
        <f>VLOOKUP(B203,TH.T5!B203:F532,5,FALSE)</f>
        <v>Giảng viên khoa Cơ khí</v>
      </c>
      <c r="K203" s="369">
        <f t="shared" si="41"/>
        <v>3.99</v>
      </c>
      <c r="L203" s="362">
        <f t="shared" si="42"/>
        <v>7182000</v>
      </c>
      <c r="M203" s="366" t="str">
        <f>VLOOKUP(B203,'[24]Gui chi Quynh'!$B$11:$E$400,4,FALSE)</f>
        <v>A4</v>
      </c>
      <c r="N203" s="494">
        <f t="shared" si="30"/>
        <v>7182000</v>
      </c>
      <c r="O203" s="366">
        <v>20</v>
      </c>
      <c r="P203" s="440">
        <f>IFERROR(INDEX('[17]CN BC'!$J$10:$J$276,MATCH(B203,'[17]CN BC'!$H$10:$H$276,0)),"")</f>
        <v>20</v>
      </c>
      <c r="Q203" s="494">
        <f t="shared" si="37"/>
        <v>7182000</v>
      </c>
      <c r="R203" s="460"/>
      <c r="S203" s="362">
        <f t="shared" si="29"/>
        <v>0</v>
      </c>
      <c r="T203" s="370"/>
      <c r="U203" s="362">
        <f t="shared" si="39"/>
        <v>0</v>
      </c>
      <c r="V203" s="584">
        <f t="shared" si="33"/>
        <v>71820</v>
      </c>
      <c r="W203" s="371">
        <f t="shared" si="38"/>
        <v>7182000</v>
      </c>
      <c r="X203" s="977">
        <f t="shared" si="35"/>
        <v>3.99</v>
      </c>
      <c r="Y203" s="999">
        <v>1800000</v>
      </c>
      <c r="Z203" s="1000">
        <f t="shared" si="36"/>
        <v>7182000</v>
      </c>
      <c r="AA203" s="568">
        <f t="shared" si="34"/>
        <v>181</v>
      </c>
      <c r="AB203" s="493">
        <f>IFERROR(INDEX('[17]CN BC'!$M$10:$M$276,MATCH(B203,'[17]CN BC'!$H$10:$H$276,0)),"")</f>
        <v>0</v>
      </c>
      <c r="AC203" s="141" t="str">
        <f>VLOOKUP(B203,TH.T4!B201:AC531,28,FALSE)</f>
        <v>CK</v>
      </c>
      <c r="AD203" s="471"/>
      <c r="AE203" s="108"/>
      <c r="AF203" s="155"/>
      <c r="AG203" s="108"/>
      <c r="AH203" s="108"/>
      <c r="AI203" s="108"/>
      <c r="AJ203" s="108"/>
      <c r="AK203" s="108"/>
      <c r="AL203" s="108"/>
    </row>
    <row r="204" spans="1:42" s="372" customFormat="1" ht="25.5" customHeight="1">
      <c r="A204" s="379">
        <f>_xlfn.AGGREGATE(4,7,A$22:A203)+1</f>
        <v>182</v>
      </c>
      <c r="B204" s="363" t="s">
        <v>1892</v>
      </c>
      <c r="C204" s="364" t="s">
        <v>920</v>
      </c>
      <c r="D204" s="406" t="s">
        <v>1765</v>
      </c>
      <c r="E204" s="423" t="s">
        <v>1374</v>
      </c>
      <c r="F204" s="366">
        <v>4.9800000000000004</v>
      </c>
      <c r="G204" s="367">
        <v>0.05</v>
      </c>
      <c r="H204" s="368">
        <f t="shared" si="40"/>
        <v>5.2290000000000001</v>
      </c>
      <c r="I204" s="368"/>
      <c r="J204" s="81" t="str">
        <f>VLOOKUP(B204,TH.T5!B204:F533,5,FALSE)</f>
        <v>Giảng viên khoa Cơ khí</v>
      </c>
      <c r="K204" s="369">
        <f t="shared" si="41"/>
        <v>5.2290000000000001</v>
      </c>
      <c r="L204" s="362">
        <f t="shared" si="42"/>
        <v>9412200</v>
      </c>
      <c r="M204" s="366" t="str">
        <f>VLOOKUP(B204,'[24]Gui chi Quynh'!$B$11:$E$400,4,FALSE)</f>
        <v>A4</v>
      </c>
      <c r="N204" s="494">
        <f t="shared" si="30"/>
        <v>9412200</v>
      </c>
      <c r="O204" s="366">
        <v>20</v>
      </c>
      <c r="P204" s="440">
        <f>IFERROR(INDEX('[17]CN BC'!$J$10:$J$276,MATCH(B204,'[17]CN BC'!$H$10:$H$276,0)),"")</f>
        <v>20</v>
      </c>
      <c r="Q204" s="494">
        <f t="shared" si="37"/>
        <v>9412200</v>
      </c>
      <c r="R204" s="392"/>
      <c r="S204" s="362">
        <f t="shared" si="29"/>
        <v>0</v>
      </c>
      <c r="T204" s="370"/>
      <c r="U204" s="362">
        <f t="shared" si="39"/>
        <v>0</v>
      </c>
      <c r="V204" s="584">
        <f t="shared" si="33"/>
        <v>94122</v>
      </c>
      <c r="W204" s="371">
        <f t="shared" si="38"/>
        <v>9412200</v>
      </c>
      <c r="X204" s="977">
        <f t="shared" si="35"/>
        <v>5.2290000000000001</v>
      </c>
      <c r="Y204" s="999">
        <v>1800000</v>
      </c>
      <c r="Z204" s="1000">
        <f t="shared" si="36"/>
        <v>9412200</v>
      </c>
      <c r="AA204" s="568">
        <f t="shared" si="34"/>
        <v>182</v>
      </c>
      <c r="AB204" s="493">
        <f>IFERROR(INDEX('[17]CN BC'!$M$10:$M$276,MATCH(B204,'[17]CN BC'!$H$10:$H$276,0)),"")</f>
        <v>0</v>
      </c>
      <c r="AC204" s="141" t="str">
        <f>VLOOKUP(B204,TH.T4!B202:AC532,28,FALSE)</f>
        <v>CK</v>
      </c>
      <c r="AD204" s="108"/>
      <c r="AE204" s="108"/>
      <c r="AF204" s="155"/>
      <c r="AG204" s="108"/>
      <c r="AH204" s="108"/>
      <c r="AI204" s="108"/>
      <c r="AJ204" s="108"/>
      <c r="AK204" s="108"/>
      <c r="AL204" s="108"/>
      <c r="AM204" s="108"/>
      <c r="AN204" s="108"/>
      <c r="AO204" s="108"/>
      <c r="AP204" s="108"/>
    </row>
    <row r="205" spans="1:42" s="372" customFormat="1" ht="25.5" customHeight="1">
      <c r="A205" s="379">
        <f>_xlfn.AGGREGATE(4,7,A$22:A204)+1</f>
        <v>183</v>
      </c>
      <c r="B205" s="363" t="s">
        <v>1526</v>
      </c>
      <c r="C205" s="364" t="s">
        <v>1214</v>
      </c>
      <c r="D205" s="434" t="s">
        <v>1766</v>
      </c>
      <c r="E205" s="194" t="s">
        <v>1939</v>
      </c>
      <c r="F205" s="373">
        <v>3.66</v>
      </c>
      <c r="G205" s="367"/>
      <c r="H205" s="368">
        <f t="shared" si="40"/>
        <v>3.66</v>
      </c>
      <c r="I205" s="368">
        <v>0.35</v>
      </c>
      <c r="J205" s="81" t="str">
        <f>VLOOKUP(B205,TH.T5!B205:F534,5,FALSE)</f>
        <v>Phó Trưởng khoa Cơ khí</v>
      </c>
      <c r="K205" s="369">
        <f t="shared" si="41"/>
        <v>4.01</v>
      </c>
      <c r="L205" s="362">
        <f t="shared" si="42"/>
        <v>7218000</v>
      </c>
      <c r="M205" s="366" t="str">
        <f>VLOOKUP(B205,'[24]Gui chi Quynh'!$B$11:$E$400,4,FALSE)</f>
        <v>A2</v>
      </c>
      <c r="N205" s="494">
        <f t="shared" si="30"/>
        <v>10105200</v>
      </c>
      <c r="O205" s="366">
        <v>20</v>
      </c>
      <c r="P205" s="440">
        <f>IFERROR(INDEX('[17]CN BC'!$J$10:$J$276,MATCH(B205,'[17]CN BC'!$H$10:$H$276,0)),"")</f>
        <v>20</v>
      </c>
      <c r="Q205" s="494">
        <f t="shared" si="37"/>
        <v>10105200</v>
      </c>
      <c r="R205" s="460"/>
      <c r="S205" s="362">
        <f t="shared" si="29"/>
        <v>0</v>
      </c>
      <c r="T205" s="370"/>
      <c r="U205" s="362">
        <f t="shared" si="39"/>
        <v>0</v>
      </c>
      <c r="V205" s="584">
        <f t="shared" si="33"/>
        <v>72180</v>
      </c>
      <c r="W205" s="371">
        <f t="shared" si="38"/>
        <v>10105200</v>
      </c>
      <c r="X205" s="977">
        <f t="shared" si="35"/>
        <v>5.6139999999999999</v>
      </c>
      <c r="Y205" s="999">
        <v>1800000</v>
      </c>
      <c r="Z205" s="1000">
        <f t="shared" si="36"/>
        <v>10105200</v>
      </c>
      <c r="AA205" s="568">
        <f t="shared" si="34"/>
        <v>183</v>
      </c>
      <c r="AB205" s="493">
        <f>IFERROR(INDEX('[17]CN BC'!$M$10:$M$276,MATCH(B205,'[17]CN BC'!$H$10:$H$276,0)),"")</f>
        <v>0</v>
      </c>
      <c r="AC205" s="141" t="str">
        <f>VLOOKUP(B205,TH.T4!B203:AC533,28,FALSE)</f>
        <v>CK</v>
      </c>
      <c r="AD205" s="108"/>
      <c r="AE205" s="108"/>
      <c r="AF205" s="155"/>
      <c r="AG205" s="108"/>
      <c r="AH205" s="108"/>
      <c r="AI205" s="108"/>
      <c r="AJ205" s="108"/>
      <c r="AK205" s="108"/>
      <c r="AL205" s="108"/>
    </row>
    <row r="206" spans="1:42" s="372" customFormat="1" ht="26.25" customHeight="1">
      <c r="A206" s="379">
        <f>_xlfn.AGGREGATE(4,7,A$22:A205)+1</f>
        <v>184</v>
      </c>
      <c r="B206" s="363" t="s">
        <v>1527</v>
      </c>
      <c r="C206" s="364" t="s">
        <v>1009</v>
      </c>
      <c r="D206" s="434" t="s">
        <v>1767</v>
      </c>
      <c r="E206" s="423" t="s">
        <v>1379</v>
      </c>
      <c r="F206" s="373">
        <v>3.66</v>
      </c>
      <c r="G206" s="367"/>
      <c r="H206" s="368">
        <f t="shared" si="40"/>
        <v>3.66</v>
      </c>
      <c r="I206" s="368"/>
      <c r="J206" s="81" t="str">
        <f>VLOOKUP(B206,TH.T5!B206:F535,5,FALSE)</f>
        <v>Giảng viên khoa Cơ khí</v>
      </c>
      <c r="K206" s="369">
        <f t="shared" si="41"/>
        <v>3.66</v>
      </c>
      <c r="L206" s="362">
        <f t="shared" si="42"/>
        <v>6588000</v>
      </c>
      <c r="M206" s="366" t="str">
        <f>VLOOKUP(B206,'[24]Gui chi Quynh'!$B$11:$E$400,4,FALSE)</f>
        <v>A3</v>
      </c>
      <c r="N206" s="494">
        <f t="shared" si="30"/>
        <v>7905600</v>
      </c>
      <c r="O206" s="366">
        <v>20</v>
      </c>
      <c r="P206" s="440">
        <f>IFERROR(INDEX('[17]CN BC'!$J$10:$J$276,MATCH(B206,'[17]CN BC'!$H$10:$H$276,0)),"")</f>
        <v>20</v>
      </c>
      <c r="Q206" s="494">
        <f t="shared" si="37"/>
        <v>7905600</v>
      </c>
      <c r="R206" s="460"/>
      <c r="S206" s="362">
        <f t="shared" si="29"/>
        <v>0</v>
      </c>
      <c r="T206" s="370"/>
      <c r="U206" s="362">
        <f t="shared" si="39"/>
        <v>0</v>
      </c>
      <c r="V206" s="584">
        <f t="shared" si="33"/>
        <v>65880</v>
      </c>
      <c r="W206" s="371">
        <f t="shared" si="38"/>
        <v>7905600</v>
      </c>
      <c r="X206" s="977">
        <f t="shared" si="35"/>
        <v>4.3920000000000003</v>
      </c>
      <c r="Y206" s="999">
        <v>1800000</v>
      </c>
      <c r="Z206" s="1000">
        <f t="shared" si="36"/>
        <v>7905600.0000000009</v>
      </c>
      <c r="AA206" s="568">
        <f t="shared" si="34"/>
        <v>184</v>
      </c>
      <c r="AB206" s="493">
        <f>IFERROR(INDEX('[17]CN BC'!$M$10:$M$276,MATCH(B206,'[17]CN BC'!$H$10:$H$276,0)),"")</f>
        <v>0</v>
      </c>
      <c r="AC206" s="141" t="str">
        <f>VLOOKUP(B206,TH.T4!B204:AC534,28,FALSE)</f>
        <v>CK</v>
      </c>
      <c r="AD206" s="108"/>
      <c r="AE206" s="108"/>
      <c r="AF206" s="487"/>
    </row>
    <row r="207" spans="1:42" s="372" customFormat="1" ht="27.75" customHeight="1">
      <c r="A207" s="379">
        <f>_xlfn.AGGREGATE(4,7,A$22:A206)+1</f>
        <v>185</v>
      </c>
      <c r="B207" s="363" t="s">
        <v>1893</v>
      </c>
      <c r="C207" s="364" t="s">
        <v>891</v>
      </c>
      <c r="D207" s="434" t="s">
        <v>1768</v>
      </c>
      <c r="E207" s="423" t="s">
        <v>387</v>
      </c>
      <c r="F207" s="373">
        <v>3.66</v>
      </c>
      <c r="G207" s="367"/>
      <c r="H207" s="368">
        <f t="shared" si="40"/>
        <v>3.66</v>
      </c>
      <c r="I207" s="368"/>
      <c r="J207" s="81" t="str">
        <f>VLOOKUP(B207,TH.T5!B207:F536,5,FALSE)</f>
        <v>Giảng viên khoa Cơ khí</v>
      </c>
      <c r="K207" s="369">
        <f t="shared" si="41"/>
        <v>3.66</v>
      </c>
      <c r="L207" s="362">
        <f t="shared" si="42"/>
        <v>6588000</v>
      </c>
      <c r="M207" s="366" t="str">
        <f>VLOOKUP(B207,'[24]Gui chi Quynh'!$B$11:$E$400,4,FALSE)</f>
        <v>A3</v>
      </c>
      <c r="N207" s="494">
        <f t="shared" si="30"/>
        <v>7905600</v>
      </c>
      <c r="O207" s="366">
        <v>20</v>
      </c>
      <c r="P207" s="440">
        <f>IFERROR(INDEX('[17]CN BC'!$J$10:$J$276,MATCH(B207,'[17]CN BC'!$H$10:$H$276,0)),"")</f>
        <v>20</v>
      </c>
      <c r="Q207" s="494">
        <f t="shared" si="37"/>
        <v>7905600</v>
      </c>
      <c r="R207" s="392"/>
      <c r="S207" s="362">
        <f t="shared" si="29"/>
        <v>0</v>
      </c>
      <c r="T207" s="370"/>
      <c r="U207" s="362">
        <f t="shared" si="39"/>
        <v>0</v>
      </c>
      <c r="V207" s="584">
        <f t="shared" si="33"/>
        <v>65880</v>
      </c>
      <c r="W207" s="371">
        <f t="shared" si="38"/>
        <v>7905600</v>
      </c>
      <c r="X207" s="977">
        <f t="shared" si="35"/>
        <v>4.3920000000000003</v>
      </c>
      <c r="Y207" s="999">
        <v>1800000</v>
      </c>
      <c r="Z207" s="1000">
        <f t="shared" si="36"/>
        <v>7905600.0000000009</v>
      </c>
      <c r="AA207" s="568">
        <f t="shared" si="34"/>
        <v>185</v>
      </c>
      <c r="AB207" s="493">
        <f>IFERROR(INDEX('[17]CN BC'!$M$10:$M$276,MATCH(B207,'[17]CN BC'!$H$10:$H$276,0)),"")</f>
        <v>0</v>
      </c>
      <c r="AC207" s="141" t="str">
        <f>VLOOKUP(B207,TH.T4!B205:AC535,28,FALSE)</f>
        <v>CK</v>
      </c>
      <c r="AD207" s="108"/>
      <c r="AE207" s="108"/>
      <c r="AF207" s="155"/>
      <c r="AG207" s="108"/>
      <c r="AH207" s="108"/>
      <c r="AI207" s="108"/>
      <c r="AJ207" s="108"/>
      <c r="AK207" s="108"/>
      <c r="AL207" s="108"/>
    </row>
    <row r="208" spans="1:42" s="372" customFormat="1" ht="27.75" customHeight="1">
      <c r="A208" s="379">
        <f>_xlfn.AGGREGATE(4,7,A$22:A207)+1</f>
        <v>186</v>
      </c>
      <c r="B208" s="363" t="s">
        <v>1894</v>
      </c>
      <c r="C208" s="364" t="s">
        <v>880</v>
      </c>
      <c r="D208" s="434" t="s">
        <v>1769</v>
      </c>
      <c r="E208" s="423" t="s">
        <v>388</v>
      </c>
      <c r="F208" s="373">
        <v>3.66</v>
      </c>
      <c r="G208" s="367"/>
      <c r="H208" s="368">
        <f t="shared" si="40"/>
        <v>3.66</v>
      </c>
      <c r="I208" s="368"/>
      <c r="J208" s="81" t="str">
        <f>VLOOKUP(B208,TH.T5!B208:F537,5,FALSE)</f>
        <v>Giảng viên khoa Cơ khí</v>
      </c>
      <c r="K208" s="369">
        <f t="shared" si="41"/>
        <v>3.66</v>
      </c>
      <c r="L208" s="362">
        <f t="shared" si="42"/>
        <v>6588000</v>
      </c>
      <c r="M208" s="366" t="str">
        <f>VLOOKUP(B208,'[24]Gui chi Quynh'!$B$11:$E$400,4,FALSE)</f>
        <v>A3</v>
      </c>
      <c r="N208" s="494">
        <f t="shared" si="30"/>
        <v>7905600</v>
      </c>
      <c r="O208" s="366">
        <v>20</v>
      </c>
      <c r="P208" s="440">
        <f>IFERROR(INDEX('[17]CN BC'!$J$10:$J$276,MATCH(B208,'[17]CN BC'!$H$10:$H$276,0)),"")</f>
        <v>20</v>
      </c>
      <c r="Q208" s="494">
        <f t="shared" si="37"/>
        <v>7905600</v>
      </c>
      <c r="R208" s="460"/>
      <c r="S208" s="362">
        <f t="shared" ref="S208:S272" si="43">R208*$G$19*1</f>
        <v>0</v>
      </c>
      <c r="T208" s="370"/>
      <c r="U208" s="362">
        <f t="shared" si="39"/>
        <v>0</v>
      </c>
      <c r="V208" s="584">
        <f t="shared" si="33"/>
        <v>65880</v>
      </c>
      <c r="W208" s="371">
        <f t="shared" si="38"/>
        <v>7905600</v>
      </c>
      <c r="X208" s="977">
        <f t="shared" si="35"/>
        <v>4.3920000000000003</v>
      </c>
      <c r="Y208" s="999">
        <v>1800000</v>
      </c>
      <c r="Z208" s="1000">
        <f t="shared" si="36"/>
        <v>7905600.0000000009</v>
      </c>
      <c r="AA208" s="568">
        <f t="shared" si="34"/>
        <v>186</v>
      </c>
      <c r="AB208" s="493">
        <f>IFERROR(INDEX('[17]CN BC'!$M$10:$M$276,MATCH(B208,'[17]CN BC'!$H$10:$H$276,0)),"")</f>
        <v>0</v>
      </c>
      <c r="AC208" s="141" t="str">
        <f>VLOOKUP(B208,TH.T4!B206:AC536,28,FALSE)</f>
        <v>CK</v>
      </c>
      <c r="AD208" s="108"/>
      <c r="AE208" s="108"/>
      <c r="AF208" s="155"/>
      <c r="AG208" s="108"/>
      <c r="AH208" s="108"/>
      <c r="AI208" s="108"/>
      <c r="AJ208" s="108"/>
      <c r="AK208" s="108"/>
      <c r="AL208" s="108"/>
    </row>
    <row r="209" spans="1:42" s="372" customFormat="1" ht="32.25" customHeight="1">
      <c r="A209" s="379">
        <f>_xlfn.AGGREGATE(4,7,A$22:A208)+1</f>
        <v>187</v>
      </c>
      <c r="B209" s="363" t="s">
        <v>2023</v>
      </c>
      <c r="C209" s="592" t="s">
        <v>364</v>
      </c>
      <c r="D209" s="434" t="s">
        <v>1770</v>
      </c>
      <c r="E209" s="423" t="s">
        <v>386</v>
      </c>
      <c r="F209" s="373">
        <v>3.66</v>
      </c>
      <c r="G209" s="367"/>
      <c r="H209" s="368">
        <f t="shared" si="40"/>
        <v>3.66</v>
      </c>
      <c r="I209" s="368"/>
      <c r="J209" s="81" t="str">
        <f>VLOOKUP(B209,TH.T5!B209:F538,5,FALSE)</f>
        <v>Giảng viên khoa Cơ khí</v>
      </c>
      <c r="K209" s="369">
        <f t="shared" si="41"/>
        <v>3.66</v>
      </c>
      <c r="L209" s="362">
        <f t="shared" si="42"/>
        <v>6588000</v>
      </c>
      <c r="M209" s="366" t="str">
        <f>VLOOKUP(B209,'[24]Gui chi Quynh'!$B$11:$E$400,4,FALSE)</f>
        <v>A4</v>
      </c>
      <c r="N209" s="494">
        <f t="shared" si="30"/>
        <v>6588000</v>
      </c>
      <c r="O209" s="366">
        <v>20</v>
      </c>
      <c r="P209" s="440">
        <f>IFERROR(INDEX('[17]CN BC'!$J$10:$J$276,MATCH(B209,'[17]CN BC'!$H$10:$H$276,0)),"")</f>
        <v>20</v>
      </c>
      <c r="Q209" s="494">
        <f t="shared" si="37"/>
        <v>6588000</v>
      </c>
      <c r="R209" s="460"/>
      <c r="S209" s="362">
        <f t="shared" si="43"/>
        <v>0</v>
      </c>
      <c r="T209" s="370"/>
      <c r="U209" s="362">
        <f t="shared" si="39"/>
        <v>0</v>
      </c>
      <c r="V209" s="362">
        <f t="shared" si="33"/>
        <v>65880</v>
      </c>
      <c r="W209" s="371">
        <f t="shared" si="38"/>
        <v>6588000</v>
      </c>
      <c r="X209" s="977">
        <f t="shared" si="35"/>
        <v>3.66</v>
      </c>
      <c r="Y209" s="999">
        <v>1800000</v>
      </c>
      <c r="Z209" s="1000">
        <f t="shared" si="36"/>
        <v>6588000</v>
      </c>
      <c r="AA209" s="568">
        <f t="shared" si="34"/>
        <v>187</v>
      </c>
      <c r="AB209" s="493">
        <f>IFERROR(INDEX('[17]CN BC'!$M$10:$M$276,MATCH(B209,'[17]CN BC'!$H$10:$H$276,0)),"")</f>
        <v>0</v>
      </c>
      <c r="AC209" s="141" t="str">
        <f>VLOOKUP(B209,TH.T4!B207:AC537,28,FALSE)</f>
        <v>CK</v>
      </c>
      <c r="AF209" s="487"/>
    </row>
    <row r="210" spans="1:42" s="372" customFormat="1" ht="27.75" customHeight="1">
      <c r="A210" s="379">
        <f>_xlfn.AGGREGATE(4,7,A$22:A209)+1</f>
        <v>188</v>
      </c>
      <c r="B210" s="363" t="s">
        <v>1528</v>
      </c>
      <c r="C210" s="364" t="s">
        <v>455</v>
      </c>
      <c r="D210" s="406" t="s">
        <v>1771</v>
      </c>
      <c r="E210" s="423" t="s">
        <v>456</v>
      </c>
      <c r="F210" s="373">
        <v>3.66</v>
      </c>
      <c r="G210" s="367"/>
      <c r="H210" s="445">
        <f t="shared" si="40"/>
        <v>3.66</v>
      </c>
      <c r="I210" s="368"/>
      <c r="J210" s="81" t="str">
        <f>VLOOKUP(B210,TH.T5!B210:F539,5,FALSE)</f>
        <v>Giảng viên khoa Cơ khí</v>
      </c>
      <c r="K210" s="369">
        <f t="shared" si="41"/>
        <v>3.66</v>
      </c>
      <c r="L210" s="362">
        <f t="shared" si="42"/>
        <v>6588000</v>
      </c>
      <c r="M210" s="366" t="str">
        <f>VLOOKUP(B210,'[24]Gui chi Quynh'!$B$11:$E$400,4,FALSE)</f>
        <v>A4</v>
      </c>
      <c r="N210" s="494">
        <f t="shared" si="30"/>
        <v>6588000</v>
      </c>
      <c r="O210" s="366">
        <v>20</v>
      </c>
      <c r="P210" s="440">
        <f>IFERROR(INDEX('[17]CN BC'!$J$10:$J$276,MATCH(B210,'[17]CN BC'!$H$10:$H$276,0)),"")</f>
        <v>20</v>
      </c>
      <c r="Q210" s="494">
        <f t="shared" si="37"/>
        <v>6588000</v>
      </c>
      <c r="R210" s="392"/>
      <c r="S210" s="362">
        <f t="shared" si="43"/>
        <v>0</v>
      </c>
      <c r="T210" s="370"/>
      <c r="U210" s="362">
        <f t="shared" si="39"/>
        <v>0</v>
      </c>
      <c r="V210" s="584">
        <f t="shared" si="33"/>
        <v>65880</v>
      </c>
      <c r="W210" s="371">
        <f t="shared" si="38"/>
        <v>6588000</v>
      </c>
      <c r="X210" s="977">
        <f t="shared" si="35"/>
        <v>3.66</v>
      </c>
      <c r="Y210" s="999">
        <v>1800000</v>
      </c>
      <c r="Z210" s="1000">
        <f t="shared" si="36"/>
        <v>6588000</v>
      </c>
      <c r="AA210" s="568">
        <f t="shared" si="34"/>
        <v>188</v>
      </c>
      <c r="AB210" s="493">
        <f>IFERROR(INDEX('[17]CN BC'!$M$10:$M$276,MATCH(B210,'[17]CN BC'!$H$10:$H$276,0)),"")</f>
        <v>0</v>
      </c>
      <c r="AC210" s="141" t="str">
        <f>VLOOKUP(B210,TH.T4!B208:AC538,28,FALSE)</f>
        <v>CK</v>
      </c>
      <c r="AD210" s="108"/>
      <c r="AE210" s="108"/>
      <c r="AF210" s="155"/>
      <c r="AG210" s="108"/>
      <c r="AH210" s="108"/>
      <c r="AI210" s="108"/>
      <c r="AJ210" s="108"/>
      <c r="AK210" s="108"/>
      <c r="AL210" s="108"/>
      <c r="AM210" s="108"/>
      <c r="AN210" s="108"/>
      <c r="AO210" s="108"/>
      <c r="AP210" s="108"/>
    </row>
    <row r="211" spans="1:42" s="372" customFormat="1" ht="30" customHeight="1">
      <c r="A211" s="379">
        <f>_xlfn.AGGREGATE(4,7,A$22:A210)+1</f>
        <v>189</v>
      </c>
      <c r="B211" s="363" t="s">
        <v>1529</v>
      </c>
      <c r="C211" s="364" t="s">
        <v>876</v>
      </c>
      <c r="D211" s="406" t="s">
        <v>1772</v>
      </c>
      <c r="E211" s="423" t="s">
        <v>743</v>
      </c>
      <c r="F211" s="373">
        <v>3.33</v>
      </c>
      <c r="G211" s="367"/>
      <c r="H211" s="445">
        <f t="shared" si="40"/>
        <v>3.33</v>
      </c>
      <c r="I211" s="368">
        <v>0.25</v>
      </c>
      <c r="J211" s="81" t="str">
        <f>VLOOKUP(B211,TH.T5!B211:F540,5,FALSE)</f>
        <v>Giảng viên - Trưởng BM khoa Cơ khí</v>
      </c>
      <c r="K211" s="369">
        <f t="shared" si="41"/>
        <v>3.58</v>
      </c>
      <c r="L211" s="362">
        <f t="shared" si="42"/>
        <v>6444000</v>
      </c>
      <c r="M211" s="366" t="str">
        <f>VLOOKUP(B211,'[24]Gui chi Quynh'!$B$11:$E$400,4,FALSE)</f>
        <v>A1</v>
      </c>
      <c r="N211" s="494">
        <f t="shared" si="30"/>
        <v>10310400</v>
      </c>
      <c r="O211" s="366">
        <v>20</v>
      </c>
      <c r="P211" s="440">
        <f>IFERROR(INDEX('[17]CN BC'!$J$10:$J$276,MATCH(B211,'[17]CN BC'!$H$10:$H$276,0)),"")</f>
        <v>20</v>
      </c>
      <c r="Q211" s="494">
        <f t="shared" si="37"/>
        <v>10310400</v>
      </c>
      <c r="R211" s="392"/>
      <c r="S211" s="362">
        <f t="shared" si="43"/>
        <v>0</v>
      </c>
      <c r="T211" s="385"/>
      <c r="U211" s="362">
        <f t="shared" si="39"/>
        <v>0</v>
      </c>
      <c r="V211" s="584">
        <f t="shared" si="33"/>
        <v>64440</v>
      </c>
      <c r="W211" s="371">
        <f t="shared" si="38"/>
        <v>10310400</v>
      </c>
      <c r="X211" s="977">
        <f t="shared" si="35"/>
        <v>5.7279999999999998</v>
      </c>
      <c r="Y211" s="999">
        <v>1800000</v>
      </c>
      <c r="Z211" s="1000">
        <f t="shared" si="36"/>
        <v>10310400</v>
      </c>
      <c r="AA211" s="568">
        <f t="shared" si="34"/>
        <v>189</v>
      </c>
      <c r="AB211" s="493">
        <f>IFERROR(INDEX('[17]CN BC'!$M$10:$M$276,MATCH(B211,'[17]CN BC'!$H$10:$H$276,0)),"")</f>
        <v>0</v>
      </c>
      <c r="AC211" s="141" t="str">
        <f>VLOOKUP(B211,TH.T4!B209:AC539,28,FALSE)</f>
        <v>CK</v>
      </c>
      <c r="AD211" s="108"/>
      <c r="AE211" s="108"/>
      <c r="AF211" s="155"/>
      <c r="AG211" s="108"/>
      <c r="AH211" s="108"/>
      <c r="AI211" s="108"/>
      <c r="AJ211" s="108"/>
      <c r="AK211" s="108"/>
      <c r="AL211" s="108"/>
      <c r="AM211" s="108"/>
      <c r="AN211" s="108"/>
      <c r="AO211" s="108"/>
      <c r="AP211" s="108"/>
    </row>
    <row r="212" spans="1:42" s="372" customFormat="1" ht="30" customHeight="1">
      <c r="A212" s="379">
        <f>_xlfn.AGGREGATE(4,7,A$22:A211)+1</f>
        <v>190</v>
      </c>
      <c r="B212" s="363" t="s">
        <v>1530</v>
      </c>
      <c r="C212" s="364" t="s">
        <v>886</v>
      </c>
      <c r="D212" s="434" t="s">
        <v>1773</v>
      </c>
      <c r="E212" s="430">
        <v>1603205357641</v>
      </c>
      <c r="F212" s="373">
        <v>3.66</v>
      </c>
      <c r="G212" s="367"/>
      <c r="H212" s="368">
        <f t="shared" si="40"/>
        <v>3.66</v>
      </c>
      <c r="I212" s="368"/>
      <c r="J212" s="81" t="str">
        <f>VLOOKUP(B212,TH.T5!B212:F541,5,FALSE)</f>
        <v>Giảng viên khoa Cơ khí</v>
      </c>
      <c r="K212" s="369">
        <f t="shared" si="41"/>
        <v>3.66</v>
      </c>
      <c r="L212" s="362">
        <f t="shared" si="42"/>
        <v>6588000</v>
      </c>
      <c r="M212" s="366" t="str">
        <f>VLOOKUP(B212,'[24]Gui chi Quynh'!$B$11:$E$400,4,FALSE)</f>
        <v>A4</v>
      </c>
      <c r="N212" s="494">
        <f t="shared" si="30"/>
        <v>6588000</v>
      </c>
      <c r="O212" s="366">
        <v>20</v>
      </c>
      <c r="P212" s="440">
        <f>IFERROR(INDEX('[17]CN BC'!$J$10:$J$276,MATCH(B212,'[17]CN BC'!$H$10:$H$276,0)),"")</f>
        <v>20</v>
      </c>
      <c r="Q212" s="494">
        <f t="shared" si="37"/>
        <v>6588000</v>
      </c>
      <c r="R212" s="460"/>
      <c r="S212" s="362">
        <f t="shared" si="43"/>
        <v>0</v>
      </c>
      <c r="T212" s="370"/>
      <c r="U212" s="362">
        <f t="shared" si="39"/>
        <v>0</v>
      </c>
      <c r="V212" s="584">
        <f t="shared" si="33"/>
        <v>65880</v>
      </c>
      <c r="W212" s="371">
        <f t="shared" si="38"/>
        <v>6588000</v>
      </c>
      <c r="X212" s="977">
        <f t="shared" si="35"/>
        <v>3.66</v>
      </c>
      <c r="Y212" s="999">
        <v>1800000</v>
      </c>
      <c r="Z212" s="1000">
        <f t="shared" si="36"/>
        <v>6588000</v>
      </c>
      <c r="AA212" s="568">
        <f t="shared" si="34"/>
        <v>190</v>
      </c>
      <c r="AB212" s="493">
        <f>IFERROR(INDEX('[17]CN BC'!$M$10:$M$276,MATCH(B212,'[17]CN BC'!$H$10:$H$276,0)),"")</f>
        <v>0</v>
      </c>
      <c r="AC212" s="141" t="str">
        <f>VLOOKUP(B212,TH.T4!B210:AC540,28,FALSE)</f>
        <v>CK</v>
      </c>
      <c r="AD212" s="541"/>
      <c r="AF212" s="487"/>
    </row>
    <row r="213" spans="1:42" s="372" customFormat="1" ht="25.9" customHeight="1">
      <c r="A213" s="379">
        <f>_xlfn.AGGREGATE(4,7,A$22:A212)+1</f>
        <v>191</v>
      </c>
      <c r="B213" s="363" t="s">
        <v>1531</v>
      </c>
      <c r="C213" s="364" t="s">
        <v>746</v>
      </c>
      <c r="D213" s="406" t="s">
        <v>1774</v>
      </c>
      <c r="E213" s="430">
        <v>1603205357120</v>
      </c>
      <c r="F213" s="373">
        <v>3.33</v>
      </c>
      <c r="G213" s="367"/>
      <c r="H213" s="445">
        <f t="shared" si="40"/>
        <v>3.33</v>
      </c>
      <c r="I213" s="368"/>
      <c r="J213" s="81" t="str">
        <f>VLOOKUP(B213,TH.T5!B213:F542,5,FALSE)</f>
        <v>Giảng viên khoa Cơ khí</v>
      </c>
      <c r="K213" s="369">
        <f t="shared" si="41"/>
        <v>3.33</v>
      </c>
      <c r="L213" s="362">
        <f t="shared" si="42"/>
        <v>5994000</v>
      </c>
      <c r="M213" s="366" t="str">
        <f>VLOOKUP(B213,'[24]Gui chi Quynh'!$B$11:$E$400,4,FALSE)</f>
        <v>A2</v>
      </c>
      <c r="N213" s="494">
        <f t="shared" si="30"/>
        <v>8391600</v>
      </c>
      <c r="O213" s="366">
        <v>20</v>
      </c>
      <c r="P213" s="440">
        <f>IFERROR(INDEX('[17]CN BC'!$J$10:$J$276,MATCH(B213,'[17]CN BC'!$H$10:$H$276,0)),"")</f>
        <v>20</v>
      </c>
      <c r="Q213" s="494">
        <f t="shared" si="37"/>
        <v>8391600</v>
      </c>
      <c r="R213" s="392"/>
      <c r="S213" s="362">
        <f t="shared" si="43"/>
        <v>0</v>
      </c>
      <c r="T213" s="370"/>
      <c r="U213" s="362">
        <f t="shared" si="39"/>
        <v>0</v>
      </c>
      <c r="V213" s="584">
        <f t="shared" si="33"/>
        <v>59940</v>
      </c>
      <c r="W213" s="371">
        <f t="shared" si="38"/>
        <v>8391600</v>
      </c>
      <c r="X213" s="977">
        <f t="shared" si="35"/>
        <v>4.6619999999999999</v>
      </c>
      <c r="Y213" s="999">
        <v>1800000</v>
      </c>
      <c r="Z213" s="1000">
        <f t="shared" si="36"/>
        <v>8391600</v>
      </c>
      <c r="AA213" s="568">
        <f t="shared" si="34"/>
        <v>191</v>
      </c>
      <c r="AB213" s="493">
        <f>IFERROR(INDEX('[17]CN BC'!$M$10:$M$276,MATCH(B213,'[17]CN BC'!$H$10:$H$276,0)),"")</f>
        <v>0</v>
      </c>
      <c r="AC213" s="141" t="str">
        <f>VLOOKUP(B213,TH.T4!B211:AC541,28,FALSE)</f>
        <v>CK</v>
      </c>
      <c r="AD213" s="108"/>
      <c r="AE213" s="108"/>
      <c r="AF213" s="155"/>
      <c r="AG213" s="108"/>
      <c r="AH213" s="108"/>
      <c r="AI213" s="108"/>
      <c r="AJ213" s="108"/>
      <c r="AK213" s="108"/>
      <c r="AL213" s="108"/>
      <c r="AM213" s="108"/>
      <c r="AN213" s="108"/>
      <c r="AO213" s="108"/>
      <c r="AP213" s="108"/>
    </row>
    <row r="214" spans="1:42" s="372" customFormat="1" ht="32.25" customHeight="1">
      <c r="A214" s="379">
        <f>_xlfn.AGGREGATE(4,7,A$22:A213)+1</f>
        <v>192</v>
      </c>
      <c r="B214" s="363" t="s">
        <v>1895</v>
      </c>
      <c r="C214" s="364" t="s">
        <v>905</v>
      </c>
      <c r="D214" s="434" t="s">
        <v>1775</v>
      </c>
      <c r="E214" s="423" t="s">
        <v>1261</v>
      </c>
      <c r="F214" s="366">
        <v>4.9800000000000004</v>
      </c>
      <c r="G214" s="367">
        <v>7.0000000000000007E-2</v>
      </c>
      <c r="H214" s="368">
        <f t="shared" si="40"/>
        <v>5.3286000000000007</v>
      </c>
      <c r="I214" s="368"/>
      <c r="J214" s="81" t="str">
        <f>VLOOKUP(B214,TH.T5!B214:F543,5,FALSE)</f>
        <v>Giảng viên khoa Cơ khí</v>
      </c>
      <c r="K214" s="369">
        <f t="shared" si="41"/>
        <v>5.3286000000000007</v>
      </c>
      <c r="L214" s="362">
        <f t="shared" si="42"/>
        <v>9591480.0000000019</v>
      </c>
      <c r="M214" s="366" t="str">
        <f>VLOOKUP(B214,'[24]Gui chi Quynh'!$B$11:$E$400,4,FALSE)</f>
        <v>A4</v>
      </c>
      <c r="N214" s="494">
        <f t="shared" si="30"/>
        <v>9591480.0000000019</v>
      </c>
      <c r="O214" s="366">
        <v>20</v>
      </c>
      <c r="P214" s="440">
        <f>IFERROR(INDEX('[17]CN BC'!$J$10:$J$276,MATCH(B214,'[17]CN BC'!$H$10:$H$276,0)),"")</f>
        <v>20</v>
      </c>
      <c r="Q214" s="494">
        <f t="shared" si="37"/>
        <v>9591480.0000000019</v>
      </c>
      <c r="R214" s="392"/>
      <c r="S214" s="362">
        <f t="shared" si="43"/>
        <v>0</v>
      </c>
      <c r="T214" s="370"/>
      <c r="U214" s="362">
        <f t="shared" si="39"/>
        <v>0</v>
      </c>
      <c r="V214" s="584">
        <f t="shared" si="33"/>
        <v>95915</v>
      </c>
      <c r="W214" s="371">
        <f t="shared" si="38"/>
        <v>9591480.0000000019</v>
      </c>
      <c r="X214" s="977">
        <f t="shared" si="35"/>
        <v>5.3286000000000007</v>
      </c>
      <c r="Y214" s="999">
        <v>1800000</v>
      </c>
      <c r="Z214" s="1000">
        <f t="shared" si="36"/>
        <v>9591480.0000000019</v>
      </c>
      <c r="AA214" s="568">
        <f t="shared" si="34"/>
        <v>192</v>
      </c>
      <c r="AB214" s="493">
        <f>IFERROR(INDEX('[17]CN BC'!$M$10:$M$276,MATCH(B214,'[17]CN BC'!$H$10:$H$276,0)),"")</f>
        <v>0</v>
      </c>
      <c r="AC214" s="141" t="str">
        <f>VLOOKUP(B214,TH.T4!B212:AC542,28,FALSE)</f>
        <v>CK</v>
      </c>
      <c r="AD214" s="524"/>
      <c r="AE214" s="108"/>
      <c r="AF214" s="155"/>
      <c r="AG214" s="108"/>
      <c r="AH214" s="108"/>
      <c r="AI214" s="108"/>
      <c r="AJ214" s="108"/>
      <c r="AK214" s="108"/>
      <c r="AL214" s="108"/>
    </row>
    <row r="215" spans="1:42" s="372" customFormat="1" ht="25.5" customHeight="1">
      <c r="A215" s="379">
        <f>_xlfn.AGGREGATE(4,7,A$22:A214)+1</f>
        <v>193</v>
      </c>
      <c r="B215" s="363" t="s">
        <v>1896</v>
      </c>
      <c r="C215" s="364" t="s">
        <v>1035</v>
      </c>
      <c r="D215" s="434" t="s">
        <v>1776</v>
      </c>
      <c r="E215" s="423" t="s">
        <v>1365</v>
      </c>
      <c r="F215" s="366">
        <v>4.9800000000000004</v>
      </c>
      <c r="G215" s="367">
        <v>0.11</v>
      </c>
      <c r="H215" s="368">
        <f t="shared" si="40"/>
        <v>5.5278000000000009</v>
      </c>
      <c r="I215" s="368"/>
      <c r="J215" s="81" t="str">
        <f>VLOOKUP(B215,TH.T5!B215:F544,5,FALSE)</f>
        <v>Giảng viên khoa Cơ khí</v>
      </c>
      <c r="K215" s="369">
        <f t="shared" si="41"/>
        <v>5.5278000000000009</v>
      </c>
      <c r="L215" s="362">
        <f t="shared" si="42"/>
        <v>9950040.0000000019</v>
      </c>
      <c r="M215" s="366" t="str">
        <f>VLOOKUP(B215,'[24]Gui chi Quynh'!$B$11:$E$400,4,FALSE)</f>
        <v>A4</v>
      </c>
      <c r="N215" s="494">
        <f t="shared" ref="N215:N278" si="44">IF(M215="A1",L215*1.6,IF(M215="A2",L215*1.4,IF(M215="A3",L215*1.2,IF(M215="A4",L215*1,IF(M215="B1",L215*0.7,IF(M215="B2",L215*0.5,IF(M215="C1",L215*0.3,IF(M215="C2",L215*0.2,0))))))))</f>
        <v>9950040.0000000019</v>
      </c>
      <c r="O215" s="366">
        <v>20</v>
      </c>
      <c r="P215" s="440">
        <f>IFERROR(INDEX('[17]CN BC'!$J$10:$J$276,MATCH(B215,'[17]CN BC'!$H$10:$H$276,0)),"")</f>
        <v>20</v>
      </c>
      <c r="Q215" s="494">
        <f t="shared" si="37"/>
        <v>9950040.0000000019</v>
      </c>
      <c r="R215" s="485"/>
      <c r="S215" s="362">
        <f>R215*$G$19*0.8</f>
        <v>0</v>
      </c>
      <c r="T215" s="370"/>
      <c r="U215" s="362">
        <f t="shared" si="39"/>
        <v>0</v>
      </c>
      <c r="V215" s="584">
        <f t="shared" ref="V215:V287" si="45">IF(OR(M215="A DN",M215="KXL", M215=""),"0",ROUND(K215*0.01*$G$19+R215*1%*$G$19+T215*1%*$G$19,))</f>
        <v>99500</v>
      </c>
      <c r="W215" s="371">
        <f t="shared" si="38"/>
        <v>9950040.0000000019</v>
      </c>
      <c r="X215" s="977">
        <f t="shared" si="35"/>
        <v>5.5278000000000009</v>
      </c>
      <c r="Y215" s="999">
        <v>1800000</v>
      </c>
      <c r="Z215" s="1000">
        <f t="shared" si="36"/>
        <v>9950040.0000000019</v>
      </c>
      <c r="AA215" s="568">
        <f t="shared" ref="AA215:AA278" si="46">A215</f>
        <v>193</v>
      </c>
      <c r="AB215" s="493">
        <f>IFERROR(INDEX('[17]CN BC'!$M$10:$M$276,MATCH(B215,'[17]CN BC'!$H$10:$H$276,0)),"")</f>
        <v>0</v>
      </c>
      <c r="AC215" s="141" t="str">
        <f>VLOOKUP(B215,TH.T4!B213:AC543,28,FALSE)</f>
        <v>CK</v>
      </c>
      <c r="AD215" s="108"/>
      <c r="AE215" s="108"/>
      <c r="AF215" s="155"/>
      <c r="AG215" s="108"/>
      <c r="AH215" s="108"/>
      <c r="AI215" s="108"/>
      <c r="AJ215" s="108"/>
      <c r="AK215" s="108"/>
      <c r="AL215" s="108"/>
    </row>
    <row r="216" spans="1:42" s="372" customFormat="1" ht="29.25" customHeight="1">
      <c r="A216" s="379">
        <f>_xlfn.AGGREGATE(4,7,A$22:A215)+1</f>
        <v>194</v>
      </c>
      <c r="B216" s="363" t="s">
        <v>1532</v>
      </c>
      <c r="C216" s="364" t="s">
        <v>884</v>
      </c>
      <c r="D216" s="406" t="s">
        <v>1777</v>
      </c>
      <c r="E216" s="422" t="s">
        <v>1594</v>
      </c>
      <c r="F216" s="373">
        <v>3.33</v>
      </c>
      <c r="G216" s="367"/>
      <c r="H216" s="445">
        <f t="shared" si="40"/>
        <v>3.33</v>
      </c>
      <c r="I216" s="368"/>
      <c r="J216" s="81" t="str">
        <f>VLOOKUP(B216,TH.T5!B216:F545,5,FALSE)</f>
        <v>Giảng viên khoa Cơ khí</v>
      </c>
      <c r="K216" s="369">
        <f t="shared" si="41"/>
        <v>3.33</v>
      </c>
      <c r="L216" s="362">
        <f t="shared" si="42"/>
        <v>5994000</v>
      </c>
      <c r="M216" s="366" t="str">
        <f>VLOOKUP(B216,'[24]Gui chi Quynh'!$B$11:$E$400,4,FALSE)</f>
        <v>A3</v>
      </c>
      <c r="N216" s="494">
        <f t="shared" si="44"/>
        <v>7192800</v>
      </c>
      <c r="O216" s="366">
        <v>20</v>
      </c>
      <c r="P216" s="440">
        <f>IFERROR(INDEX('[17]CN BC'!$J$10:$J$276,MATCH(B216,'[17]CN BC'!$H$10:$H$276,0)),"")</f>
        <v>20</v>
      </c>
      <c r="Q216" s="494">
        <f t="shared" si="37"/>
        <v>7192800</v>
      </c>
      <c r="R216" s="455"/>
      <c r="S216" s="362">
        <f t="shared" si="43"/>
        <v>0</v>
      </c>
      <c r="T216" s="370"/>
      <c r="U216" s="362">
        <f t="shared" si="39"/>
        <v>0</v>
      </c>
      <c r="V216" s="584">
        <f t="shared" si="45"/>
        <v>59940</v>
      </c>
      <c r="W216" s="371">
        <f t="shared" si="38"/>
        <v>7192800</v>
      </c>
      <c r="X216" s="977">
        <f t="shared" ref="X216:X279" si="47">W216/Y216</f>
        <v>3.996</v>
      </c>
      <c r="Y216" s="999">
        <v>1800000</v>
      </c>
      <c r="Z216" s="1000">
        <f t="shared" ref="Z216:Z279" si="48">X216*Y216</f>
        <v>7192800</v>
      </c>
      <c r="AA216" s="568">
        <f t="shared" si="46"/>
        <v>194</v>
      </c>
      <c r="AB216" s="493">
        <f>IFERROR(INDEX('[17]CN BC'!$M$10:$M$276,MATCH(B216,'[17]CN BC'!$H$10:$H$276,0)),"")</f>
        <v>0</v>
      </c>
      <c r="AC216" s="141" t="str">
        <f>VLOOKUP(B216,TH.T4!B214:AC544,28,FALSE)</f>
        <v>CK</v>
      </c>
      <c r="AD216" s="108"/>
      <c r="AE216" s="108"/>
      <c r="AF216" s="155"/>
      <c r="AG216" s="108"/>
      <c r="AH216" s="108"/>
      <c r="AI216" s="108"/>
      <c r="AJ216" s="108"/>
      <c r="AK216" s="108"/>
      <c r="AL216" s="108"/>
      <c r="AM216" s="108"/>
      <c r="AN216" s="108"/>
      <c r="AO216" s="108"/>
      <c r="AP216" s="108"/>
    </row>
    <row r="217" spans="1:42" s="372" customFormat="1" ht="25.5" customHeight="1">
      <c r="A217" s="379">
        <f>_xlfn.AGGREGATE(4,7,A$22:A216)+1</f>
        <v>195</v>
      </c>
      <c r="B217" s="363" t="s">
        <v>1608</v>
      </c>
      <c r="C217" s="375" t="s">
        <v>1011</v>
      </c>
      <c r="D217" s="482" t="s">
        <v>1968</v>
      </c>
      <c r="E217" s="102">
        <v>1603215003955</v>
      </c>
      <c r="F217" s="373">
        <v>3</v>
      </c>
      <c r="G217" s="378"/>
      <c r="H217" s="445">
        <f t="shared" si="40"/>
        <v>3</v>
      </c>
      <c r="I217" s="368"/>
      <c r="J217" s="81" t="str">
        <f>VLOOKUP(B217,TH.T5!B217:F546,5,FALSE)</f>
        <v>Giảng viên khoa Cơ khí</v>
      </c>
      <c r="K217" s="369">
        <f t="shared" si="41"/>
        <v>3</v>
      </c>
      <c r="L217" s="362">
        <f t="shared" si="42"/>
        <v>5400000</v>
      </c>
      <c r="M217" s="366" t="str">
        <f>VLOOKUP(B217,'[24]Gui chi Quynh'!$B$11:$E$400,4,FALSE)</f>
        <v>A2</v>
      </c>
      <c r="N217" s="494">
        <f t="shared" si="44"/>
        <v>7559999.9999999991</v>
      </c>
      <c r="O217" s="366">
        <v>20</v>
      </c>
      <c r="P217" s="440">
        <f>IFERROR(INDEX('[17]CN BC'!$J$10:$J$276,MATCH(B217,'[17]CN BC'!$H$10:$H$276,0)),"")</f>
        <v>20</v>
      </c>
      <c r="Q217" s="494">
        <f t="shared" si="37"/>
        <v>7559999.9999999991</v>
      </c>
      <c r="R217" s="460"/>
      <c r="S217" s="362">
        <f t="shared" si="43"/>
        <v>0</v>
      </c>
      <c r="T217" s="370"/>
      <c r="U217" s="362">
        <f t="shared" si="39"/>
        <v>0</v>
      </c>
      <c r="V217" s="584">
        <f t="shared" si="45"/>
        <v>54000</v>
      </c>
      <c r="W217" s="371">
        <f t="shared" si="38"/>
        <v>7559999.9999999991</v>
      </c>
      <c r="X217" s="977">
        <f t="shared" si="47"/>
        <v>4.1999999999999993</v>
      </c>
      <c r="Y217" s="999">
        <v>1800000</v>
      </c>
      <c r="Z217" s="1000">
        <f t="shared" si="48"/>
        <v>7559999.9999999991</v>
      </c>
      <c r="AA217" s="568">
        <f t="shared" si="46"/>
        <v>195</v>
      </c>
      <c r="AB217" s="493">
        <f>IFERROR(INDEX('[17]CN BC'!$M$10:$M$276,MATCH(B217,'[17]CN BC'!$H$10:$H$276,0)),"")</f>
        <v>0</v>
      </c>
      <c r="AC217" s="141" t="str">
        <f>VLOOKUP(B217,TH.T4!B215:AC545,28,FALSE)</f>
        <v>CK</v>
      </c>
      <c r="AD217" s="108"/>
      <c r="AE217" s="108"/>
      <c r="AF217" s="155"/>
      <c r="AG217" s="108"/>
      <c r="AH217" s="108"/>
      <c r="AI217" s="108"/>
      <c r="AJ217" s="108"/>
      <c r="AK217" s="108"/>
      <c r="AL217" s="108"/>
    </row>
    <row r="218" spans="1:42" s="372" customFormat="1" ht="24.75" customHeight="1">
      <c r="A218" s="379">
        <f>_xlfn.AGGREGATE(4,7,A$22:A217)+1</f>
        <v>196</v>
      </c>
      <c r="B218" s="363" t="s">
        <v>1835</v>
      </c>
      <c r="C218" s="375"/>
      <c r="D218" s="434" t="s">
        <v>1970</v>
      </c>
      <c r="E218" s="477" t="s">
        <v>1969</v>
      </c>
      <c r="F218" s="373">
        <v>3</v>
      </c>
      <c r="G218" s="378"/>
      <c r="H218" s="368">
        <f t="shared" si="40"/>
        <v>3</v>
      </c>
      <c r="I218" s="368"/>
      <c r="J218" s="81" t="str">
        <f>VLOOKUP(B218,TH.T5!B218:F547,5,FALSE)</f>
        <v>Giảng viên khoa Cơ khí</v>
      </c>
      <c r="K218" s="369">
        <f t="shared" si="41"/>
        <v>3</v>
      </c>
      <c r="L218" s="362">
        <f t="shared" si="42"/>
        <v>5400000</v>
      </c>
      <c r="M218" s="366" t="str">
        <f>VLOOKUP(B218,'[24]Gui chi Quynh'!$B$11:$E$400,4,FALSE)</f>
        <v>A1</v>
      </c>
      <c r="N218" s="494">
        <f t="shared" si="44"/>
        <v>8640000</v>
      </c>
      <c r="O218" s="366">
        <v>20</v>
      </c>
      <c r="P218" s="440">
        <f>IFERROR(INDEX('[17]CN BC'!$J$10:$J$276,MATCH(B218,'[17]CN BC'!$H$10:$H$276,0)),"")</f>
        <v>20</v>
      </c>
      <c r="Q218" s="494">
        <f t="shared" ref="Q218:Q283" si="49">IF(P218&gt;=O218,N218,N218/O218*P218)</f>
        <v>8640000</v>
      </c>
      <c r="R218" s="392"/>
      <c r="S218" s="362">
        <f t="shared" si="43"/>
        <v>0</v>
      </c>
      <c r="T218" s="370"/>
      <c r="U218" s="362">
        <f t="shared" si="39"/>
        <v>0</v>
      </c>
      <c r="V218" s="584">
        <f t="shared" si="45"/>
        <v>54000</v>
      </c>
      <c r="W218" s="371">
        <f t="shared" ref="W218:W281" si="50">(Q218+S218+U218)</f>
        <v>8640000</v>
      </c>
      <c r="X218" s="977">
        <f t="shared" si="47"/>
        <v>4.8</v>
      </c>
      <c r="Y218" s="999">
        <v>1800000</v>
      </c>
      <c r="Z218" s="1000">
        <f t="shared" si="48"/>
        <v>8640000</v>
      </c>
      <c r="AA218" s="568">
        <f t="shared" si="46"/>
        <v>196</v>
      </c>
      <c r="AB218" s="493">
        <f>IFERROR(INDEX('[17]CN BC'!$M$10:$M$276,MATCH(B218,'[17]CN BC'!$H$10:$H$276,0)),"")</f>
        <v>0</v>
      </c>
      <c r="AC218" s="141" t="str">
        <f>VLOOKUP(B218,TH.T4!B216:AC546,28,FALSE)</f>
        <v>CK</v>
      </c>
      <c r="AD218" s="108"/>
      <c r="AE218" s="108"/>
      <c r="AF218" s="155"/>
      <c r="AG218" s="108"/>
      <c r="AH218" s="108"/>
      <c r="AI218" s="108"/>
      <c r="AJ218" s="108"/>
      <c r="AK218" s="108"/>
      <c r="AL218" s="108"/>
    </row>
    <row r="219" spans="1:42" s="372" customFormat="1" ht="29.25" customHeight="1">
      <c r="A219" s="379">
        <f>_xlfn.AGGREGATE(4,7,A$22:A218)+1</f>
        <v>197</v>
      </c>
      <c r="B219" s="363" t="s">
        <v>1897</v>
      </c>
      <c r="C219" s="375" t="s">
        <v>868</v>
      </c>
      <c r="D219" s="434" t="s">
        <v>1670</v>
      </c>
      <c r="E219" s="423" t="s">
        <v>1286</v>
      </c>
      <c r="F219" s="366">
        <v>4.9800000000000004</v>
      </c>
      <c r="G219" s="367">
        <v>0.12</v>
      </c>
      <c r="H219" s="368">
        <f t="shared" si="40"/>
        <v>5.5776000000000003</v>
      </c>
      <c r="I219" s="368"/>
      <c r="J219" s="81" t="str">
        <f>VLOOKUP(B219,TH.T5!B219:F548,5,FALSE)</f>
        <v>Giảng viên khoa Cơ khí</v>
      </c>
      <c r="K219" s="369">
        <f t="shared" si="41"/>
        <v>5.5776000000000003</v>
      </c>
      <c r="L219" s="362">
        <f t="shared" si="42"/>
        <v>10039680</v>
      </c>
      <c r="M219" s="366" t="str">
        <f>VLOOKUP(B219,'[24]Gui chi Quynh'!$B$11:$E$400,4,FALSE)</f>
        <v>A4</v>
      </c>
      <c r="N219" s="494">
        <f t="shared" si="44"/>
        <v>10039680</v>
      </c>
      <c r="O219" s="366">
        <v>20</v>
      </c>
      <c r="P219" s="440">
        <f>IFERROR(INDEX('[17]CN BC'!$J$10:$J$276,MATCH(B219,'[17]CN BC'!$H$10:$H$276,0)),"")</f>
        <v>20</v>
      </c>
      <c r="Q219" s="494">
        <f t="shared" si="49"/>
        <v>10039680</v>
      </c>
      <c r="R219" s="460"/>
      <c r="S219" s="362">
        <f>R219*$G$19*0.8</f>
        <v>0</v>
      </c>
      <c r="T219" s="370"/>
      <c r="U219" s="362">
        <f t="shared" si="39"/>
        <v>0</v>
      </c>
      <c r="V219" s="584">
        <f t="shared" si="45"/>
        <v>100397</v>
      </c>
      <c r="W219" s="371">
        <f t="shared" si="50"/>
        <v>10039680</v>
      </c>
      <c r="X219" s="977">
        <f t="shared" si="47"/>
        <v>5.5776000000000003</v>
      </c>
      <c r="Y219" s="999">
        <v>1800000</v>
      </c>
      <c r="Z219" s="1000">
        <f t="shared" si="48"/>
        <v>10039680</v>
      </c>
      <c r="AA219" s="568">
        <f t="shared" si="46"/>
        <v>197</v>
      </c>
      <c r="AB219" s="493">
        <f>IFERROR(INDEX('[17]CN BC'!$M$10:$M$276,MATCH(B219,'[17]CN BC'!$H$10:$H$276,0)),"")</f>
        <v>0</v>
      </c>
      <c r="AC219" s="141" t="str">
        <f>VLOOKUP(B219,TH.T4!B217:AC547,28,FALSE)</f>
        <v>CK</v>
      </c>
      <c r="AF219" s="487"/>
    </row>
    <row r="220" spans="1:42" s="372" customFormat="1" ht="25.5" customHeight="1">
      <c r="A220" s="379">
        <f>_xlfn.AGGREGATE(4,7,A$22:A219)+1</f>
        <v>198</v>
      </c>
      <c r="B220" s="363" t="s">
        <v>1840</v>
      </c>
      <c r="C220" s="375"/>
      <c r="D220" s="434" t="s">
        <v>1971</v>
      </c>
      <c r="E220" s="102">
        <v>1603205596180</v>
      </c>
      <c r="F220" s="366">
        <v>2.67</v>
      </c>
      <c r="G220" s="367"/>
      <c r="H220" s="368">
        <f t="shared" si="40"/>
        <v>2.67</v>
      </c>
      <c r="I220" s="368"/>
      <c r="J220" s="81" t="str">
        <f>VLOOKUP(B220,TH.T5!B220:F549,5,FALSE)</f>
        <v>Giảng viên khoa Cơ khí</v>
      </c>
      <c r="K220" s="369">
        <f t="shared" si="41"/>
        <v>2.67</v>
      </c>
      <c r="L220" s="362">
        <f t="shared" si="42"/>
        <v>4806000</v>
      </c>
      <c r="M220" s="366" t="str">
        <f>VLOOKUP(B220,'[24]Gui chi Quynh'!$B$11:$E$400,4,FALSE)</f>
        <v>A3</v>
      </c>
      <c r="N220" s="494">
        <f t="shared" si="44"/>
        <v>5767200</v>
      </c>
      <c r="O220" s="366">
        <v>20</v>
      </c>
      <c r="P220" s="440">
        <f>IFERROR(INDEX('[17]CN BC'!$J$10:$J$276,MATCH(B220,'[17]CN BC'!$H$10:$H$276,0)),"")</f>
        <v>20</v>
      </c>
      <c r="Q220" s="494">
        <f t="shared" si="49"/>
        <v>5767200</v>
      </c>
      <c r="R220" s="392"/>
      <c r="S220" s="362">
        <f t="shared" si="43"/>
        <v>0</v>
      </c>
      <c r="T220" s="370"/>
      <c r="U220" s="362">
        <f t="shared" ref="U220:U285" si="51">T220*$G$19*1</f>
        <v>0</v>
      </c>
      <c r="V220" s="584">
        <f t="shared" si="45"/>
        <v>48060</v>
      </c>
      <c r="W220" s="371">
        <f t="shared" si="50"/>
        <v>5767200</v>
      </c>
      <c r="X220" s="977">
        <f t="shared" si="47"/>
        <v>3.2040000000000002</v>
      </c>
      <c r="Y220" s="999">
        <v>1800000</v>
      </c>
      <c r="Z220" s="1000">
        <f t="shared" si="48"/>
        <v>5767200</v>
      </c>
      <c r="AA220" s="568">
        <f t="shared" si="46"/>
        <v>198</v>
      </c>
      <c r="AB220" s="493">
        <f>IFERROR(INDEX('[17]CN BC'!$M$10:$M$276,MATCH(B220,'[17]CN BC'!$H$10:$H$276,0)),"")</f>
        <v>0</v>
      </c>
      <c r="AC220" s="141" t="str">
        <f>VLOOKUP(B220,TH.T4!B218:AC548,28,FALSE)</f>
        <v>CK</v>
      </c>
      <c r="AD220" s="108"/>
      <c r="AE220" s="108"/>
      <c r="AF220" s="155"/>
      <c r="AG220" s="108"/>
      <c r="AH220" s="108"/>
      <c r="AI220" s="108"/>
      <c r="AJ220" s="108"/>
      <c r="AK220" s="108"/>
      <c r="AL220" s="108"/>
    </row>
    <row r="221" spans="1:42" s="372" customFormat="1" ht="24.75" customHeight="1">
      <c r="A221" s="379">
        <f>_xlfn.AGGREGATE(4,7,A$22:A220)+1</f>
        <v>199</v>
      </c>
      <c r="B221" s="363" t="s">
        <v>1943</v>
      </c>
      <c r="C221" s="375"/>
      <c r="D221" s="434" t="s">
        <v>1972</v>
      </c>
      <c r="E221" s="423"/>
      <c r="F221" s="373">
        <v>3</v>
      </c>
      <c r="G221" s="367"/>
      <c r="H221" s="368">
        <f t="shared" si="40"/>
        <v>3</v>
      </c>
      <c r="I221" s="368"/>
      <c r="J221" s="81" t="str">
        <f>VLOOKUP(B221,TH.T5!B221:F550,5,FALSE)</f>
        <v>Giảng viên khoa Cơ khí</v>
      </c>
      <c r="K221" s="369">
        <f t="shared" si="41"/>
        <v>3</v>
      </c>
      <c r="L221" s="362">
        <f t="shared" si="42"/>
        <v>5400000</v>
      </c>
      <c r="M221" s="366" t="str">
        <f>VLOOKUP(B221,'[24]Gui chi Quynh'!$B$11:$E$400,4,FALSE)</f>
        <v>A4</v>
      </c>
      <c r="N221" s="494">
        <f t="shared" si="44"/>
        <v>5400000</v>
      </c>
      <c r="O221" s="366">
        <v>20</v>
      </c>
      <c r="P221" s="440">
        <f>IFERROR(INDEX('[17]CN BC'!$J$10:$J$276,MATCH(B221,'[17]CN BC'!$H$10:$H$276,0)),"")</f>
        <v>20</v>
      </c>
      <c r="Q221" s="494">
        <f t="shared" si="49"/>
        <v>5400000</v>
      </c>
      <c r="R221" s="460"/>
      <c r="S221" s="362">
        <f t="shared" si="43"/>
        <v>0</v>
      </c>
      <c r="T221" s="370"/>
      <c r="U221" s="362">
        <f t="shared" si="51"/>
        <v>0</v>
      </c>
      <c r="V221" s="584">
        <f t="shared" si="45"/>
        <v>54000</v>
      </c>
      <c r="W221" s="371">
        <f t="shared" si="50"/>
        <v>5400000</v>
      </c>
      <c r="X221" s="977">
        <f t="shared" si="47"/>
        <v>3</v>
      </c>
      <c r="Y221" s="999">
        <v>1800000</v>
      </c>
      <c r="Z221" s="1000">
        <f t="shared" si="48"/>
        <v>5400000</v>
      </c>
      <c r="AA221" s="568">
        <f t="shared" si="46"/>
        <v>199</v>
      </c>
      <c r="AB221" s="493">
        <f>IFERROR(INDEX('[17]CN BC'!$M$10:$M$276,MATCH(B221,'[17]CN BC'!$H$10:$H$276,0)),"")</f>
        <v>0</v>
      </c>
      <c r="AC221" s="141" t="str">
        <f>VLOOKUP(B221,TH.T4!B219:AC549,28,FALSE)</f>
        <v>CK</v>
      </c>
      <c r="AD221" s="108"/>
      <c r="AE221" s="108"/>
      <c r="AF221" s="487"/>
    </row>
    <row r="222" spans="1:42" s="372" customFormat="1" ht="26.25" customHeight="1">
      <c r="A222" s="379">
        <f>_xlfn.AGGREGATE(4,7,A$22:A221)+1</f>
        <v>200</v>
      </c>
      <c r="B222" s="363" t="s">
        <v>1994</v>
      </c>
      <c r="C222" s="375"/>
      <c r="D222" s="434"/>
      <c r="E222" s="423"/>
      <c r="F222" s="366">
        <v>4.32</v>
      </c>
      <c r="G222" s="367"/>
      <c r="H222" s="368">
        <f t="shared" si="40"/>
        <v>4.32</v>
      </c>
      <c r="I222" s="368"/>
      <c r="J222" s="81" t="str">
        <f>VLOOKUP(B222,TH.T5!B222:F551,5,FALSE)</f>
        <v>Giảng viên khoa Cơ khí</v>
      </c>
      <c r="K222" s="369">
        <f t="shared" si="41"/>
        <v>4.32</v>
      </c>
      <c r="L222" s="362">
        <f t="shared" si="42"/>
        <v>7776000.0000000009</v>
      </c>
      <c r="M222" s="366" t="str">
        <f>VLOOKUP(B222,'[24]Gui chi Quynh'!$B$11:$E$400,4,FALSE)</f>
        <v>A4</v>
      </c>
      <c r="N222" s="494">
        <f t="shared" si="44"/>
        <v>7776000.0000000009</v>
      </c>
      <c r="O222" s="366">
        <v>20</v>
      </c>
      <c r="P222" s="440">
        <f>IFERROR(INDEX('[17]CN BC'!$J$10:$J$276,MATCH(B222,'[17]CN BC'!$H$10:$H$276,0)),"")</f>
        <v>20</v>
      </c>
      <c r="Q222" s="494">
        <f t="shared" si="49"/>
        <v>7776000.0000000009</v>
      </c>
      <c r="R222" s="460"/>
      <c r="S222" s="362">
        <f t="shared" si="43"/>
        <v>0</v>
      </c>
      <c r="T222" s="370"/>
      <c r="U222" s="362">
        <f t="shared" si="51"/>
        <v>0</v>
      </c>
      <c r="V222" s="584">
        <f t="shared" si="45"/>
        <v>77760</v>
      </c>
      <c r="W222" s="371">
        <f t="shared" si="50"/>
        <v>7776000.0000000009</v>
      </c>
      <c r="X222" s="977">
        <f t="shared" si="47"/>
        <v>4.32</v>
      </c>
      <c r="Y222" s="999">
        <v>1800000</v>
      </c>
      <c r="Z222" s="1000">
        <f t="shared" si="48"/>
        <v>7776000.0000000009</v>
      </c>
      <c r="AA222" s="568">
        <f t="shared" si="46"/>
        <v>200</v>
      </c>
      <c r="AB222" s="493">
        <f>IFERROR(INDEX('[17]CN BC'!$M$10:$M$276,MATCH(B222,'[17]CN BC'!$H$10:$H$276,0)),"")</f>
        <v>0</v>
      </c>
      <c r="AC222" s="141" t="str">
        <f>VLOOKUP(B222,TH.T4!B220:AC550,28,FALSE)</f>
        <v>CK</v>
      </c>
      <c r="AD222" s="108"/>
      <c r="AE222" s="108"/>
      <c r="AF222" s="155"/>
      <c r="AG222" s="108"/>
      <c r="AH222" s="108"/>
      <c r="AI222" s="108"/>
      <c r="AJ222" s="108"/>
      <c r="AK222" s="108"/>
      <c r="AL222" s="108"/>
    </row>
    <row r="223" spans="1:42" s="372" customFormat="1" ht="25.5" customHeight="1">
      <c r="A223" s="379">
        <f>_xlfn.AGGREGATE(4,7,A$22:A222)+1</f>
        <v>201</v>
      </c>
      <c r="B223" s="363" t="s">
        <v>2000</v>
      </c>
      <c r="C223" s="375"/>
      <c r="D223" s="434"/>
      <c r="E223" s="423"/>
      <c r="F223" s="366">
        <v>2.67</v>
      </c>
      <c r="G223" s="367"/>
      <c r="H223" s="368">
        <f t="shared" si="40"/>
        <v>2.67</v>
      </c>
      <c r="I223" s="368"/>
      <c r="J223" s="81" t="str">
        <f>VLOOKUP(B223,TH.T5!B223:F552,5,FALSE)</f>
        <v>Giảng viên khoa Cơ khí</v>
      </c>
      <c r="K223" s="369">
        <f t="shared" si="41"/>
        <v>2.67</v>
      </c>
      <c r="L223" s="362">
        <f t="shared" si="42"/>
        <v>4806000</v>
      </c>
      <c r="M223" s="366" t="str">
        <f>VLOOKUP(B223,'[24]Gui chi Quynh'!$B$11:$E$400,4,FALSE)</f>
        <v>A4</v>
      </c>
      <c r="N223" s="494">
        <f t="shared" si="44"/>
        <v>4806000</v>
      </c>
      <c r="O223" s="366">
        <v>20</v>
      </c>
      <c r="P223" s="440">
        <f>IFERROR(INDEX('[17]CN BC'!$J$10:$J$276,MATCH(B223,'[17]CN BC'!$H$10:$H$276,0)),"")</f>
        <v>20</v>
      </c>
      <c r="Q223" s="494">
        <f t="shared" si="49"/>
        <v>4806000</v>
      </c>
      <c r="R223" s="460"/>
      <c r="S223" s="362">
        <f>R223*$G$19*1.2</f>
        <v>0</v>
      </c>
      <c r="T223" s="370"/>
      <c r="U223" s="362">
        <f t="shared" si="51"/>
        <v>0</v>
      </c>
      <c r="V223" s="584">
        <f t="shared" si="45"/>
        <v>48060</v>
      </c>
      <c r="W223" s="371">
        <f t="shared" si="50"/>
        <v>4806000</v>
      </c>
      <c r="X223" s="977">
        <f t="shared" si="47"/>
        <v>2.67</v>
      </c>
      <c r="Y223" s="999">
        <v>1800000</v>
      </c>
      <c r="Z223" s="1000">
        <f t="shared" si="48"/>
        <v>4806000</v>
      </c>
      <c r="AA223" s="568">
        <f t="shared" si="46"/>
        <v>201</v>
      </c>
      <c r="AB223" s="493">
        <f>IFERROR(INDEX('[17]CN BC'!$M$10:$M$276,MATCH(B223,'[17]CN BC'!$H$10:$H$276,0)),"")</f>
        <v>0</v>
      </c>
      <c r="AC223" s="141" t="str">
        <f>VLOOKUP(B223,TH.T4!B221:AC551,28,FALSE)</f>
        <v>CK</v>
      </c>
      <c r="AD223" s="108"/>
      <c r="AE223" s="108"/>
      <c r="AF223" s="487"/>
    </row>
    <row r="224" spans="1:42" s="372" customFormat="1" ht="27" customHeight="1">
      <c r="A224" s="379">
        <f>_xlfn.AGGREGATE(4,7,A$22:A223)+1</f>
        <v>202</v>
      </c>
      <c r="B224" s="363" t="s">
        <v>1855</v>
      </c>
      <c r="C224" s="375" t="s">
        <v>939</v>
      </c>
      <c r="D224" s="434" t="s">
        <v>1651</v>
      </c>
      <c r="E224" s="423" t="s">
        <v>1292</v>
      </c>
      <c r="F224" s="366">
        <v>4.9800000000000004</v>
      </c>
      <c r="G224" s="367">
        <v>7.0000000000000007E-2</v>
      </c>
      <c r="H224" s="368">
        <f>F224+(F224*G224)</f>
        <v>5.3286000000000007</v>
      </c>
      <c r="I224" s="368">
        <v>0.35</v>
      </c>
      <c r="J224" s="81" t="str">
        <f>VLOOKUP(B224,TH.T5!B224:F553,5,FALSE)</f>
        <v>Giảng viên khoa Cơ khí</v>
      </c>
      <c r="K224" s="369">
        <f>H224+I224</f>
        <v>5.6786000000000003</v>
      </c>
      <c r="L224" s="362">
        <f>K224*$G$19</f>
        <v>10221480</v>
      </c>
      <c r="M224" s="366" t="str">
        <f>VLOOKUP(B224,'[24]Gui chi Quynh'!$B$11:$E$400,4,FALSE)</f>
        <v>A3</v>
      </c>
      <c r="N224" s="494">
        <f>IF(M224="A1",L224*1.6,IF(M224="A2",L224*1.4,IF(M224="A3",L224*1.2,IF(M224="A4",L224*1,IF(M224="B1",L224*0.7,IF(M224="B2",L224*0.5,IF(M224="C1",L224*0.3,IF(M224="C2",L224*0.2,0))))))))</f>
        <v>12265776</v>
      </c>
      <c r="O224" s="366">
        <v>20</v>
      </c>
      <c r="P224" s="440">
        <f>IFERROR(INDEX('[17]CN BC'!$J$10:$J$276,MATCH(B224,'[17]CN BC'!$H$10:$H$276,0)),"")</f>
        <v>20</v>
      </c>
      <c r="Q224" s="494">
        <f>IF(P224&gt;=O224,N224,N224/O224*P224)</f>
        <v>12265776</v>
      </c>
      <c r="R224" s="460"/>
      <c r="S224" s="362">
        <f>R224*$G$19*1</f>
        <v>0</v>
      </c>
      <c r="T224" s="370"/>
      <c r="U224" s="362">
        <f>T224*$G$19*1</f>
        <v>0</v>
      </c>
      <c r="V224" s="584">
        <f>IF(OR(M224="A DN",M224="KXL", M224=""),"0",ROUND(K224*0.01*$G$19+R224*1%*$G$19+T224*1%*$G$19,))</f>
        <v>102215</v>
      </c>
      <c r="W224" s="371">
        <f>(Q224+S224+U224)</f>
        <v>12265776</v>
      </c>
      <c r="X224" s="977">
        <f t="shared" si="47"/>
        <v>6.8143200000000004</v>
      </c>
      <c r="Y224" s="999">
        <v>1800000</v>
      </c>
      <c r="Z224" s="1000">
        <f t="shared" si="48"/>
        <v>12265776</v>
      </c>
      <c r="AA224" s="568">
        <f t="shared" si="46"/>
        <v>202</v>
      </c>
      <c r="AB224" s="493">
        <f>IFERROR(INDEX('[17]CN BC'!$M$10:$M$276,MATCH(B224,'[17]CN BC'!$H$10:$H$276,0)),"")</f>
        <v>0</v>
      </c>
      <c r="AC224" s="141" t="str">
        <f>VLOOKUP(B224,TH.T4!B222:AC552,28,FALSE)</f>
        <v>CK</v>
      </c>
      <c r="AD224" s="108"/>
      <c r="AE224" s="108"/>
      <c r="AF224" s="155"/>
    </row>
    <row r="225" spans="1:42" s="108" customFormat="1" ht="29.25" customHeight="1">
      <c r="A225" s="379">
        <f>_xlfn.AGGREGATE(4,7,A$22:A224)+1</f>
        <v>203</v>
      </c>
      <c r="B225" s="33" t="s">
        <v>1898</v>
      </c>
      <c r="C225" s="34" t="s">
        <v>1019</v>
      </c>
      <c r="D225" s="406" t="s">
        <v>1781</v>
      </c>
      <c r="E225" s="424" t="s">
        <v>1386</v>
      </c>
      <c r="F225" s="10">
        <v>4.6500000000000004</v>
      </c>
      <c r="G225" s="157"/>
      <c r="H225" s="368">
        <f t="shared" si="40"/>
        <v>4.6500000000000004</v>
      </c>
      <c r="I225" s="368">
        <v>0.45</v>
      </c>
      <c r="J225" s="81" t="str">
        <f>VLOOKUP(B225,TH.T5!B225:F554,5,FALSE)</f>
        <v>Trưởng khoa Điện - Điện tử</v>
      </c>
      <c r="K225" s="369">
        <f t="shared" si="41"/>
        <v>5.1000000000000005</v>
      </c>
      <c r="L225" s="362">
        <f t="shared" si="42"/>
        <v>9180000.0000000019</v>
      </c>
      <c r="M225" s="366" t="str">
        <f>VLOOKUP(B225,'[24]Gui chi Quynh'!$B$11:$E$400,4,FALSE)</f>
        <v>A1</v>
      </c>
      <c r="N225" s="494">
        <f t="shared" si="44"/>
        <v>14688000.000000004</v>
      </c>
      <c r="O225" s="366">
        <v>20</v>
      </c>
      <c r="P225" s="440">
        <f>IFERROR(INDEX('[17]CN BC'!$J$10:$J$276,MATCH(B225,'[17]CN BC'!$H$10:$H$276,0)),"")</f>
        <v>20</v>
      </c>
      <c r="Q225" s="494">
        <f t="shared" si="49"/>
        <v>14688000.000000004</v>
      </c>
      <c r="R225" s="392"/>
      <c r="S225" s="362">
        <f>R225*$G$19*1</f>
        <v>0</v>
      </c>
      <c r="T225" s="385"/>
      <c r="U225" s="362">
        <f t="shared" si="51"/>
        <v>0</v>
      </c>
      <c r="V225" s="584">
        <f t="shared" si="45"/>
        <v>91800</v>
      </c>
      <c r="W225" s="371">
        <f t="shared" si="50"/>
        <v>14688000.000000004</v>
      </c>
      <c r="X225" s="977">
        <f t="shared" si="47"/>
        <v>8.1600000000000019</v>
      </c>
      <c r="Y225" s="999">
        <v>1800000</v>
      </c>
      <c r="Z225" s="1000">
        <f t="shared" si="48"/>
        <v>14688000.000000004</v>
      </c>
      <c r="AA225" s="568">
        <f t="shared" si="46"/>
        <v>203</v>
      </c>
      <c r="AB225" s="493">
        <f>IFERROR(INDEX('[17]CN BC'!$M$10:$M$276,MATCH(B225,'[17]CN BC'!$H$10:$H$276,0)),"")</f>
        <v>0</v>
      </c>
      <c r="AC225" s="141" t="str">
        <f>VLOOKUP(B225,TH.T4!B223:AC553,28,FALSE)</f>
        <v>Đ-ĐT</v>
      </c>
      <c r="AF225" s="155"/>
    </row>
    <row r="226" spans="1:42" s="372" customFormat="1" ht="29.25" customHeight="1">
      <c r="A226" s="379">
        <f>_xlfn.AGGREGATE(4,7,A$22:A225)+1</f>
        <v>204</v>
      </c>
      <c r="B226" s="363" t="s">
        <v>526</v>
      </c>
      <c r="C226" s="375" t="s">
        <v>1060</v>
      </c>
      <c r="D226" s="406" t="s">
        <v>1646</v>
      </c>
      <c r="E226" s="423" t="s">
        <v>1398</v>
      </c>
      <c r="F226" s="366">
        <v>4.9800000000000004</v>
      </c>
      <c r="G226" s="367">
        <v>0.16</v>
      </c>
      <c r="H226" s="368">
        <f t="shared" si="40"/>
        <v>5.7768000000000006</v>
      </c>
      <c r="I226" s="368">
        <f>0.35</f>
        <v>0.35</v>
      </c>
      <c r="J226" s="81" t="str">
        <f>VLOOKUP(B226,TH.T5!B226:F555,5,FALSE)</f>
        <v>Phó Trưởng khoa Điện - Điện tử</v>
      </c>
      <c r="K226" s="369">
        <f t="shared" si="41"/>
        <v>6.1268000000000002</v>
      </c>
      <c r="L226" s="362">
        <f t="shared" si="42"/>
        <v>11028240</v>
      </c>
      <c r="M226" s="366" t="str">
        <f>VLOOKUP(B226,'[24]Gui chi Quynh'!$B$11:$E$400,4,FALSE)</f>
        <v>A3</v>
      </c>
      <c r="N226" s="494">
        <f t="shared" si="44"/>
        <v>13233888</v>
      </c>
      <c r="O226" s="366">
        <v>20</v>
      </c>
      <c r="P226" s="440">
        <f>IFERROR(INDEX('[17]CN BC'!$J$10:$J$276,MATCH(B226,'[17]CN BC'!$H$10:$H$276,0)),"")</f>
        <v>20</v>
      </c>
      <c r="Q226" s="494">
        <f t="shared" si="49"/>
        <v>13233888</v>
      </c>
      <c r="R226" s="392"/>
      <c r="S226" s="362">
        <f>R226*$G$19*1</f>
        <v>0</v>
      </c>
      <c r="T226" s="385"/>
      <c r="U226" s="362">
        <f t="shared" si="51"/>
        <v>0</v>
      </c>
      <c r="V226" s="584">
        <f>IF(OR(M226="A DN",M226="KXL", M226=""),"0",ROUND(K226*0.01*$G$19+R226*1%*$G$19+T226*1%*$G$19,))</f>
        <v>110282</v>
      </c>
      <c r="W226" s="371">
        <f t="shared" si="50"/>
        <v>13233888</v>
      </c>
      <c r="X226" s="977">
        <f t="shared" si="47"/>
        <v>7.3521599999999996</v>
      </c>
      <c r="Y226" s="999">
        <v>1800000</v>
      </c>
      <c r="Z226" s="1000">
        <f t="shared" si="48"/>
        <v>13233888</v>
      </c>
      <c r="AA226" s="568">
        <f t="shared" si="46"/>
        <v>204</v>
      </c>
      <c r="AB226" s="493">
        <f>IFERROR(INDEX('[17]CN BC'!$M$10:$M$276,MATCH(B226,'[17]CN BC'!$H$10:$H$276,0)),"")</f>
        <v>0</v>
      </c>
      <c r="AC226" s="141" t="str">
        <f>VLOOKUP(B226,TH.T4!B224:AC554,28,FALSE)</f>
        <v>Đ-ĐT</v>
      </c>
      <c r="AD226" s="108"/>
      <c r="AE226" s="108"/>
      <c r="AF226" s="155"/>
      <c r="AG226" s="108"/>
      <c r="AH226" s="108"/>
      <c r="AI226" s="108"/>
      <c r="AJ226" s="108"/>
      <c r="AK226" s="108"/>
      <c r="AL226" s="108"/>
      <c r="AM226" s="108"/>
      <c r="AN226" s="108"/>
      <c r="AO226" s="108"/>
      <c r="AP226" s="108"/>
    </row>
    <row r="227" spans="1:42" s="108" customFormat="1" ht="29.25" customHeight="1">
      <c r="A227" s="379">
        <f>_xlfn.AGGREGATE(4,7,A$22:A226)+1</f>
        <v>205</v>
      </c>
      <c r="B227" s="33" t="s">
        <v>1899</v>
      </c>
      <c r="C227" s="403" t="s">
        <v>1046</v>
      </c>
      <c r="D227" s="406" t="s">
        <v>1778</v>
      </c>
      <c r="E227" s="433" t="s">
        <v>1381</v>
      </c>
      <c r="F227" s="366">
        <v>4.9800000000000004</v>
      </c>
      <c r="G227" s="367">
        <v>0.06</v>
      </c>
      <c r="H227" s="368">
        <f t="shared" si="40"/>
        <v>5.2788000000000004</v>
      </c>
      <c r="I227" s="368"/>
      <c r="J227" s="81" t="str">
        <f>VLOOKUP(B227,TH.T5!B227:F556,5,FALSE)</f>
        <v>Giảng viên khoa Điện - Điện tử</v>
      </c>
      <c r="K227" s="369">
        <f t="shared" si="41"/>
        <v>5.2788000000000004</v>
      </c>
      <c r="L227" s="362">
        <f t="shared" si="42"/>
        <v>9501840</v>
      </c>
      <c r="M227" s="366" t="str">
        <f>VLOOKUP(B227,'[24]Gui chi Quynh'!$B$11:$E$400,4,FALSE)</f>
        <v>A3</v>
      </c>
      <c r="N227" s="494">
        <f t="shared" si="44"/>
        <v>11402208</v>
      </c>
      <c r="O227" s="366">
        <v>20</v>
      </c>
      <c r="P227" s="440">
        <f>IFERROR(INDEX('[17]CN BC'!$J$10:$J$276,MATCH(B227,'[17]CN BC'!$H$10:$H$276,0)),"")</f>
        <v>20</v>
      </c>
      <c r="Q227" s="494">
        <f t="shared" si="49"/>
        <v>11402208</v>
      </c>
      <c r="R227" s="392"/>
      <c r="S227" s="362">
        <f t="shared" si="43"/>
        <v>0</v>
      </c>
      <c r="T227" s="404"/>
      <c r="U227" s="362">
        <f t="shared" si="51"/>
        <v>0</v>
      </c>
      <c r="V227" s="584">
        <f t="shared" si="45"/>
        <v>95018</v>
      </c>
      <c r="W227" s="371">
        <f t="shared" si="50"/>
        <v>11402208</v>
      </c>
      <c r="X227" s="977">
        <f t="shared" si="47"/>
        <v>6.3345599999999997</v>
      </c>
      <c r="Y227" s="999">
        <v>1800000</v>
      </c>
      <c r="Z227" s="1000">
        <f t="shared" si="48"/>
        <v>11402208</v>
      </c>
      <c r="AA227" s="568">
        <f t="shared" si="46"/>
        <v>205</v>
      </c>
      <c r="AB227" s="493">
        <f>IFERROR(INDEX('[17]CN BC'!$M$10:$M$276,MATCH(B227,'[17]CN BC'!$H$10:$H$276,0)),"")</f>
        <v>0</v>
      </c>
      <c r="AC227" s="141" t="str">
        <f>VLOOKUP(B227,TH.T4!B225:AC555,28,FALSE)</f>
        <v>Đ-ĐT</v>
      </c>
      <c r="AF227" s="155"/>
    </row>
    <row r="228" spans="1:42" s="372" customFormat="1" ht="29.25" customHeight="1">
      <c r="A228" s="379">
        <f>_xlfn.AGGREGATE(4,7,A$22:A227)+1</f>
        <v>206</v>
      </c>
      <c r="B228" s="363" t="s">
        <v>461</v>
      </c>
      <c r="C228" s="364" t="s">
        <v>1185</v>
      </c>
      <c r="D228" s="434" t="s">
        <v>1779</v>
      </c>
      <c r="E228" s="423" t="s">
        <v>1384</v>
      </c>
      <c r="F228" s="366">
        <v>4.9800000000000004</v>
      </c>
      <c r="G228" s="367">
        <v>0.06</v>
      </c>
      <c r="H228" s="368">
        <f t="shared" si="40"/>
        <v>5.2788000000000004</v>
      </c>
      <c r="I228" s="368"/>
      <c r="J228" s="81" t="str">
        <f>VLOOKUP(B228,TH.T5!B228:F557,5,FALSE)</f>
        <v>Giảng viên khoa Điện - Điện tử</v>
      </c>
      <c r="K228" s="369">
        <f t="shared" si="41"/>
        <v>5.2788000000000004</v>
      </c>
      <c r="L228" s="362">
        <f t="shared" si="42"/>
        <v>9501840</v>
      </c>
      <c r="M228" s="366" t="str">
        <f>VLOOKUP(B228,'[24]Gui chi Quynh'!$B$11:$E$400,4,FALSE)</f>
        <v>A3</v>
      </c>
      <c r="N228" s="494">
        <f t="shared" si="44"/>
        <v>11402208</v>
      </c>
      <c r="O228" s="366">
        <v>20</v>
      </c>
      <c r="P228" s="440">
        <f>IFERROR(INDEX('[17]CN BC'!$J$10:$J$276,MATCH(B228,'[17]CN BC'!$H$10:$H$276,0)),"")</f>
        <v>20</v>
      </c>
      <c r="Q228" s="494">
        <f t="shared" si="49"/>
        <v>11402208</v>
      </c>
      <c r="R228" s="460"/>
      <c r="S228" s="362">
        <f t="shared" si="43"/>
        <v>0</v>
      </c>
      <c r="T228" s="370"/>
      <c r="U228" s="362">
        <f t="shared" si="51"/>
        <v>0</v>
      </c>
      <c r="V228" s="584">
        <f t="shared" si="45"/>
        <v>95018</v>
      </c>
      <c r="W228" s="371">
        <f t="shared" si="50"/>
        <v>11402208</v>
      </c>
      <c r="X228" s="977">
        <f t="shared" si="47"/>
        <v>6.3345599999999997</v>
      </c>
      <c r="Y228" s="999">
        <v>1800000</v>
      </c>
      <c r="Z228" s="1000">
        <f t="shared" si="48"/>
        <v>11402208</v>
      </c>
      <c r="AA228" s="568">
        <f t="shared" si="46"/>
        <v>206</v>
      </c>
      <c r="AB228" s="493">
        <f>IFERROR(INDEX('[17]CN BC'!$M$10:$M$276,MATCH(B228,'[17]CN BC'!$H$10:$H$276,0)),"")</f>
        <v>0</v>
      </c>
      <c r="AC228" s="141" t="str">
        <f>VLOOKUP(B228,TH.T4!B226:AC556,28,FALSE)</f>
        <v>Đ-ĐT</v>
      </c>
      <c r="AF228" s="487"/>
    </row>
    <row r="229" spans="1:42" s="108" customFormat="1" ht="29.25" customHeight="1">
      <c r="A229" s="379">
        <f>_xlfn.AGGREGATE(4,7,A$22:A228)+1</f>
        <v>207</v>
      </c>
      <c r="B229" s="33" t="s">
        <v>1900</v>
      </c>
      <c r="C229" s="34" t="s">
        <v>1049</v>
      </c>
      <c r="D229" s="406" t="s">
        <v>1780</v>
      </c>
      <c r="E229" s="424" t="s">
        <v>1385</v>
      </c>
      <c r="F229" s="10">
        <v>4.6500000000000004</v>
      </c>
      <c r="G229" s="157"/>
      <c r="H229" s="368">
        <f t="shared" si="40"/>
        <v>4.6500000000000004</v>
      </c>
      <c r="I229" s="368"/>
      <c r="J229" s="81" t="str">
        <f>VLOOKUP(B229,TH.T5!B229:F558,5,FALSE)</f>
        <v>Giảng viên khoa Điện - Điện tử</v>
      </c>
      <c r="K229" s="369">
        <f t="shared" si="41"/>
        <v>4.6500000000000004</v>
      </c>
      <c r="L229" s="362">
        <f t="shared" si="42"/>
        <v>8370000.0000000009</v>
      </c>
      <c r="M229" s="366" t="str">
        <f>VLOOKUP(B229,'[24]Gui chi Quynh'!$B$11:$E$400,4,FALSE)</f>
        <v>A3</v>
      </c>
      <c r="N229" s="494">
        <f t="shared" si="44"/>
        <v>10044000</v>
      </c>
      <c r="O229" s="366">
        <v>20</v>
      </c>
      <c r="P229" s="440">
        <f>IFERROR(INDEX('[17]CN BC'!$J$10:$J$276,MATCH(B229,'[17]CN BC'!$H$10:$H$276,0)),"")</f>
        <v>20</v>
      </c>
      <c r="Q229" s="494">
        <f t="shared" si="49"/>
        <v>10044000</v>
      </c>
      <c r="R229" s="392"/>
      <c r="S229" s="362">
        <f t="shared" si="43"/>
        <v>0</v>
      </c>
      <c r="T229" s="385"/>
      <c r="U229" s="362">
        <f t="shared" si="51"/>
        <v>0</v>
      </c>
      <c r="V229" s="584">
        <f t="shared" si="45"/>
        <v>83700</v>
      </c>
      <c r="W229" s="371">
        <f t="shared" si="50"/>
        <v>10044000</v>
      </c>
      <c r="X229" s="977">
        <f t="shared" si="47"/>
        <v>5.58</v>
      </c>
      <c r="Y229" s="999">
        <v>1800000</v>
      </c>
      <c r="Z229" s="1000">
        <f t="shared" si="48"/>
        <v>10044000</v>
      </c>
      <c r="AA229" s="568">
        <f t="shared" si="46"/>
        <v>207</v>
      </c>
      <c r="AB229" s="493">
        <f>IFERROR(INDEX('[17]CN BC'!$M$10:$M$276,MATCH(B229,'[17]CN BC'!$H$10:$H$276,0)),"")</f>
        <v>0</v>
      </c>
      <c r="AC229" s="141" t="str">
        <f>VLOOKUP(B229,TH.T4!B227:AC557,28,FALSE)</f>
        <v>Đ-ĐT</v>
      </c>
      <c r="AF229" s="155"/>
    </row>
    <row r="230" spans="1:42" s="108" customFormat="1" ht="29.25" customHeight="1">
      <c r="A230" s="379">
        <f>_xlfn.AGGREGATE(4,7,A$22:A229)+1</f>
        <v>208</v>
      </c>
      <c r="B230" s="33" t="s">
        <v>1901</v>
      </c>
      <c r="C230" s="34" t="s">
        <v>1051</v>
      </c>
      <c r="D230" s="406" t="s">
        <v>1782</v>
      </c>
      <c r="E230" s="424" t="s">
        <v>1387</v>
      </c>
      <c r="F230" s="10">
        <v>4.32</v>
      </c>
      <c r="G230" s="157"/>
      <c r="H230" s="368">
        <f t="shared" si="40"/>
        <v>4.32</v>
      </c>
      <c r="I230" s="81"/>
      <c r="J230" s="81" t="str">
        <f>VLOOKUP(B230,TH.T5!B230:F559,5,FALSE)</f>
        <v>Giảng viên khoa Điện - Điện tử</v>
      </c>
      <c r="K230" s="369">
        <f t="shared" si="41"/>
        <v>4.32</v>
      </c>
      <c r="L230" s="362">
        <f t="shared" si="42"/>
        <v>7776000.0000000009</v>
      </c>
      <c r="M230" s="366" t="str">
        <f>VLOOKUP(B230,'[24]Gui chi Quynh'!$B$11:$E$400,4,FALSE)</f>
        <v>A3</v>
      </c>
      <c r="N230" s="494">
        <f t="shared" si="44"/>
        <v>9331200</v>
      </c>
      <c r="O230" s="366">
        <v>20</v>
      </c>
      <c r="P230" s="440">
        <f>IFERROR(INDEX('[17]CN BC'!$J$10:$J$276,MATCH(B230,'[17]CN BC'!$H$10:$H$276,0)),"")</f>
        <v>20</v>
      </c>
      <c r="Q230" s="494">
        <f t="shared" si="49"/>
        <v>9331200</v>
      </c>
      <c r="R230" s="392"/>
      <c r="S230" s="362">
        <f t="shared" si="43"/>
        <v>0</v>
      </c>
      <c r="T230" s="385"/>
      <c r="U230" s="362">
        <f t="shared" si="51"/>
        <v>0</v>
      </c>
      <c r="V230" s="584">
        <f t="shared" si="45"/>
        <v>77760</v>
      </c>
      <c r="W230" s="371">
        <f t="shared" si="50"/>
        <v>9331200</v>
      </c>
      <c r="X230" s="977">
        <f t="shared" si="47"/>
        <v>5.1840000000000002</v>
      </c>
      <c r="Y230" s="999">
        <v>1800000</v>
      </c>
      <c r="Z230" s="1000">
        <f t="shared" si="48"/>
        <v>9331200</v>
      </c>
      <c r="AA230" s="568">
        <f t="shared" si="46"/>
        <v>208</v>
      </c>
      <c r="AB230" s="493">
        <f>IFERROR(INDEX('[17]CN BC'!$M$10:$M$276,MATCH(B230,'[17]CN BC'!$H$10:$H$276,0)),"")</f>
        <v>0</v>
      </c>
      <c r="AC230" s="141" t="str">
        <f>VLOOKUP(B230,TH.T4!B228:AC558,28,FALSE)</f>
        <v>Đ-ĐT</v>
      </c>
      <c r="AF230" s="155"/>
    </row>
    <row r="231" spans="1:42" s="108" customFormat="1" ht="29.25" customHeight="1">
      <c r="A231" s="379">
        <f>_xlfn.AGGREGATE(4,7,A$22:A230)+1</f>
        <v>209</v>
      </c>
      <c r="B231" s="33" t="s">
        <v>1534</v>
      </c>
      <c r="C231" s="34" t="s">
        <v>1053</v>
      </c>
      <c r="D231" s="406" t="s">
        <v>1783</v>
      </c>
      <c r="E231" s="424" t="s">
        <v>1388</v>
      </c>
      <c r="F231" s="10">
        <v>4.32</v>
      </c>
      <c r="G231" s="157"/>
      <c r="H231" s="368">
        <f t="shared" si="40"/>
        <v>4.32</v>
      </c>
      <c r="I231" s="81"/>
      <c r="J231" s="81" t="str">
        <f>VLOOKUP(B231,TH.T5!B231:F560,5,FALSE)</f>
        <v>Giảng viên khoa
Điện - Điện tử</v>
      </c>
      <c r="K231" s="369">
        <f t="shared" si="41"/>
        <v>4.32</v>
      </c>
      <c r="L231" s="362">
        <f t="shared" si="42"/>
        <v>7776000.0000000009</v>
      </c>
      <c r="M231" s="366" t="str">
        <f>VLOOKUP(B231,'[24]Gui chi Quynh'!$B$11:$E$400,4,FALSE)</f>
        <v>A3</v>
      </c>
      <c r="N231" s="494">
        <f t="shared" si="44"/>
        <v>9331200</v>
      </c>
      <c r="O231" s="366">
        <v>20</v>
      </c>
      <c r="P231" s="440">
        <f>IFERROR(INDEX('[17]CN BC'!$J$10:$J$276,MATCH(B231,'[17]CN BC'!$H$10:$H$276,0)),"")</f>
        <v>20</v>
      </c>
      <c r="Q231" s="494">
        <f t="shared" si="49"/>
        <v>9331200</v>
      </c>
      <c r="R231" s="392"/>
      <c r="S231" s="362">
        <f t="shared" si="43"/>
        <v>0</v>
      </c>
      <c r="T231" s="385"/>
      <c r="U231" s="362">
        <f t="shared" si="51"/>
        <v>0</v>
      </c>
      <c r="V231" s="584">
        <f t="shared" si="45"/>
        <v>77760</v>
      </c>
      <c r="W231" s="371">
        <f t="shared" si="50"/>
        <v>9331200</v>
      </c>
      <c r="X231" s="977">
        <f t="shared" si="47"/>
        <v>5.1840000000000002</v>
      </c>
      <c r="Y231" s="999">
        <v>1800000</v>
      </c>
      <c r="Z231" s="1000">
        <f t="shared" si="48"/>
        <v>9331200</v>
      </c>
      <c r="AA231" s="568">
        <f t="shared" si="46"/>
        <v>209</v>
      </c>
      <c r="AB231" s="493">
        <f>IFERROR(INDEX('[17]CN BC'!$M$10:$M$276,MATCH(B231,'[17]CN BC'!$H$10:$H$276,0)),"")</f>
        <v>0</v>
      </c>
      <c r="AC231" s="141" t="str">
        <f>VLOOKUP(B231,TH.T4!B229:AC559,28,FALSE)</f>
        <v>Đ-ĐT</v>
      </c>
      <c r="AF231" s="155"/>
    </row>
    <row r="232" spans="1:42" s="372" customFormat="1" ht="29.25" customHeight="1">
      <c r="A232" s="379">
        <f>_xlfn.AGGREGATE(4,7,A$22:A231)+1</f>
        <v>210</v>
      </c>
      <c r="B232" s="363" t="s">
        <v>1535</v>
      </c>
      <c r="C232" s="364" t="s">
        <v>986</v>
      </c>
      <c r="D232" s="434" t="s">
        <v>1784</v>
      </c>
      <c r="E232" s="422" t="s">
        <v>1595</v>
      </c>
      <c r="F232" s="373">
        <v>3.33</v>
      </c>
      <c r="G232" s="367"/>
      <c r="H232" s="445">
        <f t="shared" si="40"/>
        <v>3.33</v>
      </c>
      <c r="I232" s="368">
        <v>0.25</v>
      </c>
      <c r="J232" s="81" t="str">
        <f>VLOOKUP(B232,TH.T5!B232:F561,5,FALSE)</f>
        <v>Trưởng BM Cơ điện tử và Tự động hóa</v>
      </c>
      <c r="K232" s="369">
        <f t="shared" si="41"/>
        <v>3.58</v>
      </c>
      <c r="L232" s="362">
        <f t="shared" si="42"/>
        <v>6444000</v>
      </c>
      <c r="M232" s="366" t="str">
        <f>VLOOKUP(B232,'[24]Gui chi Quynh'!$B$11:$E$400,4,FALSE)</f>
        <v>A2</v>
      </c>
      <c r="N232" s="494">
        <f t="shared" si="44"/>
        <v>9021600</v>
      </c>
      <c r="O232" s="366">
        <v>20</v>
      </c>
      <c r="P232" s="440">
        <f>IFERROR(INDEX('[17]CN BC'!$J$10:$J$276,MATCH(B232,'[17]CN BC'!$H$10:$H$276,0)),"")</f>
        <v>20</v>
      </c>
      <c r="Q232" s="494">
        <f t="shared" si="49"/>
        <v>9021600</v>
      </c>
      <c r="R232" s="460"/>
      <c r="S232" s="362">
        <f t="shared" si="43"/>
        <v>0</v>
      </c>
      <c r="T232" s="370"/>
      <c r="U232" s="362">
        <f t="shared" si="51"/>
        <v>0</v>
      </c>
      <c r="V232" s="584">
        <f t="shared" si="45"/>
        <v>64440</v>
      </c>
      <c r="W232" s="371">
        <f t="shared" si="50"/>
        <v>9021600</v>
      </c>
      <c r="X232" s="977">
        <f t="shared" si="47"/>
        <v>5.0119999999999996</v>
      </c>
      <c r="Y232" s="999">
        <v>1800000</v>
      </c>
      <c r="Z232" s="1000">
        <f t="shared" si="48"/>
        <v>9021600</v>
      </c>
      <c r="AA232" s="568">
        <f t="shared" si="46"/>
        <v>210</v>
      </c>
      <c r="AB232" s="493">
        <f>IFERROR(INDEX('[17]CN BC'!$M$10:$M$276,MATCH(B232,'[17]CN BC'!$H$10:$H$276,0)),"")</f>
        <v>0</v>
      </c>
      <c r="AC232" s="141" t="str">
        <f>VLOOKUP(B232,TH.T4!B230:AC560,28,FALSE)</f>
        <v>Đ-ĐT</v>
      </c>
      <c r="AD232" s="108"/>
      <c r="AE232" s="108"/>
      <c r="AF232" s="155"/>
      <c r="AG232" s="108"/>
      <c r="AH232" s="108"/>
      <c r="AI232" s="108"/>
      <c r="AJ232" s="108"/>
      <c r="AK232" s="108"/>
      <c r="AL232" s="108"/>
    </row>
    <row r="233" spans="1:42" s="372" customFormat="1" ht="29.25" customHeight="1">
      <c r="A233" s="379">
        <f>_xlfn.AGGREGATE(4,7,A$22:A232)+1</f>
        <v>211</v>
      </c>
      <c r="B233" s="390" t="s">
        <v>1903</v>
      </c>
      <c r="C233" s="364" t="s">
        <v>1058</v>
      </c>
      <c r="D233" s="434" t="s">
        <v>1786</v>
      </c>
      <c r="E233" s="423" t="s">
        <v>1392</v>
      </c>
      <c r="F233" s="373">
        <v>4.32</v>
      </c>
      <c r="G233" s="367"/>
      <c r="H233" s="368">
        <f t="shared" si="40"/>
        <v>4.32</v>
      </c>
      <c r="I233" s="368"/>
      <c r="J233" s="81" t="str">
        <f>VLOOKUP(B233,TH.T5!B233:F562,5,FALSE)</f>
        <v>Giảng viên khoa Điện - Điện tử</v>
      </c>
      <c r="K233" s="369">
        <f t="shared" si="41"/>
        <v>4.32</v>
      </c>
      <c r="L233" s="362">
        <f t="shared" si="42"/>
        <v>7776000.0000000009</v>
      </c>
      <c r="M233" s="366" t="str">
        <f>VLOOKUP(B233,'[24]Gui chi Quynh'!$B$11:$E$400,4,FALSE)</f>
        <v>A3</v>
      </c>
      <c r="N233" s="494">
        <f t="shared" si="44"/>
        <v>9331200</v>
      </c>
      <c r="O233" s="366">
        <v>20</v>
      </c>
      <c r="P233" s="440">
        <f>IFERROR(INDEX('[17]CN BC'!$J$10:$J$276,MATCH(B233,'[17]CN BC'!$H$10:$H$276,0)),"")</f>
        <v>20</v>
      </c>
      <c r="Q233" s="494">
        <f t="shared" si="49"/>
        <v>9331200</v>
      </c>
      <c r="R233" s="460"/>
      <c r="S233" s="362">
        <f t="shared" si="43"/>
        <v>0</v>
      </c>
      <c r="T233" s="370"/>
      <c r="U233" s="362">
        <f t="shared" si="51"/>
        <v>0</v>
      </c>
      <c r="V233" s="584">
        <f t="shared" si="45"/>
        <v>77760</v>
      </c>
      <c r="W233" s="371">
        <f t="shared" si="50"/>
        <v>9331200</v>
      </c>
      <c r="X233" s="977">
        <f t="shared" si="47"/>
        <v>5.1840000000000002</v>
      </c>
      <c r="Y233" s="999">
        <v>1800000</v>
      </c>
      <c r="Z233" s="1000">
        <f t="shared" si="48"/>
        <v>9331200</v>
      </c>
      <c r="AA233" s="568">
        <f t="shared" si="46"/>
        <v>211</v>
      </c>
      <c r="AB233" s="493">
        <f>IFERROR(INDEX('[17]CN BC'!$M$10:$M$276,MATCH(B233,'[17]CN BC'!$H$10:$H$276,0)),"")</f>
        <v>0</v>
      </c>
      <c r="AC233" s="141" t="str">
        <f>VLOOKUP(B233,TH.T4!B231:AC561,28,FALSE)</f>
        <v>Đ-ĐT</v>
      </c>
      <c r="AD233" s="471"/>
      <c r="AE233" s="108"/>
      <c r="AF233" s="155"/>
      <c r="AG233" s="108"/>
      <c r="AH233" s="108"/>
      <c r="AI233" s="108"/>
      <c r="AJ233" s="108"/>
      <c r="AK233" s="108"/>
      <c r="AL233" s="108"/>
    </row>
    <row r="234" spans="1:42" s="372" customFormat="1" ht="29.25" customHeight="1">
      <c r="A234" s="379">
        <f>_xlfn.AGGREGATE(4,7,A$22:A233)+1</f>
        <v>212</v>
      </c>
      <c r="B234" s="363" t="s">
        <v>1904</v>
      </c>
      <c r="C234" s="364" t="s">
        <v>885</v>
      </c>
      <c r="D234" s="406" t="s">
        <v>1787</v>
      </c>
      <c r="E234" s="423" t="s">
        <v>1396</v>
      </c>
      <c r="F234" s="366">
        <v>4.6500000000000004</v>
      </c>
      <c r="G234" s="367"/>
      <c r="H234" s="368">
        <f t="shared" si="40"/>
        <v>4.6500000000000004</v>
      </c>
      <c r="I234" s="368"/>
      <c r="J234" s="81" t="str">
        <f>VLOOKUP(B234,TH.T5!B234:F563,5,FALSE)</f>
        <v>Giảng viên khoa Điện - Điện tử</v>
      </c>
      <c r="K234" s="369">
        <f t="shared" si="41"/>
        <v>4.6500000000000004</v>
      </c>
      <c r="L234" s="362">
        <f t="shared" si="42"/>
        <v>8370000.0000000009</v>
      </c>
      <c r="M234" s="366" t="str">
        <f>VLOOKUP(B234,'[24]Gui chi Quynh'!$B$11:$E$400,4,FALSE)</f>
        <v>A3</v>
      </c>
      <c r="N234" s="494">
        <f t="shared" si="44"/>
        <v>10044000</v>
      </c>
      <c r="O234" s="366">
        <v>20</v>
      </c>
      <c r="P234" s="440">
        <f>IFERROR(INDEX('[17]CN BC'!$J$10:$J$276,MATCH(B234,'[17]CN BC'!$H$10:$H$276,0)),"")</f>
        <v>20</v>
      </c>
      <c r="Q234" s="494">
        <f t="shared" si="49"/>
        <v>10044000</v>
      </c>
      <c r="R234" s="392"/>
      <c r="S234" s="362">
        <f t="shared" si="43"/>
        <v>0</v>
      </c>
      <c r="T234" s="385"/>
      <c r="U234" s="362">
        <f t="shared" si="51"/>
        <v>0</v>
      </c>
      <c r="V234" s="584">
        <f t="shared" si="45"/>
        <v>83700</v>
      </c>
      <c r="W234" s="371">
        <f t="shared" si="50"/>
        <v>10044000</v>
      </c>
      <c r="X234" s="977">
        <f t="shared" si="47"/>
        <v>5.58</v>
      </c>
      <c r="Y234" s="999">
        <v>1800000</v>
      </c>
      <c r="Z234" s="1000">
        <f t="shared" si="48"/>
        <v>10044000</v>
      </c>
      <c r="AA234" s="568">
        <f t="shared" si="46"/>
        <v>212</v>
      </c>
      <c r="AB234" s="493">
        <f>IFERROR(INDEX('[17]CN BC'!$M$10:$M$276,MATCH(B234,'[17]CN BC'!$H$10:$H$276,0)),"")</f>
        <v>0</v>
      </c>
      <c r="AC234" s="141" t="str">
        <f>VLOOKUP(B234,TH.T4!B232:AC562,28,FALSE)</f>
        <v>Đ-ĐT</v>
      </c>
      <c r="AD234" s="108"/>
      <c r="AE234" s="108"/>
      <c r="AF234" s="155"/>
      <c r="AG234" s="108"/>
      <c r="AH234" s="108"/>
      <c r="AI234" s="108"/>
      <c r="AJ234" s="108"/>
      <c r="AK234" s="108"/>
      <c r="AL234" s="108"/>
      <c r="AM234" s="108"/>
      <c r="AN234" s="108"/>
      <c r="AO234" s="108"/>
      <c r="AP234" s="108"/>
    </row>
    <row r="235" spans="1:42" s="372" customFormat="1" ht="29.25" customHeight="1">
      <c r="A235" s="379">
        <f>_xlfn.AGGREGATE(4,7,A$22:A234)+1</f>
        <v>213</v>
      </c>
      <c r="B235" s="363" t="s">
        <v>1536</v>
      </c>
      <c r="C235" s="364" t="s">
        <v>947</v>
      </c>
      <c r="D235" s="434" t="s">
        <v>1788</v>
      </c>
      <c r="E235" s="423" t="s">
        <v>389</v>
      </c>
      <c r="F235" s="373">
        <v>3.66</v>
      </c>
      <c r="G235" s="367"/>
      <c r="H235" s="368">
        <f t="shared" si="40"/>
        <v>3.66</v>
      </c>
      <c r="I235" s="368"/>
      <c r="J235" s="81" t="str">
        <f>VLOOKUP(B235,TH.T5!B235:F564,5,FALSE)</f>
        <v>Giảng viên khoa
Điện - Điện tử</v>
      </c>
      <c r="K235" s="369">
        <f t="shared" si="41"/>
        <v>3.66</v>
      </c>
      <c r="L235" s="362">
        <f t="shared" si="42"/>
        <v>6588000</v>
      </c>
      <c r="M235" s="366" t="str">
        <f>VLOOKUP(B235,'[24]Gui chi Quynh'!$B$11:$E$400,4,FALSE)</f>
        <v>A3</v>
      </c>
      <c r="N235" s="494">
        <f t="shared" si="44"/>
        <v>7905600</v>
      </c>
      <c r="O235" s="366">
        <v>20</v>
      </c>
      <c r="P235" s="440">
        <f>IFERROR(INDEX('[17]CN BC'!$J$10:$J$276,MATCH(B235,'[17]CN BC'!$H$10:$H$276,0)),"")</f>
        <v>20</v>
      </c>
      <c r="Q235" s="494">
        <f t="shared" si="49"/>
        <v>7905600</v>
      </c>
      <c r="R235" s="460"/>
      <c r="S235" s="362">
        <f t="shared" si="43"/>
        <v>0</v>
      </c>
      <c r="T235" s="370"/>
      <c r="U235" s="362">
        <f t="shared" si="51"/>
        <v>0</v>
      </c>
      <c r="V235" s="584">
        <f t="shared" si="45"/>
        <v>65880</v>
      </c>
      <c r="W235" s="371">
        <f t="shared" si="50"/>
        <v>7905600</v>
      </c>
      <c r="X235" s="977">
        <f t="shared" si="47"/>
        <v>4.3920000000000003</v>
      </c>
      <c r="Y235" s="999">
        <v>1800000</v>
      </c>
      <c r="Z235" s="1000">
        <f t="shared" si="48"/>
        <v>7905600.0000000009</v>
      </c>
      <c r="AA235" s="568">
        <f t="shared" si="46"/>
        <v>213</v>
      </c>
      <c r="AB235" s="493">
        <f>IFERROR(INDEX('[17]CN BC'!$M$10:$M$276,MATCH(B235,'[17]CN BC'!$H$10:$H$276,0)),"")</f>
        <v>0</v>
      </c>
      <c r="AC235" s="141" t="str">
        <f>VLOOKUP(B235,TH.T4!B233:AC563,28,FALSE)</f>
        <v>Đ-ĐT</v>
      </c>
      <c r="AD235" s="108"/>
      <c r="AE235" s="108"/>
      <c r="AF235" s="155"/>
      <c r="AG235" s="108"/>
      <c r="AH235" s="108"/>
      <c r="AI235" s="108"/>
      <c r="AJ235" s="108"/>
      <c r="AK235" s="108"/>
      <c r="AL235" s="108"/>
    </row>
    <row r="236" spans="1:42" s="372" customFormat="1" ht="29.25" customHeight="1">
      <c r="A236" s="379">
        <f>_xlfn.AGGREGATE(4,7,A$22:A235)+1</f>
        <v>214</v>
      </c>
      <c r="B236" s="363" t="s">
        <v>1537</v>
      </c>
      <c r="C236" s="364" t="s">
        <v>1199</v>
      </c>
      <c r="D236" s="406" t="s">
        <v>1789</v>
      </c>
      <c r="E236" s="423" t="s">
        <v>1334</v>
      </c>
      <c r="F236" s="373">
        <v>3.99</v>
      </c>
      <c r="G236" s="367"/>
      <c r="H236" s="368">
        <f t="shared" si="40"/>
        <v>3.99</v>
      </c>
      <c r="I236" s="368"/>
      <c r="J236" s="81" t="str">
        <f>VLOOKUP(B236,TH.T5!B236:F565,5,FALSE)</f>
        <v>Giảng viên khoa
Điện - Điện tử</v>
      </c>
      <c r="K236" s="369">
        <f t="shared" si="41"/>
        <v>3.99</v>
      </c>
      <c r="L236" s="362">
        <f t="shared" si="42"/>
        <v>7182000</v>
      </c>
      <c r="M236" s="366" t="str">
        <f>VLOOKUP(B236,'[24]Gui chi Quynh'!$B$11:$E$400,4,FALSE)</f>
        <v>A3</v>
      </c>
      <c r="N236" s="494">
        <f t="shared" si="44"/>
        <v>8618400</v>
      </c>
      <c r="O236" s="366">
        <v>20</v>
      </c>
      <c r="P236" s="440">
        <f>IFERROR(INDEX('[17]CN BC'!$J$10:$J$276,MATCH(B236,'[17]CN BC'!$H$10:$H$276,0)),"")</f>
        <v>20</v>
      </c>
      <c r="Q236" s="494">
        <f t="shared" si="49"/>
        <v>8618400</v>
      </c>
      <c r="R236" s="392"/>
      <c r="S236" s="362">
        <f t="shared" si="43"/>
        <v>0</v>
      </c>
      <c r="T236" s="370"/>
      <c r="U236" s="362">
        <f t="shared" si="51"/>
        <v>0</v>
      </c>
      <c r="V236" s="584">
        <f t="shared" si="45"/>
        <v>71820</v>
      </c>
      <c r="W236" s="371">
        <f t="shared" si="50"/>
        <v>8618400</v>
      </c>
      <c r="X236" s="977">
        <f t="shared" si="47"/>
        <v>4.7880000000000003</v>
      </c>
      <c r="Y236" s="999">
        <v>1800000</v>
      </c>
      <c r="Z236" s="1000">
        <f t="shared" si="48"/>
        <v>8618400</v>
      </c>
      <c r="AA236" s="568">
        <f t="shared" si="46"/>
        <v>214</v>
      </c>
      <c r="AB236" s="493">
        <f>IFERROR(INDEX('[17]CN BC'!$M$10:$M$276,MATCH(B236,'[17]CN BC'!$H$10:$H$276,0)),"")</f>
        <v>0</v>
      </c>
      <c r="AC236" s="141" t="str">
        <f>VLOOKUP(B236,TH.T4!B234:AC564,28,FALSE)</f>
        <v>Đ-ĐT</v>
      </c>
      <c r="AD236" s="108"/>
      <c r="AE236" s="108"/>
      <c r="AF236" s="155"/>
      <c r="AG236" s="108"/>
      <c r="AH236" s="108"/>
      <c r="AI236" s="108"/>
      <c r="AJ236" s="108"/>
      <c r="AK236" s="108"/>
      <c r="AL236" s="108"/>
      <c r="AM236" s="108"/>
      <c r="AN236" s="108"/>
      <c r="AO236" s="108"/>
      <c r="AP236" s="108"/>
    </row>
    <row r="237" spans="1:42" s="372" customFormat="1" ht="29.25" customHeight="1">
      <c r="A237" s="379">
        <f>_xlfn.AGGREGATE(4,7,A$22:A236)+1</f>
        <v>215</v>
      </c>
      <c r="B237" s="363" t="s">
        <v>1905</v>
      </c>
      <c r="C237" s="364" t="s">
        <v>1207</v>
      </c>
      <c r="D237" s="406" t="s">
        <v>1790</v>
      </c>
      <c r="E237" s="428" t="s">
        <v>463</v>
      </c>
      <c r="F237" s="373">
        <v>3.66</v>
      </c>
      <c r="G237" s="367"/>
      <c r="H237" s="445">
        <f t="shared" si="40"/>
        <v>3.66</v>
      </c>
      <c r="I237" s="368"/>
      <c r="J237" s="81" t="str">
        <f>VLOOKUP(B237,TH.T5!B237:F566,5,FALSE)</f>
        <v>Giảng viên khoa Điện - Điện tử</v>
      </c>
      <c r="K237" s="369">
        <f t="shared" si="41"/>
        <v>3.66</v>
      </c>
      <c r="L237" s="362">
        <f t="shared" si="42"/>
        <v>6588000</v>
      </c>
      <c r="M237" s="366" t="str">
        <f>VLOOKUP(B237,'[24]Gui chi Quynh'!$B$11:$E$400,4,FALSE)</f>
        <v>A3</v>
      </c>
      <c r="N237" s="494">
        <f t="shared" si="44"/>
        <v>7905600</v>
      </c>
      <c r="O237" s="366">
        <v>20</v>
      </c>
      <c r="P237" s="440">
        <f>IFERROR(INDEX('[17]CN BC'!$J$10:$J$276,MATCH(B237,'[17]CN BC'!$H$10:$H$276,0)),"")</f>
        <v>20</v>
      </c>
      <c r="Q237" s="494">
        <f t="shared" si="49"/>
        <v>7905600</v>
      </c>
      <c r="R237" s="392"/>
      <c r="S237" s="362">
        <f t="shared" si="43"/>
        <v>0</v>
      </c>
      <c r="T237" s="385"/>
      <c r="U237" s="362">
        <f t="shared" si="51"/>
        <v>0</v>
      </c>
      <c r="V237" s="584">
        <f t="shared" si="45"/>
        <v>65880</v>
      </c>
      <c r="W237" s="371">
        <f t="shared" si="50"/>
        <v>7905600</v>
      </c>
      <c r="X237" s="977">
        <f t="shared" si="47"/>
        <v>4.3920000000000003</v>
      </c>
      <c r="Y237" s="999">
        <v>1800000</v>
      </c>
      <c r="Z237" s="1000">
        <f t="shared" si="48"/>
        <v>7905600.0000000009</v>
      </c>
      <c r="AA237" s="568">
        <f t="shared" si="46"/>
        <v>215</v>
      </c>
      <c r="AB237" s="493">
        <f>IFERROR(INDEX('[17]CN BC'!$M$10:$M$276,MATCH(B237,'[17]CN BC'!$H$10:$H$276,0)),"")</f>
        <v>0</v>
      </c>
      <c r="AC237" s="141" t="str">
        <f>VLOOKUP(B237,TH.T4!B235:AC565,28,FALSE)</f>
        <v>Đ-ĐT</v>
      </c>
      <c r="AD237" s="108"/>
      <c r="AE237" s="108"/>
      <c r="AF237" s="155"/>
      <c r="AG237" s="108"/>
      <c r="AH237" s="108"/>
      <c r="AI237" s="108"/>
      <c r="AJ237" s="108"/>
      <c r="AK237" s="108"/>
      <c r="AL237" s="108"/>
      <c r="AM237" s="108"/>
      <c r="AN237" s="108"/>
      <c r="AO237" s="108"/>
      <c r="AP237" s="108"/>
    </row>
    <row r="238" spans="1:42" s="372" customFormat="1" ht="29.25" customHeight="1">
      <c r="A238" s="379">
        <f>_xlfn.AGGREGATE(4,7,A$22:A237)+1</f>
        <v>216</v>
      </c>
      <c r="B238" s="363" t="s">
        <v>1538</v>
      </c>
      <c r="C238" s="364" t="s">
        <v>1019</v>
      </c>
      <c r="D238" s="406" t="s">
        <v>1791</v>
      </c>
      <c r="E238" s="428" t="s">
        <v>510</v>
      </c>
      <c r="F238" s="373">
        <v>3.66</v>
      </c>
      <c r="G238" s="367"/>
      <c r="H238" s="368">
        <f t="shared" si="40"/>
        <v>3.66</v>
      </c>
      <c r="I238" s="368"/>
      <c r="J238" s="81" t="str">
        <f>VLOOKUP(B238,TH.T5!B238:F567,5,FALSE)</f>
        <v>Giảng viên khoa
Điện - Điện tử</v>
      </c>
      <c r="K238" s="369">
        <f t="shared" si="41"/>
        <v>3.66</v>
      </c>
      <c r="L238" s="362">
        <f t="shared" si="42"/>
        <v>6588000</v>
      </c>
      <c r="M238" s="366" t="str">
        <f>VLOOKUP(B238,'[24]Gui chi Quynh'!$B$11:$E$400,4,FALSE)</f>
        <v>A1</v>
      </c>
      <c r="N238" s="494">
        <f t="shared" si="44"/>
        <v>10540800</v>
      </c>
      <c r="O238" s="366">
        <v>20</v>
      </c>
      <c r="P238" s="440">
        <f>IFERROR(INDEX('[17]CN BC'!$J$10:$J$276,MATCH(B238,'[17]CN BC'!$H$10:$H$276,0)),"")</f>
        <v>20</v>
      </c>
      <c r="Q238" s="494">
        <f t="shared" si="49"/>
        <v>10540800</v>
      </c>
      <c r="R238" s="392"/>
      <c r="S238" s="362">
        <f t="shared" si="43"/>
        <v>0</v>
      </c>
      <c r="T238" s="385"/>
      <c r="U238" s="362">
        <f t="shared" si="51"/>
        <v>0</v>
      </c>
      <c r="V238" s="584">
        <f t="shared" si="45"/>
        <v>65880</v>
      </c>
      <c r="W238" s="371">
        <f t="shared" si="50"/>
        <v>10540800</v>
      </c>
      <c r="X238" s="977">
        <f t="shared" si="47"/>
        <v>5.8559999999999999</v>
      </c>
      <c r="Y238" s="999">
        <v>1800000</v>
      </c>
      <c r="Z238" s="1000">
        <f t="shared" si="48"/>
        <v>10540800</v>
      </c>
      <c r="AA238" s="568">
        <f t="shared" si="46"/>
        <v>216</v>
      </c>
      <c r="AB238" s="493">
        <f>IFERROR(INDEX('[17]CN BC'!$M$10:$M$276,MATCH(B238,'[17]CN BC'!$H$10:$H$276,0)),"")</f>
        <v>0</v>
      </c>
      <c r="AC238" s="141" t="str">
        <f>VLOOKUP(B238,TH.T4!B236:AC566,28,FALSE)</f>
        <v>Đ-ĐT</v>
      </c>
      <c r="AD238" s="108"/>
      <c r="AE238" s="108"/>
      <c r="AF238" s="155"/>
      <c r="AG238" s="108"/>
      <c r="AH238" s="108"/>
      <c r="AI238" s="108"/>
      <c r="AJ238" s="108"/>
      <c r="AK238" s="108"/>
      <c r="AL238" s="108"/>
      <c r="AM238" s="108"/>
      <c r="AN238" s="108"/>
      <c r="AO238" s="108"/>
      <c r="AP238" s="108"/>
    </row>
    <row r="239" spans="1:42" s="372" customFormat="1" ht="29.25" customHeight="1">
      <c r="A239" s="379">
        <f>_xlfn.AGGREGATE(4,7,A$22:A238)+1</f>
        <v>217</v>
      </c>
      <c r="B239" s="363" t="s">
        <v>1906</v>
      </c>
      <c r="C239" s="364" t="s">
        <v>917</v>
      </c>
      <c r="D239" s="434" t="s">
        <v>1792</v>
      </c>
      <c r="E239" s="423" t="s">
        <v>1399</v>
      </c>
      <c r="F239" s="366">
        <v>4.9800000000000004</v>
      </c>
      <c r="G239" s="367">
        <v>0.09</v>
      </c>
      <c r="H239" s="368">
        <f t="shared" si="40"/>
        <v>5.4282000000000004</v>
      </c>
      <c r="I239" s="368">
        <v>0.35</v>
      </c>
      <c r="J239" s="81" t="str">
        <f>VLOOKUP(B239,TH.T5!B239:F568,5,FALSE)</f>
        <v>Giảng viên khoa Điện - Điện tử</v>
      </c>
      <c r="K239" s="369">
        <f t="shared" si="41"/>
        <v>5.7782</v>
      </c>
      <c r="L239" s="362">
        <f t="shared" si="42"/>
        <v>10400760</v>
      </c>
      <c r="M239" s="366" t="str">
        <f>VLOOKUP(B239,'[24]Gui chi Quynh'!$B$11:$E$400,4,FALSE)</f>
        <v>A3</v>
      </c>
      <c r="N239" s="494">
        <f t="shared" si="44"/>
        <v>12480912</v>
      </c>
      <c r="O239" s="366">
        <v>20</v>
      </c>
      <c r="P239" s="440">
        <f>IFERROR(INDEX('[17]CN BC'!$J$10:$J$276,MATCH(B239,'[17]CN BC'!$H$10:$H$276,0)),"")</f>
        <v>20</v>
      </c>
      <c r="Q239" s="494">
        <f t="shared" si="49"/>
        <v>12480912</v>
      </c>
      <c r="R239" s="460"/>
      <c r="S239" s="362">
        <f t="shared" si="43"/>
        <v>0</v>
      </c>
      <c r="T239" s="370"/>
      <c r="U239" s="362">
        <f t="shared" si="51"/>
        <v>0</v>
      </c>
      <c r="V239" s="584">
        <f t="shared" si="45"/>
        <v>104008</v>
      </c>
      <c r="W239" s="371">
        <f t="shared" si="50"/>
        <v>12480912</v>
      </c>
      <c r="X239" s="977">
        <f t="shared" si="47"/>
        <v>6.93384</v>
      </c>
      <c r="Y239" s="999">
        <v>1800000</v>
      </c>
      <c r="Z239" s="1000">
        <f t="shared" si="48"/>
        <v>12480912</v>
      </c>
      <c r="AA239" s="568">
        <f t="shared" si="46"/>
        <v>217</v>
      </c>
      <c r="AB239" s="493">
        <f>IFERROR(INDEX('[17]CN BC'!$M$10:$M$276,MATCH(B239,'[17]CN BC'!$H$10:$H$276,0)),"")</f>
        <v>0</v>
      </c>
      <c r="AC239" s="141" t="str">
        <f>VLOOKUP(B239,TH.T4!B237:AC567,28,FALSE)</f>
        <v>Đ-ĐT</v>
      </c>
      <c r="AD239" s="108"/>
      <c r="AE239" s="108"/>
      <c r="AF239" s="155"/>
      <c r="AG239" s="108"/>
      <c r="AH239" s="108"/>
      <c r="AI239" s="108"/>
      <c r="AJ239" s="108"/>
      <c r="AK239" s="108"/>
      <c r="AL239" s="108"/>
    </row>
    <row r="240" spans="1:42" s="372" customFormat="1" ht="29.25" customHeight="1">
      <c r="A240" s="379">
        <f>_xlfn.AGGREGATE(4,7,A$22:A239)+1</f>
        <v>218</v>
      </c>
      <c r="B240" s="363" t="s">
        <v>1907</v>
      </c>
      <c r="C240" s="364" t="s">
        <v>878</v>
      </c>
      <c r="D240" s="434" t="s">
        <v>1793</v>
      </c>
      <c r="E240" s="423" t="s">
        <v>1400</v>
      </c>
      <c r="F240" s="366">
        <v>4.9800000000000004</v>
      </c>
      <c r="G240" s="367">
        <v>0.12</v>
      </c>
      <c r="H240" s="368">
        <f t="shared" si="40"/>
        <v>5.5776000000000003</v>
      </c>
      <c r="I240" s="368"/>
      <c r="J240" s="81" t="str">
        <f>VLOOKUP(B240,TH.T5!B240:F569,5,FALSE)</f>
        <v>Giảng viên khoa Điện - Điện tử</v>
      </c>
      <c r="K240" s="369">
        <f t="shared" si="41"/>
        <v>5.5776000000000003</v>
      </c>
      <c r="L240" s="362">
        <f t="shared" si="42"/>
        <v>10039680</v>
      </c>
      <c r="M240" s="366" t="str">
        <f>VLOOKUP(B240,'[24]Gui chi Quynh'!$B$11:$E$400,4,FALSE)</f>
        <v>A4</v>
      </c>
      <c r="N240" s="494">
        <f t="shared" si="44"/>
        <v>10039680</v>
      </c>
      <c r="O240" s="366">
        <v>20</v>
      </c>
      <c r="P240" s="440">
        <f>IFERROR(INDEX('[17]CN BC'!$J$10:$J$276,MATCH(B240,'[17]CN BC'!$H$10:$H$276,0)),"")</f>
        <v>20</v>
      </c>
      <c r="Q240" s="494">
        <f t="shared" si="49"/>
        <v>10039680</v>
      </c>
      <c r="R240" s="460"/>
      <c r="S240" s="362">
        <f t="shared" si="43"/>
        <v>0</v>
      </c>
      <c r="T240" s="370"/>
      <c r="U240" s="362">
        <f t="shared" si="51"/>
        <v>0</v>
      </c>
      <c r="V240" s="584">
        <f t="shared" si="45"/>
        <v>100397</v>
      </c>
      <c r="W240" s="371">
        <f t="shared" si="50"/>
        <v>10039680</v>
      </c>
      <c r="X240" s="977">
        <f t="shared" si="47"/>
        <v>5.5776000000000003</v>
      </c>
      <c r="Y240" s="999">
        <v>1800000</v>
      </c>
      <c r="Z240" s="1000">
        <f t="shared" si="48"/>
        <v>10039680</v>
      </c>
      <c r="AA240" s="568">
        <f t="shared" si="46"/>
        <v>218</v>
      </c>
      <c r="AB240" s="493">
        <f>IFERROR(INDEX('[17]CN BC'!$M$10:$M$276,MATCH(B240,'[17]CN BC'!$H$10:$H$276,0)),"")</f>
        <v>0</v>
      </c>
      <c r="AC240" s="141" t="str">
        <f>VLOOKUP(B240,TH.T4!B238:AC568,28,FALSE)</f>
        <v>Đ-ĐT</v>
      </c>
      <c r="AD240" s="108"/>
      <c r="AE240" s="108"/>
      <c r="AF240" s="155"/>
    </row>
    <row r="241" spans="1:42" s="372" customFormat="1" ht="29.25" customHeight="1">
      <c r="A241" s="379">
        <f>_xlfn.AGGREGATE(4,7,A$22:A240)+1</f>
        <v>219</v>
      </c>
      <c r="B241" s="363" t="s">
        <v>1908</v>
      </c>
      <c r="C241" s="364" t="s">
        <v>1064</v>
      </c>
      <c r="D241" s="434" t="s">
        <v>1794</v>
      </c>
      <c r="E241" s="423" t="s">
        <v>1401</v>
      </c>
      <c r="F241" s="366">
        <v>4.9800000000000004</v>
      </c>
      <c r="G241" s="367">
        <v>0.09</v>
      </c>
      <c r="H241" s="368">
        <f t="shared" si="40"/>
        <v>5.4282000000000004</v>
      </c>
      <c r="I241" s="368"/>
      <c r="J241" s="81" t="str">
        <f>VLOOKUP(B241,TH.T5!B241:F570,5,FALSE)</f>
        <v>Giảng viên khoa Điện - Điện tử</v>
      </c>
      <c r="K241" s="369">
        <f t="shared" si="41"/>
        <v>5.4282000000000004</v>
      </c>
      <c r="L241" s="362">
        <f t="shared" si="42"/>
        <v>9770760</v>
      </c>
      <c r="M241" s="366" t="str">
        <f>VLOOKUP(B241,'[24]Gui chi Quynh'!$B$11:$E$400,4,FALSE)</f>
        <v>A3</v>
      </c>
      <c r="N241" s="494">
        <f t="shared" si="44"/>
        <v>11724912</v>
      </c>
      <c r="O241" s="366">
        <v>20</v>
      </c>
      <c r="P241" s="440">
        <f>IFERROR(INDEX('[17]CN BC'!$J$10:$J$276,MATCH(B241,'[17]CN BC'!$H$10:$H$276,0)),"")</f>
        <v>20</v>
      </c>
      <c r="Q241" s="494">
        <f t="shared" si="49"/>
        <v>11724912</v>
      </c>
      <c r="R241" s="460"/>
      <c r="S241" s="362">
        <f t="shared" si="43"/>
        <v>0</v>
      </c>
      <c r="T241" s="370"/>
      <c r="U241" s="362">
        <f t="shared" si="51"/>
        <v>0</v>
      </c>
      <c r="V241" s="584">
        <f t="shared" si="45"/>
        <v>97708</v>
      </c>
      <c r="W241" s="371">
        <f t="shared" si="50"/>
        <v>11724912</v>
      </c>
      <c r="X241" s="977">
        <f t="shared" si="47"/>
        <v>6.5138400000000001</v>
      </c>
      <c r="Y241" s="999">
        <v>1800000</v>
      </c>
      <c r="Z241" s="1000">
        <f t="shared" si="48"/>
        <v>11724912</v>
      </c>
      <c r="AA241" s="568">
        <f t="shared" si="46"/>
        <v>219</v>
      </c>
      <c r="AB241" s="493">
        <f>IFERROR(INDEX('[17]CN BC'!$M$10:$M$276,MATCH(B241,'[17]CN BC'!$H$10:$H$276,0)),"")</f>
        <v>0</v>
      </c>
      <c r="AC241" s="141" t="str">
        <f>VLOOKUP(B241,TH.T4!B239:AC569,28,FALSE)</f>
        <v>Đ-ĐT</v>
      </c>
      <c r="AD241" s="108"/>
      <c r="AE241" s="108"/>
      <c r="AF241" s="155"/>
      <c r="AG241" s="108"/>
      <c r="AH241" s="108"/>
      <c r="AI241" s="108"/>
      <c r="AJ241" s="108"/>
      <c r="AK241" s="108"/>
      <c r="AL241" s="108"/>
    </row>
    <row r="242" spans="1:42" s="108" customFormat="1" ht="29.25" customHeight="1">
      <c r="A242" s="379">
        <f>_xlfn.AGGREGATE(4,7,A$22:A241)+1</f>
        <v>220</v>
      </c>
      <c r="B242" s="33" t="s">
        <v>1909</v>
      </c>
      <c r="C242" s="409" t="s">
        <v>1069</v>
      </c>
      <c r="D242" s="407" t="s">
        <v>1795</v>
      </c>
      <c r="E242" s="425" t="s">
        <v>1404</v>
      </c>
      <c r="F242" s="366">
        <v>4.32</v>
      </c>
      <c r="G242" s="468"/>
      <c r="H242" s="368">
        <f t="shared" si="40"/>
        <v>4.32</v>
      </c>
      <c r="I242" s="368"/>
      <c r="J242" s="81" t="str">
        <f>VLOOKUP(B242,TH.T5!B242:F571,5,FALSE)</f>
        <v>Giảng viên khoa Điện - Điện tử</v>
      </c>
      <c r="K242" s="369">
        <f t="shared" si="41"/>
        <v>4.32</v>
      </c>
      <c r="L242" s="362">
        <f t="shared" si="42"/>
        <v>7776000.0000000009</v>
      </c>
      <c r="M242" s="366" t="str">
        <f>VLOOKUP(B242,'[24]Gui chi Quynh'!$B$11:$E$400,4,FALSE)</f>
        <v>A4</v>
      </c>
      <c r="N242" s="494">
        <f t="shared" si="44"/>
        <v>7776000.0000000009</v>
      </c>
      <c r="O242" s="366">
        <v>20</v>
      </c>
      <c r="P242" s="440">
        <f>IFERROR(INDEX('[17]CN BC'!$J$10:$J$276,MATCH(B242,'[17]CN BC'!$H$10:$H$276,0)),"")</f>
        <v>20</v>
      </c>
      <c r="Q242" s="494">
        <f t="shared" si="49"/>
        <v>7776000.0000000009</v>
      </c>
      <c r="R242" s="392"/>
      <c r="S242" s="362">
        <f t="shared" si="43"/>
        <v>0</v>
      </c>
      <c r="T242" s="408"/>
      <c r="U242" s="362">
        <f t="shared" si="51"/>
        <v>0</v>
      </c>
      <c r="V242" s="584">
        <f t="shared" si="45"/>
        <v>77760</v>
      </c>
      <c r="W242" s="371">
        <f t="shared" si="50"/>
        <v>7776000.0000000009</v>
      </c>
      <c r="X242" s="977">
        <f t="shared" si="47"/>
        <v>4.32</v>
      </c>
      <c r="Y242" s="999">
        <v>1800000</v>
      </c>
      <c r="Z242" s="1000">
        <f t="shared" si="48"/>
        <v>7776000.0000000009</v>
      </c>
      <c r="AA242" s="568">
        <f t="shared" si="46"/>
        <v>220</v>
      </c>
      <c r="AB242" s="493">
        <f>IFERROR(INDEX('[17]CN BC'!$M$10:$M$276,MATCH(B242,'[17]CN BC'!$H$10:$H$276,0)),"")</f>
        <v>0</v>
      </c>
      <c r="AC242" s="141" t="str">
        <f>VLOOKUP(B242,TH.T4!B240:AC570,28,FALSE)</f>
        <v>Đ-ĐT</v>
      </c>
      <c r="AF242" s="155"/>
    </row>
    <row r="243" spans="1:42" s="108" customFormat="1" ht="29.25" customHeight="1">
      <c r="A243" s="379">
        <f>_xlfn.AGGREGATE(4,7,A$22:A242)+1</f>
        <v>221</v>
      </c>
      <c r="B243" s="33" t="s">
        <v>1539</v>
      </c>
      <c r="C243" s="34" t="s">
        <v>910</v>
      </c>
      <c r="D243" s="406" t="s">
        <v>1796</v>
      </c>
      <c r="E243" s="424" t="s">
        <v>1405</v>
      </c>
      <c r="F243" s="10">
        <v>4.32</v>
      </c>
      <c r="G243" s="157"/>
      <c r="H243" s="368">
        <f t="shared" si="40"/>
        <v>4.32</v>
      </c>
      <c r="I243" s="368"/>
      <c r="J243" s="81" t="str">
        <f>VLOOKUP(B243,TH.T5!B243:F572,5,FALSE)</f>
        <v>Giảng viên khoa
Điện - Điện tử</v>
      </c>
      <c r="K243" s="369">
        <f t="shared" si="41"/>
        <v>4.32</v>
      </c>
      <c r="L243" s="362">
        <f t="shared" si="42"/>
        <v>7776000.0000000009</v>
      </c>
      <c r="M243" s="366" t="str">
        <f>VLOOKUP(B243,'[24]Gui chi Quynh'!$B$11:$E$400,4,FALSE)</f>
        <v>A3</v>
      </c>
      <c r="N243" s="494">
        <f t="shared" si="44"/>
        <v>9331200</v>
      </c>
      <c r="O243" s="366">
        <v>20</v>
      </c>
      <c r="P243" s="440">
        <f>IFERROR(INDEX('[17]CN BC'!$J$10:$J$276,MATCH(B243,'[17]CN BC'!$H$10:$H$276,0)),"")</f>
        <v>20</v>
      </c>
      <c r="Q243" s="494">
        <f t="shared" si="49"/>
        <v>9331200</v>
      </c>
      <c r="R243" s="392"/>
      <c r="S243" s="362">
        <f t="shared" si="43"/>
        <v>0</v>
      </c>
      <c r="T243" s="385"/>
      <c r="U243" s="362">
        <f t="shared" si="51"/>
        <v>0</v>
      </c>
      <c r="V243" s="584">
        <f t="shared" si="45"/>
        <v>77760</v>
      </c>
      <c r="W243" s="371">
        <f t="shared" si="50"/>
        <v>9331200</v>
      </c>
      <c r="X243" s="977">
        <f t="shared" si="47"/>
        <v>5.1840000000000002</v>
      </c>
      <c r="Y243" s="999">
        <v>1800000</v>
      </c>
      <c r="Z243" s="1000">
        <f t="shared" si="48"/>
        <v>9331200</v>
      </c>
      <c r="AA243" s="568">
        <f t="shared" si="46"/>
        <v>221</v>
      </c>
      <c r="AB243" s="493">
        <f>IFERROR(INDEX('[17]CN BC'!$M$10:$M$276,MATCH(B243,'[17]CN BC'!$H$10:$H$276,0)),"")</f>
        <v>0</v>
      </c>
      <c r="AC243" s="141" t="str">
        <f>VLOOKUP(B243,TH.T4!B241:AC571,28,FALSE)</f>
        <v>Đ-ĐT</v>
      </c>
      <c r="AF243" s="155"/>
    </row>
    <row r="244" spans="1:42" s="372" customFormat="1" ht="29.25" customHeight="1">
      <c r="A244" s="379">
        <f>_xlfn.AGGREGATE(4,7,A$22:A243)+1</f>
        <v>222</v>
      </c>
      <c r="B244" s="363" t="s">
        <v>1910</v>
      </c>
      <c r="C244" s="364" t="s">
        <v>1072</v>
      </c>
      <c r="D244" s="406" t="s">
        <v>1797</v>
      </c>
      <c r="E244" s="423" t="s">
        <v>1406</v>
      </c>
      <c r="F244" s="366">
        <v>4.6500000000000004</v>
      </c>
      <c r="G244" s="367"/>
      <c r="H244" s="368">
        <f t="shared" si="40"/>
        <v>4.6500000000000004</v>
      </c>
      <c r="I244" s="368"/>
      <c r="J244" s="81" t="str">
        <f>VLOOKUP(B244,TH.T5!B244:F573,5,FALSE)</f>
        <v>Giảng viên khoa Điện - Điện tử</v>
      </c>
      <c r="K244" s="369">
        <f t="shared" si="41"/>
        <v>4.6500000000000004</v>
      </c>
      <c r="L244" s="362">
        <f t="shared" si="42"/>
        <v>8370000.0000000009</v>
      </c>
      <c r="M244" s="366" t="str">
        <f>VLOOKUP(B244,'[24]Gui chi Quynh'!$B$11:$E$400,4,FALSE)</f>
        <v>A3</v>
      </c>
      <c r="N244" s="494">
        <f t="shared" si="44"/>
        <v>10044000</v>
      </c>
      <c r="O244" s="366">
        <v>20</v>
      </c>
      <c r="P244" s="440">
        <f>IFERROR(INDEX('[17]CN BC'!$J$10:$J$276,MATCH(B244,'[17]CN BC'!$H$10:$H$276,0)),"")</f>
        <v>20</v>
      </c>
      <c r="Q244" s="494">
        <f t="shared" si="49"/>
        <v>10044000</v>
      </c>
      <c r="R244" s="392"/>
      <c r="S244" s="362">
        <f t="shared" si="43"/>
        <v>0</v>
      </c>
      <c r="T244" s="385"/>
      <c r="U244" s="362">
        <f t="shared" si="51"/>
        <v>0</v>
      </c>
      <c r="V244" s="584">
        <f t="shared" si="45"/>
        <v>83700</v>
      </c>
      <c r="W244" s="371">
        <f t="shared" si="50"/>
        <v>10044000</v>
      </c>
      <c r="X244" s="977">
        <f t="shared" si="47"/>
        <v>5.58</v>
      </c>
      <c r="Y244" s="999">
        <v>1800000</v>
      </c>
      <c r="Z244" s="1000">
        <f t="shared" si="48"/>
        <v>10044000</v>
      </c>
      <c r="AA244" s="568">
        <f t="shared" si="46"/>
        <v>222</v>
      </c>
      <c r="AB244" s="493">
        <f>IFERROR(INDEX('[17]CN BC'!$M$10:$M$276,MATCH(B244,'[17]CN BC'!$H$10:$H$276,0)),"")</f>
        <v>0</v>
      </c>
      <c r="AC244" s="141" t="str">
        <f>VLOOKUP(B244,TH.T4!B242:AC572,28,FALSE)</f>
        <v>Đ-ĐT</v>
      </c>
      <c r="AD244" s="108"/>
      <c r="AE244" s="108"/>
      <c r="AF244" s="155"/>
      <c r="AG244" s="108"/>
      <c r="AH244" s="108"/>
      <c r="AI244" s="108"/>
      <c r="AJ244" s="108"/>
      <c r="AK244" s="108"/>
      <c r="AL244" s="108"/>
      <c r="AM244" s="108"/>
      <c r="AN244" s="108"/>
      <c r="AO244" s="108"/>
      <c r="AP244" s="108"/>
    </row>
    <row r="245" spans="1:42" s="372" customFormat="1" ht="29.25" customHeight="1">
      <c r="A245" s="379">
        <f>_xlfn.AGGREGATE(4,7,A$22:A244)+1</f>
        <v>223</v>
      </c>
      <c r="B245" s="363" t="s">
        <v>1911</v>
      </c>
      <c r="C245" s="364" t="s">
        <v>873</v>
      </c>
      <c r="D245" s="434" t="s">
        <v>1798</v>
      </c>
      <c r="E245" s="423" t="s">
        <v>1407</v>
      </c>
      <c r="F245" s="366">
        <v>4.6500000000000004</v>
      </c>
      <c r="G245" s="367"/>
      <c r="H245" s="368">
        <f t="shared" si="40"/>
        <v>4.6500000000000004</v>
      </c>
      <c r="I245" s="368"/>
      <c r="J245" s="81" t="str">
        <f>VLOOKUP(B245,TH.T5!B245:F574,5,FALSE)</f>
        <v>Giảng viên khoa Điện - Điện tử</v>
      </c>
      <c r="K245" s="369">
        <f t="shared" si="41"/>
        <v>4.6500000000000004</v>
      </c>
      <c r="L245" s="362">
        <f t="shared" si="42"/>
        <v>8370000.0000000009</v>
      </c>
      <c r="M245" s="366" t="str">
        <f>VLOOKUP(B245,'[24]Gui chi Quynh'!$B$11:$E$400,4,FALSE)</f>
        <v>A3</v>
      </c>
      <c r="N245" s="494">
        <f t="shared" si="44"/>
        <v>10044000</v>
      </c>
      <c r="O245" s="366">
        <v>20</v>
      </c>
      <c r="P245" s="440">
        <f>IFERROR(INDEX('[17]CN BC'!$J$10:$J$276,MATCH(B245,'[17]CN BC'!$H$10:$H$276,0)),"")</f>
        <v>20</v>
      </c>
      <c r="Q245" s="494">
        <f t="shared" si="49"/>
        <v>10044000</v>
      </c>
      <c r="R245" s="392"/>
      <c r="S245" s="362">
        <f t="shared" si="43"/>
        <v>0</v>
      </c>
      <c r="T245" s="370"/>
      <c r="U245" s="362">
        <f t="shared" si="51"/>
        <v>0</v>
      </c>
      <c r="V245" s="584">
        <f t="shared" si="45"/>
        <v>83700</v>
      </c>
      <c r="W245" s="371">
        <f t="shared" si="50"/>
        <v>10044000</v>
      </c>
      <c r="X245" s="977">
        <f t="shared" si="47"/>
        <v>5.58</v>
      </c>
      <c r="Y245" s="999">
        <v>1800000</v>
      </c>
      <c r="Z245" s="1000">
        <f t="shared" si="48"/>
        <v>10044000</v>
      </c>
      <c r="AA245" s="568">
        <f t="shared" si="46"/>
        <v>223</v>
      </c>
      <c r="AB245" s="493">
        <f>IFERROR(INDEX('[17]CN BC'!$M$10:$M$276,MATCH(B245,'[17]CN BC'!$H$10:$H$276,0)),"")</f>
        <v>0</v>
      </c>
      <c r="AC245" s="141" t="str">
        <f>VLOOKUP(B245,TH.T4!B243:AC573,28,FALSE)</f>
        <v>Đ-ĐT</v>
      </c>
      <c r="AD245" s="108"/>
      <c r="AE245" s="108"/>
      <c r="AF245" s="155"/>
      <c r="AG245" s="108"/>
      <c r="AH245" s="108"/>
      <c r="AI245" s="108"/>
      <c r="AJ245" s="108"/>
      <c r="AK245" s="108"/>
      <c r="AL245" s="108"/>
    </row>
    <row r="246" spans="1:42" s="108" customFormat="1" ht="29.25" customHeight="1">
      <c r="A246" s="379">
        <f>_xlfn.AGGREGATE(4,7,A$22:A245)+1</f>
        <v>224</v>
      </c>
      <c r="B246" s="33" t="s">
        <v>1912</v>
      </c>
      <c r="C246" s="34" t="s">
        <v>867</v>
      </c>
      <c r="D246" s="406" t="s">
        <v>1799</v>
      </c>
      <c r="E246" s="424" t="s">
        <v>1409</v>
      </c>
      <c r="F246" s="10">
        <v>4.6500000000000004</v>
      </c>
      <c r="G246" s="157"/>
      <c r="H246" s="368">
        <f t="shared" si="40"/>
        <v>4.6500000000000004</v>
      </c>
      <c r="I246" s="81"/>
      <c r="J246" s="81" t="str">
        <f>VLOOKUP(B246,TH.T5!B246:F575,5,FALSE)</f>
        <v>Giảng viên khoa Điện - Điện tử</v>
      </c>
      <c r="K246" s="369">
        <f t="shared" si="41"/>
        <v>4.6500000000000004</v>
      </c>
      <c r="L246" s="362">
        <f t="shared" si="42"/>
        <v>8370000.0000000009</v>
      </c>
      <c r="M246" s="366" t="str">
        <f>VLOOKUP(B246,'[24]Gui chi Quynh'!$B$11:$E$400,4,FALSE)</f>
        <v>A3</v>
      </c>
      <c r="N246" s="494">
        <f t="shared" si="44"/>
        <v>10044000</v>
      </c>
      <c r="O246" s="366">
        <v>20</v>
      </c>
      <c r="P246" s="440">
        <f>IFERROR(INDEX('[17]CN BC'!$J$10:$J$276,MATCH(B246,'[17]CN BC'!$H$10:$H$276,0)),"")</f>
        <v>20</v>
      </c>
      <c r="Q246" s="494">
        <f t="shared" si="49"/>
        <v>10044000</v>
      </c>
      <c r="R246" s="392"/>
      <c r="S246" s="362">
        <f t="shared" si="43"/>
        <v>0</v>
      </c>
      <c r="T246" s="385"/>
      <c r="U246" s="362">
        <f t="shared" si="51"/>
        <v>0</v>
      </c>
      <c r="V246" s="584">
        <f t="shared" si="45"/>
        <v>83700</v>
      </c>
      <c r="W246" s="371">
        <f t="shared" si="50"/>
        <v>10044000</v>
      </c>
      <c r="X246" s="977">
        <f t="shared" si="47"/>
        <v>5.58</v>
      </c>
      <c r="Y246" s="999">
        <v>1800000</v>
      </c>
      <c r="Z246" s="1000">
        <f t="shared" si="48"/>
        <v>10044000</v>
      </c>
      <c r="AA246" s="568">
        <f t="shared" si="46"/>
        <v>224</v>
      </c>
      <c r="AB246" s="493">
        <f>IFERROR(INDEX('[17]CN BC'!$M$10:$M$276,MATCH(B246,'[17]CN BC'!$H$10:$H$276,0)),"")</f>
        <v>0</v>
      </c>
      <c r="AC246" s="141" t="str">
        <f>VLOOKUP(B246,TH.T4!B244:AC574,28,FALSE)</f>
        <v>Đ-ĐT</v>
      </c>
      <c r="AF246" s="155"/>
    </row>
    <row r="247" spans="1:42" s="108" customFormat="1" ht="29.25" customHeight="1">
      <c r="A247" s="379">
        <f>_xlfn.AGGREGATE(4,7,A$22:A246)+1</f>
        <v>225</v>
      </c>
      <c r="B247" s="33" t="s">
        <v>1913</v>
      </c>
      <c r="C247" s="34" t="s">
        <v>1078</v>
      </c>
      <c r="D247" s="406" t="s">
        <v>1800</v>
      </c>
      <c r="E247" s="424" t="s">
        <v>1410</v>
      </c>
      <c r="F247" s="10">
        <v>4.6500000000000004</v>
      </c>
      <c r="G247" s="157"/>
      <c r="H247" s="368">
        <f t="shared" si="40"/>
        <v>4.6500000000000004</v>
      </c>
      <c r="I247" s="81"/>
      <c r="J247" s="81" t="str">
        <f>VLOOKUP(B247,TH.T5!B247:F576,5,FALSE)</f>
        <v>Giảng viên khoa Điện - Điện tử</v>
      </c>
      <c r="K247" s="369">
        <f t="shared" si="41"/>
        <v>4.6500000000000004</v>
      </c>
      <c r="L247" s="362">
        <f t="shared" si="42"/>
        <v>8370000.0000000009</v>
      </c>
      <c r="M247" s="366" t="str">
        <f>VLOOKUP(B247,'[24]Gui chi Quynh'!$B$11:$E$400,4,FALSE)</f>
        <v>A4</v>
      </c>
      <c r="N247" s="494">
        <f t="shared" si="44"/>
        <v>8370000.0000000009</v>
      </c>
      <c r="O247" s="366">
        <v>20</v>
      </c>
      <c r="P247" s="440">
        <f>IFERROR(INDEX('[17]CN BC'!$J$10:$J$276,MATCH(B247,'[17]CN BC'!$H$10:$H$276,0)),"")</f>
        <v>20</v>
      </c>
      <c r="Q247" s="494">
        <f t="shared" si="49"/>
        <v>8370000.0000000009</v>
      </c>
      <c r="R247" s="392"/>
      <c r="S247" s="362">
        <f t="shared" si="43"/>
        <v>0</v>
      </c>
      <c r="T247" s="385"/>
      <c r="U247" s="362">
        <f t="shared" si="51"/>
        <v>0</v>
      </c>
      <c r="V247" s="584">
        <f t="shared" si="45"/>
        <v>83700</v>
      </c>
      <c r="W247" s="371">
        <f t="shared" si="50"/>
        <v>8370000.0000000009</v>
      </c>
      <c r="X247" s="977">
        <f t="shared" si="47"/>
        <v>4.6500000000000004</v>
      </c>
      <c r="Y247" s="999">
        <v>1800000</v>
      </c>
      <c r="Z247" s="1000">
        <f t="shared" si="48"/>
        <v>8370000.0000000009</v>
      </c>
      <c r="AA247" s="568">
        <f t="shared" si="46"/>
        <v>225</v>
      </c>
      <c r="AB247" s="493">
        <f>IFERROR(INDEX('[17]CN BC'!$M$10:$M$276,MATCH(B247,'[17]CN BC'!$H$10:$H$276,0)),"")</f>
        <v>0</v>
      </c>
      <c r="AC247" s="141" t="str">
        <f>VLOOKUP(B247,TH.T4!B245:AC575,28,FALSE)</f>
        <v>Đ-ĐT</v>
      </c>
      <c r="AF247" s="155"/>
    </row>
    <row r="248" spans="1:42" s="108" customFormat="1" ht="29.25" customHeight="1">
      <c r="A248" s="379">
        <f>_xlfn.AGGREGATE(4,7,A$22:A247)+1</f>
        <v>226</v>
      </c>
      <c r="B248" s="33" t="s">
        <v>1540</v>
      </c>
      <c r="C248" s="34" t="s">
        <v>1019</v>
      </c>
      <c r="D248" s="406" t="s">
        <v>1801</v>
      </c>
      <c r="E248" s="424" t="s">
        <v>1412</v>
      </c>
      <c r="F248" s="10">
        <v>3.99</v>
      </c>
      <c r="G248" s="157"/>
      <c r="H248" s="368">
        <f t="shared" si="40"/>
        <v>3.99</v>
      </c>
      <c r="I248" s="81"/>
      <c r="J248" s="81" t="str">
        <f>VLOOKUP(B248,TH.T5!B248:F577,5,FALSE)</f>
        <v>Giảng viên khoa
Điện - Điện tử</v>
      </c>
      <c r="K248" s="369">
        <f t="shared" si="41"/>
        <v>3.99</v>
      </c>
      <c r="L248" s="362">
        <f t="shared" si="42"/>
        <v>7182000</v>
      </c>
      <c r="M248" s="366" t="str">
        <f>VLOOKUP(B248,'[24]Gui chi Quynh'!$B$11:$E$400,4,FALSE)</f>
        <v>A4</v>
      </c>
      <c r="N248" s="494">
        <f t="shared" si="44"/>
        <v>7182000</v>
      </c>
      <c r="O248" s="366">
        <v>20</v>
      </c>
      <c r="P248" s="440">
        <f>IFERROR(INDEX('[17]CN BC'!$J$10:$J$276,MATCH(B248,'[17]CN BC'!$H$10:$H$276,0)),"")</f>
        <v>20</v>
      </c>
      <c r="Q248" s="494">
        <f t="shared" si="49"/>
        <v>7182000</v>
      </c>
      <c r="R248" s="392"/>
      <c r="S248" s="362">
        <f t="shared" si="43"/>
        <v>0</v>
      </c>
      <c r="T248" s="385"/>
      <c r="U248" s="362">
        <f t="shared" si="51"/>
        <v>0</v>
      </c>
      <c r="V248" s="584">
        <f t="shared" si="45"/>
        <v>71820</v>
      </c>
      <c r="W248" s="371">
        <f t="shared" si="50"/>
        <v>7182000</v>
      </c>
      <c r="X248" s="977">
        <f t="shared" si="47"/>
        <v>3.99</v>
      </c>
      <c r="Y248" s="999">
        <v>1800000</v>
      </c>
      <c r="Z248" s="1000">
        <f t="shared" si="48"/>
        <v>7182000</v>
      </c>
      <c r="AA248" s="568">
        <f t="shared" si="46"/>
        <v>226</v>
      </c>
      <c r="AB248" s="493">
        <f>IFERROR(INDEX('[17]CN BC'!$M$10:$M$276,MATCH(B248,'[17]CN BC'!$H$10:$H$276,0)),"")</f>
        <v>0</v>
      </c>
      <c r="AC248" s="141" t="str">
        <f>VLOOKUP(B248,TH.T4!B246:AC576,28,FALSE)</f>
        <v>Đ-ĐT</v>
      </c>
      <c r="AF248" s="155"/>
    </row>
    <row r="249" spans="1:42" s="372" customFormat="1" ht="29.25" customHeight="1">
      <c r="A249" s="379">
        <f>_xlfn.AGGREGATE(4,7,A$22:A248)+1</f>
        <v>227</v>
      </c>
      <c r="B249" s="363" t="s">
        <v>1609</v>
      </c>
      <c r="C249" s="364" t="s">
        <v>876</v>
      </c>
      <c r="D249" s="434" t="s">
        <v>1973</v>
      </c>
      <c r="E249" s="426" t="s">
        <v>1611</v>
      </c>
      <c r="F249" s="373">
        <v>3.33</v>
      </c>
      <c r="G249" s="367"/>
      <c r="H249" s="445">
        <f t="shared" ref="H249:H288" si="52">F249+(F249*G249)</f>
        <v>3.33</v>
      </c>
      <c r="I249" s="368"/>
      <c r="J249" s="81" t="str">
        <f>VLOOKUP(B249,TH.T5!B249:F578,5,FALSE)</f>
        <v>Giảng viên khoa
Điện - Điện tử</v>
      </c>
      <c r="K249" s="369">
        <f t="shared" ref="K249:K288" si="53">H249+I249</f>
        <v>3.33</v>
      </c>
      <c r="L249" s="362">
        <f t="shared" ref="L249:L288" si="54">K249*$G$19</f>
        <v>5994000</v>
      </c>
      <c r="M249" s="366" t="str">
        <f>VLOOKUP(B249,'[24]Gui chi Quynh'!$B$11:$E$400,4,FALSE)</f>
        <v>A3</v>
      </c>
      <c r="N249" s="494">
        <f t="shared" si="44"/>
        <v>7192800</v>
      </c>
      <c r="O249" s="366">
        <v>20</v>
      </c>
      <c r="P249" s="440">
        <f>IFERROR(INDEX('[17]CN BC'!$J$10:$J$276,MATCH(B249,'[17]CN BC'!$H$10:$H$276,0)),"")</f>
        <v>20</v>
      </c>
      <c r="Q249" s="494">
        <f t="shared" si="49"/>
        <v>7192800</v>
      </c>
      <c r="R249" s="460"/>
      <c r="S249" s="362">
        <f t="shared" si="43"/>
        <v>0</v>
      </c>
      <c r="T249" s="370"/>
      <c r="U249" s="362">
        <f t="shared" si="51"/>
        <v>0</v>
      </c>
      <c r="V249" s="584">
        <f t="shared" si="45"/>
        <v>59940</v>
      </c>
      <c r="W249" s="371">
        <f t="shared" si="50"/>
        <v>7192800</v>
      </c>
      <c r="X249" s="977">
        <f t="shared" si="47"/>
        <v>3.996</v>
      </c>
      <c r="Y249" s="999">
        <v>1800000</v>
      </c>
      <c r="Z249" s="1000">
        <f t="shared" si="48"/>
        <v>7192800</v>
      </c>
      <c r="AA249" s="568">
        <f t="shared" si="46"/>
        <v>227</v>
      </c>
      <c r="AB249" s="493">
        <f>IFERROR(INDEX('[17]CN BC'!$M$10:$M$276,MATCH(B249,'[17]CN BC'!$H$10:$H$276,0)),"")</f>
        <v>0</v>
      </c>
      <c r="AC249" s="141" t="str">
        <f>VLOOKUP(B249,TH.T4!B247:AC577,28,FALSE)</f>
        <v>Đ-ĐT</v>
      </c>
      <c r="AD249" s="108"/>
      <c r="AE249" s="108"/>
      <c r="AF249" s="155"/>
      <c r="AG249" s="108"/>
      <c r="AH249" s="108"/>
      <c r="AI249" s="108"/>
      <c r="AJ249" s="108"/>
      <c r="AK249" s="108"/>
      <c r="AL249" s="108"/>
    </row>
    <row r="250" spans="1:42" s="372" customFormat="1" ht="29.25" customHeight="1">
      <c r="A250" s="379">
        <f>_xlfn.AGGREGATE(4,7,A$22:A249)+1</f>
        <v>228</v>
      </c>
      <c r="B250" s="363" t="s">
        <v>1610</v>
      </c>
      <c r="C250" s="364" t="s">
        <v>885</v>
      </c>
      <c r="D250" s="434" t="s">
        <v>1974</v>
      </c>
      <c r="E250" s="426" t="s">
        <v>1612</v>
      </c>
      <c r="F250" s="366">
        <v>2.67</v>
      </c>
      <c r="G250" s="367"/>
      <c r="H250" s="368">
        <f t="shared" si="52"/>
        <v>2.67</v>
      </c>
      <c r="I250" s="368">
        <v>0.25</v>
      </c>
      <c r="J250" s="81" t="str">
        <f>VLOOKUP(B250,TH.T5!B250:F579,5,FALSE)</f>
        <v>Giảng viên khoa
Điện - Điện tử</v>
      </c>
      <c r="K250" s="369">
        <f t="shared" si="53"/>
        <v>2.92</v>
      </c>
      <c r="L250" s="362">
        <f t="shared" si="54"/>
        <v>5256000</v>
      </c>
      <c r="M250" s="366" t="str">
        <f>VLOOKUP(B250,'[24]Gui chi Quynh'!$B$11:$E$400,4,FALSE)</f>
        <v>A2</v>
      </c>
      <c r="N250" s="494">
        <f t="shared" si="44"/>
        <v>7358399.9999999991</v>
      </c>
      <c r="O250" s="366">
        <v>20</v>
      </c>
      <c r="P250" s="440">
        <f>IFERROR(INDEX('[17]CN BC'!$J$10:$J$276,MATCH(B250,'[17]CN BC'!$H$10:$H$276,0)),"")</f>
        <v>20</v>
      </c>
      <c r="Q250" s="494">
        <f t="shared" si="49"/>
        <v>7358399.9999999991</v>
      </c>
      <c r="R250" s="460"/>
      <c r="S250" s="362">
        <f t="shared" si="43"/>
        <v>0</v>
      </c>
      <c r="T250" s="370"/>
      <c r="U250" s="362">
        <f t="shared" si="51"/>
        <v>0</v>
      </c>
      <c r="V250" s="584">
        <f t="shared" si="45"/>
        <v>52560</v>
      </c>
      <c r="W250" s="371">
        <f t="shared" si="50"/>
        <v>7358399.9999999991</v>
      </c>
      <c r="X250" s="977">
        <f t="shared" si="47"/>
        <v>4.0879999999999992</v>
      </c>
      <c r="Y250" s="999">
        <v>1800000</v>
      </c>
      <c r="Z250" s="1000">
        <f t="shared" si="48"/>
        <v>7358399.9999999981</v>
      </c>
      <c r="AA250" s="568">
        <f t="shared" si="46"/>
        <v>228</v>
      </c>
      <c r="AB250" s="493">
        <f>IFERROR(INDEX('[17]CN BC'!$M$10:$M$276,MATCH(B250,'[17]CN BC'!$H$10:$H$276,0)),"")</f>
        <v>0</v>
      </c>
      <c r="AC250" s="141" t="str">
        <f>VLOOKUP(B250,TH.T4!B248:AC578,28,FALSE)</f>
        <v>Đ-ĐT</v>
      </c>
      <c r="AD250" s="108"/>
      <c r="AE250" s="108"/>
      <c r="AF250" s="155"/>
      <c r="AG250" s="108"/>
      <c r="AH250" s="108"/>
      <c r="AI250" s="108"/>
      <c r="AJ250" s="108"/>
      <c r="AK250" s="108"/>
      <c r="AL250" s="108"/>
    </row>
    <row r="251" spans="1:42" s="372" customFormat="1" ht="29.25" customHeight="1">
      <c r="A251" s="379">
        <f>_xlfn.AGGREGATE(4,7,A$22:A250)+1</f>
        <v>229</v>
      </c>
      <c r="B251" s="390" t="s">
        <v>1838</v>
      </c>
      <c r="C251" s="364"/>
      <c r="D251" s="434" t="s">
        <v>1975</v>
      </c>
      <c r="E251" s="102">
        <v>1603205590132</v>
      </c>
      <c r="F251" s="366">
        <v>2.67</v>
      </c>
      <c r="G251" s="367"/>
      <c r="H251" s="368">
        <f t="shared" si="52"/>
        <v>2.67</v>
      </c>
      <c r="I251" s="368">
        <v>0.25</v>
      </c>
      <c r="J251" s="81" t="str">
        <f>VLOOKUP(B251,TH.T5!B251:F580,5,FALSE)</f>
        <v>Giảng viên khoa
Điện - Điện tử</v>
      </c>
      <c r="K251" s="369">
        <f t="shared" si="53"/>
        <v>2.92</v>
      </c>
      <c r="L251" s="362">
        <f t="shared" si="54"/>
        <v>5256000</v>
      </c>
      <c r="M251" s="366" t="str">
        <f>VLOOKUP(B251,'[24]Gui chi Quynh'!$B$11:$E$400,4,FALSE)</f>
        <v>A2</v>
      </c>
      <c r="N251" s="494">
        <f t="shared" si="44"/>
        <v>7358399.9999999991</v>
      </c>
      <c r="O251" s="366">
        <v>20</v>
      </c>
      <c r="P251" s="440">
        <f>IFERROR(INDEX('[17]CN BC'!$J$10:$J$276,MATCH(B251,'[17]CN BC'!$H$10:$H$276,0)),"")</f>
        <v>20</v>
      </c>
      <c r="Q251" s="494">
        <f t="shared" si="49"/>
        <v>7358399.9999999991</v>
      </c>
      <c r="R251" s="392"/>
      <c r="S251" s="362">
        <f t="shared" si="43"/>
        <v>0</v>
      </c>
      <c r="T251" s="370"/>
      <c r="U251" s="362">
        <f t="shared" si="51"/>
        <v>0</v>
      </c>
      <c r="V251" s="584">
        <f t="shared" si="45"/>
        <v>52560</v>
      </c>
      <c r="W251" s="371">
        <f t="shared" si="50"/>
        <v>7358399.9999999991</v>
      </c>
      <c r="X251" s="977">
        <f t="shared" si="47"/>
        <v>4.0879999999999992</v>
      </c>
      <c r="Y251" s="999">
        <v>1800000</v>
      </c>
      <c r="Z251" s="1000">
        <f t="shared" si="48"/>
        <v>7358399.9999999981</v>
      </c>
      <c r="AA251" s="568">
        <f t="shared" si="46"/>
        <v>229</v>
      </c>
      <c r="AB251" s="493">
        <f>IFERROR(INDEX('[17]CN BC'!$M$10:$M$276,MATCH(B251,'[17]CN BC'!$H$10:$H$276,0)),"")</f>
        <v>0</v>
      </c>
      <c r="AC251" s="141" t="str">
        <f>VLOOKUP(B251,TH.T4!B249:AC579,28,FALSE)</f>
        <v>Đ-ĐT</v>
      </c>
      <c r="AD251" s="108"/>
      <c r="AE251" s="108"/>
      <c r="AF251" s="155"/>
      <c r="AG251" s="108"/>
      <c r="AH251" s="108"/>
      <c r="AI251" s="108"/>
      <c r="AJ251" s="108"/>
      <c r="AK251" s="108"/>
      <c r="AL251" s="108"/>
    </row>
    <row r="252" spans="1:42" s="372" customFormat="1" ht="29.25" customHeight="1">
      <c r="A252" s="379">
        <f>_xlfn.AGGREGATE(4,7,A$22:A251)+1</f>
        <v>230</v>
      </c>
      <c r="B252" s="390" t="s">
        <v>1993</v>
      </c>
      <c r="C252" s="364"/>
      <c r="D252" s="434"/>
      <c r="E252" s="486"/>
      <c r="F252" s="366">
        <v>3.99</v>
      </c>
      <c r="G252" s="367"/>
      <c r="H252" s="368">
        <f t="shared" si="52"/>
        <v>3.99</v>
      </c>
      <c r="I252" s="368"/>
      <c r="J252" s="81" t="str">
        <f>VLOOKUP(B252,TH.T5!B252:F581,5,FALSE)</f>
        <v>Giảng viên khoa Điện - Điện tử</v>
      </c>
      <c r="K252" s="369">
        <f t="shared" si="53"/>
        <v>3.99</v>
      </c>
      <c r="L252" s="362">
        <f t="shared" si="54"/>
        <v>7182000</v>
      </c>
      <c r="M252" s="366" t="str">
        <f>VLOOKUP(B252,'[24]Gui chi Quynh'!$B$11:$E$400,4,FALSE)</f>
        <v>A3</v>
      </c>
      <c r="N252" s="494">
        <f t="shared" si="44"/>
        <v>8618400</v>
      </c>
      <c r="O252" s="366">
        <v>20</v>
      </c>
      <c r="P252" s="440">
        <f>IFERROR(INDEX('[17]CN BC'!$J$10:$J$276,MATCH(B252,'[17]CN BC'!$H$10:$H$276,0)),"")</f>
        <v>20</v>
      </c>
      <c r="Q252" s="494">
        <f t="shared" si="49"/>
        <v>8618400</v>
      </c>
      <c r="R252" s="460"/>
      <c r="S252" s="362">
        <f t="shared" si="43"/>
        <v>0</v>
      </c>
      <c r="T252" s="370"/>
      <c r="U252" s="362">
        <f t="shared" si="51"/>
        <v>0</v>
      </c>
      <c r="V252" s="584">
        <f t="shared" si="45"/>
        <v>71820</v>
      </c>
      <c r="W252" s="371">
        <f t="shared" si="50"/>
        <v>8618400</v>
      </c>
      <c r="X252" s="977">
        <f t="shared" si="47"/>
        <v>4.7880000000000003</v>
      </c>
      <c r="Y252" s="999">
        <v>1800000</v>
      </c>
      <c r="Z252" s="1000">
        <f t="shared" si="48"/>
        <v>8618400</v>
      </c>
      <c r="AA252" s="568">
        <f t="shared" si="46"/>
        <v>230</v>
      </c>
      <c r="AB252" s="493">
        <f>IFERROR(INDEX('[17]CN BC'!$M$10:$M$276,MATCH(B252,'[17]CN BC'!$H$10:$H$276,0)),"")</f>
        <v>0</v>
      </c>
      <c r="AC252" s="141" t="str">
        <f>VLOOKUP(B252,TH.T4!B250:AC580,28,FALSE)</f>
        <v>Đ-ĐT</v>
      </c>
      <c r="AD252" s="108"/>
      <c r="AE252" s="108"/>
      <c r="AF252" s="155"/>
      <c r="AG252" s="108"/>
      <c r="AH252" s="108"/>
      <c r="AI252" s="108"/>
      <c r="AJ252" s="108"/>
      <c r="AK252" s="108"/>
      <c r="AL252" s="108"/>
    </row>
    <row r="253" spans="1:42" s="372" customFormat="1" ht="29.25" customHeight="1">
      <c r="A253" s="379">
        <f>_xlfn.AGGREGATE(4,7,A$22:A252)+1</f>
        <v>231</v>
      </c>
      <c r="B253" s="390" t="s">
        <v>2002</v>
      </c>
      <c r="C253" s="364"/>
      <c r="D253" s="434"/>
      <c r="E253" s="486"/>
      <c r="F253" s="366">
        <v>2.67</v>
      </c>
      <c r="G253" s="367"/>
      <c r="H253" s="368">
        <f t="shared" si="52"/>
        <v>2.67</v>
      </c>
      <c r="I253" s="368"/>
      <c r="J253" s="81" t="str">
        <f>VLOOKUP(B253,TH.T5!B253:F582,5,FALSE)</f>
        <v>Giảng viên khoa Điện - Điện tử</v>
      </c>
      <c r="K253" s="369">
        <f t="shared" si="53"/>
        <v>2.67</v>
      </c>
      <c r="L253" s="362">
        <f t="shared" si="54"/>
        <v>4806000</v>
      </c>
      <c r="M253" s="366" t="str">
        <f>VLOOKUP(B253,'[24]Gui chi Quynh'!$B$11:$E$400,4,FALSE)</f>
        <v>A3</v>
      </c>
      <c r="N253" s="494">
        <f t="shared" si="44"/>
        <v>5767200</v>
      </c>
      <c r="O253" s="366">
        <v>20</v>
      </c>
      <c r="P253" s="440">
        <f>IFERROR(INDEX('[17]CN BC'!$J$10:$J$276,MATCH(B253,'[17]CN BC'!$H$10:$H$276,0)),"")</f>
        <v>20</v>
      </c>
      <c r="Q253" s="494">
        <f t="shared" si="49"/>
        <v>5767200</v>
      </c>
      <c r="R253" s="460"/>
      <c r="S253" s="362">
        <f t="shared" si="43"/>
        <v>0</v>
      </c>
      <c r="T253" s="370"/>
      <c r="U253" s="362">
        <f t="shared" si="51"/>
        <v>0</v>
      </c>
      <c r="V253" s="584">
        <f t="shared" si="45"/>
        <v>48060</v>
      </c>
      <c r="W253" s="371">
        <f t="shared" si="50"/>
        <v>5767200</v>
      </c>
      <c r="X253" s="977">
        <f t="shared" si="47"/>
        <v>3.2040000000000002</v>
      </c>
      <c r="Y253" s="999">
        <v>1800000</v>
      </c>
      <c r="Z253" s="1000">
        <f t="shared" si="48"/>
        <v>5767200</v>
      </c>
      <c r="AA253" s="568">
        <f t="shared" si="46"/>
        <v>231</v>
      </c>
      <c r="AB253" s="493">
        <f>IFERROR(INDEX('[17]CN BC'!$M$10:$M$276,MATCH(B253,'[17]CN BC'!$H$10:$H$276,0)),"")</f>
        <v>0</v>
      </c>
      <c r="AC253" s="141" t="str">
        <f>VLOOKUP(B253,TH.T4!B251:AC581,28,FALSE)</f>
        <v>Đ-ĐT</v>
      </c>
      <c r="AF253" s="487"/>
    </row>
    <row r="254" spans="1:42" s="372" customFormat="1" ht="29.25" customHeight="1">
      <c r="A254" s="379">
        <f>_xlfn.AGGREGATE(4,7,A$22:A253)+1</f>
        <v>232</v>
      </c>
      <c r="B254" s="390" t="s">
        <v>2004</v>
      </c>
      <c r="C254" s="364"/>
      <c r="D254" s="434"/>
      <c r="E254" s="486"/>
      <c r="F254" s="366">
        <v>2.34</v>
      </c>
      <c r="G254" s="367"/>
      <c r="H254" s="368">
        <f t="shared" si="52"/>
        <v>2.34</v>
      </c>
      <c r="I254" s="368"/>
      <c r="J254" s="81" t="str">
        <f>VLOOKUP(B254,TH.T5!B254:F583,5,FALSE)</f>
        <v>Giảng viên khoa Điện - Điện tử</v>
      </c>
      <c r="K254" s="369">
        <f t="shared" si="53"/>
        <v>2.34</v>
      </c>
      <c r="L254" s="362">
        <f t="shared" si="54"/>
        <v>4212000</v>
      </c>
      <c r="M254" s="366" t="str">
        <f>VLOOKUP(B254,'[24]Gui chi Quynh'!$B$11:$E$400,4,FALSE)</f>
        <v>A3</v>
      </c>
      <c r="N254" s="494">
        <f t="shared" si="44"/>
        <v>5054400</v>
      </c>
      <c r="O254" s="366">
        <v>20</v>
      </c>
      <c r="P254" s="440">
        <f>IFERROR(INDEX('[17]CN BC'!$J$10:$J$276,MATCH(B254,'[17]CN BC'!$H$10:$H$276,0)),"")</f>
        <v>20</v>
      </c>
      <c r="Q254" s="494">
        <f t="shared" si="49"/>
        <v>5054400</v>
      </c>
      <c r="R254" s="460"/>
      <c r="S254" s="362">
        <f t="shared" si="43"/>
        <v>0</v>
      </c>
      <c r="T254" s="370"/>
      <c r="U254" s="362">
        <f t="shared" si="51"/>
        <v>0</v>
      </c>
      <c r="V254" s="584">
        <f t="shared" si="45"/>
        <v>42120</v>
      </c>
      <c r="W254" s="371">
        <f t="shared" si="50"/>
        <v>5054400</v>
      </c>
      <c r="X254" s="977">
        <f t="shared" si="47"/>
        <v>2.8079999999999998</v>
      </c>
      <c r="Y254" s="999">
        <v>1800000</v>
      </c>
      <c r="Z254" s="1000">
        <f t="shared" si="48"/>
        <v>5054400</v>
      </c>
      <c r="AA254" s="568">
        <f t="shared" si="46"/>
        <v>232</v>
      </c>
      <c r="AB254" s="493">
        <f>IFERROR(INDEX('[17]CN BC'!$M$10:$M$276,MATCH(B254,'[17]CN BC'!$H$10:$H$276,0)),"")</f>
        <v>0</v>
      </c>
      <c r="AC254" s="141" t="str">
        <f>VLOOKUP(B254,TH.T4!B252:AC582,28,FALSE)</f>
        <v>Đ-ĐT</v>
      </c>
      <c r="AF254" s="487"/>
    </row>
    <row r="255" spans="1:42" s="372" customFormat="1" ht="29.25" customHeight="1">
      <c r="A255" s="379">
        <f>_xlfn.AGGREGATE(4,7,A$22:A254)+1</f>
        <v>233</v>
      </c>
      <c r="B255" s="363" t="s">
        <v>1914</v>
      </c>
      <c r="C255" s="364" t="s">
        <v>876</v>
      </c>
      <c r="D255" s="434" t="s">
        <v>1803</v>
      </c>
      <c r="E255" s="423" t="s">
        <v>0</v>
      </c>
      <c r="F255" s="366">
        <v>4.6500000000000004</v>
      </c>
      <c r="G255" s="367"/>
      <c r="H255" s="368">
        <f t="shared" si="52"/>
        <v>4.6500000000000004</v>
      </c>
      <c r="I255" s="368">
        <v>0.45</v>
      </c>
      <c r="J255" s="81" t="str">
        <f>VLOOKUP(B255,TH.T5!B255:F584,5,FALSE)</f>
        <v>Trưởng khoa Động lực</v>
      </c>
      <c r="K255" s="369">
        <f t="shared" si="53"/>
        <v>5.1000000000000005</v>
      </c>
      <c r="L255" s="362">
        <f t="shared" si="54"/>
        <v>9180000.0000000019</v>
      </c>
      <c r="M255" s="366" t="str">
        <f>VLOOKUP(B255,'[24]Gui chi Quynh'!$B$11:$E$400,4,FALSE)</f>
        <v>A3</v>
      </c>
      <c r="N255" s="494">
        <f t="shared" si="44"/>
        <v>11016000.000000002</v>
      </c>
      <c r="O255" s="366">
        <v>20</v>
      </c>
      <c r="P255" s="440">
        <f>IFERROR(INDEX('[17]CN BC'!$J$10:$J$276,MATCH(B255,'[17]CN BC'!$H$10:$H$276,0)),"")</f>
        <v>20</v>
      </c>
      <c r="Q255" s="494">
        <f t="shared" si="49"/>
        <v>11016000.000000002</v>
      </c>
      <c r="R255" s="460"/>
      <c r="S255" s="362">
        <f t="shared" si="43"/>
        <v>0</v>
      </c>
      <c r="T255" s="370"/>
      <c r="U255" s="362">
        <f t="shared" si="51"/>
        <v>0</v>
      </c>
      <c r="V255" s="584">
        <f t="shared" si="45"/>
        <v>91800</v>
      </c>
      <c r="W255" s="371">
        <f t="shared" si="50"/>
        <v>11016000.000000002</v>
      </c>
      <c r="X255" s="977">
        <f t="shared" si="47"/>
        <v>6.120000000000001</v>
      </c>
      <c r="Y255" s="999">
        <v>1800000</v>
      </c>
      <c r="Z255" s="1000">
        <f t="shared" si="48"/>
        <v>11016000.000000002</v>
      </c>
      <c r="AA255" s="568">
        <f t="shared" si="46"/>
        <v>233</v>
      </c>
      <c r="AB255" s="493">
        <f>IFERROR(INDEX('[17]CN BC'!$M$10:$M$276,MATCH(B255,'[17]CN BC'!$H$10:$H$276,0)),"")</f>
        <v>0</v>
      </c>
      <c r="AC255" s="141" t="str">
        <f>VLOOKUP(B255,TH.T4!B253:AC583,28,FALSE)</f>
        <v>ĐL</v>
      </c>
      <c r="AD255" s="471"/>
      <c r="AE255" s="108"/>
      <c r="AF255" s="155"/>
      <c r="AG255" s="108"/>
      <c r="AH255" s="108"/>
      <c r="AI255" s="108"/>
      <c r="AJ255" s="108"/>
      <c r="AK255" s="108"/>
      <c r="AL255" s="108"/>
    </row>
    <row r="256" spans="1:42" s="372" customFormat="1" ht="29.25" customHeight="1">
      <c r="A256" s="379">
        <f>_xlfn.AGGREGATE(4,7,A$22:A255)+1</f>
        <v>234</v>
      </c>
      <c r="B256" s="363" t="s">
        <v>1915</v>
      </c>
      <c r="C256" s="364" t="s">
        <v>1087</v>
      </c>
      <c r="D256" s="434" t="s">
        <v>1804</v>
      </c>
      <c r="E256" s="423" t="s">
        <v>1420</v>
      </c>
      <c r="F256" s="366">
        <v>4.9800000000000004</v>
      </c>
      <c r="G256" s="367"/>
      <c r="H256" s="368">
        <f t="shared" si="52"/>
        <v>4.9800000000000004</v>
      </c>
      <c r="I256" s="368">
        <v>0.35</v>
      </c>
      <c r="J256" s="81" t="str">
        <f>VLOOKUP(B256,TH.T5!B256:F585,5,FALSE)</f>
        <v>Phó Trưởng khoa
 Động lực</v>
      </c>
      <c r="K256" s="369">
        <f t="shared" si="53"/>
        <v>5.33</v>
      </c>
      <c r="L256" s="362">
        <f t="shared" si="54"/>
        <v>9594000</v>
      </c>
      <c r="M256" s="366" t="str">
        <f>VLOOKUP(B256,'[24]Gui chi Quynh'!$B$11:$E$400,4,FALSE)</f>
        <v>A3</v>
      </c>
      <c r="N256" s="494">
        <f t="shared" si="44"/>
        <v>11512800</v>
      </c>
      <c r="O256" s="366">
        <v>20</v>
      </c>
      <c r="P256" s="440">
        <f>IFERROR(INDEX('[17]CN BC'!$J$10:$J$276,MATCH(B256,'[17]CN BC'!$H$10:$H$276,0)),"")</f>
        <v>20</v>
      </c>
      <c r="Q256" s="494">
        <f t="shared" si="49"/>
        <v>11512800</v>
      </c>
      <c r="R256" s="460"/>
      <c r="S256" s="362">
        <f t="shared" si="43"/>
        <v>0</v>
      </c>
      <c r="T256" s="370"/>
      <c r="U256" s="362">
        <f t="shared" si="51"/>
        <v>0</v>
      </c>
      <c r="V256" s="584">
        <f t="shared" si="45"/>
        <v>95940</v>
      </c>
      <c r="W256" s="371">
        <f t="shared" si="50"/>
        <v>11512800</v>
      </c>
      <c r="X256" s="977">
        <f t="shared" si="47"/>
        <v>6.3959999999999999</v>
      </c>
      <c r="Y256" s="999">
        <v>1800000</v>
      </c>
      <c r="Z256" s="1000">
        <f t="shared" si="48"/>
        <v>11512800</v>
      </c>
      <c r="AA256" s="568">
        <f t="shared" si="46"/>
        <v>234</v>
      </c>
      <c r="AB256" s="493">
        <f>IFERROR(INDEX('[17]CN BC'!$M$10:$M$276,MATCH(B256,'[17]CN BC'!$H$10:$H$276,0)),"")</f>
        <v>0</v>
      </c>
      <c r="AC256" s="141" t="str">
        <f>VLOOKUP(B256,TH.T4!B254:AC584,28,FALSE)</f>
        <v>ĐL</v>
      </c>
      <c r="AD256" s="108"/>
      <c r="AE256" s="108"/>
      <c r="AF256" s="155"/>
      <c r="AG256" s="108"/>
      <c r="AH256" s="108"/>
      <c r="AI256" s="108"/>
      <c r="AJ256" s="108"/>
      <c r="AK256" s="108"/>
      <c r="AL256" s="108"/>
    </row>
    <row r="257" spans="1:38" s="372" customFormat="1" ht="29.25" customHeight="1">
      <c r="A257" s="379">
        <f>_xlfn.AGGREGATE(4,7,A$22:A256)+1</f>
        <v>235</v>
      </c>
      <c r="B257" s="363" t="s">
        <v>1916</v>
      </c>
      <c r="C257" s="364" t="s">
        <v>1090</v>
      </c>
      <c r="D257" s="434" t="s">
        <v>1805</v>
      </c>
      <c r="E257" s="423" t="s">
        <v>1</v>
      </c>
      <c r="F257" s="366">
        <v>4.32</v>
      </c>
      <c r="G257" s="367"/>
      <c r="H257" s="368">
        <f t="shared" si="52"/>
        <v>4.32</v>
      </c>
      <c r="I257" s="368">
        <v>0.25</v>
      </c>
      <c r="J257" s="81" t="str">
        <f>VLOOKUP(B257,TH.T5!B257:F586,5,FALSE)</f>
        <v>Giảng viên khoa Động lực</v>
      </c>
      <c r="K257" s="369">
        <f t="shared" si="53"/>
        <v>4.57</v>
      </c>
      <c r="L257" s="362">
        <f t="shared" si="54"/>
        <v>8226000.0000000009</v>
      </c>
      <c r="M257" s="366" t="str">
        <f>VLOOKUP(B257,'[24]Gui chi Quynh'!$B$11:$E$400,4,FALSE)</f>
        <v>A4</v>
      </c>
      <c r="N257" s="494">
        <f t="shared" si="44"/>
        <v>8226000.0000000009</v>
      </c>
      <c r="O257" s="366">
        <v>20</v>
      </c>
      <c r="P257" s="440">
        <f>IFERROR(INDEX('[17]CN BC'!$J$10:$J$276,MATCH(B257,'[17]CN BC'!$H$10:$H$276,0)),"")</f>
        <v>20</v>
      </c>
      <c r="Q257" s="494">
        <f t="shared" si="49"/>
        <v>8226000.0000000009</v>
      </c>
      <c r="R257" s="460"/>
      <c r="S257" s="362">
        <f t="shared" si="43"/>
        <v>0</v>
      </c>
      <c r="T257" s="370"/>
      <c r="U257" s="362">
        <f t="shared" si="51"/>
        <v>0</v>
      </c>
      <c r="V257" s="584">
        <f t="shared" si="45"/>
        <v>82260</v>
      </c>
      <c r="W257" s="371">
        <f t="shared" si="50"/>
        <v>8226000.0000000009</v>
      </c>
      <c r="X257" s="977">
        <f t="shared" si="47"/>
        <v>4.57</v>
      </c>
      <c r="Y257" s="999">
        <v>1800000</v>
      </c>
      <c r="Z257" s="1000">
        <f t="shared" si="48"/>
        <v>8226000.0000000009</v>
      </c>
      <c r="AA257" s="568">
        <f t="shared" si="46"/>
        <v>235</v>
      </c>
      <c r="AB257" s="493">
        <f>IFERROR(INDEX('[17]CN BC'!$M$10:$M$276,MATCH(B257,'[17]CN BC'!$H$10:$H$276,0)),"")</f>
        <v>0</v>
      </c>
      <c r="AC257" s="141" t="str">
        <f>VLOOKUP(B257,TH.T4!B255:AC585,28,FALSE)</f>
        <v>ĐL</v>
      </c>
      <c r="AD257" s="108"/>
      <c r="AE257" s="108"/>
      <c r="AF257" s="155"/>
      <c r="AG257" s="108"/>
      <c r="AH257" s="108"/>
      <c r="AI257" s="108"/>
      <c r="AJ257" s="108"/>
      <c r="AK257" s="108"/>
      <c r="AL257" s="108"/>
    </row>
    <row r="258" spans="1:38" s="372" customFormat="1" ht="29.25" customHeight="1">
      <c r="A258" s="379">
        <f>_xlfn.AGGREGATE(4,7,A$22:A257)+1</f>
        <v>236</v>
      </c>
      <c r="B258" s="363" t="s">
        <v>1542</v>
      </c>
      <c r="C258" s="364" t="s">
        <v>970</v>
      </c>
      <c r="D258" s="434" t="s">
        <v>1806</v>
      </c>
      <c r="E258" s="423" t="s">
        <v>3</v>
      </c>
      <c r="F258" s="373">
        <v>3.99</v>
      </c>
      <c r="G258" s="367"/>
      <c r="H258" s="368">
        <f t="shared" si="52"/>
        <v>3.99</v>
      </c>
      <c r="I258" s="368"/>
      <c r="J258" s="81" t="str">
        <f>VLOOKUP(B258,TH.T5!B258:F587,5,FALSE)</f>
        <v>Giảng viên - Trưởng BM khoa Động lực</v>
      </c>
      <c r="K258" s="369">
        <f t="shared" si="53"/>
        <v>3.99</v>
      </c>
      <c r="L258" s="362">
        <f t="shared" si="54"/>
        <v>7182000</v>
      </c>
      <c r="M258" s="366" t="str">
        <f>VLOOKUP(B258,'[24]Gui chi Quynh'!$B$11:$E$400,4,FALSE)</f>
        <v>A3</v>
      </c>
      <c r="N258" s="494">
        <f t="shared" si="44"/>
        <v>8618400</v>
      </c>
      <c r="O258" s="366">
        <v>20</v>
      </c>
      <c r="P258" s="440">
        <f>IFERROR(INDEX('[17]CN BC'!$J$10:$J$276,MATCH(B258,'[17]CN BC'!$H$10:$H$276,0)),"")</f>
        <v>20</v>
      </c>
      <c r="Q258" s="494">
        <f t="shared" si="49"/>
        <v>8618400</v>
      </c>
      <c r="R258" s="460"/>
      <c r="S258" s="362">
        <f t="shared" si="43"/>
        <v>0</v>
      </c>
      <c r="T258" s="370"/>
      <c r="U258" s="362">
        <f t="shared" si="51"/>
        <v>0</v>
      </c>
      <c r="V258" s="584">
        <f t="shared" si="45"/>
        <v>71820</v>
      </c>
      <c r="W258" s="371">
        <f t="shared" si="50"/>
        <v>8618400</v>
      </c>
      <c r="X258" s="977">
        <f t="shared" si="47"/>
        <v>4.7880000000000003</v>
      </c>
      <c r="Y258" s="999">
        <v>1800000</v>
      </c>
      <c r="Z258" s="1000">
        <f t="shared" si="48"/>
        <v>8618400</v>
      </c>
      <c r="AA258" s="568">
        <f t="shared" si="46"/>
        <v>236</v>
      </c>
      <c r="AB258" s="493">
        <f>IFERROR(INDEX('[17]CN BC'!$M$10:$M$276,MATCH(B258,'[17]CN BC'!$H$10:$H$276,0)),"")</f>
        <v>0</v>
      </c>
      <c r="AC258" s="141" t="str">
        <f>VLOOKUP(B258,TH.T4!B256:AC586,28,FALSE)</f>
        <v>ĐL</v>
      </c>
      <c r="AD258" s="108"/>
      <c r="AE258" s="108"/>
      <c r="AF258" s="155"/>
      <c r="AG258" s="108"/>
      <c r="AH258" s="108"/>
      <c r="AI258" s="108"/>
      <c r="AJ258" s="108"/>
      <c r="AK258" s="108"/>
      <c r="AL258" s="108"/>
    </row>
    <row r="259" spans="1:38" s="372" customFormat="1" ht="29.25" customHeight="1">
      <c r="A259" s="379">
        <f>_xlfn.AGGREGATE(4,7,A$22:A258)+1</f>
        <v>237</v>
      </c>
      <c r="B259" s="363" t="s">
        <v>1543</v>
      </c>
      <c r="C259" s="364" t="s">
        <v>1215</v>
      </c>
      <c r="D259" s="434" t="s">
        <v>1807</v>
      </c>
      <c r="E259" s="423" t="s">
        <v>4</v>
      </c>
      <c r="F259" s="373">
        <v>3.99</v>
      </c>
      <c r="G259" s="367"/>
      <c r="H259" s="368">
        <f t="shared" si="52"/>
        <v>3.99</v>
      </c>
      <c r="I259" s="368">
        <v>0.25</v>
      </c>
      <c r="J259" s="81" t="str">
        <f>VLOOKUP(B259,TH.T5!B259:F588,5,FALSE)</f>
        <v>Giảng viên - Trưởng BM khoa Động lực</v>
      </c>
      <c r="K259" s="369">
        <f t="shared" si="53"/>
        <v>4.24</v>
      </c>
      <c r="L259" s="362">
        <f t="shared" si="54"/>
        <v>7632000</v>
      </c>
      <c r="M259" s="366" t="str">
        <f>VLOOKUP(B259,'[24]Gui chi Quynh'!$B$11:$E$400,4,FALSE)</f>
        <v>A3</v>
      </c>
      <c r="N259" s="494">
        <f t="shared" si="44"/>
        <v>9158400</v>
      </c>
      <c r="O259" s="366">
        <v>20</v>
      </c>
      <c r="P259" s="440">
        <f>IFERROR(INDEX('[17]CN BC'!$J$10:$J$276,MATCH(B259,'[17]CN BC'!$H$10:$H$276,0)),"")</f>
        <v>20</v>
      </c>
      <c r="Q259" s="494">
        <f t="shared" si="49"/>
        <v>9158400</v>
      </c>
      <c r="R259" s="460"/>
      <c r="S259" s="362">
        <f t="shared" si="43"/>
        <v>0</v>
      </c>
      <c r="T259" s="370"/>
      <c r="U259" s="362">
        <f t="shared" si="51"/>
        <v>0</v>
      </c>
      <c r="V259" s="584">
        <f t="shared" si="45"/>
        <v>76320</v>
      </c>
      <c r="W259" s="371">
        <f t="shared" si="50"/>
        <v>9158400</v>
      </c>
      <c r="X259" s="977">
        <f t="shared" si="47"/>
        <v>5.0880000000000001</v>
      </c>
      <c r="Y259" s="999">
        <v>1800000</v>
      </c>
      <c r="Z259" s="1000">
        <f t="shared" si="48"/>
        <v>9158400</v>
      </c>
      <c r="AA259" s="568">
        <f t="shared" si="46"/>
        <v>237</v>
      </c>
      <c r="AB259" s="493">
        <f>IFERROR(INDEX('[17]CN BC'!$M$10:$M$276,MATCH(B259,'[17]CN BC'!$H$10:$H$276,0)),"")</f>
        <v>0</v>
      </c>
      <c r="AC259" s="141" t="str">
        <f>VLOOKUP(B259,TH.T4!B257:AC587,28,FALSE)</f>
        <v>ĐL</v>
      </c>
      <c r="AD259" s="108"/>
      <c r="AE259" s="108"/>
      <c r="AF259" s="155"/>
      <c r="AG259" s="108"/>
      <c r="AH259" s="108"/>
      <c r="AI259" s="108"/>
      <c r="AJ259" s="108"/>
      <c r="AK259" s="108"/>
      <c r="AL259" s="108"/>
    </row>
    <row r="260" spans="1:38" s="372" customFormat="1" ht="23.25" customHeight="1">
      <c r="A260" s="379">
        <f>_xlfn.AGGREGATE(4,7,A$22:A259)+1</f>
        <v>238</v>
      </c>
      <c r="B260" s="363" t="s">
        <v>1544</v>
      </c>
      <c r="C260" s="364" t="s">
        <v>878</v>
      </c>
      <c r="D260" s="434" t="s">
        <v>1808</v>
      </c>
      <c r="E260" s="423" t="s">
        <v>5</v>
      </c>
      <c r="F260" s="373">
        <v>3.66</v>
      </c>
      <c r="G260" s="367"/>
      <c r="H260" s="368">
        <f t="shared" si="52"/>
        <v>3.66</v>
      </c>
      <c r="I260" s="368"/>
      <c r="J260" s="81" t="str">
        <f>VLOOKUP(B260,TH.T5!B260:F589,5,FALSE)</f>
        <v>Giảng viên khoa Động lực</v>
      </c>
      <c r="K260" s="369">
        <f t="shared" si="53"/>
        <v>3.66</v>
      </c>
      <c r="L260" s="362">
        <f t="shared" si="54"/>
        <v>6588000</v>
      </c>
      <c r="M260" s="366" t="str">
        <f>VLOOKUP(B260,'[24]Gui chi Quynh'!$B$11:$E$400,4,FALSE)</f>
        <v>A4</v>
      </c>
      <c r="N260" s="494">
        <f t="shared" si="44"/>
        <v>6588000</v>
      </c>
      <c r="O260" s="366">
        <v>20</v>
      </c>
      <c r="P260" s="440">
        <f>IFERROR(INDEX('[17]CN BC'!$J$10:$J$276,MATCH(B260,'[17]CN BC'!$H$10:$H$276,0)),"")</f>
        <v>20</v>
      </c>
      <c r="Q260" s="494">
        <f t="shared" si="49"/>
        <v>6588000</v>
      </c>
      <c r="R260" s="460"/>
      <c r="S260" s="362">
        <f t="shared" si="43"/>
        <v>0</v>
      </c>
      <c r="T260" s="370"/>
      <c r="U260" s="362">
        <f t="shared" si="51"/>
        <v>0</v>
      </c>
      <c r="V260" s="584">
        <f t="shared" si="45"/>
        <v>65880</v>
      </c>
      <c r="W260" s="371">
        <f t="shared" si="50"/>
        <v>6588000</v>
      </c>
      <c r="X260" s="977">
        <f t="shared" si="47"/>
        <v>3.66</v>
      </c>
      <c r="Y260" s="999">
        <v>1800000</v>
      </c>
      <c r="Z260" s="1000">
        <f t="shared" si="48"/>
        <v>6588000</v>
      </c>
      <c r="AA260" s="568">
        <f t="shared" si="46"/>
        <v>238</v>
      </c>
      <c r="AB260" s="493">
        <f>IFERROR(INDEX('[17]CN BC'!$M$10:$M$276,MATCH(B260,'[17]CN BC'!$H$10:$H$276,0)),"")</f>
        <v>0</v>
      </c>
      <c r="AC260" s="141" t="str">
        <f>VLOOKUP(B260,TH.T4!B258:AC588,28,FALSE)</f>
        <v>ĐL</v>
      </c>
      <c r="AF260" s="487"/>
    </row>
    <row r="261" spans="1:38" s="372" customFormat="1" ht="27.75" customHeight="1">
      <c r="A261" s="379">
        <f>_xlfn.AGGREGATE(4,7,A$22:A260)+1</f>
        <v>239</v>
      </c>
      <c r="B261" s="363" t="s">
        <v>1917</v>
      </c>
      <c r="C261" s="364" t="s">
        <v>1212</v>
      </c>
      <c r="D261" s="434" t="s">
        <v>1809</v>
      </c>
      <c r="E261" s="423" t="s">
        <v>394</v>
      </c>
      <c r="F261" s="373">
        <v>3.66</v>
      </c>
      <c r="G261" s="367"/>
      <c r="H261" s="368">
        <f t="shared" si="52"/>
        <v>3.66</v>
      </c>
      <c r="I261" s="368"/>
      <c r="J261" s="81" t="str">
        <f>VLOOKUP(B261,TH.T5!B261:F590,5,FALSE)</f>
        <v>Giảng viên khoa Động lực</v>
      </c>
      <c r="K261" s="369">
        <f t="shared" si="53"/>
        <v>3.66</v>
      </c>
      <c r="L261" s="362">
        <f t="shared" si="54"/>
        <v>6588000</v>
      </c>
      <c r="M261" s="366" t="str">
        <f>VLOOKUP(B261,'[24]Gui chi Quynh'!$B$11:$E$400,4,FALSE)</f>
        <v>A4</v>
      </c>
      <c r="N261" s="494">
        <f t="shared" si="44"/>
        <v>6588000</v>
      </c>
      <c r="O261" s="366">
        <v>20</v>
      </c>
      <c r="P261" s="440">
        <f>IFERROR(INDEX('[17]CN BC'!$J$10:$J$276,MATCH(B261,'[17]CN BC'!$H$10:$H$276,0)),"")</f>
        <v>20</v>
      </c>
      <c r="Q261" s="494">
        <f t="shared" si="49"/>
        <v>6588000</v>
      </c>
      <c r="R261" s="460"/>
      <c r="S261" s="362">
        <f t="shared" si="43"/>
        <v>0</v>
      </c>
      <c r="T261" s="370"/>
      <c r="U261" s="362">
        <f t="shared" si="51"/>
        <v>0</v>
      </c>
      <c r="V261" s="584">
        <f t="shared" si="45"/>
        <v>65880</v>
      </c>
      <c r="W261" s="371">
        <f t="shared" si="50"/>
        <v>6588000</v>
      </c>
      <c r="X261" s="977">
        <f t="shared" si="47"/>
        <v>3.66</v>
      </c>
      <c r="Y261" s="999">
        <v>1800000</v>
      </c>
      <c r="Z261" s="1000">
        <f t="shared" si="48"/>
        <v>6588000</v>
      </c>
      <c r="AA261" s="568">
        <f t="shared" si="46"/>
        <v>239</v>
      </c>
      <c r="AB261" s="493">
        <f>IFERROR(INDEX('[17]CN BC'!$M$10:$M$276,MATCH(B261,'[17]CN BC'!$H$10:$H$276,0)),"")</f>
        <v>0</v>
      </c>
      <c r="AC261" s="141" t="str">
        <f>VLOOKUP(B261,TH.T4!B259:AC589,28,FALSE)</f>
        <v>ĐL</v>
      </c>
      <c r="AD261" s="108"/>
      <c r="AE261" s="108"/>
      <c r="AF261" s="155"/>
      <c r="AG261" s="108"/>
      <c r="AH261" s="108"/>
      <c r="AI261" s="108"/>
      <c r="AJ261" s="108"/>
      <c r="AK261" s="108"/>
      <c r="AL261" s="108"/>
    </row>
    <row r="262" spans="1:38" s="372" customFormat="1" ht="26.25" customHeight="1">
      <c r="A262" s="379">
        <f>_xlfn.AGGREGATE(4,7,A$22:A261)+1</f>
        <v>240</v>
      </c>
      <c r="B262" s="390" t="s">
        <v>1918</v>
      </c>
      <c r="C262" s="538" t="s">
        <v>868</v>
      </c>
      <c r="D262" s="434" t="s">
        <v>1810</v>
      </c>
      <c r="E262" s="423" t="s">
        <v>393</v>
      </c>
      <c r="F262" s="373">
        <v>3.99</v>
      </c>
      <c r="G262" s="367"/>
      <c r="H262" s="368">
        <f t="shared" si="52"/>
        <v>3.99</v>
      </c>
      <c r="I262" s="368"/>
      <c r="J262" s="81" t="str">
        <f>VLOOKUP(B262,TH.T5!B262:F591,5,FALSE)</f>
        <v>Giảng viên khoa Động lực</v>
      </c>
      <c r="K262" s="369">
        <f t="shared" si="53"/>
        <v>3.99</v>
      </c>
      <c r="L262" s="362">
        <f t="shared" si="54"/>
        <v>7182000</v>
      </c>
      <c r="M262" s="366" t="str">
        <f>VLOOKUP(B262,'[24]Gui chi Quynh'!$B$11:$E$400,4,FALSE)</f>
        <v>A4</v>
      </c>
      <c r="N262" s="494">
        <f t="shared" si="44"/>
        <v>7182000</v>
      </c>
      <c r="O262" s="366">
        <v>20</v>
      </c>
      <c r="P262" s="440">
        <f>IFERROR(INDEX('[17]CN BC'!$J$10:$J$276,MATCH(B262,'[17]CN BC'!$H$10:$H$276,0)),"")</f>
        <v>20</v>
      </c>
      <c r="Q262" s="494">
        <f t="shared" si="49"/>
        <v>7182000</v>
      </c>
      <c r="R262" s="460"/>
      <c r="S262" s="362">
        <f t="shared" si="43"/>
        <v>0</v>
      </c>
      <c r="T262" s="370"/>
      <c r="U262" s="362">
        <f t="shared" si="51"/>
        <v>0</v>
      </c>
      <c r="V262" s="584">
        <f t="shared" si="45"/>
        <v>71820</v>
      </c>
      <c r="W262" s="371">
        <f t="shared" si="50"/>
        <v>7182000</v>
      </c>
      <c r="X262" s="977">
        <f t="shared" si="47"/>
        <v>3.99</v>
      </c>
      <c r="Y262" s="999">
        <v>1800000</v>
      </c>
      <c r="Z262" s="1000">
        <f t="shared" si="48"/>
        <v>7182000</v>
      </c>
      <c r="AA262" s="568">
        <f t="shared" si="46"/>
        <v>240</v>
      </c>
      <c r="AB262" s="493">
        <f>IFERROR(INDEX('[17]CN BC'!$M$10:$M$276,MATCH(B262,'[17]CN BC'!$H$10:$H$276,0)),"")</f>
        <v>0</v>
      </c>
      <c r="AC262" s="141" t="str">
        <f>VLOOKUP(B262,TH.T4!B260:AC590,28,FALSE)</f>
        <v>ĐL</v>
      </c>
      <c r="AF262" s="487"/>
    </row>
    <row r="263" spans="1:38" s="372" customFormat="1" ht="27.75" customHeight="1">
      <c r="A263" s="379">
        <f>_xlfn.AGGREGATE(4,7,A$22:A262)+1</f>
        <v>241</v>
      </c>
      <c r="B263" s="363" t="s">
        <v>1545</v>
      </c>
      <c r="C263" s="364" t="s">
        <v>1218</v>
      </c>
      <c r="D263" s="434" t="s">
        <v>1811</v>
      </c>
      <c r="E263" s="423" t="s">
        <v>395</v>
      </c>
      <c r="F263" s="373">
        <v>3.66</v>
      </c>
      <c r="G263" s="367"/>
      <c r="H263" s="368">
        <f t="shared" si="52"/>
        <v>3.66</v>
      </c>
      <c r="I263" s="368"/>
      <c r="J263" s="81" t="str">
        <f>VLOOKUP(B263,TH.T5!B263:F592,5,FALSE)</f>
        <v>Giảng viên khoa Động lực</v>
      </c>
      <c r="K263" s="369">
        <f t="shared" si="53"/>
        <v>3.66</v>
      </c>
      <c r="L263" s="362">
        <f t="shared" si="54"/>
        <v>6588000</v>
      </c>
      <c r="M263" s="366" t="str">
        <f>VLOOKUP(B263,'[24]Gui chi Quynh'!$B$11:$E$400,4,FALSE)</f>
        <v>A4</v>
      </c>
      <c r="N263" s="494">
        <f t="shared" si="44"/>
        <v>6588000</v>
      </c>
      <c r="O263" s="366">
        <v>20</v>
      </c>
      <c r="P263" s="440">
        <f>IFERROR(INDEX('[17]CN BC'!$J$10:$J$276,MATCH(B263,'[17]CN BC'!$H$10:$H$276,0)),"")</f>
        <v>20</v>
      </c>
      <c r="Q263" s="494">
        <f t="shared" si="49"/>
        <v>6588000</v>
      </c>
      <c r="R263" s="460"/>
      <c r="S263" s="362">
        <f t="shared" si="43"/>
        <v>0</v>
      </c>
      <c r="T263" s="370"/>
      <c r="U263" s="362">
        <f t="shared" si="51"/>
        <v>0</v>
      </c>
      <c r="V263" s="584">
        <f t="shared" si="45"/>
        <v>65880</v>
      </c>
      <c r="W263" s="371">
        <f t="shared" si="50"/>
        <v>6588000</v>
      </c>
      <c r="X263" s="977">
        <f t="shared" si="47"/>
        <v>3.66</v>
      </c>
      <c r="Y263" s="999">
        <v>1800000</v>
      </c>
      <c r="Z263" s="1000">
        <f t="shared" si="48"/>
        <v>6588000</v>
      </c>
      <c r="AA263" s="568">
        <f t="shared" si="46"/>
        <v>241</v>
      </c>
      <c r="AB263" s="493">
        <f>IFERROR(INDEX('[17]CN BC'!$M$10:$M$276,MATCH(B263,'[17]CN BC'!$H$10:$H$276,0)),"")</f>
        <v>0</v>
      </c>
      <c r="AC263" s="141" t="str">
        <f>VLOOKUP(B263,TH.T4!B261:AC591,28,FALSE)</f>
        <v>ĐL</v>
      </c>
      <c r="AF263" s="487"/>
    </row>
    <row r="264" spans="1:38" s="372" customFormat="1" ht="27.75" customHeight="1">
      <c r="A264" s="379">
        <f>_xlfn.AGGREGATE(4,7,A$22:A263)+1</f>
        <v>242</v>
      </c>
      <c r="B264" s="363" t="s">
        <v>1546</v>
      </c>
      <c r="C264" s="364" t="s">
        <v>469</v>
      </c>
      <c r="D264" s="434" t="s">
        <v>1812</v>
      </c>
      <c r="E264" s="423" t="s">
        <v>473</v>
      </c>
      <c r="F264" s="373">
        <v>3.66</v>
      </c>
      <c r="G264" s="367"/>
      <c r="H264" s="368">
        <f t="shared" si="52"/>
        <v>3.66</v>
      </c>
      <c r="I264" s="368"/>
      <c r="J264" s="81" t="str">
        <f>VLOOKUP(B264,TH.T5!B264:F593,5,FALSE)</f>
        <v>Giảng viên khoa Động lực</v>
      </c>
      <c r="K264" s="369">
        <f t="shared" si="53"/>
        <v>3.66</v>
      </c>
      <c r="L264" s="362">
        <f t="shared" si="54"/>
        <v>6588000</v>
      </c>
      <c r="M264" s="366" t="str">
        <f>VLOOKUP(B264,'[24]Gui chi Quynh'!$B$11:$E$400,4,FALSE)</f>
        <v>A3</v>
      </c>
      <c r="N264" s="494">
        <f t="shared" si="44"/>
        <v>7905600</v>
      </c>
      <c r="O264" s="366">
        <v>20</v>
      </c>
      <c r="P264" s="440">
        <f>IFERROR(INDEX('[17]CN BC'!$J$10:$J$276,MATCH(B264,'[17]CN BC'!$H$10:$H$276,0)),"")</f>
        <v>20</v>
      </c>
      <c r="Q264" s="494">
        <f t="shared" si="49"/>
        <v>7905600</v>
      </c>
      <c r="R264" s="460"/>
      <c r="S264" s="362">
        <f t="shared" si="43"/>
        <v>0</v>
      </c>
      <c r="T264" s="370"/>
      <c r="U264" s="362">
        <f t="shared" si="51"/>
        <v>0</v>
      </c>
      <c r="V264" s="584">
        <f t="shared" si="45"/>
        <v>65880</v>
      </c>
      <c r="W264" s="371">
        <f t="shared" si="50"/>
        <v>7905600</v>
      </c>
      <c r="X264" s="977">
        <f t="shared" si="47"/>
        <v>4.3920000000000003</v>
      </c>
      <c r="Y264" s="999">
        <v>1800000</v>
      </c>
      <c r="Z264" s="1000">
        <f t="shared" si="48"/>
        <v>7905600.0000000009</v>
      </c>
      <c r="AA264" s="568">
        <f t="shared" si="46"/>
        <v>242</v>
      </c>
      <c r="AB264" s="493">
        <f>IFERROR(INDEX('[17]CN BC'!$M$10:$M$276,MATCH(B264,'[17]CN BC'!$H$10:$H$276,0)),"")</f>
        <v>0</v>
      </c>
      <c r="AC264" s="141" t="str">
        <f>VLOOKUP(B264,TH.T4!B262:AC592,28,FALSE)</f>
        <v>ĐL</v>
      </c>
      <c r="AD264" s="471"/>
      <c r="AE264" s="108"/>
      <c r="AF264" s="155"/>
      <c r="AG264" s="108"/>
      <c r="AH264" s="108"/>
      <c r="AI264" s="108"/>
      <c r="AJ264" s="108"/>
      <c r="AK264" s="108"/>
      <c r="AL264" s="108"/>
    </row>
    <row r="265" spans="1:38" s="372" customFormat="1" ht="25.5" customHeight="1">
      <c r="A265" s="379">
        <f>_xlfn.AGGREGATE(4,7,A$22:A264)+1</f>
        <v>243</v>
      </c>
      <c r="B265" s="363" t="s">
        <v>1547</v>
      </c>
      <c r="C265" s="364" t="s">
        <v>1196</v>
      </c>
      <c r="D265" s="434" t="s">
        <v>1813</v>
      </c>
      <c r="E265" s="365" t="s">
        <v>490</v>
      </c>
      <c r="F265" s="373">
        <v>3.66</v>
      </c>
      <c r="G265" s="367"/>
      <c r="H265" s="445">
        <f t="shared" si="52"/>
        <v>3.66</v>
      </c>
      <c r="I265" s="368"/>
      <c r="J265" s="81" t="str">
        <f>VLOOKUP(B265,TH.T5!B265:F594,5,FALSE)</f>
        <v>Giảng viên khoa Động lực</v>
      </c>
      <c r="K265" s="369">
        <f t="shared" si="53"/>
        <v>3.66</v>
      </c>
      <c r="L265" s="362">
        <f t="shared" si="54"/>
        <v>6588000</v>
      </c>
      <c r="M265" s="366" t="str">
        <f>VLOOKUP(B265,'[24]Gui chi Quynh'!$B$11:$E$400,4,FALSE)</f>
        <v>A4</v>
      </c>
      <c r="N265" s="494">
        <f t="shared" si="44"/>
        <v>6588000</v>
      </c>
      <c r="O265" s="366">
        <v>20</v>
      </c>
      <c r="P265" s="440">
        <f>IFERROR(INDEX('[17]CN BC'!$J$10:$J$276,MATCH(B265,'[17]CN BC'!$H$10:$H$276,0)),"")</f>
        <v>20</v>
      </c>
      <c r="Q265" s="494">
        <f t="shared" si="49"/>
        <v>6588000</v>
      </c>
      <c r="R265" s="460"/>
      <c r="S265" s="362">
        <f t="shared" si="43"/>
        <v>0</v>
      </c>
      <c r="T265" s="370"/>
      <c r="U265" s="362">
        <f t="shared" si="51"/>
        <v>0</v>
      </c>
      <c r="V265" s="584">
        <f t="shared" si="45"/>
        <v>65880</v>
      </c>
      <c r="W265" s="371">
        <f t="shared" si="50"/>
        <v>6588000</v>
      </c>
      <c r="X265" s="977">
        <f t="shared" si="47"/>
        <v>3.66</v>
      </c>
      <c r="Y265" s="999">
        <v>1800000</v>
      </c>
      <c r="Z265" s="1000">
        <f t="shared" si="48"/>
        <v>6588000</v>
      </c>
      <c r="AA265" s="568">
        <f t="shared" si="46"/>
        <v>243</v>
      </c>
      <c r="AB265" s="493">
        <f>IFERROR(INDEX('[17]CN BC'!$M$10:$M$276,MATCH(B265,'[17]CN BC'!$H$10:$H$276,0)),"")</f>
        <v>0</v>
      </c>
      <c r="AC265" s="141" t="str">
        <f>VLOOKUP(B265,TH.T4!B263:AC593,28,FALSE)</f>
        <v>ĐL</v>
      </c>
      <c r="AD265" s="108"/>
      <c r="AE265" s="108"/>
      <c r="AF265" s="155"/>
      <c r="AG265" s="108"/>
      <c r="AH265" s="108"/>
      <c r="AI265" s="108"/>
      <c r="AJ265" s="108"/>
      <c r="AK265" s="108"/>
      <c r="AL265" s="108"/>
    </row>
    <row r="266" spans="1:38" s="372" customFormat="1" ht="23.25" customHeight="1">
      <c r="A266" s="379">
        <f>_xlfn.AGGREGATE(4,7,A$22:A265)+1</f>
        <v>244</v>
      </c>
      <c r="B266" s="363" t="s">
        <v>1919</v>
      </c>
      <c r="C266" s="364" t="s">
        <v>755</v>
      </c>
      <c r="D266" s="434" t="s">
        <v>1814</v>
      </c>
      <c r="E266" s="423" t="s">
        <v>750</v>
      </c>
      <c r="F266" s="373">
        <v>3.66</v>
      </c>
      <c r="G266" s="367"/>
      <c r="H266" s="445">
        <f t="shared" si="52"/>
        <v>3.66</v>
      </c>
      <c r="I266" s="368"/>
      <c r="J266" s="81" t="str">
        <f>VLOOKUP(B266,TH.T5!B266:F595,5,FALSE)</f>
        <v>Giảng viên khoa Động lực</v>
      </c>
      <c r="K266" s="369">
        <f t="shared" si="53"/>
        <v>3.66</v>
      </c>
      <c r="L266" s="362">
        <f t="shared" si="54"/>
        <v>6588000</v>
      </c>
      <c r="M266" s="366" t="str">
        <f>VLOOKUP(B266,'[24]Gui chi Quynh'!$B$11:$E$400,4,FALSE)</f>
        <v>A4</v>
      </c>
      <c r="N266" s="494">
        <f t="shared" si="44"/>
        <v>6588000</v>
      </c>
      <c r="O266" s="366">
        <v>20</v>
      </c>
      <c r="P266" s="440">
        <f>IFERROR(INDEX('[17]CN BC'!$J$10:$J$276,MATCH(B266,'[17]CN BC'!$H$10:$H$276,0)),"")</f>
        <v>20</v>
      </c>
      <c r="Q266" s="494">
        <f t="shared" si="49"/>
        <v>6588000</v>
      </c>
      <c r="R266" s="392"/>
      <c r="S266" s="362">
        <f t="shared" si="43"/>
        <v>0</v>
      </c>
      <c r="T266" s="370"/>
      <c r="U266" s="362">
        <f t="shared" si="51"/>
        <v>0</v>
      </c>
      <c r="V266" s="584">
        <f t="shared" si="45"/>
        <v>65880</v>
      </c>
      <c r="W266" s="371">
        <f t="shared" si="50"/>
        <v>6588000</v>
      </c>
      <c r="X266" s="977">
        <f t="shared" si="47"/>
        <v>3.66</v>
      </c>
      <c r="Y266" s="999">
        <v>1800000</v>
      </c>
      <c r="Z266" s="1000">
        <f t="shared" si="48"/>
        <v>6588000</v>
      </c>
      <c r="AA266" s="568">
        <f t="shared" si="46"/>
        <v>244</v>
      </c>
      <c r="AB266" s="493">
        <f>IFERROR(INDEX('[17]CN BC'!$M$10:$M$276,MATCH(B266,'[17]CN BC'!$H$10:$H$276,0)),"")</f>
        <v>0</v>
      </c>
      <c r="AC266" s="141" t="str">
        <f>VLOOKUP(B266,TH.T4!B264:AC594,28,FALSE)</f>
        <v>ĐL</v>
      </c>
      <c r="AD266" s="108"/>
      <c r="AE266" s="108"/>
      <c r="AF266" s="155"/>
      <c r="AG266" s="108"/>
      <c r="AH266" s="108"/>
      <c r="AI266" s="108"/>
      <c r="AJ266" s="108"/>
      <c r="AK266" s="108"/>
      <c r="AL266" s="108"/>
    </row>
    <row r="267" spans="1:38" s="372" customFormat="1" ht="25.5" customHeight="1">
      <c r="A267" s="379">
        <f>_xlfn.AGGREGATE(4,7,A$22:A266)+1</f>
        <v>245</v>
      </c>
      <c r="B267" s="363" t="s">
        <v>1548</v>
      </c>
      <c r="C267" s="364" t="s">
        <v>889</v>
      </c>
      <c r="D267" s="434" t="s">
        <v>1815</v>
      </c>
      <c r="E267" s="423" t="s">
        <v>752</v>
      </c>
      <c r="F267" s="373">
        <v>3.66</v>
      </c>
      <c r="G267" s="367"/>
      <c r="H267" s="445">
        <f t="shared" si="52"/>
        <v>3.66</v>
      </c>
      <c r="I267" s="368"/>
      <c r="J267" s="81" t="str">
        <f>VLOOKUP(B267,TH.T5!B267:F596,5,FALSE)</f>
        <v>Giảng viên khoa Động lực</v>
      </c>
      <c r="K267" s="369">
        <f t="shared" si="53"/>
        <v>3.66</v>
      </c>
      <c r="L267" s="362">
        <f t="shared" si="54"/>
        <v>6588000</v>
      </c>
      <c r="M267" s="366" t="str">
        <f>VLOOKUP(B267,'[24]Gui chi Quynh'!$B$11:$E$400,4,FALSE)</f>
        <v>A4</v>
      </c>
      <c r="N267" s="494">
        <f t="shared" si="44"/>
        <v>6588000</v>
      </c>
      <c r="O267" s="366">
        <v>20</v>
      </c>
      <c r="P267" s="440">
        <f>IFERROR(INDEX('[17]CN BC'!$J$10:$J$276,MATCH(B267,'[17]CN BC'!$H$10:$H$276,0)),"")</f>
        <v>20</v>
      </c>
      <c r="Q267" s="494">
        <f t="shared" si="49"/>
        <v>6588000</v>
      </c>
      <c r="R267" s="460"/>
      <c r="S267" s="362">
        <f t="shared" si="43"/>
        <v>0</v>
      </c>
      <c r="T267" s="370"/>
      <c r="U267" s="362">
        <f t="shared" si="51"/>
        <v>0</v>
      </c>
      <c r="V267" s="584">
        <f t="shared" si="45"/>
        <v>65880</v>
      </c>
      <c r="W267" s="371">
        <f t="shared" si="50"/>
        <v>6588000</v>
      </c>
      <c r="X267" s="977">
        <f t="shared" si="47"/>
        <v>3.66</v>
      </c>
      <c r="Y267" s="999">
        <v>1800000</v>
      </c>
      <c r="Z267" s="1000">
        <f t="shared" si="48"/>
        <v>6588000</v>
      </c>
      <c r="AA267" s="568">
        <f t="shared" si="46"/>
        <v>245</v>
      </c>
      <c r="AB267" s="493">
        <f>IFERROR(INDEX('[17]CN BC'!$M$10:$M$276,MATCH(B267,'[17]CN BC'!$H$10:$H$276,0)),"")</f>
        <v>0</v>
      </c>
      <c r="AC267" s="141" t="str">
        <f>VLOOKUP(B267,TH.T4!B265:AC595,28,FALSE)</f>
        <v>ĐL</v>
      </c>
      <c r="AF267" s="487"/>
    </row>
    <row r="268" spans="1:38" s="372" customFormat="1" ht="25.5" customHeight="1">
      <c r="A268" s="379">
        <f>_xlfn.AGGREGATE(4,7,A$22:A267)+1</f>
        <v>246</v>
      </c>
      <c r="B268" s="363" t="s">
        <v>1549</v>
      </c>
      <c r="C268" s="364" t="s">
        <v>1428</v>
      </c>
      <c r="D268" s="434" t="s">
        <v>1816</v>
      </c>
      <c r="E268" s="422" t="s">
        <v>1429</v>
      </c>
      <c r="F268" s="463">
        <v>3.33</v>
      </c>
      <c r="G268" s="367"/>
      <c r="H268" s="445">
        <f t="shared" si="52"/>
        <v>3.33</v>
      </c>
      <c r="I268" s="368">
        <v>0.25</v>
      </c>
      <c r="J268" s="81" t="str">
        <f>VLOOKUP(B268,TH.T5!B268:F597,5,FALSE)</f>
        <v>Giảng viên khoa Động lực</v>
      </c>
      <c r="K268" s="369">
        <f t="shared" si="53"/>
        <v>3.58</v>
      </c>
      <c r="L268" s="362">
        <f t="shared" si="54"/>
        <v>6444000</v>
      </c>
      <c r="M268" s="366" t="str">
        <f>VLOOKUP(B268,'[24]Gui chi Quynh'!$B$11:$E$400,4,FALSE)</f>
        <v>A3</v>
      </c>
      <c r="N268" s="494">
        <f t="shared" si="44"/>
        <v>7732800</v>
      </c>
      <c r="O268" s="366">
        <v>20</v>
      </c>
      <c r="P268" s="440">
        <f>IFERROR(INDEX('[17]CN BC'!$J$10:$J$276,MATCH(B268,'[17]CN BC'!$H$10:$H$276,0)),"")</f>
        <v>20</v>
      </c>
      <c r="Q268" s="494">
        <f t="shared" si="49"/>
        <v>7732800</v>
      </c>
      <c r="R268" s="460"/>
      <c r="S268" s="362">
        <f t="shared" si="43"/>
        <v>0</v>
      </c>
      <c r="T268" s="370"/>
      <c r="U268" s="362">
        <f t="shared" si="51"/>
        <v>0</v>
      </c>
      <c r="V268" s="584">
        <f t="shared" si="45"/>
        <v>64440</v>
      </c>
      <c r="W268" s="371">
        <f t="shared" si="50"/>
        <v>7732800</v>
      </c>
      <c r="X268" s="977">
        <f t="shared" si="47"/>
        <v>4.2960000000000003</v>
      </c>
      <c r="Y268" s="999">
        <v>1800000</v>
      </c>
      <c r="Z268" s="1000">
        <f t="shared" si="48"/>
        <v>7732800.0000000009</v>
      </c>
      <c r="AA268" s="568">
        <f t="shared" si="46"/>
        <v>246</v>
      </c>
      <c r="AB268" s="493">
        <f>IFERROR(INDEX('[17]CN BC'!$M$10:$M$276,MATCH(B268,'[17]CN BC'!$H$10:$H$276,0)),"")</f>
        <v>0</v>
      </c>
      <c r="AC268" s="141" t="str">
        <f>VLOOKUP(B268,TH.T4!B266:AC596,28,FALSE)</f>
        <v>ĐL</v>
      </c>
      <c r="AD268" s="108"/>
      <c r="AE268" s="108"/>
      <c r="AF268" s="155"/>
      <c r="AG268" s="108"/>
      <c r="AH268" s="108"/>
      <c r="AI268" s="108"/>
      <c r="AJ268" s="108"/>
      <c r="AK268" s="108"/>
      <c r="AL268" s="108"/>
    </row>
    <row r="269" spans="1:38" s="372" customFormat="1" ht="25.5" customHeight="1">
      <c r="A269" s="379">
        <f>_xlfn.AGGREGATE(4,7,A$22:A268)+1</f>
        <v>247</v>
      </c>
      <c r="B269" s="363" t="s">
        <v>1550</v>
      </c>
      <c r="C269" s="364" t="s">
        <v>1428</v>
      </c>
      <c r="D269" s="434" t="s">
        <v>1817</v>
      </c>
      <c r="E269" s="422" t="s">
        <v>1430</v>
      </c>
      <c r="F269" s="463">
        <v>3.33</v>
      </c>
      <c r="G269" s="367"/>
      <c r="H269" s="445">
        <f t="shared" si="52"/>
        <v>3.33</v>
      </c>
      <c r="I269" s="368"/>
      <c r="J269" s="81" t="str">
        <f>VLOOKUP(B269,TH.T5!B269:F598,5,FALSE)</f>
        <v>Giảng viên khoa Động lực</v>
      </c>
      <c r="K269" s="369">
        <f t="shared" si="53"/>
        <v>3.33</v>
      </c>
      <c r="L269" s="362">
        <f t="shared" si="54"/>
        <v>5994000</v>
      </c>
      <c r="M269" s="366" t="str">
        <f>VLOOKUP(B269,'[24]Gui chi Quynh'!$B$11:$E$400,4,FALSE)</f>
        <v>A4</v>
      </c>
      <c r="N269" s="494">
        <f t="shared" si="44"/>
        <v>5994000</v>
      </c>
      <c r="O269" s="366">
        <v>20</v>
      </c>
      <c r="P269" s="440">
        <f>IFERROR(INDEX('[17]CN BC'!$J$10:$J$276,MATCH(B269,'[17]CN BC'!$H$10:$H$276,0)),"")</f>
        <v>20</v>
      </c>
      <c r="Q269" s="494">
        <f t="shared" si="49"/>
        <v>5994000</v>
      </c>
      <c r="R269" s="392"/>
      <c r="S269" s="362">
        <f t="shared" si="43"/>
        <v>0</v>
      </c>
      <c r="T269" s="370"/>
      <c r="U269" s="362">
        <f t="shared" si="51"/>
        <v>0</v>
      </c>
      <c r="V269" s="584">
        <f t="shared" si="45"/>
        <v>59940</v>
      </c>
      <c r="W269" s="371">
        <f t="shared" si="50"/>
        <v>5994000</v>
      </c>
      <c r="X269" s="977">
        <f t="shared" si="47"/>
        <v>3.33</v>
      </c>
      <c r="Y269" s="999">
        <v>1800000</v>
      </c>
      <c r="Z269" s="1000">
        <f t="shared" si="48"/>
        <v>5994000</v>
      </c>
      <c r="AA269" s="568">
        <f t="shared" si="46"/>
        <v>247</v>
      </c>
      <c r="AB269" s="493">
        <f>IFERROR(INDEX('[17]CN BC'!$M$10:$M$276,MATCH(B269,'[17]CN BC'!$H$10:$H$276,0)),"")</f>
        <v>0</v>
      </c>
      <c r="AC269" s="141" t="str">
        <f>VLOOKUP(B269,TH.T4!B267:AC597,28,FALSE)</f>
        <v>ĐL</v>
      </c>
      <c r="AD269" s="471"/>
      <c r="AE269" s="108"/>
      <c r="AF269" s="155"/>
      <c r="AG269" s="108"/>
      <c r="AH269" s="108"/>
      <c r="AI269" s="108"/>
      <c r="AJ269" s="108"/>
      <c r="AK269" s="108"/>
      <c r="AL269" s="108"/>
    </row>
    <row r="270" spans="1:38" s="372" customFormat="1" ht="25.5" customHeight="1">
      <c r="A270" s="379">
        <f>_xlfn.AGGREGATE(4,7,A$22:A269)+1</f>
        <v>248</v>
      </c>
      <c r="B270" s="363" t="s">
        <v>1836</v>
      </c>
      <c r="C270" s="364"/>
      <c r="D270" s="434" t="s">
        <v>1976</v>
      </c>
      <c r="E270" s="481" t="s">
        <v>1977</v>
      </c>
      <c r="F270" s="365">
        <v>2.67</v>
      </c>
      <c r="G270" s="367"/>
      <c r="H270" s="368">
        <f t="shared" si="52"/>
        <v>2.67</v>
      </c>
      <c r="I270" s="368"/>
      <c r="J270" s="81" t="str">
        <f>VLOOKUP(B270,TH.T5!B270:F599,5,FALSE)</f>
        <v>Giảng viên khoa Động lực</v>
      </c>
      <c r="K270" s="369">
        <f t="shared" si="53"/>
        <v>2.67</v>
      </c>
      <c r="L270" s="362">
        <f t="shared" si="54"/>
        <v>4806000</v>
      </c>
      <c r="M270" s="366" t="str">
        <f>VLOOKUP(B270,'[24]Gui chi Quynh'!$B$11:$E$400,4,FALSE)</f>
        <v>A4</v>
      </c>
      <c r="N270" s="494">
        <f t="shared" si="44"/>
        <v>4806000</v>
      </c>
      <c r="O270" s="366">
        <v>20</v>
      </c>
      <c r="P270" s="440">
        <f>IFERROR(INDEX('[17]CN BC'!$J$10:$J$276,MATCH(B270,'[17]CN BC'!$H$10:$H$276,0)),"")</f>
        <v>20</v>
      </c>
      <c r="Q270" s="494">
        <f t="shared" si="49"/>
        <v>4806000</v>
      </c>
      <c r="R270" s="460"/>
      <c r="S270" s="362">
        <f t="shared" si="43"/>
        <v>0</v>
      </c>
      <c r="T270" s="370"/>
      <c r="U270" s="362">
        <f t="shared" si="51"/>
        <v>0</v>
      </c>
      <c r="V270" s="584">
        <f t="shared" si="45"/>
        <v>48060</v>
      </c>
      <c r="W270" s="371">
        <f t="shared" si="50"/>
        <v>4806000</v>
      </c>
      <c r="X270" s="977">
        <f t="shared" si="47"/>
        <v>2.67</v>
      </c>
      <c r="Y270" s="999">
        <v>1800000</v>
      </c>
      <c r="Z270" s="1000">
        <f t="shared" si="48"/>
        <v>4806000</v>
      </c>
      <c r="AA270" s="568">
        <f t="shared" si="46"/>
        <v>248</v>
      </c>
      <c r="AB270" s="493">
        <f>IFERROR(INDEX('[17]CN BC'!$M$10:$M$276,MATCH(B270,'[17]CN BC'!$H$10:$H$276,0)),"")</f>
        <v>0</v>
      </c>
      <c r="AC270" s="141" t="str">
        <f>VLOOKUP(B270,TH.T4!B268:AC598,28,FALSE)</f>
        <v>ĐL</v>
      </c>
      <c r="AD270" s="471"/>
      <c r="AE270" s="108"/>
      <c r="AF270" s="155"/>
      <c r="AG270" s="108"/>
      <c r="AH270" s="108"/>
      <c r="AI270" s="108"/>
      <c r="AJ270" s="108"/>
      <c r="AK270" s="108"/>
      <c r="AL270" s="108"/>
    </row>
    <row r="271" spans="1:38" s="372" customFormat="1" ht="25.5" customHeight="1">
      <c r="A271" s="379">
        <f>_xlfn.AGGREGATE(4,7,A$22:A270)+1</f>
        <v>249</v>
      </c>
      <c r="B271" s="363" t="s">
        <v>1837</v>
      </c>
      <c r="C271" s="364"/>
      <c r="D271" s="434" t="s">
        <v>1978</v>
      </c>
      <c r="E271" s="481" t="s">
        <v>1979</v>
      </c>
      <c r="F271" s="365">
        <v>2.67</v>
      </c>
      <c r="G271" s="367"/>
      <c r="H271" s="368">
        <f t="shared" si="52"/>
        <v>2.67</v>
      </c>
      <c r="I271" s="368"/>
      <c r="J271" s="81" t="str">
        <f>VLOOKUP(B271,TH.T5!B271:F600,5,FALSE)</f>
        <v>Giảng viên khoa Động lực</v>
      </c>
      <c r="K271" s="369">
        <f t="shared" si="53"/>
        <v>2.67</v>
      </c>
      <c r="L271" s="362">
        <f t="shared" si="54"/>
        <v>4806000</v>
      </c>
      <c r="M271" s="366" t="str">
        <f>VLOOKUP(B271,'[24]Gui chi Quynh'!$B$11:$E$400,4,FALSE)</f>
        <v>A4</v>
      </c>
      <c r="N271" s="494">
        <f t="shared" si="44"/>
        <v>4806000</v>
      </c>
      <c r="O271" s="366">
        <v>20</v>
      </c>
      <c r="P271" s="440">
        <f>IFERROR(INDEX('[17]CN BC'!$J$10:$J$276,MATCH(B271,'[17]CN BC'!$H$10:$H$276,0)),"")</f>
        <v>20</v>
      </c>
      <c r="Q271" s="494">
        <f t="shared" si="49"/>
        <v>4806000</v>
      </c>
      <c r="R271" s="392"/>
      <c r="S271" s="362">
        <f t="shared" si="43"/>
        <v>0</v>
      </c>
      <c r="T271" s="370"/>
      <c r="U271" s="362">
        <f t="shared" si="51"/>
        <v>0</v>
      </c>
      <c r="V271" s="584">
        <f t="shared" si="45"/>
        <v>48060</v>
      </c>
      <c r="W271" s="371">
        <f t="shared" si="50"/>
        <v>4806000</v>
      </c>
      <c r="X271" s="977">
        <f t="shared" si="47"/>
        <v>2.67</v>
      </c>
      <c r="Y271" s="999">
        <v>1800000</v>
      </c>
      <c r="Z271" s="1000">
        <f t="shared" si="48"/>
        <v>4806000</v>
      </c>
      <c r="AA271" s="568">
        <f t="shared" si="46"/>
        <v>249</v>
      </c>
      <c r="AB271" s="493">
        <f>IFERROR(INDEX('[17]CN BC'!$M$10:$M$276,MATCH(B271,'[17]CN BC'!$H$10:$H$276,0)),"")</f>
        <v>0</v>
      </c>
      <c r="AC271" s="141" t="str">
        <f>VLOOKUP(B271,TH.T4!B269:AC599,28,FALSE)</f>
        <v>ĐL</v>
      </c>
      <c r="AD271" s="471"/>
      <c r="AE271" s="108"/>
      <c r="AF271" s="155"/>
      <c r="AG271" s="108"/>
      <c r="AH271" s="108"/>
      <c r="AI271" s="108"/>
      <c r="AJ271" s="108"/>
      <c r="AK271" s="108"/>
      <c r="AL271" s="108"/>
    </row>
    <row r="272" spans="1:38" s="372" customFormat="1" ht="25.5" customHeight="1">
      <c r="A272" s="379">
        <f>_xlfn.AGGREGATE(4,7,A$22:A271)+1</f>
        <v>250</v>
      </c>
      <c r="B272" s="390" t="s">
        <v>1839</v>
      </c>
      <c r="C272" s="364"/>
      <c r="D272" s="434" t="s">
        <v>1980</v>
      </c>
      <c r="E272" s="481" t="s">
        <v>1981</v>
      </c>
      <c r="F272" s="463">
        <v>3</v>
      </c>
      <c r="G272" s="367"/>
      <c r="H272" s="368">
        <f t="shared" si="52"/>
        <v>3</v>
      </c>
      <c r="I272" s="368"/>
      <c r="J272" s="81" t="str">
        <f>VLOOKUP(B272,TH.T5!B272:F601,5,FALSE)</f>
        <v>Giảng viên khoa Động lực</v>
      </c>
      <c r="K272" s="369">
        <f t="shared" si="53"/>
        <v>3</v>
      </c>
      <c r="L272" s="362">
        <f t="shared" si="54"/>
        <v>5400000</v>
      </c>
      <c r="M272" s="366" t="str">
        <f>VLOOKUP(B272,'[24]Gui chi Quynh'!$B$11:$E$400,4,FALSE)</f>
        <v>A3</v>
      </c>
      <c r="N272" s="494">
        <f t="shared" si="44"/>
        <v>6480000</v>
      </c>
      <c r="O272" s="366">
        <v>20</v>
      </c>
      <c r="P272" s="440">
        <f>IFERROR(INDEX('[17]CN BC'!$J$10:$J$276,MATCH(B272,'[17]CN BC'!$H$10:$H$276,0)),"")</f>
        <v>20</v>
      </c>
      <c r="Q272" s="494">
        <f t="shared" si="49"/>
        <v>6480000</v>
      </c>
      <c r="R272" s="392"/>
      <c r="S272" s="362">
        <f t="shared" si="43"/>
        <v>0</v>
      </c>
      <c r="T272" s="370"/>
      <c r="U272" s="362">
        <f t="shared" si="51"/>
        <v>0</v>
      </c>
      <c r="V272" s="584">
        <f t="shared" si="45"/>
        <v>54000</v>
      </c>
      <c r="W272" s="371">
        <f t="shared" si="50"/>
        <v>6480000</v>
      </c>
      <c r="X272" s="977">
        <f t="shared" si="47"/>
        <v>3.6</v>
      </c>
      <c r="Y272" s="999">
        <v>1800000</v>
      </c>
      <c r="Z272" s="1000">
        <f t="shared" si="48"/>
        <v>6480000</v>
      </c>
      <c r="AA272" s="568">
        <f t="shared" si="46"/>
        <v>250</v>
      </c>
      <c r="AB272" s="493">
        <f>IFERROR(INDEX('[17]CN BC'!$M$10:$M$276,MATCH(B272,'[17]CN BC'!$H$10:$H$276,0)),"")</f>
        <v>0</v>
      </c>
      <c r="AC272" s="141" t="str">
        <f>VLOOKUP(B272,TH.T4!B270:AC600,28,FALSE)</f>
        <v>ĐL</v>
      </c>
      <c r="AD272" s="471"/>
      <c r="AE272" s="108"/>
      <c r="AF272" s="155"/>
      <c r="AG272" s="108"/>
      <c r="AH272" s="108"/>
      <c r="AI272" s="108"/>
      <c r="AJ272" s="108"/>
      <c r="AK272" s="108"/>
      <c r="AL272" s="108"/>
    </row>
    <row r="273" spans="1:42" s="372" customFormat="1" ht="25.5" customHeight="1">
      <c r="A273" s="379">
        <f>_xlfn.AGGREGATE(4,7,A$22:A272)+1</f>
        <v>251</v>
      </c>
      <c r="B273" s="390" t="s">
        <v>1844</v>
      </c>
      <c r="C273" s="364"/>
      <c r="D273" s="434" t="s">
        <v>1982</v>
      </c>
      <c r="E273" s="481" t="s">
        <v>1983</v>
      </c>
      <c r="F273" s="463">
        <v>3.66</v>
      </c>
      <c r="G273" s="367"/>
      <c r="H273" s="368">
        <f t="shared" si="52"/>
        <v>3.66</v>
      </c>
      <c r="I273" s="368"/>
      <c r="J273" s="81" t="str">
        <f>VLOOKUP(B273,TH.T5!B273:F602,5,FALSE)</f>
        <v>Giảng viên khoa Động lực</v>
      </c>
      <c r="K273" s="369">
        <f t="shared" si="53"/>
        <v>3.66</v>
      </c>
      <c r="L273" s="362">
        <f t="shared" si="54"/>
        <v>6588000</v>
      </c>
      <c r="M273" s="366" t="str">
        <f>VLOOKUP(B273,'[24]Gui chi Quynh'!$B$11:$E$400,4,FALSE)</f>
        <v>A3</v>
      </c>
      <c r="N273" s="494">
        <f t="shared" si="44"/>
        <v>7905600</v>
      </c>
      <c r="O273" s="366">
        <v>20</v>
      </c>
      <c r="P273" s="440">
        <f>IFERROR(INDEX('[17]CN BC'!$J$10:$J$276,MATCH(B273,'[17]CN BC'!$H$10:$H$276,0)),"")</f>
        <v>20</v>
      </c>
      <c r="Q273" s="494">
        <f t="shared" si="49"/>
        <v>7905600</v>
      </c>
      <c r="R273" s="460"/>
      <c r="S273" s="362">
        <f t="shared" ref="S273:S288" si="55">R273*$G$19*1</f>
        <v>0</v>
      </c>
      <c r="T273" s="370"/>
      <c r="U273" s="362">
        <f t="shared" si="51"/>
        <v>0</v>
      </c>
      <c r="V273" s="584">
        <f t="shared" si="45"/>
        <v>65880</v>
      </c>
      <c r="W273" s="371">
        <f t="shared" si="50"/>
        <v>7905600</v>
      </c>
      <c r="X273" s="977">
        <f t="shared" si="47"/>
        <v>4.3920000000000003</v>
      </c>
      <c r="Y273" s="999">
        <v>1800000</v>
      </c>
      <c r="Z273" s="1000">
        <f t="shared" si="48"/>
        <v>7905600.0000000009</v>
      </c>
      <c r="AA273" s="568">
        <f t="shared" si="46"/>
        <v>251</v>
      </c>
      <c r="AB273" s="493">
        <f>IFERROR(INDEX('[17]CN BC'!$M$10:$M$276,MATCH(B273,'[17]CN BC'!$H$10:$H$276,0)),"")</f>
        <v>0</v>
      </c>
      <c r="AC273" s="141" t="str">
        <f>VLOOKUP(B273,TH.T4!B271:AC601,28,FALSE)</f>
        <v>ĐL</v>
      </c>
      <c r="AD273" s="471"/>
      <c r="AE273" s="108"/>
      <c r="AF273" s="155"/>
      <c r="AG273" s="108"/>
      <c r="AH273" s="108"/>
      <c r="AI273" s="108"/>
      <c r="AJ273" s="108"/>
      <c r="AK273" s="108"/>
      <c r="AL273" s="108"/>
    </row>
    <row r="274" spans="1:42" s="372" customFormat="1" ht="24" customHeight="1">
      <c r="A274" s="379">
        <f>_xlfn.AGGREGATE(4,7,A$22:A273)+1</f>
        <v>252</v>
      </c>
      <c r="B274" s="390" t="s">
        <v>1926</v>
      </c>
      <c r="C274" s="364"/>
      <c r="D274" s="434" t="s">
        <v>1984</v>
      </c>
      <c r="E274" s="477" t="s">
        <v>1985</v>
      </c>
      <c r="F274" s="473">
        <v>2.67</v>
      </c>
      <c r="G274" s="367"/>
      <c r="H274" s="368">
        <f t="shared" si="52"/>
        <v>2.67</v>
      </c>
      <c r="I274" s="368"/>
      <c r="J274" s="81" t="str">
        <f>VLOOKUP(B274,TH.T5!B274:F603,5,FALSE)</f>
        <v>Giảng viên khoa Động lực</v>
      </c>
      <c r="K274" s="369">
        <f t="shared" si="53"/>
        <v>2.67</v>
      </c>
      <c r="L274" s="362">
        <f t="shared" si="54"/>
        <v>4806000</v>
      </c>
      <c r="M274" s="366" t="str">
        <f>VLOOKUP(B274,'[24]Gui chi Quynh'!$B$11:$E$400,4,FALSE)</f>
        <v>A3</v>
      </c>
      <c r="N274" s="494">
        <f t="shared" si="44"/>
        <v>5767200</v>
      </c>
      <c r="O274" s="366">
        <v>20</v>
      </c>
      <c r="P274" s="440">
        <f>IFERROR(INDEX('[17]CN BC'!$J$10:$J$276,MATCH(B274,'[17]CN BC'!$H$10:$H$276,0)),"")</f>
        <v>20</v>
      </c>
      <c r="Q274" s="494">
        <f t="shared" si="49"/>
        <v>5767200</v>
      </c>
      <c r="R274" s="460"/>
      <c r="S274" s="362">
        <f t="shared" si="55"/>
        <v>0</v>
      </c>
      <c r="T274" s="370"/>
      <c r="U274" s="362">
        <f t="shared" si="51"/>
        <v>0</v>
      </c>
      <c r="V274" s="584">
        <f t="shared" si="45"/>
        <v>48060</v>
      </c>
      <c r="W274" s="371">
        <f t="shared" si="50"/>
        <v>5767200</v>
      </c>
      <c r="X274" s="977">
        <f t="shared" si="47"/>
        <v>3.2040000000000002</v>
      </c>
      <c r="Y274" s="999">
        <v>1800000</v>
      </c>
      <c r="Z274" s="1000">
        <f t="shared" si="48"/>
        <v>5767200</v>
      </c>
      <c r="AA274" s="568">
        <f t="shared" si="46"/>
        <v>252</v>
      </c>
      <c r="AB274" s="493">
        <f>IFERROR(INDEX('[17]CN BC'!$M$10:$M$276,MATCH(B274,'[17]CN BC'!$H$10:$H$276,0)),"")</f>
        <v>0</v>
      </c>
      <c r="AC274" s="141" t="str">
        <f>VLOOKUP(B274,TH.T4!B272:AC602,28,FALSE)</f>
        <v>ĐL</v>
      </c>
      <c r="AD274" s="471"/>
      <c r="AE274" s="108"/>
      <c r="AF274" s="155"/>
      <c r="AG274" s="108"/>
      <c r="AH274" s="108"/>
      <c r="AI274" s="108"/>
      <c r="AJ274" s="108"/>
      <c r="AK274" s="108"/>
      <c r="AL274" s="108"/>
    </row>
    <row r="275" spans="1:42" s="372" customFormat="1" ht="24" customHeight="1">
      <c r="A275" s="379">
        <f>_xlfn.AGGREGATE(4,7,A$22:A274)+1</f>
        <v>253</v>
      </c>
      <c r="B275" s="390" t="s">
        <v>1941</v>
      </c>
      <c r="C275" s="364"/>
      <c r="D275" s="434" t="s">
        <v>1989</v>
      </c>
      <c r="E275" s="477" t="s">
        <v>1988</v>
      </c>
      <c r="F275" s="473">
        <v>2.34</v>
      </c>
      <c r="G275" s="367"/>
      <c r="H275" s="368">
        <f t="shared" si="52"/>
        <v>2.34</v>
      </c>
      <c r="I275" s="368"/>
      <c r="J275" s="81" t="str">
        <f>VLOOKUP(B275,TH.T5!B275:F604,5,FALSE)</f>
        <v>Giảng viên khoa Động lực</v>
      </c>
      <c r="K275" s="369">
        <f t="shared" si="53"/>
        <v>2.34</v>
      </c>
      <c r="L275" s="362">
        <f t="shared" si="54"/>
        <v>4212000</v>
      </c>
      <c r="M275" s="366" t="str">
        <f>VLOOKUP(B275,'[24]Gui chi Quynh'!$B$11:$E$400,4,FALSE)</f>
        <v>A4</v>
      </c>
      <c r="N275" s="494">
        <f t="shared" si="44"/>
        <v>4212000</v>
      </c>
      <c r="O275" s="366">
        <v>20</v>
      </c>
      <c r="P275" s="440">
        <f>IFERROR(INDEX('[17]CN BC'!$J$10:$J$276,MATCH(B275,'[17]CN BC'!$H$10:$H$276,0)),"")</f>
        <v>20</v>
      </c>
      <c r="Q275" s="494">
        <f t="shared" si="49"/>
        <v>4212000</v>
      </c>
      <c r="R275" s="460"/>
      <c r="S275" s="362">
        <f t="shared" si="55"/>
        <v>0</v>
      </c>
      <c r="T275" s="370"/>
      <c r="U275" s="362">
        <f t="shared" si="51"/>
        <v>0</v>
      </c>
      <c r="V275" s="584">
        <f t="shared" si="45"/>
        <v>42120</v>
      </c>
      <c r="W275" s="371">
        <f t="shared" si="50"/>
        <v>4212000</v>
      </c>
      <c r="X275" s="977">
        <f t="shared" si="47"/>
        <v>2.34</v>
      </c>
      <c r="Y275" s="999">
        <v>1800000</v>
      </c>
      <c r="Z275" s="1000">
        <f t="shared" si="48"/>
        <v>4212000</v>
      </c>
      <c r="AA275" s="568">
        <f t="shared" si="46"/>
        <v>253</v>
      </c>
      <c r="AB275" s="493">
        <f>IFERROR(INDEX('[17]CN BC'!$M$10:$M$276,MATCH(B275,'[17]CN BC'!$H$10:$H$276,0)),"")</f>
        <v>0</v>
      </c>
      <c r="AC275" s="141" t="str">
        <f>VLOOKUP(B275,TH.T4!B274:AC604,28,FALSE)</f>
        <v>ĐL</v>
      </c>
      <c r="AD275" s="471"/>
      <c r="AE275" s="108"/>
      <c r="AF275" s="155"/>
      <c r="AG275" s="108"/>
      <c r="AH275" s="108"/>
      <c r="AI275" s="108"/>
      <c r="AJ275" s="108"/>
      <c r="AK275" s="108"/>
      <c r="AL275" s="108"/>
    </row>
    <row r="276" spans="1:42" s="372" customFormat="1" ht="24" customHeight="1">
      <c r="A276" s="379">
        <f>_xlfn.AGGREGATE(4,7,A$22:A275)+1</f>
        <v>254</v>
      </c>
      <c r="B276" s="390" t="s">
        <v>1942</v>
      </c>
      <c r="C276" s="364"/>
      <c r="D276" s="434" t="s">
        <v>1990</v>
      </c>
      <c r="E276" s="422"/>
      <c r="F276" s="473">
        <v>2.34</v>
      </c>
      <c r="G276" s="367"/>
      <c r="H276" s="368">
        <f t="shared" si="52"/>
        <v>2.34</v>
      </c>
      <c r="I276" s="368"/>
      <c r="J276" s="81" t="str">
        <f>VLOOKUP(B276,TH.T5!B276:F605,5,FALSE)</f>
        <v>Giảng viên khoa Động lực</v>
      </c>
      <c r="K276" s="369">
        <f t="shared" si="53"/>
        <v>2.34</v>
      </c>
      <c r="L276" s="362">
        <f t="shared" si="54"/>
        <v>4212000</v>
      </c>
      <c r="M276" s="366" t="str">
        <f>VLOOKUP(B276,'[24]Gui chi Quynh'!$B$11:$E$400,4,FALSE)</f>
        <v>A4</v>
      </c>
      <c r="N276" s="494">
        <f t="shared" si="44"/>
        <v>4212000</v>
      </c>
      <c r="O276" s="366">
        <v>20</v>
      </c>
      <c r="P276" s="440">
        <f>IFERROR(INDEX('[17]CN BC'!$J$10:$J$276,MATCH(B276,'[17]CN BC'!$H$10:$H$276,0)),"")</f>
        <v>20</v>
      </c>
      <c r="Q276" s="494">
        <f t="shared" si="49"/>
        <v>4212000</v>
      </c>
      <c r="R276" s="460"/>
      <c r="S276" s="362">
        <f t="shared" si="55"/>
        <v>0</v>
      </c>
      <c r="T276" s="370"/>
      <c r="U276" s="362">
        <f t="shared" si="51"/>
        <v>0</v>
      </c>
      <c r="V276" s="584">
        <f t="shared" si="45"/>
        <v>42120</v>
      </c>
      <c r="W276" s="371">
        <f t="shared" si="50"/>
        <v>4212000</v>
      </c>
      <c r="X276" s="977">
        <f t="shared" si="47"/>
        <v>2.34</v>
      </c>
      <c r="Y276" s="999">
        <v>1800000</v>
      </c>
      <c r="Z276" s="1000">
        <f t="shared" si="48"/>
        <v>4212000</v>
      </c>
      <c r="AA276" s="568">
        <f t="shared" si="46"/>
        <v>254</v>
      </c>
      <c r="AB276" s="493">
        <f>IFERROR(INDEX('[17]CN BC'!$M$10:$M$276,MATCH(B276,'[17]CN BC'!$H$10:$H$276,0)),"")</f>
        <v>0</v>
      </c>
      <c r="AC276" s="141" t="str">
        <f>VLOOKUP(B276,TH.T4!B275:AC605,28,FALSE)</f>
        <v>ĐL</v>
      </c>
      <c r="AD276" s="471"/>
      <c r="AE276" s="108"/>
      <c r="AF276" s="155"/>
      <c r="AG276" s="108"/>
      <c r="AH276" s="108"/>
      <c r="AI276" s="108"/>
      <c r="AJ276" s="108"/>
      <c r="AK276" s="108"/>
      <c r="AL276" s="108"/>
    </row>
    <row r="277" spans="1:42" s="372" customFormat="1" ht="24" customHeight="1">
      <c r="A277" s="379">
        <f>_xlfn.AGGREGATE(4,7,A$22:A276)+1</f>
        <v>255</v>
      </c>
      <c r="B277" s="390" t="s">
        <v>1945</v>
      </c>
      <c r="C277" s="364"/>
      <c r="D277" s="379" t="s">
        <v>1948</v>
      </c>
      <c r="E277" s="422" t="s">
        <v>1949</v>
      </c>
      <c r="F277" s="473">
        <v>3.66</v>
      </c>
      <c r="G277" s="367"/>
      <c r="H277" s="445">
        <f t="shared" si="52"/>
        <v>3.66</v>
      </c>
      <c r="I277" s="368"/>
      <c r="J277" s="81" t="str">
        <f>VLOOKUP(B277,TH.T5!B277:F606,5,FALSE)</f>
        <v>Giảng viên khoa Động lực</v>
      </c>
      <c r="K277" s="369">
        <f t="shared" si="53"/>
        <v>3.66</v>
      </c>
      <c r="L277" s="362">
        <f t="shared" si="54"/>
        <v>6588000</v>
      </c>
      <c r="M277" s="366" t="str">
        <f>VLOOKUP(B277,'[24]Gui chi Quynh'!$B$11:$E$400,4,FALSE)</f>
        <v>A4</v>
      </c>
      <c r="N277" s="494">
        <f t="shared" si="44"/>
        <v>6588000</v>
      </c>
      <c r="O277" s="366">
        <v>20</v>
      </c>
      <c r="P277" s="440">
        <f>IFERROR(INDEX('[17]CN BC'!$J$10:$J$276,MATCH(B277,'[17]CN BC'!$H$10:$H$276,0)),"")</f>
        <v>20</v>
      </c>
      <c r="Q277" s="494">
        <f t="shared" si="49"/>
        <v>6588000</v>
      </c>
      <c r="R277" s="460"/>
      <c r="S277" s="362">
        <f t="shared" si="55"/>
        <v>0</v>
      </c>
      <c r="T277" s="370"/>
      <c r="U277" s="362">
        <f t="shared" si="51"/>
        <v>0</v>
      </c>
      <c r="V277" s="584">
        <f t="shared" si="45"/>
        <v>65880</v>
      </c>
      <c r="W277" s="371">
        <f t="shared" si="50"/>
        <v>6588000</v>
      </c>
      <c r="X277" s="977">
        <f t="shared" si="47"/>
        <v>3.66</v>
      </c>
      <c r="Y277" s="999">
        <v>1800000</v>
      </c>
      <c r="Z277" s="1000">
        <f t="shared" si="48"/>
        <v>6588000</v>
      </c>
      <c r="AA277" s="568">
        <f t="shared" si="46"/>
        <v>255</v>
      </c>
      <c r="AB277" s="493">
        <f>IFERROR(INDEX('[17]CN BC'!$M$10:$M$276,MATCH(B277,'[17]CN BC'!$H$10:$H$276,0)),"")</f>
        <v>0</v>
      </c>
      <c r="AC277" s="141" t="str">
        <f>VLOOKUP(B277,TH.T4!B276:AC606,28,FALSE)</f>
        <v>ĐL</v>
      </c>
      <c r="AD277" s="471"/>
      <c r="AE277" s="108"/>
      <c r="AF277" s="487"/>
    </row>
    <row r="278" spans="1:42" s="372" customFormat="1" ht="24" customHeight="1">
      <c r="A278" s="379">
        <f>_xlfn.AGGREGATE(4,7,A$22:A277)+1</f>
        <v>256</v>
      </c>
      <c r="B278" s="390" t="s">
        <v>2003</v>
      </c>
      <c r="C278" s="364"/>
      <c r="D278" s="379"/>
      <c r="E278" s="422"/>
      <c r="F278" s="463">
        <v>3.33</v>
      </c>
      <c r="G278" s="367"/>
      <c r="H278" s="445">
        <f t="shared" si="52"/>
        <v>3.33</v>
      </c>
      <c r="I278" s="368"/>
      <c r="J278" s="81" t="str">
        <f>VLOOKUP(B278,TH.T5!B278:F607,5,FALSE)</f>
        <v>Giảng viên khoa Động lực</v>
      </c>
      <c r="K278" s="369">
        <f t="shared" si="53"/>
        <v>3.33</v>
      </c>
      <c r="L278" s="362">
        <f t="shared" si="54"/>
        <v>5994000</v>
      </c>
      <c r="M278" s="366" t="str">
        <f>VLOOKUP(B278,'[24]Gui chi Quynh'!$B$11:$E$400,4,FALSE)</f>
        <v>A4</v>
      </c>
      <c r="N278" s="494">
        <f t="shared" si="44"/>
        <v>5994000</v>
      </c>
      <c r="O278" s="366">
        <v>20</v>
      </c>
      <c r="P278" s="440">
        <f>IFERROR(INDEX('[17]CN BC'!$J$10:$J$276,MATCH(B278,'[17]CN BC'!$H$10:$H$276,0)),"")</f>
        <v>20</v>
      </c>
      <c r="Q278" s="494">
        <f t="shared" si="49"/>
        <v>5994000</v>
      </c>
      <c r="R278" s="460"/>
      <c r="S278" s="362">
        <f t="shared" si="55"/>
        <v>0</v>
      </c>
      <c r="T278" s="370"/>
      <c r="U278" s="362">
        <f t="shared" si="51"/>
        <v>0</v>
      </c>
      <c r="V278" s="584">
        <f t="shared" si="45"/>
        <v>59940</v>
      </c>
      <c r="W278" s="371">
        <f t="shared" si="50"/>
        <v>5994000</v>
      </c>
      <c r="X278" s="977">
        <f t="shared" si="47"/>
        <v>3.33</v>
      </c>
      <c r="Y278" s="999">
        <v>1800000</v>
      </c>
      <c r="Z278" s="1000">
        <f t="shared" si="48"/>
        <v>5994000</v>
      </c>
      <c r="AA278" s="568">
        <f t="shared" si="46"/>
        <v>256</v>
      </c>
      <c r="AB278" s="493">
        <f>IFERROR(INDEX('[17]CN BC'!$M$10:$M$276,MATCH(B278,'[17]CN BC'!$H$10:$H$276,0)),"")</f>
        <v>0</v>
      </c>
      <c r="AC278" s="141" t="str">
        <f>VLOOKUP(B278,TH.T4!B277:AC607,28,FALSE)</f>
        <v>ĐL</v>
      </c>
      <c r="AD278" s="471"/>
      <c r="AE278" s="108"/>
      <c r="AF278" s="487"/>
    </row>
    <row r="279" spans="1:42" s="372" customFormat="1" ht="24" customHeight="1">
      <c r="A279" s="379">
        <f>_xlfn.AGGREGATE(4,7,A$22:A278)+1</f>
        <v>257</v>
      </c>
      <c r="B279" s="390" t="s">
        <v>2010</v>
      </c>
      <c r="C279" s="364"/>
      <c r="D279" s="379"/>
      <c r="E279" s="422"/>
      <c r="F279" s="463">
        <v>1.9890000000000001</v>
      </c>
      <c r="G279" s="367"/>
      <c r="H279" s="445">
        <f t="shared" si="52"/>
        <v>1.9890000000000001</v>
      </c>
      <c r="I279" s="368"/>
      <c r="J279" s="81" t="str">
        <f>VLOOKUP(B279,TH.T5!B279:F608,5,FALSE)</f>
        <v>Giảng viên khoa Động lực</v>
      </c>
      <c r="K279" s="369">
        <f t="shared" si="53"/>
        <v>1.9890000000000001</v>
      </c>
      <c r="L279" s="362">
        <f t="shared" si="54"/>
        <v>3580200</v>
      </c>
      <c r="M279" s="366" t="str">
        <f>VLOOKUP(B279,'[24]Gui chi Quynh'!$B$11:$E$400,4,FALSE)</f>
        <v>A4</v>
      </c>
      <c r="N279" s="494">
        <f t="shared" ref="N279:N288" si="56">IF(M279="A1",L279*1.6,IF(M279="A2",L279*1.4,IF(M279="A3",L279*1.2,IF(M279="A4",L279*1,IF(M279="B1",L279*0.7,IF(M279="B2",L279*0.5,IF(M279="C1",L279*0.3,IF(M279="C2",L279*0.2,0))))))))</f>
        <v>3580200</v>
      </c>
      <c r="O279" s="366">
        <v>20</v>
      </c>
      <c r="P279" s="440">
        <f>IFERROR(INDEX('[17]CN BC'!$J$10:$J$276,MATCH(B279,'[17]CN BC'!$H$10:$H$276,0)),"")</f>
        <v>20</v>
      </c>
      <c r="Q279" s="494">
        <f t="shared" si="49"/>
        <v>3580200</v>
      </c>
      <c r="R279" s="460"/>
      <c r="S279" s="362">
        <f t="shared" si="55"/>
        <v>0</v>
      </c>
      <c r="T279" s="370"/>
      <c r="U279" s="362">
        <f t="shared" si="51"/>
        <v>0</v>
      </c>
      <c r="V279" s="584">
        <f t="shared" si="45"/>
        <v>35802</v>
      </c>
      <c r="W279" s="371">
        <f t="shared" si="50"/>
        <v>3580200</v>
      </c>
      <c r="X279" s="977">
        <f t="shared" si="47"/>
        <v>1.9890000000000001</v>
      </c>
      <c r="Y279" s="999">
        <v>1800000</v>
      </c>
      <c r="Z279" s="1000">
        <f t="shared" si="48"/>
        <v>3580200</v>
      </c>
      <c r="AA279" s="568">
        <f t="shared" ref="AA279:AA342" si="57">A279</f>
        <v>257</v>
      </c>
      <c r="AB279" s="493">
        <f>IFERROR(INDEX('[17]CN BC'!$M$10:$M$276,MATCH(B279,'[17]CN BC'!$H$10:$H$276,0)),"")</f>
        <v>0</v>
      </c>
      <c r="AC279" s="141" t="str">
        <f>VLOOKUP(B279,TH.T4!B278:AC608,28,FALSE)</f>
        <v>ĐL</v>
      </c>
      <c r="AD279" s="541"/>
      <c r="AF279" s="487"/>
    </row>
    <row r="280" spans="1:42" s="372" customFormat="1" ht="33" customHeight="1">
      <c r="A280" s="379">
        <f>_xlfn.AGGREGATE(4,7,A$22:A279)+1</f>
        <v>258</v>
      </c>
      <c r="B280" s="363" t="s">
        <v>1554</v>
      </c>
      <c r="C280" s="364" t="s">
        <v>1197</v>
      </c>
      <c r="D280" s="434" t="s">
        <v>1818</v>
      </c>
      <c r="E280" s="435" t="s">
        <v>1570</v>
      </c>
      <c r="F280" s="373">
        <v>3.66</v>
      </c>
      <c r="G280" s="367"/>
      <c r="H280" s="445">
        <f t="shared" si="52"/>
        <v>3.66</v>
      </c>
      <c r="I280" s="447">
        <v>0.45</v>
      </c>
      <c r="J280" s="81" t="str">
        <f>VLOOKUP(B280,TH.T5!B280:F609,5,FALSE)</f>
        <v>Giảng viên khoa Xây dựng - Nhiệt lạnh</v>
      </c>
      <c r="K280" s="369">
        <f t="shared" si="53"/>
        <v>4.1100000000000003</v>
      </c>
      <c r="L280" s="362">
        <f t="shared" si="54"/>
        <v>7398000.0000000009</v>
      </c>
      <c r="M280" s="366" t="str">
        <f>VLOOKUP(B280,'[24]Gui chi Quynh'!$B$11:$E$400,4,FALSE)</f>
        <v>A3</v>
      </c>
      <c r="N280" s="494">
        <f t="shared" si="56"/>
        <v>8877600</v>
      </c>
      <c r="O280" s="366">
        <v>20</v>
      </c>
      <c r="P280" s="440">
        <f>IFERROR(INDEX('[17]CN BC'!$J$10:$J$276,MATCH(B280,'[17]CN BC'!$H$10:$H$276,0)),"")</f>
        <v>20</v>
      </c>
      <c r="Q280" s="494">
        <f t="shared" si="49"/>
        <v>8877600</v>
      </c>
      <c r="R280" s="460"/>
      <c r="S280" s="362">
        <f t="shared" si="55"/>
        <v>0</v>
      </c>
      <c r="T280" s="370"/>
      <c r="U280" s="362">
        <f t="shared" si="51"/>
        <v>0</v>
      </c>
      <c r="V280" s="584">
        <f t="shared" si="45"/>
        <v>73980</v>
      </c>
      <c r="W280" s="371">
        <f t="shared" si="50"/>
        <v>8877600</v>
      </c>
      <c r="X280" s="977">
        <f t="shared" ref="X280:X343" si="58">W280/Y280</f>
        <v>4.9320000000000004</v>
      </c>
      <c r="Y280" s="999">
        <v>1800000</v>
      </c>
      <c r="Z280" s="1000">
        <f t="shared" ref="Z280:Z343" si="59">X280*Y280</f>
        <v>8877600</v>
      </c>
      <c r="AA280" s="568">
        <f t="shared" si="57"/>
        <v>258</v>
      </c>
      <c r="AB280" s="493">
        <f>IFERROR(INDEX('[17]CN BC'!$M$10:$M$276,MATCH(B280,'[17]CN BC'!$H$10:$H$276,0)),"")</f>
        <v>0</v>
      </c>
      <c r="AC280" s="141" t="str">
        <f>VLOOKUP(B280,TH.T4!B279:AC609,28,FALSE)</f>
        <v>XD-NL</v>
      </c>
      <c r="AD280" s="108"/>
      <c r="AE280" s="108"/>
      <c r="AF280" s="155"/>
      <c r="AG280" s="108"/>
      <c r="AH280" s="108"/>
      <c r="AI280" s="108"/>
      <c r="AJ280" s="108"/>
      <c r="AK280" s="108"/>
      <c r="AL280" s="108"/>
    </row>
    <row r="281" spans="1:42" s="372" customFormat="1" ht="33" customHeight="1">
      <c r="A281" s="379">
        <f>_xlfn.AGGREGATE(4,7,A$22:A280)+1</f>
        <v>259</v>
      </c>
      <c r="B281" s="363" t="s">
        <v>1920</v>
      </c>
      <c r="C281" s="364" t="s">
        <v>1051</v>
      </c>
      <c r="D281" s="434" t="s">
        <v>1819</v>
      </c>
      <c r="E281" s="423" t="s">
        <v>1414</v>
      </c>
      <c r="F281" s="366">
        <v>4.6500000000000004</v>
      </c>
      <c r="G281" s="367"/>
      <c r="H281" s="368">
        <f t="shared" si="52"/>
        <v>4.6500000000000004</v>
      </c>
      <c r="I281" s="472">
        <v>0.25</v>
      </c>
      <c r="J281" s="81" t="str">
        <f>VLOOKUP(B281,TH.T5!B281:F610,5,FALSE)</f>
        <v>Giảng viên khoa Xây dựng - Nhiệt lạnh</v>
      </c>
      <c r="K281" s="369">
        <f t="shared" si="53"/>
        <v>4.9000000000000004</v>
      </c>
      <c r="L281" s="362">
        <f t="shared" si="54"/>
        <v>8820000</v>
      </c>
      <c r="M281" s="366" t="str">
        <f>VLOOKUP(B281,'[24]Gui chi Quynh'!$B$11:$E$400,4,FALSE)</f>
        <v>A3</v>
      </c>
      <c r="N281" s="494">
        <f t="shared" si="56"/>
        <v>10584000</v>
      </c>
      <c r="O281" s="366">
        <v>20</v>
      </c>
      <c r="P281" s="440">
        <f>IFERROR(INDEX('[17]CN BC'!$J$10:$J$276,MATCH(B281,'[17]CN BC'!$H$10:$H$276,0)),"")</f>
        <v>20</v>
      </c>
      <c r="Q281" s="494">
        <f t="shared" si="49"/>
        <v>10584000</v>
      </c>
      <c r="R281" s="460"/>
      <c r="S281" s="362">
        <f t="shared" si="55"/>
        <v>0</v>
      </c>
      <c r="T281" s="370"/>
      <c r="U281" s="362">
        <f t="shared" si="51"/>
        <v>0</v>
      </c>
      <c r="V281" s="584">
        <f t="shared" si="45"/>
        <v>88200</v>
      </c>
      <c r="W281" s="371">
        <f t="shared" si="50"/>
        <v>10584000</v>
      </c>
      <c r="X281" s="977">
        <f t="shared" si="58"/>
        <v>5.88</v>
      </c>
      <c r="Y281" s="999">
        <v>1800000</v>
      </c>
      <c r="Z281" s="1000">
        <f t="shared" si="59"/>
        <v>10584000</v>
      </c>
      <c r="AA281" s="568">
        <f t="shared" si="57"/>
        <v>259</v>
      </c>
      <c r="AB281" s="493">
        <f>IFERROR(INDEX('[17]CN BC'!$M$10:$M$276,MATCH(B281,'[17]CN BC'!$H$10:$H$276,0)),"")</f>
        <v>0</v>
      </c>
      <c r="AC281" s="141" t="str">
        <f>VLOOKUP(B281,TH.T4!B280:AC610,28,FALSE)</f>
        <v>XD-NL</v>
      </c>
      <c r="AD281" s="108"/>
      <c r="AE281" s="108"/>
      <c r="AF281" s="155"/>
      <c r="AG281" s="108"/>
      <c r="AH281" s="108"/>
      <c r="AI281" s="108"/>
      <c r="AJ281" s="108"/>
      <c r="AK281" s="108"/>
      <c r="AL281" s="108"/>
    </row>
    <row r="282" spans="1:42" s="372" customFormat="1" ht="33" customHeight="1">
      <c r="A282" s="379">
        <f>_xlfn.AGGREGATE(4,7,A$22:A281)+1</f>
        <v>260</v>
      </c>
      <c r="B282" s="363" t="s">
        <v>1921</v>
      </c>
      <c r="C282" s="364" t="s">
        <v>1083</v>
      </c>
      <c r="D282" s="406" t="s">
        <v>1820</v>
      </c>
      <c r="E282" s="423" t="s">
        <v>1415</v>
      </c>
      <c r="F282" s="366">
        <v>4.6500000000000004</v>
      </c>
      <c r="G282" s="367"/>
      <c r="H282" s="368">
        <f t="shared" si="52"/>
        <v>4.6500000000000004</v>
      </c>
      <c r="I282" s="395">
        <v>0.25</v>
      </c>
      <c r="J282" s="81" t="str">
        <f>VLOOKUP(B282,TH.T5!B282:F611,5,FALSE)</f>
        <v>Giảng viên khoa Xây dựng - Nhiệt lạnh</v>
      </c>
      <c r="K282" s="369">
        <f t="shared" si="53"/>
        <v>4.9000000000000004</v>
      </c>
      <c r="L282" s="362">
        <f t="shared" si="54"/>
        <v>8820000</v>
      </c>
      <c r="M282" s="366" t="str">
        <f>VLOOKUP(B282,'[24]Gui chi Quynh'!$B$11:$E$400,4,FALSE)</f>
        <v>A3</v>
      </c>
      <c r="N282" s="494">
        <f t="shared" si="56"/>
        <v>10584000</v>
      </c>
      <c r="O282" s="366">
        <v>20</v>
      </c>
      <c r="P282" s="440">
        <f>IFERROR(INDEX('[17]CN BC'!$J$10:$J$276,MATCH(B282,'[17]CN BC'!$H$10:$H$276,0)),"")</f>
        <v>20</v>
      </c>
      <c r="Q282" s="494">
        <f t="shared" si="49"/>
        <v>10584000</v>
      </c>
      <c r="R282" s="392"/>
      <c r="S282" s="362">
        <f t="shared" si="55"/>
        <v>0</v>
      </c>
      <c r="T282" s="385"/>
      <c r="U282" s="362">
        <f t="shared" si="51"/>
        <v>0</v>
      </c>
      <c r="V282" s="584">
        <f t="shared" si="45"/>
        <v>88200</v>
      </c>
      <c r="W282" s="371">
        <f t="shared" ref="W282:W288" si="60">(Q282+S282+U282)</f>
        <v>10584000</v>
      </c>
      <c r="X282" s="977">
        <f t="shared" si="58"/>
        <v>5.88</v>
      </c>
      <c r="Y282" s="999">
        <v>1800000</v>
      </c>
      <c r="Z282" s="1000">
        <f t="shared" si="59"/>
        <v>10584000</v>
      </c>
      <c r="AA282" s="568">
        <f t="shared" si="57"/>
        <v>260</v>
      </c>
      <c r="AB282" s="493">
        <f>IFERROR(INDEX('[17]CN BC'!$M$10:$M$276,MATCH(B282,'[17]CN BC'!$H$10:$H$276,0)),"")</f>
        <v>0</v>
      </c>
      <c r="AC282" s="141" t="str">
        <f>VLOOKUP(B282,TH.T4!B281:AC611,28,FALSE)</f>
        <v>XD-NL</v>
      </c>
      <c r="AD282" s="108"/>
      <c r="AE282" s="108"/>
      <c r="AF282" s="155"/>
      <c r="AG282" s="108"/>
      <c r="AH282" s="108"/>
      <c r="AI282" s="108"/>
      <c r="AJ282" s="108"/>
      <c r="AK282" s="108"/>
      <c r="AL282" s="108"/>
      <c r="AM282" s="108"/>
      <c r="AN282" s="108"/>
      <c r="AO282" s="108"/>
      <c r="AP282" s="108"/>
    </row>
    <row r="283" spans="1:42" s="372" customFormat="1" ht="33" customHeight="1">
      <c r="A283" s="379">
        <f>_xlfn.AGGREGATE(4,7,A$22:A282)+1</f>
        <v>261</v>
      </c>
      <c r="B283" s="363" t="s">
        <v>1922</v>
      </c>
      <c r="C283" s="364" t="s">
        <v>863</v>
      </c>
      <c r="D283" s="434" t="s">
        <v>1821</v>
      </c>
      <c r="E283" s="423" t="s">
        <v>392</v>
      </c>
      <c r="F283" s="373">
        <v>3.66</v>
      </c>
      <c r="G283" s="367"/>
      <c r="H283" s="368">
        <f t="shared" si="52"/>
        <v>3.66</v>
      </c>
      <c r="I283" s="368"/>
      <c r="J283" s="81" t="str">
        <f>VLOOKUP(B283,TH.T5!B283:F612,5,FALSE)</f>
        <v>Giảng viên khoa Xây dựng - Nhiệt lạnh</v>
      </c>
      <c r="K283" s="369">
        <f t="shared" si="53"/>
        <v>3.66</v>
      </c>
      <c r="L283" s="362">
        <f t="shared" si="54"/>
        <v>6588000</v>
      </c>
      <c r="M283" s="366" t="str">
        <f>VLOOKUP(B283,'[24]Gui chi Quynh'!$B$11:$E$400,4,FALSE)</f>
        <v>A3</v>
      </c>
      <c r="N283" s="494">
        <f t="shared" si="56"/>
        <v>7905600</v>
      </c>
      <c r="O283" s="366">
        <v>20</v>
      </c>
      <c r="P283" s="440">
        <f>IFERROR(INDEX('[17]CN BC'!$J$10:$J$276,MATCH(B283,'[17]CN BC'!$H$10:$H$276,0)),"")</f>
        <v>20</v>
      </c>
      <c r="Q283" s="494">
        <f t="shared" si="49"/>
        <v>7905600</v>
      </c>
      <c r="R283" s="460"/>
      <c r="S283" s="362">
        <f t="shared" si="55"/>
        <v>0</v>
      </c>
      <c r="T283" s="370"/>
      <c r="U283" s="362">
        <f t="shared" si="51"/>
        <v>0</v>
      </c>
      <c r="V283" s="362">
        <f t="shared" si="45"/>
        <v>65880</v>
      </c>
      <c r="W283" s="371">
        <f t="shared" si="60"/>
        <v>7905600</v>
      </c>
      <c r="X283" s="977">
        <f t="shared" si="58"/>
        <v>4.3920000000000003</v>
      </c>
      <c r="Y283" s="999">
        <v>1800000</v>
      </c>
      <c r="Z283" s="1000">
        <f t="shared" si="59"/>
        <v>7905600.0000000009</v>
      </c>
      <c r="AA283" s="568">
        <f t="shared" si="57"/>
        <v>261</v>
      </c>
      <c r="AB283" s="493">
        <f>IFERROR(INDEX('[17]CN BC'!$M$10:$M$276,MATCH(B283,'[17]CN BC'!$H$10:$H$276,0)),"")</f>
        <v>0</v>
      </c>
      <c r="AC283" s="141" t="str">
        <f>VLOOKUP(B283,TH.T4!B282:AC612,28,FALSE)</f>
        <v>XD-NL</v>
      </c>
      <c r="AF283" s="487"/>
    </row>
    <row r="284" spans="1:42" s="372" customFormat="1" ht="33" customHeight="1">
      <c r="A284" s="379">
        <f>_xlfn.AGGREGATE(4,7,A$22:A283)+1</f>
        <v>262</v>
      </c>
      <c r="B284" s="363" t="s">
        <v>1923</v>
      </c>
      <c r="C284" s="364" t="s">
        <v>1013</v>
      </c>
      <c r="D284" s="434" t="s">
        <v>1822</v>
      </c>
      <c r="E284" s="428" t="s">
        <v>511</v>
      </c>
      <c r="F284" s="373">
        <v>3.66</v>
      </c>
      <c r="G284" s="367"/>
      <c r="H284" s="445">
        <f t="shared" si="52"/>
        <v>3.66</v>
      </c>
      <c r="I284" s="368"/>
      <c r="J284" s="81" t="str">
        <f>VLOOKUP(B284,TH.T5!B284:F613,5,FALSE)</f>
        <v>Giảng viên khoa Xây dựng - Nhiệt lạnh</v>
      </c>
      <c r="K284" s="369">
        <f t="shared" si="53"/>
        <v>3.66</v>
      </c>
      <c r="L284" s="362">
        <f t="shared" si="54"/>
        <v>6588000</v>
      </c>
      <c r="M284" s="366" t="str">
        <f>VLOOKUP(B284,'[24]Gui chi Quynh'!$B$11:$E$400,4,FALSE)</f>
        <v>A3</v>
      </c>
      <c r="N284" s="494">
        <f t="shared" si="56"/>
        <v>7905600</v>
      </c>
      <c r="O284" s="366">
        <v>20</v>
      </c>
      <c r="P284" s="440">
        <f>IFERROR(INDEX('[17]CN BC'!$J$10:$J$276,MATCH(B284,'[17]CN BC'!$H$10:$H$276,0)),"")</f>
        <v>20</v>
      </c>
      <c r="Q284" s="494">
        <f>IF(P284&gt;=O284,N284,N284/O284*P284)</f>
        <v>7905600</v>
      </c>
      <c r="R284" s="460"/>
      <c r="S284" s="362">
        <f t="shared" si="55"/>
        <v>0</v>
      </c>
      <c r="T284" s="370"/>
      <c r="U284" s="362">
        <f t="shared" si="51"/>
        <v>0</v>
      </c>
      <c r="V284" s="584">
        <f t="shared" si="45"/>
        <v>65880</v>
      </c>
      <c r="W284" s="371">
        <f t="shared" si="60"/>
        <v>7905600</v>
      </c>
      <c r="X284" s="977">
        <f t="shared" si="58"/>
        <v>4.3920000000000003</v>
      </c>
      <c r="Y284" s="999">
        <v>1800000</v>
      </c>
      <c r="Z284" s="1000">
        <f t="shared" si="59"/>
        <v>7905600.0000000009</v>
      </c>
      <c r="AA284" s="568">
        <f t="shared" si="57"/>
        <v>262</v>
      </c>
      <c r="AB284" s="493">
        <f>IFERROR(INDEX('[17]CN BC'!$M$10:$M$276,MATCH(B284,'[17]CN BC'!$H$10:$H$276,0)),"")</f>
        <v>0</v>
      </c>
      <c r="AC284" s="141" t="str">
        <f>VLOOKUP(B284,TH.T4!B283:AC613,28,FALSE)</f>
        <v>XD-NL</v>
      </c>
      <c r="AD284" s="108"/>
      <c r="AE284" s="108"/>
      <c r="AF284" s="487"/>
    </row>
    <row r="285" spans="1:42" s="372" customFormat="1" ht="33" customHeight="1">
      <c r="A285" s="379">
        <f>_xlfn.AGGREGATE(4,7,A$22:A284)+1</f>
        <v>263</v>
      </c>
      <c r="B285" s="363" t="s">
        <v>1552</v>
      </c>
      <c r="C285" s="364" t="s">
        <v>981</v>
      </c>
      <c r="D285" s="434" t="s">
        <v>1823</v>
      </c>
      <c r="E285" s="423" t="s">
        <v>1418</v>
      </c>
      <c r="F285" s="366">
        <v>4.32</v>
      </c>
      <c r="G285" s="367"/>
      <c r="H285" s="368">
        <f t="shared" si="52"/>
        <v>4.32</v>
      </c>
      <c r="I285" s="368"/>
      <c r="J285" s="81" t="str">
        <f>VLOOKUP(B285,TH.T5!B285:F614,5,FALSE)</f>
        <v>Giảng viên khoa Xây dựng - Nhiệt lạnh</v>
      </c>
      <c r="K285" s="369">
        <f t="shared" si="53"/>
        <v>4.32</v>
      </c>
      <c r="L285" s="362">
        <f t="shared" si="54"/>
        <v>7776000.0000000009</v>
      </c>
      <c r="M285" s="366" t="str">
        <f>VLOOKUP(B285,'[24]Gui chi Quynh'!$B$11:$E$400,4,FALSE)</f>
        <v>A3</v>
      </c>
      <c r="N285" s="494">
        <f t="shared" si="56"/>
        <v>9331200</v>
      </c>
      <c r="O285" s="366">
        <v>20</v>
      </c>
      <c r="P285" s="440">
        <f>IFERROR(INDEX('[17]CN BC'!$J$10:$J$276,MATCH(B285,'[17]CN BC'!$H$10:$H$276,0)),"")</f>
        <v>20</v>
      </c>
      <c r="Q285" s="494">
        <f>IF(P285&gt;=O285,N285,N285/O285*P285)</f>
        <v>9331200</v>
      </c>
      <c r="R285" s="460"/>
      <c r="S285" s="362">
        <f t="shared" si="55"/>
        <v>0</v>
      </c>
      <c r="T285" s="370"/>
      <c r="U285" s="362">
        <f t="shared" si="51"/>
        <v>0</v>
      </c>
      <c r="V285" s="584">
        <f t="shared" si="45"/>
        <v>77760</v>
      </c>
      <c r="W285" s="371">
        <f t="shared" si="60"/>
        <v>9331200</v>
      </c>
      <c r="X285" s="977">
        <f t="shared" si="58"/>
        <v>5.1840000000000002</v>
      </c>
      <c r="Y285" s="999">
        <v>1800000</v>
      </c>
      <c r="Z285" s="1000">
        <f t="shared" si="59"/>
        <v>9331200</v>
      </c>
      <c r="AA285" s="568">
        <f t="shared" si="57"/>
        <v>263</v>
      </c>
      <c r="AB285" s="493">
        <f>IFERROR(INDEX('[17]CN BC'!$M$10:$M$276,MATCH(B285,'[17]CN BC'!$H$10:$H$276,0)),"")</f>
        <v>0</v>
      </c>
      <c r="AC285" s="141" t="str">
        <f>VLOOKUP(B285,TH.T4!B284:AC614,28,FALSE)</f>
        <v>XD-NL</v>
      </c>
      <c r="AD285" s="108"/>
      <c r="AE285" s="108"/>
      <c r="AF285" s="487"/>
    </row>
    <row r="286" spans="1:42" s="372" customFormat="1" ht="33" customHeight="1">
      <c r="A286" s="379">
        <f>_xlfn.AGGREGATE(4,7,A$22:A285)+1</f>
        <v>264</v>
      </c>
      <c r="B286" s="363" t="s">
        <v>1940</v>
      </c>
      <c r="C286" s="364"/>
      <c r="D286" s="434" t="s">
        <v>1991</v>
      </c>
      <c r="E286" s="423" t="s">
        <v>1992</v>
      </c>
      <c r="F286" s="373">
        <v>3.33</v>
      </c>
      <c r="G286" s="367"/>
      <c r="H286" s="445">
        <f t="shared" si="52"/>
        <v>3.33</v>
      </c>
      <c r="I286" s="368"/>
      <c r="J286" s="81" t="str">
        <f>VLOOKUP(B286,TH.T5!B286:F615,5,FALSE)</f>
        <v>Giảng viên khoa Xây dựng - Nhiệt lạnh</v>
      </c>
      <c r="K286" s="369">
        <f t="shared" si="53"/>
        <v>3.33</v>
      </c>
      <c r="L286" s="362">
        <f t="shared" si="54"/>
        <v>5994000</v>
      </c>
      <c r="M286" s="366" t="str">
        <f>VLOOKUP(B286,'[24]Gui chi Quynh'!$B$11:$E$400,4,FALSE)</f>
        <v>A3</v>
      </c>
      <c r="N286" s="494">
        <f t="shared" si="56"/>
        <v>7192800</v>
      </c>
      <c r="O286" s="366">
        <v>20</v>
      </c>
      <c r="P286" s="440">
        <f>IFERROR(INDEX('[17]CN BC'!$J$10:$J$276,MATCH(B286,'[17]CN BC'!$H$10:$H$276,0)),"")</f>
        <v>20</v>
      </c>
      <c r="Q286" s="494">
        <f>IF(P286&gt;=O286,N286,N286/O286*P286)</f>
        <v>7192800</v>
      </c>
      <c r="R286" s="460"/>
      <c r="S286" s="362">
        <f t="shared" si="55"/>
        <v>0</v>
      </c>
      <c r="T286" s="370"/>
      <c r="U286" s="362">
        <f>T286*$G$19*1</f>
        <v>0</v>
      </c>
      <c r="V286" s="584">
        <f t="shared" si="45"/>
        <v>59940</v>
      </c>
      <c r="W286" s="371">
        <f t="shared" si="60"/>
        <v>7192800</v>
      </c>
      <c r="X286" s="977">
        <f t="shared" si="58"/>
        <v>3.996</v>
      </c>
      <c r="Y286" s="999">
        <v>1800000</v>
      </c>
      <c r="Z286" s="1000">
        <f t="shared" si="59"/>
        <v>7192800</v>
      </c>
      <c r="AA286" s="568">
        <f t="shared" si="57"/>
        <v>264</v>
      </c>
      <c r="AB286" s="493">
        <f>IFERROR(INDEX('[17]CN BC'!$M$10:$M$276,MATCH(B286,'[17]CN BC'!$H$10:$H$276,0)),"")</f>
        <v>0</v>
      </c>
      <c r="AC286" s="141" t="str">
        <f>VLOOKUP(B286,TH.T4!B285:AC615,28,FALSE)</f>
        <v>XD-NL</v>
      </c>
      <c r="AD286" s="108"/>
      <c r="AE286" s="108"/>
      <c r="AF286" s="155"/>
      <c r="AG286" s="108"/>
      <c r="AH286" s="108"/>
      <c r="AI286" s="108"/>
      <c r="AJ286" s="108"/>
      <c r="AK286" s="108"/>
      <c r="AL286" s="108"/>
    </row>
    <row r="287" spans="1:42" s="108" customFormat="1" ht="33" customHeight="1">
      <c r="A287" s="379">
        <f>_xlfn.AGGREGATE(4,7,A$22:A286)+1</f>
        <v>265</v>
      </c>
      <c r="B287" s="33" t="s">
        <v>1553</v>
      </c>
      <c r="C287" s="403" t="s">
        <v>501</v>
      </c>
      <c r="D287" s="406" t="s">
        <v>1824</v>
      </c>
      <c r="E287" s="436">
        <v>1603205246186</v>
      </c>
      <c r="F287" s="366">
        <v>4.9800000000000004</v>
      </c>
      <c r="G287" s="367"/>
      <c r="H287" s="368">
        <f t="shared" si="52"/>
        <v>4.9800000000000004</v>
      </c>
      <c r="I287" s="368"/>
      <c r="J287" s="81" t="str">
        <f>VLOOKUP(B287,TH.T5!B287:F616,5,FALSE)</f>
        <v>Giảng viên khoa Xây dựng - Nhiệt lạnh</v>
      </c>
      <c r="K287" s="369">
        <f t="shared" si="53"/>
        <v>4.9800000000000004</v>
      </c>
      <c r="L287" s="362">
        <f t="shared" si="54"/>
        <v>8964000</v>
      </c>
      <c r="M287" s="366" t="str">
        <f>VLOOKUP(B287,'[24]Gui chi Quynh'!$B$11:$E$400,4,FALSE)</f>
        <v>A3</v>
      </c>
      <c r="N287" s="494">
        <f t="shared" si="56"/>
        <v>10756800</v>
      </c>
      <c r="O287" s="366">
        <v>20</v>
      </c>
      <c r="P287" s="440">
        <f>IFERROR(INDEX('[17]CN BC'!$J$10:$J$276,MATCH(B287,'[17]CN BC'!$H$10:$H$276,0)),"")</f>
        <v>20</v>
      </c>
      <c r="Q287" s="494">
        <f>IF(P287&gt;=O287,N287,N287/O287*P287)</f>
        <v>10756800</v>
      </c>
      <c r="R287" s="392"/>
      <c r="S287" s="362">
        <f t="shared" si="55"/>
        <v>0</v>
      </c>
      <c r="T287" s="404"/>
      <c r="U287" s="362">
        <f>T287*$G$19*1</f>
        <v>0</v>
      </c>
      <c r="V287" s="584">
        <f t="shared" si="45"/>
        <v>89640</v>
      </c>
      <c r="W287" s="371">
        <f t="shared" si="60"/>
        <v>10756800</v>
      </c>
      <c r="X287" s="977">
        <f t="shared" si="58"/>
        <v>5.976</v>
      </c>
      <c r="Y287" s="999">
        <v>1800000</v>
      </c>
      <c r="Z287" s="1000">
        <f t="shared" si="59"/>
        <v>10756800</v>
      </c>
      <c r="AA287" s="568">
        <f t="shared" si="57"/>
        <v>265</v>
      </c>
      <c r="AB287" s="493">
        <f>IFERROR(INDEX('[17]CN BC'!$M$10:$M$276,MATCH(B287,'[17]CN BC'!$H$10:$H$276,0)),"")</f>
        <v>0</v>
      </c>
      <c r="AC287" s="141" t="str">
        <f>VLOOKUP(B287,TH.T4!B286:AC616,28,FALSE)</f>
        <v>XD-NL</v>
      </c>
      <c r="AF287" s="155"/>
    </row>
    <row r="288" spans="1:42" s="372" customFormat="1" ht="33" customHeight="1">
      <c r="A288" s="379">
        <f>_xlfn.AGGREGATE(4,7,A$22:A287)+1</f>
        <v>266</v>
      </c>
      <c r="B288" s="363" t="s">
        <v>1560</v>
      </c>
      <c r="C288" s="364"/>
      <c r="D288" s="483" t="s">
        <v>1825</v>
      </c>
      <c r="E288" s="484">
        <v>1603215002692</v>
      </c>
      <c r="F288" s="373">
        <v>3.33</v>
      </c>
      <c r="G288" s="367"/>
      <c r="H288" s="445">
        <f t="shared" si="52"/>
        <v>3.33</v>
      </c>
      <c r="I288" s="368">
        <v>0.35</v>
      </c>
      <c r="J288" s="81" t="str">
        <f>VLOOKUP(B288,TH.T5!B288:F617,5,FALSE)</f>
        <v>Phó Trưởng khoa Xây dựng - Nhiệt lạnh</v>
      </c>
      <c r="K288" s="369">
        <f t="shared" si="53"/>
        <v>3.68</v>
      </c>
      <c r="L288" s="362">
        <f t="shared" si="54"/>
        <v>6624000</v>
      </c>
      <c r="M288" s="366" t="str">
        <f>VLOOKUP(B288,'[24]Gui chi Quynh'!$B$11:$E$400,4,FALSE)</f>
        <v>A2</v>
      </c>
      <c r="N288" s="494">
        <f t="shared" si="56"/>
        <v>9273600</v>
      </c>
      <c r="O288" s="366">
        <v>20</v>
      </c>
      <c r="P288" s="440">
        <f>IFERROR(INDEX('[17]CN BC'!$J$10:$J$276,MATCH(B288,'[17]CN BC'!$H$10:$H$276,0)),"")</f>
        <v>20</v>
      </c>
      <c r="Q288" s="494">
        <f>IF(P288&gt;=O288,N288,N288/O288*P288)</f>
        <v>9273600</v>
      </c>
      <c r="R288" s="392"/>
      <c r="S288" s="362">
        <f t="shared" si="55"/>
        <v>0</v>
      </c>
      <c r="T288" s="385"/>
      <c r="U288" s="362">
        <f>T288*$G$19*1</f>
        <v>0</v>
      </c>
      <c r="V288" s="584">
        <f t="shared" ref="V288" si="61">IF(OR(M288="A DN",M288="KXL", M288=""),"0",ROUND(K288*0.01*$G$19+R288*1%*$G$19+T288*1%*$G$19,))</f>
        <v>66240</v>
      </c>
      <c r="W288" s="371">
        <f t="shared" si="60"/>
        <v>9273600</v>
      </c>
      <c r="X288" s="977">
        <f t="shared" si="58"/>
        <v>5.1520000000000001</v>
      </c>
      <c r="Y288" s="999">
        <v>1800000</v>
      </c>
      <c r="Z288" s="1000">
        <f t="shared" si="59"/>
        <v>9273600</v>
      </c>
      <c r="AA288" s="568">
        <f t="shared" si="57"/>
        <v>266</v>
      </c>
      <c r="AB288" s="493">
        <f>IFERROR(INDEX('[17]CN BC'!$M$10:$M$276,MATCH(B288,'[17]CN BC'!$H$10:$H$276,0)),"")</f>
        <v>0</v>
      </c>
      <c r="AC288" s="141" t="str">
        <f>VLOOKUP(B288,TH.T4!B287:AC617,28,FALSE)</f>
        <v>XD-NL</v>
      </c>
      <c r="AD288" s="108"/>
      <c r="AE288" s="108"/>
      <c r="AF288" s="155"/>
      <c r="AG288" s="108"/>
      <c r="AH288" s="108"/>
      <c r="AI288" s="108"/>
      <c r="AJ288" s="108"/>
      <c r="AK288" s="108"/>
      <c r="AL288" s="108"/>
      <c r="AM288" s="108"/>
      <c r="AN288" s="108"/>
      <c r="AO288" s="108"/>
      <c r="AP288" s="108"/>
    </row>
    <row r="289" spans="1:52" s="372" customFormat="1" ht="30.75" customHeight="1">
      <c r="A289" s="379">
        <f>_xlfn.AGGREGATE(4,7,A$22:A288)+1</f>
        <v>267</v>
      </c>
      <c r="B289" s="444" t="s">
        <v>2029</v>
      </c>
      <c r="C289" s="419" t="s">
        <v>1106</v>
      </c>
      <c r="D289" s="418" t="s">
        <v>2030</v>
      </c>
      <c r="E289" s="604">
        <v>1603205359393</v>
      </c>
      <c r="F289" s="604"/>
      <c r="G289" s="604"/>
      <c r="H289" s="368" t="s">
        <v>2031</v>
      </c>
      <c r="I289" s="605">
        <v>6914491</v>
      </c>
      <c r="J289" s="81" t="str">
        <f>VLOOKUP(B289,TH.T5!B289:F618,5,FALSE)</f>
        <v xml:space="preserve">NV Bảo vệ </v>
      </c>
      <c r="K289" s="466">
        <f t="shared" ref="K289:K353" si="62">IF(H289="D.03",I289*30%,I289*70%)</f>
        <v>2074347.2999999998</v>
      </c>
      <c r="L289" s="606" t="str">
        <f>VLOOKUP(B289,'[24]Gui chi Quynh'!$B$11:$E$400,4,FALSE)</f>
        <v>A4</v>
      </c>
      <c r="M289" s="466">
        <f>ROUND(IF(AND(L289="A1",K289*1.6),K289*1.6,IF(AND(L289="A2",K289*1.4),K289*1.4,IF(AND(L289="A3",K289*1.2),K289*1.2,IF(AND(L289="A4",K289*1),K289*1,IF(AND(L289="B1",K289*0.7),K289*0.7,IF(AND(L289="B2",K289*0.5),K289*0.5,IF(AND(L289="C1",K289*0.3),K289*0.3,0))))))),)</f>
        <v>2074347</v>
      </c>
      <c r="N289" s="606">
        <v>25</v>
      </c>
      <c r="O289" s="607">
        <f>IFERROR(INDEX('[17]CN HĐ'!$J$10:$J$76,MATCH(B289,'[17]CN HĐ'!$H$10:$H$76,0)),"")</f>
        <v>25</v>
      </c>
      <c r="P289" s="608" t="e">
        <f>IF(M289&gt;#REF!,M289,#REF!)</f>
        <v>#REF!</v>
      </c>
      <c r="Q289" s="466">
        <f t="shared" ref="Q289:Q353" si="63">ROUND(IF(O289&gt;=N289,M289,M289/N289*O289),)</f>
        <v>2074347</v>
      </c>
      <c r="R289" s="609"/>
      <c r="S289" s="466">
        <v>0</v>
      </c>
      <c r="T289" s="610"/>
      <c r="U289" s="466">
        <v>0</v>
      </c>
      <c r="V289" s="647">
        <f t="shared" ref="V289:V353" si="64">I289*1%</f>
        <v>69144.91</v>
      </c>
      <c r="W289" s="611">
        <f>(Q289+S289+U289)</f>
        <v>2074347</v>
      </c>
      <c r="X289" s="977">
        <f t="shared" si="58"/>
        <v>1.152415</v>
      </c>
      <c r="Y289" s="999">
        <v>1800000</v>
      </c>
      <c r="Z289" s="1000">
        <f t="shared" si="59"/>
        <v>2074347</v>
      </c>
      <c r="AA289" s="568">
        <f t="shared" si="57"/>
        <v>267</v>
      </c>
      <c r="AB289" s="613">
        <f>IFERROR(INDEX('[17]CN HĐ'!$M$10:$M$76,MATCH(B289,'[17]CN HĐ'!$H$10:$H$76,0)),"")</f>
        <v>0</v>
      </c>
      <c r="AC289" s="108" t="str">
        <f>VLOOKUP(B289,TH.T4!B287:AC617,28,FALSE)</f>
        <v>TCHC</v>
      </c>
      <c r="AD289" s="155"/>
      <c r="AE289" s="155"/>
      <c r="AF289" s="155"/>
      <c r="AG289" s="108"/>
      <c r="AH289" s="108"/>
      <c r="AI289" s="108"/>
      <c r="AJ289" s="108"/>
      <c r="AK289" s="108"/>
      <c r="AL289" s="108"/>
      <c r="AM289" s="108"/>
      <c r="AN289" s="108"/>
      <c r="AO289" s="108"/>
      <c r="AP289" s="108"/>
      <c r="AQ289" s="108"/>
      <c r="AR289" s="108"/>
      <c r="AS289" s="108"/>
      <c r="AT289" s="108"/>
      <c r="AU289" s="108"/>
      <c r="AV289" s="108"/>
      <c r="AW289" s="108"/>
      <c r="AX289" s="108"/>
      <c r="AY289" s="108"/>
      <c r="AZ289" s="108"/>
    </row>
    <row r="290" spans="1:52" s="372" customFormat="1" ht="30" customHeight="1">
      <c r="A290" s="379">
        <f>_xlfn.AGGREGATE(4,7,A$22:A289)+1</f>
        <v>268</v>
      </c>
      <c r="B290" s="444" t="s">
        <v>2032</v>
      </c>
      <c r="C290" s="419" t="s">
        <v>868</v>
      </c>
      <c r="D290" s="418" t="s">
        <v>2033</v>
      </c>
      <c r="E290" s="604" t="s">
        <v>2034</v>
      </c>
      <c r="F290" s="604"/>
      <c r="G290" s="604"/>
      <c r="H290" s="368" t="s">
        <v>2031</v>
      </c>
      <c r="I290" s="605">
        <v>5417685</v>
      </c>
      <c r="J290" s="81" t="str">
        <f>VLOOKUP(B290,TH.T5!B290:F619,5,FALSE)</f>
        <v>NV Bảo vệ</v>
      </c>
      <c r="K290" s="466">
        <f t="shared" si="62"/>
        <v>1625305.5</v>
      </c>
      <c r="L290" s="606" t="str">
        <f>VLOOKUP(B290,'[24]Gui chi Quynh'!$B$11:$E$400,4,FALSE)</f>
        <v>A4</v>
      </c>
      <c r="M290" s="466">
        <f>ROUND(IF(AND(L290="A1",K290*1.6),K290*1.6,IF(AND(L290="A2",K290*1.4),K290*1.4,IF(AND(L290="A3",K290*1.2),K290*1.2,IF(AND(L290="A4",K290*1),K290*1,IF(AND(L290="B1",K290*0.7),K290*0.7,IF(AND(L290="B2",K290*0.5),K290*0.5,IF(AND(L290="C1",K290*0.3),K290*0.3,0))))))),)</f>
        <v>1625306</v>
      </c>
      <c r="N290" s="606">
        <v>25</v>
      </c>
      <c r="O290" s="607">
        <f>IFERROR(INDEX('[17]CN HĐ'!$J$10:$J$76,MATCH(B290,'[17]CN HĐ'!$H$10:$H$76,0)),"")</f>
        <v>25</v>
      </c>
      <c r="P290" s="608" t="e">
        <f>IF(M290&gt;#REF!,M290,#REF!)</f>
        <v>#REF!</v>
      </c>
      <c r="Q290" s="466">
        <f t="shared" si="63"/>
        <v>1625306</v>
      </c>
      <c r="R290" s="609"/>
      <c r="S290" s="466">
        <v>0</v>
      </c>
      <c r="T290" s="610"/>
      <c r="U290" s="466">
        <v>0</v>
      </c>
      <c r="V290" s="647">
        <f t="shared" si="64"/>
        <v>54176.85</v>
      </c>
      <c r="W290" s="611">
        <f t="shared" ref="W290:W353" si="65">(Q290+S290+U290)</f>
        <v>1625306</v>
      </c>
      <c r="X290" s="977">
        <f t="shared" si="58"/>
        <v>0.90294777777777779</v>
      </c>
      <c r="Y290" s="999">
        <v>1800000</v>
      </c>
      <c r="Z290" s="1000">
        <f t="shared" si="59"/>
        <v>1625306</v>
      </c>
      <c r="AA290" s="568">
        <f t="shared" si="57"/>
        <v>268</v>
      </c>
      <c r="AB290" s="613">
        <f>IFERROR(INDEX('[17]CN HĐ'!$M$10:$M$76,MATCH(B290,'[17]CN HĐ'!$H$10:$H$76,0)),"")</f>
        <v>0</v>
      </c>
      <c r="AC290" s="108" t="str">
        <f>VLOOKUP(B290,TH.T4!B288:AC618,28,FALSE)</f>
        <v>TCHC</v>
      </c>
      <c r="AD290" s="155"/>
      <c r="AE290" s="155"/>
      <c r="AF290" s="155"/>
      <c r="AG290" s="108"/>
      <c r="AH290" s="108"/>
      <c r="AI290" s="108"/>
      <c r="AJ290" s="108"/>
      <c r="AK290" s="108"/>
      <c r="AL290" s="108"/>
      <c r="AM290" s="108"/>
      <c r="AN290" s="108"/>
      <c r="AO290" s="108"/>
      <c r="AP290" s="108"/>
      <c r="AQ290" s="108"/>
      <c r="AR290" s="108"/>
      <c r="AS290" s="108"/>
      <c r="AT290" s="108"/>
      <c r="AU290" s="108"/>
      <c r="AV290" s="108"/>
      <c r="AW290" s="108"/>
      <c r="AX290" s="108"/>
      <c r="AY290" s="108"/>
      <c r="AZ290" s="108"/>
    </row>
    <row r="291" spans="1:52" s="372" customFormat="1" ht="27" customHeight="1">
      <c r="A291" s="379">
        <f>_xlfn.AGGREGATE(4,7,A$22:A290)+1</f>
        <v>269</v>
      </c>
      <c r="B291" s="444" t="s">
        <v>2035</v>
      </c>
      <c r="C291" s="419"/>
      <c r="D291" s="418"/>
      <c r="E291" s="604" t="s">
        <v>2036</v>
      </c>
      <c r="F291" s="604"/>
      <c r="G291" s="604"/>
      <c r="H291" s="368" t="s">
        <v>2031</v>
      </c>
      <c r="I291" s="605">
        <v>5159700</v>
      </c>
      <c r="J291" s="81" t="str">
        <f>VLOOKUP(B291,TH.T5!B291:F620,5,FALSE)</f>
        <v>NV Bảo vệ</v>
      </c>
      <c r="K291" s="466">
        <f t="shared" si="62"/>
        <v>1547910</v>
      </c>
      <c r="L291" s="606" t="str">
        <f>VLOOKUP(B291,'[24]Gui chi Quynh'!$B$11:$E$400,4,FALSE)</f>
        <v>A3</v>
      </c>
      <c r="M291" s="466">
        <f>ROUND(IF(AND(L291="A1",K291*1.6),K291*1.6,IF(AND(L291="A2",K291*1.4),K291*1.4,IF(AND(L291="A3",K291*1.2),K291*1.2,IF(AND(L291="A4",K291*1),K291*1,IF(AND(L291="B1",K291*0.7),K291*0.7,IF(AND(L291="B2",K291*0.5),K291*0.5,IF(AND(L291="C1",K291*0.3),K291*0.3,0))))))),)</f>
        <v>1857492</v>
      </c>
      <c r="N291" s="606">
        <v>25</v>
      </c>
      <c r="O291" s="607">
        <f>IFERROR(INDEX('[17]CN HĐ'!$J$10:$J$76,MATCH(B291,'[17]CN HĐ'!$H$10:$H$76,0)),"")</f>
        <v>25</v>
      </c>
      <c r="P291" s="608" t="e">
        <f>IF(M291&gt;#REF!,M291,#REF!)</f>
        <v>#REF!</v>
      </c>
      <c r="Q291" s="466">
        <f t="shared" si="63"/>
        <v>1857492</v>
      </c>
      <c r="R291" s="609"/>
      <c r="S291" s="466">
        <v>0</v>
      </c>
      <c r="T291" s="610"/>
      <c r="U291" s="466">
        <v>0</v>
      </c>
      <c r="V291" s="647">
        <f t="shared" si="64"/>
        <v>51597</v>
      </c>
      <c r="W291" s="611">
        <f t="shared" si="65"/>
        <v>1857492</v>
      </c>
      <c r="X291" s="977">
        <f t="shared" si="58"/>
        <v>1.0319400000000001</v>
      </c>
      <c r="Y291" s="999">
        <v>1800000</v>
      </c>
      <c r="Z291" s="1000">
        <f t="shared" si="59"/>
        <v>1857492.0000000002</v>
      </c>
      <c r="AA291" s="568">
        <f t="shared" si="57"/>
        <v>269</v>
      </c>
      <c r="AB291" s="613">
        <f>IFERROR(INDEX('[17]CN HĐ'!$M$10:$M$76,MATCH(B291,'[17]CN HĐ'!$H$10:$H$76,0)),"")</f>
        <v>0</v>
      </c>
      <c r="AC291" s="108" t="str">
        <f>VLOOKUP(B291,TH.T4!B289:AC619,28,FALSE)</f>
        <v>TCHC</v>
      </c>
      <c r="AD291" s="487"/>
      <c r="AE291" s="487"/>
      <c r="AF291" s="487"/>
    </row>
    <row r="292" spans="1:52" s="372" customFormat="1" ht="27" customHeight="1">
      <c r="A292" s="379">
        <f>_xlfn.AGGREGATE(4,7,A$22:A291)+1</f>
        <v>270</v>
      </c>
      <c r="B292" s="444" t="s">
        <v>2037</v>
      </c>
      <c r="C292" s="419"/>
      <c r="D292" s="418"/>
      <c r="E292" s="614">
        <v>1603215005626</v>
      </c>
      <c r="F292" s="614"/>
      <c r="G292" s="614"/>
      <c r="H292" s="368" t="s">
        <v>2038</v>
      </c>
      <c r="I292" s="605">
        <v>5007600</v>
      </c>
      <c r="J292" s="81" t="str">
        <f>VLOOKUP(B292,TH.T5!B292:F621,5,FALSE)</f>
        <v>NV Bảo vệ</v>
      </c>
      <c r="K292" s="466">
        <f t="shared" si="62"/>
        <v>3505320</v>
      </c>
      <c r="L292" s="606" t="str">
        <f>VLOOKUP(B292,'[24]Gui chi Quynh'!$B$11:$E$400,4,FALSE)</f>
        <v>A4</v>
      </c>
      <c r="M292" s="466">
        <f t="shared" ref="M292:M353" si="66">ROUND(IF(AND(L292="A1",K292*1.6),K292*1.6,IF(AND(L292="A2",K292*1.4),K292*1.4,IF(AND(L292="A3",K292*1.2),K292*1.2,IF(AND(L292="A4",K292*1),K292*1,IF(AND(L292="B1",K292*0.7),K292*0.7,IF(AND(L292="B2",K292*0.5),K292*0.5,IF(AND(L292="C1",K292*0.3),K292*0.3,0))))))),)</f>
        <v>3505320</v>
      </c>
      <c r="N292" s="606">
        <v>25</v>
      </c>
      <c r="O292" s="607">
        <f>IFERROR(INDEX('[17]CN HĐ'!$J$10:$J$76,MATCH(B292,'[17]CN HĐ'!$H$10:$H$76,0)),"")</f>
        <v>25</v>
      </c>
      <c r="P292" s="608" t="e">
        <f>IF(M292&gt;#REF!,M292,#REF!)</f>
        <v>#REF!</v>
      </c>
      <c r="Q292" s="466">
        <f t="shared" si="63"/>
        <v>3505320</v>
      </c>
      <c r="R292" s="609"/>
      <c r="S292" s="466">
        <v>0</v>
      </c>
      <c r="T292" s="610"/>
      <c r="U292" s="466">
        <v>0</v>
      </c>
      <c r="V292" s="647">
        <f t="shared" si="64"/>
        <v>50076</v>
      </c>
      <c r="W292" s="611">
        <f t="shared" si="65"/>
        <v>3505320</v>
      </c>
      <c r="X292" s="977">
        <f t="shared" si="58"/>
        <v>1.9474</v>
      </c>
      <c r="Y292" s="999">
        <v>1800000</v>
      </c>
      <c r="Z292" s="1000">
        <f t="shared" si="59"/>
        <v>3505320</v>
      </c>
      <c r="AA292" s="568">
        <f t="shared" si="57"/>
        <v>270</v>
      </c>
      <c r="AB292" s="613">
        <f>IFERROR(INDEX('[17]CN HĐ'!$M$10:$M$76,MATCH(B292,'[17]CN HĐ'!$H$10:$H$76,0)),"")</f>
        <v>0</v>
      </c>
      <c r="AC292" s="108" t="s">
        <v>2219</v>
      </c>
      <c r="AD292" s="155"/>
      <c r="AE292" s="155"/>
      <c r="AF292" s="155"/>
      <c r="AG292" s="108"/>
      <c r="AH292" s="108"/>
      <c r="AI292" s="108"/>
      <c r="AJ292" s="108"/>
      <c r="AK292" s="108"/>
      <c r="AL292" s="108"/>
      <c r="AM292" s="108"/>
      <c r="AN292" s="108"/>
      <c r="AO292" s="108"/>
      <c r="AP292" s="108"/>
      <c r="AQ292" s="108"/>
      <c r="AR292" s="108"/>
      <c r="AS292" s="108"/>
      <c r="AT292" s="108"/>
      <c r="AU292" s="108"/>
      <c r="AV292" s="108"/>
      <c r="AW292" s="108"/>
      <c r="AX292" s="108"/>
      <c r="AY292" s="108"/>
      <c r="AZ292" s="108"/>
    </row>
    <row r="293" spans="1:52" s="372" customFormat="1" ht="27" customHeight="1">
      <c r="A293" s="379">
        <f>_xlfn.AGGREGATE(4,7,A$22:A292)+1</f>
        <v>271</v>
      </c>
      <c r="B293" s="363" t="s">
        <v>2039</v>
      </c>
      <c r="C293" s="375"/>
      <c r="D293" s="434" t="s">
        <v>2040</v>
      </c>
      <c r="E293" s="604">
        <v>1603205287913</v>
      </c>
      <c r="F293" s="604"/>
      <c r="G293" s="604"/>
      <c r="H293" s="368" t="s">
        <v>2031</v>
      </c>
      <c r="I293" s="605">
        <v>7206216</v>
      </c>
      <c r="J293" s="81" t="str">
        <f>VLOOKUP(B293,TH.T5!B293:F622,5,FALSE)</f>
        <v xml:space="preserve">NV Bảo vệ </v>
      </c>
      <c r="K293" s="466">
        <f t="shared" si="62"/>
        <v>2161864.7999999998</v>
      </c>
      <c r="L293" s="606" t="str">
        <f>VLOOKUP(B293,'[24]Gui chi Quynh'!$B$11:$E$400,4,FALSE)</f>
        <v>A4</v>
      </c>
      <c r="M293" s="466">
        <f t="shared" si="66"/>
        <v>2161865</v>
      </c>
      <c r="N293" s="606">
        <v>25</v>
      </c>
      <c r="O293" s="607">
        <f>IFERROR(INDEX('[17]CN HĐ'!$J$10:$J$76,MATCH(B293,'[17]CN HĐ'!$H$10:$H$76,0)),"")</f>
        <v>25</v>
      </c>
      <c r="P293" s="608" t="e">
        <f>IF(M293&gt;#REF!,M293,#REF!)</f>
        <v>#REF!</v>
      </c>
      <c r="Q293" s="466">
        <f t="shared" si="63"/>
        <v>2161865</v>
      </c>
      <c r="R293" s="609"/>
      <c r="S293" s="466">
        <v>0</v>
      </c>
      <c r="T293" s="610"/>
      <c r="U293" s="466">
        <v>0</v>
      </c>
      <c r="V293" s="647">
        <f t="shared" si="64"/>
        <v>72062.16</v>
      </c>
      <c r="W293" s="611">
        <f t="shared" si="65"/>
        <v>2161865</v>
      </c>
      <c r="X293" s="977">
        <f t="shared" si="58"/>
        <v>1.2010361111111112</v>
      </c>
      <c r="Y293" s="999">
        <v>1800000</v>
      </c>
      <c r="Z293" s="1000">
        <f t="shared" si="59"/>
        <v>2161865</v>
      </c>
      <c r="AA293" s="568">
        <f t="shared" si="57"/>
        <v>271</v>
      </c>
      <c r="AB293" s="613">
        <f>IFERROR(INDEX('[17]CN HĐ'!$M$10:$M$76,MATCH(B293,'[17]CN HĐ'!$H$10:$H$76,0)),"")</f>
        <v>0</v>
      </c>
      <c r="AC293" s="108" t="str">
        <f>VLOOKUP(B293,TH.T4!B291:AC621,28,FALSE)</f>
        <v>TCHC</v>
      </c>
      <c r="AD293" s="465"/>
      <c r="AE293" s="108"/>
      <c r="AF293" s="108"/>
      <c r="AG293" s="108"/>
      <c r="AH293" s="108"/>
      <c r="AI293" s="108"/>
      <c r="AJ293" s="108"/>
      <c r="AK293" s="108"/>
      <c r="AL293" s="108"/>
      <c r="AM293" s="108"/>
      <c r="AN293" s="108"/>
      <c r="AO293" s="108"/>
      <c r="AP293" s="108"/>
      <c r="AQ293" s="108"/>
      <c r="AR293" s="108"/>
      <c r="AS293" s="108"/>
      <c r="AT293" s="108"/>
      <c r="AU293" s="108"/>
      <c r="AV293" s="108"/>
      <c r="AW293" s="108"/>
      <c r="AX293" s="108"/>
      <c r="AY293" s="108"/>
      <c r="AZ293" s="108"/>
    </row>
    <row r="294" spans="1:52" s="372" customFormat="1" ht="27" customHeight="1">
      <c r="A294" s="379">
        <f>_xlfn.AGGREGATE(4,7,A$22:A293)+1</f>
        <v>272</v>
      </c>
      <c r="B294" s="363" t="s">
        <v>2041</v>
      </c>
      <c r="C294" s="375"/>
      <c r="D294" s="434"/>
      <c r="E294" s="614">
        <v>1603205447217</v>
      </c>
      <c r="F294" s="614"/>
      <c r="G294" s="614"/>
      <c r="H294" s="81" t="s">
        <v>2042</v>
      </c>
      <c r="I294" s="605">
        <v>6134525</v>
      </c>
      <c r="J294" s="81" t="str">
        <f>VLOOKUP(B294,TH.T5!B294:F623,5,FALSE)</f>
        <v>Nhân viên bảo vệ</v>
      </c>
      <c r="K294" s="466">
        <f t="shared" si="62"/>
        <v>4294167.5</v>
      </c>
      <c r="L294" s="606" t="str">
        <f>VLOOKUP(B294,'[24]Gui chi Quynh'!$B$11:$E$400,4,FALSE)</f>
        <v>A3</v>
      </c>
      <c r="M294" s="466">
        <f t="shared" si="66"/>
        <v>5153001</v>
      </c>
      <c r="N294" s="606">
        <v>25</v>
      </c>
      <c r="O294" s="607">
        <f>IFERROR(INDEX('[17]CN HĐ'!$J$10:$J$76,MATCH(B294,'[17]CN HĐ'!$H$10:$H$76,0)),"")</f>
        <v>25</v>
      </c>
      <c r="P294" s="608" t="e">
        <f>IF(M294&gt;#REF!,M294,#REF!)</f>
        <v>#REF!</v>
      </c>
      <c r="Q294" s="466">
        <f t="shared" si="63"/>
        <v>5153001</v>
      </c>
      <c r="R294" s="609"/>
      <c r="S294" s="466">
        <v>0</v>
      </c>
      <c r="T294" s="610"/>
      <c r="U294" s="466">
        <v>0</v>
      </c>
      <c r="V294" s="647">
        <f t="shared" si="64"/>
        <v>61345.25</v>
      </c>
      <c r="W294" s="611">
        <f t="shared" si="65"/>
        <v>5153001</v>
      </c>
      <c r="X294" s="977">
        <f t="shared" si="58"/>
        <v>2.8627783333333334</v>
      </c>
      <c r="Y294" s="999">
        <v>1800000</v>
      </c>
      <c r="Z294" s="1000">
        <f t="shared" si="59"/>
        <v>5153001</v>
      </c>
      <c r="AA294" s="568">
        <f t="shared" si="57"/>
        <v>272</v>
      </c>
      <c r="AB294" s="613">
        <f>IFERROR(INDEX('[17]CN HĐ'!$M$10:$M$76,MATCH(B294,'[17]CN HĐ'!$H$10:$H$76,0)),"")</f>
        <v>0</v>
      </c>
      <c r="AC294" s="108" t="str">
        <f>VLOOKUP(B294,TH.T4!B292:AC622,28,FALSE)</f>
        <v>TCHC</v>
      </c>
      <c r="AD294" s="155"/>
      <c r="AE294" s="108"/>
      <c r="AF294" s="108"/>
      <c r="AG294" s="108"/>
      <c r="AH294" s="108"/>
      <c r="AI294" s="108"/>
      <c r="AJ294" s="108"/>
      <c r="AK294" s="108"/>
      <c r="AL294" s="108"/>
      <c r="AM294" s="108"/>
      <c r="AN294" s="108"/>
      <c r="AO294" s="108"/>
      <c r="AP294" s="108"/>
      <c r="AQ294" s="108"/>
      <c r="AR294" s="108"/>
      <c r="AS294" s="108"/>
      <c r="AT294" s="108"/>
      <c r="AU294" s="108"/>
      <c r="AV294" s="108"/>
      <c r="AW294" s="108"/>
      <c r="AX294" s="108"/>
      <c r="AY294" s="108"/>
      <c r="AZ294" s="108"/>
    </row>
    <row r="295" spans="1:52" s="372" customFormat="1" ht="32.25" customHeight="1">
      <c r="A295" s="379">
        <f>_xlfn.AGGREGATE(4,7,A$22:A294)+1</f>
        <v>273</v>
      </c>
      <c r="B295" s="363" t="s">
        <v>2043</v>
      </c>
      <c r="C295" s="375"/>
      <c r="D295" s="434" t="s">
        <v>2044</v>
      </c>
      <c r="E295" s="615" t="s">
        <v>2045</v>
      </c>
      <c r="F295" s="615"/>
      <c r="G295" s="615"/>
      <c r="H295" s="81" t="s">
        <v>2031</v>
      </c>
      <c r="I295" s="605">
        <v>7623227</v>
      </c>
      <c r="J295" s="81" t="str">
        <f>VLOOKUP(B295,TH.T5!B295:F624,5,FALSE)</f>
        <v xml:space="preserve">NV Bảo vệ </v>
      </c>
      <c r="K295" s="466">
        <f t="shared" si="62"/>
        <v>2286968.1</v>
      </c>
      <c r="L295" s="606" t="str">
        <f>VLOOKUP(B295,'[24]Gui chi Quynh'!$B$11:$E$400,4,FALSE)</f>
        <v>A4</v>
      </c>
      <c r="M295" s="466">
        <f t="shared" si="66"/>
        <v>2286968</v>
      </c>
      <c r="N295" s="606">
        <v>25</v>
      </c>
      <c r="O295" s="607">
        <f>IFERROR(INDEX('[17]CN HĐ'!$J$10:$J$76,MATCH(B295,'[17]CN HĐ'!$H$10:$H$76,0)),"")</f>
        <v>21</v>
      </c>
      <c r="P295" s="608" t="e">
        <f>IF(M295&gt;#REF!,M295,#REF!)</f>
        <v>#REF!</v>
      </c>
      <c r="Q295" s="466">
        <f t="shared" si="63"/>
        <v>1921053</v>
      </c>
      <c r="R295" s="609"/>
      <c r="S295" s="466">
        <v>0</v>
      </c>
      <c r="T295" s="610"/>
      <c r="U295" s="466">
        <v>0</v>
      </c>
      <c r="V295" s="647">
        <f t="shared" si="64"/>
        <v>76232.27</v>
      </c>
      <c r="W295" s="611">
        <f t="shared" si="65"/>
        <v>1921053</v>
      </c>
      <c r="X295" s="977">
        <f t="shared" si="58"/>
        <v>1.0672516666666667</v>
      </c>
      <c r="Y295" s="999">
        <v>1800000</v>
      </c>
      <c r="Z295" s="1000">
        <f t="shared" si="59"/>
        <v>1921053</v>
      </c>
      <c r="AA295" s="568">
        <f t="shared" si="57"/>
        <v>273</v>
      </c>
      <c r="AB295" s="613" t="str">
        <f>IFERROR(INDEX('[17]CN HĐ'!$M$10:$M$76,MATCH(B295,'[17]CN HĐ'!$H$10:$H$76,0)),"")</f>
        <v>Trừ 4 ngày nghỉ phép NH 1 - 4/6</v>
      </c>
      <c r="AC295" s="108" t="str">
        <f>VLOOKUP(B295,TH.T4!B293:AC623,28,FALSE)</f>
        <v>TCHC</v>
      </c>
      <c r="AD295" s="155"/>
      <c r="AE295" s="108"/>
      <c r="AF295" s="108"/>
      <c r="AG295" s="108"/>
      <c r="AH295" s="108"/>
      <c r="AI295" s="108"/>
      <c r="AJ295" s="108"/>
      <c r="AK295" s="108"/>
      <c r="AL295" s="108"/>
      <c r="AM295" s="108"/>
      <c r="AN295" s="108"/>
      <c r="AO295" s="108"/>
      <c r="AP295" s="108"/>
      <c r="AQ295" s="108"/>
      <c r="AR295" s="108"/>
      <c r="AS295" s="108"/>
      <c r="AT295" s="108"/>
      <c r="AU295" s="108"/>
      <c r="AV295" s="108"/>
      <c r="AW295" s="108"/>
      <c r="AX295" s="108"/>
      <c r="AY295" s="108"/>
      <c r="AZ295" s="108"/>
    </row>
    <row r="296" spans="1:52" s="372" customFormat="1" ht="27" customHeight="1">
      <c r="A296" s="379">
        <f>_xlfn.AGGREGATE(4,7,A$22:A295)+1</f>
        <v>274</v>
      </c>
      <c r="B296" s="363" t="s">
        <v>2046</v>
      </c>
      <c r="C296" s="375"/>
      <c r="D296" s="406" t="s">
        <v>2047</v>
      </c>
      <c r="E296" s="604" t="s">
        <v>2048</v>
      </c>
      <c r="F296" s="604"/>
      <c r="G296" s="604"/>
      <c r="H296" s="81" t="s">
        <v>2031</v>
      </c>
      <c r="I296" s="605">
        <v>5972998</v>
      </c>
      <c r="J296" s="81" t="str">
        <f>VLOOKUP(B296,TH.T5!B296:F625,5,FALSE)</f>
        <v>NV Bảo vệ</v>
      </c>
      <c r="K296" s="466">
        <f t="shared" si="62"/>
        <v>1791899.4</v>
      </c>
      <c r="L296" s="606" t="str">
        <f>VLOOKUP(B296,'[24]Gui chi Quynh'!$B$11:$E$400,4,FALSE)</f>
        <v>A4</v>
      </c>
      <c r="M296" s="466">
        <f t="shared" si="66"/>
        <v>1791899</v>
      </c>
      <c r="N296" s="606">
        <v>25</v>
      </c>
      <c r="O296" s="607">
        <f>IFERROR(INDEX('[17]CN HĐ'!$J$10:$J$76,MATCH(B296,'[17]CN HĐ'!$H$10:$H$76,0)),"")</f>
        <v>25</v>
      </c>
      <c r="P296" s="608" t="e">
        <f>IF(M296&gt;#REF!,M296,#REF!)</f>
        <v>#REF!</v>
      </c>
      <c r="Q296" s="466">
        <f t="shared" si="63"/>
        <v>1791899</v>
      </c>
      <c r="R296" s="609"/>
      <c r="S296" s="466">
        <v>0</v>
      </c>
      <c r="T296" s="610"/>
      <c r="U296" s="466">
        <v>0</v>
      </c>
      <c r="V296" s="647">
        <f t="shared" si="64"/>
        <v>59729.98</v>
      </c>
      <c r="W296" s="611">
        <f t="shared" si="65"/>
        <v>1791899</v>
      </c>
      <c r="X296" s="977">
        <f t="shared" si="58"/>
        <v>0.99549944444444449</v>
      </c>
      <c r="Y296" s="999">
        <v>1800000</v>
      </c>
      <c r="Z296" s="1000">
        <f t="shared" si="59"/>
        <v>1791899</v>
      </c>
      <c r="AA296" s="568">
        <f t="shared" si="57"/>
        <v>274</v>
      </c>
      <c r="AB296" s="613">
        <f>IFERROR(INDEX('[17]CN HĐ'!$M$10:$M$76,MATCH(B296,'[17]CN HĐ'!$H$10:$H$76,0)),"")</f>
        <v>0</v>
      </c>
      <c r="AC296" s="108" t="str">
        <f>VLOOKUP(B296,TH.T4!B294:AC624,28,FALSE)</f>
        <v>TCHC</v>
      </c>
      <c r="AD296" s="155"/>
      <c r="AE296" s="108"/>
      <c r="AF296" s="108"/>
      <c r="AG296" s="108"/>
      <c r="AH296" s="108"/>
      <c r="AI296" s="108"/>
      <c r="AJ296" s="108"/>
      <c r="AK296" s="108"/>
      <c r="AL296" s="108"/>
      <c r="AM296" s="108"/>
      <c r="AN296" s="108"/>
      <c r="AO296" s="108"/>
      <c r="AP296" s="108"/>
      <c r="AQ296" s="108"/>
      <c r="AR296" s="108"/>
      <c r="AS296" s="108"/>
      <c r="AT296" s="108"/>
      <c r="AU296" s="108"/>
      <c r="AV296" s="108"/>
      <c r="AW296" s="108"/>
      <c r="AX296" s="108"/>
      <c r="AY296" s="108"/>
      <c r="AZ296" s="108"/>
    </row>
    <row r="297" spans="1:52" s="372" customFormat="1" ht="30" customHeight="1">
      <c r="A297" s="379">
        <f>_xlfn.AGGREGATE(4,7,A$22:A296)+1</f>
        <v>275</v>
      </c>
      <c r="B297" s="363" t="s">
        <v>2049</v>
      </c>
      <c r="C297" s="375"/>
      <c r="D297" s="434" t="s">
        <v>2050</v>
      </c>
      <c r="E297" s="604" t="s">
        <v>2051</v>
      </c>
      <c r="F297" s="604"/>
      <c r="G297" s="604"/>
      <c r="H297" s="368" t="s">
        <v>2031</v>
      </c>
      <c r="I297" s="605">
        <v>5972998</v>
      </c>
      <c r="J297" s="81" t="str">
        <f>VLOOKUP(B297,TH.T5!B297:F626,5,FALSE)</f>
        <v>NV Bảo vệ</v>
      </c>
      <c r="K297" s="466">
        <f t="shared" si="62"/>
        <v>1791899.4</v>
      </c>
      <c r="L297" s="606" t="str">
        <f>VLOOKUP(B297,'[24]Gui chi Quynh'!$B$11:$E$400,4,FALSE)</f>
        <v>A2</v>
      </c>
      <c r="M297" s="466">
        <f t="shared" si="66"/>
        <v>2508659</v>
      </c>
      <c r="N297" s="606">
        <v>25</v>
      </c>
      <c r="O297" s="607">
        <f>IFERROR(INDEX('[17]CN HĐ'!$J$10:$J$76,MATCH(B297,'[17]CN HĐ'!$H$10:$H$76,0)),"")</f>
        <v>24</v>
      </c>
      <c r="P297" s="608" t="e">
        <f>IF(M297&gt;#REF!,M297,#REF!)</f>
        <v>#REF!</v>
      </c>
      <c r="Q297" s="466">
        <f t="shared" si="63"/>
        <v>2408313</v>
      </c>
      <c r="R297" s="609"/>
      <c r="S297" s="466">
        <v>0</v>
      </c>
      <c r="T297" s="610"/>
      <c r="U297" s="466">
        <v>0</v>
      </c>
      <c r="V297" s="647">
        <f t="shared" si="64"/>
        <v>59729.98</v>
      </c>
      <c r="W297" s="611">
        <f t="shared" si="65"/>
        <v>2408313</v>
      </c>
      <c r="X297" s="977">
        <f t="shared" si="58"/>
        <v>1.3379516666666667</v>
      </c>
      <c r="Y297" s="999">
        <v>1800000</v>
      </c>
      <c r="Z297" s="1000">
        <f t="shared" si="59"/>
        <v>2408313</v>
      </c>
      <c r="AA297" s="568">
        <f t="shared" si="57"/>
        <v>275</v>
      </c>
      <c r="AB297" s="613" t="str">
        <f>IFERROR(INDEX('[17]CN HĐ'!$M$10:$M$76,MATCH(B297,'[17]CN HĐ'!$H$10:$H$76,0)),"")</f>
        <v>Trừ 1 ngày nghỉ phép 21/6</v>
      </c>
      <c r="AC297" s="108" t="str">
        <f>VLOOKUP(B297,TH.T4!B295:AC625,28,FALSE)</f>
        <v>TCHC</v>
      </c>
      <c r="AD297" s="487"/>
    </row>
    <row r="298" spans="1:52" s="372" customFormat="1" ht="29.25" customHeight="1">
      <c r="A298" s="379">
        <f>_xlfn.AGGREGATE(4,7,A$22:A297)+1</f>
        <v>276</v>
      </c>
      <c r="B298" s="363" t="s">
        <v>2052</v>
      </c>
      <c r="C298" s="375"/>
      <c r="D298" s="434"/>
      <c r="E298" s="604"/>
      <c r="F298" s="604"/>
      <c r="G298" s="604"/>
      <c r="H298" s="368" t="s">
        <v>2042</v>
      </c>
      <c r="I298" s="605">
        <v>5733201</v>
      </c>
      <c r="J298" s="81" t="str">
        <f>VLOOKUP(B298,TH.T5!B298:F627,5,FALSE)</f>
        <v>NV Bảo vệ</v>
      </c>
      <c r="K298" s="466">
        <f t="shared" si="62"/>
        <v>4013240.6999999997</v>
      </c>
      <c r="L298" s="606" t="str">
        <f>VLOOKUP(B298,'[24]Gui chi Quynh'!$B$11:$E$400,4,FALSE)</f>
        <v>A4</v>
      </c>
      <c r="M298" s="466">
        <f t="shared" si="66"/>
        <v>4013241</v>
      </c>
      <c r="N298" s="606">
        <v>25</v>
      </c>
      <c r="O298" s="607">
        <f>IFERROR(INDEX('[17]CN HĐ'!$J$10:$J$76,MATCH(B298,'[17]CN HĐ'!$H$10:$H$76,0)),"")</f>
        <v>25</v>
      </c>
      <c r="P298" s="608" t="e">
        <f>IF(M298&gt;#REF!,M298,#REF!)</f>
        <v>#REF!</v>
      </c>
      <c r="Q298" s="466">
        <f t="shared" si="63"/>
        <v>4013241</v>
      </c>
      <c r="R298" s="609"/>
      <c r="S298" s="466">
        <v>0</v>
      </c>
      <c r="T298" s="610"/>
      <c r="U298" s="466">
        <v>0</v>
      </c>
      <c r="V298" s="466">
        <f t="shared" si="64"/>
        <v>57332.01</v>
      </c>
      <c r="W298" s="611">
        <f t="shared" si="65"/>
        <v>4013241</v>
      </c>
      <c r="X298" s="977">
        <f t="shared" si="58"/>
        <v>2.2295783333333334</v>
      </c>
      <c r="Y298" s="999">
        <v>1800000</v>
      </c>
      <c r="Z298" s="1000">
        <f t="shared" si="59"/>
        <v>4013241</v>
      </c>
      <c r="AA298" s="568">
        <f t="shared" si="57"/>
        <v>276</v>
      </c>
      <c r="AB298" s="613">
        <f>IFERROR(INDEX('[17]CN HĐ'!$M$10:$M$76,MATCH(B298,'[17]CN HĐ'!$H$10:$H$76,0)),"")</f>
        <v>0</v>
      </c>
      <c r="AC298" s="108" t="str">
        <f>VLOOKUP(B298,TH.T4!B296:AC626,28,FALSE)</f>
        <v>TCHC</v>
      </c>
      <c r="AD298" s="591"/>
    </row>
    <row r="299" spans="1:52" s="372" customFormat="1" ht="32.25" customHeight="1">
      <c r="A299" s="379">
        <f>_xlfn.AGGREGATE(4,7,A$22:A298)+1</f>
        <v>277</v>
      </c>
      <c r="B299" s="363" t="s">
        <v>2053</v>
      </c>
      <c r="C299" s="375"/>
      <c r="D299" s="434"/>
      <c r="E299" s="604"/>
      <c r="F299" s="604"/>
      <c r="G299" s="604"/>
      <c r="H299" s="368" t="s">
        <v>2031</v>
      </c>
      <c r="I299" s="605">
        <v>4680000</v>
      </c>
      <c r="J299" s="81" t="str">
        <f>VLOOKUP(B299,TH.T5!B299:F628,5,FALSE)</f>
        <v>NV Bảo vệ</v>
      </c>
      <c r="K299" s="466">
        <f t="shared" si="62"/>
        <v>1404000</v>
      </c>
      <c r="L299" s="606" t="str">
        <f>VLOOKUP(B299,'[24]Gui chi Quynh'!$B$11:$E$400,4,FALSE)</f>
        <v>A3</v>
      </c>
      <c r="M299" s="466">
        <f t="shared" si="66"/>
        <v>1684800</v>
      </c>
      <c r="N299" s="606">
        <v>25</v>
      </c>
      <c r="O299" s="607">
        <f>IFERROR(INDEX('[17]CN HĐ'!$J$10:$J$76,MATCH(B299,'[17]CN HĐ'!$H$10:$H$76,0)),"")</f>
        <v>26</v>
      </c>
      <c r="P299" s="608"/>
      <c r="Q299" s="466">
        <f t="shared" si="63"/>
        <v>1684800</v>
      </c>
      <c r="R299" s="609"/>
      <c r="S299" s="466">
        <v>0</v>
      </c>
      <c r="T299" s="610"/>
      <c r="U299" s="466">
        <v>0</v>
      </c>
      <c r="V299" s="647">
        <f t="shared" si="64"/>
        <v>46800</v>
      </c>
      <c r="W299" s="611">
        <f t="shared" si="65"/>
        <v>1684800</v>
      </c>
      <c r="X299" s="977">
        <f t="shared" si="58"/>
        <v>0.93600000000000005</v>
      </c>
      <c r="Y299" s="999">
        <v>1800000</v>
      </c>
      <c r="Z299" s="1000">
        <f t="shared" si="59"/>
        <v>1684800</v>
      </c>
      <c r="AA299" s="568">
        <f t="shared" si="57"/>
        <v>277</v>
      </c>
      <c r="AB299" s="613">
        <f>IFERROR(INDEX('[17]CN HĐ'!$M$10:$M$76,MATCH(B299,'[17]CN HĐ'!$H$10:$H$76,0)),"")</f>
        <v>0</v>
      </c>
      <c r="AC299" s="108" t="str">
        <f>VLOOKUP(B299,TH.T4!B297:AC627,28,FALSE)</f>
        <v>TCHC</v>
      </c>
      <c r="AD299" s="465"/>
      <c r="AE299" s="108"/>
      <c r="AF299" s="108"/>
      <c r="AG299" s="108"/>
      <c r="AH299" s="108"/>
      <c r="AI299" s="108"/>
      <c r="AJ299" s="108"/>
      <c r="AK299" s="108"/>
      <c r="AL299" s="108"/>
      <c r="AM299" s="108"/>
      <c r="AN299" s="108"/>
      <c r="AO299" s="108"/>
      <c r="AP299" s="108"/>
      <c r="AQ299" s="108"/>
      <c r="AR299" s="108"/>
      <c r="AS299" s="108"/>
      <c r="AT299" s="108"/>
      <c r="AU299" s="108"/>
      <c r="AV299" s="108"/>
      <c r="AW299" s="108"/>
      <c r="AX299" s="108"/>
      <c r="AY299" s="108"/>
      <c r="AZ299" s="108"/>
    </row>
    <row r="300" spans="1:52" s="372" customFormat="1" ht="27" customHeight="1">
      <c r="A300" s="379">
        <f>_xlfn.AGGREGATE(4,7,A$22:A299)+1</f>
        <v>278</v>
      </c>
      <c r="B300" s="363" t="s">
        <v>2054</v>
      </c>
      <c r="C300" s="375"/>
      <c r="D300" s="434"/>
      <c r="E300" s="614">
        <v>1603205639357</v>
      </c>
      <c r="F300" s="614"/>
      <c r="G300" s="614"/>
      <c r="H300" s="368" t="s">
        <v>2038</v>
      </c>
      <c r="I300" s="605">
        <v>5257980</v>
      </c>
      <c r="J300" s="81" t="str">
        <f>VLOOKUP(B300,TH.T5!B300:F629,5,FALSE)</f>
        <v>NV Lái xe</v>
      </c>
      <c r="K300" s="466">
        <f t="shared" si="62"/>
        <v>3680585.9999999995</v>
      </c>
      <c r="L300" s="606" t="str">
        <f>VLOOKUP(B300,'[24]Gui chi Quynh'!$B$11:$E$400,4,FALSE)</f>
        <v>A2</v>
      </c>
      <c r="M300" s="466">
        <f t="shared" si="66"/>
        <v>5152820</v>
      </c>
      <c r="N300" s="606">
        <v>25</v>
      </c>
      <c r="O300" s="607">
        <f>IFERROR(INDEX('[17]CN HĐ'!$J$10:$J$76,MATCH(B300,'[17]CN HĐ'!$H$10:$H$76,0)),"")</f>
        <v>29</v>
      </c>
      <c r="P300" s="608" t="e">
        <f>IF(M300&gt;#REF!,M300,#REF!)</f>
        <v>#REF!</v>
      </c>
      <c r="Q300" s="466">
        <f t="shared" si="63"/>
        <v>5152820</v>
      </c>
      <c r="R300" s="609"/>
      <c r="S300" s="466">
        <v>0</v>
      </c>
      <c r="T300" s="610"/>
      <c r="U300" s="466">
        <v>0</v>
      </c>
      <c r="V300" s="647">
        <f t="shared" si="64"/>
        <v>52579.8</v>
      </c>
      <c r="W300" s="611">
        <f t="shared" si="65"/>
        <v>5152820</v>
      </c>
      <c r="X300" s="977">
        <f t="shared" si="58"/>
        <v>2.8626777777777779</v>
      </c>
      <c r="Y300" s="999">
        <v>1800000</v>
      </c>
      <c r="Z300" s="1000">
        <f t="shared" si="59"/>
        <v>5152820</v>
      </c>
      <c r="AA300" s="568">
        <f t="shared" si="57"/>
        <v>278</v>
      </c>
      <c r="AB300" s="613">
        <f>IFERROR(INDEX('[17]CN HĐ'!$M$10:$M$76,MATCH(B300,'[17]CN HĐ'!$H$10:$H$76,0)),"")</f>
        <v>0</v>
      </c>
      <c r="AC300" s="108" t="str">
        <f>VLOOKUP(B300,TH.T4!B298:AC628,28,FALSE)</f>
        <v>TCHC</v>
      </c>
      <c r="AD300" s="155"/>
      <c r="AE300" s="108"/>
      <c r="AF300" s="108"/>
      <c r="AG300" s="108"/>
      <c r="AH300" s="108"/>
      <c r="AI300" s="108"/>
      <c r="AJ300" s="108"/>
      <c r="AK300" s="108"/>
      <c r="AL300" s="108"/>
      <c r="AM300" s="108"/>
      <c r="AN300" s="108"/>
      <c r="AO300" s="108"/>
      <c r="AP300" s="108"/>
      <c r="AQ300" s="108"/>
      <c r="AR300" s="108"/>
      <c r="AS300" s="108"/>
      <c r="AT300" s="108"/>
      <c r="AU300" s="108"/>
      <c r="AV300" s="108"/>
      <c r="AW300" s="108"/>
      <c r="AX300" s="108"/>
      <c r="AY300" s="108"/>
      <c r="AZ300" s="108"/>
    </row>
    <row r="301" spans="1:52" s="372" customFormat="1" ht="33" customHeight="1">
      <c r="A301" s="379">
        <f>_xlfn.AGGREGATE(4,7,A$22:A300)+1</f>
        <v>279</v>
      </c>
      <c r="B301" s="363" t="s">
        <v>2055</v>
      </c>
      <c r="C301" s="375"/>
      <c r="D301" s="434"/>
      <c r="E301" s="615">
        <v>1603205641829</v>
      </c>
      <c r="F301" s="615"/>
      <c r="G301" s="615"/>
      <c r="H301" s="368" t="s">
        <v>2031</v>
      </c>
      <c r="I301" s="605">
        <v>5159700</v>
      </c>
      <c r="J301" s="81" t="str">
        <f>VLOOKUP(B301,TH.T5!B301:F630,5,FALSE)</f>
        <v>NV Phuc vụ Phòng TC - HC - TH</v>
      </c>
      <c r="K301" s="466">
        <f t="shared" si="62"/>
        <v>1547910</v>
      </c>
      <c r="L301" s="606" t="str">
        <f>VLOOKUP(B301,'[24]Gui chi Quynh'!$B$11:$E$400,4,FALSE)</f>
        <v>A2</v>
      </c>
      <c r="M301" s="466">
        <f t="shared" si="66"/>
        <v>2167074</v>
      </c>
      <c r="N301" s="606">
        <v>25</v>
      </c>
      <c r="O301" s="607">
        <f>IFERROR(INDEX('[17]CN HĐ'!$J$10:$J$76,MATCH(B301,'[17]CN HĐ'!$H$10:$H$76,0)),"")</f>
        <v>24</v>
      </c>
      <c r="P301" s="608" t="e">
        <f>IF(M301&gt;#REF!,M301,#REF!)</f>
        <v>#REF!</v>
      </c>
      <c r="Q301" s="466">
        <f t="shared" si="63"/>
        <v>2080391</v>
      </c>
      <c r="R301" s="609"/>
      <c r="S301" s="466">
        <v>0</v>
      </c>
      <c r="T301" s="610"/>
      <c r="U301" s="466">
        <v>0</v>
      </c>
      <c r="V301" s="647">
        <f t="shared" si="64"/>
        <v>51597</v>
      </c>
      <c r="W301" s="611">
        <f t="shared" si="65"/>
        <v>2080391</v>
      </c>
      <c r="X301" s="977">
        <f t="shared" si="58"/>
        <v>1.1557727777777778</v>
      </c>
      <c r="Y301" s="999">
        <v>1800000</v>
      </c>
      <c r="Z301" s="1000">
        <f t="shared" si="59"/>
        <v>2080391</v>
      </c>
      <c r="AA301" s="568">
        <f t="shared" si="57"/>
        <v>279</v>
      </c>
      <c r="AB301" s="613" t="str">
        <f>IFERROR(INDEX('[17]CN HĐ'!$M$10:$M$76,MATCH(B301,'[17]CN HĐ'!$H$10:$H$76,0)),"")</f>
        <v>Trừ 1 ngày nghỉ phép 8/6</v>
      </c>
      <c r="AC301" s="108" t="str">
        <f>VLOOKUP(B301,TH.T4!B299:AC629,28,FALSE)</f>
        <v>TCHC</v>
      </c>
      <c r="AD301" s="155"/>
      <c r="AE301" s="108"/>
      <c r="AF301" s="108"/>
      <c r="AG301" s="108"/>
      <c r="AH301" s="108"/>
      <c r="AI301" s="108"/>
      <c r="AJ301" s="108"/>
      <c r="AK301" s="108"/>
      <c r="AL301" s="108"/>
      <c r="AM301" s="108"/>
      <c r="AN301" s="108"/>
      <c r="AO301" s="108"/>
      <c r="AP301" s="108"/>
      <c r="AQ301" s="108"/>
      <c r="AR301" s="108"/>
      <c r="AS301" s="108"/>
      <c r="AT301" s="108"/>
    </row>
    <row r="302" spans="1:52" s="372" customFormat="1" ht="33" customHeight="1">
      <c r="A302" s="379">
        <f>_xlfn.AGGREGATE(4,7,A$22:A301)+1</f>
        <v>280</v>
      </c>
      <c r="B302" s="363" t="s">
        <v>2056</v>
      </c>
      <c r="C302" s="375"/>
      <c r="D302" s="434"/>
      <c r="E302" s="615"/>
      <c r="F302" s="615"/>
      <c r="G302" s="615"/>
      <c r="H302" s="368" t="s">
        <v>2042</v>
      </c>
      <c r="I302" s="605">
        <v>5733201</v>
      </c>
      <c r="J302" s="81" t="str">
        <f>VLOOKUP(B302,TH.T5!B302:F631,5,FALSE)</f>
        <v>Nhân viên phòng Thanh tra GD - Công tác SV</v>
      </c>
      <c r="K302" s="466">
        <f t="shared" si="62"/>
        <v>4013240.6999999997</v>
      </c>
      <c r="L302" s="606" t="str">
        <f>VLOOKUP(B302,'[24]Gui chi Quynh'!$B$11:$E$400,4,FALSE)</f>
        <v>A4</v>
      </c>
      <c r="M302" s="466">
        <f t="shared" si="66"/>
        <v>4013241</v>
      </c>
      <c r="N302" s="606">
        <v>25</v>
      </c>
      <c r="O302" s="607">
        <f>IFERROR(INDEX('[17]CN HĐ'!$J$10:$J$76,MATCH(B302,'[17]CN HĐ'!$H$10:$H$76,0)),"")</f>
        <v>25</v>
      </c>
      <c r="P302" s="608"/>
      <c r="Q302" s="466">
        <f t="shared" si="63"/>
        <v>4013241</v>
      </c>
      <c r="R302" s="609"/>
      <c r="S302" s="466">
        <v>0</v>
      </c>
      <c r="T302" s="610"/>
      <c r="U302" s="466">
        <v>0</v>
      </c>
      <c r="V302" s="466">
        <f t="shared" si="64"/>
        <v>57332.01</v>
      </c>
      <c r="W302" s="611">
        <f t="shared" si="65"/>
        <v>4013241</v>
      </c>
      <c r="X302" s="977">
        <f t="shared" si="58"/>
        <v>2.2295783333333334</v>
      </c>
      <c r="Y302" s="999">
        <v>1800000</v>
      </c>
      <c r="Z302" s="1000">
        <f t="shared" si="59"/>
        <v>4013241</v>
      </c>
      <c r="AA302" s="568">
        <f t="shared" si="57"/>
        <v>280</v>
      </c>
      <c r="AB302" s="613">
        <f>IFERROR(INDEX('[17]CN HĐ'!$M$10:$M$76,MATCH(B302,'[17]CN HĐ'!$H$10:$H$76,0)),"")</f>
        <v>0</v>
      </c>
      <c r="AC302" s="372" t="str">
        <f>VLOOKUP(B302,TH.T4!B300:AC630,28,FALSE)</f>
        <v>TTrGD</v>
      </c>
      <c r="AD302" s="487"/>
    </row>
    <row r="303" spans="1:52" s="372" customFormat="1" ht="33" customHeight="1">
      <c r="A303" s="379">
        <f>_xlfn.AGGREGATE(4,7,A$22:A302)+1</f>
        <v>281</v>
      </c>
      <c r="B303" s="363" t="s">
        <v>2057</v>
      </c>
      <c r="C303" s="375"/>
      <c r="D303" s="434" t="s">
        <v>2058</v>
      </c>
      <c r="E303" s="615" t="s">
        <v>1256</v>
      </c>
      <c r="F303" s="615"/>
      <c r="G303" s="615"/>
      <c r="H303" s="368" t="s">
        <v>2038</v>
      </c>
      <c r="I303" s="605">
        <v>8992930</v>
      </c>
      <c r="J303" s="81" t="str">
        <f>VLOOKUP(B303,TH.T5!B303:F632,5,FALSE)</f>
        <v>NV Phòng Tổ chức - Hành chính - Tổng hợp</v>
      </c>
      <c r="K303" s="466">
        <f t="shared" si="62"/>
        <v>6295051</v>
      </c>
      <c r="L303" s="606" t="str">
        <f>VLOOKUP(B303,'[24]Gui chi Quynh'!$B$11:$E$400,4,FALSE)</f>
        <v>A3</v>
      </c>
      <c r="M303" s="466">
        <f t="shared" si="66"/>
        <v>7554061</v>
      </c>
      <c r="N303" s="606">
        <v>25</v>
      </c>
      <c r="O303" s="607">
        <f>IFERROR(INDEX('[17]CN HĐ'!$J$10:$J$76,MATCH(B303,'[17]CN HĐ'!$H$10:$H$76,0)),"")</f>
        <v>26</v>
      </c>
      <c r="P303" s="608"/>
      <c r="Q303" s="466">
        <f t="shared" si="63"/>
        <v>7554061</v>
      </c>
      <c r="R303" s="609"/>
      <c r="S303" s="466">
        <v>0</v>
      </c>
      <c r="T303" s="610"/>
      <c r="U303" s="466">
        <v>0</v>
      </c>
      <c r="V303" s="647">
        <f t="shared" si="64"/>
        <v>89929.3</v>
      </c>
      <c r="W303" s="611">
        <f t="shared" si="65"/>
        <v>7554061</v>
      </c>
      <c r="X303" s="977">
        <f t="shared" si="58"/>
        <v>4.1967005555555552</v>
      </c>
      <c r="Y303" s="999">
        <v>1800000</v>
      </c>
      <c r="Z303" s="1000">
        <f t="shared" si="59"/>
        <v>7554060.9999999991</v>
      </c>
      <c r="AA303" s="568">
        <f t="shared" si="57"/>
        <v>281</v>
      </c>
      <c r="AB303" s="613">
        <f>IFERROR(INDEX('[17]CN HĐ'!$M$10:$M$76,MATCH(B303,'[17]CN HĐ'!$H$10:$H$76,0)),"")</f>
        <v>0</v>
      </c>
      <c r="AC303" s="108" t="str">
        <f>VLOOKUP(B303,TH.T4!B301:AC631,28,FALSE)</f>
        <v>TCHC</v>
      </c>
      <c r="AD303" s="155"/>
      <c r="AE303" s="108"/>
      <c r="AF303" s="108"/>
      <c r="AG303" s="108"/>
      <c r="AH303" s="108"/>
      <c r="AI303" s="108"/>
      <c r="AJ303" s="108"/>
      <c r="AK303" s="108"/>
      <c r="AL303" s="108"/>
      <c r="AM303" s="108"/>
      <c r="AN303" s="108"/>
      <c r="AO303" s="108"/>
      <c r="AP303" s="108"/>
      <c r="AQ303" s="108"/>
      <c r="AR303" s="108"/>
      <c r="AS303" s="108"/>
      <c r="AT303" s="108"/>
      <c r="AU303" s="108"/>
      <c r="AV303" s="108"/>
      <c r="AW303" s="108"/>
      <c r="AX303" s="108"/>
      <c r="AY303" s="108"/>
      <c r="AZ303" s="108"/>
    </row>
    <row r="304" spans="1:52" s="372" customFormat="1" ht="30.75" customHeight="1">
      <c r="A304" s="379">
        <f>_xlfn.AGGREGATE(4,7,A$22:A303)+1</f>
        <v>282</v>
      </c>
      <c r="B304" s="363" t="s">
        <v>2059</v>
      </c>
      <c r="C304" s="375"/>
      <c r="D304" s="434"/>
      <c r="E304" s="615"/>
      <c r="F304" s="615"/>
      <c r="G304" s="615"/>
      <c r="H304" s="368" t="s">
        <v>2031</v>
      </c>
      <c r="I304" s="605">
        <v>4680000</v>
      </c>
      <c r="J304" s="81" t="str">
        <f>VLOOKUP(B304,TH.T5!B304:F633,5,FALSE)</f>
        <v>Nhân viên bảo vệ</v>
      </c>
      <c r="K304" s="466">
        <f t="shared" si="62"/>
        <v>1404000</v>
      </c>
      <c r="L304" s="606" t="str">
        <f>VLOOKUP(B304,'[24]Gui chi Quynh'!$B$11:$E$400,4,FALSE)</f>
        <v>A2</v>
      </c>
      <c r="M304" s="466">
        <f t="shared" si="66"/>
        <v>1965600</v>
      </c>
      <c r="N304" s="606">
        <v>25</v>
      </c>
      <c r="O304" s="607">
        <f>IFERROR(INDEX('[17]CN HĐ'!$J$10:$J$76,MATCH(B304,'[17]CN HĐ'!$H$10:$H$76,0)),"")</f>
        <v>25</v>
      </c>
      <c r="P304" s="608"/>
      <c r="Q304" s="466">
        <f t="shared" si="63"/>
        <v>1965600</v>
      </c>
      <c r="R304" s="609"/>
      <c r="S304" s="466">
        <v>0</v>
      </c>
      <c r="T304" s="610"/>
      <c r="U304" s="466">
        <v>0</v>
      </c>
      <c r="V304" s="647">
        <f t="shared" si="64"/>
        <v>46800</v>
      </c>
      <c r="W304" s="611">
        <f t="shared" si="65"/>
        <v>1965600</v>
      </c>
      <c r="X304" s="977">
        <f t="shared" si="58"/>
        <v>1.0920000000000001</v>
      </c>
      <c r="Y304" s="999">
        <v>1800000</v>
      </c>
      <c r="Z304" s="1000">
        <f t="shared" si="59"/>
        <v>1965600.0000000002</v>
      </c>
      <c r="AA304" s="568">
        <f t="shared" si="57"/>
        <v>282</v>
      </c>
      <c r="AB304" s="613">
        <f>IFERROR(INDEX('[17]CN HĐ'!$M$10:$M$76,MATCH(B304,'[17]CN HĐ'!$H$10:$H$76,0)),"")</f>
        <v>0</v>
      </c>
      <c r="AC304" s="108" t="str">
        <f>VLOOKUP(B304,TH.T4!B302:AC632,28,FALSE)</f>
        <v>TCHC</v>
      </c>
      <c r="AD304" s="487"/>
    </row>
    <row r="305" spans="1:52" s="372" customFormat="1" ht="31.5" customHeight="1">
      <c r="A305" s="379">
        <f>_xlfn.AGGREGATE(4,7,A$22:A304)+1</f>
        <v>283</v>
      </c>
      <c r="B305" s="363" t="s">
        <v>2060</v>
      </c>
      <c r="C305" s="375"/>
      <c r="D305" s="434" t="s">
        <v>2061</v>
      </c>
      <c r="E305" s="615" t="s">
        <v>1275</v>
      </c>
      <c r="F305" s="615"/>
      <c r="G305" s="615"/>
      <c r="H305" s="81" t="s">
        <v>2042</v>
      </c>
      <c r="I305" s="605">
        <v>8041111</v>
      </c>
      <c r="J305" s="81" t="str">
        <f>VLOOKUP(B305,TH.T5!B305:F634,5,FALSE)</f>
        <v>NV Phòng Tổ chức - Hành chính - Tổng hợp</v>
      </c>
      <c r="K305" s="466">
        <f t="shared" si="62"/>
        <v>5628777.6999999993</v>
      </c>
      <c r="L305" s="606" t="str">
        <f>VLOOKUP(B305,'[24]Gui chi Quynh'!$B$11:$E$400,4,FALSE)</f>
        <v>A4</v>
      </c>
      <c r="M305" s="466">
        <f t="shared" si="66"/>
        <v>5628778</v>
      </c>
      <c r="N305" s="606">
        <v>25</v>
      </c>
      <c r="O305" s="607">
        <f>IFERROR(INDEX('[17]CN HĐ'!$J$10:$J$76,MATCH(B305,'[17]CN HĐ'!$H$10:$H$76,0)),"")</f>
        <v>25</v>
      </c>
      <c r="P305" s="608"/>
      <c r="Q305" s="466">
        <f t="shared" si="63"/>
        <v>5628778</v>
      </c>
      <c r="R305" s="609"/>
      <c r="S305" s="466">
        <v>0</v>
      </c>
      <c r="T305" s="610"/>
      <c r="U305" s="466">
        <v>0</v>
      </c>
      <c r="V305" s="647">
        <f t="shared" si="64"/>
        <v>80411.11</v>
      </c>
      <c r="W305" s="611">
        <f t="shared" si="65"/>
        <v>5628778</v>
      </c>
      <c r="X305" s="977">
        <f t="shared" si="58"/>
        <v>3.1270988888888889</v>
      </c>
      <c r="Y305" s="999">
        <v>1800000</v>
      </c>
      <c r="Z305" s="1000">
        <f t="shared" si="59"/>
        <v>5628778</v>
      </c>
      <c r="AA305" s="568">
        <f t="shared" si="57"/>
        <v>283</v>
      </c>
      <c r="AB305" s="613">
        <f>IFERROR(INDEX('[17]CN HĐ'!$M$10:$M$76,MATCH(B305,'[17]CN HĐ'!$H$10:$H$76,0)),"")</f>
        <v>0</v>
      </c>
      <c r="AC305" s="108" t="str">
        <f>VLOOKUP(B305,TH.T4!B303:AC633,28,FALSE)</f>
        <v>TCHC</v>
      </c>
      <c r="AD305" s="155"/>
      <c r="AE305" s="108"/>
      <c r="AF305" s="108"/>
      <c r="AG305" s="108"/>
      <c r="AH305" s="108"/>
      <c r="AI305" s="108"/>
      <c r="AJ305" s="108"/>
      <c r="AK305" s="108"/>
      <c r="AL305" s="108"/>
      <c r="AM305" s="108"/>
      <c r="AN305" s="108"/>
      <c r="AO305" s="108"/>
      <c r="AP305" s="108"/>
      <c r="AQ305" s="108"/>
      <c r="AR305" s="108"/>
      <c r="AS305" s="108"/>
      <c r="AT305" s="108"/>
      <c r="AU305" s="108"/>
      <c r="AV305" s="108"/>
      <c r="AW305" s="108"/>
      <c r="AX305" s="108"/>
      <c r="AY305" s="108"/>
      <c r="AZ305" s="108"/>
    </row>
    <row r="306" spans="1:52" s="372" customFormat="1" ht="31.5" customHeight="1">
      <c r="A306" s="379">
        <f>_xlfn.AGGREGATE(4,7,A$22:A305)+1</f>
        <v>284</v>
      </c>
      <c r="B306" s="444" t="s">
        <v>2062</v>
      </c>
      <c r="C306" s="419" t="s">
        <v>874</v>
      </c>
      <c r="D306" s="418" t="s">
        <v>2063</v>
      </c>
      <c r="E306" s="615" t="s">
        <v>2064</v>
      </c>
      <c r="F306" s="615"/>
      <c r="G306" s="615"/>
      <c r="H306" s="368" t="s">
        <v>2042</v>
      </c>
      <c r="I306" s="605">
        <v>7023418</v>
      </c>
      <c r="J306" s="81" t="str">
        <f>VLOOKUP(B306,TH.T5!B306:F635,5,FALSE)</f>
        <v>NV P. QT 
Dịch vụ</v>
      </c>
      <c r="K306" s="466">
        <f t="shared" si="62"/>
        <v>4916392.5999999996</v>
      </c>
      <c r="L306" s="606" t="str">
        <f>VLOOKUP(B306,'[24]Gui chi Quynh'!$B$11:$E$400,4,FALSE)</f>
        <v>A2</v>
      </c>
      <c r="M306" s="466">
        <f t="shared" si="66"/>
        <v>6882950</v>
      </c>
      <c r="N306" s="606">
        <v>25</v>
      </c>
      <c r="O306" s="607">
        <f>IFERROR(INDEX('[17]CN HĐ'!$J$10:$J$76,MATCH(B306,'[17]CN HĐ'!$H$10:$H$76,0)),"")</f>
        <v>25</v>
      </c>
      <c r="P306" s="608" t="e">
        <f>IF(M306&gt;#REF!,M306,#REF!)</f>
        <v>#REF!</v>
      </c>
      <c r="Q306" s="466">
        <f t="shared" si="63"/>
        <v>6882950</v>
      </c>
      <c r="R306" s="609"/>
      <c r="S306" s="466">
        <v>0</v>
      </c>
      <c r="T306" s="610"/>
      <c r="U306" s="466">
        <v>0</v>
      </c>
      <c r="V306" s="647">
        <f t="shared" si="64"/>
        <v>70234.180000000008</v>
      </c>
      <c r="W306" s="611">
        <f t="shared" si="65"/>
        <v>6882950</v>
      </c>
      <c r="X306" s="977">
        <f t="shared" si="58"/>
        <v>3.8238611111111109</v>
      </c>
      <c r="Y306" s="999">
        <v>1800000</v>
      </c>
      <c r="Z306" s="1000">
        <f t="shared" si="59"/>
        <v>6882950</v>
      </c>
      <c r="AA306" s="568">
        <f t="shared" si="57"/>
        <v>284</v>
      </c>
      <c r="AB306" s="613">
        <f>IFERROR(INDEX('[17]CN HĐ'!$M$10:$M$76,MATCH(B306,'[17]CN HĐ'!$H$10:$H$76,0)),"")</f>
        <v>0</v>
      </c>
      <c r="AC306" s="108" t="str">
        <f>VLOOKUP(B306,TH.T4!B304:AC634,28,FALSE)</f>
        <v>QTDV</v>
      </c>
      <c r="AD306" s="108"/>
      <c r="AE306" s="108"/>
      <c r="AF306" s="108"/>
      <c r="AG306" s="108"/>
      <c r="AH306" s="108"/>
      <c r="AI306" s="108"/>
      <c r="AJ306" s="108"/>
      <c r="AK306" s="108"/>
      <c r="AL306" s="108"/>
      <c r="AM306" s="108"/>
      <c r="AN306" s="108"/>
      <c r="AO306" s="108"/>
      <c r="AP306" s="108"/>
      <c r="AQ306" s="108"/>
      <c r="AR306" s="108"/>
      <c r="AS306" s="108"/>
      <c r="AT306" s="108"/>
      <c r="AU306" s="108"/>
      <c r="AV306" s="108"/>
      <c r="AW306" s="108"/>
      <c r="AX306" s="108"/>
      <c r="AY306" s="108"/>
      <c r="AZ306" s="108"/>
    </row>
    <row r="307" spans="1:52" s="372" customFormat="1" ht="31.5" customHeight="1">
      <c r="A307" s="379">
        <f>_xlfn.AGGREGATE(4,7,A$22:A306)+1</f>
        <v>285</v>
      </c>
      <c r="B307" s="444" t="s">
        <v>2065</v>
      </c>
      <c r="C307" s="419" t="s">
        <v>921</v>
      </c>
      <c r="D307" s="418" t="s">
        <v>2066</v>
      </c>
      <c r="E307" s="615">
        <v>1603205186060</v>
      </c>
      <c r="F307" s="615"/>
      <c r="G307" s="615"/>
      <c r="H307" s="368" t="s">
        <v>2038</v>
      </c>
      <c r="I307" s="605">
        <v>6391108</v>
      </c>
      <c r="J307" s="81" t="str">
        <f>VLOOKUP(B307,TH.T5!B307:F636,5,FALSE)</f>
        <v>NV Phòng Quản trị - Dịch vụ</v>
      </c>
      <c r="K307" s="466">
        <f t="shared" si="62"/>
        <v>4473775.5999999996</v>
      </c>
      <c r="L307" s="606" t="str">
        <f>VLOOKUP(B307,'[24]Gui chi Quynh'!$B$11:$E$400,4,FALSE)</f>
        <v>A2</v>
      </c>
      <c r="M307" s="466">
        <f t="shared" si="66"/>
        <v>6263286</v>
      </c>
      <c r="N307" s="606">
        <v>25</v>
      </c>
      <c r="O307" s="607">
        <f>IFERROR(INDEX('[17]CN HĐ'!$J$10:$J$76,MATCH(B307,'[17]CN HĐ'!$H$10:$H$76,0)),"")</f>
        <v>25</v>
      </c>
      <c r="P307" s="608" t="e">
        <f>IF(M307&gt;#REF!,M307,#REF!)</f>
        <v>#REF!</v>
      </c>
      <c r="Q307" s="466">
        <f t="shared" si="63"/>
        <v>6263286</v>
      </c>
      <c r="R307" s="609"/>
      <c r="S307" s="466">
        <v>0</v>
      </c>
      <c r="T307" s="610"/>
      <c r="U307" s="466">
        <v>0</v>
      </c>
      <c r="V307" s="647">
        <f t="shared" si="64"/>
        <v>63911.08</v>
      </c>
      <c r="W307" s="611">
        <f t="shared" si="65"/>
        <v>6263286</v>
      </c>
      <c r="X307" s="977">
        <f t="shared" si="58"/>
        <v>3.4796033333333334</v>
      </c>
      <c r="Y307" s="999">
        <v>1800000</v>
      </c>
      <c r="Z307" s="1000">
        <f t="shared" si="59"/>
        <v>6263286</v>
      </c>
      <c r="AA307" s="568">
        <f t="shared" si="57"/>
        <v>285</v>
      </c>
      <c r="AB307" s="613">
        <f>IFERROR(INDEX('[17]CN HĐ'!$M$10:$M$76,MATCH(B307,'[17]CN HĐ'!$H$10:$H$76,0)),"")</f>
        <v>0</v>
      </c>
      <c r="AC307" s="108" t="str">
        <f>VLOOKUP(B307,TH.T4!B305:AC635,28,FALSE)</f>
        <v>QTDV</v>
      </c>
      <c r="AD307" s="108"/>
      <c r="AE307" s="108"/>
      <c r="AF307" s="108"/>
      <c r="AG307" s="108"/>
      <c r="AH307" s="108"/>
      <c r="AI307" s="108"/>
      <c r="AJ307" s="108"/>
      <c r="AK307" s="108"/>
      <c r="AL307" s="108"/>
      <c r="AM307" s="108"/>
      <c r="AN307" s="108"/>
      <c r="AO307" s="108"/>
      <c r="AP307" s="108"/>
      <c r="AQ307" s="108"/>
      <c r="AR307" s="108"/>
      <c r="AS307" s="108"/>
      <c r="AT307" s="108"/>
      <c r="AU307" s="108"/>
      <c r="AV307" s="108"/>
      <c r="AW307" s="108"/>
      <c r="AX307" s="108"/>
      <c r="AY307" s="108"/>
      <c r="AZ307" s="108"/>
    </row>
    <row r="308" spans="1:52" s="372" customFormat="1" ht="31.5" customHeight="1">
      <c r="A308" s="379">
        <f>_xlfn.AGGREGATE(4,7,A$22:A307)+1</f>
        <v>286</v>
      </c>
      <c r="B308" s="444" t="s">
        <v>2067</v>
      </c>
      <c r="C308" s="419" t="s">
        <v>882</v>
      </c>
      <c r="D308" s="418" t="s">
        <v>2068</v>
      </c>
      <c r="E308" s="615">
        <v>1603205327532</v>
      </c>
      <c r="F308" s="615"/>
      <c r="G308" s="615"/>
      <c r="H308" s="368" t="s">
        <v>2042</v>
      </c>
      <c r="I308" s="605">
        <v>8041111</v>
      </c>
      <c r="J308" s="81" t="str">
        <f>VLOOKUP(B308,TH.T5!B308:F637,5,FALSE)</f>
        <v>NV bảo trì</v>
      </c>
      <c r="K308" s="466">
        <f t="shared" si="62"/>
        <v>5628777.6999999993</v>
      </c>
      <c r="L308" s="606" t="str">
        <f>VLOOKUP(B308,'[24]Gui chi Quynh'!$B$11:$E$400,4,FALSE)</f>
        <v>A2</v>
      </c>
      <c r="M308" s="466">
        <f t="shared" si="66"/>
        <v>7880289</v>
      </c>
      <c r="N308" s="606">
        <v>25</v>
      </c>
      <c r="O308" s="607">
        <f>IFERROR(INDEX('[17]CN HĐ'!$J$10:$J$76,MATCH(B308,'[17]CN HĐ'!$H$10:$H$76,0)),"")</f>
        <v>25</v>
      </c>
      <c r="P308" s="608" t="e">
        <f>IF(M308&gt;#REF!,M308,#REF!)</f>
        <v>#REF!</v>
      </c>
      <c r="Q308" s="466">
        <f t="shared" si="63"/>
        <v>7880289</v>
      </c>
      <c r="R308" s="609"/>
      <c r="S308" s="466">
        <v>0</v>
      </c>
      <c r="T308" s="610"/>
      <c r="U308" s="466">
        <v>0</v>
      </c>
      <c r="V308" s="647">
        <f t="shared" si="64"/>
        <v>80411.11</v>
      </c>
      <c r="W308" s="611">
        <f t="shared" si="65"/>
        <v>7880289</v>
      </c>
      <c r="X308" s="977">
        <f t="shared" si="58"/>
        <v>4.3779383333333337</v>
      </c>
      <c r="Y308" s="999">
        <v>1800000</v>
      </c>
      <c r="Z308" s="1000">
        <f t="shared" si="59"/>
        <v>7880289.0000000009</v>
      </c>
      <c r="AA308" s="568">
        <f t="shared" si="57"/>
        <v>286</v>
      </c>
      <c r="AB308" s="613">
        <f>IFERROR(INDEX('[17]CN HĐ'!$M$10:$M$76,MATCH(B308,'[17]CN HĐ'!$H$10:$H$76,0)),"")</f>
        <v>0</v>
      </c>
      <c r="AC308" s="108" t="str">
        <f>VLOOKUP(B308,TH.T4!B306:AC636,28,FALSE)</f>
        <v>TTĐT</v>
      </c>
      <c r="AD308" s="108"/>
      <c r="AE308" s="108"/>
      <c r="AF308" s="108"/>
      <c r="AG308" s="108"/>
      <c r="AH308" s="108"/>
      <c r="AI308" s="108"/>
      <c r="AJ308" s="108"/>
      <c r="AK308" s="108"/>
      <c r="AL308" s="108"/>
      <c r="AM308" s="108"/>
      <c r="AN308" s="108"/>
      <c r="AO308" s="108"/>
      <c r="AP308" s="108"/>
      <c r="AQ308" s="108"/>
      <c r="AR308" s="108"/>
      <c r="AS308" s="108"/>
      <c r="AT308" s="108"/>
      <c r="AU308" s="108"/>
      <c r="AV308" s="108"/>
      <c r="AW308" s="108"/>
      <c r="AX308" s="108"/>
      <c r="AY308" s="108"/>
      <c r="AZ308" s="108"/>
    </row>
    <row r="309" spans="1:52" s="372" customFormat="1" ht="31.5" customHeight="1">
      <c r="A309" s="379">
        <f>_xlfn.AGGREGATE(4,7,A$22:A308)+1</f>
        <v>287</v>
      </c>
      <c r="B309" s="444" t="s">
        <v>2069</v>
      </c>
      <c r="C309" s="419" t="s">
        <v>2070</v>
      </c>
      <c r="D309" s="418" t="s">
        <v>2071</v>
      </c>
      <c r="E309" s="604" t="s">
        <v>2072</v>
      </c>
      <c r="F309" s="604"/>
      <c r="G309" s="604"/>
      <c r="H309" s="368" t="s">
        <v>2038</v>
      </c>
      <c r="I309" s="605">
        <v>5520879</v>
      </c>
      <c r="J309" s="81" t="str">
        <f>VLOOKUP(B309,TH.T5!B309:F638,5,FALSE)</f>
        <v>NV P. QT 
Dịch vụ</v>
      </c>
      <c r="K309" s="466">
        <f t="shared" si="62"/>
        <v>3864615.3</v>
      </c>
      <c r="L309" s="606" t="str">
        <f>VLOOKUP(B309,'[24]Gui chi Quynh'!$B$11:$E$400,4,FALSE)</f>
        <v>A2</v>
      </c>
      <c r="M309" s="466">
        <f t="shared" si="66"/>
        <v>5410461</v>
      </c>
      <c r="N309" s="606">
        <v>25</v>
      </c>
      <c r="O309" s="607">
        <v>25</v>
      </c>
      <c r="P309" s="608" t="e">
        <f>IF(M309&gt;#REF!,M309,#REF!)</f>
        <v>#REF!</v>
      </c>
      <c r="Q309" s="466">
        <f t="shared" si="63"/>
        <v>5410461</v>
      </c>
      <c r="R309" s="609"/>
      <c r="S309" s="466">
        <v>0</v>
      </c>
      <c r="T309" s="610"/>
      <c r="U309" s="466">
        <v>0</v>
      </c>
      <c r="V309" s="647">
        <f t="shared" si="64"/>
        <v>55208.79</v>
      </c>
      <c r="W309" s="611">
        <f t="shared" si="65"/>
        <v>5410461</v>
      </c>
      <c r="X309" s="977">
        <f t="shared" si="58"/>
        <v>3.0058116666666668</v>
      </c>
      <c r="Y309" s="999">
        <v>1800000</v>
      </c>
      <c r="Z309" s="1000">
        <f t="shared" si="59"/>
        <v>5410461</v>
      </c>
      <c r="AA309" s="568">
        <f t="shared" si="57"/>
        <v>287</v>
      </c>
      <c r="AB309" s="613" t="s">
        <v>2254</v>
      </c>
      <c r="AC309" s="108" t="str">
        <f>VLOOKUP(B309,TH.T4!B307:AC637,28,FALSE)</f>
        <v>QTDV</v>
      </c>
      <c r="AD309" s="108"/>
      <c r="AE309" s="108"/>
      <c r="AF309" s="108"/>
      <c r="AG309" s="108"/>
      <c r="AH309" s="108"/>
      <c r="AI309" s="108"/>
      <c r="AJ309" s="108"/>
      <c r="AK309" s="108"/>
      <c r="AL309" s="108"/>
      <c r="AM309" s="108"/>
      <c r="AN309" s="108"/>
      <c r="AO309" s="108"/>
      <c r="AP309" s="108"/>
      <c r="AQ309" s="108"/>
      <c r="AR309" s="108"/>
      <c r="AS309" s="108"/>
      <c r="AT309" s="108"/>
      <c r="AU309" s="108"/>
      <c r="AV309" s="108"/>
      <c r="AW309" s="108"/>
      <c r="AX309" s="108"/>
      <c r="AY309" s="108"/>
      <c r="AZ309" s="108"/>
    </row>
    <row r="310" spans="1:52" s="372" customFormat="1" ht="31.5" customHeight="1">
      <c r="A310" s="379">
        <f>_xlfn.AGGREGATE(4,7,A$22:A309)+1</f>
        <v>288</v>
      </c>
      <c r="B310" s="363" t="s">
        <v>2073</v>
      </c>
      <c r="C310" s="375" t="s">
        <v>1171</v>
      </c>
      <c r="D310" s="434" t="s">
        <v>2074</v>
      </c>
      <c r="E310" s="620" t="s">
        <v>1266</v>
      </c>
      <c r="F310" s="620"/>
      <c r="G310" s="620"/>
      <c r="H310" s="368" t="s">
        <v>2038</v>
      </c>
      <c r="I310" s="605">
        <v>6086769</v>
      </c>
      <c r="J310" s="81" t="str">
        <f>VLOOKUP(B310,TH.T5!B310:F639,5,FALSE)</f>
        <v>NV P. QT 
Dịch vụ</v>
      </c>
      <c r="K310" s="466">
        <f t="shared" si="62"/>
        <v>4260738.3</v>
      </c>
      <c r="L310" s="606" t="str">
        <f>VLOOKUP(B310,'[24]Gui chi Quynh'!$B$11:$E$400,4,FALSE)</f>
        <v>A3</v>
      </c>
      <c r="M310" s="466">
        <f t="shared" si="66"/>
        <v>5112886</v>
      </c>
      <c r="N310" s="606">
        <v>25</v>
      </c>
      <c r="O310" s="607">
        <f>IFERROR(INDEX('[17]CN HĐ'!$J$10:$J$76,MATCH(B310,'[17]CN HĐ'!$H$10:$H$76,0)),"")</f>
        <v>25</v>
      </c>
      <c r="P310" s="608" t="e">
        <f>IF(M310&gt;#REF!,M310,#REF!)</f>
        <v>#REF!</v>
      </c>
      <c r="Q310" s="466">
        <f t="shared" si="63"/>
        <v>5112886</v>
      </c>
      <c r="R310" s="609"/>
      <c r="S310" s="466">
        <v>0</v>
      </c>
      <c r="T310" s="621"/>
      <c r="U310" s="466">
        <v>0</v>
      </c>
      <c r="V310" s="647">
        <f t="shared" si="64"/>
        <v>60867.69</v>
      </c>
      <c r="W310" s="611">
        <f t="shared" si="65"/>
        <v>5112886</v>
      </c>
      <c r="X310" s="977">
        <f t="shared" si="58"/>
        <v>2.8404922222222222</v>
      </c>
      <c r="Y310" s="999">
        <v>1800000</v>
      </c>
      <c r="Z310" s="1000">
        <f t="shared" si="59"/>
        <v>5112886</v>
      </c>
      <c r="AA310" s="568">
        <f t="shared" si="57"/>
        <v>288</v>
      </c>
      <c r="AB310" s="613">
        <f>IFERROR(INDEX('[17]CN HĐ'!$M$10:$M$76,MATCH(B310,'[17]CN HĐ'!$H$10:$H$76,0)),"")</f>
        <v>0</v>
      </c>
      <c r="AC310" s="108" t="str">
        <f>VLOOKUP(B310,TH.T4!B308:AC638,28,FALSE)</f>
        <v>QTDV</v>
      </c>
      <c r="AD310" s="155"/>
      <c r="AE310" s="108"/>
      <c r="AF310" s="108"/>
      <c r="AG310" s="108"/>
      <c r="AH310" s="108"/>
      <c r="AI310" s="108"/>
      <c r="AJ310" s="108"/>
      <c r="AK310" s="108"/>
      <c r="AL310" s="108"/>
      <c r="AM310" s="108"/>
      <c r="AN310" s="108"/>
      <c r="AO310" s="108"/>
      <c r="AP310" s="108"/>
      <c r="AQ310" s="108"/>
      <c r="AR310" s="108"/>
      <c r="AS310" s="108"/>
      <c r="AT310" s="108"/>
      <c r="AU310" s="108"/>
      <c r="AV310" s="108"/>
      <c r="AW310" s="108"/>
      <c r="AX310" s="108"/>
      <c r="AY310" s="108"/>
      <c r="AZ310" s="108"/>
    </row>
    <row r="311" spans="1:52" s="372" customFormat="1" ht="32.25" customHeight="1">
      <c r="A311" s="379">
        <f>_xlfn.AGGREGATE(4,7,A$22:A310)+1</f>
        <v>289</v>
      </c>
      <c r="B311" s="363" t="s">
        <v>2075</v>
      </c>
      <c r="C311" s="375"/>
      <c r="D311" s="434" t="s">
        <v>2076</v>
      </c>
      <c r="E311" s="615">
        <v>1603205185856</v>
      </c>
      <c r="F311" s="615"/>
      <c r="G311" s="615"/>
      <c r="H311" s="368" t="s">
        <v>2031</v>
      </c>
      <c r="I311" s="605">
        <v>8004388</v>
      </c>
      <c r="J311" s="81" t="str">
        <f>VLOOKUP(B311,TH.T5!B311:F640,5,FALSE)</f>
        <v>NV Phục vụ</v>
      </c>
      <c r="K311" s="466">
        <f t="shared" si="62"/>
        <v>2401316.4</v>
      </c>
      <c r="L311" s="606" t="str">
        <f>VLOOKUP(B311,'[24]Gui chi Quynh'!$B$11:$E$400,4,FALSE)</f>
        <v>A4</v>
      </c>
      <c r="M311" s="466">
        <f t="shared" si="66"/>
        <v>2401316</v>
      </c>
      <c r="N311" s="606">
        <v>25</v>
      </c>
      <c r="O311" s="607">
        <f>IFERROR(INDEX('[17]CN HĐ'!$J$10:$J$76,MATCH(B311,'[17]CN HĐ'!$H$10:$H$76,0)),"")</f>
        <v>25</v>
      </c>
      <c r="P311" s="608" t="e">
        <f>IF(M311&gt;#REF!,M311,#REF!)</f>
        <v>#REF!</v>
      </c>
      <c r="Q311" s="466">
        <f t="shared" si="63"/>
        <v>2401316</v>
      </c>
      <c r="R311" s="609"/>
      <c r="S311" s="466">
        <v>0</v>
      </c>
      <c r="T311" s="610"/>
      <c r="U311" s="466">
        <v>0</v>
      </c>
      <c r="V311" s="647">
        <f t="shared" si="64"/>
        <v>80043.88</v>
      </c>
      <c r="W311" s="611">
        <f t="shared" si="65"/>
        <v>2401316</v>
      </c>
      <c r="X311" s="977">
        <f t="shared" si="58"/>
        <v>1.3340644444444445</v>
      </c>
      <c r="Y311" s="999">
        <v>1800000</v>
      </c>
      <c r="Z311" s="1000">
        <f t="shared" si="59"/>
        <v>2401316</v>
      </c>
      <c r="AA311" s="568">
        <f t="shared" si="57"/>
        <v>289</v>
      </c>
      <c r="AB311" s="613">
        <f>IFERROR(INDEX('[17]CN HĐ'!$M$10:$M$76,MATCH(B311,'[17]CN HĐ'!$H$10:$H$76,0)),"")</f>
        <v>0</v>
      </c>
      <c r="AC311" s="108" t="str">
        <f>VLOOKUP(B311,TH.T4!B309:AC639,28,FALSE)</f>
        <v>QTDV</v>
      </c>
      <c r="AD311" s="155"/>
      <c r="AE311" s="108"/>
      <c r="AF311" s="108"/>
      <c r="AG311" s="108"/>
      <c r="AH311" s="108"/>
      <c r="AI311" s="108"/>
      <c r="AJ311" s="108"/>
      <c r="AK311" s="108"/>
      <c r="AL311" s="108"/>
      <c r="AM311" s="108"/>
      <c r="AN311" s="108"/>
      <c r="AO311" s="108"/>
      <c r="AP311" s="108"/>
      <c r="AQ311" s="108"/>
      <c r="AR311" s="108"/>
      <c r="AS311" s="108"/>
      <c r="AT311" s="108"/>
      <c r="AU311" s="108"/>
      <c r="AV311" s="108"/>
      <c r="AW311" s="108"/>
      <c r="AX311" s="108"/>
      <c r="AY311" s="108"/>
      <c r="AZ311" s="108"/>
    </row>
    <row r="312" spans="1:52" s="372" customFormat="1" ht="31.5" customHeight="1">
      <c r="A312" s="379">
        <f>_xlfn.AGGREGATE(4,7,A$22:A311)+1</f>
        <v>290</v>
      </c>
      <c r="B312" s="363" t="s">
        <v>2077</v>
      </c>
      <c r="C312" s="375"/>
      <c r="D312" s="434" t="s">
        <v>2078</v>
      </c>
      <c r="E312" s="604" t="s">
        <v>2079</v>
      </c>
      <c r="F312" s="604"/>
      <c r="G312" s="604"/>
      <c r="H312" s="368" t="s">
        <v>2031</v>
      </c>
      <c r="I312" s="605">
        <v>5159700</v>
      </c>
      <c r="J312" s="81" t="str">
        <f>VLOOKUP(B312,TH.T5!B312:F641,5,FALSE)</f>
        <v>NV Phục vụ</v>
      </c>
      <c r="K312" s="466">
        <f t="shared" si="62"/>
        <v>1547910</v>
      </c>
      <c r="L312" s="606" t="str">
        <f>VLOOKUP(B312,'[24]Gui chi Quynh'!$B$11:$E$400,4,FALSE)</f>
        <v>A4</v>
      </c>
      <c r="M312" s="466">
        <f t="shared" si="66"/>
        <v>1547910</v>
      </c>
      <c r="N312" s="606">
        <v>25</v>
      </c>
      <c r="O312" s="607">
        <f>IFERROR(INDEX('[17]CN HĐ'!$J$10:$J$76,MATCH(B312,'[17]CN HĐ'!$H$10:$H$76,0)),"")</f>
        <v>25</v>
      </c>
      <c r="P312" s="608" t="e">
        <f>IF(M312&gt;#REF!,M312,#REF!)</f>
        <v>#REF!</v>
      </c>
      <c r="Q312" s="466">
        <f t="shared" si="63"/>
        <v>1547910</v>
      </c>
      <c r="R312" s="609"/>
      <c r="S312" s="466">
        <v>0</v>
      </c>
      <c r="T312" s="610"/>
      <c r="U312" s="466">
        <v>0</v>
      </c>
      <c r="V312" s="466">
        <f t="shared" si="64"/>
        <v>51597</v>
      </c>
      <c r="W312" s="611">
        <f t="shared" si="65"/>
        <v>1547910</v>
      </c>
      <c r="X312" s="977">
        <f t="shared" si="58"/>
        <v>0.85994999999999999</v>
      </c>
      <c r="Y312" s="999">
        <v>1800000</v>
      </c>
      <c r="Z312" s="1000">
        <f t="shared" si="59"/>
        <v>1547910</v>
      </c>
      <c r="AA312" s="568">
        <f t="shared" si="57"/>
        <v>290</v>
      </c>
      <c r="AB312" s="613">
        <f>IFERROR(INDEX('[17]CN HĐ'!$M$10:$M$76,MATCH(B312,'[17]CN HĐ'!$H$10:$H$76,0)),"")</f>
        <v>0</v>
      </c>
      <c r="AC312" s="108" t="str">
        <f>VLOOKUP(B312,TH.T4!B310:AC640,28,FALSE)</f>
        <v>QTDV</v>
      </c>
      <c r="AD312" s="487"/>
    </row>
    <row r="313" spans="1:52" s="372" customFormat="1" ht="28.5" customHeight="1">
      <c r="A313" s="379">
        <f>_xlfn.AGGREGATE(4,7,A$22:A312)+1</f>
        <v>291</v>
      </c>
      <c r="B313" s="363" t="s">
        <v>2080</v>
      </c>
      <c r="C313" s="375"/>
      <c r="D313" s="434"/>
      <c r="E313" s="622" t="s">
        <v>2081</v>
      </c>
      <c r="F313" s="622"/>
      <c r="G313" s="622"/>
      <c r="H313" s="368" t="s">
        <v>2031</v>
      </c>
      <c r="I313" s="605">
        <v>5159700</v>
      </c>
      <c r="J313" s="81" t="str">
        <f>VLOOKUP(B313,TH.T5!B313:F642,5,FALSE)</f>
        <v>NV Phục vụ</v>
      </c>
      <c r="K313" s="466">
        <f t="shared" si="62"/>
        <v>1547910</v>
      </c>
      <c r="L313" s="606" t="str">
        <f>VLOOKUP(B313,'[24]Gui chi Quynh'!$B$11:$E$400,4,FALSE)</f>
        <v>A4</v>
      </c>
      <c r="M313" s="466">
        <f t="shared" si="66"/>
        <v>1547910</v>
      </c>
      <c r="N313" s="606">
        <v>25</v>
      </c>
      <c r="O313" s="607">
        <f>IFERROR(INDEX('[17]CN HĐ'!$J$10:$J$76,MATCH(B313,'[17]CN HĐ'!$H$10:$H$76,0)),"")</f>
        <v>25</v>
      </c>
      <c r="P313" s="608" t="e">
        <f>IF(M313&gt;#REF!,M313,#REF!)</f>
        <v>#REF!</v>
      </c>
      <c r="Q313" s="466">
        <f t="shared" si="63"/>
        <v>1547910</v>
      </c>
      <c r="R313" s="609"/>
      <c r="S313" s="466">
        <v>0</v>
      </c>
      <c r="T313" s="610"/>
      <c r="U313" s="466">
        <v>0</v>
      </c>
      <c r="V313" s="647">
        <f t="shared" si="64"/>
        <v>51597</v>
      </c>
      <c r="W313" s="611">
        <f t="shared" si="65"/>
        <v>1547910</v>
      </c>
      <c r="X313" s="977">
        <f t="shared" si="58"/>
        <v>0.85994999999999999</v>
      </c>
      <c r="Y313" s="999">
        <v>1800000</v>
      </c>
      <c r="Z313" s="1000">
        <f t="shared" si="59"/>
        <v>1547910</v>
      </c>
      <c r="AA313" s="568">
        <f t="shared" si="57"/>
        <v>291</v>
      </c>
      <c r="AB313" s="613">
        <f>IFERROR(INDEX('[17]CN HĐ'!$M$10:$M$76,MATCH(B313,'[17]CN HĐ'!$H$10:$H$76,0)),"")</f>
        <v>0</v>
      </c>
      <c r="AC313" s="108" t="str">
        <f>VLOOKUP(B313,TH.T4!B311:AC641,28,FALSE)</f>
        <v>QTDV</v>
      </c>
      <c r="AD313" s="155"/>
      <c r="AE313" s="108"/>
      <c r="AF313" s="108"/>
      <c r="AG313" s="108"/>
      <c r="AH313" s="108"/>
      <c r="AI313" s="108"/>
      <c r="AJ313" s="108"/>
      <c r="AK313" s="108"/>
      <c r="AL313" s="108"/>
      <c r="AM313" s="108"/>
      <c r="AN313" s="108"/>
      <c r="AO313" s="108"/>
      <c r="AP313" s="108"/>
      <c r="AQ313" s="108"/>
      <c r="AR313" s="108"/>
      <c r="AS313" s="108"/>
      <c r="AT313" s="108"/>
      <c r="AU313" s="108"/>
      <c r="AV313" s="108"/>
      <c r="AW313" s="108"/>
      <c r="AX313" s="108"/>
      <c r="AY313" s="108"/>
      <c r="AZ313" s="108"/>
    </row>
    <row r="314" spans="1:52" s="372" customFormat="1" ht="31.5" customHeight="1">
      <c r="A314" s="379">
        <f>_xlfn.AGGREGATE(4,7,A$22:A313)+1</f>
        <v>292</v>
      </c>
      <c r="B314" s="363" t="s">
        <v>2082</v>
      </c>
      <c r="C314" s="375"/>
      <c r="D314" s="434"/>
      <c r="E314" s="623" t="s">
        <v>2083</v>
      </c>
      <c r="F314" s="623"/>
      <c r="G314" s="623"/>
      <c r="H314" s="368" t="s">
        <v>2031</v>
      </c>
      <c r="I314" s="605">
        <v>4914000</v>
      </c>
      <c r="J314" s="81" t="str">
        <f>VLOOKUP(B314,TH.T5!B314:F643,5,FALSE)</f>
        <v>NV Phục vụ</v>
      </c>
      <c r="K314" s="466">
        <f t="shared" si="62"/>
        <v>1474200</v>
      </c>
      <c r="L314" s="606" t="str">
        <f>VLOOKUP(B314,'[24]Gui chi Quynh'!$B$11:$E$400,4,FALSE)</f>
        <v>A4</v>
      </c>
      <c r="M314" s="466">
        <f t="shared" si="66"/>
        <v>1474200</v>
      </c>
      <c r="N314" s="606">
        <v>25</v>
      </c>
      <c r="O314" s="607">
        <f>IFERROR(INDEX('[17]CN HĐ'!$J$10:$J$76,MATCH(B314,'[17]CN HĐ'!$H$10:$H$76,0)),"")</f>
        <v>25</v>
      </c>
      <c r="P314" s="608" t="e">
        <f>IF(M314&gt;#REF!,M314,#REF!)</f>
        <v>#REF!</v>
      </c>
      <c r="Q314" s="466">
        <f t="shared" si="63"/>
        <v>1474200</v>
      </c>
      <c r="R314" s="609"/>
      <c r="S314" s="466">
        <v>0</v>
      </c>
      <c r="T314" s="610"/>
      <c r="U314" s="466">
        <v>0</v>
      </c>
      <c r="V314" s="647">
        <f t="shared" si="64"/>
        <v>49140</v>
      </c>
      <c r="W314" s="611">
        <f t="shared" si="65"/>
        <v>1474200</v>
      </c>
      <c r="X314" s="977">
        <f t="shared" si="58"/>
        <v>0.81899999999999995</v>
      </c>
      <c r="Y314" s="999">
        <v>1800000</v>
      </c>
      <c r="Z314" s="1000">
        <f t="shared" si="59"/>
        <v>1474200</v>
      </c>
      <c r="AA314" s="568">
        <f t="shared" si="57"/>
        <v>292</v>
      </c>
      <c r="AB314" s="613">
        <f>IFERROR(INDEX('[17]CN HĐ'!$M$10:$M$76,MATCH(B314,'[17]CN HĐ'!$H$10:$H$76,0)),"")</f>
        <v>0</v>
      </c>
      <c r="AC314" s="108" t="str">
        <f>VLOOKUP(B314,TH.T4!B312:AC642,28,FALSE)</f>
        <v>QTDV</v>
      </c>
      <c r="AD314" s="155"/>
      <c r="AE314" s="108"/>
      <c r="AF314" s="108"/>
      <c r="AG314" s="108"/>
      <c r="AH314" s="108"/>
      <c r="AI314" s="108"/>
      <c r="AJ314" s="108"/>
      <c r="AK314" s="108"/>
      <c r="AL314" s="108"/>
      <c r="AM314" s="108"/>
      <c r="AN314" s="108"/>
      <c r="AO314" s="108"/>
      <c r="AP314" s="108"/>
      <c r="AQ314" s="108"/>
      <c r="AR314" s="108"/>
      <c r="AS314" s="108"/>
      <c r="AT314" s="108"/>
      <c r="AU314" s="108"/>
      <c r="AV314" s="108"/>
      <c r="AW314" s="108"/>
      <c r="AX314" s="108"/>
      <c r="AY314" s="108"/>
      <c r="AZ314" s="108"/>
    </row>
    <row r="315" spans="1:52" s="372" customFormat="1" ht="31.5" customHeight="1">
      <c r="A315" s="379">
        <f>_xlfn.AGGREGATE(4,7,A$22:A314)+1</f>
        <v>293</v>
      </c>
      <c r="B315" s="363" t="s">
        <v>2084</v>
      </c>
      <c r="C315" s="375"/>
      <c r="D315" s="434"/>
      <c r="E315" s="623" t="s">
        <v>2085</v>
      </c>
      <c r="F315" s="623"/>
      <c r="G315" s="623"/>
      <c r="H315" s="368" t="s">
        <v>2031</v>
      </c>
      <c r="I315" s="605">
        <v>4914000</v>
      </c>
      <c r="J315" s="81" t="str">
        <f>VLOOKUP(B315,TH.T5!B315:F644,5,FALSE)</f>
        <v>NV Phục vụ</v>
      </c>
      <c r="K315" s="466">
        <f t="shared" si="62"/>
        <v>1474200</v>
      </c>
      <c r="L315" s="606" t="str">
        <f>VLOOKUP(B315,'[24]Gui chi Quynh'!$B$11:$E$400,4,FALSE)</f>
        <v>A4</v>
      </c>
      <c r="M315" s="466">
        <f t="shared" si="66"/>
        <v>1474200</v>
      </c>
      <c r="N315" s="606">
        <v>25</v>
      </c>
      <c r="O315" s="607">
        <f>IFERROR(INDEX('[17]CN HĐ'!$J$10:$J$76,MATCH(B315,'[17]CN HĐ'!$H$10:$H$76,0)),"")</f>
        <v>25</v>
      </c>
      <c r="P315" s="608" t="e">
        <f>IF(M315&gt;#REF!,M315,#REF!)</f>
        <v>#REF!</v>
      </c>
      <c r="Q315" s="466">
        <f t="shared" si="63"/>
        <v>1474200</v>
      </c>
      <c r="R315" s="609"/>
      <c r="S315" s="466">
        <v>0</v>
      </c>
      <c r="T315" s="610"/>
      <c r="U315" s="466">
        <v>0</v>
      </c>
      <c r="V315" s="647">
        <f t="shared" si="64"/>
        <v>49140</v>
      </c>
      <c r="W315" s="611">
        <f t="shared" si="65"/>
        <v>1474200</v>
      </c>
      <c r="X315" s="977">
        <f t="shared" si="58"/>
        <v>0.81899999999999995</v>
      </c>
      <c r="Y315" s="999">
        <v>1800000</v>
      </c>
      <c r="Z315" s="1000">
        <f t="shared" si="59"/>
        <v>1474200</v>
      </c>
      <c r="AA315" s="568">
        <f t="shared" si="57"/>
        <v>293</v>
      </c>
      <c r="AB315" s="613">
        <f>IFERROR(INDEX('[17]CN HĐ'!$M$10:$M$76,MATCH(B315,'[17]CN HĐ'!$H$10:$H$76,0)),"")</f>
        <v>0</v>
      </c>
      <c r="AC315" s="108" t="str">
        <f>VLOOKUP(B315,TH.T4!B313:AC643,28,FALSE)</f>
        <v>QTDV</v>
      </c>
      <c r="AD315" s="155"/>
      <c r="AE315" s="108"/>
      <c r="AF315" s="108"/>
      <c r="AG315" s="108"/>
      <c r="AH315" s="108"/>
      <c r="AI315" s="108"/>
      <c r="AJ315" s="108"/>
      <c r="AK315" s="108"/>
      <c r="AL315" s="108"/>
      <c r="AM315" s="108"/>
      <c r="AN315" s="108"/>
      <c r="AO315" s="108"/>
      <c r="AP315" s="108"/>
      <c r="AQ315" s="108"/>
      <c r="AR315" s="108"/>
      <c r="AS315" s="108"/>
      <c r="AT315" s="108"/>
      <c r="AU315" s="108"/>
      <c r="AV315" s="108"/>
      <c r="AW315" s="108"/>
      <c r="AX315" s="108"/>
      <c r="AY315" s="108"/>
      <c r="AZ315" s="108"/>
    </row>
    <row r="316" spans="1:52" s="372" customFormat="1" ht="35.25" customHeight="1">
      <c r="A316" s="379">
        <f>_xlfn.AGGREGATE(4,7,A$22:A315)+1</f>
        <v>294</v>
      </c>
      <c r="B316" s="363" t="s">
        <v>2086</v>
      </c>
      <c r="C316" s="375"/>
      <c r="D316" s="434"/>
      <c r="E316" s="623"/>
      <c r="F316" s="623"/>
      <c r="G316" s="623"/>
      <c r="H316" s="368" t="s">
        <v>2031</v>
      </c>
      <c r="I316" s="605">
        <v>4914000</v>
      </c>
      <c r="J316" s="81" t="str">
        <f>VLOOKUP(B316,TH.T5!B316:F645,5,FALSE)</f>
        <v>Nhân viên phòng Quản trị - Dịch vụ</v>
      </c>
      <c r="K316" s="466">
        <f t="shared" si="62"/>
        <v>1474200</v>
      </c>
      <c r="L316" s="606" t="str">
        <f>VLOOKUP(B316,'[24]Gui chi Quynh'!$B$11:$E$400,4,FALSE)</f>
        <v>A4</v>
      </c>
      <c r="M316" s="466">
        <f t="shared" si="66"/>
        <v>1474200</v>
      </c>
      <c r="N316" s="606">
        <v>25</v>
      </c>
      <c r="O316" s="607">
        <f>IFERROR(INDEX('[17]CN HĐ'!$J$10:$J$76,MATCH(B316,'[17]CN HĐ'!$H$10:$H$76,0)),"")</f>
        <v>25</v>
      </c>
      <c r="P316" s="608"/>
      <c r="Q316" s="466">
        <f t="shared" si="63"/>
        <v>1474200</v>
      </c>
      <c r="R316" s="609"/>
      <c r="S316" s="466">
        <v>0</v>
      </c>
      <c r="T316" s="610"/>
      <c r="U316" s="466">
        <v>0</v>
      </c>
      <c r="V316" s="647">
        <f t="shared" si="64"/>
        <v>49140</v>
      </c>
      <c r="W316" s="611">
        <f t="shared" si="65"/>
        <v>1474200</v>
      </c>
      <c r="X316" s="977">
        <f t="shared" si="58"/>
        <v>0.81899999999999995</v>
      </c>
      <c r="Y316" s="999">
        <v>1800000</v>
      </c>
      <c r="Z316" s="1000">
        <f t="shared" si="59"/>
        <v>1474200</v>
      </c>
      <c r="AA316" s="568">
        <f t="shared" si="57"/>
        <v>294</v>
      </c>
      <c r="AB316" s="613">
        <f>IFERROR(INDEX('[17]CN HĐ'!$M$10:$M$76,MATCH(B316,'[17]CN HĐ'!$H$10:$H$76,0)),"")</f>
        <v>0</v>
      </c>
      <c r="AC316" s="108" t="str">
        <f>VLOOKUP(B316,TH.T4!B314:AC644,28,FALSE)</f>
        <v>QTDV</v>
      </c>
      <c r="AD316" s="155"/>
      <c r="AE316" s="108"/>
      <c r="AF316" s="108"/>
      <c r="AG316" s="108"/>
      <c r="AH316" s="108"/>
      <c r="AI316" s="108"/>
      <c r="AJ316" s="108"/>
      <c r="AK316" s="108"/>
      <c r="AL316" s="108"/>
      <c r="AM316" s="108"/>
      <c r="AN316" s="108"/>
      <c r="AO316" s="108"/>
      <c r="AP316" s="108"/>
      <c r="AQ316" s="108"/>
      <c r="AR316" s="108"/>
      <c r="AS316" s="108"/>
      <c r="AT316" s="108"/>
      <c r="AU316" s="108"/>
      <c r="AV316" s="108"/>
      <c r="AW316" s="108"/>
      <c r="AX316" s="108"/>
      <c r="AY316" s="108"/>
      <c r="AZ316" s="108"/>
    </row>
    <row r="317" spans="1:52" s="372" customFormat="1" ht="35.25" customHeight="1">
      <c r="A317" s="379">
        <f>_xlfn.AGGREGATE(4,7,A$22:A316)+1</f>
        <v>295</v>
      </c>
      <c r="B317" s="363" t="s">
        <v>2087</v>
      </c>
      <c r="C317" s="375"/>
      <c r="D317" s="434"/>
      <c r="E317" s="623"/>
      <c r="F317" s="623"/>
      <c r="G317" s="623"/>
      <c r="H317" s="368" t="s">
        <v>2031</v>
      </c>
      <c r="I317" s="605">
        <v>4914000</v>
      </c>
      <c r="J317" s="81" t="str">
        <f>VLOOKUP(B317,TH.T5!B317:F646,5,FALSE)</f>
        <v>Nhân viên phòng Quản trị - Dịch vụ</v>
      </c>
      <c r="K317" s="466">
        <f t="shared" si="62"/>
        <v>1474200</v>
      </c>
      <c r="L317" s="606" t="str">
        <f>VLOOKUP(B317,'[24]Gui chi Quynh'!$B$11:$E$400,4,FALSE)</f>
        <v>A4</v>
      </c>
      <c r="M317" s="466">
        <f t="shared" si="66"/>
        <v>1474200</v>
      </c>
      <c r="N317" s="606">
        <v>25</v>
      </c>
      <c r="O317" s="607">
        <f>IFERROR(INDEX('[17]CN HĐ'!$J$10:$J$76,MATCH(B317,'[17]CN HĐ'!$H$10:$H$76,0)),"")</f>
        <v>25</v>
      </c>
      <c r="P317" s="608"/>
      <c r="Q317" s="466">
        <f t="shared" si="63"/>
        <v>1474200</v>
      </c>
      <c r="R317" s="609"/>
      <c r="S317" s="466">
        <v>0</v>
      </c>
      <c r="T317" s="610"/>
      <c r="U317" s="466">
        <v>0</v>
      </c>
      <c r="V317" s="647">
        <f t="shared" si="64"/>
        <v>49140</v>
      </c>
      <c r="W317" s="611">
        <f t="shared" si="65"/>
        <v>1474200</v>
      </c>
      <c r="X317" s="977">
        <f t="shared" si="58"/>
        <v>0.81899999999999995</v>
      </c>
      <c r="Y317" s="999">
        <v>1800000</v>
      </c>
      <c r="Z317" s="1000">
        <f t="shared" si="59"/>
        <v>1474200</v>
      </c>
      <c r="AA317" s="568">
        <f t="shared" si="57"/>
        <v>295</v>
      </c>
      <c r="AB317" s="613" t="str">
        <f>IFERROR(INDEX('[17]CN HĐ'!$M$10:$M$76,MATCH(B317,'[17]CN HĐ'!$H$10:$H$76,0)),"")</f>
        <v>Trừ 1 ngày nghỉ phép 8/6</v>
      </c>
      <c r="AC317" s="108" t="str">
        <f>VLOOKUP(B317,TH.T4!B315:AC645,28,FALSE)</f>
        <v>QTDV</v>
      </c>
      <c r="AD317" s="155"/>
      <c r="AE317" s="108"/>
      <c r="AF317" s="108"/>
      <c r="AG317" s="108"/>
      <c r="AH317" s="108"/>
      <c r="AI317" s="108"/>
      <c r="AJ317" s="108"/>
      <c r="AK317" s="108"/>
      <c r="AL317" s="108"/>
      <c r="AM317" s="108"/>
      <c r="AN317" s="108"/>
      <c r="AO317" s="108"/>
      <c r="AP317" s="108"/>
      <c r="AQ317" s="108"/>
      <c r="AR317" s="108"/>
      <c r="AS317" s="108"/>
      <c r="AT317" s="108"/>
      <c r="AU317" s="108"/>
      <c r="AV317" s="108"/>
      <c r="AW317" s="108"/>
      <c r="AX317" s="108"/>
      <c r="AY317" s="108"/>
      <c r="AZ317" s="108"/>
    </row>
    <row r="318" spans="1:52" s="372" customFormat="1" ht="35.25" customHeight="1">
      <c r="A318" s="379">
        <f>_xlfn.AGGREGATE(4,7,A$22:A317)+1</f>
        <v>296</v>
      </c>
      <c r="B318" s="363" t="s">
        <v>2245</v>
      </c>
      <c r="C318" s="375"/>
      <c r="D318" s="434"/>
      <c r="E318" s="623"/>
      <c r="F318" s="623"/>
      <c r="G318" s="623"/>
      <c r="H318" s="368" t="s">
        <v>2038</v>
      </c>
      <c r="I318" s="605">
        <v>5007600</v>
      </c>
      <c r="J318" s="81" t="str">
        <f>VLOOKUP(B318,TH.T5!$B$318:$F$647,5,FALSE)</f>
        <v>Nhân viên phòng Quản trị - Dịch vụ</v>
      </c>
      <c r="K318" s="466">
        <f t="shared" si="62"/>
        <v>3505320</v>
      </c>
      <c r="L318" s="606" t="str">
        <f>VLOOKUP(B318,'[24]Gui chi Quynh'!$B$11:$E$400,4,FALSE)</f>
        <v>A1</v>
      </c>
      <c r="M318" s="466">
        <f t="shared" si="66"/>
        <v>5608512</v>
      </c>
      <c r="N318" s="606">
        <v>25</v>
      </c>
      <c r="O318" s="607">
        <f>IFERROR(INDEX('[17]CN HĐ'!$J$10:$J$76,MATCH(B318,'[17]CN HĐ'!$H$10:$H$76,0)),"")</f>
        <v>25</v>
      </c>
      <c r="P318" s="608"/>
      <c r="Q318" s="466">
        <f t="shared" si="63"/>
        <v>5608512</v>
      </c>
      <c r="R318" s="609"/>
      <c r="S318" s="466">
        <v>0</v>
      </c>
      <c r="T318" s="610"/>
      <c r="U318" s="466">
        <v>0</v>
      </c>
      <c r="V318" s="466">
        <f t="shared" si="64"/>
        <v>50076</v>
      </c>
      <c r="W318" s="611">
        <f t="shared" si="65"/>
        <v>5608512</v>
      </c>
      <c r="X318" s="977">
        <f t="shared" si="58"/>
        <v>3.1158399999999999</v>
      </c>
      <c r="Y318" s="999">
        <v>1800000</v>
      </c>
      <c r="Z318" s="1000">
        <f t="shared" si="59"/>
        <v>5608512</v>
      </c>
      <c r="AA318" s="568">
        <f t="shared" si="57"/>
        <v>296</v>
      </c>
      <c r="AB318" s="613" t="str">
        <f>IFERROR(INDEX('[17]CN HĐ'!$M$10:$M$76,MATCH(B318,'[17]CN HĐ'!$H$10:$H$76,0)),"")</f>
        <v>Cộng 13 ngày đi công tác tại đảo Phú Quý</v>
      </c>
      <c r="AC318" s="108" t="s">
        <v>2219</v>
      </c>
      <c r="AD318" s="155"/>
      <c r="AE318" s="108"/>
      <c r="AF318" s="108"/>
      <c r="AG318" s="108"/>
      <c r="AH318" s="108"/>
      <c r="AI318" s="108"/>
      <c r="AJ318" s="108"/>
      <c r="AK318" s="108"/>
      <c r="AL318" s="108"/>
      <c r="AM318" s="108"/>
      <c r="AN318" s="108"/>
      <c r="AO318" s="108"/>
      <c r="AP318" s="108"/>
      <c r="AQ318" s="108"/>
      <c r="AR318" s="108"/>
      <c r="AS318" s="108"/>
      <c r="AT318" s="108"/>
      <c r="AU318" s="108"/>
      <c r="AV318" s="108"/>
      <c r="AW318" s="108"/>
      <c r="AX318" s="108"/>
      <c r="AY318" s="108"/>
      <c r="AZ318" s="108"/>
    </row>
    <row r="319" spans="1:52" s="372" customFormat="1" ht="35.25" customHeight="1">
      <c r="A319" s="379">
        <f>_xlfn.AGGREGATE(4,7,A$22:A318)+1</f>
        <v>297</v>
      </c>
      <c r="B319" s="575" t="s">
        <v>2253</v>
      </c>
      <c r="C319" s="650"/>
      <c r="D319" s="576"/>
      <c r="E319" s="951"/>
      <c r="F319" s="951"/>
      <c r="G319" s="951"/>
      <c r="H319" s="472" t="s">
        <v>2038</v>
      </c>
      <c r="I319" s="982">
        <f>5007600*85%</f>
        <v>4256460</v>
      </c>
      <c r="J319" s="81" t="s">
        <v>2242</v>
      </c>
      <c r="K319" s="628">
        <f t="shared" si="62"/>
        <v>2979522</v>
      </c>
      <c r="L319" s="629" t="str">
        <f>VLOOKUP(B319,'[24]Gui chi Quynh'!$B$11:$E$400,4,FALSE)</f>
        <v>A4</v>
      </c>
      <c r="M319" s="628">
        <f t="shared" si="66"/>
        <v>2979522</v>
      </c>
      <c r="N319" s="629">
        <v>25</v>
      </c>
      <c r="O319" s="630">
        <f>IFERROR(INDEX('[17]CN HĐ'!$J$10:$J$76,MATCH(B319,'[17]CN HĐ'!$H$10:$H$76,0)),"")</f>
        <v>18</v>
      </c>
      <c r="P319" s="631"/>
      <c r="Q319" s="628">
        <f t="shared" si="63"/>
        <v>2145256</v>
      </c>
      <c r="R319" s="632"/>
      <c r="S319" s="628">
        <v>0</v>
      </c>
      <c r="T319" s="633"/>
      <c r="U319" s="628">
        <v>0</v>
      </c>
      <c r="V319" s="628"/>
      <c r="W319" s="952">
        <f t="shared" si="65"/>
        <v>2145256</v>
      </c>
      <c r="X319" s="977">
        <f t="shared" si="58"/>
        <v>1.1918088888888889</v>
      </c>
      <c r="Y319" s="999">
        <v>1800000</v>
      </c>
      <c r="Z319" s="1000">
        <f t="shared" si="59"/>
        <v>2145256</v>
      </c>
      <c r="AA319" s="568">
        <f t="shared" si="57"/>
        <v>297</v>
      </c>
      <c r="AB319" s="635" t="s">
        <v>2255</v>
      </c>
      <c r="AC319" s="108" t="s">
        <v>2219</v>
      </c>
      <c r="AD319" s="155"/>
      <c r="AE319" s="108"/>
      <c r="AF319" s="108"/>
      <c r="AG319" s="108"/>
      <c r="AH319" s="108"/>
      <c r="AI319" s="108"/>
      <c r="AJ319" s="108"/>
      <c r="AK319" s="108"/>
      <c r="AL319" s="108"/>
      <c r="AM319" s="108"/>
      <c r="AN319" s="108"/>
      <c r="AO319" s="108"/>
      <c r="AP319" s="108"/>
      <c r="AQ319" s="108"/>
      <c r="AR319" s="108"/>
      <c r="AS319" s="108"/>
      <c r="AT319" s="108"/>
      <c r="AU319" s="108"/>
      <c r="AV319" s="108"/>
      <c r="AW319" s="108"/>
      <c r="AX319" s="108"/>
      <c r="AY319" s="108"/>
      <c r="AZ319" s="108"/>
    </row>
    <row r="320" spans="1:52" s="372" customFormat="1" ht="35.25" customHeight="1">
      <c r="A320" s="379">
        <f>_xlfn.AGGREGATE(4,7,A$22:A319)+1</f>
        <v>298</v>
      </c>
      <c r="B320" s="363" t="s">
        <v>2088</v>
      </c>
      <c r="C320" s="375"/>
      <c r="D320" s="434"/>
      <c r="E320" s="623"/>
      <c r="F320" s="623"/>
      <c r="G320" s="623"/>
      <c r="H320" s="368" t="s">
        <v>2031</v>
      </c>
      <c r="I320" s="605">
        <v>4680000</v>
      </c>
      <c r="J320" s="81" t="str">
        <f>VLOOKUP(B320,TH.T5!$B$318:$F$647,5,FALSE)</f>
        <v>Nhân viên phòng Quản trị - Dịch vụ</v>
      </c>
      <c r="K320" s="466">
        <f t="shared" si="62"/>
        <v>1404000</v>
      </c>
      <c r="L320" s="606" t="str">
        <f>VLOOKUP(B320,'[24]Gui chi Quynh'!$B$11:$E$400,4,FALSE)</f>
        <v>A2</v>
      </c>
      <c r="M320" s="466">
        <f t="shared" si="66"/>
        <v>1965600</v>
      </c>
      <c r="N320" s="606">
        <v>25</v>
      </c>
      <c r="O320" s="607">
        <f>IFERROR(INDEX('[17]CN HĐ'!$J$10:$J$76,MATCH(B320,'[17]CN HĐ'!$H$10:$H$76,0)),"")</f>
        <v>25</v>
      </c>
      <c r="P320" s="608"/>
      <c r="Q320" s="466">
        <f t="shared" si="63"/>
        <v>1965600</v>
      </c>
      <c r="R320" s="609"/>
      <c r="S320" s="466">
        <v>0</v>
      </c>
      <c r="T320" s="610"/>
      <c r="U320" s="466">
        <v>0</v>
      </c>
      <c r="V320" s="647">
        <f t="shared" si="64"/>
        <v>46800</v>
      </c>
      <c r="W320" s="611">
        <f t="shared" si="65"/>
        <v>1965600</v>
      </c>
      <c r="X320" s="977">
        <f t="shared" si="58"/>
        <v>1.0920000000000001</v>
      </c>
      <c r="Y320" s="999">
        <v>1800000</v>
      </c>
      <c r="Z320" s="1000">
        <f t="shared" si="59"/>
        <v>1965600.0000000002</v>
      </c>
      <c r="AA320" s="568">
        <f t="shared" si="57"/>
        <v>298</v>
      </c>
      <c r="AB320" s="613">
        <f>IFERROR(INDEX('[17]CN HĐ'!$M$10:$M$76,MATCH(B320,'[17]CN HĐ'!$H$10:$H$76,0)),"")</f>
        <v>0</v>
      </c>
      <c r="AC320" s="108" t="str">
        <f>VLOOKUP(B320,TH.T4!B316:AC646,28,FALSE)</f>
        <v>QTDV</v>
      </c>
      <c r="AD320" s="155"/>
      <c r="AE320" s="108"/>
      <c r="AF320" s="108"/>
      <c r="AG320" s="108"/>
      <c r="AH320" s="108"/>
      <c r="AI320" s="108"/>
      <c r="AJ320" s="108"/>
      <c r="AK320" s="108"/>
      <c r="AL320" s="108"/>
      <c r="AM320" s="108"/>
      <c r="AN320" s="108"/>
      <c r="AO320" s="108"/>
      <c r="AP320" s="108"/>
      <c r="AQ320" s="108"/>
      <c r="AR320" s="108"/>
      <c r="AS320" s="108"/>
      <c r="AT320" s="108"/>
      <c r="AU320" s="108"/>
      <c r="AV320" s="108"/>
      <c r="AW320" s="108"/>
      <c r="AX320" s="108"/>
      <c r="AY320" s="108"/>
      <c r="AZ320" s="108"/>
    </row>
    <row r="321" spans="1:69" s="372" customFormat="1" ht="72">
      <c r="A321" s="379">
        <f>_xlfn.AGGREGATE(4,7,A$22:A320)+1</f>
        <v>299</v>
      </c>
      <c r="B321" s="661" t="s">
        <v>2089</v>
      </c>
      <c r="C321" s="983" t="s">
        <v>307</v>
      </c>
      <c r="D321" s="984" t="s">
        <v>2090</v>
      </c>
      <c r="E321" s="985">
        <v>1603205194204</v>
      </c>
      <c r="F321" s="985"/>
      <c r="G321" s="985"/>
      <c r="H321" s="554" t="s">
        <v>2038</v>
      </c>
      <c r="I321" s="986">
        <v>7046196</v>
      </c>
      <c r="J321" s="81" t="str">
        <f>VLOOKUP(B321,TH.T5!$B$318:$F$647,5,FALSE)</f>
        <v>Nhân viên Y tế</v>
      </c>
      <c r="K321" s="987">
        <f t="shared" si="62"/>
        <v>4932337.1999999993</v>
      </c>
      <c r="L321" s="988" t="str">
        <f>VLOOKUP(B321,'[24]Gui chi Quynh'!$B$11:$E$400,4,FALSE)</f>
        <v>B1</v>
      </c>
      <c r="M321" s="987">
        <f t="shared" si="66"/>
        <v>3452636</v>
      </c>
      <c r="N321" s="988">
        <v>25</v>
      </c>
      <c r="O321" s="989">
        <f>IFERROR(INDEX('[17]CN HĐ'!$J$10:$J$76,MATCH(B321,'[17]CN HĐ'!$H$10:$H$76,0)),"")</f>
        <v>17</v>
      </c>
      <c r="P321" s="990" t="e">
        <f>IF(M321&gt;#REF!,M321,#REF!)</f>
        <v>#REF!</v>
      </c>
      <c r="Q321" s="987">
        <f t="shared" si="63"/>
        <v>2347792</v>
      </c>
      <c r="R321" s="991"/>
      <c r="S321" s="987">
        <v>0</v>
      </c>
      <c r="T321" s="992"/>
      <c r="U321" s="987">
        <v>0</v>
      </c>
      <c r="V321" s="987">
        <f t="shared" si="64"/>
        <v>70461.960000000006</v>
      </c>
      <c r="W321" s="993">
        <f t="shared" si="65"/>
        <v>2347792</v>
      </c>
      <c r="X321" s="977">
        <f t="shared" si="58"/>
        <v>1.3043288888888889</v>
      </c>
      <c r="Y321" s="999">
        <v>1800000</v>
      </c>
      <c r="Z321" s="1000">
        <f t="shared" si="59"/>
        <v>2347792</v>
      </c>
      <c r="AA321" s="568">
        <f t="shared" si="57"/>
        <v>299</v>
      </c>
      <c r="AB321" s="994" t="s">
        <v>2256</v>
      </c>
      <c r="AC321" s="108" t="str">
        <f>VLOOKUP(B321,TH.T4!B317:AC647,28,FALSE)</f>
        <v>TTYT</v>
      </c>
    </row>
    <row r="322" spans="1:69" s="372" customFormat="1" ht="27" customHeight="1">
      <c r="A322" s="379">
        <f>_xlfn.AGGREGATE(4,7,A$22:A321)+1</f>
        <v>300</v>
      </c>
      <c r="B322" s="444" t="s">
        <v>2091</v>
      </c>
      <c r="C322" s="419"/>
      <c r="D322" s="418"/>
      <c r="E322" s="615"/>
      <c r="F322" s="615"/>
      <c r="G322" s="615"/>
      <c r="H322" s="368" t="s">
        <v>2031</v>
      </c>
      <c r="I322" s="605">
        <v>4914000</v>
      </c>
      <c r="J322" s="81" t="str">
        <f>VLOOKUP(B322,TH.T5!$B$318:$F$647,5,FALSE)</f>
        <v>Nhân viên Ký túc xá</v>
      </c>
      <c r="K322" s="466">
        <f t="shared" si="62"/>
        <v>1474200</v>
      </c>
      <c r="L322" s="606" t="str">
        <f>VLOOKUP(B322,'[24]Gui chi Quynh'!$B$11:$E$400,4,FALSE)</f>
        <v>A4</v>
      </c>
      <c r="M322" s="466">
        <f t="shared" si="66"/>
        <v>1474200</v>
      </c>
      <c r="N322" s="606">
        <v>25</v>
      </c>
      <c r="O322" s="607">
        <f>IFERROR(INDEX('[17]CN HĐ'!$J$10:$J$76,MATCH(B322,'[17]CN HĐ'!$H$10:$H$76,0)),"")</f>
        <v>26</v>
      </c>
      <c r="P322" s="608"/>
      <c r="Q322" s="466">
        <f t="shared" si="63"/>
        <v>1474200</v>
      </c>
      <c r="R322" s="609"/>
      <c r="S322" s="466">
        <v>0</v>
      </c>
      <c r="T322" s="610"/>
      <c r="U322" s="466">
        <v>0</v>
      </c>
      <c r="V322" s="647">
        <f t="shared" si="64"/>
        <v>49140</v>
      </c>
      <c r="W322" s="611">
        <f t="shared" si="65"/>
        <v>1474200</v>
      </c>
      <c r="X322" s="977">
        <f t="shared" si="58"/>
        <v>0.81899999999999995</v>
      </c>
      <c r="Y322" s="999">
        <v>1800000</v>
      </c>
      <c r="Z322" s="1000">
        <f t="shared" si="59"/>
        <v>1474200</v>
      </c>
      <c r="AA322" s="568">
        <f t="shared" si="57"/>
        <v>300</v>
      </c>
      <c r="AB322" s="613">
        <f>IFERROR(INDEX('[17]CN HĐ'!$M$10:$M$76,MATCH(B322,'[17]CN HĐ'!$H$10:$H$76,0)),"")</f>
        <v>0</v>
      </c>
      <c r="AC322" s="108" t="str">
        <f>VLOOKUP(B322,TH.T4!B318:AC648,28,FALSE)</f>
        <v>QTDV</v>
      </c>
      <c r="AD322" s="108"/>
      <c r="AE322" s="108"/>
      <c r="AF322" s="108"/>
      <c r="AG322" s="108"/>
      <c r="AH322" s="108"/>
      <c r="AI322" s="108"/>
      <c r="AJ322" s="108"/>
      <c r="AK322" s="108"/>
      <c r="AL322" s="108"/>
      <c r="AM322" s="108"/>
      <c r="AN322" s="108"/>
      <c r="AO322" s="108"/>
      <c r="AP322" s="108"/>
      <c r="AQ322" s="108"/>
      <c r="AR322" s="108"/>
      <c r="AS322" s="108"/>
      <c r="AT322" s="108"/>
    </row>
    <row r="323" spans="1:69" s="372" customFormat="1" ht="27" customHeight="1">
      <c r="A323" s="379">
        <f>_xlfn.AGGREGATE(4,7,A$22:A322)+1</f>
        <v>301</v>
      </c>
      <c r="B323" s="624" t="s">
        <v>2092</v>
      </c>
      <c r="C323" s="625"/>
      <c r="D323" s="418"/>
      <c r="E323" s="614" t="s">
        <v>2093</v>
      </c>
      <c r="F323" s="614"/>
      <c r="G323" s="614"/>
      <c r="H323" s="368" t="s">
        <v>2042</v>
      </c>
      <c r="I323" s="605">
        <v>12518663</v>
      </c>
      <c r="J323" s="81" t="str">
        <f>VLOOKUP(B323,TH.T5!$B$318:$F$647,5,FALSE)</f>
        <v>Nhân viên</v>
      </c>
      <c r="K323" s="466">
        <f t="shared" si="62"/>
        <v>8763064.0999999996</v>
      </c>
      <c r="L323" s="606" t="str">
        <f>VLOOKUP(B323,'[24]Gui chi Quynh'!$B$11:$E$400,4,FALSE)</f>
        <v>A1</v>
      </c>
      <c r="M323" s="466">
        <f t="shared" si="66"/>
        <v>14020903</v>
      </c>
      <c r="N323" s="606">
        <v>25</v>
      </c>
      <c r="O323" s="607">
        <f>IFERROR(INDEX('[17]CN HĐ'!$J$10:$J$76,MATCH(B323,'[17]CN HĐ'!$H$10:$H$76,0)),"")</f>
        <v>30</v>
      </c>
      <c r="P323" s="608" t="e">
        <f>IF(M323&gt;#REF!,M323,#REF!)</f>
        <v>#REF!</v>
      </c>
      <c r="Q323" s="466">
        <f t="shared" si="63"/>
        <v>14020903</v>
      </c>
      <c r="R323" s="609"/>
      <c r="S323" s="466">
        <v>0</v>
      </c>
      <c r="T323" s="626"/>
      <c r="U323" s="466">
        <v>0</v>
      </c>
      <c r="V323" s="647">
        <f t="shared" si="64"/>
        <v>125186.63</v>
      </c>
      <c r="W323" s="611">
        <f t="shared" si="65"/>
        <v>14020903</v>
      </c>
      <c r="X323" s="977">
        <f t="shared" si="58"/>
        <v>7.7893905555555554</v>
      </c>
      <c r="Y323" s="999">
        <v>1800000</v>
      </c>
      <c r="Z323" s="1000">
        <f t="shared" si="59"/>
        <v>14020903</v>
      </c>
      <c r="AA323" s="568">
        <f t="shared" si="57"/>
        <v>301</v>
      </c>
      <c r="AB323" s="613">
        <f>IFERROR(INDEX('[17]CN HĐ'!$M$10:$M$76,MATCH(B323,'[17]CN HĐ'!$H$10:$H$76,0)),"")</f>
        <v>0</v>
      </c>
      <c r="AC323" s="108" t="str">
        <f>VLOOKUP(B323,TH.T4!B319:AC649,28,FALSE)</f>
        <v>TTĐT</v>
      </c>
      <c r="AD323" s="108"/>
      <c r="AE323" s="108"/>
      <c r="AF323" s="108"/>
      <c r="AG323" s="108"/>
      <c r="AH323" s="108"/>
      <c r="AI323" s="108"/>
      <c r="AJ323" s="108"/>
      <c r="AK323" s="108"/>
      <c r="AL323" s="108"/>
      <c r="AM323" s="108"/>
      <c r="AN323" s="108"/>
      <c r="AO323" s="108"/>
      <c r="AP323" s="108"/>
      <c r="AQ323" s="108"/>
      <c r="AR323" s="108"/>
      <c r="AS323" s="108"/>
      <c r="AT323" s="108"/>
      <c r="AU323" s="108"/>
      <c r="AV323" s="108"/>
      <c r="AW323" s="108"/>
      <c r="AX323" s="108"/>
      <c r="AY323" s="108"/>
      <c r="AZ323" s="108"/>
      <c r="BA323" s="108"/>
      <c r="BB323" s="108"/>
      <c r="BC323" s="108"/>
      <c r="BD323" s="108"/>
      <c r="BE323" s="108"/>
      <c r="BF323" s="108"/>
      <c r="BG323" s="108"/>
      <c r="BH323" s="108"/>
      <c r="BI323" s="108"/>
      <c r="BJ323" s="108"/>
      <c r="BK323" s="108"/>
      <c r="BL323" s="108"/>
      <c r="BM323" s="108"/>
      <c r="BN323" s="108"/>
      <c r="BO323" s="108"/>
      <c r="BP323" s="108"/>
      <c r="BQ323" s="108"/>
    </row>
    <row r="324" spans="1:69" s="372" customFormat="1" ht="27" customHeight="1">
      <c r="A324" s="379">
        <f>_xlfn.AGGREGATE(4,7,A$22:A323)+1</f>
        <v>302</v>
      </c>
      <c r="B324" s="444" t="s">
        <v>2094</v>
      </c>
      <c r="C324" s="419" t="s">
        <v>1602</v>
      </c>
      <c r="D324" s="418" t="s">
        <v>2095</v>
      </c>
      <c r="E324" s="604">
        <v>1603205341982</v>
      </c>
      <c r="F324" s="604"/>
      <c r="G324" s="604"/>
      <c r="H324" s="368" t="s">
        <v>2042</v>
      </c>
      <c r="I324" s="605">
        <v>7515057</v>
      </c>
      <c r="J324" s="81" t="str">
        <f>VLOOKUP(B324,TH.T5!$B$318:$F$647,5,FALSE)</f>
        <v>NV Kế toán</v>
      </c>
      <c r="K324" s="466">
        <f t="shared" si="62"/>
        <v>5260539.8999999994</v>
      </c>
      <c r="L324" s="606" t="str">
        <f>VLOOKUP(B324,'[24]Gui chi Quynh'!$B$11:$E$400,4,FALSE)</f>
        <v>A2</v>
      </c>
      <c r="M324" s="466">
        <f t="shared" si="66"/>
        <v>7364756</v>
      </c>
      <c r="N324" s="606">
        <v>25</v>
      </c>
      <c r="O324" s="607">
        <f>IFERROR(INDEX('[17]CN HĐ'!$J$10:$J$76,MATCH(B324,'[17]CN HĐ'!$H$10:$H$76,0)),"")</f>
        <v>24</v>
      </c>
      <c r="P324" s="608" t="e">
        <f>IF(M324&gt;#REF!,M324,#REF!)</f>
        <v>#REF!</v>
      </c>
      <c r="Q324" s="466">
        <f t="shared" si="63"/>
        <v>7070166</v>
      </c>
      <c r="R324" s="609"/>
      <c r="S324" s="466">
        <v>0</v>
      </c>
      <c r="T324" s="466" t="e">
        <f>S324*#REF!*0.5</f>
        <v>#REF!</v>
      </c>
      <c r="U324" s="466">
        <v>0</v>
      </c>
      <c r="V324" s="647">
        <f t="shared" si="64"/>
        <v>75150.570000000007</v>
      </c>
      <c r="W324" s="611">
        <f t="shared" si="65"/>
        <v>7070166</v>
      </c>
      <c r="X324" s="977">
        <f t="shared" si="58"/>
        <v>3.92787</v>
      </c>
      <c r="Y324" s="999">
        <v>1800000</v>
      </c>
      <c r="Z324" s="1000">
        <f t="shared" si="59"/>
        <v>7070166</v>
      </c>
      <c r="AA324" s="568">
        <f t="shared" si="57"/>
        <v>302</v>
      </c>
      <c r="AB324" s="613" t="str">
        <f>IFERROR(INDEX('[17]CN HĐ'!$M$10:$M$76,MATCH(B324,'[17]CN HĐ'!$H$10:$H$76,0)),"")</f>
        <v>Trừ 1 ngày nghỉ phép 27/6</v>
      </c>
      <c r="AC324" s="108" t="str">
        <f>VLOOKUP(B324,TH.T4!B320:AC650,28,FALSE)</f>
        <v>KHTC</v>
      </c>
      <c r="AD324" s="108"/>
      <c r="AE324" s="108"/>
      <c r="AF324" s="108"/>
      <c r="AG324" s="108"/>
      <c r="AH324" s="108"/>
      <c r="AI324" s="108"/>
      <c r="AJ324" s="108"/>
      <c r="AK324" s="108"/>
      <c r="AL324" s="108"/>
      <c r="AM324" s="108"/>
      <c r="AN324" s="108"/>
      <c r="AO324" s="108"/>
      <c r="AP324" s="108"/>
      <c r="AQ324" s="108"/>
      <c r="AR324" s="108"/>
      <c r="AS324" s="108"/>
      <c r="AT324" s="108"/>
      <c r="AU324" s="108"/>
      <c r="AV324" s="108"/>
      <c r="AW324" s="108"/>
      <c r="AX324" s="108"/>
      <c r="AY324" s="108"/>
      <c r="AZ324" s="108"/>
    </row>
    <row r="325" spans="1:69" s="372" customFormat="1" ht="27" customHeight="1">
      <c r="A325" s="379">
        <f>_xlfn.AGGREGATE(4,7,A$22:A324)+1</f>
        <v>303</v>
      </c>
      <c r="B325" s="444" t="s">
        <v>2096</v>
      </c>
      <c r="C325" s="419"/>
      <c r="D325" s="418"/>
      <c r="E325" s="622" t="s">
        <v>2097</v>
      </c>
      <c r="F325" s="622"/>
      <c r="G325" s="622"/>
      <c r="H325" s="368" t="s">
        <v>2042</v>
      </c>
      <c r="I325" s="605">
        <v>5733201</v>
      </c>
      <c r="J325" s="81" t="str">
        <f>VLOOKUP(B325,TH.T5!$B$318:$F$647,5,FALSE)</f>
        <v>NV Kế toán</v>
      </c>
      <c r="K325" s="466">
        <f t="shared" si="62"/>
        <v>4013240.6999999997</v>
      </c>
      <c r="L325" s="606" t="str">
        <f>VLOOKUP(B325,'[24]Gui chi Quynh'!$B$11:$E$400,4,FALSE)</f>
        <v>A3</v>
      </c>
      <c r="M325" s="466">
        <f t="shared" si="66"/>
        <v>4815889</v>
      </c>
      <c r="N325" s="606">
        <v>25</v>
      </c>
      <c r="O325" s="607">
        <f>IFERROR(INDEX('[17]CN HĐ'!$J$10:$J$76,MATCH(B325,'[17]CN HĐ'!$H$10:$H$76,0)),"")</f>
        <v>23</v>
      </c>
      <c r="P325" s="608" t="e">
        <f>IF(M325&gt;#REF!,M325,#REF!)</f>
        <v>#REF!</v>
      </c>
      <c r="Q325" s="466">
        <f t="shared" si="63"/>
        <v>4430618</v>
      </c>
      <c r="R325" s="609"/>
      <c r="S325" s="466">
        <v>0</v>
      </c>
      <c r="T325" s="466"/>
      <c r="U325" s="466">
        <v>0</v>
      </c>
      <c r="V325" s="647">
        <f t="shared" si="64"/>
        <v>57332.01</v>
      </c>
      <c r="W325" s="611">
        <f t="shared" si="65"/>
        <v>4430618</v>
      </c>
      <c r="X325" s="977">
        <f t="shared" si="58"/>
        <v>2.4614544444444446</v>
      </c>
      <c r="Y325" s="999">
        <v>1800000</v>
      </c>
      <c r="Z325" s="1000">
        <f t="shared" si="59"/>
        <v>4430618</v>
      </c>
      <c r="AA325" s="568">
        <f t="shared" si="57"/>
        <v>303</v>
      </c>
      <c r="AB325" s="613" t="str">
        <f>IFERROR(INDEX('[17]CN HĐ'!$M$10:$M$76,MATCH(B325,'[17]CN HĐ'!$H$10:$H$76,0)),"")</f>
        <v>Trừ 2 ngày nghỉ phép 10+21/6</v>
      </c>
      <c r="AC325" s="108" t="str">
        <f>VLOOKUP(B325,TH.T4!B321:AC651,28,FALSE)</f>
        <v>KHTC</v>
      </c>
      <c r="AD325" s="108"/>
      <c r="AE325" s="108"/>
      <c r="AF325" s="108"/>
      <c r="AG325" s="108"/>
      <c r="AH325" s="108"/>
      <c r="AI325" s="108"/>
      <c r="AJ325" s="108"/>
      <c r="AK325" s="108"/>
      <c r="AL325" s="108"/>
      <c r="AM325" s="108"/>
      <c r="AN325" s="108"/>
      <c r="AO325" s="108"/>
      <c r="AP325" s="108"/>
      <c r="AQ325" s="108"/>
      <c r="AR325" s="108"/>
      <c r="AS325" s="108"/>
      <c r="AT325" s="108"/>
      <c r="AU325" s="108"/>
      <c r="AV325" s="108"/>
      <c r="AW325" s="108"/>
      <c r="AX325" s="108"/>
      <c r="AY325" s="108"/>
      <c r="AZ325" s="108"/>
    </row>
    <row r="326" spans="1:69" s="372" customFormat="1" ht="27" customHeight="1">
      <c r="A326" s="379">
        <f>_xlfn.AGGREGATE(4,7,A$22:A325)+1</f>
        <v>304</v>
      </c>
      <c r="B326" s="444" t="s">
        <v>2098</v>
      </c>
      <c r="C326" s="419"/>
      <c r="D326" s="418"/>
      <c r="E326" s="615"/>
      <c r="F326" s="615"/>
      <c r="G326" s="615"/>
      <c r="H326" s="368" t="s">
        <v>2042</v>
      </c>
      <c r="I326" s="605">
        <v>5733201</v>
      </c>
      <c r="J326" s="81" t="str">
        <f>VLOOKUP(B326,TH.T5!$B$318:$F$647,5,FALSE)</f>
        <v>NV Kế toán</v>
      </c>
      <c r="K326" s="466">
        <f t="shared" si="62"/>
        <v>4013240.6999999997</v>
      </c>
      <c r="L326" s="606" t="str">
        <f>VLOOKUP(B326,'[24]Gui chi Quynh'!$B$11:$E$400,4,FALSE)</f>
        <v>A2</v>
      </c>
      <c r="M326" s="466">
        <f t="shared" si="66"/>
        <v>5618537</v>
      </c>
      <c r="N326" s="606">
        <v>25</v>
      </c>
      <c r="O326" s="607">
        <f>IFERROR(INDEX('[17]CN HĐ'!$J$10:$J$76,MATCH(B326,'[17]CN HĐ'!$H$10:$H$76,0)),"")</f>
        <v>25</v>
      </c>
      <c r="P326" s="608"/>
      <c r="Q326" s="466">
        <f t="shared" si="63"/>
        <v>5618537</v>
      </c>
      <c r="R326" s="609"/>
      <c r="S326" s="466">
        <v>0</v>
      </c>
      <c r="T326" s="466"/>
      <c r="U326" s="466">
        <v>0</v>
      </c>
      <c r="V326" s="647">
        <f t="shared" si="64"/>
        <v>57332.01</v>
      </c>
      <c r="W326" s="611">
        <f t="shared" si="65"/>
        <v>5618537</v>
      </c>
      <c r="X326" s="977">
        <f t="shared" si="58"/>
        <v>3.1214094444444442</v>
      </c>
      <c r="Y326" s="999">
        <v>1800000</v>
      </c>
      <c r="Z326" s="1000">
        <f t="shared" si="59"/>
        <v>5618537</v>
      </c>
      <c r="AA326" s="568">
        <f t="shared" si="57"/>
        <v>304</v>
      </c>
      <c r="AB326" s="613">
        <f>IFERROR(INDEX('[17]CN HĐ'!$M$10:$M$76,MATCH(B326,'[17]CN HĐ'!$H$10:$H$76,0)),"")</f>
        <v>0</v>
      </c>
      <c r="AC326" s="108" t="str">
        <f>VLOOKUP(B326,TH.T4!B322:AC652,28,FALSE)</f>
        <v>KHTC</v>
      </c>
      <c r="AD326" s="108"/>
      <c r="AE326" s="108"/>
      <c r="AF326" s="108"/>
      <c r="AG326" s="108"/>
      <c r="AH326" s="108"/>
      <c r="AI326" s="108"/>
      <c r="AJ326" s="108"/>
      <c r="AK326" s="108"/>
      <c r="AL326" s="108"/>
      <c r="AM326" s="108"/>
      <c r="AN326" s="108"/>
      <c r="AO326" s="108"/>
      <c r="AP326" s="108"/>
      <c r="AQ326" s="108"/>
      <c r="AR326" s="108"/>
      <c r="AS326" s="108"/>
      <c r="AT326" s="108"/>
      <c r="AU326" s="108"/>
      <c r="AV326" s="108"/>
      <c r="AW326" s="108"/>
      <c r="AX326" s="108"/>
      <c r="AY326" s="108"/>
      <c r="AZ326" s="108"/>
    </row>
    <row r="327" spans="1:69" s="372" customFormat="1" ht="27" customHeight="1">
      <c r="A327" s="379">
        <f>_xlfn.AGGREGATE(4,7,A$22:A326)+1</f>
        <v>305</v>
      </c>
      <c r="B327" s="444" t="s">
        <v>2099</v>
      </c>
      <c r="C327" s="419"/>
      <c r="D327" s="418"/>
      <c r="E327" s="615"/>
      <c r="F327" s="615"/>
      <c r="G327" s="615"/>
      <c r="H327" s="368" t="s">
        <v>2042</v>
      </c>
      <c r="I327" s="605">
        <v>5358132</v>
      </c>
      <c r="J327" s="81" t="str">
        <f>VLOOKUP(B327,TH.T5!$B$318:$F$647,5,FALSE)</f>
        <v>NV Kế toán</v>
      </c>
      <c r="K327" s="466">
        <f t="shared" si="62"/>
        <v>3750692.4</v>
      </c>
      <c r="L327" s="606" t="str">
        <f>VLOOKUP(B327,'[24]Gui chi Quynh'!$B$11:$E$400,4,FALSE)</f>
        <v>A2</v>
      </c>
      <c r="M327" s="466">
        <f t="shared" si="66"/>
        <v>5250969</v>
      </c>
      <c r="N327" s="606">
        <v>25</v>
      </c>
      <c r="O327" s="607">
        <f>IFERROR(INDEX('[17]CN HĐ'!$J$10:$J$76,MATCH(B327,'[17]CN HĐ'!$H$10:$H$76,0)),"")</f>
        <v>25</v>
      </c>
      <c r="P327" s="608"/>
      <c r="Q327" s="466">
        <f t="shared" si="63"/>
        <v>5250969</v>
      </c>
      <c r="R327" s="609"/>
      <c r="S327" s="466">
        <v>0</v>
      </c>
      <c r="T327" s="466"/>
      <c r="U327" s="466">
        <v>0</v>
      </c>
      <c r="V327" s="647">
        <f t="shared" si="64"/>
        <v>53581.32</v>
      </c>
      <c r="W327" s="611">
        <f t="shared" si="65"/>
        <v>5250969</v>
      </c>
      <c r="X327" s="977">
        <f t="shared" si="58"/>
        <v>2.917205</v>
      </c>
      <c r="Y327" s="999">
        <v>1800000</v>
      </c>
      <c r="Z327" s="1000">
        <f t="shared" si="59"/>
        <v>5250969</v>
      </c>
      <c r="AA327" s="568">
        <f t="shared" si="57"/>
        <v>305</v>
      </c>
      <c r="AB327" s="613">
        <f>IFERROR(INDEX('[17]CN HĐ'!$M$10:$M$76,MATCH(B327,'[17]CN HĐ'!$H$10:$H$76,0)),"")</f>
        <v>0</v>
      </c>
      <c r="AC327" s="108" t="str">
        <f>VLOOKUP(B327,TH.T4!B323:AC653,28,FALSE)</f>
        <v>KHTC</v>
      </c>
      <c r="AD327" s="108"/>
      <c r="AE327" s="108"/>
      <c r="AF327" s="108"/>
      <c r="AG327" s="108"/>
      <c r="AH327" s="108"/>
      <c r="AI327" s="108"/>
      <c r="AJ327" s="108"/>
      <c r="AK327" s="108"/>
      <c r="AL327" s="108"/>
      <c r="AM327" s="108"/>
      <c r="AN327" s="108"/>
      <c r="AO327" s="108"/>
      <c r="AP327" s="108"/>
      <c r="AQ327" s="108"/>
      <c r="AR327" s="108"/>
      <c r="AS327" s="108"/>
      <c r="AT327" s="108"/>
    </row>
    <row r="328" spans="1:69" s="372" customFormat="1" ht="27" customHeight="1">
      <c r="A328" s="379">
        <f>_xlfn.AGGREGATE(4,7,A$22:A327)+1</f>
        <v>306</v>
      </c>
      <c r="B328" s="624" t="s">
        <v>2100</v>
      </c>
      <c r="C328" s="625" t="s">
        <v>1053</v>
      </c>
      <c r="D328" s="418" t="s">
        <v>2101</v>
      </c>
      <c r="E328" s="614">
        <v>1603205399011</v>
      </c>
      <c r="F328" s="614"/>
      <c r="G328" s="614"/>
      <c r="H328" s="81" t="s">
        <v>2042</v>
      </c>
      <c r="I328" s="605">
        <v>8041111</v>
      </c>
      <c r="J328" s="81" t="str">
        <f>VLOOKUP(B328,TH.T5!$B$318:$F$647,5,FALSE)</f>
        <v>Nhân viên</v>
      </c>
      <c r="K328" s="466">
        <f t="shared" si="62"/>
        <v>5628777.6999999993</v>
      </c>
      <c r="L328" s="606" t="str">
        <f>VLOOKUP(B328,'[24]Gui chi Quynh'!$B$11:$E$400,4,FALSE)</f>
        <v>A4</v>
      </c>
      <c r="M328" s="466">
        <f t="shared" si="66"/>
        <v>5628778</v>
      </c>
      <c r="N328" s="606">
        <v>25</v>
      </c>
      <c r="O328" s="607">
        <f>IFERROR(INDEX('[17]CN HĐ'!$J$10:$J$76,MATCH(B328,'[17]CN HĐ'!$H$10:$H$76,0)),"")</f>
        <v>25</v>
      </c>
      <c r="P328" s="608" t="e">
        <f>IF(M328&gt;#REF!,M328,#REF!)</f>
        <v>#REF!</v>
      </c>
      <c r="Q328" s="466">
        <f t="shared" si="63"/>
        <v>5628778</v>
      </c>
      <c r="R328" s="609"/>
      <c r="S328" s="466">
        <v>0</v>
      </c>
      <c r="T328" s="626"/>
      <c r="U328" s="466">
        <v>0</v>
      </c>
      <c r="V328" s="647">
        <f t="shared" si="64"/>
        <v>80411.11</v>
      </c>
      <c r="W328" s="611">
        <f t="shared" si="65"/>
        <v>5628778</v>
      </c>
      <c r="X328" s="977">
        <f t="shared" si="58"/>
        <v>3.1270988888888889</v>
      </c>
      <c r="Y328" s="999">
        <v>1800000</v>
      </c>
      <c r="Z328" s="1000">
        <f t="shared" si="59"/>
        <v>5628778</v>
      </c>
      <c r="AA328" s="568">
        <f t="shared" si="57"/>
        <v>306</v>
      </c>
      <c r="AB328" s="613">
        <f>IFERROR(INDEX('[17]CN HĐ'!$M$10:$M$76,MATCH(B328,'[17]CN HĐ'!$H$10:$H$76,0)),"")</f>
        <v>0</v>
      </c>
      <c r="AC328" s="108" t="str">
        <f>VLOOKUP(B328,TH.T4!B324:AC654,28,FALSE)</f>
        <v>TTrGD</v>
      </c>
      <c r="AD328" s="108"/>
      <c r="AE328" s="108"/>
      <c r="AF328" s="108"/>
      <c r="AG328" s="108"/>
      <c r="AH328" s="108"/>
      <c r="AI328" s="108"/>
      <c r="AJ328" s="108"/>
      <c r="AK328" s="108"/>
      <c r="AL328" s="108"/>
      <c r="AM328" s="108"/>
      <c r="AN328" s="108"/>
      <c r="AO328" s="108"/>
      <c r="AP328" s="108"/>
      <c r="AQ328" s="108"/>
      <c r="AR328" s="108"/>
      <c r="AS328" s="108"/>
      <c r="AT328" s="108"/>
      <c r="AU328" s="108"/>
      <c r="AV328" s="108"/>
      <c r="AW328" s="108"/>
      <c r="AX328" s="108"/>
      <c r="AY328" s="108"/>
      <c r="AZ328" s="108"/>
      <c r="BA328" s="108"/>
      <c r="BB328" s="108"/>
      <c r="BC328" s="108"/>
      <c r="BD328" s="108"/>
      <c r="BE328" s="108"/>
      <c r="BF328" s="108"/>
      <c r="BG328" s="108"/>
      <c r="BH328" s="108"/>
      <c r="BI328" s="108"/>
      <c r="BJ328" s="108"/>
      <c r="BK328" s="108"/>
      <c r="BL328" s="108"/>
      <c r="BM328" s="108"/>
      <c r="BN328" s="108"/>
      <c r="BO328" s="108"/>
      <c r="BP328" s="108"/>
      <c r="BQ328" s="108"/>
    </row>
    <row r="329" spans="1:69" s="372" customFormat="1" ht="35.25" customHeight="1">
      <c r="A329" s="379">
        <f>_xlfn.AGGREGATE(4,7,A$22:A328)+1</f>
        <v>307</v>
      </c>
      <c r="B329" s="444" t="s">
        <v>2102</v>
      </c>
      <c r="C329" s="419" t="s">
        <v>2103</v>
      </c>
      <c r="D329" s="418" t="s">
        <v>2104</v>
      </c>
      <c r="E329" s="604" t="s">
        <v>2105</v>
      </c>
      <c r="F329" s="604"/>
      <c r="G329" s="604"/>
      <c r="H329" s="368" t="s">
        <v>2038</v>
      </c>
      <c r="I329" s="605">
        <v>6086769</v>
      </c>
      <c r="J329" s="81" t="str">
        <f>VLOOKUP(B329,TH.T5!$B$318:$F$647,5,FALSE)</f>
        <v>NV Phòng Quản trị - Dịch vụ</v>
      </c>
      <c r="K329" s="466">
        <f t="shared" si="62"/>
        <v>4260738.3</v>
      </c>
      <c r="L329" s="606" t="str">
        <f>VLOOKUP(B329,'[24]Gui chi Quynh'!$B$11:$E$400,4,FALSE)</f>
        <v>A3</v>
      </c>
      <c r="M329" s="466">
        <f t="shared" si="66"/>
        <v>5112886</v>
      </c>
      <c r="N329" s="606">
        <v>25</v>
      </c>
      <c r="O329" s="607">
        <f>IFERROR(INDEX('[17]CN HĐ'!$J$10:$J$76,MATCH(B329,'[17]CN HĐ'!$H$10:$H$76,0)),"")</f>
        <v>24</v>
      </c>
      <c r="P329" s="608" t="e">
        <f>IF(M329&gt;#REF!,M329,#REF!)</f>
        <v>#REF!</v>
      </c>
      <c r="Q329" s="466">
        <f t="shared" si="63"/>
        <v>4908371</v>
      </c>
      <c r="R329" s="609"/>
      <c r="S329" s="466">
        <v>0</v>
      </c>
      <c r="T329" s="610"/>
      <c r="U329" s="466">
        <v>0</v>
      </c>
      <c r="V329" s="647">
        <f t="shared" si="64"/>
        <v>60867.69</v>
      </c>
      <c r="W329" s="611">
        <f t="shared" si="65"/>
        <v>4908371</v>
      </c>
      <c r="X329" s="977">
        <f t="shared" si="58"/>
        <v>2.7268727777777779</v>
      </c>
      <c r="Y329" s="999">
        <v>1800000</v>
      </c>
      <c r="Z329" s="1000">
        <f t="shared" si="59"/>
        <v>4908371</v>
      </c>
      <c r="AA329" s="568">
        <f t="shared" si="57"/>
        <v>307</v>
      </c>
      <c r="AB329" s="613">
        <f>IFERROR(INDEX('[17]CN HĐ'!$M$10:$M$76,MATCH(B329,'[17]CN HĐ'!$H$10:$H$76,0)),"")</f>
        <v>0</v>
      </c>
      <c r="AC329" s="108" t="str">
        <f>VLOOKUP(B329,TH.T4!B325:AC655,28,FALSE)</f>
        <v>QTDV</v>
      </c>
      <c r="AD329" s="108"/>
      <c r="AE329" s="108"/>
      <c r="AF329" s="108"/>
      <c r="AG329" s="108"/>
      <c r="AH329" s="108"/>
      <c r="AI329" s="108"/>
      <c r="AJ329" s="108"/>
      <c r="AK329" s="108"/>
      <c r="AL329" s="108"/>
      <c r="AM329" s="108"/>
      <c r="AN329" s="108"/>
      <c r="AO329" s="108"/>
      <c r="AP329" s="108"/>
      <c r="AQ329" s="108"/>
      <c r="AR329" s="108"/>
      <c r="AS329" s="108"/>
      <c r="AT329" s="108"/>
      <c r="AU329" s="108"/>
      <c r="AV329" s="108"/>
      <c r="AW329" s="108"/>
      <c r="AX329" s="108"/>
      <c r="AY329" s="108"/>
      <c r="AZ329" s="108"/>
    </row>
    <row r="330" spans="1:69" s="372" customFormat="1" ht="35.25" customHeight="1">
      <c r="A330" s="379">
        <f>_xlfn.AGGREGATE(4,7,A$22:A329)+1</f>
        <v>308</v>
      </c>
      <c r="B330" s="444" t="s">
        <v>2106</v>
      </c>
      <c r="C330" s="419" t="s">
        <v>891</v>
      </c>
      <c r="D330" s="418" t="s">
        <v>2107</v>
      </c>
      <c r="E330" s="615">
        <v>1603205192034</v>
      </c>
      <c r="F330" s="615"/>
      <c r="G330" s="615"/>
      <c r="H330" s="368" t="s">
        <v>2038</v>
      </c>
      <c r="I330" s="605">
        <v>6086769</v>
      </c>
      <c r="J330" s="81" t="str">
        <f>VLOOKUP(B330,TH.T5!$B$318:$F$647,5,FALSE)</f>
        <v>Nhân viên phòng Thanh tra GD - Quan hệ DN</v>
      </c>
      <c r="K330" s="466">
        <f t="shared" si="62"/>
        <v>4260738.3</v>
      </c>
      <c r="L330" s="606" t="str">
        <f>VLOOKUP(B330,'[24]Gui chi Quynh'!$B$11:$E$400,4,FALSE)</f>
        <v>A4</v>
      </c>
      <c r="M330" s="466">
        <f t="shared" si="66"/>
        <v>4260738</v>
      </c>
      <c r="N330" s="606">
        <v>25</v>
      </c>
      <c r="O330" s="607">
        <f>IFERROR(INDEX('[17]CN HĐ'!$J$10:$J$76,MATCH(B330,'[17]CN HĐ'!$H$10:$H$76,0)),"")</f>
        <v>25</v>
      </c>
      <c r="P330" s="608" t="e">
        <f>IF(M330&gt;#REF!,M330,#REF!)</f>
        <v>#REF!</v>
      </c>
      <c r="Q330" s="466">
        <f t="shared" si="63"/>
        <v>4260738</v>
      </c>
      <c r="R330" s="609"/>
      <c r="S330" s="466">
        <v>0</v>
      </c>
      <c r="T330" s="610"/>
      <c r="U330" s="466">
        <v>0</v>
      </c>
      <c r="V330" s="647">
        <f t="shared" si="64"/>
        <v>60867.69</v>
      </c>
      <c r="W330" s="611">
        <f t="shared" si="65"/>
        <v>4260738</v>
      </c>
      <c r="X330" s="977">
        <f t="shared" si="58"/>
        <v>2.3670766666666667</v>
      </c>
      <c r="Y330" s="999">
        <v>1800000</v>
      </c>
      <c r="Z330" s="1000">
        <f t="shared" si="59"/>
        <v>4260738</v>
      </c>
      <c r="AA330" s="568">
        <f t="shared" si="57"/>
        <v>308</v>
      </c>
      <c r="AB330" s="613">
        <f>IFERROR(INDEX('[17]CN HĐ'!$M$10:$M$76,MATCH(B330,'[17]CN HĐ'!$H$10:$H$76,0)),"")</f>
        <v>0</v>
      </c>
      <c r="AC330" s="108" t="str">
        <f>VLOOKUP(B330,TH.T4!B326:AC656,28,FALSE)</f>
        <v>TTrGD</v>
      </c>
      <c r="AD330" s="108"/>
      <c r="AE330" s="108"/>
      <c r="AF330" s="108"/>
      <c r="AG330" s="108"/>
      <c r="AH330" s="108"/>
      <c r="AI330" s="108"/>
      <c r="AJ330" s="108"/>
      <c r="AK330" s="108"/>
      <c r="AL330" s="108"/>
      <c r="AM330" s="108"/>
      <c r="AN330" s="108"/>
      <c r="AO330" s="108"/>
      <c r="AP330" s="108"/>
      <c r="AQ330" s="108"/>
      <c r="AR330" s="108"/>
      <c r="AS330" s="108"/>
      <c r="AT330" s="108"/>
      <c r="AU330" s="108"/>
      <c r="AV330" s="108"/>
      <c r="AW330" s="108"/>
      <c r="AX330" s="108"/>
      <c r="AY330" s="108"/>
      <c r="AZ330" s="108"/>
    </row>
    <row r="331" spans="1:69" s="372" customFormat="1" ht="35.25" customHeight="1">
      <c r="A331" s="379">
        <f>_xlfn.AGGREGATE(4,7,A$22:A330)+1</f>
        <v>309</v>
      </c>
      <c r="B331" s="444" t="s">
        <v>2108</v>
      </c>
      <c r="C331" s="419"/>
      <c r="D331" s="418"/>
      <c r="E331" s="615"/>
      <c r="F331" s="615"/>
      <c r="G331" s="615"/>
      <c r="H331" s="368" t="s">
        <v>2042</v>
      </c>
      <c r="I331" s="605">
        <v>5733201</v>
      </c>
      <c r="J331" s="81" t="str">
        <f>VLOOKUP(B331,TH.T5!$B$318:$F$647,5,FALSE)</f>
        <v>Nhân viên phòng Thanh tra GD - Quan hệ DN</v>
      </c>
      <c r="K331" s="466">
        <f t="shared" si="62"/>
        <v>4013240.6999999997</v>
      </c>
      <c r="L331" s="606" t="str">
        <f>VLOOKUP(B331,'[24]Gui chi Quynh'!$B$11:$E$400,4,FALSE)</f>
        <v>A3</v>
      </c>
      <c r="M331" s="466">
        <f t="shared" si="66"/>
        <v>4815889</v>
      </c>
      <c r="N331" s="606">
        <v>25</v>
      </c>
      <c r="O331" s="607">
        <f>IFERROR(INDEX('[17]CN HĐ'!$J$10:$J$76,MATCH(B331,'[17]CN HĐ'!$H$10:$H$76,0)),"")</f>
        <v>24</v>
      </c>
      <c r="P331" s="608" t="e">
        <f>IF(M331&gt;#REF!,M331,#REF!)</f>
        <v>#REF!</v>
      </c>
      <c r="Q331" s="466">
        <f t="shared" si="63"/>
        <v>4623253</v>
      </c>
      <c r="R331" s="609"/>
      <c r="S331" s="466">
        <v>0</v>
      </c>
      <c r="T331" s="610"/>
      <c r="U331" s="466">
        <v>0</v>
      </c>
      <c r="V331" s="647">
        <f t="shared" si="64"/>
        <v>57332.01</v>
      </c>
      <c r="W331" s="611">
        <f t="shared" si="65"/>
        <v>4623253</v>
      </c>
      <c r="X331" s="977">
        <f t="shared" si="58"/>
        <v>2.5684738888888887</v>
      </c>
      <c r="Y331" s="999">
        <v>1800000</v>
      </c>
      <c r="Z331" s="1000">
        <f t="shared" si="59"/>
        <v>4623253</v>
      </c>
      <c r="AA331" s="568">
        <f t="shared" si="57"/>
        <v>309</v>
      </c>
      <c r="AB331" s="613" t="str">
        <f>IFERROR(INDEX('[17]CN HĐ'!$M$10:$M$76,MATCH(B331,'[17]CN HĐ'!$H$10:$H$76,0)),"")</f>
        <v>Trừ 1 ngày nghỉ phép 6/6</v>
      </c>
      <c r="AC331" s="108" t="str">
        <f>VLOOKUP(B331,TH.T4!B327:AC657,28,FALSE)</f>
        <v>TTrGD</v>
      </c>
      <c r="AD331" s="108"/>
      <c r="AE331" s="108"/>
      <c r="AF331" s="108"/>
      <c r="AG331" s="108"/>
      <c r="AH331" s="108"/>
      <c r="AI331" s="108"/>
      <c r="AJ331" s="108"/>
      <c r="AK331" s="108"/>
      <c r="AL331" s="108"/>
      <c r="AM331" s="108"/>
      <c r="AN331" s="108"/>
      <c r="AO331" s="108"/>
      <c r="AP331" s="108"/>
      <c r="AQ331" s="108"/>
      <c r="AR331" s="108"/>
      <c r="AS331" s="108"/>
      <c r="AT331" s="108"/>
      <c r="AU331" s="108"/>
      <c r="AV331" s="108"/>
      <c r="AW331" s="108"/>
      <c r="AX331" s="108"/>
      <c r="AY331" s="108"/>
      <c r="AZ331" s="108"/>
    </row>
    <row r="332" spans="1:69" s="372" customFormat="1" ht="35.25" customHeight="1">
      <c r="A332" s="379">
        <f>_xlfn.AGGREGATE(4,7,A$22:A331)+1</f>
        <v>310</v>
      </c>
      <c r="B332" s="444" t="s">
        <v>2109</v>
      </c>
      <c r="C332" s="419"/>
      <c r="D332" s="418"/>
      <c r="E332" s="615"/>
      <c r="F332" s="615"/>
      <c r="G332" s="615"/>
      <c r="H332" s="368" t="s">
        <v>2038</v>
      </c>
      <c r="I332" s="605">
        <v>5257980</v>
      </c>
      <c r="J332" s="81" t="str">
        <f>VLOOKUP(B332,TH.T5!$B$318:$F$647,5,FALSE)</f>
        <v>Nhân viên phòng Thanh tra GD - Quan hệ DN</v>
      </c>
      <c r="K332" s="466">
        <f t="shared" si="62"/>
        <v>3680585.9999999995</v>
      </c>
      <c r="L332" s="606" t="str">
        <f>VLOOKUP(B332,'[24]Gui chi Quynh'!$B$11:$E$400,4,FALSE)</f>
        <v>A3</v>
      </c>
      <c r="M332" s="466">
        <f t="shared" si="66"/>
        <v>4416703</v>
      </c>
      <c r="N332" s="606">
        <v>25</v>
      </c>
      <c r="O332" s="607">
        <f>IFERROR(INDEX('[17]CN HĐ'!$J$10:$J$76,MATCH(B332,'[17]CN HĐ'!$H$10:$H$76,0)),"")</f>
        <v>25</v>
      </c>
      <c r="P332" s="608"/>
      <c r="Q332" s="466">
        <f t="shared" si="63"/>
        <v>4416703</v>
      </c>
      <c r="R332" s="609"/>
      <c r="S332" s="466">
        <v>0</v>
      </c>
      <c r="T332" s="610"/>
      <c r="U332" s="466">
        <v>0</v>
      </c>
      <c r="V332" s="466">
        <f t="shared" si="64"/>
        <v>52579.8</v>
      </c>
      <c r="W332" s="611">
        <f t="shared" si="65"/>
        <v>4416703</v>
      </c>
      <c r="X332" s="977">
        <f t="shared" si="58"/>
        <v>2.4537238888888888</v>
      </c>
      <c r="Y332" s="999">
        <v>1800000</v>
      </c>
      <c r="Z332" s="1000">
        <f t="shared" si="59"/>
        <v>4416703</v>
      </c>
      <c r="AA332" s="568">
        <f t="shared" si="57"/>
        <v>310</v>
      </c>
      <c r="AB332" s="613">
        <f>IFERROR(INDEX('[17]CN HĐ'!$M$10:$M$76,MATCH(B332,'[17]CN HĐ'!$H$10:$H$76,0)),"")</f>
        <v>0</v>
      </c>
      <c r="AC332" s="108" t="str">
        <f>VLOOKUP(B332,TH.T4!B328:AC658,28,FALSE)</f>
        <v>TTrGD</v>
      </c>
    </row>
    <row r="333" spans="1:69" s="372" customFormat="1" ht="35.25" customHeight="1">
      <c r="A333" s="379">
        <f>_xlfn.AGGREGATE(4,7,A$22:A332)+1</f>
        <v>311</v>
      </c>
      <c r="B333" s="444" t="s">
        <v>2110</v>
      </c>
      <c r="C333" s="419" t="s">
        <v>2111</v>
      </c>
      <c r="D333" s="418" t="s">
        <v>2112</v>
      </c>
      <c r="E333" s="615">
        <v>1603205355935</v>
      </c>
      <c r="F333" s="615"/>
      <c r="G333" s="615"/>
      <c r="H333" s="368" t="s">
        <v>2038</v>
      </c>
      <c r="I333" s="605">
        <v>5520879</v>
      </c>
      <c r="J333" s="81" t="str">
        <f>VLOOKUP(B333,TH.T5!$B$318:$F$647,5,FALSE)</f>
        <v>Nhân viên phòng Quản trị - Dịch vụ</v>
      </c>
      <c r="K333" s="466">
        <f t="shared" si="62"/>
        <v>3864615.3</v>
      </c>
      <c r="L333" s="606" t="str">
        <f>VLOOKUP(B333,'[24]Gui chi Quynh'!$B$11:$E$400,4,FALSE)</f>
        <v>A4</v>
      </c>
      <c r="M333" s="466">
        <f t="shared" si="66"/>
        <v>3864615</v>
      </c>
      <c r="N333" s="606">
        <v>25</v>
      </c>
      <c r="O333" s="607">
        <f>IFERROR(INDEX('[17]CN HĐ'!$J$10:$J$76,MATCH(B333,'[17]CN HĐ'!$H$10:$H$76,0)),"")</f>
        <v>24</v>
      </c>
      <c r="P333" s="608" t="e">
        <f>IF(M333&gt;#REF!,M333,#REF!)</f>
        <v>#REF!</v>
      </c>
      <c r="Q333" s="466">
        <f t="shared" si="63"/>
        <v>3710030</v>
      </c>
      <c r="R333" s="609"/>
      <c r="S333" s="466">
        <v>0</v>
      </c>
      <c r="T333" s="610"/>
      <c r="U333" s="466">
        <v>0</v>
      </c>
      <c r="V333" s="466">
        <f t="shared" si="64"/>
        <v>55208.79</v>
      </c>
      <c r="W333" s="611">
        <f t="shared" si="65"/>
        <v>3710030</v>
      </c>
      <c r="X333" s="977">
        <f t="shared" si="58"/>
        <v>2.0611277777777777</v>
      </c>
      <c r="Y333" s="999">
        <v>1800000</v>
      </c>
      <c r="Z333" s="1000">
        <f t="shared" si="59"/>
        <v>3710030</v>
      </c>
      <c r="AA333" s="568">
        <f t="shared" si="57"/>
        <v>311</v>
      </c>
      <c r="AB333" s="613" t="str">
        <f>IFERROR(INDEX('[17]CN HĐ'!$M$10:$M$76,MATCH(B333,'[17]CN HĐ'!$H$10:$H$76,0)),"")</f>
        <v>Trừ 2 ngày nghỉ phép 26+27/6</v>
      </c>
      <c r="AC333" s="108" t="str">
        <f>VLOOKUP(B333,TH.T4!B329:AC659,28,FALSE)</f>
        <v>QTDV</v>
      </c>
    </row>
    <row r="334" spans="1:69" s="372" customFormat="1" ht="35.25" customHeight="1">
      <c r="A334" s="379">
        <f>_xlfn.AGGREGATE(4,7,A$22:A333)+1</f>
        <v>312</v>
      </c>
      <c r="B334" s="444" t="s">
        <v>2113</v>
      </c>
      <c r="C334" s="419"/>
      <c r="D334" s="418"/>
      <c r="E334" s="604">
        <v>1603205639363</v>
      </c>
      <c r="F334" s="604"/>
      <c r="G334" s="604"/>
      <c r="H334" s="368" t="s">
        <v>2042</v>
      </c>
      <c r="I334" s="605">
        <v>5733201</v>
      </c>
      <c r="J334" s="81" t="str">
        <f>VLOOKUP(B334,TH.T5!$B$318:$F$647,5,FALSE)</f>
        <v>Nhân viên phòng Thanh tra GD - Quan hệ DN</v>
      </c>
      <c r="K334" s="466">
        <f t="shared" si="62"/>
        <v>4013240.6999999997</v>
      </c>
      <c r="L334" s="606" t="str">
        <f>VLOOKUP(B334,'[24]Gui chi Quynh'!$B$11:$E$400,4,FALSE)</f>
        <v>A4</v>
      </c>
      <c r="M334" s="466">
        <f t="shared" si="66"/>
        <v>4013241</v>
      </c>
      <c r="N334" s="606">
        <v>25</v>
      </c>
      <c r="O334" s="607">
        <f>IFERROR(INDEX('[17]CN HĐ'!$J$10:$J$76,MATCH(B334,'[17]CN HĐ'!$H$10:$H$76,0)),"")</f>
        <v>23</v>
      </c>
      <c r="P334" s="608" t="e">
        <f>IF(M334&gt;#REF!,M334,#REF!)</f>
        <v>#REF!</v>
      </c>
      <c r="Q334" s="466">
        <f t="shared" si="63"/>
        <v>3692182</v>
      </c>
      <c r="R334" s="609"/>
      <c r="S334" s="466">
        <v>0</v>
      </c>
      <c r="T334" s="610"/>
      <c r="U334" s="466">
        <v>0</v>
      </c>
      <c r="V334" s="647">
        <f t="shared" si="64"/>
        <v>57332.01</v>
      </c>
      <c r="W334" s="611">
        <f t="shared" si="65"/>
        <v>3692182</v>
      </c>
      <c r="X334" s="977">
        <f t="shared" si="58"/>
        <v>2.0512122222222224</v>
      </c>
      <c r="Y334" s="999">
        <v>1800000</v>
      </c>
      <c r="Z334" s="1000">
        <f t="shared" si="59"/>
        <v>3692182.0000000005</v>
      </c>
      <c r="AA334" s="568">
        <f t="shared" si="57"/>
        <v>312</v>
      </c>
      <c r="AB334" s="613" t="str">
        <f>IFERROR(INDEX('[17]CN HĐ'!$M$10:$M$76,MATCH(B334,'[17]CN HĐ'!$H$10:$H$76,0)),"")</f>
        <v>Trừ 2 ngày nghỉ phép 28+29/6</v>
      </c>
      <c r="AC334" s="108" t="str">
        <f>VLOOKUP(B334,TH.T4!B330:AC660,28,FALSE)</f>
        <v>TTrGD</v>
      </c>
    </row>
    <row r="335" spans="1:69" s="372" customFormat="1" ht="35.25" customHeight="1">
      <c r="A335" s="379">
        <f>_xlfn.AGGREGATE(4,7,A$22:A334)+1</f>
        <v>313</v>
      </c>
      <c r="B335" s="444" t="s">
        <v>2114</v>
      </c>
      <c r="C335" s="419" t="s">
        <v>2115</v>
      </c>
      <c r="D335" s="418" t="s">
        <v>2116</v>
      </c>
      <c r="E335" s="604">
        <v>1603205324898</v>
      </c>
      <c r="F335" s="604"/>
      <c r="G335" s="604"/>
      <c r="H335" s="368" t="s">
        <v>2042</v>
      </c>
      <c r="I335" s="605">
        <v>7515057</v>
      </c>
      <c r="J335" s="81" t="str">
        <f>VLOOKUP(B335,TH.T5!$B$318:$F$647,5,FALSE)</f>
        <v>Nhân viên phòng KHCN &amp; HTQT</v>
      </c>
      <c r="K335" s="466">
        <f t="shared" si="62"/>
        <v>5260539.8999999994</v>
      </c>
      <c r="L335" s="606" t="str">
        <f>VLOOKUP(B335,'[24]Gui chi Quynh'!$B$11:$E$400,4,FALSE)</f>
        <v>A2</v>
      </c>
      <c r="M335" s="466">
        <f t="shared" si="66"/>
        <v>7364756</v>
      </c>
      <c r="N335" s="606">
        <v>25</v>
      </c>
      <c r="O335" s="607">
        <f>IFERROR(INDEX('[17]CN HĐ'!$J$10:$J$76,MATCH(B335,'[17]CN HĐ'!$H$10:$H$76,0)),"")</f>
        <v>24</v>
      </c>
      <c r="P335" s="608" t="e">
        <f>IF(M335&gt;#REF!,M335,#REF!)</f>
        <v>#REF!</v>
      </c>
      <c r="Q335" s="466">
        <f t="shared" si="63"/>
        <v>7070166</v>
      </c>
      <c r="R335" s="609"/>
      <c r="S335" s="466">
        <v>0</v>
      </c>
      <c r="T335" s="610"/>
      <c r="U335" s="466">
        <v>0</v>
      </c>
      <c r="V335" s="647">
        <f t="shared" si="64"/>
        <v>75150.570000000007</v>
      </c>
      <c r="W335" s="611">
        <f t="shared" si="65"/>
        <v>7070166</v>
      </c>
      <c r="X335" s="977">
        <f t="shared" si="58"/>
        <v>3.92787</v>
      </c>
      <c r="Y335" s="999">
        <v>1800000</v>
      </c>
      <c r="Z335" s="1000">
        <f t="shared" si="59"/>
        <v>7070166</v>
      </c>
      <c r="AA335" s="568">
        <f t="shared" si="57"/>
        <v>313</v>
      </c>
      <c r="AB335" s="613" t="str">
        <f>IFERROR(INDEX('[17]CN HĐ'!$M$10:$M$76,MATCH(B335,'[17]CN HĐ'!$H$10:$H$76,0)),"")</f>
        <v>Trừ 1 ngày nghỉ phép 10/6</v>
      </c>
      <c r="AC335" s="108" t="str">
        <f>VLOOKUP(B335,TH.T4!B331:AC661,28,FALSE)</f>
        <v>QLKH</v>
      </c>
    </row>
    <row r="336" spans="1:69" s="372" customFormat="1" ht="35.25" customHeight="1">
      <c r="A336" s="379">
        <f>_xlfn.AGGREGATE(4,7,A$22:A335)+1</f>
        <v>314</v>
      </c>
      <c r="B336" s="444" t="s">
        <v>2117</v>
      </c>
      <c r="C336" s="419"/>
      <c r="D336" s="418"/>
      <c r="E336" s="614" t="s">
        <v>2118</v>
      </c>
      <c r="F336" s="614"/>
      <c r="G336" s="614"/>
      <c r="H336" s="368" t="s">
        <v>2042</v>
      </c>
      <c r="I336" s="605">
        <v>5733201</v>
      </c>
      <c r="J336" s="81" t="str">
        <f>VLOOKUP(B336,TH.T5!$B$318:$F$647,5,FALSE)</f>
        <v>Nhân viên phòng KHCN &amp; HTQT</v>
      </c>
      <c r="K336" s="466">
        <f t="shared" si="62"/>
        <v>4013240.6999999997</v>
      </c>
      <c r="L336" s="606" t="str">
        <f>VLOOKUP(B336,'[24]Gui chi Quynh'!$B$11:$E$400,4,FALSE)</f>
        <v>A4</v>
      </c>
      <c r="M336" s="466">
        <f t="shared" si="66"/>
        <v>4013241</v>
      </c>
      <c r="N336" s="606">
        <v>25</v>
      </c>
      <c r="O336" s="607">
        <f>IFERROR(INDEX('[17]CN HĐ'!$J$10:$J$76,MATCH(B336,'[17]CN HĐ'!$H$10:$H$76,0)),"")</f>
        <v>25</v>
      </c>
      <c r="P336" s="608" t="e">
        <f>IF(M336&gt;#REF!,M336,#REF!)</f>
        <v>#REF!</v>
      </c>
      <c r="Q336" s="466">
        <f t="shared" si="63"/>
        <v>4013241</v>
      </c>
      <c r="R336" s="609"/>
      <c r="S336" s="466">
        <v>0</v>
      </c>
      <c r="T336" s="610"/>
      <c r="U336" s="466">
        <v>0</v>
      </c>
      <c r="V336" s="647">
        <f t="shared" si="64"/>
        <v>57332.01</v>
      </c>
      <c r="W336" s="611">
        <f t="shared" si="65"/>
        <v>4013241</v>
      </c>
      <c r="X336" s="977">
        <f t="shared" si="58"/>
        <v>2.2295783333333334</v>
      </c>
      <c r="Y336" s="999">
        <v>1800000</v>
      </c>
      <c r="Z336" s="1000">
        <f t="shared" si="59"/>
        <v>4013241</v>
      </c>
      <c r="AA336" s="568">
        <f t="shared" si="57"/>
        <v>314</v>
      </c>
      <c r="AB336" s="613">
        <f>IFERROR(INDEX('[17]CN HĐ'!$M$10:$M$76,MATCH(B336,'[17]CN HĐ'!$H$10:$H$76,0)),"")</f>
        <v>0</v>
      </c>
      <c r="AC336" s="108" t="str">
        <f>VLOOKUP(B336,TH.T4!B332:AC662,28,FALSE)</f>
        <v>QLKH</v>
      </c>
      <c r="AD336" s="108"/>
      <c r="AE336" s="108"/>
      <c r="AF336" s="108"/>
      <c r="AG336" s="108"/>
      <c r="AH336" s="108"/>
      <c r="AI336" s="108"/>
      <c r="AJ336" s="108"/>
      <c r="AK336" s="108"/>
      <c r="AL336" s="108"/>
      <c r="AM336" s="108"/>
      <c r="AN336" s="108"/>
      <c r="AO336" s="108"/>
      <c r="AP336" s="108"/>
      <c r="AQ336" s="108"/>
      <c r="AR336" s="108"/>
      <c r="AS336" s="108"/>
      <c r="AT336" s="108"/>
      <c r="AU336" s="108"/>
      <c r="AV336" s="108"/>
      <c r="AW336" s="108"/>
      <c r="AX336" s="108"/>
      <c r="AY336" s="108"/>
      <c r="AZ336" s="108"/>
    </row>
    <row r="337" spans="1:52" s="372" customFormat="1" ht="35.25" customHeight="1">
      <c r="A337" s="379">
        <f>_xlfn.AGGREGATE(4,7,A$22:A336)+1</f>
        <v>315</v>
      </c>
      <c r="B337" s="444" t="s">
        <v>2119</v>
      </c>
      <c r="C337" s="419" t="s">
        <v>2120</v>
      </c>
      <c r="D337" s="418" t="s">
        <v>2121</v>
      </c>
      <c r="E337" s="604" t="s">
        <v>2122</v>
      </c>
      <c r="F337" s="604"/>
      <c r="G337" s="604"/>
      <c r="H337" s="81" t="s">
        <v>2042</v>
      </c>
      <c r="I337" s="605">
        <v>5733201</v>
      </c>
      <c r="J337" s="81" t="str">
        <f>VLOOKUP(B337,TH.T5!$B$318:$F$647,5,FALSE)</f>
        <v>Nhân viên phòng Thanh tra GD - Quan hệ DN</v>
      </c>
      <c r="K337" s="466">
        <f t="shared" si="62"/>
        <v>4013240.6999999997</v>
      </c>
      <c r="L337" s="606" t="str">
        <f>VLOOKUP(B337,'[24]Gui chi Quynh'!$B$11:$E$400,4,FALSE)</f>
        <v>A4</v>
      </c>
      <c r="M337" s="466">
        <f t="shared" si="66"/>
        <v>4013241</v>
      </c>
      <c r="N337" s="606">
        <v>25</v>
      </c>
      <c r="O337" s="607">
        <f>IFERROR(INDEX('[17]CN HĐ'!$J$10:$J$76,MATCH(B337,'[17]CN HĐ'!$H$10:$H$76,0)),"")</f>
        <v>24</v>
      </c>
      <c r="P337" s="608" t="e">
        <f>IF(M337&gt;#REF!,M337,#REF!)</f>
        <v>#REF!</v>
      </c>
      <c r="Q337" s="466">
        <f t="shared" si="63"/>
        <v>3852711</v>
      </c>
      <c r="R337" s="609"/>
      <c r="S337" s="466">
        <v>0</v>
      </c>
      <c r="T337" s="610"/>
      <c r="U337" s="466">
        <v>0</v>
      </c>
      <c r="V337" s="647">
        <f t="shared" si="64"/>
        <v>57332.01</v>
      </c>
      <c r="W337" s="611">
        <f t="shared" si="65"/>
        <v>3852711</v>
      </c>
      <c r="X337" s="977">
        <f t="shared" si="58"/>
        <v>2.1403949999999998</v>
      </c>
      <c r="Y337" s="999">
        <v>1800000</v>
      </c>
      <c r="Z337" s="1000">
        <f t="shared" si="59"/>
        <v>3852710.9999999995</v>
      </c>
      <c r="AA337" s="568">
        <f t="shared" si="57"/>
        <v>315</v>
      </c>
      <c r="AB337" s="613">
        <f>IFERROR(INDEX('[17]CN HĐ'!$M$10:$M$76,MATCH(B337,'[17]CN HĐ'!$H$10:$H$76,0)),"")</f>
        <v>0</v>
      </c>
      <c r="AC337" s="108" t="str">
        <f>VLOOKUP(B337,TH.T4!B333:AC663,28,FALSE)</f>
        <v>TTrGD</v>
      </c>
      <c r="AD337" s="108"/>
      <c r="AE337" s="108"/>
      <c r="AF337" s="108"/>
      <c r="AG337" s="108"/>
      <c r="AH337" s="108"/>
      <c r="AI337" s="108"/>
      <c r="AJ337" s="108"/>
      <c r="AK337" s="108"/>
      <c r="AL337" s="108"/>
      <c r="AM337" s="108"/>
      <c r="AN337" s="108"/>
      <c r="AO337" s="108"/>
      <c r="AP337" s="108"/>
      <c r="AQ337" s="108"/>
      <c r="AR337" s="108"/>
      <c r="AS337" s="108"/>
      <c r="AT337" s="108"/>
      <c r="AU337" s="108"/>
      <c r="AV337" s="108"/>
      <c r="AW337" s="108"/>
      <c r="AX337" s="108"/>
      <c r="AY337" s="108"/>
      <c r="AZ337" s="108"/>
    </row>
    <row r="338" spans="1:52" s="372" customFormat="1" ht="35.25" customHeight="1">
      <c r="A338" s="379">
        <f>_xlfn.AGGREGATE(4,7,A$22:A337)+1</f>
        <v>316</v>
      </c>
      <c r="B338" s="444" t="s">
        <v>2123</v>
      </c>
      <c r="C338" s="419" t="s">
        <v>1103</v>
      </c>
      <c r="D338" s="418" t="s">
        <v>2124</v>
      </c>
      <c r="E338" s="604">
        <v>1603205327079</v>
      </c>
      <c r="F338" s="604"/>
      <c r="G338" s="604"/>
      <c r="H338" s="368" t="s">
        <v>2038</v>
      </c>
      <c r="I338" s="605">
        <v>6391108</v>
      </c>
      <c r="J338" s="81" t="str">
        <f>VLOOKUP(B338,TH.T5!$B$318:$F$647,5,FALSE)</f>
        <v>Nhân viên phòng Thanh tra GD - Quan hệ DN</v>
      </c>
      <c r="K338" s="466">
        <f t="shared" si="62"/>
        <v>4473775.5999999996</v>
      </c>
      <c r="L338" s="606" t="str">
        <f>VLOOKUP(B338,'[24]Gui chi Quynh'!$B$11:$E$400,4,FALSE)</f>
        <v>A4</v>
      </c>
      <c r="M338" s="466">
        <f t="shared" si="66"/>
        <v>4473776</v>
      </c>
      <c r="N338" s="606">
        <v>25</v>
      </c>
      <c r="O338" s="607">
        <f>IFERROR(INDEX('[17]CN HĐ'!$J$10:$J$76,MATCH(B338,'[17]CN HĐ'!$H$10:$H$76,0)),"")</f>
        <v>24</v>
      </c>
      <c r="P338" s="608" t="e">
        <f>IF(M338&gt;#REF!,M338,#REF!)</f>
        <v>#REF!</v>
      </c>
      <c r="Q338" s="466">
        <f t="shared" si="63"/>
        <v>4294825</v>
      </c>
      <c r="R338" s="609"/>
      <c r="S338" s="466">
        <v>0</v>
      </c>
      <c r="T338" s="610"/>
      <c r="U338" s="466">
        <v>0</v>
      </c>
      <c r="V338" s="647">
        <f t="shared" si="64"/>
        <v>63911.08</v>
      </c>
      <c r="W338" s="611">
        <f t="shared" si="65"/>
        <v>4294825</v>
      </c>
      <c r="X338" s="977">
        <f t="shared" si="58"/>
        <v>2.3860138888888889</v>
      </c>
      <c r="Y338" s="999">
        <v>1800000</v>
      </c>
      <c r="Z338" s="1000">
        <f t="shared" si="59"/>
        <v>4294825</v>
      </c>
      <c r="AA338" s="568">
        <f t="shared" si="57"/>
        <v>316</v>
      </c>
      <c r="AB338" s="613" t="str">
        <f>IFERROR(INDEX('[17]CN HĐ'!$M$10:$M$76,MATCH(B338,'[17]CN HĐ'!$H$10:$H$76,0)),"")</f>
        <v>Trừ 1 ngày nghỉ phép 4/6</v>
      </c>
      <c r="AC338" s="108" t="str">
        <f>VLOOKUP(B338,TH.T4!B334:AC664,28,FALSE)</f>
        <v>TTrGD</v>
      </c>
    </row>
    <row r="339" spans="1:52" s="372" customFormat="1" ht="35.25" customHeight="1">
      <c r="A339" s="379">
        <f>_xlfn.AGGREGATE(4,7,A$22:A338)+1</f>
        <v>317</v>
      </c>
      <c r="B339" s="444" t="s">
        <v>2125</v>
      </c>
      <c r="C339" s="419" t="s">
        <v>1431</v>
      </c>
      <c r="D339" s="418" t="s">
        <v>2126</v>
      </c>
      <c r="E339" s="604" t="s">
        <v>2127</v>
      </c>
      <c r="F339" s="604"/>
      <c r="G339" s="604"/>
      <c r="H339" s="368" t="s">
        <v>2042</v>
      </c>
      <c r="I339" s="605">
        <v>6563942</v>
      </c>
      <c r="J339" s="81" t="str">
        <f>VLOOKUP(B339,TH.T5!$B$318:$F$647,5,FALSE)</f>
        <v>NV Phòng Tuyển sinh - Đào tạo</v>
      </c>
      <c r="K339" s="466">
        <f t="shared" si="62"/>
        <v>4594759.3999999994</v>
      </c>
      <c r="L339" s="606" t="str">
        <f>VLOOKUP(B339,'[24]Gui chi Quynh'!$B$11:$E$400,4,FALSE)</f>
        <v>A3</v>
      </c>
      <c r="M339" s="466">
        <f t="shared" si="66"/>
        <v>5513711</v>
      </c>
      <c r="N339" s="606">
        <v>25</v>
      </c>
      <c r="O339" s="607">
        <f>IFERROR(INDEX('[17]CN HĐ'!$J$10:$J$76,MATCH(B339,'[17]CN HĐ'!$H$10:$H$76,0)),"")</f>
        <v>25</v>
      </c>
      <c r="P339" s="608" t="e">
        <f>IF(M339&gt;#REF!,M339,#REF!)</f>
        <v>#REF!</v>
      </c>
      <c r="Q339" s="466">
        <f>ROUND(IF(O339&gt;=N339,M339,M339/N339*O339),)</f>
        <v>5513711</v>
      </c>
      <c r="R339" s="609"/>
      <c r="S339" s="466">
        <v>0</v>
      </c>
      <c r="T339" s="610"/>
      <c r="U339" s="466">
        <v>0</v>
      </c>
      <c r="V339" s="647">
        <f t="shared" si="64"/>
        <v>65639.42</v>
      </c>
      <c r="W339" s="611">
        <f t="shared" si="65"/>
        <v>5513711</v>
      </c>
      <c r="X339" s="977">
        <f t="shared" si="58"/>
        <v>3.063172777777778</v>
      </c>
      <c r="Y339" s="999">
        <v>1800000</v>
      </c>
      <c r="Z339" s="1000">
        <f t="shared" si="59"/>
        <v>5513711</v>
      </c>
      <c r="AA339" s="568">
        <f t="shared" si="57"/>
        <v>317</v>
      </c>
      <c r="AB339" s="613">
        <f>IFERROR(INDEX('[17]CN HĐ'!$M$10:$M$76,MATCH(B339,'[17]CN HĐ'!$H$10:$H$76,0)),"")</f>
        <v>0</v>
      </c>
      <c r="AC339" s="108" t="str">
        <f>VLOOKUP(B339,TH.T4!B335:AC665,28,FALSE)</f>
        <v>TSĐT</v>
      </c>
      <c r="AD339" s="108"/>
      <c r="AE339" s="108"/>
      <c r="AF339" s="108"/>
      <c r="AG339" s="108"/>
      <c r="AH339" s="108"/>
      <c r="AI339" s="108"/>
      <c r="AJ339" s="108"/>
      <c r="AK339" s="108"/>
      <c r="AL339" s="108"/>
      <c r="AM339" s="108"/>
      <c r="AN339" s="108"/>
      <c r="AO339" s="108"/>
      <c r="AP339" s="108"/>
      <c r="AQ339" s="108"/>
      <c r="AR339" s="108"/>
      <c r="AS339" s="108"/>
      <c r="AT339" s="108"/>
      <c r="AU339" s="108"/>
      <c r="AV339" s="108"/>
      <c r="AW339" s="108"/>
      <c r="AX339" s="108"/>
      <c r="AY339" s="108"/>
      <c r="AZ339" s="108"/>
    </row>
    <row r="340" spans="1:52" s="372" customFormat="1" ht="30" customHeight="1">
      <c r="A340" s="379">
        <f>_xlfn.AGGREGATE(4,7,A$22:A339)+1</f>
        <v>318</v>
      </c>
      <c r="B340" s="444" t="s">
        <v>2128</v>
      </c>
      <c r="C340" s="419" t="s">
        <v>1064</v>
      </c>
      <c r="D340" s="418" t="s">
        <v>2129</v>
      </c>
      <c r="E340" s="604" t="s">
        <v>2130</v>
      </c>
      <c r="F340" s="604"/>
      <c r="G340" s="604"/>
      <c r="H340" s="368" t="s">
        <v>2042</v>
      </c>
      <c r="I340" s="605">
        <v>5733201</v>
      </c>
      <c r="J340" s="81" t="str">
        <f>VLOOKUP(B340,TH.T5!$B$318:$F$647,5,FALSE)</f>
        <v>NV phòng TS - Đào tạo</v>
      </c>
      <c r="K340" s="466">
        <f t="shared" si="62"/>
        <v>4013240.6999999997</v>
      </c>
      <c r="L340" s="606" t="str">
        <f>VLOOKUP(B340,'[24]Gui chi Quynh'!$B$11:$E$400,4,FALSE)</f>
        <v>A2</v>
      </c>
      <c r="M340" s="466">
        <f t="shared" si="66"/>
        <v>5618537</v>
      </c>
      <c r="N340" s="606">
        <v>25</v>
      </c>
      <c r="O340" s="607">
        <f>IFERROR(INDEX('[17]CN HĐ'!$J$10:$J$76,MATCH(B340,'[17]CN HĐ'!$H$10:$H$76,0)),"")</f>
        <v>26</v>
      </c>
      <c r="P340" s="608" t="e">
        <f>IF(M340&gt;#REF!,M340,#REF!)</f>
        <v>#REF!</v>
      </c>
      <c r="Q340" s="466">
        <f t="shared" si="63"/>
        <v>5618537</v>
      </c>
      <c r="R340" s="609"/>
      <c r="S340" s="466">
        <v>0</v>
      </c>
      <c r="T340" s="610"/>
      <c r="U340" s="466">
        <v>0</v>
      </c>
      <c r="V340" s="647">
        <f t="shared" si="64"/>
        <v>57332.01</v>
      </c>
      <c r="W340" s="611">
        <f t="shared" si="65"/>
        <v>5618537</v>
      </c>
      <c r="X340" s="977">
        <f t="shared" si="58"/>
        <v>3.1214094444444442</v>
      </c>
      <c r="Y340" s="999">
        <v>1800000</v>
      </c>
      <c r="Z340" s="1000">
        <f t="shared" si="59"/>
        <v>5618537</v>
      </c>
      <c r="AA340" s="568">
        <f t="shared" si="57"/>
        <v>318</v>
      </c>
      <c r="AB340" s="613">
        <f>IFERROR(INDEX('[17]CN HĐ'!$M$10:$M$76,MATCH(B340,'[17]CN HĐ'!$H$10:$H$76,0)),"")</f>
        <v>0</v>
      </c>
      <c r="AC340" s="108" t="str">
        <f>VLOOKUP(B340,TH.T4!B336:AC666,28,FALSE)</f>
        <v>TSĐT</v>
      </c>
      <c r="AD340" s="108"/>
      <c r="AE340" s="108"/>
      <c r="AF340" s="108"/>
      <c r="AG340" s="108"/>
      <c r="AH340" s="108"/>
      <c r="AI340" s="108"/>
      <c r="AJ340" s="108"/>
      <c r="AK340" s="108"/>
      <c r="AL340" s="108"/>
      <c r="AM340" s="108"/>
      <c r="AN340" s="108"/>
      <c r="AO340" s="108"/>
      <c r="AP340" s="108"/>
      <c r="AQ340" s="108"/>
      <c r="AR340" s="108"/>
      <c r="AS340" s="108"/>
      <c r="AT340" s="108"/>
      <c r="AU340" s="108"/>
      <c r="AV340" s="108"/>
      <c r="AW340" s="108"/>
      <c r="AX340" s="108"/>
      <c r="AY340" s="108"/>
      <c r="AZ340" s="108"/>
    </row>
    <row r="341" spans="1:52" s="372" customFormat="1" ht="27" customHeight="1">
      <c r="A341" s="379">
        <f>_xlfn.AGGREGATE(4,7,A$22:A340)+1</f>
        <v>319</v>
      </c>
      <c r="B341" s="444" t="s">
        <v>2131</v>
      </c>
      <c r="C341" s="419"/>
      <c r="D341" s="418" t="s">
        <v>2132</v>
      </c>
      <c r="E341" s="604" t="s">
        <v>2133</v>
      </c>
      <c r="F341" s="604"/>
      <c r="G341" s="604"/>
      <c r="H341" s="368" t="s">
        <v>2042</v>
      </c>
      <c r="I341" s="605">
        <v>7515057</v>
      </c>
      <c r="J341" s="81" t="str">
        <f>VLOOKUP(B341,TH.T5!$B$318:$F$647,5,FALSE)</f>
        <v>NV phòng TS - Đào tạo</v>
      </c>
      <c r="K341" s="466">
        <f t="shared" si="62"/>
        <v>5260539.8999999994</v>
      </c>
      <c r="L341" s="606" t="str">
        <f>VLOOKUP(B341,'[24]Gui chi Quynh'!$B$11:$E$400,4,FALSE)</f>
        <v>A2</v>
      </c>
      <c r="M341" s="466">
        <f t="shared" si="66"/>
        <v>7364756</v>
      </c>
      <c r="N341" s="606">
        <v>25</v>
      </c>
      <c r="O341" s="607">
        <f>IFERROR(INDEX('[17]CN HĐ'!$J$10:$J$76,MATCH(B341,'[17]CN HĐ'!$H$10:$H$76,0)),"")</f>
        <v>25</v>
      </c>
      <c r="P341" s="608" t="e">
        <f>IF(M341&gt;#REF!,M341,#REF!)</f>
        <v>#REF!</v>
      </c>
      <c r="Q341" s="466">
        <f t="shared" si="63"/>
        <v>7364756</v>
      </c>
      <c r="R341" s="609"/>
      <c r="S341" s="466">
        <v>0</v>
      </c>
      <c r="T341" s="610"/>
      <c r="U341" s="466">
        <v>0</v>
      </c>
      <c r="V341" s="647">
        <f t="shared" si="64"/>
        <v>75150.570000000007</v>
      </c>
      <c r="W341" s="611">
        <f t="shared" si="65"/>
        <v>7364756</v>
      </c>
      <c r="X341" s="977">
        <f t="shared" si="58"/>
        <v>4.0915311111111112</v>
      </c>
      <c r="Y341" s="999">
        <v>1800000</v>
      </c>
      <c r="Z341" s="1000">
        <f t="shared" si="59"/>
        <v>7364756</v>
      </c>
      <c r="AA341" s="568">
        <f t="shared" si="57"/>
        <v>319</v>
      </c>
      <c r="AB341" s="613">
        <f>IFERROR(INDEX('[17]CN HĐ'!$M$10:$M$76,MATCH(B341,'[17]CN HĐ'!$H$10:$H$76,0)),"")</f>
        <v>0</v>
      </c>
      <c r="AC341" s="108" t="str">
        <f>VLOOKUP(B341,TH.T4!B337:AC667,28,FALSE)</f>
        <v>TSĐT</v>
      </c>
      <c r="AD341" s="108"/>
      <c r="AE341" s="108"/>
      <c r="AF341" s="108"/>
      <c r="AG341" s="108"/>
      <c r="AH341" s="108"/>
      <c r="AI341" s="108"/>
      <c r="AJ341" s="108"/>
      <c r="AK341" s="108"/>
      <c r="AL341" s="108"/>
      <c r="AM341" s="108"/>
      <c r="AN341" s="108"/>
      <c r="AO341" s="108"/>
      <c r="AP341" s="108"/>
      <c r="AQ341" s="108"/>
      <c r="AR341" s="108"/>
      <c r="AS341" s="108"/>
      <c r="AT341" s="108"/>
      <c r="AU341" s="108"/>
      <c r="AV341" s="108"/>
      <c r="AW341" s="108"/>
      <c r="AX341" s="108"/>
      <c r="AY341" s="108"/>
      <c r="AZ341" s="108"/>
    </row>
    <row r="342" spans="1:52" s="372" customFormat="1" ht="29.25" customHeight="1">
      <c r="A342" s="379">
        <f>_xlfn.AGGREGATE(4,7,A$22:A341)+1</f>
        <v>320</v>
      </c>
      <c r="B342" s="444" t="s">
        <v>2134</v>
      </c>
      <c r="C342" s="419" t="s">
        <v>1043</v>
      </c>
      <c r="D342" s="418" t="s">
        <v>2135</v>
      </c>
      <c r="E342" s="604" t="s">
        <v>2136</v>
      </c>
      <c r="F342" s="604"/>
      <c r="G342" s="604"/>
      <c r="H342" s="368" t="s">
        <v>2042</v>
      </c>
      <c r="I342" s="605">
        <v>8041111</v>
      </c>
      <c r="J342" s="81" t="str">
        <f>VLOOKUP(B342,TH.T5!$B$318:$F$647,5,FALSE)</f>
        <v>NV phòng TS - Đào tạo</v>
      </c>
      <c r="K342" s="466">
        <f t="shared" si="62"/>
        <v>5628777.6999999993</v>
      </c>
      <c r="L342" s="606" t="str">
        <f>VLOOKUP(B342,'[24]Gui chi Quynh'!$B$11:$E$400,4,FALSE)</f>
        <v>A2</v>
      </c>
      <c r="M342" s="466">
        <f t="shared" si="66"/>
        <v>7880289</v>
      </c>
      <c r="N342" s="606">
        <v>25</v>
      </c>
      <c r="O342" s="607">
        <f>IFERROR(INDEX('[17]CN HĐ'!$J$10:$J$76,MATCH(B342,'[17]CN HĐ'!$H$10:$H$76,0)),"")</f>
        <v>25</v>
      </c>
      <c r="P342" s="608" t="e">
        <f>IF(M342&gt;#REF!,M342,#REF!)</f>
        <v>#REF!</v>
      </c>
      <c r="Q342" s="466">
        <f t="shared" si="63"/>
        <v>7880289</v>
      </c>
      <c r="R342" s="609"/>
      <c r="S342" s="466">
        <v>0</v>
      </c>
      <c r="T342" s="610"/>
      <c r="U342" s="466">
        <v>0</v>
      </c>
      <c r="V342" s="647">
        <f t="shared" si="64"/>
        <v>80411.11</v>
      </c>
      <c r="W342" s="611">
        <f t="shared" si="65"/>
        <v>7880289</v>
      </c>
      <c r="X342" s="977">
        <f t="shared" si="58"/>
        <v>4.3779383333333337</v>
      </c>
      <c r="Y342" s="999">
        <v>1800000</v>
      </c>
      <c r="Z342" s="1000">
        <f t="shared" si="59"/>
        <v>7880289.0000000009</v>
      </c>
      <c r="AA342" s="568">
        <f t="shared" si="57"/>
        <v>320</v>
      </c>
      <c r="AB342" s="613">
        <f>IFERROR(INDEX('[17]CN HĐ'!$M$10:$M$76,MATCH(B342,'[17]CN HĐ'!$H$10:$H$76,0)),"")</f>
        <v>0</v>
      </c>
      <c r="AC342" s="108" t="str">
        <f>VLOOKUP(B342,TH.T4!B338:AC668,28,FALSE)</f>
        <v>TSĐT</v>
      </c>
      <c r="AD342" s="108"/>
      <c r="AE342" s="108"/>
      <c r="AF342" s="108"/>
      <c r="AG342" s="108"/>
      <c r="AH342" s="108"/>
      <c r="AI342" s="108"/>
      <c r="AJ342" s="108"/>
      <c r="AK342" s="108"/>
      <c r="AL342" s="108"/>
      <c r="AM342" s="108"/>
      <c r="AN342" s="108"/>
      <c r="AO342" s="108"/>
      <c r="AP342" s="108"/>
      <c r="AQ342" s="108"/>
      <c r="AR342" s="108"/>
      <c r="AS342" s="108"/>
      <c r="AT342" s="108"/>
      <c r="AU342" s="108"/>
      <c r="AV342" s="108"/>
      <c r="AW342" s="108"/>
      <c r="AX342" s="108"/>
      <c r="AY342" s="108"/>
      <c r="AZ342" s="108"/>
    </row>
    <row r="343" spans="1:52" s="372" customFormat="1" ht="29.25" customHeight="1">
      <c r="A343" s="379">
        <f>_xlfn.AGGREGATE(4,7,A$22:A342)+1</f>
        <v>321</v>
      </c>
      <c r="B343" s="444" t="s">
        <v>2137</v>
      </c>
      <c r="C343" s="419"/>
      <c r="D343" s="418"/>
      <c r="E343" s="604"/>
      <c r="F343" s="604"/>
      <c r="G343" s="604"/>
      <c r="H343" s="368" t="s">
        <v>2042</v>
      </c>
      <c r="I343" s="605">
        <f>5358132</f>
        <v>5358132</v>
      </c>
      <c r="J343" s="81" t="str">
        <f>VLOOKUP(B343,TH.T5!$B$318:$F$647,5,FALSE)</f>
        <v>NV phòng TS - Đào tạo</v>
      </c>
      <c r="K343" s="466">
        <f t="shared" si="62"/>
        <v>3750692.4</v>
      </c>
      <c r="L343" s="606" t="str">
        <f>VLOOKUP(B343,'[24]Gui chi Quynh'!$B$11:$E$400,4,FALSE)</f>
        <v>A2</v>
      </c>
      <c r="M343" s="466">
        <f t="shared" si="66"/>
        <v>5250969</v>
      </c>
      <c r="N343" s="606">
        <v>25</v>
      </c>
      <c r="O343" s="607">
        <f>IFERROR(INDEX('[17]CN HĐ'!$J$10:$J$76,MATCH(B343,'[17]CN HĐ'!$H$10:$H$76,0)),"")</f>
        <v>25</v>
      </c>
      <c r="P343" s="608"/>
      <c r="Q343" s="466">
        <f t="shared" si="63"/>
        <v>5250969</v>
      </c>
      <c r="R343" s="609"/>
      <c r="S343" s="466">
        <v>0</v>
      </c>
      <c r="T343" s="610"/>
      <c r="U343" s="466">
        <v>0</v>
      </c>
      <c r="V343" s="647">
        <f t="shared" si="64"/>
        <v>53581.32</v>
      </c>
      <c r="W343" s="611">
        <f t="shared" si="65"/>
        <v>5250969</v>
      </c>
      <c r="X343" s="977">
        <f t="shared" si="58"/>
        <v>2.917205</v>
      </c>
      <c r="Y343" s="999">
        <v>1800000</v>
      </c>
      <c r="Z343" s="1000">
        <f t="shared" si="59"/>
        <v>5250969</v>
      </c>
      <c r="AA343" s="568">
        <f t="shared" ref="AA343:AA353" si="67">A343</f>
        <v>321</v>
      </c>
      <c r="AB343" s="613">
        <f>IFERROR(INDEX('[17]CN HĐ'!$M$10:$M$76,MATCH(B343,'[17]CN HĐ'!$H$10:$H$76,0)),"")</f>
        <v>0</v>
      </c>
      <c r="AC343" s="108" t="str">
        <f>VLOOKUP(B343,TH.T4!B339:AC669,28,FALSE)</f>
        <v>TSĐT</v>
      </c>
    </row>
    <row r="344" spans="1:52" s="372" customFormat="1" ht="33.75" customHeight="1">
      <c r="A344" s="379">
        <f>_xlfn.AGGREGATE(4,7,A$22:A343)+1</f>
        <v>322</v>
      </c>
      <c r="B344" s="444" t="s">
        <v>2138</v>
      </c>
      <c r="C344" s="419" t="s">
        <v>2139</v>
      </c>
      <c r="D344" s="418" t="s">
        <v>2140</v>
      </c>
      <c r="E344" s="636" t="s">
        <v>2141</v>
      </c>
      <c r="F344" s="636"/>
      <c r="G344" s="636"/>
      <c r="H344" s="368" t="s">
        <v>2031</v>
      </c>
      <c r="I344" s="605">
        <v>5417685</v>
      </c>
      <c r="J344" s="81" t="str">
        <f>VLOOKUP(B344,TH.T5!$B$318:$F$647,5,FALSE)</f>
        <v>NV TT Điều hành và QLDL</v>
      </c>
      <c r="K344" s="466">
        <f t="shared" si="62"/>
        <v>1625305.5</v>
      </c>
      <c r="L344" s="606" t="str">
        <f>VLOOKUP(B344,'[24]Gui chi Quynh'!$B$11:$E$400,4,FALSE)</f>
        <v>A4</v>
      </c>
      <c r="M344" s="466">
        <f t="shared" si="66"/>
        <v>1625306</v>
      </c>
      <c r="N344" s="606">
        <v>25</v>
      </c>
      <c r="O344" s="607">
        <f>IFERROR(INDEX('[17]CN HĐ'!$J$10:$J$76,MATCH(B344,'[17]CN HĐ'!$H$10:$H$76,0)),"")</f>
        <v>25</v>
      </c>
      <c r="P344" s="608" t="e">
        <f>IF(M344&gt;#REF!,M344,#REF!)</f>
        <v>#REF!</v>
      </c>
      <c r="Q344" s="466">
        <f t="shared" si="63"/>
        <v>1625306</v>
      </c>
      <c r="R344" s="609"/>
      <c r="S344" s="466">
        <v>0</v>
      </c>
      <c r="T344" s="610"/>
      <c r="U344" s="466">
        <v>0</v>
      </c>
      <c r="V344" s="647">
        <f t="shared" si="64"/>
        <v>54176.85</v>
      </c>
      <c r="W344" s="611">
        <f t="shared" si="65"/>
        <v>1625306</v>
      </c>
      <c r="X344" s="977">
        <f t="shared" ref="X344:X353" si="68">W344/Y344</f>
        <v>0.90294777777777779</v>
      </c>
      <c r="Y344" s="999">
        <v>1800000</v>
      </c>
      <c r="Z344" s="1000">
        <f t="shared" ref="Z344:Z353" si="69">X344*Y344</f>
        <v>1625306</v>
      </c>
      <c r="AA344" s="568">
        <f t="shared" si="67"/>
        <v>322</v>
      </c>
      <c r="AB344" s="613">
        <f>IFERROR(INDEX('[17]CN HĐ'!$M$10:$M$76,MATCH(B344,'[17]CN HĐ'!$H$10:$H$76,0)),"")</f>
        <v>0</v>
      </c>
      <c r="AC344" s="108" t="str">
        <f>VLOOKUP(B344,TH.T4!B340:AC670,28,FALSE)</f>
        <v>TTĐHDL</v>
      </c>
    </row>
    <row r="345" spans="1:52" s="372" customFormat="1" ht="33.75" customHeight="1">
      <c r="A345" s="379">
        <f>_xlfn.AGGREGATE(4,7,A$22:A344)+1</f>
        <v>323</v>
      </c>
      <c r="B345" s="444" t="s">
        <v>2142</v>
      </c>
      <c r="C345" s="419"/>
      <c r="D345" s="418"/>
      <c r="E345" s="604"/>
      <c r="F345" s="604"/>
      <c r="G345" s="604"/>
      <c r="H345" s="368" t="s">
        <v>2038</v>
      </c>
      <c r="I345" s="605">
        <v>5007600</v>
      </c>
      <c r="J345" s="81" t="str">
        <f>VLOOKUP(B345,TH.T5!$B$318:$F$647,5,FALSE)</f>
        <v>NV TT Điều hành và QLDL</v>
      </c>
      <c r="K345" s="466">
        <f t="shared" si="62"/>
        <v>3505320</v>
      </c>
      <c r="L345" s="606" t="str">
        <f>VLOOKUP(B345,'[24]Gui chi Quynh'!$B$11:$E$400,4,FALSE)</f>
        <v>A1</v>
      </c>
      <c r="M345" s="466">
        <f t="shared" si="66"/>
        <v>5608512</v>
      </c>
      <c r="N345" s="606">
        <v>25</v>
      </c>
      <c r="O345" s="607">
        <f>IFERROR(INDEX('[17]CN HĐ'!$J$10:$J$76,MATCH(B345,'[17]CN HĐ'!$H$10:$H$76,0)),"")</f>
        <v>25</v>
      </c>
      <c r="P345" s="608"/>
      <c r="Q345" s="466">
        <f t="shared" si="63"/>
        <v>5608512</v>
      </c>
      <c r="R345" s="609"/>
      <c r="S345" s="466">
        <v>0</v>
      </c>
      <c r="T345" s="610"/>
      <c r="U345" s="466">
        <v>0</v>
      </c>
      <c r="V345" s="647">
        <f t="shared" si="64"/>
        <v>50076</v>
      </c>
      <c r="W345" s="611">
        <f t="shared" si="65"/>
        <v>5608512</v>
      </c>
      <c r="X345" s="977">
        <f t="shared" si="68"/>
        <v>3.1158399999999999</v>
      </c>
      <c r="Y345" s="999">
        <v>1800000</v>
      </c>
      <c r="Z345" s="1000">
        <f t="shared" si="69"/>
        <v>5608512</v>
      </c>
      <c r="AA345" s="568">
        <f t="shared" si="67"/>
        <v>323</v>
      </c>
      <c r="AB345" s="613">
        <f>IFERROR(INDEX('[17]CN HĐ'!$M$10:$M$76,MATCH(B345,'[17]CN HĐ'!$H$10:$H$76,0)),"")</f>
        <v>0</v>
      </c>
      <c r="AC345" s="108" t="str">
        <f>VLOOKUP(B345,TH.T4!B341:AC671,28,FALSE)</f>
        <v>TTĐHDL</v>
      </c>
      <c r="AD345" s="108"/>
      <c r="AE345" s="108"/>
      <c r="AF345" s="108"/>
      <c r="AG345" s="108"/>
      <c r="AH345" s="108"/>
      <c r="AI345" s="108"/>
      <c r="AJ345" s="108"/>
      <c r="AK345" s="108"/>
      <c r="AL345" s="108"/>
      <c r="AM345" s="108"/>
      <c r="AN345" s="108"/>
      <c r="AO345" s="108"/>
      <c r="AP345" s="108"/>
      <c r="AQ345" s="108"/>
      <c r="AR345" s="108"/>
      <c r="AS345" s="108"/>
      <c r="AT345" s="108"/>
    </row>
    <row r="346" spans="1:52" s="372" customFormat="1" ht="33.75" customHeight="1">
      <c r="A346" s="379">
        <f>_xlfn.AGGREGATE(4,7,A$22:A345)+1</f>
        <v>324</v>
      </c>
      <c r="B346" s="444" t="s">
        <v>2143</v>
      </c>
      <c r="C346" s="419"/>
      <c r="D346" s="418"/>
      <c r="E346" s="604"/>
      <c r="F346" s="604"/>
      <c r="G346" s="604"/>
      <c r="H346" s="368" t="s">
        <v>2038</v>
      </c>
      <c r="I346" s="605">
        <v>5007600</v>
      </c>
      <c r="J346" s="81" t="str">
        <f>VLOOKUP(B346,TH.T5!$B$318:$F$647,5,FALSE)</f>
        <v>NV TT Điều hành và QLDL</v>
      </c>
      <c r="K346" s="466">
        <f t="shared" si="62"/>
        <v>3505320</v>
      </c>
      <c r="L346" s="606" t="str">
        <f>VLOOKUP(B346,'[24]Gui chi Quynh'!$B$11:$E$400,4,FALSE)</f>
        <v>A4</v>
      </c>
      <c r="M346" s="466">
        <f t="shared" si="66"/>
        <v>3505320</v>
      </c>
      <c r="N346" s="606">
        <v>25</v>
      </c>
      <c r="O346" s="607">
        <f>IFERROR(INDEX('[17]CN HĐ'!$J$10:$J$76,MATCH(B346,'[17]CN HĐ'!$H$10:$H$76,0)),"")</f>
        <v>24</v>
      </c>
      <c r="P346" s="608"/>
      <c r="Q346" s="466">
        <f t="shared" si="63"/>
        <v>3365107</v>
      </c>
      <c r="R346" s="609"/>
      <c r="S346" s="466">
        <v>0</v>
      </c>
      <c r="T346" s="610"/>
      <c r="U346" s="466">
        <v>0</v>
      </c>
      <c r="V346" s="466">
        <f t="shared" si="64"/>
        <v>50076</v>
      </c>
      <c r="W346" s="611">
        <f t="shared" si="65"/>
        <v>3365107</v>
      </c>
      <c r="X346" s="977">
        <f t="shared" si="68"/>
        <v>1.8695038888888889</v>
      </c>
      <c r="Y346" s="999">
        <v>1800000</v>
      </c>
      <c r="Z346" s="1000">
        <f t="shared" si="69"/>
        <v>3365107</v>
      </c>
      <c r="AA346" s="568">
        <f t="shared" si="67"/>
        <v>324</v>
      </c>
      <c r="AB346" s="613" t="str">
        <f>IFERROR(INDEX('[17]CN HĐ'!$M$10:$M$76,MATCH(B346,'[17]CN HĐ'!$H$10:$H$76,0)),"")</f>
        <v>Trừ 1 ngày nghỉ phép 29/6</v>
      </c>
      <c r="AC346" s="108" t="str">
        <f>VLOOKUP(B346,TH.T4!B342:AC672,28,FALSE)</f>
        <v>TTĐHDL</v>
      </c>
    </row>
    <row r="347" spans="1:52" s="372" customFormat="1" ht="33.75" customHeight="1">
      <c r="A347" s="379">
        <f>_xlfn.AGGREGATE(4,7,A$22:A346)+1</f>
        <v>325</v>
      </c>
      <c r="B347" s="444" t="s">
        <v>2144</v>
      </c>
      <c r="C347" s="419" t="s">
        <v>2145</v>
      </c>
      <c r="D347" s="418" t="s">
        <v>2146</v>
      </c>
      <c r="E347" s="604">
        <v>1603205351493</v>
      </c>
      <c r="F347" s="604"/>
      <c r="G347" s="604"/>
      <c r="H347" s="368" t="s">
        <v>2042</v>
      </c>
      <c r="I347" s="605">
        <v>7515057</v>
      </c>
      <c r="J347" s="81" t="str">
        <f>VLOOKUP(B347,TH.T5!$B$318:$F$647,5,FALSE)</f>
        <v>NV phòng Khảo thí và ĐBCL</v>
      </c>
      <c r="K347" s="466">
        <f t="shared" si="62"/>
        <v>5260539.8999999994</v>
      </c>
      <c r="L347" s="606" t="str">
        <f>VLOOKUP(B347,'[24]Gui chi Quynh'!$B$11:$E$400,4,FALSE)</f>
        <v>A3</v>
      </c>
      <c r="M347" s="466">
        <f t="shared" si="66"/>
        <v>6312648</v>
      </c>
      <c r="N347" s="606">
        <v>25</v>
      </c>
      <c r="O347" s="607">
        <f>IFERROR(INDEX('[17]CN HĐ'!$J$10:$J$76,MATCH(B347,'[17]CN HĐ'!$H$10:$H$76,0)),"")</f>
        <v>25</v>
      </c>
      <c r="P347" s="608" t="e">
        <f>IF(M347&gt;#REF!,M347,#REF!)</f>
        <v>#REF!</v>
      </c>
      <c r="Q347" s="466">
        <f t="shared" si="63"/>
        <v>6312648</v>
      </c>
      <c r="R347" s="609"/>
      <c r="S347" s="466">
        <v>0</v>
      </c>
      <c r="T347" s="610"/>
      <c r="U347" s="466">
        <v>0</v>
      </c>
      <c r="V347" s="647">
        <f t="shared" si="64"/>
        <v>75150.570000000007</v>
      </c>
      <c r="W347" s="611">
        <f t="shared" si="65"/>
        <v>6312648</v>
      </c>
      <c r="X347" s="977">
        <f t="shared" si="68"/>
        <v>3.5070266666666665</v>
      </c>
      <c r="Y347" s="999">
        <v>1800000</v>
      </c>
      <c r="Z347" s="1000">
        <f t="shared" si="69"/>
        <v>6312648</v>
      </c>
      <c r="AA347" s="568">
        <f t="shared" si="67"/>
        <v>325</v>
      </c>
      <c r="AB347" s="613">
        <f>IFERROR(INDEX('[17]CN HĐ'!$M$10:$M$76,MATCH(B347,'[17]CN HĐ'!$H$10:$H$76,0)),"")</f>
        <v>0</v>
      </c>
      <c r="AC347" s="108" t="str">
        <f>VLOOKUP(B347,TH.T4!B343:AC673,28,FALSE)</f>
        <v>KTĐBCL</v>
      </c>
      <c r="AD347" s="108"/>
      <c r="AE347" s="108"/>
      <c r="AF347" s="108"/>
      <c r="AG347" s="108"/>
      <c r="AH347" s="108"/>
      <c r="AI347" s="108"/>
      <c r="AJ347" s="108"/>
      <c r="AK347" s="108"/>
      <c r="AL347" s="108"/>
      <c r="AM347" s="108"/>
      <c r="AN347" s="108"/>
      <c r="AO347" s="108"/>
      <c r="AP347" s="108"/>
      <c r="AQ347" s="108"/>
      <c r="AR347" s="108"/>
      <c r="AS347" s="108"/>
      <c r="AT347" s="108"/>
      <c r="AU347" s="108"/>
      <c r="AV347" s="108"/>
      <c r="AW347" s="108"/>
      <c r="AX347" s="108"/>
      <c r="AY347" s="108"/>
      <c r="AZ347" s="108"/>
    </row>
    <row r="348" spans="1:52" s="372" customFormat="1" ht="30.75" customHeight="1">
      <c r="A348" s="379">
        <f>_xlfn.AGGREGATE(4,7,A$22:A347)+1</f>
        <v>326</v>
      </c>
      <c r="B348" s="444" t="s">
        <v>2147</v>
      </c>
      <c r="C348" s="419"/>
      <c r="D348" s="418"/>
      <c r="E348" s="20" t="s">
        <v>2148</v>
      </c>
      <c r="F348" s="20"/>
      <c r="G348" s="20"/>
      <c r="H348" s="368" t="s">
        <v>2042</v>
      </c>
      <c r="I348" s="605">
        <v>10540257</v>
      </c>
      <c r="J348" s="81" t="str">
        <f>VLOOKUP(B348,TH.T5!$B$318:$F$647,5,FALSE)</f>
        <v>Khoa Động lực</v>
      </c>
      <c r="K348" s="466">
        <f t="shared" si="62"/>
        <v>7378179.8999999994</v>
      </c>
      <c r="L348" s="606" t="str">
        <f>VLOOKUP(B348,'[24]Gui chi Quynh'!$B$11:$E$400,4,FALSE)</f>
        <v>A4</v>
      </c>
      <c r="M348" s="466">
        <f t="shared" si="66"/>
        <v>7378180</v>
      </c>
      <c r="N348" s="606">
        <v>25</v>
      </c>
      <c r="O348" s="607">
        <f>IFERROR(INDEX('[17]CN HĐ'!$J$10:$J$76,MATCH(B348,'[17]CN HĐ'!$H$10:$H$76,0)),"")</f>
        <v>24</v>
      </c>
      <c r="P348" s="608" t="e">
        <f>IF(M348&gt;#REF!,M348,#REF!)</f>
        <v>#REF!</v>
      </c>
      <c r="Q348" s="466">
        <f t="shared" si="63"/>
        <v>7083053</v>
      </c>
      <c r="R348" s="609"/>
      <c r="S348" s="466">
        <v>0</v>
      </c>
      <c r="T348" s="610"/>
      <c r="U348" s="466">
        <v>0</v>
      </c>
      <c r="V348" s="647">
        <f t="shared" si="64"/>
        <v>105402.57</v>
      </c>
      <c r="W348" s="611">
        <f t="shared" si="65"/>
        <v>7083053</v>
      </c>
      <c r="X348" s="977">
        <f t="shared" si="68"/>
        <v>3.9350294444444445</v>
      </c>
      <c r="Y348" s="999">
        <v>1800000</v>
      </c>
      <c r="Z348" s="1000">
        <f t="shared" si="69"/>
        <v>7083053</v>
      </c>
      <c r="AA348" s="568">
        <f t="shared" si="67"/>
        <v>326</v>
      </c>
      <c r="AB348" s="613">
        <f>IFERROR(INDEX('[17]CN HĐ'!$M$10:$M$76,MATCH(B348,'[17]CN HĐ'!$H$10:$H$76,0)),"")</f>
        <v>0</v>
      </c>
      <c r="AC348" s="108" t="str">
        <f>VLOOKUP(B348,TH.T4!B344:AC674,28,FALSE)</f>
        <v>ĐL</v>
      </c>
      <c r="AD348" s="108"/>
      <c r="AE348" s="108"/>
      <c r="AF348" s="108"/>
      <c r="AG348" s="108"/>
      <c r="AH348" s="108"/>
      <c r="AI348" s="108"/>
      <c r="AJ348" s="108"/>
      <c r="AK348" s="108"/>
      <c r="AL348" s="108"/>
      <c r="AM348" s="108"/>
      <c r="AN348" s="108"/>
      <c r="AO348" s="108"/>
      <c r="AP348" s="108"/>
      <c r="AQ348" s="108"/>
      <c r="AR348" s="108"/>
      <c r="AS348" s="108"/>
      <c r="AT348" s="108"/>
      <c r="AU348" s="108"/>
      <c r="AV348" s="108"/>
      <c r="AW348" s="108"/>
      <c r="AX348" s="108"/>
      <c r="AY348" s="108"/>
      <c r="AZ348" s="108"/>
    </row>
    <row r="349" spans="1:52" s="372" customFormat="1" ht="32.25" customHeight="1">
      <c r="A349" s="379">
        <f>_xlfn.AGGREGATE(4,7,A$22:A348)+1</f>
        <v>327</v>
      </c>
      <c r="B349" s="444" t="s">
        <v>2149</v>
      </c>
      <c r="C349" s="419"/>
      <c r="D349" s="418" t="s">
        <v>2150</v>
      </c>
      <c r="E349" s="20" t="s">
        <v>11</v>
      </c>
      <c r="F349" s="20"/>
      <c r="G349" s="20"/>
      <c r="H349" s="368" t="s">
        <v>2038</v>
      </c>
      <c r="I349" s="605">
        <v>6086769</v>
      </c>
      <c r="J349" s="81" t="str">
        <f>VLOOKUP(B349,TH.T5!$B$318:$F$647,5,FALSE)</f>
        <v>NV TT Đào tạo Lý Tự Trọng</v>
      </c>
      <c r="K349" s="466">
        <f t="shared" si="62"/>
        <v>4260738.3</v>
      </c>
      <c r="L349" s="606" t="str">
        <f>VLOOKUP(B349,'[24]Gui chi Quynh'!$B$11:$E$400,4,FALSE)</f>
        <v>A4</v>
      </c>
      <c r="M349" s="466">
        <f t="shared" si="66"/>
        <v>4260738</v>
      </c>
      <c r="N349" s="606">
        <v>25</v>
      </c>
      <c r="O349" s="607">
        <f>IFERROR(INDEX('[17]CN HĐ'!$J$10:$J$76,MATCH(B349,'[17]CN HĐ'!$H$10:$H$76,0)),"")</f>
        <v>25</v>
      </c>
      <c r="P349" s="608"/>
      <c r="Q349" s="466">
        <f t="shared" si="63"/>
        <v>4260738</v>
      </c>
      <c r="R349" s="609"/>
      <c r="S349" s="466">
        <v>0</v>
      </c>
      <c r="T349" s="610"/>
      <c r="U349" s="466">
        <v>0</v>
      </c>
      <c r="V349" s="647">
        <f t="shared" si="64"/>
        <v>60867.69</v>
      </c>
      <c r="W349" s="611">
        <f t="shared" si="65"/>
        <v>4260738</v>
      </c>
      <c r="X349" s="977">
        <f t="shared" si="68"/>
        <v>2.3670766666666667</v>
      </c>
      <c r="Y349" s="999">
        <v>1800000</v>
      </c>
      <c r="Z349" s="1000">
        <f t="shared" si="69"/>
        <v>4260738</v>
      </c>
      <c r="AA349" s="568">
        <f t="shared" si="67"/>
        <v>327</v>
      </c>
      <c r="AB349" s="613">
        <f>IFERROR(INDEX('[17]CN HĐ'!$M$10:$M$76,MATCH(B349,'[17]CN HĐ'!$H$10:$H$76,0)),"")</f>
        <v>0</v>
      </c>
      <c r="AC349" s="108" t="str">
        <f>VLOOKUP(B349,TH.T4!B345:AC675,28,FALSE)</f>
        <v>TTĐT</v>
      </c>
      <c r="AD349" s="108"/>
      <c r="AE349" s="108"/>
      <c r="AF349" s="108"/>
      <c r="AG349" s="108"/>
      <c r="AH349" s="108"/>
      <c r="AI349" s="108"/>
      <c r="AJ349" s="108"/>
      <c r="AK349" s="108"/>
      <c r="AL349" s="108"/>
      <c r="AM349" s="108"/>
      <c r="AN349" s="108"/>
      <c r="AO349" s="108"/>
      <c r="AP349" s="108"/>
      <c r="AQ349" s="108"/>
      <c r="AR349" s="108"/>
      <c r="AS349" s="108"/>
      <c r="AT349" s="108"/>
      <c r="AU349" s="108"/>
      <c r="AV349" s="108"/>
      <c r="AW349" s="108"/>
      <c r="AX349" s="108"/>
      <c r="AY349" s="108"/>
      <c r="AZ349" s="108"/>
    </row>
    <row r="350" spans="1:52" s="372" customFormat="1" ht="32.25" customHeight="1">
      <c r="A350" s="379">
        <f>_xlfn.AGGREGATE(4,7,A$22:A349)+1</f>
        <v>328</v>
      </c>
      <c r="B350" s="444" t="s">
        <v>2151</v>
      </c>
      <c r="C350" s="419"/>
      <c r="D350" s="418"/>
      <c r="E350" s="636"/>
      <c r="F350" s="636"/>
      <c r="G350" s="636"/>
      <c r="H350" s="368" t="s">
        <v>2031</v>
      </c>
      <c r="I350" s="605">
        <v>4680000</v>
      </c>
      <c r="J350" s="81" t="str">
        <f>VLOOKUP(B350,TH.T5!$B$318:$F$647,5,FALSE)</f>
        <v>NV TT Đào tạo Lý Tự Trọng</v>
      </c>
      <c r="K350" s="466">
        <f t="shared" si="62"/>
        <v>1404000</v>
      </c>
      <c r="L350" s="606" t="str">
        <f>VLOOKUP(B350,'[24]Gui chi Quynh'!$B$11:$E$400,4,FALSE)</f>
        <v>A3</v>
      </c>
      <c r="M350" s="466">
        <f t="shared" si="66"/>
        <v>1684800</v>
      </c>
      <c r="N350" s="606">
        <v>25</v>
      </c>
      <c r="O350" s="607">
        <f>IFERROR(INDEX('[17]CN HĐ'!$J$10:$J$76,MATCH(B350,'[17]CN HĐ'!$H$10:$H$76,0)),"")</f>
        <v>25</v>
      </c>
      <c r="P350" s="608"/>
      <c r="Q350" s="466">
        <f t="shared" si="63"/>
        <v>1684800</v>
      </c>
      <c r="R350" s="609"/>
      <c r="S350" s="466">
        <v>0</v>
      </c>
      <c r="T350" s="610"/>
      <c r="U350" s="466">
        <v>0</v>
      </c>
      <c r="V350" s="647">
        <f t="shared" si="64"/>
        <v>46800</v>
      </c>
      <c r="W350" s="611">
        <f t="shared" si="65"/>
        <v>1684800</v>
      </c>
      <c r="X350" s="977">
        <f t="shared" si="68"/>
        <v>0.93600000000000005</v>
      </c>
      <c r="Y350" s="999">
        <v>1800000</v>
      </c>
      <c r="Z350" s="1000">
        <f t="shared" si="69"/>
        <v>1684800</v>
      </c>
      <c r="AA350" s="568">
        <f t="shared" si="67"/>
        <v>328</v>
      </c>
      <c r="AB350" s="613">
        <f>IFERROR(INDEX('[17]CN HĐ'!$M$10:$M$76,MATCH(B350,'[17]CN HĐ'!$H$10:$H$76,0)),"")</f>
        <v>0</v>
      </c>
      <c r="AC350" s="108" t="str">
        <f>VLOOKUP(B350,TH.T4!B346:AC676,28,FALSE)</f>
        <v>TTĐT</v>
      </c>
    </row>
    <row r="351" spans="1:52" s="372" customFormat="1" ht="27.75" customHeight="1">
      <c r="A351" s="379">
        <f>_xlfn.AGGREGATE(4,7,A$22:A350)+1</f>
        <v>329</v>
      </c>
      <c r="B351" s="444" t="s">
        <v>2152</v>
      </c>
      <c r="C351" s="419" t="s">
        <v>960</v>
      </c>
      <c r="D351" s="418" t="s">
        <v>2153</v>
      </c>
      <c r="E351" s="604" t="s">
        <v>2154</v>
      </c>
      <c r="F351" s="604"/>
      <c r="G351" s="604"/>
      <c r="H351" s="368" t="s">
        <v>2042</v>
      </c>
      <c r="I351" s="605">
        <v>6563942</v>
      </c>
      <c r="J351" s="81" t="str">
        <f>VLOOKUP(B351,TH.T5!$B$318:$F$647,5,FALSE)</f>
        <v xml:space="preserve">NV Thư viện  </v>
      </c>
      <c r="K351" s="466">
        <f t="shared" si="62"/>
        <v>4594759.3999999994</v>
      </c>
      <c r="L351" s="606" t="str">
        <f>VLOOKUP(B351,'[24]Gui chi Quynh'!$B$11:$E$400,4,FALSE)</f>
        <v>A3</v>
      </c>
      <c r="M351" s="466">
        <f t="shared" si="66"/>
        <v>5513711</v>
      </c>
      <c r="N351" s="606">
        <v>25</v>
      </c>
      <c r="O351" s="607">
        <f>IFERROR(INDEX('[17]CN HĐ'!$J$10:$J$76,MATCH(B351,'[17]CN HĐ'!$H$10:$H$76,0)),"")</f>
        <v>23</v>
      </c>
      <c r="P351" s="608" t="e">
        <f>IF(M351&gt;#REF!,M351,#REF!)</f>
        <v>#REF!</v>
      </c>
      <c r="Q351" s="466">
        <f t="shared" si="63"/>
        <v>5072614</v>
      </c>
      <c r="R351" s="609"/>
      <c r="S351" s="466">
        <v>0</v>
      </c>
      <c r="T351" s="610"/>
      <c r="U351" s="466">
        <v>0</v>
      </c>
      <c r="V351" s="647">
        <f t="shared" si="64"/>
        <v>65639.42</v>
      </c>
      <c r="W351" s="611">
        <f t="shared" si="65"/>
        <v>5072614</v>
      </c>
      <c r="X351" s="977">
        <f t="shared" si="68"/>
        <v>2.8181188888888888</v>
      </c>
      <c r="Y351" s="999">
        <v>1800000</v>
      </c>
      <c r="Z351" s="1000">
        <f t="shared" si="69"/>
        <v>5072614</v>
      </c>
      <c r="AA351" s="568">
        <f t="shared" si="67"/>
        <v>329</v>
      </c>
      <c r="AB351" s="613" t="str">
        <f>IFERROR(INDEX('[17]CN HĐ'!$M$10:$M$76,MATCH(B351,'[17]CN HĐ'!$H$10:$H$76,0)),"")</f>
        <v>Trừ 2 ngày nghỉ phép 8+10/6</v>
      </c>
      <c r="AC351" s="108" t="str">
        <f>VLOOKUP(B351,TH.T4!B347:AC677,28,FALSE)</f>
        <v>TTTV</v>
      </c>
      <c r="AD351" s="108"/>
      <c r="AE351" s="108"/>
      <c r="AF351" s="108"/>
      <c r="AG351" s="108"/>
      <c r="AH351" s="108"/>
      <c r="AI351" s="108"/>
      <c r="AJ351" s="108"/>
      <c r="AK351" s="108"/>
      <c r="AL351" s="108"/>
      <c r="AM351" s="108"/>
      <c r="AN351" s="108"/>
      <c r="AO351" s="108"/>
      <c r="AP351" s="108"/>
      <c r="AQ351" s="108"/>
      <c r="AR351" s="108"/>
      <c r="AS351" s="108"/>
      <c r="AT351" s="108"/>
      <c r="AU351" s="108"/>
      <c r="AV351" s="108"/>
      <c r="AW351" s="108"/>
      <c r="AX351" s="108"/>
      <c r="AY351" s="108"/>
      <c r="AZ351" s="108"/>
    </row>
    <row r="352" spans="1:52" s="372" customFormat="1" ht="27.75" customHeight="1">
      <c r="A352" s="379">
        <f>_xlfn.AGGREGATE(4,7,A$22:A351)+1</f>
        <v>330</v>
      </c>
      <c r="B352" s="444" t="s">
        <v>2155</v>
      </c>
      <c r="C352" s="419"/>
      <c r="D352" s="418"/>
      <c r="E352" s="604"/>
      <c r="F352" s="604"/>
      <c r="G352" s="604"/>
      <c r="H352" s="368" t="s">
        <v>2038</v>
      </c>
      <c r="I352" s="605">
        <v>5520879</v>
      </c>
      <c r="J352" s="81" t="str">
        <f>VLOOKUP(B352,TH.T5!$B$318:$F$647,5,FALSE)</f>
        <v xml:space="preserve">NV Thư viện  </v>
      </c>
      <c r="K352" s="466">
        <f t="shared" si="62"/>
        <v>3864615.3</v>
      </c>
      <c r="L352" s="606" t="str">
        <f>VLOOKUP(B352,'[24]Gui chi Quynh'!$B$11:$E$400,4,FALSE)</f>
        <v>A3</v>
      </c>
      <c r="M352" s="466">
        <f t="shared" si="66"/>
        <v>4637538</v>
      </c>
      <c r="N352" s="606">
        <v>25</v>
      </c>
      <c r="O352" s="607">
        <f>IFERROR(INDEX('[17]CN HĐ'!$J$10:$J$76,MATCH(B352,'[17]CN HĐ'!$H$10:$H$76,0)),"")</f>
        <v>25</v>
      </c>
      <c r="P352" s="608" t="e">
        <f>IF(M352&gt;#REF!,M352,#REF!)</f>
        <v>#REF!</v>
      </c>
      <c r="Q352" s="466">
        <f t="shared" si="63"/>
        <v>4637538</v>
      </c>
      <c r="R352" s="609"/>
      <c r="S352" s="466">
        <v>0</v>
      </c>
      <c r="T352" s="610"/>
      <c r="U352" s="466">
        <v>0</v>
      </c>
      <c r="V352" s="647">
        <f t="shared" si="64"/>
        <v>55208.79</v>
      </c>
      <c r="W352" s="611">
        <f t="shared" si="65"/>
        <v>4637538</v>
      </c>
      <c r="X352" s="977">
        <f t="shared" si="68"/>
        <v>2.5764100000000001</v>
      </c>
      <c r="Y352" s="999">
        <v>1800000</v>
      </c>
      <c r="Z352" s="1000">
        <f t="shared" si="69"/>
        <v>4637538</v>
      </c>
      <c r="AA352" s="568">
        <f t="shared" si="67"/>
        <v>330</v>
      </c>
      <c r="AB352" s="613">
        <f>IFERROR(INDEX('[17]CN HĐ'!$M$10:$M$76,MATCH(B352,'[17]CN HĐ'!$H$10:$H$76,0)),"")</f>
        <v>0</v>
      </c>
      <c r="AC352" s="108" t="str">
        <f>VLOOKUP(B352,TH.T4!B348:AC678,28,FALSE)</f>
        <v>TTTV</v>
      </c>
      <c r="AD352" s="108"/>
      <c r="AE352" s="108"/>
      <c r="AF352" s="108"/>
      <c r="AG352" s="108"/>
      <c r="AH352" s="108"/>
      <c r="AI352" s="108"/>
      <c r="AJ352" s="108"/>
      <c r="AK352" s="108"/>
      <c r="AL352" s="108"/>
      <c r="AM352" s="108"/>
      <c r="AN352" s="108"/>
      <c r="AO352" s="108"/>
      <c r="AP352" s="108"/>
      <c r="AQ352" s="108"/>
      <c r="AR352" s="108"/>
      <c r="AS352" s="108"/>
      <c r="AT352" s="108"/>
      <c r="AU352" s="108"/>
      <c r="AV352" s="108"/>
      <c r="AW352" s="108"/>
      <c r="AX352" s="108"/>
      <c r="AY352" s="108"/>
      <c r="AZ352" s="108"/>
    </row>
    <row r="353" spans="1:52" s="372" customFormat="1" ht="27.75" customHeight="1">
      <c r="A353" s="379">
        <f>_xlfn.AGGREGATE(4,7,A$22:A352)+1</f>
        <v>331</v>
      </c>
      <c r="B353" s="444" t="s">
        <v>2156</v>
      </c>
      <c r="C353" s="419" t="s">
        <v>920</v>
      </c>
      <c r="D353" s="418" t="s">
        <v>2157</v>
      </c>
      <c r="E353" s="637" t="s">
        <v>2158</v>
      </c>
      <c r="F353" s="638"/>
      <c r="G353" s="638"/>
      <c r="H353" s="81" t="s">
        <v>2042</v>
      </c>
      <c r="I353" s="605">
        <v>6563942</v>
      </c>
      <c r="J353" s="81" t="str">
        <f>VLOOKUP(B353,TH.T5!$B$318:$F$647,5,FALSE)</f>
        <v xml:space="preserve">NV Thư viện  </v>
      </c>
      <c r="K353" s="466">
        <f t="shared" si="62"/>
        <v>4594759.3999999994</v>
      </c>
      <c r="L353" s="606" t="str">
        <f>VLOOKUP(B353,'[24]Gui chi Quynh'!$B$11:$E$400,4,FALSE)</f>
        <v>A4</v>
      </c>
      <c r="M353" s="466">
        <f t="shared" si="66"/>
        <v>4594759</v>
      </c>
      <c r="N353" s="606">
        <v>25</v>
      </c>
      <c r="O353" s="607">
        <f>IFERROR(INDEX('[17]CN HĐ'!$J$10:$J$76,MATCH(B353,'[17]CN HĐ'!$H$10:$H$76,0)),"")</f>
        <v>20</v>
      </c>
      <c r="P353" s="608" t="e">
        <f>IF(M353&gt;#REF!,M353,#REF!)</f>
        <v>#REF!</v>
      </c>
      <c r="Q353" s="466">
        <f t="shared" si="63"/>
        <v>3675807</v>
      </c>
      <c r="R353" s="609"/>
      <c r="S353" s="466">
        <v>0</v>
      </c>
      <c r="T353" s="610"/>
      <c r="U353" s="466">
        <v>0</v>
      </c>
      <c r="V353" s="647">
        <f t="shared" si="64"/>
        <v>65639.42</v>
      </c>
      <c r="W353" s="611">
        <f t="shared" si="65"/>
        <v>3675807</v>
      </c>
      <c r="X353" s="977">
        <f t="shared" si="68"/>
        <v>2.0421149999999999</v>
      </c>
      <c r="Y353" s="999">
        <v>1800000</v>
      </c>
      <c r="Z353" s="1000">
        <f t="shared" si="69"/>
        <v>3675807</v>
      </c>
      <c r="AA353" s="568">
        <f t="shared" si="67"/>
        <v>331</v>
      </c>
      <c r="AB353" s="613" t="str">
        <f>IFERROR(INDEX('[17]CN HĐ'!$M$10:$M$76,MATCH(B353,'[17]CN HĐ'!$H$10:$H$76,0)),"")</f>
        <v>Trừ 5 ngày nghỉ phép NH 3 đến 7/6</v>
      </c>
      <c r="AC353" s="108" t="str">
        <f>VLOOKUP(B353,TH.T4!B349:AC679,28,FALSE)</f>
        <v>TTTV</v>
      </c>
      <c r="AD353" s="108"/>
      <c r="AE353" s="108"/>
      <c r="AF353" s="108"/>
      <c r="AG353" s="108"/>
      <c r="AH353" s="108"/>
      <c r="AI353" s="108"/>
      <c r="AJ353" s="108"/>
      <c r="AK353" s="108"/>
      <c r="AL353" s="108"/>
      <c r="AM353" s="108"/>
      <c r="AN353" s="108"/>
      <c r="AO353" s="108"/>
      <c r="AP353" s="108"/>
      <c r="AQ353" s="108"/>
      <c r="AR353" s="108"/>
      <c r="AS353" s="108"/>
      <c r="AT353" s="108"/>
      <c r="AU353" s="108"/>
      <c r="AV353" s="108"/>
      <c r="AW353" s="108"/>
      <c r="AX353" s="108"/>
      <c r="AY353" s="108"/>
      <c r="AZ353" s="108"/>
    </row>
    <row r="354" spans="1:52" s="124" customFormat="1" ht="21.75" customHeight="1">
      <c r="A354" s="347"/>
      <c r="B354" s="410" t="s">
        <v>1109</v>
      </c>
      <c r="C354" s="411"/>
      <c r="D354" s="412"/>
      <c r="E354" s="348"/>
      <c r="F354" s="413">
        <f t="shared" ref="F354:L354" si="70">SUM(F23:F288)</f>
        <v>1014.8640000000004</v>
      </c>
      <c r="G354" s="413">
        <f t="shared" si="70"/>
        <v>2.7600000000000002</v>
      </c>
      <c r="H354" s="413">
        <f t="shared" si="70"/>
        <v>1028.5167999999999</v>
      </c>
      <c r="I354" s="413">
        <f t="shared" si="70"/>
        <v>25.099999999999998</v>
      </c>
      <c r="J354" s="413"/>
      <c r="K354" s="413">
        <f t="shared" si="70"/>
        <v>1053.6168000000007</v>
      </c>
      <c r="L354" s="414">
        <f t="shared" si="70"/>
        <v>1896510240</v>
      </c>
      <c r="M354" s="413"/>
      <c r="N354" s="415">
        <f t="shared" ref="N354:W354" si="71">SUM(N23:N288)</f>
        <v>2313733896</v>
      </c>
      <c r="O354" s="415">
        <f t="shared" si="71"/>
        <v>5320</v>
      </c>
      <c r="P354" s="416">
        <f t="shared" si="71"/>
        <v>5451.5</v>
      </c>
      <c r="Q354" s="415">
        <f t="shared" si="71"/>
        <v>2308365486</v>
      </c>
      <c r="R354" s="475">
        <f t="shared" si="71"/>
        <v>0</v>
      </c>
      <c r="S354" s="415">
        <f t="shared" si="71"/>
        <v>0</v>
      </c>
      <c r="T354" s="417">
        <f t="shared" si="71"/>
        <v>0</v>
      </c>
      <c r="U354" s="415">
        <f t="shared" si="71"/>
        <v>0</v>
      </c>
      <c r="V354" s="586">
        <f t="shared" si="71"/>
        <v>18785499</v>
      </c>
      <c r="W354" s="415">
        <f t="shared" si="71"/>
        <v>2308365486</v>
      </c>
      <c r="X354" s="442"/>
      <c r="Y354" s="442"/>
      <c r="Z354" s="442">
        <f>SUM(Z23:Z353)</f>
        <v>2581258758</v>
      </c>
      <c r="AA354" s="349"/>
      <c r="AB354" s="348"/>
      <c r="AC354" s="438"/>
      <c r="AF354" s="156"/>
    </row>
    <row r="355" spans="1:52" ht="2.25" customHeight="1">
      <c r="F355" s="1"/>
      <c r="G355" s="4"/>
      <c r="L355" s="357"/>
      <c r="M355" s="1"/>
      <c r="N355" s="3"/>
      <c r="O355" s="1"/>
      <c r="P355" s="1"/>
      <c r="Q355" s="3"/>
      <c r="R355" s="451"/>
      <c r="S355" s="3"/>
      <c r="T355" s="382"/>
      <c r="U355" s="3"/>
      <c r="V355" s="581"/>
      <c r="W355" s="3"/>
      <c r="X355" s="3"/>
      <c r="Y355" s="3"/>
      <c r="Z355" s="3"/>
    </row>
    <row r="356" spans="1:52" s="16" customFormat="1" ht="21.75" customHeight="1">
      <c r="B356" s="492" t="s">
        <v>2260</v>
      </c>
      <c r="C356" s="14"/>
      <c r="D356" s="14"/>
      <c r="E356" s="14"/>
      <c r="F356" s="14"/>
      <c r="G356" s="15"/>
      <c r="H356" s="15"/>
      <c r="I356" s="15"/>
      <c r="J356" s="15"/>
      <c r="K356" s="80"/>
      <c r="L356" s="355"/>
      <c r="M356" s="18"/>
      <c r="N356" s="17"/>
      <c r="O356" s="18"/>
      <c r="P356" s="18"/>
      <c r="Q356" s="43"/>
      <c r="R356" s="450"/>
      <c r="S356" s="17"/>
      <c r="T356" s="381"/>
      <c r="U356" s="17"/>
      <c r="V356" s="579"/>
      <c r="W356" s="43"/>
      <c r="X356" s="43"/>
      <c r="Y356" s="43"/>
      <c r="Z356" s="43"/>
      <c r="AB356" s="97"/>
      <c r="AC356" s="106"/>
      <c r="AF356" s="152"/>
    </row>
    <row r="357" spans="1:52" s="16" customFormat="1" ht="3.75" customHeight="1">
      <c r="B357" s="37"/>
      <c r="C357" s="14"/>
      <c r="D357" s="14"/>
      <c r="E357" s="14"/>
      <c r="F357" s="14"/>
      <c r="G357" s="15"/>
      <c r="H357" s="15"/>
      <c r="I357" s="15"/>
      <c r="J357" s="15"/>
      <c r="K357" s="80"/>
      <c r="L357" s="355"/>
      <c r="M357" s="18"/>
      <c r="N357" s="17"/>
      <c r="O357" s="18"/>
      <c r="P357" s="18"/>
      <c r="Q357" s="43"/>
      <c r="R357" s="450"/>
      <c r="S357" s="17"/>
      <c r="T357" s="381"/>
      <c r="U357" s="17"/>
      <c r="V357" s="579"/>
      <c r="W357" s="43"/>
      <c r="X357" s="43"/>
      <c r="Y357" s="43"/>
      <c r="Z357" s="43"/>
      <c r="AB357" s="97"/>
      <c r="AC357" s="106"/>
      <c r="AF357" s="152"/>
    </row>
    <row r="358" spans="1:52" ht="15.75">
      <c r="F358" s="16"/>
      <c r="G358" s="1"/>
      <c r="H358" s="4"/>
      <c r="L358" s="356"/>
      <c r="M358" s="1"/>
      <c r="N358" s="3"/>
      <c r="O358" s="1"/>
      <c r="P358" s="1"/>
      <c r="Q358" s="1"/>
      <c r="R358" s="456"/>
      <c r="S358" s="1"/>
      <c r="T358" s="386"/>
      <c r="U358" s="1566" t="s">
        <v>2258</v>
      </c>
      <c r="V358" s="1566"/>
      <c r="W358" s="1566"/>
      <c r="X358" s="1566"/>
      <c r="Y358" s="1566"/>
      <c r="Z358" s="1566"/>
      <c r="AA358" s="1566"/>
      <c r="AB358" s="1566"/>
    </row>
    <row r="359" spans="1:52" s="16" customFormat="1">
      <c r="A359" s="1543" t="s">
        <v>859</v>
      </c>
      <c r="B359" s="1543"/>
      <c r="C359" s="14"/>
      <c r="D359" s="14"/>
      <c r="E359" s="14"/>
      <c r="F359" s="1552" t="s">
        <v>1191</v>
      </c>
      <c r="G359" s="1552"/>
      <c r="H359" s="1552"/>
      <c r="I359" s="1552"/>
      <c r="J359" s="1552"/>
      <c r="K359" s="1552"/>
      <c r="L359" s="1552"/>
      <c r="M359" s="1552"/>
      <c r="N359" s="1552"/>
      <c r="O359" s="1552"/>
      <c r="P359" s="1552"/>
      <c r="Q359" s="1552"/>
      <c r="R359" s="1552"/>
      <c r="S359" s="1552"/>
      <c r="T359" s="1552"/>
      <c r="U359" s="1552"/>
      <c r="V359" s="1552"/>
      <c r="W359" s="1552"/>
      <c r="X359" s="1552"/>
      <c r="Y359" s="1552"/>
      <c r="Z359" s="1543" t="s">
        <v>41</v>
      </c>
      <c r="AA359" s="1543"/>
      <c r="AB359" s="1543"/>
      <c r="AC359" s="106"/>
      <c r="AF359" s="152"/>
    </row>
    <row r="360" spans="1:52" s="16" customFormat="1" ht="13.5" customHeight="1">
      <c r="A360" s="13"/>
      <c r="B360" s="13"/>
      <c r="C360" s="14"/>
      <c r="D360" s="14"/>
      <c r="E360" s="14"/>
      <c r="F360" s="14"/>
      <c r="G360" s="14"/>
      <c r="H360" s="14"/>
      <c r="I360" s="14"/>
      <c r="J360" s="13"/>
      <c r="K360" s="178"/>
      <c r="L360" s="352"/>
      <c r="M360" s="649"/>
      <c r="N360" s="14"/>
      <c r="O360" s="13"/>
      <c r="P360" s="14"/>
      <c r="Q360" s="13"/>
      <c r="R360" s="457"/>
      <c r="S360" s="13"/>
      <c r="T360" s="387"/>
      <c r="V360" s="587"/>
      <c r="W360" s="13"/>
      <c r="X360" s="13"/>
      <c r="Y360" s="13"/>
      <c r="Z360" s="13"/>
      <c r="AB360" s="98"/>
      <c r="AC360" s="106"/>
      <c r="AF360" s="152"/>
    </row>
    <row r="361" spans="1:52" s="16" customFormat="1" ht="10.5" customHeight="1">
      <c r="A361" s="13"/>
      <c r="B361" s="13"/>
      <c r="C361" s="14"/>
      <c r="D361" s="14"/>
      <c r="E361" s="14"/>
      <c r="F361" s="14"/>
      <c r="G361" s="14"/>
      <c r="H361" s="14"/>
      <c r="I361" s="14"/>
      <c r="J361" s="13"/>
      <c r="K361" s="178"/>
      <c r="L361" s="352"/>
      <c r="M361" s="649">
        <f>COUNTIF(M24:M289,"A1")</f>
        <v>34</v>
      </c>
      <c r="N361" s="14"/>
      <c r="O361" s="13"/>
      <c r="P361" s="14"/>
      <c r="Q361" s="13"/>
      <c r="R361" s="457"/>
      <c r="S361" s="13"/>
      <c r="T361" s="387"/>
      <c r="V361" s="587"/>
      <c r="W361" s="13"/>
      <c r="X361" s="13"/>
      <c r="Y361" s="13"/>
      <c r="Z361" s="13"/>
      <c r="AB361" s="98"/>
      <c r="AC361" s="106"/>
      <c r="AF361" s="152"/>
    </row>
    <row r="362" spans="1:52" s="16" customFormat="1" ht="13.5" customHeight="1">
      <c r="H362" s="21"/>
      <c r="I362" s="18"/>
      <c r="K362" s="178"/>
      <c r="L362" s="352"/>
      <c r="M362" s="649">
        <f>COUNTIF($M$23:$M$288,"A2")</f>
        <v>38</v>
      </c>
      <c r="N362" s="13"/>
      <c r="O362" s="13"/>
      <c r="P362" s="18"/>
      <c r="Q362" s="18"/>
      <c r="R362" s="458"/>
      <c r="S362" s="18"/>
      <c r="T362" s="388"/>
      <c r="U362" s="18"/>
      <c r="V362" s="588"/>
      <c r="W362" s="18"/>
      <c r="X362" s="18"/>
      <c r="Y362" s="18"/>
      <c r="Z362" s="18"/>
      <c r="AB362" s="96"/>
      <c r="AC362" s="106"/>
      <c r="AF362" s="152"/>
    </row>
    <row r="363" spans="1:52" s="16" customFormat="1" ht="13.5" customHeight="1">
      <c r="H363" s="21"/>
      <c r="I363" s="18"/>
      <c r="K363" s="178"/>
      <c r="L363" s="352"/>
      <c r="M363" s="649">
        <f>COUNTIF($M$23:$M$288,"A3")</f>
        <v>108</v>
      </c>
      <c r="N363" s="13"/>
      <c r="O363" s="13"/>
      <c r="P363" s="18"/>
      <c r="Q363" s="87"/>
      <c r="R363" s="458"/>
      <c r="S363" s="18"/>
      <c r="T363" s="388"/>
      <c r="U363" s="18"/>
      <c r="V363" s="588"/>
      <c r="W363" s="18"/>
      <c r="X363" s="18"/>
      <c r="Y363" s="18"/>
      <c r="Z363" s="18"/>
      <c r="AB363" s="448"/>
      <c r="AC363" s="106"/>
      <c r="AF363" s="152"/>
    </row>
    <row r="364" spans="1:52" s="16" customFormat="1" ht="13.5" customHeight="1">
      <c r="H364" s="21"/>
      <c r="I364" s="18"/>
      <c r="K364" s="178"/>
      <c r="L364" s="352"/>
      <c r="M364" s="649">
        <f>COUNTIF($M$23:$M$288,"A4")</f>
        <v>83</v>
      </c>
      <c r="N364" s="13"/>
      <c r="O364" s="13"/>
      <c r="P364" s="18"/>
      <c r="Q364" s="44"/>
      <c r="R364" s="458"/>
      <c r="S364" s="18"/>
      <c r="T364" s="388"/>
      <c r="U364" s="18"/>
      <c r="V364" s="588"/>
      <c r="W364" s="44"/>
      <c r="X364" s="44"/>
      <c r="Y364" s="44"/>
      <c r="Z364" s="44"/>
      <c r="AB364" s="96"/>
      <c r="AC364" s="106"/>
      <c r="AF364" s="152"/>
    </row>
    <row r="365" spans="1:52" s="16" customFormat="1" ht="13.5" customHeight="1">
      <c r="H365" s="21"/>
      <c r="I365" s="18"/>
      <c r="J365" s="18"/>
      <c r="K365" s="225"/>
      <c r="L365" s="353"/>
      <c r="M365" s="594"/>
      <c r="N365" s="13"/>
      <c r="O365" s="18"/>
      <c r="P365" s="18"/>
      <c r="Q365" s="18"/>
      <c r="R365" s="458"/>
      <c r="S365" s="18"/>
      <c r="T365" s="388"/>
      <c r="U365" s="18"/>
      <c r="V365" s="588"/>
      <c r="W365" s="18"/>
      <c r="X365" s="18"/>
      <c r="Y365" s="18"/>
      <c r="Z365" s="18"/>
      <c r="AB365" s="448"/>
      <c r="AC365" s="106"/>
      <c r="AF365" s="152"/>
    </row>
    <row r="366" spans="1:52" s="16" customFormat="1" ht="13.5" customHeight="1">
      <c r="H366" s="1553"/>
      <c r="I366" s="1553"/>
      <c r="J366" s="18"/>
      <c r="K366" s="225"/>
      <c r="L366" s="353"/>
      <c r="M366" s="594"/>
      <c r="N366" s="13"/>
      <c r="O366" s="18"/>
      <c r="P366" s="18"/>
      <c r="Q366" s="18"/>
      <c r="R366" s="458"/>
      <c r="S366" s="18"/>
      <c r="T366" s="388"/>
      <c r="U366" s="18"/>
      <c r="V366" s="588"/>
      <c r="W366" s="18"/>
      <c r="X366" s="18"/>
      <c r="Y366" s="18"/>
      <c r="Z366" s="18"/>
      <c r="AB366" s="96"/>
      <c r="AC366" s="106"/>
      <c r="AF366" s="152"/>
    </row>
    <row r="367" spans="1:52" s="16" customFormat="1">
      <c r="A367" s="1543" t="s">
        <v>1827</v>
      </c>
      <c r="B367" s="1543"/>
      <c r="C367" s="13"/>
      <c r="D367" s="13"/>
      <c r="E367" s="13"/>
      <c r="F367" s="1552" t="s">
        <v>1445</v>
      </c>
      <c r="G367" s="1552"/>
      <c r="H367" s="1552"/>
      <c r="I367" s="1552"/>
      <c r="J367" s="1552"/>
      <c r="K367" s="1552"/>
      <c r="L367" s="1552"/>
      <c r="M367" s="1552"/>
      <c r="N367" s="1552"/>
      <c r="O367" s="1552"/>
      <c r="P367" s="1552"/>
      <c r="Q367" s="1552"/>
      <c r="R367" s="1552"/>
      <c r="S367" s="1552"/>
      <c r="T367" s="1552"/>
      <c r="U367" s="1552"/>
      <c r="V367" s="1552"/>
      <c r="W367" s="1552"/>
      <c r="X367" s="1552"/>
      <c r="Y367" s="1552"/>
      <c r="Z367" s="1543" t="s">
        <v>1433</v>
      </c>
      <c r="AA367" s="1543"/>
      <c r="AB367" s="1543"/>
      <c r="AC367" s="106"/>
      <c r="AF367" s="152"/>
    </row>
    <row r="368" spans="1:52">
      <c r="L368" s="359"/>
    </row>
    <row r="421" ht="15.75" customHeight="1"/>
  </sheetData>
  <sheetProtection deleteColumns="0" deleteRows="0" selectLockedCells="1"/>
  <mergeCells count="37">
    <mergeCell ref="H366:I366"/>
    <mergeCell ref="A367:B367"/>
    <mergeCell ref="F367:Y367"/>
    <mergeCell ref="Z367:AB367"/>
    <mergeCell ref="B10:C10"/>
    <mergeCell ref="AA10:AB10"/>
    <mergeCell ref="B11:C11"/>
    <mergeCell ref="AA11:AB11"/>
    <mergeCell ref="U358:AB358"/>
    <mergeCell ref="A359:B359"/>
    <mergeCell ref="F359:Y359"/>
    <mergeCell ref="Z359:AB359"/>
    <mergeCell ref="A17:AB17"/>
    <mergeCell ref="A18:AB18"/>
    <mergeCell ref="O19:S19"/>
    <mergeCell ref="B21:C21"/>
    <mergeCell ref="O8:S8"/>
    <mergeCell ref="A1:J1"/>
    <mergeCell ref="U1:AB1"/>
    <mergeCell ref="A2:J2"/>
    <mergeCell ref="X2:AB2"/>
    <mergeCell ref="A3:M3"/>
    <mergeCell ref="Z3:AB3"/>
    <mergeCell ref="A4:M4"/>
    <mergeCell ref="Z4:AB4"/>
    <mergeCell ref="Z5:AB5"/>
    <mergeCell ref="A6:AB6"/>
    <mergeCell ref="A7:AB7"/>
    <mergeCell ref="AA21:AB21"/>
    <mergeCell ref="B22:C22"/>
    <mergeCell ref="AA22:AB22"/>
    <mergeCell ref="A12:M12"/>
    <mergeCell ref="S12:AB12"/>
    <mergeCell ref="A13:M13"/>
    <mergeCell ref="S13:AB13"/>
    <mergeCell ref="A14:M14"/>
    <mergeCell ref="A16:AB16"/>
  </mergeCells>
  <conditionalFormatting sqref="F140:G141 F175:G175 F89:G90 F122:G125 F32:G33 F43:G43 F130:G130 F82:G83 F135:G135 F173:G173 F216:G216 F232:G232 F205:G205 F287:G288 F145:G146 A12:M13 E75:G75 E206:G215 E147:G152 E44:G44 E52:G53 E161:G172 E91:G91 A18 F54:G54 F192:G192 AC12:IY13 AC18:IY18 AE106:IY106 AE203:IY203 AD213:IY213 AE212:IY212 AE233:IY233 AE264:IY264 AE76:IY76 AD256:IY263 AE255:IY255 E85:I85 AE214:IY214 AE28:IY28 F36:G36 E100:G100 F249:G254 D76:G76 E230:G231 AD265:IY268 R281:R288 T281:T288 B281:C288 E280:G286 E131:G134 H61 F59:I60 F77:I77 H28 E127:G129 E136:G139 F57:G58 E30:G31 E34:G35 E255:G267 E196:G204 D96 E217:G218 O12:S13 A14:XFD17 A19:XFD21 H30:I36 S28 E38:G42 F153:G160 F84:I84 E193:I195 E29:I29 A23:C23 B29:C36 H126 S126 F45:G46 H45:H48 R45:R46 I45:I46 T45:T46 F67:I67 E105:G105 E117:G121 E68:I68 T59:T60 B75:C75 AD75:IY75 H74 H75:I76 F106:G116 H89:I91 B38:C46 AE42:IY42 R25:T27 H196:I218 E188:G191 F187:G187 F86:I88 F92:I92 F69:I69 E142:G144 AD107:IY125 AD204:IY211 T71:T73 R71:R73 E80:G81 H80:I83 E55:G56 H52:I58 E78:I79 T49:T57 B49:C60 B77:C92 R49:R60 F101:G104 S71:S92 R75:R92 T75:T92 A22:AA22 E49:I51 E70:I73 AD96:IY105 F96:I99 E174:G174 AD234:IY254 E233:G248 B97:C125 H100:I125 R96:T125 B24:C27 Q23:W24 A354:IY355 R225:T232 E62:I66 E219:I229 T62:T63 R62:R63 S45:S63 R64:T70 B62:C73 AD62:IY73 AD215:IY232 Q224:V224 E176:G186 AD127:IY202 Q96:Q223 R127:T223 U96:V223 AC22:IY23 H127:I192 W94:W224 AD77:IY93 H38:I44 Q25:Q92 U25:W92 D37:I37 D93:I93 R29:T44 Q93:W93 AD24:IY27 AD29:IY41 AD43:IY60 AD280:IY288 G268:G279 AE269:IY279 R233:R279 T233:T279 H230:I288 S233:S288 U225:W288 B127:C279 AC24:AC288 Q225:Q288 M25:O288 E23:I25 K23:O24 F26:I27 K96 K97:L288 K25:L93 AA23:AA353 A24:A353 A368:XFD65610">
    <cfRule type="cellIs" dxfId="2532" priority="279" stopIfTrue="1" operator="equal">
      <formula>"KXL"</formula>
    </cfRule>
    <cfRule type="cellIs" dxfId="2531" priority="280" stopIfTrue="1" operator="equal">
      <formula>"A DN"</formula>
    </cfRule>
    <cfRule type="cellIs" dxfId="2530" priority="281" stopIfTrue="1" operator="equal">
      <formula>"C"</formula>
    </cfRule>
    <cfRule type="cellIs" dxfId="2529" priority="282" stopIfTrue="1" operator="equal">
      <formula>"B"</formula>
    </cfRule>
  </conditionalFormatting>
  <conditionalFormatting sqref="B280:C280 R280 T280">
    <cfRule type="cellIs" dxfId="2528" priority="275" stopIfTrue="1" operator="equal">
      <formula>"KXL"</formula>
    </cfRule>
    <cfRule type="cellIs" dxfId="2527" priority="276" stopIfTrue="1" operator="equal">
      <formula>"A DN"</formula>
    </cfRule>
    <cfRule type="cellIs" dxfId="2526" priority="277" stopIfTrue="1" operator="equal">
      <formula>"C"</formula>
    </cfRule>
    <cfRule type="cellIs" dxfId="2525" priority="278" stopIfTrue="1" operator="equal">
      <formula>"B"</formula>
    </cfRule>
  </conditionalFormatting>
  <conditionalFormatting sqref="B61:C61 R61 T61 F61:G61 AD61:IY61 AD74:IY74 AD126:IY126 I61">
    <cfRule type="cellIs" dxfId="2524" priority="272" stopIfTrue="1" operator="equal">
      <formula>"C"</formula>
    </cfRule>
    <cfRule type="cellIs" dxfId="2523" priority="273" stopIfTrue="1" operator="equal">
      <formula>"B"</formula>
    </cfRule>
    <cfRule type="cellIs" dxfId="2522" priority="274" stopIfTrue="1" operator="equal">
      <formula>"A DN"</formula>
    </cfRule>
  </conditionalFormatting>
  <conditionalFormatting sqref="R74 B74:C74 T74 F74:G74 I74">
    <cfRule type="cellIs" dxfId="2521" priority="269" stopIfTrue="1" operator="equal">
      <formula>"C"</formula>
    </cfRule>
    <cfRule type="cellIs" dxfId="2520" priority="270" stopIfTrue="1" operator="equal">
      <formula>"B"</formula>
    </cfRule>
    <cfRule type="cellIs" dxfId="2519" priority="271" stopIfTrue="1" operator="equal">
      <formula>"A DN"</formula>
    </cfRule>
  </conditionalFormatting>
  <conditionalFormatting sqref="B126:C126 F126:G126 R126 T126 I126">
    <cfRule type="cellIs" dxfId="2518" priority="266" stopIfTrue="1" operator="equal">
      <formula>"C"</formula>
    </cfRule>
    <cfRule type="cellIs" dxfId="2517" priority="267" stopIfTrue="1" operator="equal">
      <formula>"B"</formula>
    </cfRule>
    <cfRule type="cellIs" dxfId="2516" priority="268" stopIfTrue="1" operator="equal">
      <formula>"A DN"</formula>
    </cfRule>
  </conditionalFormatting>
  <conditionalFormatting sqref="E126">
    <cfRule type="cellIs" dxfId="2515" priority="262" stopIfTrue="1" operator="equal">
      <formula>"KXL"</formula>
    </cfRule>
    <cfRule type="cellIs" dxfId="2514" priority="263" stopIfTrue="1" operator="equal">
      <formula>"A DN"</formula>
    </cfRule>
    <cfRule type="cellIs" dxfId="2513" priority="264" stopIfTrue="1" operator="equal">
      <formula>"C"</formula>
    </cfRule>
    <cfRule type="cellIs" dxfId="2512" priority="265" stopIfTrue="1" operator="equal">
      <formula>"B"</formula>
    </cfRule>
  </conditionalFormatting>
  <conditionalFormatting sqref="D28:G28 I28 R28 T28">
    <cfRule type="cellIs" dxfId="2511" priority="258" stopIfTrue="1" operator="equal">
      <formula>"KXL"</formula>
    </cfRule>
    <cfRule type="cellIs" dxfId="2510" priority="259" stopIfTrue="1" operator="equal">
      <formula>"A DN"</formula>
    </cfRule>
    <cfRule type="cellIs" dxfId="2509" priority="260" stopIfTrue="1" operator="equal">
      <formula>"C"</formula>
    </cfRule>
    <cfRule type="cellIs" dxfId="2508" priority="261" stopIfTrue="1" operator="equal">
      <formula>"B"</formula>
    </cfRule>
  </conditionalFormatting>
  <conditionalFormatting sqref="D47:G47 R47:R48 I47:I48 T47:T48 D48 F48:G48">
    <cfRule type="cellIs" dxfId="2507" priority="254" stopIfTrue="1" operator="equal">
      <formula>"KXL"</formula>
    </cfRule>
    <cfRule type="cellIs" dxfId="2506" priority="255" stopIfTrue="1" operator="equal">
      <formula>"A DN"</formula>
    </cfRule>
    <cfRule type="cellIs" dxfId="2505" priority="256" stopIfTrue="1" operator="equal">
      <formula>"C"</formula>
    </cfRule>
    <cfRule type="cellIs" dxfId="2504" priority="257" stopIfTrue="1" operator="equal">
      <formula>"B"</formula>
    </cfRule>
  </conditionalFormatting>
  <conditionalFormatting sqref="M23:M288">
    <cfRule type="expression" dxfId="2503" priority="251" stopIfTrue="1">
      <formula>"if=B1"</formula>
    </cfRule>
    <cfRule type="expression" dxfId="2502" priority="252" stopIfTrue="1">
      <formula>$B12</formula>
    </cfRule>
    <cfRule type="expression" dxfId="2501" priority="253" stopIfTrue="1">
      <formula>B12</formula>
    </cfRule>
  </conditionalFormatting>
  <conditionalFormatting sqref="V94 Q94:S94 L94:L96">
    <cfRule type="cellIs" dxfId="2500" priority="247" stopIfTrue="1" operator="equal">
      <formula>"KXL"</formula>
    </cfRule>
    <cfRule type="cellIs" dxfId="2499" priority="248" stopIfTrue="1" operator="equal">
      <formula>"A DN"</formula>
    </cfRule>
    <cfRule type="cellIs" dxfId="2498" priority="249" stopIfTrue="1" operator="equal">
      <formula>"C"</formula>
    </cfRule>
    <cfRule type="cellIs" dxfId="2497" priority="250" stopIfTrue="1" operator="equal">
      <formula>"B"</formula>
    </cfRule>
  </conditionalFormatting>
  <conditionalFormatting sqref="AD94:IY94 D94:I94 T94:U94 K94">
    <cfRule type="cellIs" dxfId="2496" priority="243" stopIfTrue="1" operator="equal">
      <formula>"KXL"</formula>
    </cfRule>
    <cfRule type="cellIs" dxfId="2495" priority="244" stopIfTrue="1" operator="equal">
      <formula>"A DN"</formula>
    </cfRule>
    <cfRule type="cellIs" dxfId="2494" priority="245" stopIfTrue="1" operator="equal">
      <formula>"C"</formula>
    </cfRule>
    <cfRule type="cellIs" dxfId="2493" priority="246" stopIfTrue="1" operator="equal">
      <formula>"B"</formula>
    </cfRule>
  </conditionalFormatting>
  <conditionalFormatting sqref="M23:M288">
    <cfRule type="cellIs" dxfId="2492" priority="283" stopIfTrue="1" operator="equal">
      <formula>"C2"</formula>
    </cfRule>
    <cfRule type="cellIs" dxfId="2491" priority="284" stopIfTrue="1" operator="equal">
      <formula>"C1"</formula>
    </cfRule>
    <cfRule type="cellIs" dxfId="2490" priority="285" stopIfTrue="1" operator="equal">
      <formula>"C2"</formula>
    </cfRule>
    <cfRule type="cellIs" dxfId="2489" priority="286" stopIfTrue="1" operator="equal">
      <formula>"D"</formula>
    </cfRule>
    <cfRule type="cellIs" dxfId="2488" priority="287" stopIfTrue="1" operator="equal">
      <formula>"E"</formula>
    </cfRule>
    <cfRule type="cellIs" dxfId="2487" priority="288" stopIfTrue="1" operator="equal">
      <formula>"A DN"</formula>
    </cfRule>
    <cfRule type="cellIs" dxfId="2486" priority="289" stopIfTrue="1" operator="equal">
      <formula>"A DN"</formula>
    </cfRule>
    <cfRule type="cellIs" dxfId="2485" priority="290" stopIfTrue="1" operator="equal">
      <formula>"E"</formula>
    </cfRule>
    <cfRule type="cellIs" dxfId="2484" priority="291" stopIfTrue="1" operator="equal">
      <formula>"D"</formula>
    </cfRule>
    <cfRule type="cellIs" dxfId="2483" priority="292" stopIfTrue="1" operator="equal">
      <formula>"D1"</formula>
    </cfRule>
    <cfRule type="cellIs" dxfId="2482" priority="293" stopIfTrue="1" operator="equal">
      <formula>"C2"</formula>
    </cfRule>
    <cfRule type="cellIs" dxfId="2481" priority="294" stopIfTrue="1" operator="equal">
      <formula>"C1"</formula>
    </cfRule>
    <cfRule type="cellIs" dxfId="2480" priority="295" stopIfTrue="1" operator="equal">
      <formula>"B2"</formula>
    </cfRule>
    <cfRule type="cellIs" dxfId="2479" priority="296" stopIfTrue="1" operator="equal">
      <formula>"B1"</formula>
    </cfRule>
    <cfRule type="expression" dxfId="2478" priority="297" stopIfTrue="1">
      <formula>B12</formula>
    </cfRule>
    <cfRule type="cellIs" dxfId="2477" priority="298" stopIfTrue="1" operator="equal">
      <formula>"D"</formula>
    </cfRule>
  </conditionalFormatting>
  <conditionalFormatting sqref="M23:M288">
    <cfRule type="cellIs" dxfId="2476" priority="299" stopIfTrue="1" operator="equal">
      <formula>"B1"</formula>
    </cfRule>
    <cfRule type="expression" dxfId="2475" priority="300" stopIfTrue="1">
      <formula>B12</formula>
    </cfRule>
  </conditionalFormatting>
  <conditionalFormatting sqref="M23:M288">
    <cfRule type="cellIs" dxfId="2474" priority="301" stopIfTrue="1" operator="equal">
      <formula>"B2"</formula>
    </cfRule>
    <cfRule type="expression" dxfId="2473" priority="302" stopIfTrue="1">
      <formula>B12</formula>
    </cfRule>
  </conditionalFormatting>
  <conditionalFormatting sqref="D306 D291:D292 D323 D348:D350 T290:T292 D321:G322 E335:G335 D324:G324 E337:G337 D351:G353 R290:R292 P289:P292 Q289:U289 AC289:IY289 D289:G290 E331:G333 E328:H330 T306:T309 D307:G309 D338:I339 H289:I291 H292:H293 D340:G347 B310:C320 D325:D337 H331:I337 H340:I353 T311:T330 R306:R330 P306:P330 P331:V353 V293:V330 V289:W292 AD290:IY292 AD306:IY353 H306:H327 I292:I330 AC290:AC353 Q290:Q330 S290:S330 U290:U330 W293:W353 K289:N353">
    <cfRule type="cellIs" dxfId="2472" priority="131" stopIfTrue="1" operator="equal">
      <formula>"KXL"</formula>
    </cfRule>
    <cfRule type="cellIs" dxfId="2471" priority="132" stopIfTrue="1" operator="equal">
      <formula>"A DN"</formula>
    </cfRule>
    <cfRule type="cellIs" dxfId="2470" priority="133" stopIfTrue="1" operator="equal">
      <formula>"C"</formula>
    </cfRule>
    <cfRule type="cellIs" dxfId="2469" priority="134" stopIfTrue="1" operator="equal">
      <formula>"B"</formula>
    </cfRule>
  </conditionalFormatting>
  <conditionalFormatting sqref="L289:L353">
    <cfRule type="cellIs" dxfId="2468" priority="130" stopIfTrue="1" operator="equal">
      <formula>"D"</formula>
    </cfRule>
  </conditionalFormatting>
  <conditionalFormatting sqref="B293:C305 T293:T305 P293:P305 R293:R305 AD293:IY305">
    <cfRule type="cellIs" dxfId="2467" priority="126" stopIfTrue="1" operator="equal">
      <formula>"KXL"</formula>
    </cfRule>
    <cfRule type="cellIs" dxfId="2466" priority="127" stopIfTrue="1" operator="equal">
      <formula>"A DN"</formula>
    </cfRule>
    <cfRule type="cellIs" dxfId="2465" priority="128" stopIfTrue="1" operator="equal">
      <formula>"C"</formula>
    </cfRule>
    <cfRule type="cellIs" dxfId="2464" priority="129" stopIfTrue="1" operator="equal">
      <formula>"B"</formula>
    </cfRule>
  </conditionalFormatting>
  <conditionalFormatting sqref="E310:G310">
    <cfRule type="cellIs" dxfId="2463" priority="122" stopIfTrue="1" operator="equal">
      <formula>"KXL"</formula>
    </cfRule>
    <cfRule type="cellIs" dxfId="2462" priority="123" stopIfTrue="1" operator="equal">
      <formula>"A DN"</formula>
    </cfRule>
    <cfRule type="cellIs" dxfId="2461" priority="124" stopIfTrue="1" operator="equal">
      <formula>"C"</formula>
    </cfRule>
    <cfRule type="cellIs" dxfId="2460" priority="125" stopIfTrue="1" operator="equal">
      <formula>"B"</formula>
    </cfRule>
  </conditionalFormatting>
  <conditionalFormatting sqref="H294:H304">
    <cfRule type="cellIs" dxfId="2459" priority="118" stopIfTrue="1" operator="equal">
      <formula>"KXL"</formula>
    </cfRule>
    <cfRule type="cellIs" dxfId="2458" priority="119" stopIfTrue="1" operator="equal">
      <formula>"A DN"</formula>
    </cfRule>
    <cfRule type="cellIs" dxfId="2457" priority="120" stopIfTrue="1" operator="equal">
      <formula>"C"</formula>
    </cfRule>
    <cfRule type="cellIs" dxfId="2456" priority="121" stopIfTrue="1" operator="equal">
      <formula>"B"</formula>
    </cfRule>
  </conditionalFormatting>
  <conditionalFormatting sqref="E348:G350">
    <cfRule type="cellIs" dxfId="2455" priority="86" stopIfTrue="1" operator="equal">
      <formula>"KXL"</formula>
    </cfRule>
    <cfRule type="cellIs" dxfId="2454" priority="87" stopIfTrue="1" operator="equal">
      <formula>"A DN"</formula>
    </cfRule>
    <cfRule type="cellIs" dxfId="2453" priority="88" stopIfTrue="1" operator="equal">
      <formula>"C"</formula>
    </cfRule>
    <cfRule type="cellIs" dxfId="2452" priority="89" stopIfTrue="1" operator="equal">
      <formula>"B"</formula>
    </cfRule>
  </conditionalFormatting>
  <conditionalFormatting sqref="E306:G306">
    <cfRule type="cellIs" dxfId="2451" priority="114" stopIfTrue="1" operator="equal">
      <formula>"KXL"</formula>
    </cfRule>
    <cfRule type="cellIs" dxfId="2450" priority="115" stopIfTrue="1" operator="equal">
      <formula>"A DN"</formula>
    </cfRule>
    <cfRule type="cellIs" dxfId="2449" priority="116" stopIfTrue="1" operator="equal">
      <formula>"C"</formula>
    </cfRule>
    <cfRule type="cellIs" dxfId="2448" priority="117" stopIfTrue="1" operator="equal">
      <formula>"B"</formula>
    </cfRule>
  </conditionalFormatting>
  <conditionalFormatting sqref="E300:G305">
    <cfRule type="cellIs" dxfId="2447" priority="110" stopIfTrue="1" operator="equal">
      <formula>"KXL"</formula>
    </cfRule>
    <cfRule type="cellIs" dxfId="2446" priority="111" stopIfTrue="1" operator="equal">
      <formula>"A DN"</formula>
    </cfRule>
    <cfRule type="cellIs" dxfId="2445" priority="112" stopIfTrue="1" operator="equal">
      <formula>"C"</formula>
    </cfRule>
    <cfRule type="cellIs" dxfId="2444" priority="113" stopIfTrue="1" operator="equal">
      <formula>"B"</formula>
    </cfRule>
  </conditionalFormatting>
  <conditionalFormatting sqref="E313:G313">
    <cfRule type="cellIs" dxfId="2443" priority="106" stopIfTrue="1" operator="equal">
      <formula>"KXL"</formula>
    </cfRule>
    <cfRule type="cellIs" dxfId="2442" priority="107" stopIfTrue="1" operator="equal">
      <formula>"A DN"</formula>
    </cfRule>
    <cfRule type="cellIs" dxfId="2441" priority="108" stopIfTrue="1" operator="equal">
      <formula>"C"</formula>
    </cfRule>
    <cfRule type="cellIs" dxfId="2440" priority="109" stopIfTrue="1" operator="equal">
      <formula>"B"</formula>
    </cfRule>
  </conditionalFormatting>
  <conditionalFormatting sqref="E323:G323">
    <cfRule type="cellIs" dxfId="2439" priority="102" stopIfTrue="1" operator="equal">
      <formula>"KXL"</formula>
    </cfRule>
    <cfRule type="cellIs" dxfId="2438" priority="103" stopIfTrue="1" operator="equal">
      <formula>"A DN"</formula>
    </cfRule>
    <cfRule type="cellIs" dxfId="2437" priority="104" stopIfTrue="1" operator="equal">
      <formula>"C"</formula>
    </cfRule>
    <cfRule type="cellIs" dxfId="2436" priority="105" stopIfTrue="1" operator="equal">
      <formula>"B"</formula>
    </cfRule>
  </conditionalFormatting>
  <conditionalFormatting sqref="E325:G327">
    <cfRule type="cellIs" dxfId="2435" priority="98" stopIfTrue="1" operator="equal">
      <formula>"KXL"</formula>
    </cfRule>
    <cfRule type="cellIs" dxfId="2434" priority="99" stopIfTrue="1" operator="equal">
      <formula>"A DN"</formula>
    </cfRule>
    <cfRule type="cellIs" dxfId="2433" priority="100" stopIfTrue="1" operator="equal">
      <formula>"C"</formula>
    </cfRule>
    <cfRule type="cellIs" dxfId="2432" priority="101" stopIfTrue="1" operator="equal">
      <formula>"B"</formula>
    </cfRule>
  </conditionalFormatting>
  <conditionalFormatting sqref="E334:G334">
    <cfRule type="cellIs" dxfId="2431" priority="94" stopIfTrue="1" operator="equal">
      <formula>"KXL"</formula>
    </cfRule>
    <cfRule type="cellIs" dxfId="2430" priority="95" stopIfTrue="1" operator="equal">
      <formula>"A DN"</formula>
    </cfRule>
    <cfRule type="cellIs" dxfId="2429" priority="96" stopIfTrue="1" operator="equal">
      <formula>"C"</formula>
    </cfRule>
    <cfRule type="cellIs" dxfId="2428" priority="97" stopIfTrue="1" operator="equal">
      <formula>"B"</formula>
    </cfRule>
  </conditionalFormatting>
  <conditionalFormatting sqref="E336:G336">
    <cfRule type="cellIs" dxfId="2427" priority="90" stopIfTrue="1" operator="equal">
      <formula>"KXL"</formula>
    </cfRule>
    <cfRule type="cellIs" dxfId="2426" priority="91" stopIfTrue="1" operator="equal">
      <formula>"A DN"</formula>
    </cfRule>
    <cfRule type="cellIs" dxfId="2425" priority="92" stopIfTrue="1" operator="equal">
      <formula>"C"</formula>
    </cfRule>
    <cfRule type="cellIs" dxfId="2424" priority="93" stopIfTrue="1" operator="equal">
      <formula>"B"</formula>
    </cfRule>
  </conditionalFormatting>
  <conditionalFormatting sqref="H305">
    <cfRule type="cellIs" dxfId="2423" priority="82" stopIfTrue="1" operator="equal">
      <formula>"KXL"</formula>
    </cfRule>
    <cfRule type="cellIs" dxfId="2422" priority="83" stopIfTrue="1" operator="equal">
      <formula>"A DN"</formula>
    </cfRule>
    <cfRule type="cellIs" dxfId="2421" priority="84" stopIfTrue="1" operator="equal">
      <formula>"C"</formula>
    </cfRule>
    <cfRule type="cellIs" dxfId="2420" priority="85" stopIfTrue="1" operator="equal">
      <formula>"B"</formula>
    </cfRule>
  </conditionalFormatting>
  <conditionalFormatting sqref="L321:L336">
    <cfRule type="cellIs" dxfId="2419" priority="135" operator="equal">
      <formula>"A DN"</formula>
    </cfRule>
    <cfRule type="cellIs" dxfId="2418" priority="136" operator="equal">
      <formula>"D"</formula>
    </cfRule>
    <cfRule type="cellIs" dxfId="2417" priority="137" operator="equal">
      <formula>"C2"</formula>
    </cfRule>
    <cfRule type="cellIs" dxfId="2416" priority="138" operator="equal">
      <formula>"C1"</formula>
    </cfRule>
    <cfRule type="cellIs" dxfId="2415" priority="139" operator="equal">
      <formula>"C"</formula>
    </cfRule>
    <cfRule type="cellIs" dxfId="2414" priority="140" operator="equal">
      <formula>"B2"</formula>
    </cfRule>
    <cfRule type="cellIs" dxfId="2413" priority="141" operator="equal">
      <formula>"B1"</formula>
    </cfRule>
    <cfRule type="cellIs" dxfId="2412" priority="142" operator="equal">
      <formula>"B"</formula>
    </cfRule>
    <cfRule type="cellIs" dxfId="2411" priority="143" operator="equal">
      <formula>"B1"</formula>
    </cfRule>
    <cfRule type="cellIs" dxfId="2410" priority="144" operator="greaterThan">
      <formula>B</formula>
    </cfRule>
  </conditionalFormatting>
  <conditionalFormatting sqref="L305:L346">
    <cfRule type="cellIs" dxfId="2409" priority="147" operator="equal">
      <formula>"A DN"</formula>
    </cfRule>
    <cfRule type="cellIs" dxfId="2408" priority="148" operator="equal">
      <formula>"D"</formula>
    </cfRule>
    <cfRule type="cellIs" dxfId="2407" priority="149" operator="equal">
      <formula>"C2"</formula>
    </cfRule>
    <cfRule type="cellIs" dxfId="2406" priority="150" operator="equal">
      <formula>"C1"</formula>
    </cfRule>
    <cfRule type="cellIs" dxfId="2405" priority="151" operator="equal">
      <formula>"C"</formula>
    </cfRule>
    <cfRule type="cellIs" dxfId="2404" priority="152" operator="equal">
      <formula>"B2"</formula>
    </cfRule>
    <cfRule type="cellIs" dxfId="2403" priority="153" operator="equal">
      <formula>"B1"</formula>
    </cfRule>
    <cfRule type="cellIs" dxfId="2402" priority="154" operator="equal">
      <formula>"B"</formula>
    </cfRule>
    <cfRule type="cellIs" dxfId="2401" priority="155" operator="equal">
      <formula>"B1"</formula>
    </cfRule>
    <cfRule type="cellIs" dxfId="2400" priority="156" operator="greaterThan">
      <formula>B</formula>
    </cfRule>
  </conditionalFormatting>
  <conditionalFormatting sqref="L347:L353 L300:L319">
    <cfRule type="cellIs" dxfId="2399" priority="159" operator="equal">
      <formula>"A DN"</formula>
    </cfRule>
    <cfRule type="cellIs" dxfId="2398" priority="160" operator="equal">
      <formula>"D"</formula>
    </cfRule>
    <cfRule type="cellIs" dxfId="2397" priority="161" operator="equal">
      <formula>"C2"</formula>
    </cfRule>
    <cfRule type="cellIs" dxfId="2396" priority="162" operator="equal">
      <formula>"C1"</formula>
    </cfRule>
    <cfRule type="cellIs" dxfId="2395" priority="163" operator="equal">
      <formula>"C"</formula>
    </cfRule>
    <cfRule type="cellIs" dxfId="2394" priority="164" operator="equal">
      <formula>"B2"</formula>
    </cfRule>
    <cfRule type="cellIs" dxfId="2393" priority="165" operator="equal">
      <formula>"B1"</formula>
    </cfRule>
    <cfRule type="cellIs" dxfId="2392" priority="166" operator="equal">
      <formula>"B"</formula>
    </cfRule>
    <cfRule type="cellIs" dxfId="2391" priority="167" operator="equal">
      <formula>"B1"</formula>
    </cfRule>
    <cfRule type="cellIs" dxfId="2390" priority="168" operator="greaterThan">
      <formula>B</formula>
    </cfRule>
  </conditionalFormatting>
  <conditionalFormatting sqref="L347:L353 L320:L334">
    <cfRule type="cellIs" dxfId="2389" priority="171" operator="equal">
      <formula>"A DN"</formula>
    </cfRule>
    <cfRule type="cellIs" dxfId="2388" priority="172" operator="equal">
      <formula>"D"</formula>
    </cfRule>
    <cfRule type="cellIs" dxfId="2387" priority="173" operator="equal">
      <formula>"C2"</formula>
    </cfRule>
    <cfRule type="cellIs" dxfId="2386" priority="174" operator="equal">
      <formula>"C1"</formula>
    </cfRule>
    <cfRule type="cellIs" dxfId="2385" priority="175" operator="equal">
      <formula>"C"</formula>
    </cfRule>
    <cfRule type="cellIs" dxfId="2384" priority="176" operator="equal">
      <formula>"B2"</formula>
    </cfRule>
    <cfRule type="cellIs" dxfId="2383" priority="177" operator="equal">
      <formula>"B1"</formula>
    </cfRule>
    <cfRule type="cellIs" dxfId="2382" priority="178" operator="equal">
      <formula>"B"</formula>
    </cfRule>
    <cfRule type="cellIs" dxfId="2381" priority="179" operator="equal">
      <formula>"B1"</formula>
    </cfRule>
    <cfRule type="cellIs" dxfId="2380" priority="180" operator="greaterThan">
      <formula>B</formula>
    </cfRule>
  </conditionalFormatting>
  <conditionalFormatting sqref="L321:L353">
    <cfRule type="cellIs" dxfId="2379" priority="183" operator="equal">
      <formula>"A DN"</formula>
    </cfRule>
    <cfRule type="cellIs" dxfId="2378" priority="184" operator="equal">
      <formula>"D"</formula>
    </cfRule>
    <cfRule type="cellIs" dxfId="2377" priority="185" operator="equal">
      <formula>"C2"</formula>
    </cfRule>
    <cfRule type="cellIs" dxfId="2376" priority="186" operator="equal">
      <formula>"C1"</formula>
    </cfRule>
    <cfRule type="cellIs" dxfId="2375" priority="187" operator="equal">
      <formula>"C"</formula>
    </cfRule>
    <cfRule type="cellIs" dxfId="2374" priority="188" operator="equal">
      <formula>"B2"</formula>
    </cfRule>
    <cfRule type="cellIs" dxfId="2373" priority="189" operator="equal">
      <formula>"B1"</formula>
    </cfRule>
    <cfRule type="cellIs" dxfId="2372" priority="190" operator="equal">
      <formula>"B"</formula>
    </cfRule>
    <cfRule type="cellIs" dxfId="2371" priority="191" operator="equal">
      <formula>"B1"</formula>
    </cfRule>
    <cfRule type="cellIs" dxfId="2370" priority="192" operator="greaterThan">
      <formula>B</formula>
    </cfRule>
  </conditionalFormatting>
  <conditionalFormatting sqref="L320:L353">
    <cfRule type="cellIs" dxfId="2369" priority="195" operator="equal">
      <formula>"A DN"</formula>
    </cfRule>
    <cfRule type="cellIs" dxfId="2368" priority="196" operator="equal">
      <formula>"D"</formula>
    </cfRule>
    <cfRule type="cellIs" dxfId="2367" priority="197" operator="equal">
      <formula>"C2"</formula>
    </cfRule>
    <cfRule type="cellIs" dxfId="2366" priority="198" operator="equal">
      <formula>"C1"</formula>
    </cfRule>
    <cfRule type="cellIs" dxfId="2365" priority="199" operator="equal">
      <formula>"C"</formula>
    </cfRule>
    <cfRule type="cellIs" dxfId="2364" priority="200" operator="equal">
      <formula>"B2"</formula>
    </cfRule>
    <cfRule type="cellIs" dxfId="2363" priority="201" operator="equal">
      <formula>"B1"</formula>
    </cfRule>
    <cfRule type="cellIs" dxfId="2362" priority="202" operator="equal">
      <formula>"B"</formula>
    </cfRule>
    <cfRule type="cellIs" dxfId="2361" priority="203" operator="equal">
      <formula>"B1"</formula>
    </cfRule>
    <cfRule type="cellIs" dxfId="2360" priority="204" operator="greaterThan">
      <formula>B</formula>
    </cfRule>
  </conditionalFormatting>
  <conditionalFormatting sqref="L320">
    <cfRule type="cellIs" dxfId="2359" priority="207" operator="equal">
      <formula>"A DN"</formula>
    </cfRule>
    <cfRule type="cellIs" dxfId="2358" priority="208" operator="equal">
      <formula>"D"</formula>
    </cfRule>
    <cfRule type="cellIs" dxfId="2357" priority="209" operator="equal">
      <formula>"C2"</formula>
    </cfRule>
    <cfRule type="cellIs" dxfId="2356" priority="210" operator="equal">
      <formula>"C1"</formula>
    </cfRule>
    <cfRule type="cellIs" dxfId="2355" priority="211" operator="equal">
      <formula>"C"</formula>
    </cfRule>
    <cfRule type="cellIs" dxfId="2354" priority="212" operator="equal">
      <formula>"B2"</formula>
    </cfRule>
    <cfRule type="cellIs" dxfId="2353" priority="213" operator="equal">
      <formula>"B1"</formula>
    </cfRule>
    <cfRule type="cellIs" dxfId="2352" priority="214" operator="equal">
      <formula>"B"</formula>
    </cfRule>
    <cfRule type="cellIs" dxfId="2351" priority="215" operator="equal">
      <formula>"B1"</formula>
    </cfRule>
    <cfRule type="cellIs" dxfId="2350" priority="216" operator="greaterThan">
      <formula>B</formula>
    </cfRule>
  </conditionalFormatting>
  <conditionalFormatting sqref="L289:L353">
    <cfRule type="cellIs" dxfId="2349" priority="219" operator="equal">
      <formula>"A DN"</formula>
    </cfRule>
    <cfRule type="cellIs" dxfId="2348" priority="220" operator="equal">
      <formula>"D"</formula>
    </cfRule>
    <cfRule type="cellIs" dxfId="2347" priority="221" operator="equal">
      <formula>"C2"</formula>
    </cfRule>
    <cfRule type="cellIs" dxfId="2346" priority="222" operator="equal">
      <formula>"C1"</formula>
    </cfRule>
    <cfRule type="cellIs" dxfId="2345" priority="223" operator="equal">
      <formula>"C"</formula>
    </cfRule>
    <cfRule type="cellIs" dxfId="2344" priority="224" operator="equal">
      <formula>"B2"</formula>
    </cfRule>
    <cfRule type="cellIs" dxfId="2343" priority="225" operator="equal">
      <formula>"B1"</formula>
    </cfRule>
    <cfRule type="cellIs" dxfId="2342" priority="226" operator="equal">
      <formula>"B"</formula>
    </cfRule>
    <cfRule type="cellIs" dxfId="2341" priority="227" operator="equal">
      <formula>"B1"</formula>
    </cfRule>
    <cfRule type="cellIs" dxfId="2340" priority="228" operator="greaterThan">
      <formula>B</formula>
    </cfRule>
  </conditionalFormatting>
  <conditionalFormatting sqref="L320">
    <cfRule type="cellIs" dxfId="2339" priority="231" operator="equal">
      <formula>"A DN"</formula>
    </cfRule>
    <cfRule type="cellIs" dxfId="2338" priority="232" operator="equal">
      <formula>"D"</formula>
    </cfRule>
    <cfRule type="cellIs" dxfId="2337" priority="233" operator="equal">
      <formula>"C2"</formula>
    </cfRule>
    <cfRule type="cellIs" dxfId="2336" priority="234" operator="equal">
      <formula>"C1"</formula>
    </cfRule>
    <cfRule type="cellIs" dxfId="2335" priority="235" operator="equal">
      <formula>"C"</formula>
    </cfRule>
    <cfRule type="cellIs" dxfId="2334" priority="236" operator="equal">
      <formula>"B2"</formula>
    </cfRule>
    <cfRule type="cellIs" dxfId="2333" priority="237" operator="equal">
      <formula>"B1"</formula>
    </cfRule>
    <cfRule type="cellIs" dxfId="2332" priority="238" operator="equal">
      <formula>"B"</formula>
    </cfRule>
    <cfRule type="cellIs" dxfId="2331" priority="239" operator="equal">
      <formula>"B1"</formula>
    </cfRule>
    <cfRule type="cellIs" dxfId="2330" priority="240" operator="greaterThan">
      <formula>B</formula>
    </cfRule>
  </conditionalFormatting>
  <conditionalFormatting sqref="AC11:IY11 A8:XFD9 K10:W11 AC10:XFD10 AA11">
    <cfRule type="cellIs" dxfId="2329" priority="77" stopIfTrue="1" operator="equal">
      <formula>"KXL"</formula>
    </cfRule>
    <cfRule type="cellIs" dxfId="2328" priority="78" stopIfTrue="1" operator="equal">
      <formula>"A DN"</formula>
    </cfRule>
    <cfRule type="cellIs" dxfId="2327" priority="79" stopIfTrue="1" operator="equal">
      <formula>"C"</formula>
    </cfRule>
    <cfRule type="cellIs" dxfId="2326" priority="80" stopIfTrue="1" operator="equal">
      <formula>"B"</formula>
    </cfRule>
  </conditionalFormatting>
  <conditionalFormatting sqref="Z4">
    <cfRule type="cellIs" dxfId="2325" priority="73" stopIfTrue="1" operator="equal">
      <formula>"KXL"</formula>
    </cfRule>
    <cfRule type="cellIs" dxfId="2324" priority="74" stopIfTrue="1" operator="equal">
      <formula>"A DN"</formula>
    </cfRule>
    <cfRule type="cellIs" dxfId="2323" priority="75" stopIfTrue="1" operator="equal">
      <formula>"C"</formula>
    </cfRule>
    <cfRule type="cellIs" dxfId="2322" priority="76" stopIfTrue="1" operator="equal">
      <formula>"B"</formula>
    </cfRule>
  </conditionalFormatting>
  <conditionalFormatting sqref="AG1:IW7">
    <cfRule type="cellIs" dxfId="2321" priority="69" stopIfTrue="1" operator="equal">
      <formula>"KXL"</formula>
    </cfRule>
    <cfRule type="cellIs" dxfId="2320" priority="70" stopIfTrue="1" operator="equal">
      <formula>"A DN"</formula>
    </cfRule>
    <cfRule type="cellIs" dxfId="2319" priority="71" stopIfTrue="1" operator="equal">
      <formula>"C"</formula>
    </cfRule>
    <cfRule type="cellIs" dxfId="2318" priority="72" stopIfTrue="1" operator="equal">
      <formula>"B"</formula>
    </cfRule>
  </conditionalFormatting>
  <conditionalFormatting sqref="Z5">
    <cfRule type="cellIs" dxfId="2317" priority="65" stopIfTrue="1" operator="equal">
      <formula>"KXL"</formula>
    </cfRule>
    <cfRule type="cellIs" dxfId="2316" priority="66" stopIfTrue="1" operator="equal">
      <formula>"A DN"</formula>
    </cfRule>
    <cfRule type="cellIs" dxfId="2315" priority="67" stopIfTrue="1" operator="equal">
      <formula>"C"</formula>
    </cfRule>
    <cfRule type="cellIs" dxfId="2314" priority="68" stopIfTrue="1" operator="equal">
      <formula>"B"</formula>
    </cfRule>
  </conditionalFormatting>
  <conditionalFormatting sqref="A1 O1:U1 K1:M1">
    <cfRule type="cellIs" dxfId="2313" priority="61" stopIfTrue="1" operator="equal">
      <formula>"KXL"</formula>
    </cfRule>
    <cfRule type="cellIs" dxfId="2312" priority="62" stopIfTrue="1" operator="equal">
      <formula>"A DN"</formula>
    </cfRule>
    <cfRule type="cellIs" dxfId="2311" priority="63" stopIfTrue="1" operator="equal">
      <formula>"C"</formula>
    </cfRule>
    <cfRule type="cellIs" dxfId="2310" priority="64" stopIfTrue="1" operator="equal">
      <formula>"B"</formula>
    </cfRule>
  </conditionalFormatting>
  <conditionalFormatting sqref="O2:U3 A3:M3 A1:A2 K1:M2 A4:Y4">
    <cfRule type="cellIs" dxfId="2309" priority="53" stopIfTrue="1" operator="equal">
      <formula>"KXL"</formula>
    </cfRule>
    <cfRule type="cellIs" dxfId="2308" priority="54" stopIfTrue="1" operator="equal">
      <formula>"A DN"</formula>
    </cfRule>
    <cfRule type="cellIs" dxfId="2307" priority="55" stopIfTrue="1" operator="equal">
      <formula>"C"</formula>
    </cfRule>
    <cfRule type="cellIs" dxfId="2306" priority="56" stopIfTrue="1" operator="equal">
      <formula>"B"</formula>
    </cfRule>
  </conditionalFormatting>
  <conditionalFormatting sqref="A5:Y5 A6:A7">
    <cfRule type="cellIs" dxfId="2305" priority="57" stopIfTrue="1" operator="equal">
      <formula>"KXL"</formula>
    </cfRule>
    <cfRule type="cellIs" dxfId="2304" priority="58" stopIfTrue="1" operator="equal">
      <formula>"A DN"</formula>
    </cfRule>
    <cfRule type="cellIs" dxfId="2303" priority="59" stopIfTrue="1" operator="equal">
      <formula>"C"</formula>
    </cfRule>
    <cfRule type="cellIs" dxfId="2302" priority="60" stopIfTrue="1" operator="equal">
      <formula>"B"</formula>
    </cfRule>
  </conditionalFormatting>
  <conditionalFormatting sqref="Z5">
    <cfRule type="cellIs" dxfId="2301" priority="49" stopIfTrue="1" operator="equal">
      <formula>"KXL"</formula>
    </cfRule>
    <cfRule type="cellIs" dxfId="2300" priority="50" stopIfTrue="1" operator="equal">
      <formula>"A DN"</formula>
    </cfRule>
    <cfRule type="cellIs" dxfId="2299" priority="51" stopIfTrue="1" operator="equal">
      <formula>"C"</formula>
    </cfRule>
    <cfRule type="cellIs" dxfId="2298" priority="52" stopIfTrue="1" operator="equal">
      <formula>"B"</formula>
    </cfRule>
  </conditionalFormatting>
  <conditionalFormatting sqref="A11:I11 A10:E10 G10:I10">
    <cfRule type="cellIs" dxfId="2297" priority="45" stopIfTrue="1" operator="equal">
      <formula>"KXL"</formula>
    </cfRule>
    <cfRule type="cellIs" dxfId="2296" priority="46" stopIfTrue="1" operator="equal">
      <formula>"A DN"</formula>
    </cfRule>
    <cfRule type="cellIs" dxfId="2295" priority="47" stopIfTrue="1" operator="equal">
      <formula>"C"</formula>
    </cfRule>
    <cfRule type="cellIs" dxfId="2294" priority="48" stopIfTrue="1" operator="equal">
      <formula>"B"</formula>
    </cfRule>
  </conditionalFormatting>
  <conditionalFormatting sqref="J10">
    <cfRule type="cellIs" dxfId="2293" priority="41" stopIfTrue="1" operator="equal">
      <formula>"KXL"</formula>
    </cfRule>
    <cfRule type="cellIs" dxfId="2292" priority="42" stopIfTrue="1" operator="equal">
      <formula>"A DN"</formula>
    </cfRule>
    <cfRule type="cellIs" dxfId="2291" priority="43" stopIfTrue="1" operator="equal">
      <formula>"C"</formula>
    </cfRule>
    <cfRule type="cellIs" dxfId="2290" priority="44" stopIfTrue="1" operator="equal">
      <formula>"B"</formula>
    </cfRule>
  </conditionalFormatting>
  <conditionalFormatting sqref="J11">
    <cfRule type="cellIs" dxfId="2289" priority="37" stopIfTrue="1" operator="equal">
      <formula>"KXL"</formula>
    </cfRule>
    <cfRule type="cellIs" dxfId="2288" priority="38" stopIfTrue="1" operator="equal">
      <formula>"A DN"</formula>
    </cfRule>
    <cfRule type="cellIs" dxfId="2287" priority="39" stopIfTrue="1" operator="equal">
      <formula>"C"</formula>
    </cfRule>
    <cfRule type="cellIs" dxfId="2286" priority="40" stopIfTrue="1" operator="equal">
      <formula>"B"</formula>
    </cfRule>
  </conditionalFormatting>
  <conditionalFormatting sqref="X10:Y11">
    <cfRule type="cellIs" dxfId="2285" priority="33" stopIfTrue="1" operator="equal">
      <formula>"KXL"</formula>
    </cfRule>
    <cfRule type="cellIs" dxfId="2284" priority="34" stopIfTrue="1" operator="equal">
      <formula>"A DN"</formula>
    </cfRule>
    <cfRule type="cellIs" dxfId="2283" priority="35" stopIfTrue="1" operator="equal">
      <formula>"C"</formula>
    </cfRule>
    <cfRule type="cellIs" dxfId="2282" priority="36" stopIfTrue="1" operator="equal">
      <formula>"B"</formula>
    </cfRule>
  </conditionalFormatting>
  <conditionalFormatting sqref="X10:Y10">
    <cfRule type="cellIs" dxfId="2281" priority="29" stopIfTrue="1" operator="equal">
      <formula>"KXL"</formula>
    </cfRule>
    <cfRule type="cellIs" dxfId="2280" priority="30" stopIfTrue="1" operator="equal">
      <formula>"A DN"</formula>
    </cfRule>
    <cfRule type="cellIs" dxfId="2279" priority="31" stopIfTrue="1" operator="equal">
      <formula>"C"</formula>
    </cfRule>
    <cfRule type="cellIs" dxfId="2278" priority="32" stopIfTrue="1" operator="equal">
      <formula>"B"</formula>
    </cfRule>
  </conditionalFormatting>
  <conditionalFormatting sqref="X11:Y11">
    <cfRule type="cellIs" dxfId="2277" priority="25" stopIfTrue="1" operator="equal">
      <formula>"KXL"</formula>
    </cfRule>
    <cfRule type="cellIs" dxfId="2276" priority="26" stopIfTrue="1" operator="equal">
      <formula>"A DN"</formula>
    </cfRule>
    <cfRule type="cellIs" dxfId="2275" priority="27" stopIfTrue="1" operator="equal">
      <formula>"C"</formula>
    </cfRule>
    <cfRule type="cellIs" dxfId="2274" priority="28" stopIfTrue="1" operator="equal">
      <formula>"B"</formula>
    </cfRule>
  </conditionalFormatting>
  <conditionalFormatting sqref="Z10">
    <cfRule type="cellIs" dxfId="2273" priority="21" stopIfTrue="1" operator="equal">
      <formula>"KXL"</formula>
    </cfRule>
    <cfRule type="cellIs" dxfId="2272" priority="22" stopIfTrue="1" operator="equal">
      <formula>"A DN"</formula>
    </cfRule>
    <cfRule type="cellIs" dxfId="2271" priority="23" stopIfTrue="1" operator="equal">
      <formula>"C"</formula>
    </cfRule>
    <cfRule type="cellIs" dxfId="2270" priority="24" stopIfTrue="1" operator="equal">
      <formula>"B"</formula>
    </cfRule>
  </conditionalFormatting>
  <conditionalFormatting sqref="AA10:AB10">
    <cfRule type="cellIs" dxfId="2269" priority="17" stopIfTrue="1" operator="equal">
      <formula>"KXL"</formula>
    </cfRule>
    <cfRule type="cellIs" dxfId="2268" priority="18" stopIfTrue="1" operator="equal">
      <formula>"A DN"</formula>
    </cfRule>
    <cfRule type="cellIs" dxfId="2267" priority="19" stopIfTrue="1" operator="equal">
      <formula>"C"</formula>
    </cfRule>
    <cfRule type="cellIs" dxfId="2266" priority="20" stopIfTrue="1" operator="equal">
      <formula>"B"</formula>
    </cfRule>
  </conditionalFormatting>
  <conditionalFormatting sqref="AA10">
    <cfRule type="cellIs" dxfId="2265" priority="13" stopIfTrue="1" operator="equal">
      <formula>"KXL"</formula>
    </cfRule>
    <cfRule type="cellIs" dxfId="2264" priority="14" stopIfTrue="1" operator="equal">
      <formula>"A DN"</formula>
    </cfRule>
    <cfRule type="cellIs" dxfId="2263" priority="15" stopIfTrue="1" operator="equal">
      <formula>"C"</formula>
    </cfRule>
    <cfRule type="cellIs" dxfId="2262" priority="16" stopIfTrue="1" operator="equal">
      <formula>"B"</formula>
    </cfRule>
  </conditionalFormatting>
  <conditionalFormatting sqref="Z11">
    <cfRule type="cellIs" dxfId="2261" priority="9" stopIfTrue="1" operator="equal">
      <formula>"KXL"</formula>
    </cfRule>
    <cfRule type="cellIs" dxfId="2260" priority="10" stopIfTrue="1" operator="equal">
      <formula>"A DN"</formula>
    </cfRule>
    <cfRule type="cellIs" dxfId="2259" priority="11" stopIfTrue="1" operator="equal">
      <formula>"C"</formula>
    </cfRule>
    <cfRule type="cellIs" dxfId="2258" priority="12" stopIfTrue="1" operator="equal">
      <formula>"B"</formula>
    </cfRule>
  </conditionalFormatting>
  <conditionalFormatting sqref="F10">
    <cfRule type="cellIs" dxfId="2257" priority="5" stopIfTrue="1" operator="equal">
      <formula>"KXL"</formula>
    </cfRule>
    <cfRule type="cellIs" dxfId="2256" priority="6" stopIfTrue="1" operator="equal">
      <formula>"A DN"</formula>
    </cfRule>
    <cfRule type="cellIs" dxfId="2255" priority="7" stopIfTrue="1" operator="equal">
      <formula>"C"</formula>
    </cfRule>
    <cfRule type="cellIs" dxfId="2254" priority="8" stopIfTrue="1" operator="equal">
      <formula>"B"</formula>
    </cfRule>
  </conditionalFormatting>
  <conditionalFormatting sqref="AC367:IY367 A356:AB357 A360:XFD366 A358:U358 AC356:IY359 A359:F359 A367:F367">
    <cfRule type="cellIs" dxfId="2253" priority="1" stopIfTrue="1" operator="equal">
      <formula>"KXL"</formula>
    </cfRule>
    <cfRule type="cellIs" dxfId="2252" priority="2" stopIfTrue="1" operator="equal">
      <formula>"A DN"</formula>
    </cfRule>
    <cfRule type="cellIs" dxfId="2251" priority="3" stopIfTrue="1" operator="equal">
      <formula>"C"</formula>
    </cfRule>
    <cfRule type="cellIs" dxfId="2250" priority="4" stopIfTrue="1" operator="equal">
      <formula>"B"</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48EE1066-406F-49A5-ACE4-FA0DD0D4D1FF}">
            <xm:f>'111'!#REF!</xm:f>
            <x14:dxf>
              <fill>
                <patternFill>
                  <bgColor rgb="FFFFFF00"/>
                </patternFill>
              </fill>
            </x14:dxf>
          </x14:cfRule>
          <x14:cfRule type="cellIs" priority="146" operator="equal" id="{55223BD9-6965-4054-8930-1607BC55C373}">
            <xm:f>'111'!#REF!</xm:f>
            <x14:dxf>
              <font>
                <color rgb="FF9C0006"/>
              </font>
            </x14:dxf>
          </x14:cfRule>
          <xm:sqref>L321:L336</xm:sqref>
        </x14:conditionalFormatting>
        <x14:conditionalFormatting xmlns:xm="http://schemas.microsoft.com/office/excel/2006/main">
          <x14:cfRule type="expression" priority="157" id="{C4A1BBC8-67E3-46EE-AADA-B926B7701B90}">
            <xm:f>'111'!B285</xm:f>
            <x14:dxf>
              <fill>
                <patternFill>
                  <bgColor rgb="FFFFFF00"/>
                </patternFill>
              </fill>
            </x14:dxf>
          </x14:cfRule>
          <x14:cfRule type="cellIs" priority="158" operator="equal" id="{6C698E4D-93A8-488F-8908-E9FA5A3456E3}">
            <xm:f>'111'!B285</xm:f>
            <x14:dxf>
              <font>
                <color rgb="FF9C0006"/>
              </font>
            </x14:dxf>
          </x14:cfRule>
          <xm:sqref>L305:L346</xm:sqref>
        </x14:conditionalFormatting>
        <x14:conditionalFormatting xmlns:xm="http://schemas.microsoft.com/office/excel/2006/main">
          <x14:cfRule type="expression" priority="169" id="{569B47F7-E2E0-46D0-BA3B-5FE87F124499}">
            <xm:f>'111'!B281</xm:f>
            <x14:dxf>
              <fill>
                <patternFill>
                  <bgColor rgb="FFFFFF00"/>
                </patternFill>
              </fill>
            </x14:dxf>
          </x14:cfRule>
          <x14:cfRule type="cellIs" priority="170" operator="equal" id="{A46FEC52-8CEE-447E-BA00-C9D85BA1F676}">
            <xm:f>'111'!B281</xm:f>
            <x14:dxf>
              <font>
                <color rgb="FF9C0006"/>
              </font>
            </x14:dxf>
          </x14:cfRule>
          <xm:sqref>L347:L353 L300:L319</xm:sqref>
        </x14:conditionalFormatting>
        <x14:conditionalFormatting xmlns:xm="http://schemas.microsoft.com/office/excel/2006/main">
          <x14:cfRule type="expression" priority="181" id="{0E1FAB4A-53B2-4095-8C7D-8F1C80A21093}">
            <xm:f>'111'!B299</xm:f>
            <x14:dxf>
              <fill>
                <patternFill>
                  <bgColor rgb="FFFFFF00"/>
                </patternFill>
              </fill>
            </x14:dxf>
          </x14:cfRule>
          <x14:cfRule type="cellIs" priority="182" operator="equal" id="{973B159B-7EEE-4312-AB57-16E776BA01E1}">
            <xm:f>'111'!B299</xm:f>
            <x14:dxf>
              <font>
                <color rgb="FF9C0006"/>
              </font>
            </x14:dxf>
          </x14:cfRule>
          <xm:sqref>L347:L353 L320:L334</xm:sqref>
        </x14:conditionalFormatting>
        <x14:conditionalFormatting xmlns:xm="http://schemas.microsoft.com/office/excel/2006/main">
          <x14:cfRule type="expression" priority="193" id="{4D4FE488-308A-4E1A-B82B-0E5CF75BFF1F}">
            <xm:f>'111'!#REF!</xm:f>
            <x14:dxf>
              <fill>
                <patternFill>
                  <bgColor rgb="FFFFFF00"/>
                </patternFill>
              </fill>
            </x14:dxf>
          </x14:cfRule>
          <x14:cfRule type="cellIs" priority="194" operator="equal" id="{FACD7088-1444-4DB5-9F6A-3B7BD56E6C0A}">
            <xm:f>'111'!#REF!</xm:f>
            <x14:dxf>
              <font>
                <color rgb="FF9C0006"/>
              </font>
            </x14:dxf>
          </x14:cfRule>
          <xm:sqref>L321:L353</xm:sqref>
        </x14:conditionalFormatting>
        <x14:conditionalFormatting xmlns:xm="http://schemas.microsoft.com/office/excel/2006/main">
          <x14:cfRule type="expression" priority="205" id="{23A7ED48-ECF8-4CFC-8620-6F6D7087BEC1}">
            <xm:f>'111'!B302</xm:f>
            <x14:dxf>
              <fill>
                <patternFill>
                  <bgColor rgb="FFFFFF00"/>
                </patternFill>
              </fill>
            </x14:dxf>
          </x14:cfRule>
          <x14:cfRule type="cellIs" priority="206" operator="equal" id="{CCA181B3-3283-4557-898F-8C4F69F61B8E}">
            <xm:f>'111'!B302</xm:f>
            <x14:dxf>
              <font>
                <color rgb="FF9C0006"/>
              </font>
            </x14:dxf>
          </x14:cfRule>
          <xm:sqref>L320:L353</xm:sqref>
        </x14:conditionalFormatting>
        <x14:conditionalFormatting xmlns:xm="http://schemas.microsoft.com/office/excel/2006/main">
          <x14:cfRule type="expression" priority="217" id="{4A4081D0-3FAE-4E06-BF29-071F806B58FA}">
            <xm:f>'111'!B298</xm:f>
            <x14:dxf>
              <fill>
                <patternFill>
                  <bgColor rgb="FFFFFF00"/>
                </patternFill>
              </fill>
            </x14:dxf>
          </x14:cfRule>
          <x14:cfRule type="cellIs" priority="218" operator="equal" id="{0C723CA9-6256-438B-B5CC-9EAC247451BE}">
            <xm:f>'111'!B298</xm:f>
            <x14:dxf>
              <font>
                <color rgb="FF9C0006"/>
              </font>
            </x14:dxf>
          </x14:cfRule>
          <xm:sqref>L320</xm:sqref>
        </x14:conditionalFormatting>
        <x14:conditionalFormatting xmlns:xm="http://schemas.microsoft.com/office/excel/2006/main">
          <x14:cfRule type="expression" priority="229" id="{8E97643E-BF69-4C5F-989B-0D2CAA5D7221}">
            <xm:f>'111'!#REF!</xm:f>
            <x14:dxf>
              <fill>
                <patternFill>
                  <bgColor rgb="FFFFFF00"/>
                </patternFill>
              </fill>
            </x14:dxf>
          </x14:cfRule>
          <x14:cfRule type="cellIs" priority="230" operator="equal" id="{B8D99277-82EE-490E-81E3-429643B4C413}">
            <xm:f>'111'!#REF!</xm:f>
            <x14:dxf>
              <font>
                <color rgb="FF9C0006"/>
              </font>
            </x14:dxf>
          </x14:cfRule>
          <xm:sqref>L289:L353</xm:sqref>
        </x14:conditionalFormatting>
        <x14:conditionalFormatting xmlns:xm="http://schemas.microsoft.com/office/excel/2006/main">
          <x14:cfRule type="expression" priority="241" id="{374568CB-0C21-46FB-8BBA-F6241CE2A713}">
            <xm:f>'111'!B304</xm:f>
            <x14:dxf>
              <fill>
                <patternFill>
                  <bgColor rgb="FFFFFF00"/>
                </patternFill>
              </fill>
            </x14:dxf>
          </x14:cfRule>
          <x14:cfRule type="cellIs" priority="242" operator="equal" id="{E5574BCA-8A04-43ED-936A-9113251DD5ED}">
            <xm:f>'111'!B304</xm:f>
            <x14:dxf>
              <font>
                <color rgb="FF9C0006"/>
              </font>
            </x14:dxf>
          </x14:cfRule>
          <xm:sqref>L320</xm:sqref>
        </x14:conditionalFormatting>
        <x14:conditionalFormatting xmlns:xm="http://schemas.microsoft.com/office/excel/2006/main">
          <x14:cfRule type="containsText" priority="5306" operator="containsText" id="{D16B2EA9-629D-4155-A56A-BC7A82CE4EF5}">
            <xm:f>NOT(ISERROR(SEARCH(B,'111'!#REF!)))</xm:f>
            <xm:f>B</xm:f>
            <x14:dxf>
              <fill>
                <patternFill>
                  <bgColor theme="9" tint="0.59996337778862885"/>
                </patternFill>
              </fill>
            </x14:dxf>
          </x14:cfRule>
          <xm:sqref>L289:L353</xm:sqref>
        </x14:conditionalFormatting>
      </x14:conditionalFormatting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1F65E0-1785-460D-A750-E2E973E55330}">
  <dimension ref="A1:AE413"/>
  <sheetViews>
    <sheetView topLeftCell="A275" zoomScale="120" zoomScaleNormal="120" workbookViewId="0">
      <selection activeCell="W282" sqref="W282"/>
    </sheetView>
  </sheetViews>
  <sheetFormatPr defaultRowHeight="15"/>
  <cols>
    <col min="1" max="1" width="5.5703125" style="1139" customWidth="1"/>
    <col min="2" max="2" width="27.140625" style="1139" customWidth="1"/>
    <col min="3" max="3" width="17.7109375" style="1139" hidden="1" customWidth="1"/>
    <col min="4" max="4" width="16" style="1003" hidden="1" customWidth="1"/>
    <col min="5" max="5" width="19.42578125" style="1003" customWidth="1"/>
    <col min="6" max="6" width="11.140625" style="1139" hidden="1" customWidth="1"/>
    <col min="7" max="11" width="8.140625" style="1139" hidden="1" customWidth="1"/>
    <col min="12" max="12" width="8.85546875" style="1139" hidden="1" customWidth="1"/>
    <col min="13" max="13" width="6.42578125" style="1139" hidden="1" customWidth="1"/>
    <col min="14" max="14" width="8.85546875" style="1139" hidden="1" customWidth="1"/>
    <col min="15" max="15" width="10.5703125" style="1139" hidden="1" customWidth="1"/>
    <col min="16" max="16" width="17.140625" style="1139" hidden="1" customWidth="1"/>
    <col min="17" max="17" width="13.5703125" style="1139" customWidth="1"/>
    <col min="18" max="18" width="12.5703125" style="1139" customWidth="1"/>
    <col min="19" max="19" width="15.42578125" style="1139" customWidth="1"/>
    <col min="20" max="20" width="3.85546875" style="1139" customWidth="1"/>
    <col min="21" max="21" width="17.42578125" style="1007" customWidth="1"/>
    <col min="22" max="22" width="16.140625" style="1139" customWidth="1"/>
    <col min="23" max="23" width="17.42578125" style="1139" customWidth="1"/>
    <col min="24" max="16384" width="9.140625" style="1139"/>
  </cols>
  <sheetData>
    <row r="1" spans="1:31">
      <c r="A1" s="1589" t="s">
        <v>492</v>
      </c>
      <c r="B1" s="1589"/>
      <c r="C1" s="1589"/>
      <c r="D1" s="1589"/>
      <c r="E1" s="1589"/>
      <c r="F1" s="1589"/>
      <c r="G1" s="1589"/>
      <c r="H1" s="1003"/>
      <c r="I1" s="1003"/>
      <c r="J1" s="1570" t="s">
        <v>849</v>
      </c>
      <c r="K1" s="1570"/>
      <c r="L1" s="1570"/>
      <c r="M1" s="1570"/>
      <c r="N1" s="1570"/>
      <c r="O1" s="1570"/>
      <c r="P1" s="1570"/>
      <c r="Q1" s="1570"/>
      <c r="R1" s="1570"/>
      <c r="S1" s="1570"/>
      <c r="T1" s="1570"/>
      <c r="U1" s="1570"/>
    </row>
    <row r="2" spans="1:31" ht="15" customHeight="1">
      <c r="A2" s="1570" t="s">
        <v>1563</v>
      </c>
      <c r="B2" s="1570"/>
      <c r="C2" s="1570"/>
      <c r="D2" s="1570"/>
      <c r="E2" s="1570"/>
      <c r="F2" s="1570"/>
      <c r="G2" s="1570"/>
      <c r="H2" s="1004"/>
      <c r="I2" s="1004"/>
      <c r="J2" s="1570" t="s">
        <v>2179</v>
      </c>
      <c r="K2" s="1570"/>
      <c r="L2" s="1570"/>
      <c r="M2" s="1570"/>
      <c r="N2" s="1570"/>
      <c r="O2" s="1570"/>
      <c r="P2" s="1570"/>
      <c r="Q2" s="1570"/>
      <c r="R2" s="1570"/>
      <c r="S2" s="1570"/>
      <c r="T2" s="1570"/>
      <c r="U2" s="1570"/>
    </row>
    <row r="3" spans="1:31" ht="16.5" customHeight="1">
      <c r="A3" s="1570" t="s">
        <v>1564</v>
      </c>
      <c r="B3" s="1570"/>
      <c r="C3" s="1570"/>
      <c r="D3" s="1570"/>
      <c r="E3" s="1570"/>
      <c r="F3" s="1570"/>
      <c r="G3" s="1570"/>
      <c r="H3" s="1004"/>
      <c r="I3" s="1004"/>
      <c r="J3" s="1004"/>
      <c r="K3" s="1004"/>
      <c r="L3" s="1006"/>
      <c r="M3" s="1006"/>
      <c r="N3" s="1006"/>
      <c r="O3" s="1006"/>
      <c r="P3" s="1243"/>
      <c r="Q3" s="1243"/>
      <c r="R3" s="1243"/>
      <c r="S3" s="1243"/>
      <c r="T3" s="1003"/>
    </row>
    <row r="4" spans="1:31" ht="9" customHeight="1">
      <c r="A4" s="1244"/>
      <c r="B4" s="1244"/>
      <c r="C4" s="1244"/>
      <c r="D4" s="1244"/>
      <c r="E4" s="1244"/>
      <c r="F4" s="1244"/>
      <c r="G4" s="1244"/>
      <c r="H4" s="1244"/>
      <c r="I4" s="1244"/>
      <c r="J4" s="1244"/>
      <c r="K4" s="1244"/>
      <c r="L4" s="1006"/>
      <c r="M4" s="1006"/>
      <c r="N4" s="1006"/>
      <c r="O4" s="1006"/>
      <c r="P4" s="1243"/>
      <c r="Q4" s="1243"/>
      <c r="R4" s="1243"/>
      <c r="S4" s="1243"/>
      <c r="T4" s="1003"/>
    </row>
    <row r="5" spans="1:31" ht="18.75" customHeight="1">
      <c r="A5" s="1554" t="s">
        <v>2183</v>
      </c>
      <c r="B5" s="1554"/>
      <c r="C5" s="1554"/>
      <c r="D5" s="1554"/>
      <c r="E5" s="1554"/>
      <c r="F5" s="1554"/>
      <c r="G5" s="1554"/>
      <c r="H5" s="1554"/>
      <c r="I5" s="1554"/>
      <c r="J5" s="1554"/>
      <c r="K5" s="1554"/>
      <c r="L5" s="1554"/>
      <c r="M5" s="1554"/>
      <c r="N5" s="1554"/>
      <c r="O5" s="1554"/>
      <c r="P5" s="1554"/>
      <c r="Q5" s="1554"/>
      <c r="R5" s="1554"/>
      <c r="S5" s="1554"/>
      <c r="T5" s="1554"/>
      <c r="U5" s="1554"/>
      <c r="V5" s="681"/>
      <c r="W5" s="681"/>
      <c r="X5" s="681"/>
      <c r="Y5" s="681"/>
      <c r="Z5" s="681"/>
      <c r="AA5" s="681"/>
      <c r="AB5" s="681"/>
      <c r="AC5" s="681"/>
      <c r="AD5" s="681"/>
      <c r="AE5" s="681"/>
    </row>
    <row r="6" spans="1:31" ht="18.75" customHeight="1">
      <c r="A6" s="1582" t="s">
        <v>2488</v>
      </c>
      <c r="B6" s="1582"/>
      <c r="C6" s="1582"/>
      <c r="D6" s="1582"/>
      <c r="E6" s="1582"/>
      <c r="F6" s="1582"/>
      <c r="G6" s="1582"/>
      <c r="H6" s="1582"/>
      <c r="I6" s="1582"/>
      <c r="J6" s="1582"/>
      <c r="K6" s="1582"/>
      <c r="L6" s="1582"/>
      <c r="M6" s="1582"/>
      <c r="N6" s="1582"/>
      <c r="O6" s="1582"/>
      <c r="P6" s="1582"/>
      <c r="Q6" s="1582"/>
      <c r="R6" s="1582"/>
      <c r="S6" s="1582"/>
      <c r="T6" s="1582"/>
      <c r="U6" s="1582"/>
    </row>
    <row r="7" spans="1:31" ht="36.75" hidden="1" customHeight="1">
      <c r="A7" s="1583" t="s">
        <v>2261</v>
      </c>
      <c r="B7" s="1583"/>
      <c r="C7" s="1583"/>
      <c r="D7" s="1583"/>
      <c r="E7" s="1583"/>
      <c r="F7" s="1583"/>
      <c r="G7" s="1583"/>
      <c r="H7" s="1583"/>
      <c r="I7" s="1583"/>
      <c r="J7" s="1583"/>
      <c r="K7" s="1583"/>
      <c r="L7" s="1583"/>
      <c r="M7" s="1583"/>
      <c r="N7" s="1583"/>
      <c r="O7" s="1583"/>
      <c r="P7" s="1583"/>
      <c r="Q7" s="1583"/>
      <c r="R7" s="1583"/>
      <c r="S7" s="1583"/>
      <c r="T7" s="1583"/>
      <c r="U7" s="1583"/>
    </row>
    <row r="8" spans="1:31" s="1003" customFormat="1" ht="16.5" hidden="1" customHeight="1">
      <c r="A8" s="1002"/>
      <c r="C8" s="1004"/>
      <c r="D8" s="1004"/>
      <c r="E8" s="1004"/>
      <c r="F8" s="1006"/>
      <c r="G8" s="1006"/>
      <c r="H8" s="1006"/>
      <c r="I8" s="1006"/>
      <c r="J8" s="1006"/>
      <c r="K8" s="1006"/>
      <c r="L8" s="1584"/>
      <c r="M8" s="1584"/>
      <c r="N8" s="1584"/>
      <c r="O8" s="1584"/>
      <c r="P8" s="1216" t="s">
        <v>1181</v>
      </c>
      <c r="Q8" s="1216"/>
      <c r="R8" s="1216"/>
      <c r="S8" s="1216"/>
      <c r="T8" s="1006"/>
      <c r="U8" s="1007"/>
    </row>
    <row r="9" spans="1:31" ht="15.75" customHeight="1">
      <c r="A9" s="1007"/>
      <c r="B9" s="1002"/>
      <c r="C9" s="1002"/>
      <c r="D9" s="1004"/>
      <c r="E9" s="1004"/>
      <c r="F9" s="1007"/>
      <c r="G9" s="1007"/>
      <c r="H9" s="1007"/>
      <c r="I9" s="1007"/>
      <c r="J9" s="1585"/>
      <c r="K9" s="1585"/>
      <c r="L9" s="1007"/>
      <c r="M9" s="1007"/>
      <c r="N9" s="1007"/>
      <c r="O9" s="1259" t="s">
        <v>2371</v>
      </c>
      <c r="P9" s="1319">
        <v>2340000</v>
      </c>
      <c r="Q9" s="1137"/>
      <c r="R9" s="1137"/>
      <c r="S9" s="1137"/>
      <c r="T9" s="1007"/>
      <c r="U9" s="1007" t="s">
        <v>2403</v>
      </c>
    </row>
    <row r="10" spans="1:31" s="1240" customFormat="1" ht="18.75" customHeight="1">
      <c r="A10" s="1571" t="s">
        <v>853</v>
      </c>
      <c r="B10" s="1571" t="s">
        <v>854</v>
      </c>
      <c r="C10" s="1236" t="s">
        <v>1598</v>
      </c>
      <c r="D10" s="1237" t="s">
        <v>50</v>
      </c>
      <c r="E10" s="1571" t="s">
        <v>2176</v>
      </c>
      <c r="F10" s="1586" t="s">
        <v>2264</v>
      </c>
      <c r="G10" s="1587"/>
      <c r="H10" s="1587"/>
      <c r="I10" s="1588"/>
      <c r="J10" s="1587" t="s">
        <v>860</v>
      </c>
      <c r="K10" s="1588"/>
      <c r="L10" s="1586" t="s">
        <v>2387</v>
      </c>
      <c r="M10" s="1587"/>
      <c r="N10" s="1588"/>
      <c r="O10" s="1571" t="s">
        <v>2269</v>
      </c>
      <c r="P10" s="1571" t="s">
        <v>1100</v>
      </c>
      <c r="Q10" s="1571" t="s">
        <v>2399</v>
      </c>
      <c r="R10" s="1571" t="s">
        <v>2400</v>
      </c>
      <c r="S10" s="1571" t="s">
        <v>1100</v>
      </c>
      <c r="T10" s="1574" t="s">
        <v>40</v>
      </c>
      <c r="U10" s="1575"/>
    </row>
    <row r="11" spans="1:31" s="1240" customFormat="1" ht="6.75" customHeight="1">
      <c r="A11" s="1573"/>
      <c r="B11" s="1573"/>
      <c r="C11" s="1236"/>
      <c r="D11" s="1237"/>
      <c r="E11" s="1573"/>
      <c r="F11" s="1242" t="s">
        <v>2356</v>
      </c>
      <c r="G11" s="1424" t="s">
        <v>2357</v>
      </c>
      <c r="H11" s="1424" t="s">
        <v>2262</v>
      </c>
      <c r="I11" s="1242" t="s">
        <v>2358</v>
      </c>
      <c r="J11" s="1242" t="s">
        <v>2270</v>
      </c>
      <c r="K11" s="1242" t="s">
        <v>2271</v>
      </c>
      <c r="L11" s="1425" t="s">
        <v>2388</v>
      </c>
      <c r="M11" s="1425"/>
      <c r="N11" s="1425" t="s">
        <v>2389</v>
      </c>
      <c r="O11" s="1573"/>
      <c r="P11" s="1573"/>
      <c r="Q11" s="1572"/>
      <c r="R11" s="1572"/>
      <c r="S11" s="1572"/>
      <c r="T11" s="1576"/>
      <c r="U11" s="1577"/>
    </row>
    <row r="12" spans="1:31" s="1012" customFormat="1" ht="15" customHeight="1">
      <c r="A12" s="1010" t="s">
        <v>1110</v>
      </c>
      <c r="B12" s="1010" t="s">
        <v>1111</v>
      </c>
      <c r="C12" s="1010" t="s">
        <v>1112</v>
      </c>
      <c r="D12" s="1010" t="s">
        <v>1113</v>
      </c>
      <c r="E12" s="1010" t="s">
        <v>1112</v>
      </c>
      <c r="F12" s="1010" t="s">
        <v>1122</v>
      </c>
      <c r="G12" s="1010" t="s">
        <v>1123</v>
      </c>
      <c r="H12" s="1010" t="s">
        <v>1124</v>
      </c>
      <c r="I12" s="1010" t="s">
        <v>1125</v>
      </c>
      <c r="J12" s="1010" t="s">
        <v>1133</v>
      </c>
      <c r="K12" s="1010" t="s">
        <v>1142</v>
      </c>
      <c r="L12" s="1010" t="s">
        <v>1143</v>
      </c>
      <c r="M12" s="1010"/>
      <c r="N12" s="1010"/>
      <c r="O12" s="1010" t="s">
        <v>1146</v>
      </c>
      <c r="P12" s="1010" t="s">
        <v>1147</v>
      </c>
      <c r="Q12" s="1217" t="s">
        <v>1113</v>
      </c>
      <c r="R12" s="1217" t="s">
        <v>1114</v>
      </c>
      <c r="S12" s="1217" t="s">
        <v>1115</v>
      </c>
      <c r="T12" s="1578" t="s">
        <v>1116</v>
      </c>
      <c r="U12" s="1579"/>
    </row>
    <row r="13" spans="1:31" hidden="1">
      <c r="A13" s="1589" t="s">
        <v>492</v>
      </c>
      <c r="B13" s="1589"/>
      <c r="C13" s="1589"/>
      <c r="D13" s="1589"/>
      <c r="E13" s="1589"/>
      <c r="F13" s="1589"/>
      <c r="G13" s="1589"/>
      <c r="H13" s="1003"/>
      <c r="I13" s="1003"/>
      <c r="J13" s="1570" t="s">
        <v>849</v>
      </c>
      <c r="K13" s="1570"/>
      <c r="L13" s="1570"/>
      <c r="M13" s="1570"/>
      <c r="N13" s="1570"/>
      <c r="O13" s="1570"/>
      <c r="P13" s="1570"/>
      <c r="Q13" s="1570"/>
      <c r="R13" s="1570"/>
      <c r="S13" s="1570"/>
      <c r="T13" s="1570"/>
      <c r="U13" s="1570"/>
    </row>
    <row r="14" spans="1:31" ht="15" hidden="1" customHeight="1">
      <c r="A14" s="1570" t="s">
        <v>1563</v>
      </c>
      <c r="B14" s="1570"/>
      <c r="C14" s="1570"/>
      <c r="D14" s="1570"/>
      <c r="E14" s="1570"/>
      <c r="F14" s="1570"/>
      <c r="G14" s="1570"/>
      <c r="H14" s="1004"/>
      <c r="I14" s="1004"/>
      <c r="J14" s="1570" t="s">
        <v>2179</v>
      </c>
      <c r="K14" s="1570"/>
      <c r="L14" s="1570"/>
      <c r="M14" s="1570"/>
      <c r="N14" s="1570"/>
      <c r="O14" s="1570"/>
      <c r="P14" s="1570"/>
      <c r="Q14" s="1570"/>
      <c r="R14" s="1570"/>
      <c r="S14" s="1570"/>
      <c r="T14" s="1570"/>
      <c r="U14" s="1570"/>
    </row>
    <row r="15" spans="1:31" ht="16.5" hidden="1" customHeight="1">
      <c r="A15" s="1570" t="s">
        <v>1564</v>
      </c>
      <c r="B15" s="1570"/>
      <c r="C15" s="1570"/>
      <c r="D15" s="1570"/>
      <c r="E15" s="1570"/>
      <c r="F15" s="1570"/>
      <c r="G15" s="1570"/>
      <c r="H15" s="1004"/>
      <c r="I15" s="1004"/>
      <c r="J15" s="1004"/>
      <c r="K15" s="1004"/>
      <c r="L15" s="1006"/>
      <c r="M15" s="1006"/>
      <c r="N15" s="1006"/>
      <c r="O15" s="1006"/>
      <c r="P15" s="1243"/>
      <c r="Q15" s="1243"/>
      <c r="R15" s="1243"/>
      <c r="S15" s="1243"/>
      <c r="T15" s="1003"/>
    </row>
    <row r="16" spans="1:31" ht="9" hidden="1" customHeight="1">
      <c r="A16" s="1244"/>
      <c r="B16" s="1244"/>
      <c r="C16" s="1244"/>
      <c r="D16" s="1244"/>
      <c r="E16" s="1244"/>
      <c r="F16" s="1244"/>
      <c r="G16" s="1244"/>
      <c r="H16" s="1244"/>
      <c r="I16" s="1244"/>
      <c r="J16" s="1244"/>
      <c r="K16" s="1244"/>
      <c r="L16" s="1006"/>
      <c r="M16" s="1006"/>
      <c r="N16" s="1006"/>
      <c r="O16" s="1006"/>
      <c r="P16" s="1243"/>
      <c r="Q16" s="1243"/>
      <c r="R16" s="1243"/>
      <c r="S16" s="1243"/>
      <c r="T16" s="1003"/>
    </row>
    <row r="17" spans="1:30" ht="18.75" hidden="1" customHeight="1">
      <c r="A17" s="1582" t="s">
        <v>2471</v>
      </c>
      <c r="B17" s="1582"/>
      <c r="C17" s="1582"/>
      <c r="D17" s="1582"/>
      <c r="E17" s="1582"/>
      <c r="F17" s="1582"/>
      <c r="G17" s="1582"/>
      <c r="H17" s="1582"/>
      <c r="I17" s="1582"/>
      <c r="J17" s="1582"/>
      <c r="K17" s="1582"/>
      <c r="L17" s="1582"/>
      <c r="M17" s="1582"/>
      <c r="N17" s="1582"/>
      <c r="O17" s="1582"/>
      <c r="P17" s="1582"/>
      <c r="Q17" s="1582"/>
      <c r="R17" s="1582"/>
      <c r="S17" s="1582"/>
      <c r="T17" s="1582"/>
      <c r="U17" s="1582"/>
    </row>
    <row r="18" spans="1:30" ht="18.75" hidden="1" customHeight="1">
      <c r="A18" s="1582" t="s">
        <v>1600</v>
      </c>
      <c r="B18" s="1582"/>
      <c r="C18" s="1582"/>
      <c r="D18" s="1582"/>
      <c r="E18" s="1582"/>
      <c r="F18" s="1582"/>
      <c r="G18" s="1582"/>
      <c r="H18" s="1582"/>
      <c r="I18" s="1582"/>
      <c r="J18" s="1582"/>
      <c r="K18" s="1582"/>
      <c r="L18" s="1582"/>
      <c r="M18" s="1582"/>
      <c r="N18" s="1582"/>
      <c r="O18" s="1582"/>
      <c r="P18" s="1582"/>
      <c r="Q18" s="1582"/>
      <c r="R18" s="1582"/>
      <c r="S18" s="1582"/>
      <c r="T18" s="1582"/>
      <c r="U18" s="1582"/>
    </row>
    <row r="19" spans="1:30" ht="36.75" hidden="1" customHeight="1">
      <c r="A19" s="1583" t="s">
        <v>2415</v>
      </c>
      <c r="B19" s="1583"/>
      <c r="C19" s="1583"/>
      <c r="D19" s="1583"/>
      <c r="E19" s="1583"/>
      <c r="F19" s="1583"/>
      <c r="G19" s="1583"/>
      <c r="H19" s="1583"/>
      <c r="I19" s="1583"/>
      <c r="J19" s="1583"/>
      <c r="K19" s="1583"/>
      <c r="L19" s="1583"/>
      <c r="M19" s="1583"/>
      <c r="N19" s="1583"/>
      <c r="O19" s="1583"/>
      <c r="P19" s="1583"/>
      <c r="Q19" s="1583"/>
      <c r="R19" s="1583"/>
      <c r="S19" s="1583"/>
      <c r="T19" s="1583"/>
      <c r="U19" s="1583"/>
    </row>
    <row r="20" spans="1:30" s="1003" customFormat="1" ht="16.5" hidden="1" customHeight="1">
      <c r="A20" s="1002"/>
      <c r="C20" s="1004"/>
      <c r="D20" s="1004"/>
      <c r="E20" s="1004"/>
      <c r="F20" s="1006"/>
      <c r="G20" s="1006"/>
      <c r="H20" s="1006"/>
      <c r="I20" s="1006"/>
      <c r="J20" s="1006"/>
      <c r="K20" s="1006"/>
      <c r="L20" s="1584"/>
      <c r="M20" s="1584"/>
      <c r="N20" s="1584"/>
      <c r="O20" s="1584"/>
      <c r="P20" s="1216" t="s">
        <v>1181</v>
      </c>
      <c r="Q20" s="1216"/>
      <c r="R20" s="1216"/>
      <c r="S20" s="1216"/>
      <c r="T20" s="1006"/>
      <c r="U20" s="1007"/>
    </row>
    <row r="21" spans="1:30" ht="17.25" hidden="1" customHeight="1">
      <c r="A21" s="1007"/>
      <c r="B21" s="1002"/>
      <c r="C21" s="1002"/>
      <c r="D21" s="1004"/>
      <c r="E21" s="1004"/>
      <c r="F21" s="1007"/>
      <c r="G21" s="1007"/>
      <c r="H21" s="1007"/>
      <c r="I21" s="1007"/>
      <c r="J21" s="1585"/>
      <c r="K21" s="1585"/>
      <c r="L21" s="1007"/>
      <c r="M21" s="1007"/>
      <c r="N21" s="1007"/>
      <c r="O21" s="1259" t="s">
        <v>2371</v>
      </c>
      <c r="P21" s="1319">
        <v>2340000</v>
      </c>
      <c r="Q21" s="1137"/>
      <c r="R21" s="1137"/>
      <c r="S21" s="1137"/>
      <c r="T21" s="1007"/>
    </row>
    <row r="22" spans="1:30" s="1240" customFormat="1" ht="27.75" hidden="1" customHeight="1">
      <c r="A22" s="1571" t="s">
        <v>853</v>
      </c>
      <c r="B22" s="1571" t="s">
        <v>854</v>
      </c>
      <c r="C22" s="1236" t="s">
        <v>1598</v>
      </c>
      <c r="D22" s="1237" t="s">
        <v>50</v>
      </c>
      <c r="E22" s="1571" t="s">
        <v>2176</v>
      </c>
      <c r="F22" s="1586" t="s">
        <v>2405</v>
      </c>
      <c r="G22" s="1587"/>
      <c r="H22" s="1587"/>
      <c r="I22" s="1588"/>
      <c r="J22" s="1587" t="s">
        <v>860</v>
      </c>
      <c r="K22" s="1588"/>
      <c r="L22" s="1586" t="s">
        <v>2387</v>
      </c>
      <c r="M22" s="1587"/>
      <c r="N22" s="1588"/>
      <c r="O22" s="1571" t="s">
        <v>2269</v>
      </c>
      <c r="P22" s="1571" t="s">
        <v>1100</v>
      </c>
      <c r="Q22" s="1238"/>
      <c r="R22" s="1238"/>
      <c r="S22" s="1238"/>
      <c r="T22" s="1574" t="s">
        <v>40</v>
      </c>
      <c r="U22" s="1575"/>
    </row>
    <row r="23" spans="1:30" s="1240" customFormat="1" ht="23.25" hidden="1" customHeight="1">
      <c r="A23" s="1573"/>
      <c r="B23" s="1573"/>
      <c r="C23" s="1236"/>
      <c r="D23" s="1237"/>
      <c r="E23" s="1573"/>
      <c r="F23" s="1242" t="s">
        <v>2356</v>
      </c>
      <c r="G23" s="1424" t="s">
        <v>2357</v>
      </c>
      <c r="H23" s="1424" t="s">
        <v>2262</v>
      </c>
      <c r="I23" s="1242" t="s">
        <v>2358</v>
      </c>
      <c r="J23" s="1242" t="s">
        <v>2270</v>
      </c>
      <c r="K23" s="1242" t="s">
        <v>2271</v>
      </c>
      <c r="L23" s="1425" t="s">
        <v>2388</v>
      </c>
      <c r="M23" s="1425"/>
      <c r="N23" s="1425" t="s">
        <v>2389</v>
      </c>
      <c r="O23" s="1573"/>
      <c r="P23" s="1573"/>
      <c r="Q23" s="1238"/>
      <c r="R23" s="1363"/>
      <c r="S23" s="1363"/>
      <c r="T23" s="1576"/>
      <c r="U23" s="1577"/>
    </row>
    <row r="24" spans="1:30" s="1012" customFormat="1" ht="15" hidden="1" customHeight="1">
      <c r="A24" s="1010" t="s">
        <v>1110</v>
      </c>
      <c r="B24" s="1010" t="s">
        <v>1111</v>
      </c>
      <c r="C24" s="1010" t="s">
        <v>1112</v>
      </c>
      <c r="D24" s="1010" t="s">
        <v>1113</v>
      </c>
      <c r="E24" s="1010" t="s">
        <v>1112</v>
      </c>
      <c r="F24" s="1010" t="s">
        <v>1113</v>
      </c>
      <c r="G24" s="1010" t="s">
        <v>1114</v>
      </c>
      <c r="H24" s="1010" t="s">
        <v>1115</v>
      </c>
      <c r="I24" s="1010" t="s">
        <v>1116</v>
      </c>
      <c r="J24" s="1010" t="s">
        <v>1117</v>
      </c>
      <c r="K24" s="1010" t="s">
        <v>1118</v>
      </c>
      <c r="L24" s="1010" t="s">
        <v>1119</v>
      </c>
      <c r="M24" s="1010"/>
      <c r="N24" s="1010" t="s">
        <v>1120</v>
      </c>
      <c r="O24" s="1010" t="s">
        <v>1121</v>
      </c>
      <c r="P24" s="1010" t="s">
        <v>1122</v>
      </c>
      <c r="Q24" s="1217"/>
      <c r="R24" s="1217"/>
      <c r="S24" s="1217"/>
      <c r="T24" s="1578" t="s">
        <v>1123</v>
      </c>
      <c r="U24" s="1579"/>
    </row>
    <row r="25" spans="1:30" s="1028" customFormat="1" ht="27.75" customHeight="1">
      <c r="A25" s="1014">
        <f>_xlfn.AGGREGATE(4,7,A$24:A24)+1</f>
        <v>1</v>
      </c>
      <c r="B25" s="1015" t="s">
        <v>1447</v>
      </c>
      <c r="C25" s="1029" t="s">
        <v>1614</v>
      </c>
      <c r="D25" s="1030" t="s">
        <v>1442</v>
      </c>
      <c r="E25" s="81" t="str">
        <f>VLOOKUP(B25,TH.Q2!B19:E350,4,FALSE)</f>
        <v>Phó Hiệu trưởng</v>
      </c>
      <c r="F25" s="1018">
        <v>4.9800000000000004</v>
      </c>
      <c r="G25" s="1019">
        <v>0.08</v>
      </c>
      <c r="H25" s="1248">
        <f t="shared" ref="H25:H83" si="0">ROUND(F25*G25,3)</f>
        <v>0.39800000000000002</v>
      </c>
      <c r="I25" s="1020">
        <v>0.9</v>
      </c>
      <c r="J25" s="1020" t="str">
        <f>VLOOKUP(B25,[25]!Table2[[Column2]:[Column6]],4,FALSE)</f>
        <v>A1</v>
      </c>
      <c r="K25" s="1020">
        <f t="shared" ref="K25:K83" si="1">IF(J25="A1",0.8,IF(J25="A2",0.7,IF(J25="A3",0.6,IF(J25="A4",0.5,IF(J25="B1",0.35,IF(J25="B2",0.25,IF(J25="C1",0.15,IF(J25="C2",0.1,0))))))))</f>
        <v>0.8</v>
      </c>
      <c r="L25" s="1021">
        <v>20</v>
      </c>
      <c r="M25" s="1021">
        <f>VLOOKUP(B25,'[26]CN BC'!$F$10:$H$267,3,FALSE)</f>
        <v>26</v>
      </c>
      <c r="N25" s="1021">
        <f t="shared" ref="N25:N83" si="2">IF(M25&gt;=L25,L25,IF(M25&lt;L25,M25))</f>
        <v>20</v>
      </c>
      <c r="O25" s="1022"/>
      <c r="P25" s="1023">
        <f t="shared" ref="P25:P83" si="3">(((F25+H25+I25)*$P$21/L25*N25)*K25)+O25</f>
        <v>11752416.000000002</v>
      </c>
      <c r="Q25" s="1515">
        <f>P25/R25</f>
        <v>5.0224000000000011</v>
      </c>
      <c r="R25" s="1102">
        <v>2340000</v>
      </c>
      <c r="S25" s="1486">
        <f>Q25*R25</f>
        <v>11752416.000000002</v>
      </c>
      <c r="T25" s="1024">
        <f t="shared" ref="T25:T83" si="4">A25</f>
        <v>1</v>
      </c>
      <c r="U25" s="1025">
        <f>VLOOKUP(B25,'[26]CN BC'!$F$10:$K$267,6,FALSE)</f>
        <v>0</v>
      </c>
      <c r="V25" s="1027"/>
      <c r="W25" s="1489"/>
      <c r="X25" s="1012"/>
      <c r="Y25" s="1012"/>
      <c r="Z25" s="1012"/>
      <c r="AA25" s="1012"/>
      <c r="AB25" s="1012"/>
      <c r="AC25" s="1012"/>
      <c r="AD25" s="1012"/>
    </row>
    <row r="26" spans="1:30" s="1028" customFormat="1" ht="27" customHeight="1">
      <c r="A26" s="1014">
        <f>_xlfn.AGGREGATE(4,7,A$24:A25)+1</f>
        <v>2</v>
      </c>
      <c r="B26" s="1015" t="s">
        <v>1845</v>
      </c>
      <c r="C26" s="1033" t="s">
        <v>1615</v>
      </c>
      <c r="D26" s="1034" t="s">
        <v>1255</v>
      </c>
      <c r="E26" s="368" t="str">
        <f>VLOOKUP(B26,TH.Q2!B20:E351,4,FALSE)</f>
        <v>Phó Hiệu trưởng</v>
      </c>
      <c r="F26" s="1018">
        <v>5.76</v>
      </c>
      <c r="G26" s="1019"/>
      <c r="H26" s="1255">
        <f t="shared" si="0"/>
        <v>0</v>
      </c>
      <c r="I26" s="1020">
        <v>0.7</v>
      </c>
      <c r="J26" s="1020" t="str">
        <f>VLOOKUP(B26,[25]!Table2[[Column2]:[Column6]],4,FALSE)</f>
        <v>A1</v>
      </c>
      <c r="K26" s="1020">
        <f t="shared" si="1"/>
        <v>0.8</v>
      </c>
      <c r="L26" s="1021">
        <v>20</v>
      </c>
      <c r="M26" s="1021">
        <f>VLOOKUP(B26,'[26]CN BC'!$F$10:$H$267,3,FALSE)</f>
        <v>22</v>
      </c>
      <c r="N26" s="1021">
        <f t="shared" si="2"/>
        <v>20</v>
      </c>
      <c r="O26" s="1035"/>
      <c r="P26" s="1023">
        <f t="shared" si="3"/>
        <v>12093120</v>
      </c>
      <c r="Q26" s="1515">
        <f t="shared" ref="Q26:Q89" si="5">P26/R26</f>
        <v>5.1680000000000001</v>
      </c>
      <c r="R26" s="1429">
        <v>2340000</v>
      </c>
      <c r="S26" s="1486">
        <f t="shared" ref="S26:S89" si="6">Q26*R26</f>
        <v>12093120</v>
      </c>
      <c r="T26" s="1024">
        <f t="shared" si="4"/>
        <v>2</v>
      </c>
      <c r="U26" s="1025">
        <f>VLOOKUP(B26,'[26]CN BC'!$F$10:$K$267,6,FALSE)</f>
        <v>0</v>
      </c>
      <c r="V26" s="1038"/>
      <c r="W26" s="1490"/>
    </row>
    <row r="27" spans="1:30" s="1028" customFormat="1" ht="24.75" customHeight="1">
      <c r="A27" s="1014">
        <f>_xlfn.AGGREGATE(4,7,A$24:A26)+1</f>
        <v>3</v>
      </c>
      <c r="B27" s="1015" t="s">
        <v>1533</v>
      </c>
      <c r="C27" s="1033" t="s">
        <v>1954</v>
      </c>
      <c r="D27" s="1039" t="s">
        <v>1937</v>
      </c>
      <c r="E27" s="81" t="str">
        <f>VLOOKUP(B27,TH.Q2!B21:E352,4,FALSE)</f>
        <v>Phó Hiệu trưởng</v>
      </c>
      <c r="F27" s="1040">
        <v>4.9800000000000004</v>
      </c>
      <c r="G27" s="1019"/>
      <c r="H27" s="1248">
        <f t="shared" si="0"/>
        <v>0</v>
      </c>
      <c r="I27" s="1020">
        <v>0.7</v>
      </c>
      <c r="J27" s="1020" t="str">
        <f>VLOOKUP(B27,[25]!Table2[[Column2]:[Column6]],4,FALSE)</f>
        <v>A1</v>
      </c>
      <c r="K27" s="1020">
        <f t="shared" si="1"/>
        <v>0.8</v>
      </c>
      <c r="L27" s="1021">
        <v>20</v>
      </c>
      <c r="M27" s="1021">
        <f>VLOOKUP(B27,'[26]CN BC'!$F$10:$H$267,3,FALSE)</f>
        <v>26</v>
      </c>
      <c r="N27" s="1021">
        <f t="shared" si="2"/>
        <v>20</v>
      </c>
      <c r="O27" s="1022"/>
      <c r="P27" s="1023">
        <f t="shared" si="3"/>
        <v>10632960.000000002</v>
      </c>
      <c r="Q27" s="1515">
        <f t="shared" si="5"/>
        <v>4.5440000000000005</v>
      </c>
      <c r="R27" s="1429">
        <v>2340000</v>
      </c>
      <c r="S27" s="1486">
        <f t="shared" si="6"/>
        <v>10632960.000000002</v>
      </c>
      <c r="T27" s="1024">
        <f t="shared" si="4"/>
        <v>3</v>
      </c>
      <c r="U27" s="1025">
        <f>VLOOKUP(B27,'[26]CN BC'!$F$10:$K$267,6,FALSE)</f>
        <v>0</v>
      </c>
      <c r="V27" s="1027"/>
      <c r="W27" s="1489"/>
      <c r="X27" s="1012"/>
      <c r="Y27" s="1012"/>
      <c r="Z27" s="1012"/>
    </row>
    <row r="28" spans="1:30" s="1028" customFormat="1" ht="30" customHeight="1">
      <c r="A28" s="1014">
        <f>_xlfn.AGGREGATE(4,7,A$24:A27)+1</f>
        <v>4</v>
      </c>
      <c r="B28" s="1015" t="s">
        <v>1463</v>
      </c>
      <c r="C28" s="1033" t="s">
        <v>1617</v>
      </c>
      <c r="D28" s="1034" t="s">
        <v>1573</v>
      </c>
      <c r="E28" s="81" t="s">
        <v>2423</v>
      </c>
      <c r="F28" s="1040">
        <v>4.74</v>
      </c>
      <c r="G28" s="1019"/>
      <c r="H28" s="1248">
        <f>ROUND(F28*G28,3)</f>
        <v>0</v>
      </c>
      <c r="I28" s="1020">
        <v>0.45</v>
      </c>
      <c r="J28" s="1020" t="str">
        <f>VLOOKUP(B28,[25]!Table2[[Column2]:[Column6]],4,FALSE)</f>
        <v>A1</v>
      </c>
      <c r="K28" s="1020">
        <f>IF(J28="A1",0.8,IF(J28="A2",0.7,IF(J28="A3",0.6,IF(J28="A4",0.5,IF(J28="B1",0.35,IF(J28="B2",0.25,IF(J28="C1",0.15,IF(J28="C2",0.1,0))))))))</f>
        <v>0.8</v>
      </c>
      <c r="L28" s="1021">
        <v>20</v>
      </c>
      <c r="M28" s="1021">
        <f>VLOOKUP(B28,'[26]CN BC'!$F$10:$H$267,3,FALSE)</f>
        <v>24</v>
      </c>
      <c r="N28" s="1021">
        <f>IF(M28&gt;=L28,L28,IF(M28&lt;L28,M28))</f>
        <v>20</v>
      </c>
      <c r="O28" s="1022"/>
      <c r="P28" s="1023">
        <f>(((F28+H28+I28)*$P$21/L28*N28)*K28)+O28</f>
        <v>9715680</v>
      </c>
      <c r="Q28" s="1515">
        <f t="shared" si="5"/>
        <v>4.1520000000000001</v>
      </c>
      <c r="R28" s="1429">
        <v>2340000</v>
      </c>
      <c r="S28" s="1486">
        <f t="shared" si="6"/>
        <v>9715680</v>
      </c>
      <c r="T28" s="1024">
        <f>A28</f>
        <v>4</v>
      </c>
      <c r="U28" s="1025">
        <f>VLOOKUP(B28,'[26]CN BC'!$F$10:$K$267,6,FALSE)</f>
        <v>0</v>
      </c>
      <c r="V28" s="1027"/>
      <c r="W28" s="1489"/>
      <c r="X28" s="1012"/>
      <c r="Y28" s="1012"/>
      <c r="Z28" s="1012"/>
    </row>
    <row r="29" spans="1:30" s="1028" customFormat="1" ht="34.5" customHeight="1">
      <c r="A29" s="1014">
        <f>_xlfn.AGGREGATE(4,7,A$24:A28)+1</f>
        <v>5</v>
      </c>
      <c r="B29" s="1015" t="s">
        <v>1464</v>
      </c>
      <c r="C29" s="1033" t="s">
        <v>1660</v>
      </c>
      <c r="D29" s="1047">
        <v>1603205185719</v>
      </c>
      <c r="E29" s="81" t="s">
        <v>2424</v>
      </c>
      <c r="F29" s="1040">
        <v>3</v>
      </c>
      <c r="G29" s="1019"/>
      <c r="H29" s="1248">
        <f t="shared" si="0"/>
        <v>0</v>
      </c>
      <c r="I29" s="1020">
        <v>0.35</v>
      </c>
      <c r="J29" s="1020" t="str">
        <f>VLOOKUP(B29,[25]!Table2[[Column2]:[Column6]],4,FALSE)</f>
        <v>A1</v>
      </c>
      <c r="K29" s="1020">
        <f t="shared" si="1"/>
        <v>0.8</v>
      </c>
      <c r="L29" s="1021">
        <v>20</v>
      </c>
      <c r="M29" s="1021">
        <f>VLOOKUP(B29,'[26]CN BC'!$F$10:$H$267,3,FALSE)</f>
        <v>26</v>
      </c>
      <c r="N29" s="1021">
        <f t="shared" si="2"/>
        <v>20</v>
      </c>
      <c r="O29" s="1022"/>
      <c r="P29" s="1023">
        <f t="shared" si="3"/>
        <v>6271200</v>
      </c>
      <c r="Q29" s="1515">
        <f t="shared" si="5"/>
        <v>2.68</v>
      </c>
      <c r="R29" s="1429">
        <v>2340000</v>
      </c>
      <c r="S29" s="1486">
        <f t="shared" si="6"/>
        <v>6271200</v>
      </c>
      <c r="T29" s="1024">
        <f t="shared" si="4"/>
        <v>5</v>
      </c>
      <c r="U29" s="1025">
        <f>VLOOKUP(B29,'[26]CN BC'!$F$10:$K$267,6,FALSE)</f>
        <v>0</v>
      </c>
      <c r="V29" s="1027"/>
      <c r="W29" s="1489"/>
      <c r="X29" s="1012"/>
      <c r="Y29" s="1012"/>
      <c r="Z29" s="1012"/>
    </row>
    <row r="30" spans="1:30" s="1028" customFormat="1" ht="42" customHeight="1">
      <c r="A30" s="1014">
        <f>_xlfn.AGGREGATE(4,7,A$24:A29)+1</f>
        <v>6</v>
      </c>
      <c r="B30" s="1043" t="s">
        <v>1596</v>
      </c>
      <c r="C30" s="1044" t="s">
        <v>1623</v>
      </c>
      <c r="D30" s="1045">
        <v>1603205353720</v>
      </c>
      <c r="E30" s="81" t="s">
        <v>2466</v>
      </c>
      <c r="F30" s="1040">
        <v>3.66</v>
      </c>
      <c r="G30" s="1019"/>
      <c r="H30" s="1248">
        <f>ROUND(F30*G30,3)</f>
        <v>0</v>
      </c>
      <c r="I30" s="1517">
        <v>0.25</v>
      </c>
      <c r="J30" s="1020" t="str">
        <f>VLOOKUP(B30,[25]!Table2[[Column2]:[Column6]],4,FALSE)</f>
        <v>A1</v>
      </c>
      <c r="K30" s="1020">
        <f>IF(J30="A1",0.8,IF(J30="A2",0.7,IF(J30="A3",0.6,IF(J30="A4",0.5,IF(J30="B1",0.35,IF(J30="B2",0.25,IF(J30="C1",0.15,IF(J30="C2",0.1,0))))))))</f>
        <v>0.8</v>
      </c>
      <c r="L30" s="1021">
        <v>20</v>
      </c>
      <c r="M30" s="1021">
        <f>VLOOKUP(B30,'[26]CN BC'!$F$10:$H$267,3,FALSE)</f>
        <v>23</v>
      </c>
      <c r="N30" s="1021">
        <f>IF(M30&gt;=L30,L30,IF(M30&lt;L30,M30))</f>
        <v>20</v>
      </c>
      <c r="O30" s="1022"/>
      <c r="P30" s="1023">
        <f>(((F30+H30+I30)*$P$21/L30*N30)*K30)+O30</f>
        <v>7319520</v>
      </c>
      <c r="Q30" s="1515">
        <f t="shared" si="5"/>
        <v>3.1280000000000001</v>
      </c>
      <c r="R30" s="1429">
        <v>2340000</v>
      </c>
      <c r="S30" s="1486">
        <f t="shared" si="6"/>
        <v>7319520</v>
      </c>
      <c r="T30" s="1024">
        <f>A30</f>
        <v>6</v>
      </c>
      <c r="U30" s="1025">
        <f>VLOOKUP(B30,'[26]CN BC'!$F$10:$K$267,6,FALSE)</f>
        <v>0</v>
      </c>
      <c r="V30" s="1027"/>
      <c r="W30" s="1489"/>
      <c r="X30" s="1012"/>
      <c r="Y30" s="1012"/>
      <c r="Z30" s="1012"/>
    </row>
    <row r="31" spans="1:30" s="1028" customFormat="1" ht="34.5" customHeight="1">
      <c r="A31" s="1014">
        <f>_xlfn.AGGREGATE(4,7,A$24:A30)+1</f>
        <v>7</v>
      </c>
      <c r="B31" s="1043" t="s">
        <v>1603</v>
      </c>
      <c r="C31" s="1044" t="s">
        <v>1624</v>
      </c>
      <c r="D31" s="1045">
        <v>1603205545491</v>
      </c>
      <c r="E31" s="81" t="s">
        <v>2425</v>
      </c>
      <c r="F31" s="1040">
        <v>2.67</v>
      </c>
      <c r="G31" s="1019"/>
      <c r="H31" s="1248">
        <f>ROUND(F31*G31,3)</f>
        <v>0</v>
      </c>
      <c r="I31" s="1020"/>
      <c r="J31" s="1020" t="str">
        <f>VLOOKUP(B31,[25]!Table2[[Column2]:[Column6]],4,FALSE)</f>
        <v>A1</v>
      </c>
      <c r="K31" s="1020">
        <f>IF(J31="A1",0.8,IF(J31="A2",0.7,IF(J31="A3",0.6,IF(J31="A4",0.5,IF(J31="B1",0.35,IF(J31="B2",0.25,IF(J31="C1",0.15,IF(J31="C2",0.1,0))))))))</f>
        <v>0.8</v>
      </c>
      <c r="L31" s="1021">
        <v>20</v>
      </c>
      <c r="M31" s="1021">
        <f>VLOOKUP(B31,'[26]CN BC'!$F$10:$H$267,3,FALSE)</f>
        <v>23</v>
      </c>
      <c r="N31" s="1021">
        <f>IF(M31&gt;=L31,L31,IF(M31&lt;L31,M31))</f>
        <v>20</v>
      </c>
      <c r="O31" s="1022"/>
      <c r="P31" s="1023">
        <f>(((F31+H31+I31)*$P$21/L31*N31)*K31)+O31</f>
        <v>4998240</v>
      </c>
      <c r="Q31" s="1515">
        <f t="shared" si="5"/>
        <v>2.1360000000000001</v>
      </c>
      <c r="R31" s="1429">
        <v>2340000</v>
      </c>
      <c r="S31" s="1486">
        <f t="shared" si="6"/>
        <v>4998240</v>
      </c>
      <c r="T31" s="1024">
        <f>A31</f>
        <v>7</v>
      </c>
      <c r="U31" s="1025">
        <f>VLOOKUP(B31,'[26]CN BC'!$F$10:$K$267,6,FALSE)</f>
        <v>0</v>
      </c>
      <c r="V31" s="1027"/>
      <c r="W31" s="1489"/>
      <c r="X31" s="1012"/>
      <c r="Y31" s="1012"/>
      <c r="Z31" s="1012"/>
    </row>
    <row r="32" spans="1:30" s="1028" customFormat="1" ht="34.5" customHeight="1">
      <c r="A32" s="1014">
        <f>_xlfn.AGGREGATE(4,7,A$24:A31)+1</f>
        <v>8</v>
      </c>
      <c r="B32" s="1015" t="s">
        <v>1847</v>
      </c>
      <c r="C32" s="1029" t="s">
        <v>1643</v>
      </c>
      <c r="D32" s="1034" t="s">
        <v>8</v>
      </c>
      <c r="E32" s="81" t="s">
        <v>2425</v>
      </c>
      <c r="F32" s="1018">
        <v>3.99</v>
      </c>
      <c r="G32" s="1019"/>
      <c r="H32" s="1248">
        <f>ROUND(F32*G32,3)</f>
        <v>0</v>
      </c>
      <c r="I32" s="1020"/>
      <c r="J32" s="1020" t="str">
        <f>VLOOKUP(B32,[25]!Table2[[Column2]:[Column6]],4,FALSE)</f>
        <v>A2</v>
      </c>
      <c r="K32" s="1020">
        <f>IF(J32="A1",0.8,IF(J32="A2",0.7,IF(J32="A3",0.6,IF(J32="A4",0.5,IF(J32="B1",0.35,IF(J32="B2",0.25,IF(J32="C1",0.15,IF(J32="C2",0.1,0))))))))</f>
        <v>0.7</v>
      </c>
      <c r="L32" s="1021">
        <v>20</v>
      </c>
      <c r="M32" s="1021">
        <f>VLOOKUP(B32,'[26]CN BC'!$F$10:$H$267,3,FALSE)</f>
        <v>22</v>
      </c>
      <c r="N32" s="1021">
        <f>IF(M32&gt;=L32,L32,IF(M32&lt;L32,M32))</f>
        <v>20</v>
      </c>
      <c r="O32" s="1022"/>
      <c r="P32" s="1023">
        <f>(((F32+H32+I32)*$P$21/L32*N32)*K32)+O32</f>
        <v>6535620</v>
      </c>
      <c r="Q32" s="1515">
        <f t="shared" si="5"/>
        <v>2.7930000000000001</v>
      </c>
      <c r="R32" s="1429">
        <v>2340000</v>
      </c>
      <c r="S32" s="1486">
        <f t="shared" si="6"/>
        <v>6535620</v>
      </c>
      <c r="T32" s="1024">
        <f>A32</f>
        <v>8</v>
      </c>
      <c r="U32" s="1025">
        <f>VLOOKUP(B32,'[26]CN BC'!$F$10:$K$267,6,FALSE)</f>
        <v>0</v>
      </c>
      <c r="V32" s="1027"/>
      <c r="W32" s="1489"/>
      <c r="X32" s="1012"/>
      <c r="Y32" s="1012"/>
      <c r="Z32" s="1012"/>
      <c r="AA32" s="1012"/>
      <c r="AB32" s="1012"/>
      <c r="AC32" s="1012"/>
      <c r="AD32" s="1012"/>
    </row>
    <row r="33" spans="1:30" s="1028" customFormat="1" ht="34.5" customHeight="1">
      <c r="A33" s="1014">
        <f>_xlfn.AGGREGATE(4,7,A$24:A32)+1</f>
        <v>9</v>
      </c>
      <c r="B33" s="1015" t="s">
        <v>1448</v>
      </c>
      <c r="C33" s="1033" t="s">
        <v>1620</v>
      </c>
      <c r="D33" s="1045" t="s">
        <v>1574</v>
      </c>
      <c r="E33" s="81" t="s">
        <v>2425</v>
      </c>
      <c r="F33" s="1018">
        <v>3.66</v>
      </c>
      <c r="G33" s="1019"/>
      <c r="H33" s="1248">
        <f t="shared" si="0"/>
        <v>0</v>
      </c>
      <c r="I33" s="1020"/>
      <c r="J33" s="1020" t="str">
        <f>VLOOKUP(B33,[25]!Table2[[Column2]:[Column6]],4,FALSE)</f>
        <v>A1</v>
      </c>
      <c r="K33" s="1020">
        <f t="shared" si="1"/>
        <v>0.8</v>
      </c>
      <c r="L33" s="1021">
        <v>20</v>
      </c>
      <c r="M33" s="1021">
        <f>VLOOKUP(B33,'[26]CN BC'!$F$10:$H$267,3,FALSE)</f>
        <v>22.5</v>
      </c>
      <c r="N33" s="1021">
        <f t="shared" ref="N33" si="7">IF(M33&gt;=L33,L33,IF(M33&lt;L33,M33))</f>
        <v>20</v>
      </c>
      <c r="O33" s="1022"/>
      <c r="P33" s="1023">
        <f t="shared" si="3"/>
        <v>6851520</v>
      </c>
      <c r="Q33" s="1515">
        <f t="shared" si="5"/>
        <v>2.9279999999999999</v>
      </c>
      <c r="R33" s="1429">
        <v>2340000</v>
      </c>
      <c r="S33" s="1486">
        <f t="shared" si="6"/>
        <v>6851520</v>
      </c>
      <c r="T33" s="1024">
        <f t="shared" si="4"/>
        <v>9</v>
      </c>
      <c r="U33" s="1025">
        <f>VLOOKUP(B33,'[26]CN BC'!$F$10:$K$267,6,FALSE)</f>
        <v>0</v>
      </c>
      <c r="V33" s="1027"/>
      <c r="W33" s="1489"/>
      <c r="X33" s="1012"/>
      <c r="Y33" s="1012"/>
      <c r="Z33" s="1012"/>
    </row>
    <row r="34" spans="1:30" s="1028" customFormat="1" ht="34.5" customHeight="1">
      <c r="A34" s="1014">
        <f>_xlfn.AGGREGATE(4,7,A$24:A33)+1</f>
        <v>10</v>
      </c>
      <c r="B34" s="1015" t="s">
        <v>1449</v>
      </c>
      <c r="C34" s="1029" t="s">
        <v>1621</v>
      </c>
      <c r="D34" s="1048">
        <v>1603205280047</v>
      </c>
      <c r="E34" s="81" t="s">
        <v>2425</v>
      </c>
      <c r="F34" s="1040">
        <v>3.66</v>
      </c>
      <c r="G34" s="1049"/>
      <c r="H34" s="1248">
        <f t="shared" si="0"/>
        <v>0</v>
      </c>
      <c r="I34" s="1020"/>
      <c r="J34" s="1020" t="str">
        <f>VLOOKUP(B34,[25]!Table2[[Column2]:[Column6]],4,FALSE)</f>
        <v>A4</v>
      </c>
      <c r="K34" s="1020">
        <f t="shared" si="1"/>
        <v>0.5</v>
      </c>
      <c r="L34" s="1021">
        <v>20</v>
      </c>
      <c r="M34" s="1021">
        <f>VLOOKUP(B34,'[26]CN BC'!$F$10:$H$267,3,FALSE)</f>
        <v>17.5</v>
      </c>
      <c r="N34" s="1021">
        <f t="shared" si="2"/>
        <v>17.5</v>
      </c>
      <c r="O34" s="1022"/>
      <c r="P34" s="1023">
        <f t="shared" si="3"/>
        <v>3746925</v>
      </c>
      <c r="Q34" s="1515">
        <f t="shared" si="5"/>
        <v>1.6012500000000001</v>
      </c>
      <c r="R34" s="1429">
        <v>2340000</v>
      </c>
      <c r="S34" s="1486">
        <f t="shared" si="6"/>
        <v>3746925</v>
      </c>
      <c r="T34" s="1024">
        <f t="shared" si="4"/>
        <v>10</v>
      </c>
      <c r="U34" s="1025" t="str">
        <f>VLOOKUP(B34,'[26]CN BC'!$F$10:$K$267,6,FALSE)</f>
        <v>Trừ 3 ngày nghỉ phép 3+4+5/9</v>
      </c>
      <c r="V34" s="1027"/>
      <c r="W34" s="1489"/>
      <c r="X34" s="1012"/>
      <c r="Y34" s="1012"/>
      <c r="Z34" s="1012"/>
      <c r="AA34" s="1012"/>
      <c r="AB34" s="1012"/>
      <c r="AC34" s="1012"/>
      <c r="AD34" s="1012"/>
    </row>
    <row r="35" spans="1:30" s="1028" customFormat="1" ht="34.5" customHeight="1">
      <c r="A35" s="1014">
        <f>_xlfn.AGGREGATE(4,7,A$24:A34)+1</f>
        <v>11</v>
      </c>
      <c r="B35" s="1015" t="s">
        <v>1828</v>
      </c>
      <c r="C35" s="1033" t="s">
        <v>1622</v>
      </c>
      <c r="D35" s="1047" t="s">
        <v>385</v>
      </c>
      <c r="E35" s="81" t="s">
        <v>2425</v>
      </c>
      <c r="F35" s="1018">
        <v>3.66</v>
      </c>
      <c r="G35" s="1019"/>
      <c r="H35" s="1248">
        <f t="shared" si="0"/>
        <v>0</v>
      </c>
      <c r="I35" s="1020"/>
      <c r="J35" s="1020" t="str">
        <f>VLOOKUP(B35,[25]!Table2[[Column2]:[Column6]],4,FALSE)</f>
        <v>A1</v>
      </c>
      <c r="K35" s="1020">
        <f t="shared" si="1"/>
        <v>0.8</v>
      </c>
      <c r="L35" s="1021">
        <v>20</v>
      </c>
      <c r="M35" s="1021">
        <f>VLOOKUP(B35,'[26]CN BC'!$F$10:$H$267,3,FALSE)</f>
        <v>21</v>
      </c>
      <c r="N35" s="1021">
        <f t="shared" si="2"/>
        <v>20</v>
      </c>
      <c r="O35" s="1022"/>
      <c r="P35" s="1023">
        <f t="shared" si="3"/>
        <v>6851520</v>
      </c>
      <c r="Q35" s="1515">
        <f t="shared" si="5"/>
        <v>2.9279999999999999</v>
      </c>
      <c r="R35" s="1429">
        <v>2340000</v>
      </c>
      <c r="S35" s="1486">
        <f t="shared" si="6"/>
        <v>6851520</v>
      </c>
      <c r="T35" s="1024">
        <f t="shared" si="4"/>
        <v>11</v>
      </c>
      <c r="U35" s="1025">
        <f>VLOOKUP(B35,'[26]CN BC'!$F$10:$K$267,6,FALSE)</f>
        <v>0</v>
      </c>
      <c r="V35" s="1027"/>
      <c r="W35" s="1489"/>
      <c r="X35" s="1012"/>
      <c r="Y35" s="1012"/>
      <c r="Z35" s="1012"/>
    </row>
    <row r="36" spans="1:30" s="1028" customFormat="1" ht="34.5" customHeight="1">
      <c r="A36" s="1014">
        <f>_xlfn.AGGREGATE(4,7,A$24:A35)+1</f>
        <v>12</v>
      </c>
      <c r="B36" s="1015" t="s">
        <v>1450</v>
      </c>
      <c r="C36" s="1033" t="s">
        <v>1625</v>
      </c>
      <c r="D36" s="1030" t="s">
        <v>1441</v>
      </c>
      <c r="E36" s="368" t="s">
        <v>2426</v>
      </c>
      <c r="F36" s="1018">
        <v>4.9800000000000004</v>
      </c>
      <c r="G36" s="1019">
        <v>7.0000000000000007E-2</v>
      </c>
      <c r="H36" s="1255">
        <f t="shared" si="0"/>
        <v>0.34899999999999998</v>
      </c>
      <c r="I36" s="1020">
        <v>0.45</v>
      </c>
      <c r="J36" s="1020" t="str">
        <f>VLOOKUP(B36,[25]!Table2[[Column2]:[Column6]],4,FALSE)</f>
        <v>A1</v>
      </c>
      <c r="K36" s="1020">
        <f t="shared" si="1"/>
        <v>0.8</v>
      </c>
      <c r="L36" s="1021">
        <v>20</v>
      </c>
      <c r="M36" s="1021">
        <f>VLOOKUP(B36,'[26]CN BC'!$F$10:$H$267,3,FALSE)</f>
        <v>24</v>
      </c>
      <c r="N36" s="1021">
        <f t="shared" si="2"/>
        <v>20</v>
      </c>
      <c r="O36" s="1035"/>
      <c r="P36" s="1023">
        <f t="shared" si="3"/>
        <v>10818288.000000002</v>
      </c>
      <c r="Q36" s="1515">
        <f t="shared" si="5"/>
        <v>4.6232000000000006</v>
      </c>
      <c r="R36" s="1429">
        <v>2340000</v>
      </c>
      <c r="S36" s="1486">
        <f t="shared" si="6"/>
        <v>10818288.000000002</v>
      </c>
      <c r="T36" s="1024">
        <f t="shared" si="4"/>
        <v>12</v>
      </c>
      <c r="U36" s="1025">
        <f>VLOOKUP(B36,'[26]CN BC'!$F$10:$K$267,6,FALSE)</f>
        <v>0</v>
      </c>
      <c r="V36" s="1038"/>
      <c r="W36" s="1489"/>
    </row>
    <row r="37" spans="1:30" s="1028" customFormat="1" ht="36" customHeight="1">
      <c r="A37" s="1014">
        <f>_xlfn.AGGREGATE(4,7,A$24:A36)+1</f>
        <v>13</v>
      </c>
      <c r="B37" s="1015" t="s">
        <v>1996</v>
      </c>
      <c r="C37" s="1029" t="s">
        <v>1626</v>
      </c>
      <c r="D37" s="1034" t="s">
        <v>1393</v>
      </c>
      <c r="E37" s="368" t="s">
        <v>2427</v>
      </c>
      <c r="F37" s="1018">
        <v>4.9800000000000004</v>
      </c>
      <c r="G37" s="1019">
        <v>0.08</v>
      </c>
      <c r="H37" s="1248">
        <f t="shared" si="0"/>
        <v>0.39800000000000002</v>
      </c>
      <c r="I37" s="1020">
        <v>0.35</v>
      </c>
      <c r="J37" s="1020" t="str">
        <f>VLOOKUP(B37,[25]!Table2[[Column2]:[Column6]],4,FALSE)</f>
        <v>A1</v>
      </c>
      <c r="K37" s="1020">
        <f t="shared" si="1"/>
        <v>0.8</v>
      </c>
      <c r="L37" s="1021">
        <v>20</v>
      </c>
      <c r="M37" s="1021">
        <f>VLOOKUP(B37,'[26]CN BC'!$F$10:$H$267,3,FALSE)</f>
        <v>24</v>
      </c>
      <c r="N37" s="1021">
        <f t="shared" si="2"/>
        <v>20</v>
      </c>
      <c r="O37" s="1022"/>
      <c r="P37" s="1023">
        <f t="shared" si="3"/>
        <v>10722816</v>
      </c>
      <c r="Q37" s="1515">
        <f t="shared" si="5"/>
        <v>4.5823999999999998</v>
      </c>
      <c r="R37" s="1429">
        <v>2340000</v>
      </c>
      <c r="S37" s="1486">
        <f t="shared" si="6"/>
        <v>10722816</v>
      </c>
      <c r="T37" s="1024">
        <f t="shared" si="4"/>
        <v>13</v>
      </c>
      <c r="U37" s="1025">
        <f>VLOOKUP(B37,'[26]CN BC'!$F$10:$K$267,6,FALSE)</f>
        <v>0</v>
      </c>
      <c r="V37" s="1027"/>
      <c r="W37" s="1489"/>
      <c r="X37" s="1012"/>
      <c r="Y37" s="1012"/>
      <c r="Z37" s="1012"/>
      <c r="AA37" s="1012"/>
      <c r="AB37" s="1012"/>
      <c r="AC37" s="1012"/>
      <c r="AD37" s="1012"/>
    </row>
    <row r="38" spans="1:30" s="1028" customFormat="1" ht="36" customHeight="1">
      <c r="A38" s="1014">
        <f>_xlfn.AGGREGATE(4,7,A$24:A37)+1</f>
        <v>14</v>
      </c>
      <c r="B38" s="1015" t="s">
        <v>2012</v>
      </c>
      <c r="C38" s="1033"/>
      <c r="D38" s="1047"/>
      <c r="E38" s="368" t="s">
        <v>2427</v>
      </c>
      <c r="F38" s="1018">
        <v>4.58</v>
      </c>
      <c r="G38" s="1019"/>
      <c r="H38" s="1255">
        <f>ROUND(F38*G38,3)</f>
        <v>0</v>
      </c>
      <c r="I38" s="1020">
        <v>0.35</v>
      </c>
      <c r="J38" s="1020" t="str">
        <f>VLOOKUP(B38,[25]!Table2[[Column2]:[Column6]],4,FALSE)</f>
        <v>A1</v>
      </c>
      <c r="K38" s="1020">
        <f>IF(J38="A1",0.8,IF(J38="A2",0.7,IF(J38="A3",0.6,IF(J38="A4",0.5,IF(J38="B1",0.35,IF(J38="B2",0.25,IF(J38="C1",0.15,IF(J38="C2",0.1,0))))))))</f>
        <v>0.8</v>
      </c>
      <c r="L38" s="1021">
        <v>20</v>
      </c>
      <c r="M38" s="1021">
        <f>VLOOKUP(B38,'[26]CN BC'!$F$10:$H$267,3,FALSE)</f>
        <v>23</v>
      </c>
      <c r="N38" s="1021">
        <f>IF(M38&gt;=L38,L38,IF(M38&lt;L38,M38))</f>
        <v>20</v>
      </c>
      <c r="O38" s="1035"/>
      <c r="P38" s="1023">
        <f>(((F38+H38+I38)*$P$21/L38*N38)*K38)+O38</f>
        <v>9228960</v>
      </c>
      <c r="Q38" s="1515">
        <f t="shared" si="5"/>
        <v>3.944</v>
      </c>
      <c r="R38" s="1429">
        <v>2340000</v>
      </c>
      <c r="S38" s="1486">
        <f t="shared" si="6"/>
        <v>9228960</v>
      </c>
      <c r="T38" s="1024">
        <f>A38</f>
        <v>14</v>
      </c>
      <c r="U38" s="1025" t="str">
        <f>VLOOKUP(B38,'[26]CN BC'!$F$10:$K$267,6,FALSE)</f>
        <v>Trừ 1 ngày nghỉ phép 19/9</v>
      </c>
      <c r="V38" s="1038"/>
      <c r="W38" s="1489"/>
    </row>
    <row r="39" spans="1:30" s="1012" customFormat="1" ht="45.75" customHeight="1">
      <c r="A39" s="1014">
        <f>_xlfn.AGGREGATE(4,7,A$24:A38)+1</f>
        <v>15</v>
      </c>
      <c r="B39" s="1050" t="s">
        <v>1849</v>
      </c>
      <c r="C39" s="1029" t="s">
        <v>1627</v>
      </c>
      <c r="D39" s="1051" t="s">
        <v>1267</v>
      </c>
      <c r="E39" s="81" t="s">
        <v>2432</v>
      </c>
      <c r="F39" s="1052">
        <v>3.99</v>
      </c>
      <c r="G39" s="1053"/>
      <c r="H39" s="1248">
        <f t="shared" si="0"/>
        <v>0</v>
      </c>
      <c r="I39" s="1054">
        <v>0.25</v>
      </c>
      <c r="J39" s="1020" t="str">
        <f>VLOOKUP(B39,[25]!Table2[[Column2]:[Column6]],4,FALSE)</f>
        <v>A1</v>
      </c>
      <c r="K39" s="1020">
        <f t="shared" si="1"/>
        <v>0.8</v>
      </c>
      <c r="L39" s="1021">
        <v>20</v>
      </c>
      <c r="M39" s="1021">
        <f>VLOOKUP(B39,'[26]CN BC'!$F$10:$H$267,3,FALSE)</f>
        <v>22</v>
      </c>
      <c r="N39" s="1021">
        <f t="shared" si="2"/>
        <v>20</v>
      </c>
      <c r="O39" s="1022"/>
      <c r="P39" s="1023">
        <f t="shared" si="3"/>
        <v>7937280</v>
      </c>
      <c r="Q39" s="1515">
        <f t="shared" si="5"/>
        <v>3.3919999999999999</v>
      </c>
      <c r="R39" s="1429">
        <v>2340000</v>
      </c>
      <c r="S39" s="1486">
        <f t="shared" si="6"/>
        <v>7937280</v>
      </c>
      <c r="T39" s="1024">
        <f t="shared" si="4"/>
        <v>15</v>
      </c>
      <c r="U39" s="1025">
        <f>VLOOKUP(B39,'[26]CN BC'!$F$10:$K$267,6,FALSE)</f>
        <v>0</v>
      </c>
      <c r="V39" s="1027"/>
      <c r="W39" s="1489"/>
    </row>
    <row r="40" spans="1:30" s="1028" customFormat="1" ht="36" customHeight="1">
      <c r="A40" s="1014">
        <f>_xlfn.AGGREGATE(4,7,A$24:A39)+1</f>
        <v>16</v>
      </c>
      <c r="B40" s="1015" t="s">
        <v>1856</v>
      </c>
      <c r="C40" s="1033" t="s">
        <v>1652</v>
      </c>
      <c r="D40" s="1034" t="s">
        <v>1293</v>
      </c>
      <c r="E40" s="368" t="s">
        <v>2431</v>
      </c>
      <c r="F40" s="1018">
        <v>4.9800000000000004</v>
      </c>
      <c r="G40" s="1019">
        <v>7.0000000000000007E-2</v>
      </c>
      <c r="H40" s="1255">
        <f>ROUND(F40*G40,3)</f>
        <v>0.34899999999999998</v>
      </c>
      <c r="I40" s="1020">
        <v>0.25</v>
      </c>
      <c r="J40" s="1020" t="str">
        <f>VLOOKUP(B40,[25]!Table2[[Column2]:[Column6]],4,FALSE)</f>
        <v>A3</v>
      </c>
      <c r="K40" s="1020">
        <f>IF(J40="A1",0.8,IF(J40="A2",0.7,IF(J40="A3",0.6,IF(J40="A4",0.5,IF(J40="B1",0.35,IF(J40="B2",0.25,IF(J40="C1",0.15,IF(J40="C2",0.1,0))))))))</f>
        <v>0.6</v>
      </c>
      <c r="L40" s="1021">
        <v>20</v>
      </c>
      <c r="M40" s="1021">
        <f>VLOOKUP(B40,'[26]CN BC'!$F$10:$H$267,3,FALSE)</f>
        <v>24</v>
      </c>
      <c r="N40" s="1021">
        <f>IF(M40&gt;=L40,L40,IF(M40&lt;L40,M40))</f>
        <v>20</v>
      </c>
      <c r="O40" s="1035"/>
      <c r="P40" s="1023">
        <f>(((F40+H40+I40)*$P$21/L40*N40)*K40)+O40</f>
        <v>7832916.0000000009</v>
      </c>
      <c r="Q40" s="1515">
        <f t="shared" si="5"/>
        <v>3.3474000000000004</v>
      </c>
      <c r="R40" s="1429">
        <v>2340000</v>
      </c>
      <c r="S40" s="1486">
        <f t="shared" si="6"/>
        <v>7832916.0000000009</v>
      </c>
      <c r="T40" s="1024">
        <f>A40</f>
        <v>16</v>
      </c>
      <c r="U40" s="1025">
        <f>VLOOKUP(B40,'[26]CN BC'!$F$10:$K$267,6,FALSE)</f>
        <v>0</v>
      </c>
      <c r="V40" s="1038"/>
      <c r="W40" s="1489"/>
    </row>
    <row r="41" spans="1:30" s="1028" customFormat="1" ht="36" customHeight="1">
      <c r="A41" s="1014">
        <f>_xlfn.AGGREGATE(4,7,A$24:A40)+1</f>
        <v>17</v>
      </c>
      <c r="B41" s="1015" t="s">
        <v>1850</v>
      </c>
      <c r="C41" s="1033" t="s">
        <v>1628</v>
      </c>
      <c r="D41" s="1034" t="s">
        <v>1268</v>
      </c>
      <c r="E41" s="81" t="s">
        <v>2428</v>
      </c>
      <c r="F41" s="1018">
        <v>3.46</v>
      </c>
      <c r="G41" s="1019"/>
      <c r="H41" s="1248">
        <f t="shared" si="0"/>
        <v>0</v>
      </c>
      <c r="I41" s="1020"/>
      <c r="J41" s="1020" t="str">
        <f>VLOOKUP(B41,[25]!Table2[[Column2]:[Column6]],4,FALSE)</f>
        <v>A1</v>
      </c>
      <c r="K41" s="1020">
        <f t="shared" si="1"/>
        <v>0.8</v>
      </c>
      <c r="L41" s="1021">
        <v>20</v>
      </c>
      <c r="M41" s="1021">
        <f>VLOOKUP(B41,'[26]CN BC'!$F$10:$H$267,3,FALSE)</f>
        <v>19</v>
      </c>
      <c r="N41" s="1021">
        <f t="shared" si="2"/>
        <v>19</v>
      </c>
      <c r="O41" s="1022"/>
      <c r="P41" s="1023">
        <f t="shared" si="3"/>
        <v>6153264</v>
      </c>
      <c r="Q41" s="1515">
        <f t="shared" si="5"/>
        <v>2.6295999999999999</v>
      </c>
      <c r="R41" s="1429">
        <v>2340000</v>
      </c>
      <c r="S41" s="1486">
        <f t="shared" si="6"/>
        <v>6153264</v>
      </c>
      <c r="T41" s="1024">
        <f t="shared" si="4"/>
        <v>17</v>
      </c>
      <c r="U41" s="1025" t="str">
        <f>VLOOKUP(B41,'[26]CN BC'!$F$10:$K$267,6,FALSE)</f>
        <v>Trừ 1 ngày nghỉ phép 19/9</v>
      </c>
      <c r="V41" s="1027"/>
      <c r="W41" s="1489"/>
      <c r="X41" s="1012"/>
      <c r="Y41" s="1012"/>
      <c r="Z41" s="1012"/>
    </row>
    <row r="42" spans="1:30" s="1012" customFormat="1" ht="36" customHeight="1">
      <c r="A42" s="1014">
        <f>_xlfn.AGGREGATE(4,7,A$24:A41)+1</f>
        <v>18</v>
      </c>
      <c r="B42" s="1050" t="s">
        <v>1451</v>
      </c>
      <c r="C42" s="1029" t="s">
        <v>1629</v>
      </c>
      <c r="D42" s="1055" t="s">
        <v>367</v>
      </c>
      <c r="E42" s="81" t="s">
        <v>2428</v>
      </c>
      <c r="F42" s="1052">
        <v>3.66</v>
      </c>
      <c r="G42" s="1053"/>
      <c r="H42" s="1248">
        <f t="shared" si="0"/>
        <v>0</v>
      </c>
      <c r="I42" s="1054"/>
      <c r="J42" s="1020" t="str">
        <f>VLOOKUP(B42,[25]!Table2[[Column2]:[Column6]],4,FALSE)</f>
        <v>A1</v>
      </c>
      <c r="K42" s="1020">
        <f t="shared" si="1"/>
        <v>0.8</v>
      </c>
      <c r="L42" s="1021">
        <v>20</v>
      </c>
      <c r="M42" s="1021">
        <f>VLOOKUP(B42,'[26]CN BC'!$F$10:$H$267,3,FALSE)</f>
        <v>18</v>
      </c>
      <c r="N42" s="1021">
        <f t="shared" si="2"/>
        <v>18</v>
      </c>
      <c r="O42" s="1022"/>
      <c r="P42" s="1023">
        <f t="shared" si="3"/>
        <v>6166368</v>
      </c>
      <c r="Q42" s="1515">
        <f t="shared" si="5"/>
        <v>2.6352000000000002</v>
      </c>
      <c r="R42" s="1429">
        <v>2340000</v>
      </c>
      <c r="S42" s="1486">
        <f t="shared" si="6"/>
        <v>6166368.0000000009</v>
      </c>
      <c r="T42" s="1024">
        <f t="shared" si="4"/>
        <v>18</v>
      </c>
      <c r="U42" s="1025" t="str">
        <f>VLOOKUP(B42,'[26]CN BC'!$F$10:$K$267,6,FALSE)</f>
        <v>Trừ 2 ngày nghỉ phép 8+19/9</v>
      </c>
      <c r="V42" s="1027"/>
      <c r="W42" s="1489"/>
    </row>
    <row r="43" spans="1:30" s="1028" customFormat="1" ht="36" customHeight="1">
      <c r="A43" s="1014">
        <f>_xlfn.AGGREGATE(4,7,A$24:A42)+1</f>
        <v>19</v>
      </c>
      <c r="B43" s="1015" t="s">
        <v>1452</v>
      </c>
      <c r="C43" s="1033" t="s">
        <v>1630</v>
      </c>
      <c r="D43" s="1045">
        <v>1603205348129</v>
      </c>
      <c r="E43" s="81" t="s">
        <v>2428</v>
      </c>
      <c r="F43" s="1018">
        <v>3.66</v>
      </c>
      <c r="G43" s="1019"/>
      <c r="H43" s="1248">
        <f t="shared" si="0"/>
        <v>0</v>
      </c>
      <c r="I43" s="1020"/>
      <c r="J43" s="1020" t="str">
        <f>VLOOKUP(B43,[25]!Table2[[Column2]:[Column6]],4,FALSE)</f>
        <v>A1</v>
      </c>
      <c r="K43" s="1020">
        <f t="shared" si="1"/>
        <v>0.8</v>
      </c>
      <c r="L43" s="1021">
        <v>20</v>
      </c>
      <c r="M43" s="1021">
        <f>VLOOKUP(B43,'[26]CN BC'!$F$10:$H$267,3,FALSE)</f>
        <v>20</v>
      </c>
      <c r="N43" s="1021">
        <f t="shared" si="2"/>
        <v>20</v>
      </c>
      <c r="O43" s="1022"/>
      <c r="P43" s="1023">
        <f t="shared" si="3"/>
        <v>6851520</v>
      </c>
      <c r="Q43" s="1515">
        <f t="shared" si="5"/>
        <v>2.9279999999999999</v>
      </c>
      <c r="R43" s="1429">
        <v>2340000</v>
      </c>
      <c r="S43" s="1486">
        <f t="shared" si="6"/>
        <v>6851520</v>
      </c>
      <c r="T43" s="1024">
        <f t="shared" si="4"/>
        <v>19</v>
      </c>
      <c r="U43" s="1025">
        <f>VLOOKUP(B43,'[26]CN BC'!$F$10:$K$267,6,FALSE)</f>
        <v>0</v>
      </c>
      <c r="V43" s="1027"/>
      <c r="W43" s="1489"/>
      <c r="X43" s="1012"/>
      <c r="Y43" s="1012"/>
      <c r="Z43" s="1012"/>
    </row>
    <row r="44" spans="1:30" s="1028" customFormat="1" ht="36" customHeight="1">
      <c r="A44" s="1014">
        <f>_xlfn.AGGREGATE(4,7,A$24:A43)+1</f>
        <v>20</v>
      </c>
      <c r="B44" s="1015" t="s">
        <v>1453</v>
      </c>
      <c r="C44" s="1033" t="s">
        <v>1631</v>
      </c>
      <c r="D44" s="1047" t="s">
        <v>384</v>
      </c>
      <c r="E44" s="81" t="s">
        <v>2428</v>
      </c>
      <c r="F44" s="1040">
        <v>3.66</v>
      </c>
      <c r="G44" s="1019"/>
      <c r="H44" s="1255">
        <f t="shared" si="0"/>
        <v>0</v>
      </c>
      <c r="I44" s="1020"/>
      <c r="J44" s="1020" t="str">
        <f>VLOOKUP(B44,[25]!Table2[[Column2]:[Column6]],4,FALSE)</f>
        <v>A4</v>
      </c>
      <c r="K44" s="1020">
        <f t="shared" si="1"/>
        <v>0.5</v>
      </c>
      <c r="L44" s="1021">
        <v>20</v>
      </c>
      <c r="M44" s="1021">
        <f>VLOOKUP(B44,'[26]CN BC'!$F$10:$H$267,3,FALSE)</f>
        <v>19</v>
      </c>
      <c r="N44" s="1021">
        <f t="shared" si="2"/>
        <v>19</v>
      </c>
      <c r="O44" s="1035"/>
      <c r="P44" s="1023">
        <f t="shared" si="3"/>
        <v>4068090</v>
      </c>
      <c r="Q44" s="1515">
        <f t="shared" si="5"/>
        <v>1.7384999999999999</v>
      </c>
      <c r="R44" s="1429">
        <v>2340000</v>
      </c>
      <c r="S44" s="1486">
        <f t="shared" si="6"/>
        <v>4068090</v>
      </c>
      <c r="T44" s="1024">
        <f t="shared" si="4"/>
        <v>20</v>
      </c>
      <c r="U44" s="1025">
        <f>VLOOKUP(B44,'[26]CN BC'!$F$10:$K$267,6,FALSE)</f>
        <v>0</v>
      </c>
      <c r="V44" s="1038"/>
      <c r="W44" s="1489"/>
    </row>
    <row r="45" spans="1:30" s="1028" customFormat="1" ht="36" customHeight="1">
      <c r="A45" s="1014">
        <f>_xlfn.AGGREGATE(4,7,A$24:A44)+1</f>
        <v>21</v>
      </c>
      <c r="B45" s="1015" t="s">
        <v>1462</v>
      </c>
      <c r="C45" s="1033" t="s">
        <v>1654</v>
      </c>
      <c r="D45" s="1047">
        <v>1603205182619</v>
      </c>
      <c r="E45" s="81" t="str">
        <f>VLOOKUP(B45,TH.Q2!B45:E376,4,FALSE)</f>
        <v>Nhân viên phòng Quản trị - Dịch vụ</v>
      </c>
      <c r="F45" s="1018">
        <v>3.86</v>
      </c>
      <c r="G45" s="1019"/>
      <c r="H45" s="1248">
        <f>ROUND(F45*G45,3)</f>
        <v>0</v>
      </c>
      <c r="I45" s="1020"/>
      <c r="J45" s="1020" t="str">
        <f>VLOOKUP(B45,[25]!Table2[[Column2]:[Column6]],4,FALSE)</f>
        <v>A3</v>
      </c>
      <c r="K45" s="1020">
        <f>IF(J45="A1",0.8,IF(J45="A2",0.7,IF(J45="A3",0.6,IF(J45="A4",0.5,IF(J45="B1",0.35,IF(J45="B2",0.25,IF(J45="C1",0.15,IF(J45="C2",0.1,0))))))))</f>
        <v>0.6</v>
      </c>
      <c r="L45" s="1021">
        <v>20</v>
      </c>
      <c r="M45" s="1021">
        <f>VLOOKUP(B45,'[26]CN BC'!$F$10:$H$267,3,FALSE)</f>
        <v>23</v>
      </c>
      <c r="N45" s="1021">
        <f>IF(M45&gt;=L45,L45,IF(M45&lt;L45,M45))</f>
        <v>20</v>
      </c>
      <c r="O45" s="1022"/>
      <c r="P45" s="1023">
        <f>(((F45+H45+I45)*$P$21/L45*N45)*K45)+O45</f>
        <v>5419440</v>
      </c>
      <c r="Q45" s="1515">
        <f t="shared" si="5"/>
        <v>2.3159999999999998</v>
      </c>
      <c r="R45" s="1429">
        <v>2340000</v>
      </c>
      <c r="S45" s="1486">
        <f t="shared" si="6"/>
        <v>5419440</v>
      </c>
      <c r="T45" s="1024">
        <f>A45</f>
        <v>21</v>
      </c>
      <c r="U45" s="1025" t="str">
        <f>VLOOKUP(B45,'[26]CN BC'!$F$10:$K$267,6,FALSE)</f>
        <v>Trừ 1 ngày nghỉ phép 16/9</v>
      </c>
      <c r="V45" s="1038"/>
      <c r="W45" s="1489"/>
    </row>
    <row r="46" spans="1:30" s="1028" customFormat="1" ht="27" customHeight="1">
      <c r="A46" s="1014">
        <f>_xlfn.AGGREGATE(4,7,A$24:A45)+1</f>
        <v>22</v>
      </c>
      <c r="B46" s="1015" t="s">
        <v>1445</v>
      </c>
      <c r="C46" s="1029" t="s">
        <v>1638</v>
      </c>
      <c r="D46" s="1030" t="s">
        <v>1576</v>
      </c>
      <c r="E46" s="81" t="str">
        <f>VLOOKUP(B46,TH.Q2!B49:E380,4,FALSE)</f>
        <v>TP. Kế hoạch - Tài chính</v>
      </c>
      <c r="F46" s="1040">
        <v>4.9800000000000004</v>
      </c>
      <c r="G46" s="1019">
        <v>0.38</v>
      </c>
      <c r="H46" s="1248">
        <f t="shared" si="0"/>
        <v>1.8919999999999999</v>
      </c>
      <c r="I46" s="1020">
        <v>0.45</v>
      </c>
      <c r="J46" s="1020" t="str">
        <f>VLOOKUP(B46,[25]!Table2[[Column2]:[Column6]],4,FALSE)</f>
        <v>A1</v>
      </c>
      <c r="K46" s="1020">
        <f t="shared" si="1"/>
        <v>0.8</v>
      </c>
      <c r="L46" s="1021">
        <v>20</v>
      </c>
      <c r="M46" s="1021">
        <f>VLOOKUP(B46,'[26]CN BC'!$F$10:$H$267,3,FALSE)</f>
        <v>28</v>
      </c>
      <c r="N46" s="1021">
        <f t="shared" si="2"/>
        <v>20</v>
      </c>
      <c r="O46" s="1022"/>
      <c r="P46" s="1023">
        <f t="shared" si="3"/>
        <v>13706784</v>
      </c>
      <c r="Q46" s="1515">
        <f t="shared" si="5"/>
        <v>5.8575999999999997</v>
      </c>
      <c r="R46" s="1429">
        <v>2340000</v>
      </c>
      <c r="S46" s="1486">
        <f t="shared" si="6"/>
        <v>13706784</v>
      </c>
      <c r="T46" s="1024">
        <f t="shared" si="4"/>
        <v>22</v>
      </c>
      <c r="U46" s="1025">
        <f>VLOOKUP(B46,'[26]CN BC'!$F$10:$K$267,6,FALSE)</f>
        <v>0</v>
      </c>
      <c r="V46" s="1027"/>
      <c r="W46" s="1489"/>
      <c r="X46" s="1012"/>
      <c r="Y46" s="1012"/>
      <c r="Z46" s="1012"/>
      <c r="AA46" s="1012"/>
      <c r="AB46" s="1012"/>
      <c r="AC46" s="1012"/>
      <c r="AD46" s="1012"/>
    </row>
    <row r="47" spans="1:30" s="1012" customFormat="1" ht="26.25" customHeight="1">
      <c r="A47" s="1014">
        <f>_xlfn.AGGREGATE(4,7,A$24:A46)+1</f>
        <v>23</v>
      </c>
      <c r="B47" s="1050" t="s">
        <v>1455</v>
      </c>
      <c r="C47" s="1029" t="s">
        <v>1640</v>
      </c>
      <c r="D47" s="1051" t="s">
        <v>368</v>
      </c>
      <c r="E47" s="81" t="s">
        <v>2417</v>
      </c>
      <c r="F47" s="1052">
        <v>4.32</v>
      </c>
      <c r="G47" s="1053"/>
      <c r="H47" s="1248">
        <f t="shared" si="0"/>
        <v>0</v>
      </c>
      <c r="I47" s="1054"/>
      <c r="J47" s="1020" t="str">
        <f>VLOOKUP(B47,[25]!Table2[[Column2]:[Column6]],4,FALSE)</f>
        <v>A1</v>
      </c>
      <c r="K47" s="1020">
        <f t="shared" si="1"/>
        <v>0.8</v>
      </c>
      <c r="L47" s="1021">
        <v>20</v>
      </c>
      <c r="M47" s="1021">
        <f>VLOOKUP(B47,'[26]CN BC'!$F$10:$H$267,3,FALSE)</f>
        <v>25</v>
      </c>
      <c r="N47" s="1021">
        <f t="shared" si="2"/>
        <v>20</v>
      </c>
      <c r="O47" s="1022"/>
      <c r="P47" s="1023">
        <f t="shared" si="3"/>
        <v>8087040</v>
      </c>
      <c r="Q47" s="1515">
        <f t="shared" si="5"/>
        <v>3.456</v>
      </c>
      <c r="R47" s="1429">
        <v>2340000</v>
      </c>
      <c r="S47" s="1486">
        <f t="shared" si="6"/>
        <v>8087040</v>
      </c>
      <c r="T47" s="1024">
        <f t="shared" si="4"/>
        <v>23</v>
      </c>
      <c r="U47" s="1025">
        <f>VLOOKUP(B47,'[26]CN BC'!$F$10:$K$267,6,FALSE)</f>
        <v>0</v>
      </c>
      <c r="V47" s="1027"/>
      <c r="W47" s="1489"/>
    </row>
    <row r="48" spans="1:30" s="1028" customFormat="1" ht="27" customHeight="1">
      <c r="A48" s="1014">
        <f>_xlfn.AGGREGATE(4,7,A$24:A47)+1</f>
        <v>24</v>
      </c>
      <c r="B48" s="1015" t="s">
        <v>1456</v>
      </c>
      <c r="C48" s="1033" t="s">
        <v>1641</v>
      </c>
      <c r="D48" s="1047">
        <v>1603205178873</v>
      </c>
      <c r="E48" s="81" t="s">
        <v>2417</v>
      </c>
      <c r="F48" s="1018">
        <v>3.99</v>
      </c>
      <c r="G48" s="1019"/>
      <c r="H48" s="1248">
        <f t="shared" si="0"/>
        <v>0</v>
      </c>
      <c r="I48" s="1020"/>
      <c r="J48" s="1020" t="str">
        <f>VLOOKUP(B48,[25]!Table2[[Column2]:[Column6]],4,FALSE)</f>
        <v>A1</v>
      </c>
      <c r="K48" s="1020">
        <f t="shared" si="1"/>
        <v>0.8</v>
      </c>
      <c r="L48" s="1021">
        <v>20</v>
      </c>
      <c r="M48" s="1021">
        <f>VLOOKUP(B48,'[26]CN BC'!$F$10:$H$267,3,FALSE)</f>
        <v>27</v>
      </c>
      <c r="N48" s="1021">
        <f t="shared" si="2"/>
        <v>20</v>
      </c>
      <c r="O48" s="1022"/>
      <c r="P48" s="1023">
        <f t="shared" si="3"/>
        <v>7469280</v>
      </c>
      <c r="Q48" s="1515">
        <f t="shared" si="5"/>
        <v>3.1920000000000002</v>
      </c>
      <c r="R48" s="1429">
        <v>2340000</v>
      </c>
      <c r="S48" s="1486">
        <f t="shared" si="6"/>
        <v>7469280</v>
      </c>
      <c r="T48" s="1024">
        <f t="shared" si="4"/>
        <v>24</v>
      </c>
      <c r="U48" s="1025">
        <f>VLOOKUP(B48,'[26]CN BC'!$F$10:$K$267,6,FALSE)</f>
        <v>0</v>
      </c>
      <c r="V48" s="1027"/>
      <c r="W48" s="1489"/>
      <c r="X48" s="1012"/>
      <c r="Y48" s="1012"/>
      <c r="Z48" s="1012"/>
    </row>
    <row r="49" spans="1:30" s="1028" customFormat="1" ht="33.75" customHeight="1">
      <c r="A49" s="1014">
        <f>_xlfn.AGGREGATE(4,7,A$24:A48)+1</f>
        <v>25</v>
      </c>
      <c r="B49" s="1015" t="s">
        <v>1457</v>
      </c>
      <c r="C49" s="1033" t="s">
        <v>1642</v>
      </c>
      <c r="D49" s="1045">
        <v>1603205372861</v>
      </c>
      <c r="E49" s="81" t="s">
        <v>2417</v>
      </c>
      <c r="F49" s="1040">
        <v>3</v>
      </c>
      <c r="G49" s="1019"/>
      <c r="H49" s="1255">
        <f t="shared" si="0"/>
        <v>0</v>
      </c>
      <c r="I49" s="1020"/>
      <c r="J49" s="1020" t="str">
        <f>VLOOKUP(B49,[25]!Table2[[Column2]:[Column6]],4,FALSE)</f>
        <v>A1</v>
      </c>
      <c r="K49" s="1020">
        <f t="shared" si="1"/>
        <v>0.8</v>
      </c>
      <c r="L49" s="1021">
        <v>20</v>
      </c>
      <c r="M49" s="1021">
        <f>VLOOKUP(B49,'[26]CN BC'!$F$10:$H$267,3,FALSE)</f>
        <v>25</v>
      </c>
      <c r="N49" s="1021">
        <f t="shared" si="2"/>
        <v>20</v>
      </c>
      <c r="O49" s="1035"/>
      <c r="P49" s="1023">
        <f t="shared" si="3"/>
        <v>5616000</v>
      </c>
      <c r="Q49" s="1515">
        <f t="shared" si="5"/>
        <v>2.4</v>
      </c>
      <c r="R49" s="1429">
        <v>2340000</v>
      </c>
      <c r="S49" s="1486">
        <f t="shared" si="6"/>
        <v>5616000</v>
      </c>
      <c r="T49" s="1024">
        <f t="shared" si="4"/>
        <v>25</v>
      </c>
      <c r="U49" s="1025">
        <f>VLOOKUP(B49,'[26]CN BC'!$F$10:$K$267,6,FALSE)</f>
        <v>0</v>
      </c>
      <c r="V49" s="1038"/>
      <c r="W49" s="1490"/>
    </row>
    <row r="50" spans="1:30" s="1028" customFormat="1" ht="27" customHeight="1">
      <c r="A50" s="1014">
        <f>_xlfn.AGGREGATE(4,7,A$24:A49)+1</f>
        <v>26</v>
      </c>
      <c r="B50" s="1015" t="s">
        <v>1859</v>
      </c>
      <c r="C50" s="1033" t="s">
        <v>1665</v>
      </c>
      <c r="D50" s="1057">
        <v>1603205185357</v>
      </c>
      <c r="E50" s="81" t="str">
        <f>VLOOKUP(B50,TH.Q2!B53:E384,4,FALSE)</f>
        <v>NV Phòng KH-TC</v>
      </c>
      <c r="F50" s="1040">
        <v>3.99</v>
      </c>
      <c r="G50" s="1019"/>
      <c r="H50" s="1248">
        <f t="shared" si="0"/>
        <v>0</v>
      </c>
      <c r="I50" s="1020"/>
      <c r="J50" s="1020" t="str">
        <f>VLOOKUP(B50,[25]!Table2[[Column2]:[Column6]],4,FALSE)</f>
        <v>A1</v>
      </c>
      <c r="K50" s="1020">
        <f t="shared" si="1"/>
        <v>0.8</v>
      </c>
      <c r="L50" s="1021">
        <v>20</v>
      </c>
      <c r="M50" s="1021">
        <f>VLOOKUP(B50,'[26]CN BC'!$F$10:$H$267,3,FALSE)</f>
        <v>25</v>
      </c>
      <c r="N50" s="1021">
        <f t="shared" si="2"/>
        <v>20</v>
      </c>
      <c r="O50" s="1022"/>
      <c r="P50" s="1023">
        <f t="shared" si="3"/>
        <v>7469280</v>
      </c>
      <c r="Q50" s="1515">
        <f t="shared" si="5"/>
        <v>3.1920000000000002</v>
      </c>
      <c r="R50" s="1429">
        <v>2340000</v>
      </c>
      <c r="S50" s="1486">
        <f t="shared" si="6"/>
        <v>7469280</v>
      </c>
      <c r="T50" s="1024">
        <f t="shared" si="4"/>
        <v>26</v>
      </c>
      <c r="U50" s="1025">
        <f>VLOOKUP(B50,'[26]CN BC'!$F$10:$K$267,6,FALSE)</f>
        <v>0</v>
      </c>
      <c r="V50" s="1038"/>
      <c r="W50" s="1489"/>
    </row>
    <row r="51" spans="1:30" s="1028" customFormat="1" ht="33" customHeight="1">
      <c r="A51" s="1078">
        <f>_xlfn.AGGREGATE(4,7,A$24:A50)+1</f>
        <v>27</v>
      </c>
      <c r="B51" s="1079" t="s">
        <v>1842</v>
      </c>
      <c r="C51" s="1433" t="s">
        <v>1962</v>
      </c>
      <c r="D51" s="1080" t="s">
        <v>1933</v>
      </c>
      <c r="E51" s="472" t="s">
        <v>2417</v>
      </c>
      <c r="F51" s="1473">
        <v>3</v>
      </c>
      <c r="G51" s="1082"/>
      <c r="H51" s="1253">
        <f>ROUND(F51*G51,3)</f>
        <v>0</v>
      </c>
      <c r="I51" s="1083"/>
      <c r="J51" s="1083" t="str">
        <f>VLOOKUP(B51,[25]!Table2[[Column2]:[Column6]],4,FALSE)</f>
        <v>A DN</v>
      </c>
      <c r="K51" s="1083">
        <f>IF(J51="A1",0.8,IF(J51="A2",0.7,IF(J51="A3",0.6,IF(J51="A4",0.5,IF(J51="B1",0.35,IF(J51="B2",0.25,IF(J51="C1",0.15,IF(J51="C2",0.1,0))))))))</f>
        <v>0</v>
      </c>
      <c r="L51" s="1203">
        <v>20</v>
      </c>
      <c r="M51" s="1203">
        <f>VLOOKUP(B51,'[26]CN BC'!$F$10:$H$267,3,FALSE)</f>
        <v>0</v>
      </c>
      <c r="N51" s="1203">
        <f>IF(M51&gt;=L51,L51,IF(M51&lt;L51,M51))</f>
        <v>0</v>
      </c>
      <c r="O51" s="1084"/>
      <c r="P51" s="1204">
        <f>(((F51+H51+I51)*$P$21/L51*N51)*K51)+O51</f>
        <v>0</v>
      </c>
      <c r="Q51" s="1533">
        <f t="shared" si="5"/>
        <v>0</v>
      </c>
      <c r="R51" s="1364">
        <v>2340000</v>
      </c>
      <c r="S51" s="1488">
        <f t="shared" si="6"/>
        <v>0</v>
      </c>
      <c r="T51" s="1085">
        <f>A51</f>
        <v>27</v>
      </c>
      <c r="U51" s="1205" t="str">
        <f>VLOOKUP(B51,'[26]CN BC'!$F$10:$K$267,6,FALSE)</f>
        <v>Nghỉ hộ sản hưởng chế độ BHXH</v>
      </c>
      <c r="V51" s="1027"/>
      <c r="W51" s="1489"/>
      <c r="X51" s="1012"/>
      <c r="Y51" s="1012"/>
      <c r="Z51" s="1012"/>
    </row>
    <row r="52" spans="1:30" s="1028" customFormat="1" ht="34.5" customHeight="1">
      <c r="A52" s="1014">
        <f>_xlfn.AGGREGATE(4,7,A$24:A51)+1</f>
        <v>28</v>
      </c>
      <c r="B52" s="1015" t="s">
        <v>1827</v>
      </c>
      <c r="C52" s="1033" t="s">
        <v>1619</v>
      </c>
      <c r="D52" s="1034" t="s">
        <v>1265</v>
      </c>
      <c r="E52" s="81" t="s">
        <v>2417</v>
      </c>
      <c r="F52" s="1040">
        <v>3.99</v>
      </c>
      <c r="G52" s="1019"/>
      <c r="H52" s="1248">
        <f>ROUND(F52*G52,3)</f>
        <v>0</v>
      </c>
      <c r="I52" s="1020"/>
      <c r="J52" s="1020" t="str">
        <f>VLOOKUP(B52,[25]!Table2[[Column2]:[Column6]],4,FALSE)</f>
        <v>A2</v>
      </c>
      <c r="K52" s="1020">
        <f>IF(J52="A1",0.8,IF(J52="A2",0.7,IF(J52="A3",0.6,IF(J52="A4",0.5,IF(J52="B1",0.35,IF(J52="B2",0.25,IF(J52="C1",0.15,IF(J52="C2",0.1,0))))))))</f>
        <v>0.7</v>
      </c>
      <c r="L52" s="1021">
        <v>20</v>
      </c>
      <c r="M52" s="1021">
        <f>VLOOKUP(B52,'[26]CN BC'!$F$10:$H$267,3,FALSE)</f>
        <v>20</v>
      </c>
      <c r="N52" s="1021">
        <f>IF(M52&gt;=L52,L52,IF(M52&lt;L52,M52))</f>
        <v>20</v>
      </c>
      <c r="O52" s="1022"/>
      <c r="P52" s="1023">
        <f>(((F52+H52+I52)*$P$21/L52*N52)*K52)+O52</f>
        <v>6535620</v>
      </c>
      <c r="Q52" s="1515">
        <f t="shared" si="5"/>
        <v>2.7930000000000001</v>
      </c>
      <c r="R52" s="1429">
        <v>2340000</v>
      </c>
      <c r="S52" s="1486">
        <f t="shared" si="6"/>
        <v>6535620</v>
      </c>
      <c r="T52" s="1024">
        <f>A52</f>
        <v>28</v>
      </c>
      <c r="U52" s="1025" t="str">
        <f>VLOOKUP(B52,'[26]CN BC'!$F$10:$K$267,6,FALSE)</f>
        <v>Trừử ngày nghỉ phép 10+11+12/9</v>
      </c>
      <c r="V52" s="1027"/>
      <c r="W52" s="1489"/>
      <c r="X52" s="1012"/>
      <c r="Y52" s="1012"/>
      <c r="Z52" s="1012"/>
    </row>
    <row r="53" spans="1:30" s="1028" customFormat="1" ht="42.75" customHeight="1">
      <c r="A53" s="1014">
        <f>_xlfn.AGGREGATE(4,7,A$24:A52)+1</f>
        <v>29</v>
      </c>
      <c r="B53" s="1015" t="s">
        <v>1459</v>
      </c>
      <c r="C53" s="1033" t="s">
        <v>1645</v>
      </c>
      <c r="D53" s="1045" t="s">
        <v>1578</v>
      </c>
      <c r="E53" s="368" t="s">
        <v>2435</v>
      </c>
      <c r="F53" s="1018">
        <v>4.6500000000000004</v>
      </c>
      <c r="G53" s="1019"/>
      <c r="H53" s="1248">
        <f t="shared" si="0"/>
        <v>0</v>
      </c>
      <c r="I53" s="1020">
        <v>0.45</v>
      </c>
      <c r="J53" s="1020" t="str">
        <f>VLOOKUP(B53,[25]!Table2[[Column2]:[Column6]],4,FALSE)</f>
        <v>A2</v>
      </c>
      <c r="K53" s="1020">
        <f t="shared" si="1"/>
        <v>0.7</v>
      </c>
      <c r="L53" s="1021">
        <v>20</v>
      </c>
      <c r="M53" s="1021">
        <f>VLOOKUP(B53,'[26]CN BC'!$F$10:$H$267,3,FALSE)</f>
        <v>23</v>
      </c>
      <c r="N53" s="1021">
        <f t="shared" si="2"/>
        <v>20</v>
      </c>
      <c r="O53" s="1022"/>
      <c r="P53" s="1023">
        <f t="shared" si="3"/>
        <v>8353800.0000000009</v>
      </c>
      <c r="Q53" s="1515">
        <f t="shared" si="5"/>
        <v>3.5700000000000003</v>
      </c>
      <c r="R53" s="1429">
        <v>2340000</v>
      </c>
      <c r="S53" s="1486">
        <f t="shared" si="6"/>
        <v>8353800.0000000009</v>
      </c>
      <c r="T53" s="1024">
        <f t="shared" si="4"/>
        <v>29</v>
      </c>
      <c r="U53" s="1025">
        <f>VLOOKUP(B53,'[26]CN BC'!$F$10:$K$267,6,FALSE)</f>
        <v>0</v>
      </c>
      <c r="V53" s="1038"/>
      <c r="W53" s="1489"/>
    </row>
    <row r="54" spans="1:30" s="1028" customFormat="1" ht="47.25" customHeight="1">
      <c r="A54" s="1014">
        <f>_xlfn.AGGREGATE(4,7,A$24:A53)+1</f>
        <v>30</v>
      </c>
      <c r="B54" s="1015" t="s">
        <v>1852</v>
      </c>
      <c r="C54" s="1033" t="s">
        <v>1636</v>
      </c>
      <c r="D54" s="1034" t="s">
        <v>1258</v>
      </c>
      <c r="E54" s="368" t="s">
        <v>2433</v>
      </c>
      <c r="F54" s="1040">
        <v>4.9800000000000004</v>
      </c>
      <c r="G54" s="1513"/>
      <c r="H54" s="1255">
        <f>ROUND(F54*G54,3)</f>
        <v>0</v>
      </c>
      <c r="I54" s="1020">
        <v>0.45</v>
      </c>
      <c r="J54" s="1020" t="str">
        <f>VLOOKUP(B54,[25]!Table2[[Column2]:[Column6]],4,FALSE)</f>
        <v>A3</v>
      </c>
      <c r="K54" s="1020">
        <f>IF(J54="A1",0.8,IF(J54="A2",0.7,IF(J54="A3",0.6,IF(J54="A4",0.5,IF(J54="B1",0.35,IF(J54="B2",0.25,IF(J54="C1",0.15,IF(J54="C2",0.1,0))))))))</f>
        <v>0.6</v>
      </c>
      <c r="L54" s="1021">
        <v>20</v>
      </c>
      <c r="M54" s="1021">
        <f>VLOOKUP(B54,'[26]CN BC'!$F$10:$H$267,3,FALSE)</f>
        <v>23</v>
      </c>
      <c r="N54" s="1021">
        <f>IF(M54&gt;=L54,L54,IF(M54&lt;L54,M54))</f>
        <v>20</v>
      </c>
      <c r="O54" s="1035"/>
      <c r="P54" s="1023">
        <f>(((F54+H54+I54)*$P$21/L54*N54)*K54)+O54</f>
        <v>7623720.0000000009</v>
      </c>
      <c r="Q54" s="1515">
        <f t="shared" si="5"/>
        <v>3.2580000000000005</v>
      </c>
      <c r="R54" s="1429">
        <v>2340000</v>
      </c>
      <c r="S54" s="1486">
        <f t="shared" si="6"/>
        <v>7623720.0000000009</v>
      </c>
      <c r="T54" s="1024">
        <f>A54</f>
        <v>30</v>
      </c>
      <c r="U54" s="1025" t="str">
        <f>VLOOKUP(B54,'[26]CN BC'!$F$10:$K$267,6,FALSE)</f>
        <v>Cộng 1 ngày đi học 7/9</v>
      </c>
      <c r="V54" s="1038"/>
      <c r="W54" s="1490"/>
    </row>
    <row r="55" spans="1:30" s="1012" customFormat="1" ht="43.5" customHeight="1">
      <c r="A55" s="1014">
        <f>_xlfn.AGGREGATE(4,7,A$24:A54)+1</f>
        <v>31</v>
      </c>
      <c r="B55" s="1050" t="s">
        <v>1555</v>
      </c>
      <c r="C55" s="1029" t="s">
        <v>1658</v>
      </c>
      <c r="D55" s="1051" t="s">
        <v>1278</v>
      </c>
      <c r="E55" s="368" t="s">
        <v>2433</v>
      </c>
      <c r="F55" s="1052">
        <v>4.9800000000000004</v>
      </c>
      <c r="G55" s="1019">
        <v>0.05</v>
      </c>
      <c r="H55" s="1248">
        <f>ROUND(F55*G55,3)</f>
        <v>0.249</v>
      </c>
      <c r="I55" s="1516">
        <v>0.45</v>
      </c>
      <c r="J55" s="1020" t="str">
        <f>VLOOKUP(B55,[25]!Table2[[Column2]:[Column6]],4,FALSE)</f>
        <v>A4</v>
      </c>
      <c r="K55" s="1020">
        <f>IF(J55="A1",0.8,IF(J55="A2",0.7,IF(J55="A3",0.6,IF(J55="A4",0.5,IF(J55="B1",0.35,IF(J55="B2",0.25,IF(J55="C1",0.15,IF(J55="C2",0.1,0))))))))</f>
        <v>0.5</v>
      </c>
      <c r="L55" s="1021">
        <v>20</v>
      </c>
      <c r="M55" s="1021">
        <f>VLOOKUP(B55,'[26]CN BC'!$F$10:$H$267,3,FALSE)</f>
        <v>21</v>
      </c>
      <c r="N55" s="1021">
        <f>IF(M55&gt;=L55,L55,IF(M55&lt;L55,M55))</f>
        <v>20</v>
      </c>
      <c r="O55" s="1022"/>
      <c r="P55" s="1023">
        <f>(((F55+H55+I55)*$P$21/L55*N55)*K55)+O55</f>
        <v>6644430</v>
      </c>
      <c r="Q55" s="1515">
        <f t="shared" si="5"/>
        <v>2.8395000000000001</v>
      </c>
      <c r="R55" s="1429">
        <v>2340000</v>
      </c>
      <c r="S55" s="1486">
        <f t="shared" si="6"/>
        <v>6644430</v>
      </c>
      <c r="T55" s="1024">
        <f>A55</f>
        <v>31</v>
      </c>
      <c r="U55" s="1025">
        <f>VLOOKUP(B55,'[26]CN BC'!$F$10:$K$267,6,FALSE)</f>
        <v>0</v>
      </c>
      <c r="V55" s="1027"/>
      <c r="W55" s="1489"/>
    </row>
    <row r="56" spans="1:30" s="1028" customFormat="1" ht="43.5" customHeight="1">
      <c r="A56" s="1014">
        <f>_xlfn.AGGREGATE(4,7,A$24:A55)+1</f>
        <v>32</v>
      </c>
      <c r="B56" s="1015" t="s">
        <v>1834</v>
      </c>
      <c r="C56" s="1033" t="s">
        <v>1967</v>
      </c>
      <c r="D56" s="1066">
        <v>1603215005599</v>
      </c>
      <c r="E56" s="368" t="s">
        <v>2433</v>
      </c>
      <c r="F56" s="1040">
        <v>3.99</v>
      </c>
      <c r="G56" s="1019"/>
      <c r="H56" s="1248">
        <f>ROUND(F56*G56,3)</f>
        <v>0</v>
      </c>
      <c r="I56" s="1491">
        <v>0.45</v>
      </c>
      <c r="J56" s="1020" t="str">
        <f>VLOOKUP(B56,[25]!Table2[[Column2]:[Column6]],4,FALSE)</f>
        <v>A3</v>
      </c>
      <c r="K56" s="1020">
        <f>IF(J56="A1",0.8,IF(J56="A2",0.7,IF(J56="A3",0.6,IF(J56="A4",0.5,IF(J56="B1",0.35,IF(J56="B2",0.25,IF(J56="C1",0.15,IF(J56="C2",0.1,0))))))))</f>
        <v>0.6</v>
      </c>
      <c r="L56" s="1021">
        <v>20</v>
      </c>
      <c r="M56" s="1021">
        <f>VLOOKUP(B56,'[26]CN BC'!$F$10:$H$267,3,FALSE)</f>
        <v>20</v>
      </c>
      <c r="N56" s="1021">
        <f>IF(M56&gt;=L56,L56,IF(M56&lt;L56,M56))</f>
        <v>20</v>
      </c>
      <c r="O56" s="1022"/>
      <c r="P56" s="1023">
        <f>(((F56+H56+I56)*$P$21/L56*N56)*K56)+O56</f>
        <v>6233760</v>
      </c>
      <c r="Q56" s="1515">
        <f t="shared" si="5"/>
        <v>2.6640000000000001</v>
      </c>
      <c r="R56" s="1429">
        <v>2340000</v>
      </c>
      <c r="S56" s="1486">
        <f t="shared" si="6"/>
        <v>6233760</v>
      </c>
      <c r="T56" s="1024">
        <f>A56</f>
        <v>32</v>
      </c>
      <c r="U56" s="1025" t="str">
        <f>VLOOKUP(B56,'[26]CN BC'!$F$10:$K$267,6,FALSE)</f>
        <v>Trừ 1 ngày nghỉ phép 19/9</v>
      </c>
      <c r="V56" s="1027"/>
      <c r="W56" s="1489"/>
      <c r="X56" s="1012"/>
      <c r="Y56" s="1012"/>
      <c r="Z56" s="1012"/>
    </row>
    <row r="57" spans="1:30" s="1012" customFormat="1" ht="41.25" customHeight="1">
      <c r="A57" s="1014">
        <f>_xlfn.AGGREGATE(4,7,A$24:A56)+1</f>
        <v>33</v>
      </c>
      <c r="B57" s="1050" t="s">
        <v>1454</v>
      </c>
      <c r="C57" s="1029" t="s">
        <v>1637</v>
      </c>
      <c r="D57" s="1055">
        <v>1603205247426</v>
      </c>
      <c r="E57" s="368" t="s">
        <v>2434</v>
      </c>
      <c r="F57" s="1052">
        <v>3.86</v>
      </c>
      <c r="G57" s="1053"/>
      <c r="H57" s="1248">
        <f>ROUND(F57*G57,3)</f>
        <v>0</v>
      </c>
      <c r="I57" s="1054"/>
      <c r="J57" s="1020" t="str">
        <f>VLOOKUP(B57,[25]!Table2[[Column2]:[Column6]],4,FALSE)</f>
        <v>A4</v>
      </c>
      <c r="K57" s="1020">
        <f>IF(J57="A1",0.8,IF(J57="A2",0.7,IF(J57="A3",0.6,IF(J57="A4",0.5,IF(J57="B1",0.35,IF(J57="B2",0.25,IF(J57="C1",0.15,IF(J57="C2",0.1,0))))))))</f>
        <v>0.5</v>
      </c>
      <c r="L57" s="1021">
        <v>20</v>
      </c>
      <c r="M57" s="1021">
        <f>VLOOKUP(B57,'[26]CN BC'!$F$10:$H$267,3,FALSE)</f>
        <v>22</v>
      </c>
      <c r="N57" s="1021">
        <f>IF(M57&gt;=L57,L57,IF(M57&lt;L57,M57))</f>
        <v>20</v>
      </c>
      <c r="O57" s="1022"/>
      <c r="P57" s="1023">
        <f>(((F57+H57+I57)*$P$21/L57*N57)*K57)+O57</f>
        <v>4516200</v>
      </c>
      <c r="Q57" s="1515">
        <f t="shared" si="5"/>
        <v>1.93</v>
      </c>
      <c r="R57" s="1429">
        <v>2340000</v>
      </c>
      <c r="S57" s="1486">
        <f t="shared" si="6"/>
        <v>4516200</v>
      </c>
      <c r="T57" s="1024">
        <f>A57</f>
        <v>33</v>
      </c>
      <c r="U57" s="1025">
        <f>VLOOKUP(B57,'[26]CN BC'!$F$10:$K$267,6,FALSE)</f>
        <v>0</v>
      </c>
      <c r="V57" s="1027"/>
      <c r="W57" s="1489"/>
    </row>
    <row r="58" spans="1:30" s="1028" customFormat="1" ht="48" customHeight="1">
      <c r="A58" s="1014">
        <f>_xlfn.AGGREGATE(4,7,A$24:A57)+1</f>
        <v>34</v>
      </c>
      <c r="B58" s="1015" t="s">
        <v>1541</v>
      </c>
      <c r="C58" s="1033" t="s">
        <v>1802</v>
      </c>
      <c r="D58" s="1045">
        <v>1603205356140</v>
      </c>
      <c r="E58" s="368" t="s">
        <v>2434</v>
      </c>
      <c r="F58" s="1018">
        <v>4.32</v>
      </c>
      <c r="G58" s="1019"/>
      <c r="H58" s="1255">
        <f t="shared" si="0"/>
        <v>0</v>
      </c>
      <c r="I58" s="1020"/>
      <c r="J58" s="1020" t="str">
        <f>VLOOKUP(B58,[25]!Table2[[Column2]:[Column6]],4,FALSE)</f>
        <v>A3</v>
      </c>
      <c r="K58" s="1020">
        <f t="shared" si="1"/>
        <v>0.6</v>
      </c>
      <c r="L58" s="1021">
        <v>20</v>
      </c>
      <c r="M58" s="1021">
        <f>VLOOKUP(B58,'[26]CN BC'!$F$10:$H$267,3,FALSE)</f>
        <v>22</v>
      </c>
      <c r="N58" s="1021">
        <f t="shared" si="2"/>
        <v>20</v>
      </c>
      <c r="O58" s="1035"/>
      <c r="P58" s="1023">
        <f t="shared" si="3"/>
        <v>6065280</v>
      </c>
      <c r="Q58" s="1515">
        <f t="shared" si="5"/>
        <v>2.5920000000000001</v>
      </c>
      <c r="R58" s="1429">
        <v>2340000</v>
      </c>
      <c r="S58" s="1486">
        <f t="shared" si="6"/>
        <v>6065280</v>
      </c>
      <c r="T58" s="1024">
        <f t="shared" si="4"/>
        <v>34</v>
      </c>
      <c r="U58" s="1025" t="str">
        <f>VLOOKUP(B58,'[26]CN BC'!$F$10:$K$267,6,FALSE)</f>
        <v>Trừ 1 ngày nghỉ 18/9</v>
      </c>
      <c r="V58" s="1038"/>
      <c r="W58" s="1489"/>
    </row>
    <row r="59" spans="1:30" s="1028" customFormat="1" ht="42" customHeight="1">
      <c r="A59" s="1014">
        <f>_xlfn.AGGREGATE(4,7,A$24:A58)+1</f>
        <v>35</v>
      </c>
      <c r="B59" s="1015" t="s">
        <v>1460</v>
      </c>
      <c r="C59" s="1033" t="s">
        <v>1650</v>
      </c>
      <c r="D59" s="1047">
        <v>1603205189653</v>
      </c>
      <c r="E59" s="368" t="s">
        <v>2434</v>
      </c>
      <c r="F59" s="1018">
        <v>4.32</v>
      </c>
      <c r="G59" s="1019"/>
      <c r="H59" s="1248">
        <f t="shared" si="0"/>
        <v>0</v>
      </c>
      <c r="I59" s="1020"/>
      <c r="J59" s="1020" t="str">
        <f>VLOOKUP(B59,[25]!Table2[[Column2]:[Column6]],4,FALSE)</f>
        <v>A2</v>
      </c>
      <c r="K59" s="1020">
        <f t="shared" si="1"/>
        <v>0.7</v>
      </c>
      <c r="L59" s="1021">
        <v>20</v>
      </c>
      <c r="M59" s="1021">
        <f>VLOOKUP(B59,'[26]CN BC'!$F$10:$H$267,3,FALSE)</f>
        <v>24</v>
      </c>
      <c r="N59" s="1021">
        <f t="shared" si="2"/>
        <v>20</v>
      </c>
      <c r="O59" s="1022"/>
      <c r="P59" s="1023">
        <f t="shared" si="3"/>
        <v>7076160</v>
      </c>
      <c r="Q59" s="1515">
        <f t="shared" si="5"/>
        <v>3.024</v>
      </c>
      <c r="R59" s="1429">
        <v>2340000</v>
      </c>
      <c r="S59" s="1486">
        <f t="shared" si="6"/>
        <v>7076160</v>
      </c>
      <c r="T59" s="1024">
        <f t="shared" si="4"/>
        <v>35</v>
      </c>
      <c r="U59" s="1025">
        <f>VLOOKUP(B59,'[26]CN BC'!$F$10:$K$267,6,FALSE)</f>
        <v>0</v>
      </c>
      <c r="V59" s="1038"/>
      <c r="W59" s="1489"/>
    </row>
    <row r="60" spans="1:30" s="1028" customFormat="1" ht="42" customHeight="1">
      <c r="A60" s="1014">
        <f>_xlfn.AGGREGATE(4,7,A$24:A59)+1</f>
        <v>36</v>
      </c>
      <c r="B60" s="1015" t="s">
        <v>1461</v>
      </c>
      <c r="C60" s="1033" t="s">
        <v>1653</v>
      </c>
      <c r="D60" s="1034" t="s">
        <v>370</v>
      </c>
      <c r="E60" s="368" t="s">
        <v>2434</v>
      </c>
      <c r="F60" s="1040">
        <v>3.99</v>
      </c>
      <c r="G60" s="1019"/>
      <c r="H60" s="1248">
        <f t="shared" si="0"/>
        <v>0</v>
      </c>
      <c r="I60" s="1020"/>
      <c r="J60" s="1020" t="str">
        <f>VLOOKUP(B60,[25]!Table2[[Column2]:[Column6]],4,FALSE)</f>
        <v>A3</v>
      </c>
      <c r="K60" s="1020">
        <f t="shared" si="1"/>
        <v>0.6</v>
      </c>
      <c r="L60" s="1021">
        <v>20</v>
      </c>
      <c r="M60" s="1021">
        <f>VLOOKUP(B60,'[26]CN BC'!$F$10:$H$267,3,FALSE)</f>
        <v>22</v>
      </c>
      <c r="N60" s="1021">
        <f t="shared" si="2"/>
        <v>20</v>
      </c>
      <c r="O60" s="1022"/>
      <c r="P60" s="1023">
        <f t="shared" si="3"/>
        <v>5601960</v>
      </c>
      <c r="Q60" s="1515">
        <f t="shared" si="5"/>
        <v>2.3940000000000001</v>
      </c>
      <c r="R60" s="1429">
        <v>2340000</v>
      </c>
      <c r="S60" s="1486">
        <f t="shared" si="6"/>
        <v>5601960</v>
      </c>
      <c r="T60" s="1024">
        <f t="shared" si="4"/>
        <v>36</v>
      </c>
      <c r="U60" s="1025">
        <f>VLOOKUP(B60,'[26]CN BC'!$F$10:$K$267,6,FALSE)</f>
        <v>0</v>
      </c>
      <c r="V60" s="1027"/>
      <c r="W60" s="1489"/>
      <c r="X60" s="1012"/>
      <c r="Y60" s="1012"/>
      <c r="Z60" s="1012"/>
    </row>
    <row r="61" spans="1:30" s="1028" customFormat="1" ht="42" customHeight="1">
      <c r="A61" s="1014">
        <f>_xlfn.AGGREGATE(4,7,A$24:A60)+1</f>
        <v>37</v>
      </c>
      <c r="B61" s="1015" t="s">
        <v>848</v>
      </c>
      <c r="C61" s="1033" t="s">
        <v>1655</v>
      </c>
      <c r="D61" s="1034" t="s">
        <v>1263</v>
      </c>
      <c r="E61" s="368" t="s">
        <v>2434</v>
      </c>
      <c r="F61" s="1018">
        <v>4.32</v>
      </c>
      <c r="G61" s="1019"/>
      <c r="H61" s="1248">
        <f t="shared" si="0"/>
        <v>0</v>
      </c>
      <c r="I61" s="1020"/>
      <c r="J61" s="1020" t="str">
        <f>VLOOKUP(B61,[25]!Table2[[Column2]:[Column6]],4,FALSE)</f>
        <v>A3</v>
      </c>
      <c r="K61" s="1020">
        <f t="shared" si="1"/>
        <v>0.6</v>
      </c>
      <c r="L61" s="1021">
        <v>20</v>
      </c>
      <c r="M61" s="1021">
        <f>VLOOKUP(B61,'[26]CN BC'!$F$10:$H$267,3,FALSE)</f>
        <v>22</v>
      </c>
      <c r="N61" s="1021">
        <f t="shared" si="2"/>
        <v>20</v>
      </c>
      <c r="O61" s="1022"/>
      <c r="P61" s="1023">
        <f t="shared" si="3"/>
        <v>6065280</v>
      </c>
      <c r="Q61" s="1515">
        <f t="shared" si="5"/>
        <v>2.5920000000000001</v>
      </c>
      <c r="R61" s="1429">
        <v>2340000</v>
      </c>
      <c r="S61" s="1486">
        <f t="shared" si="6"/>
        <v>6065280</v>
      </c>
      <c r="T61" s="1024">
        <f t="shared" si="4"/>
        <v>37</v>
      </c>
      <c r="U61" s="1025">
        <f>VLOOKUP(B61,'[26]CN BC'!$F$10:$K$267,6,FALSE)</f>
        <v>0</v>
      </c>
      <c r="V61" s="1027"/>
      <c r="W61" s="1489"/>
      <c r="X61" s="1012"/>
      <c r="Y61" s="1012"/>
      <c r="Z61" s="1012"/>
    </row>
    <row r="62" spans="1:30" s="1028" customFormat="1" ht="42" customHeight="1">
      <c r="A62" s="1014">
        <f>_xlfn.AGGREGATE(4,7,A$24:A61)+1</f>
        <v>38</v>
      </c>
      <c r="B62" s="1015" t="s">
        <v>1857</v>
      </c>
      <c r="C62" s="1033" t="s">
        <v>1656</v>
      </c>
      <c r="D62" s="1047" t="s">
        <v>1358</v>
      </c>
      <c r="E62" s="368" t="s">
        <v>2434</v>
      </c>
      <c r="F62" s="1018">
        <v>4.6500000000000004</v>
      </c>
      <c r="G62" s="1019"/>
      <c r="H62" s="1248">
        <f t="shared" si="0"/>
        <v>0</v>
      </c>
      <c r="I62" s="1020"/>
      <c r="J62" s="1020" t="str">
        <f>VLOOKUP(B62,[25]!Table2[[Column2]:[Column6]],4,FALSE)</f>
        <v>A3</v>
      </c>
      <c r="K62" s="1020">
        <f t="shared" si="1"/>
        <v>0.6</v>
      </c>
      <c r="L62" s="1021">
        <v>20</v>
      </c>
      <c r="M62" s="1021">
        <f>VLOOKUP(B62,'[26]CN BC'!$F$10:$H$267,3,FALSE)</f>
        <v>22</v>
      </c>
      <c r="N62" s="1021">
        <f t="shared" si="2"/>
        <v>20</v>
      </c>
      <c r="O62" s="1022"/>
      <c r="P62" s="1023">
        <f t="shared" si="3"/>
        <v>6528600</v>
      </c>
      <c r="Q62" s="1515">
        <f t="shared" si="5"/>
        <v>2.79</v>
      </c>
      <c r="R62" s="1429">
        <v>2340000</v>
      </c>
      <c r="S62" s="1486">
        <f t="shared" si="6"/>
        <v>6528600</v>
      </c>
      <c r="T62" s="1024">
        <f t="shared" si="4"/>
        <v>38</v>
      </c>
      <c r="U62" s="1025">
        <f>VLOOKUP(B62,'[26]CN BC'!$F$10:$K$267,6,FALSE)</f>
        <v>0</v>
      </c>
      <c r="V62" s="1027"/>
      <c r="W62" s="1489"/>
      <c r="X62" s="1012"/>
      <c r="Y62" s="1012"/>
      <c r="Z62" s="1012"/>
    </row>
    <row r="63" spans="1:30" s="1028" customFormat="1" ht="42" customHeight="1">
      <c r="A63" s="1014">
        <f>_xlfn.AGGREGATE(4,7,A$24:A62)+1</f>
        <v>39</v>
      </c>
      <c r="B63" s="1015" t="s">
        <v>1851</v>
      </c>
      <c r="C63" s="1029" t="s">
        <v>1632</v>
      </c>
      <c r="D63" s="1063" t="s">
        <v>1575</v>
      </c>
      <c r="E63" s="368" t="s">
        <v>2434</v>
      </c>
      <c r="F63" s="1040">
        <v>3.66</v>
      </c>
      <c r="G63" s="1019"/>
      <c r="H63" s="1248">
        <f t="shared" si="0"/>
        <v>0</v>
      </c>
      <c r="I63" s="1020"/>
      <c r="J63" s="1020" t="str">
        <f>VLOOKUP(B63,[25]!Table2[[Column2]:[Column6]],4,FALSE)</f>
        <v>A4</v>
      </c>
      <c r="K63" s="1020">
        <f t="shared" si="1"/>
        <v>0.5</v>
      </c>
      <c r="L63" s="1021">
        <v>20</v>
      </c>
      <c r="M63" s="1021">
        <f>VLOOKUP(B63,'[26]CN BC'!$F$10:$H$267,3,FALSE)</f>
        <v>20</v>
      </c>
      <c r="N63" s="1021">
        <f t="shared" si="2"/>
        <v>20</v>
      </c>
      <c r="O63" s="1022"/>
      <c r="P63" s="1023">
        <f t="shared" si="3"/>
        <v>4282200</v>
      </c>
      <c r="Q63" s="1515">
        <f t="shared" si="5"/>
        <v>1.83</v>
      </c>
      <c r="R63" s="1429">
        <v>2340000</v>
      </c>
      <c r="S63" s="1486">
        <f t="shared" si="6"/>
        <v>4282200</v>
      </c>
      <c r="T63" s="1024">
        <f t="shared" si="4"/>
        <v>39</v>
      </c>
      <c r="U63" s="1025" t="str">
        <f>VLOOKUP(B63,'[26]CN BC'!$F$10:$K$267,6,FALSE)</f>
        <v>Trừ 2 ngày nghỉ phép 29+30/9</v>
      </c>
      <c r="V63" s="1027"/>
      <c r="W63" s="1489"/>
      <c r="X63" s="1012"/>
      <c r="Y63" s="1012"/>
      <c r="Z63" s="1012"/>
      <c r="AA63" s="1012"/>
      <c r="AB63" s="1012"/>
      <c r="AC63" s="1012"/>
      <c r="AD63" s="1012"/>
    </row>
    <row r="64" spans="1:30" s="1028" customFormat="1" ht="45.75" customHeight="1">
      <c r="A64" s="1014">
        <f>_xlfn.AGGREGATE(4,7,A$24:A63)+1</f>
        <v>40</v>
      </c>
      <c r="B64" s="1015" t="s">
        <v>1468</v>
      </c>
      <c r="C64" s="1033" t="s">
        <v>1676</v>
      </c>
      <c r="D64" s="1045" t="s">
        <v>1580</v>
      </c>
      <c r="E64" s="368" t="s">
        <v>2434</v>
      </c>
      <c r="F64" s="1040">
        <v>3.33</v>
      </c>
      <c r="G64" s="1019"/>
      <c r="H64" s="1248">
        <f>ROUND(F64*G64,3)</f>
        <v>0</v>
      </c>
      <c r="I64" s="1020"/>
      <c r="J64" s="1020" t="str">
        <f>VLOOKUP(B64,[25]!Table2[[Column2]:[Column6]],4,FALSE)</f>
        <v>A3</v>
      </c>
      <c r="K64" s="1020">
        <f>IF(J64="A1",0.8,IF(J64="A2",0.7,IF(J64="A3",0.6,IF(J64="A4",0.5,IF(J64="B1",0.35,IF(J64="B2",0.25,IF(J64="C1",0.15,IF(J64="C2",0.1,0))))))))</f>
        <v>0.6</v>
      </c>
      <c r="L64" s="1021">
        <v>20</v>
      </c>
      <c r="M64" s="1021">
        <f>VLOOKUP(B64,'[26]CN BC'!$F$10:$H$267,3,FALSE)</f>
        <v>21</v>
      </c>
      <c r="N64" s="1021">
        <f>IF(M64&gt;=L64,L64,IF(M64&lt;L64,M64))</f>
        <v>20</v>
      </c>
      <c r="O64" s="1022"/>
      <c r="P64" s="1023">
        <f>(((F64+H64+I64)*$P$21/L64*N64)*K64)+O64</f>
        <v>4675320</v>
      </c>
      <c r="Q64" s="1515">
        <f t="shared" si="5"/>
        <v>1.998</v>
      </c>
      <c r="R64" s="1429">
        <v>2340000</v>
      </c>
      <c r="S64" s="1486">
        <f t="shared" si="6"/>
        <v>4675320</v>
      </c>
      <c r="T64" s="1024">
        <f>A64</f>
        <v>40</v>
      </c>
      <c r="U64" s="1025">
        <f>VLOOKUP(B64,'[26]CN BC'!$F$10:$K$267,6,FALSE)</f>
        <v>0</v>
      </c>
      <c r="V64" s="1027"/>
      <c r="W64" s="1489"/>
      <c r="X64" s="1012"/>
      <c r="Y64" s="1012"/>
      <c r="Z64" s="1012"/>
    </row>
    <row r="65" spans="1:30" s="1028" customFormat="1" ht="45.75" customHeight="1">
      <c r="A65" s="1014">
        <f>_xlfn.AGGREGATE(4,7,A$24:A64)+1</f>
        <v>41</v>
      </c>
      <c r="B65" s="1015" t="s">
        <v>1469</v>
      </c>
      <c r="C65" s="1033" t="s">
        <v>1677</v>
      </c>
      <c r="D65" s="1057">
        <v>1603205185623</v>
      </c>
      <c r="E65" s="368" t="s">
        <v>2434</v>
      </c>
      <c r="F65" s="1040">
        <v>3.66</v>
      </c>
      <c r="G65" s="1019"/>
      <c r="H65" s="1248">
        <f>ROUND(F65*G65,3)</f>
        <v>0</v>
      </c>
      <c r="I65" s="1020"/>
      <c r="J65" s="1020" t="str">
        <f>VLOOKUP(B65,[25]!Table2[[Column2]:[Column6]],4,FALSE)</f>
        <v>A3</v>
      </c>
      <c r="K65" s="1020">
        <f>IF(J65="A1",0.8,IF(J65="A2",0.7,IF(J65="A3",0.6,IF(J65="A4",0.5,IF(J65="B1",0.35,IF(J65="B2",0.25,IF(J65="C1",0.15,IF(J65="C2",0.1,0))))))))</f>
        <v>0.6</v>
      </c>
      <c r="L65" s="1021">
        <v>20</v>
      </c>
      <c r="M65" s="1021">
        <f>VLOOKUP(B65,'[26]CN BC'!$F$10:$H$267,3,FALSE)</f>
        <v>24</v>
      </c>
      <c r="N65" s="1021">
        <f>IF(M65&gt;=L65,L65,IF(M65&lt;L65,M65))</f>
        <v>20</v>
      </c>
      <c r="O65" s="1022"/>
      <c r="P65" s="1023">
        <f>(((F65+H65+I65)*$P$21/L65*N65)*K65)+O65</f>
        <v>5138640</v>
      </c>
      <c r="Q65" s="1515">
        <f t="shared" si="5"/>
        <v>2.1960000000000002</v>
      </c>
      <c r="R65" s="1429">
        <v>2340000</v>
      </c>
      <c r="S65" s="1486">
        <f t="shared" si="6"/>
        <v>5138640</v>
      </c>
      <c r="T65" s="1024">
        <f>A65</f>
        <v>41</v>
      </c>
      <c r="U65" s="1025">
        <f>VLOOKUP(B65,'[26]CN BC'!$F$10:$K$267,6,FALSE)</f>
        <v>0</v>
      </c>
      <c r="V65" s="1027"/>
      <c r="W65" s="1489"/>
      <c r="X65" s="1012"/>
      <c r="Y65" s="1012"/>
      <c r="Z65" s="1012"/>
    </row>
    <row r="66" spans="1:30" s="1028" customFormat="1" ht="42" customHeight="1">
      <c r="A66" s="1014">
        <f>_xlfn.AGGREGATE(4,7,A$24:A65)+1</f>
        <v>42</v>
      </c>
      <c r="B66" s="1015" t="s">
        <v>1846</v>
      </c>
      <c r="C66" s="1033" t="s">
        <v>1618</v>
      </c>
      <c r="D66" s="1034" t="s">
        <v>1264</v>
      </c>
      <c r="E66" s="368" t="s">
        <v>2434</v>
      </c>
      <c r="F66" s="1018">
        <v>3.99</v>
      </c>
      <c r="G66" s="1019"/>
      <c r="H66" s="1248">
        <f>ROUND(F66*G66,3)</f>
        <v>0</v>
      </c>
      <c r="I66" s="1020"/>
      <c r="J66" s="1020" t="str">
        <f>VLOOKUP(B66,[25]!Table2[[Column2]:[Column6]],4,FALSE)</f>
        <v>A3</v>
      </c>
      <c r="K66" s="1020">
        <f>IF(J66="A1",0.8,IF(J66="A2",0.7,IF(J66="A3",0.6,IF(J66="A4",0.5,IF(J66="B1",0.35,IF(J66="B2",0.25,IF(J66="C1",0.15,IF(J66="C2",0.1,0))))))))</f>
        <v>0.6</v>
      </c>
      <c r="L66" s="1021">
        <v>20</v>
      </c>
      <c r="M66" s="1021">
        <f>VLOOKUP(B66,'[26]CN BC'!$F$10:$H$267,3,FALSE)</f>
        <v>21</v>
      </c>
      <c r="N66" s="1021">
        <f>IF(M66&gt;=L66,L66,IF(M66&lt;L66,M66))</f>
        <v>20</v>
      </c>
      <c r="O66" s="1022"/>
      <c r="P66" s="1023">
        <f>(((F66+H66+I66)*$P$21/L66*N66)*K66)+O66</f>
        <v>5601960</v>
      </c>
      <c r="Q66" s="1515">
        <f t="shared" si="5"/>
        <v>2.3940000000000001</v>
      </c>
      <c r="R66" s="1429">
        <v>2340000</v>
      </c>
      <c r="S66" s="1486">
        <f t="shared" si="6"/>
        <v>5601960</v>
      </c>
      <c r="T66" s="1024">
        <f>A66</f>
        <v>42</v>
      </c>
      <c r="U66" s="1025">
        <f>VLOOKUP(B66,'[26]CN BC'!$F$10:$K$267,6,FALSE)</f>
        <v>0</v>
      </c>
      <c r="V66" s="1027"/>
      <c r="W66" s="1489"/>
      <c r="X66" s="1012"/>
      <c r="Y66" s="1012"/>
      <c r="Z66" s="1012"/>
    </row>
    <row r="67" spans="1:30" s="1028" customFormat="1" ht="45" customHeight="1">
      <c r="A67" s="1014">
        <f>_xlfn.AGGREGATE(4,7,A$24:A66)+1</f>
        <v>43</v>
      </c>
      <c r="B67" s="1015" t="s">
        <v>1560</v>
      </c>
      <c r="C67" s="1029" t="s">
        <v>1825</v>
      </c>
      <c r="D67" s="1484">
        <v>1603215002692</v>
      </c>
      <c r="E67" s="81" t="s">
        <v>2448</v>
      </c>
      <c r="F67" s="1040">
        <v>3.66</v>
      </c>
      <c r="G67" s="1019"/>
      <c r="H67" s="1248">
        <f t="shared" ref="H67" si="8">ROUND(F67*G67,3)</f>
        <v>0</v>
      </c>
      <c r="I67" s="1491">
        <v>0.45</v>
      </c>
      <c r="J67" s="1020" t="str">
        <f>VLOOKUP(B67,[25]!Table2[[Column2]:[Column6]],4,FALSE)</f>
        <v>A1</v>
      </c>
      <c r="K67" s="1020">
        <f t="shared" ref="K67" si="9">IF(J67="A1",0.8,IF(J67="A2",0.7,IF(J67="A3",0.6,IF(J67="A4",0.5,IF(J67="B1",0.35,IF(J67="B2",0.25,IF(J67="C1",0.15,IF(J67="C2",0.1,0))))))))</f>
        <v>0.8</v>
      </c>
      <c r="L67" s="1021">
        <v>20</v>
      </c>
      <c r="M67" s="1021">
        <f>VLOOKUP(B67,'[26]CN BC'!$F$10:$H$267,3,FALSE)</f>
        <v>24</v>
      </c>
      <c r="N67" s="1021">
        <f t="shared" ref="N67" si="10">IF(M67&gt;=L67,L67,IF(M67&lt;L67,M67))</f>
        <v>20</v>
      </c>
      <c r="O67" s="1022"/>
      <c r="P67" s="1023">
        <f t="shared" ref="P67" si="11">(((F67+H67+I67)*$P$21/L67*N67)*K67)+O67</f>
        <v>7693920</v>
      </c>
      <c r="Q67" s="1515">
        <f t="shared" si="5"/>
        <v>3.2879999999999998</v>
      </c>
      <c r="R67" s="1429">
        <v>2340000</v>
      </c>
      <c r="S67" s="1486">
        <f t="shared" si="6"/>
        <v>7693920</v>
      </c>
      <c r="T67" s="1024">
        <f t="shared" ref="T67" si="12">A67</f>
        <v>43</v>
      </c>
      <c r="U67" s="1025">
        <f>VLOOKUP(B67,'[26]CN BC'!$F$10:$K$267,6,FALSE)</f>
        <v>0</v>
      </c>
      <c r="V67" s="1027"/>
      <c r="W67" s="1489"/>
      <c r="X67" s="1012"/>
      <c r="Y67" s="1012"/>
      <c r="Z67" s="1012"/>
      <c r="AA67" s="1012"/>
      <c r="AB67" s="1012"/>
      <c r="AC67" s="1012"/>
      <c r="AD67" s="1012"/>
    </row>
    <row r="68" spans="1:30" s="1028" customFormat="1" ht="43.5" customHeight="1">
      <c r="A68" s="1014">
        <f>_xlfn.AGGREGATE(4,7,A$24:A67)+1</f>
        <v>44</v>
      </c>
      <c r="B68" s="1015" t="s">
        <v>1471</v>
      </c>
      <c r="C68" s="1033" t="s">
        <v>1680</v>
      </c>
      <c r="D68" s="1045" t="s">
        <v>1581</v>
      </c>
      <c r="E68" s="81" t="s">
        <v>2436</v>
      </c>
      <c r="F68" s="1018">
        <v>4.9800000000000004</v>
      </c>
      <c r="G68" s="1019"/>
      <c r="H68" s="1248">
        <f>ROUND(F68*G68,3)</f>
        <v>0</v>
      </c>
      <c r="I68" s="1491">
        <v>0.45</v>
      </c>
      <c r="J68" s="1020" t="str">
        <f>VLOOKUP(B68,[25]!Table2[[Column2]:[Column6]],4,FALSE)</f>
        <v>A1</v>
      </c>
      <c r="K68" s="1020">
        <f>IF(J68="A1",0.8,IF(J68="A2",0.7,IF(J68="A3",0.6,IF(J68="A4",0.5,IF(J68="B1",0.35,IF(J68="B2",0.25,IF(J68="C1",0.15,IF(J68="C2",0.1,0))))))))</f>
        <v>0.8</v>
      </c>
      <c r="L68" s="1021">
        <v>20</v>
      </c>
      <c r="M68" s="1021">
        <f>VLOOKUP(B68,'[26]CN BC'!$F$10:$H$267,3,FALSE)</f>
        <v>20</v>
      </c>
      <c r="N68" s="1021">
        <f>IF(M68&gt;=L68,L68,IF(M68&lt;L68,M68))</f>
        <v>20</v>
      </c>
      <c r="O68" s="1022"/>
      <c r="P68" s="1023">
        <f>(((F68+H68+I68)*$P$21/L68*N68)*K68)+O68</f>
        <v>10164960.000000002</v>
      </c>
      <c r="Q68" s="1515">
        <f t="shared" si="5"/>
        <v>4.3440000000000012</v>
      </c>
      <c r="R68" s="1429">
        <v>2340000</v>
      </c>
      <c r="S68" s="1486">
        <f t="shared" si="6"/>
        <v>10164960.000000002</v>
      </c>
      <c r="T68" s="1024">
        <f>A68</f>
        <v>44</v>
      </c>
      <c r="U68" s="1025">
        <f>VLOOKUP(B68,'[26]CN BC'!$F$10:$K$267,6,FALSE)</f>
        <v>0</v>
      </c>
      <c r="V68" s="1038"/>
      <c r="W68" s="1489"/>
    </row>
    <row r="69" spans="1:30" s="1012" customFormat="1" ht="43.5" customHeight="1">
      <c r="A69" s="1014">
        <f>_xlfn.AGGREGATE(4,7,A$24:A68)+1</f>
        <v>45</v>
      </c>
      <c r="B69" s="1050" t="s">
        <v>1902</v>
      </c>
      <c r="C69" s="1029" t="s">
        <v>1785</v>
      </c>
      <c r="D69" s="1051" t="s">
        <v>1391</v>
      </c>
      <c r="E69" s="81" t="s">
        <v>2436</v>
      </c>
      <c r="F69" s="1052">
        <v>4.6500000000000004</v>
      </c>
      <c r="G69" s="1053"/>
      <c r="H69" s="1248">
        <f t="shared" si="0"/>
        <v>0</v>
      </c>
      <c r="I69" s="1054">
        <v>0.35</v>
      </c>
      <c r="J69" s="1020" t="str">
        <f>VLOOKUP(B69,[25]!Table2[[Column2]:[Column6]],4,FALSE)</f>
        <v>A1</v>
      </c>
      <c r="K69" s="1020">
        <f t="shared" si="1"/>
        <v>0.8</v>
      </c>
      <c r="L69" s="1021">
        <v>20</v>
      </c>
      <c r="M69" s="1021">
        <f>VLOOKUP(B69,'[26]CN BC'!$F$10:$H$267,3,FALSE)</f>
        <v>21</v>
      </c>
      <c r="N69" s="1021">
        <f t="shared" si="2"/>
        <v>20</v>
      </c>
      <c r="O69" s="1022"/>
      <c r="P69" s="1023">
        <f t="shared" si="3"/>
        <v>9360000</v>
      </c>
      <c r="Q69" s="1515">
        <f t="shared" si="5"/>
        <v>4</v>
      </c>
      <c r="R69" s="1429">
        <v>2340000</v>
      </c>
      <c r="S69" s="1486">
        <f t="shared" si="6"/>
        <v>9360000</v>
      </c>
      <c r="T69" s="1024">
        <f t="shared" si="4"/>
        <v>45</v>
      </c>
      <c r="U69" s="1025">
        <f>VLOOKUP(B69,'[26]CN BC'!$F$10:$K$267,6,FALSE)</f>
        <v>0</v>
      </c>
      <c r="V69" s="1027"/>
      <c r="W69" s="1489"/>
    </row>
    <row r="70" spans="1:30" s="1028" customFormat="1" ht="33.75" customHeight="1">
      <c r="A70" s="1014">
        <f>_xlfn.AGGREGATE(4,7,A$24:A69)+1</f>
        <v>46</v>
      </c>
      <c r="B70" s="1015" t="s">
        <v>1561</v>
      </c>
      <c r="C70" s="1033" t="s">
        <v>1657</v>
      </c>
      <c r="D70" s="1030" t="s">
        <v>1562</v>
      </c>
      <c r="E70" s="81" t="s">
        <v>2437</v>
      </c>
      <c r="F70" s="1040">
        <v>3.66</v>
      </c>
      <c r="G70" s="1019"/>
      <c r="H70" s="1248">
        <f>ROUND(F70*G70,3)</f>
        <v>0</v>
      </c>
      <c r="I70" s="1020"/>
      <c r="J70" s="1020" t="str">
        <f>VLOOKUP(B70,[25]!Table2[[Column2]:[Column6]],4,FALSE)</f>
        <v>A2</v>
      </c>
      <c r="K70" s="1020">
        <f>IF(J70="A1",0.8,IF(J70="A2",0.7,IF(J70="A3",0.6,IF(J70="A4",0.5,IF(J70="B1",0.35,IF(J70="B2",0.25,IF(J70="C1",0.15,IF(J70="C2",0.1,0))))))))</f>
        <v>0.7</v>
      </c>
      <c r="L70" s="1021">
        <v>20</v>
      </c>
      <c r="M70" s="1021">
        <f>VLOOKUP(B70,'[26]CN BC'!$F$10:$H$267,3,FALSE)</f>
        <v>22</v>
      </c>
      <c r="N70" s="1021">
        <f>IF(M70&gt;=L70,L70,IF(M70&lt;L70,M70))</f>
        <v>20</v>
      </c>
      <c r="O70" s="1022"/>
      <c r="P70" s="1023">
        <f>(((F70+H70+I70)*$P$21/L70*N70)*K70)+O70</f>
        <v>5995080</v>
      </c>
      <c r="Q70" s="1515">
        <f t="shared" si="5"/>
        <v>2.5619999999999998</v>
      </c>
      <c r="R70" s="1429">
        <v>2340000</v>
      </c>
      <c r="S70" s="1486">
        <f t="shared" si="6"/>
        <v>5995080</v>
      </c>
      <c r="T70" s="1024">
        <f>A70</f>
        <v>46</v>
      </c>
      <c r="U70" s="1025">
        <f>VLOOKUP(B70,'[26]CN BC'!$F$10:$K$267,6,FALSE)</f>
        <v>0</v>
      </c>
      <c r="V70" s="1038"/>
      <c r="W70" s="1489"/>
    </row>
    <row r="71" spans="1:30" s="1028" customFormat="1" ht="33.75" customHeight="1">
      <c r="A71" s="1014">
        <f>_xlfn.AGGREGATE(4,7,A$24:A70)+1</f>
        <v>47</v>
      </c>
      <c r="B71" s="1015" t="s">
        <v>1858</v>
      </c>
      <c r="C71" s="1033" t="s">
        <v>1659</v>
      </c>
      <c r="D71" s="1034" t="s">
        <v>1285</v>
      </c>
      <c r="E71" s="81" t="s">
        <v>2437</v>
      </c>
      <c r="F71" s="1018">
        <v>4.9800000000000004</v>
      </c>
      <c r="G71" s="1019"/>
      <c r="H71" s="1248">
        <f t="shared" si="0"/>
        <v>0</v>
      </c>
      <c r="I71" s="1020"/>
      <c r="J71" s="1020" t="str">
        <f>VLOOKUP(B71,[25]!Table2[[Column2]:[Column6]],4,FALSE)</f>
        <v>A1</v>
      </c>
      <c r="K71" s="1020">
        <f t="shared" si="1"/>
        <v>0.8</v>
      </c>
      <c r="L71" s="1021">
        <v>20</v>
      </c>
      <c r="M71" s="1021">
        <f>VLOOKUP(B71,'[26]CN BC'!$F$10:$H$267,3,FALSE)</f>
        <v>22</v>
      </c>
      <c r="N71" s="1021">
        <f t="shared" si="2"/>
        <v>20</v>
      </c>
      <c r="O71" s="1022"/>
      <c r="P71" s="1023">
        <f t="shared" si="3"/>
        <v>9322560.0000000019</v>
      </c>
      <c r="Q71" s="1515">
        <f t="shared" si="5"/>
        <v>3.9840000000000009</v>
      </c>
      <c r="R71" s="1429">
        <v>2340000</v>
      </c>
      <c r="S71" s="1486">
        <f t="shared" si="6"/>
        <v>9322560.0000000019</v>
      </c>
      <c r="T71" s="1024">
        <f t="shared" si="4"/>
        <v>47</v>
      </c>
      <c r="U71" s="1025">
        <f>VLOOKUP(B71,'[26]CN BC'!$F$10:$K$267,6,FALSE)</f>
        <v>0</v>
      </c>
      <c r="V71" s="1027"/>
      <c r="W71" s="1489"/>
      <c r="X71" s="1012"/>
      <c r="Y71" s="1012"/>
      <c r="Z71" s="1012"/>
    </row>
    <row r="72" spans="1:30" s="1028" customFormat="1" ht="33.75" customHeight="1">
      <c r="A72" s="1014">
        <f>_xlfn.AGGREGATE(4,7,A$24:A71)+1</f>
        <v>48</v>
      </c>
      <c r="B72" s="1015" t="s">
        <v>1465</v>
      </c>
      <c r="C72" s="1033" t="s">
        <v>1661</v>
      </c>
      <c r="D72" s="1047">
        <v>1603205182394</v>
      </c>
      <c r="E72" s="81" t="s">
        <v>2437</v>
      </c>
      <c r="F72" s="1018">
        <v>4.32</v>
      </c>
      <c r="G72" s="1019"/>
      <c r="H72" s="1248">
        <f t="shared" si="0"/>
        <v>0</v>
      </c>
      <c r="I72" s="1020"/>
      <c r="J72" s="1020" t="str">
        <f>VLOOKUP(B72,[25]!Table2[[Column2]:[Column6]],4,FALSE)</f>
        <v>A1</v>
      </c>
      <c r="K72" s="1020">
        <f t="shared" si="1"/>
        <v>0.8</v>
      </c>
      <c r="L72" s="1021">
        <v>20</v>
      </c>
      <c r="M72" s="1021">
        <f>VLOOKUP(B72,'[26]CN BC'!$F$10:$H$267,3,FALSE)</f>
        <v>22.5</v>
      </c>
      <c r="N72" s="1021">
        <f t="shared" si="2"/>
        <v>20</v>
      </c>
      <c r="O72" s="1022"/>
      <c r="P72" s="1023">
        <f t="shared" si="3"/>
        <v>8087040</v>
      </c>
      <c r="Q72" s="1515">
        <f t="shared" si="5"/>
        <v>3.456</v>
      </c>
      <c r="R72" s="1429">
        <v>2340000</v>
      </c>
      <c r="S72" s="1486">
        <f t="shared" si="6"/>
        <v>8087040</v>
      </c>
      <c r="T72" s="1024">
        <f t="shared" si="4"/>
        <v>48</v>
      </c>
      <c r="U72" s="1025">
        <f>VLOOKUP(B72,'[26]CN BC'!$F$10:$K$267,6,FALSE)</f>
        <v>0</v>
      </c>
      <c r="V72" s="1027"/>
      <c r="W72" s="1489"/>
      <c r="X72" s="1012"/>
      <c r="Y72" s="1012"/>
      <c r="Z72" s="1012"/>
    </row>
    <row r="73" spans="1:30" s="1028" customFormat="1" ht="33.75" customHeight="1">
      <c r="A73" s="1014">
        <f>_xlfn.AGGREGATE(4,7,A$24:A72)+1</f>
        <v>49</v>
      </c>
      <c r="B73" s="1015" t="s">
        <v>844</v>
      </c>
      <c r="C73" s="1033" t="s">
        <v>1662</v>
      </c>
      <c r="D73" s="1047" t="s">
        <v>369</v>
      </c>
      <c r="E73" s="81" t="s">
        <v>2437</v>
      </c>
      <c r="F73" s="1018">
        <v>3.66</v>
      </c>
      <c r="G73" s="1019"/>
      <c r="H73" s="1248">
        <f t="shared" si="0"/>
        <v>0</v>
      </c>
      <c r="I73" s="1020"/>
      <c r="J73" s="1020" t="str">
        <f>VLOOKUP(B73,[25]!Table2[[Column2]:[Column6]],4,FALSE)</f>
        <v>A1</v>
      </c>
      <c r="K73" s="1020">
        <f t="shared" si="1"/>
        <v>0.8</v>
      </c>
      <c r="L73" s="1021">
        <v>20</v>
      </c>
      <c r="M73" s="1021">
        <f>VLOOKUP(B73,'[26]CN BC'!$F$10:$H$267,3,FALSE)</f>
        <v>22</v>
      </c>
      <c r="N73" s="1021">
        <f t="shared" si="2"/>
        <v>20</v>
      </c>
      <c r="O73" s="1022"/>
      <c r="P73" s="1023">
        <f t="shared" si="3"/>
        <v>6851520</v>
      </c>
      <c r="Q73" s="1515">
        <f t="shared" si="5"/>
        <v>2.9279999999999999</v>
      </c>
      <c r="R73" s="1429">
        <v>2340000</v>
      </c>
      <c r="S73" s="1486">
        <f t="shared" si="6"/>
        <v>6851520</v>
      </c>
      <c r="T73" s="1024">
        <f t="shared" si="4"/>
        <v>49</v>
      </c>
      <c r="U73" s="1025">
        <f>VLOOKUP(B73,'[26]CN BC'!$F$10:$K$267,6,FALSE)</f>
        <v>0</v>
      </c>
      <c r="V73" s="1027"/>
      <c r="W73" s="1489"/>
      <c r="X73" s="1012"/>
      <c r="Y73" s="1012"/>
      <c r="Z73" s="1012"/>
    </row>
    <row r="74" spans="1:30" s="1028" customFormat="1" ht="33.75" customHeight="1">
      <c r="A74" s="1014">
        <f>_xlfn.AGGREGATE(4,7,A$24:A73)+1</f>
        <v>50</v>
      </c>
      <c r="B74" s="1061" t="s">
        <v>1557</v>
      </c>
      <c r="C74" s="1033" t="s">
        <v>1664</v>
      </c>
      <c r="D74" s="1057">
        <v>1603205182762</v>
      </c>
      <c r="E74" s="81" t="s">
        <v>2437</v>
      </c>
      <c r="F74" s="1040">
        <v>3.99</v>
      </c>
      <c r="G74" s="1062"/>
      <c r="H74" s="1248">
        <f t="shared" si="0"/>
        <v>0</v>
      </c>
      <c r="I74" s="1018"/>
      <c r="J74" s="1020" t="str">
        <f>VLOOKUP(B74,[25]!Table2[[Column2]:[Column6]],4,FALSE)</f>
        <v>A1</v>
      </c>
      <c r="K74" s="1020">
        <f t="shared" si="1"/>
        <v>0.8</v>
      </c>
      <c r="L74" s="1021">
        <v>20</v>
      </c>
      <c r="M74" s="1021">
        <f>VLOOKUP(B74,'[26]CN BC'!$F$10:$H$267,3,FALSE)</f>
        <v>24.5</v>
      </c>
      <c r="N74" s="1021">
        <f t="shared" si="2"/>
        <v>20</v>
      </c>
      <c r="O74" s="1022"/>
      <c r="P74" s="1023">
        <f t="shared" si="3"/>
        <v>7469280</v>
      </c>
      <c r="Q74" s="1515">
        <f t="shared" si="5"/>
        <v>3.1920000000000002</v>
      </c>
      <c r="R74" s="1429">
        <v>2340000</v>
      </c>
      <c r="S74" s="1486">
        <f t="shared" si="6"/>
        <v>7469280</v>
      </c>
      <c r="T74" s="1024">
        <f t="shared" si="4"/>
        <v>50</v>
      </c>
      <c r="U74" s="1025">
        <f>VLOOKUP(B74,'[26]CN BC'!$F$10:$K$267,6,FALSE)</f>
        <v>0</v>
      </c>
      <c r="V74" s="1027"/>
      <c r="W74" s="1489"/>
      <c r="X74" s="1012"/>
      <c r="Y74" s="1012"/>
      <c r="Z74" s="1012"/>
    </row>
    <row r="75" spans="1:30" s="1028" customFormat="1" ht="33.75" customHeight="1">
      <c r="A75" s="1014">
        <f>_xlfn.AGGREGATE(4,7,A$24:A74)+1</f>
        <v>51</v>
      </c>
      <c r="B75" s="1015" t="s">
        <v>1524</v>
      </c>
      <c r="C75" s="1033" t="s">
        <v>1666</v>
      </c>
      <c r="D75" s="1047">
        <v>1603205182178</v>
      </c>
      <c r="E75" s="81" t="s">
        <v>2437</v>
      </c>
      <c r="F75" s="1018">
        <v>3.99</v>
      </c>
      <c r="G75" s="1019"/>
      <c r="H75" s="1248">
        <f t="shared" si="0"/>
        <v>0</v>
      </c>
      <c r="I75" s="1020"/>
      <c r="J75" s="1020" t="str">
        <f>VLOOKUP(B75,[25]!Table2[[Column2]:[Column6]],4,FALSE)</f>
        <v>A2</v>
      </c>
      <c r="K75" s="1020">
        <f t="shared" si="1"/>
        <v>0.7</v>
      </c>
      <c r="L75" s="1021">
        <v>20</v>
      </c>
      <c r="M75" s="1021">
        <f>VLOOKUP(B75,'[26]CN BC'!$F$10:$H$267,3,FALSE)</f>
        <v>23</v>
      </c>
      <c r="N75" s="1021">
        <f t="shared" si="2"/>
        <v>20</v>
      </c>
      <c r="O75" s="1022"/>
      <c r="P75" s="1023">
        <f t="shared" si="3"/>
        <v>6535620</v>
      </c>
      <c r="Q75" s="1515">
        <f t="shared" si="5"/>
        <v>2.7930000000000001</v>
      </c>
      <c r="R75" s="1429">
        <v>2340000</v>
      </c>
      <c r="S75" s="1486">
        <f t="shared" si="6"/>
        <v>6535620</v>
      </c>
      <c r="T75" s="1024">
        <f t="shared" si="4"/>
        <v>51</v>
      </c>
      <c r="U75" s="1025">
        <f>VLOOKUP(B75,'[26]CN BC'!$F$10:$K$267,6,FALSE)</f>
        <v>0</v>
      </c>
      <c r="V75" s="1038"/>
      <c r="W75" s="1489"/>
    </row>
    <row r="76" spans="1:30" s="1028" customFormat="1" ht="33.75" customHeight="1">
      <c r="A76" s="1014">
        <f>_xlfn.AGGREGATE(4,7,A$24:A75)+1</f>
        <v>52</v>
      </c>
      <c r="B76" s="1043" t="s">
        <v>1860</v>
      </c>
      <c r="C76" s="1044" t="s">
        <v>1667</v>
      </c>
      <c r="D76" s="1045">
        <v>1603205351697</v>
      </c>
      <c r="E76" s="81" t="s">
        <v>2437</v>
      </c>
      <c r="F76" s="1040">
        <v>3.66</v>
      </c>
      <c r="G76" s="1019"/>
      <c r="H76" s="1255">
        <f t="shared" si="0"/>
        <v>0</v>
      </c>
      <c r="I76" s="1020"/>
      <c r="J76" s="1020" t="str">
        <f>VLOOKUP(B76,[25]!Table2[[Column2]:[Column6]],4,FALSE)</f>
        <v>A1</v>
      </c>
      <c r="K76" s="1020">
        <f t="shared" si="1"/>
        <v>0.8</v>
      </c>
      <c r="L76" s="1021">
        <v>20</v>
      </c>
      <c r="M76" s="1021">
        <f>VLOOKUP(B76,'[26]CN BC'!$F$10:$H$267,3,FALSE)</f>
        <v>22</v>
      </c>
      <c r="N76" s="1021">
        <f t="shared" si="2"/>
        <v>20</v>
      </c>
      <c r="O76" s="1035"/>
      <c r="P76" s="1023">
        <f t="shared" si="3"/>
        <v>6851520</v>
      </c>
      <c r="Q76" s="1515">
        <f t="shared" si="5"/>
        <v>2.9279999999999999</v>
      </c>
      <c r="R76" s="1429">
        <v>2340000</v>
      </c>
      <c r="S76" s="1486">
        <f t="shared" si="6"/>
        <v>6851520</v>
      </c>
      <c r="T76" s="1024">
        <f t="shared" si="4"/>
        <v>52</v>
      </c>
      <c r="U76" s="1025">
        <f>VLOOKUP(B76,'[26]CN BC'!$F$10:$K$267,6,FALSE)</f>
        <v>0</v>
      </c>
      <c r="V76" s="1038"/>
      <c r="W76" s="1489"/>
    </row>
    <row r="77" spans="1:30" s="1028" customFormat="1" ht="33.75" customHeight="1">
      <c r="A77" s="1014">
        <f>_xlfn.AGGREGATE(4,7,A$24:A76)+1</f>
        <v>53</v>
      </c>
      <c r="B77" s="1061" t="s">
        <v>1556</v>
      </c>
      <c r="C77" s="1033" t="s">
        <v>1648</v>
      </c>
      <c r="D77" s="1057">
        <v>1603205182727</v>
      </c>
      <c r="E77" s="81" t="s">
        <v>2437</v>
      </c>
      <c r="F77" s="1040">
        <v>4.6500000000000004</v>
      </c>
      <c r="G77" s="1062"/>
      <c r="H77" s="1248">
        <f>ROUND(F77*G77,3)</f>
        <v>0</v>
      </c>
      <c r="I77" s="1018"/>
      <c r="J77" s="1020" t="str">
        <f>VLOOKUP(B77,[25]!Table2[[Column2]:[Column6]],4,FALSE)</f>
        <v>A2</v>
      </c>
      <c r="K77" s="1020">
        <f>IF(J77="A1",0.8,IF(J77="A2",0.7,IF(J77="A3",0.6,IF(J77="A4",0.5,IF(J77="B1",0.35,IF(J77="B2",0.25,IF(J77="C1",0.15,IF(J77="C2",0.1,0))))))))</f>
        <v>0.7</v>
      </c>
      <c r="L77" s="1021">
        <v>20</v>
      </c>
      <c r="M77" s="1021">
        <f>VLOOKUP(B77,'[26]CN BC'!$F$10:$H$267,3,FALSE)</f>
        <v>20.5</v>
      </c>
      <c r="N77" s="1021">
        <f>IF(M77&gt;=L77,L77,IF(M77&lt;L77,M77))</f>
        <v>20</v>
      </c>
      <c r="O77" s="1022"/>
      <c r="P77" s="1023">
        <f>(((F77+H77+I77)*$P$21/L77*N77)*K77)+O77</f>
        <v>7616699.9999999991</v>
      </c>
      <c r="Q77" s="1515">
        <f t="shared" si="5"/>
        <v>3.2549999999999994</v>
      </c>
      <c r="R77" s="1429">
        <v>2340000</v>
      </c>
      <c r="S77" s="1486">
        <f t="shared" si="6"/>
        <v>7616699.9999999991</v>
      </c>
      <c r="T77" s="1024">
        <f>A77</f>
        <v>53</v>
      </c>
      <c r="U77" s="1025">
        <f>VLOOKUP(B77,'[26]CN BC'!$F$10:$K$267,6,FALSE)</f>
        <v>0</v>
      </c>
      <c r="V77" s="1027"/>
      <c r="W77" s="1489"/>
      <c r="X77" s="1012"/>
      <c r="Y77" s="1012"/>
      <c r="Z77" s="1012"/>
    </row>
    <row r="78" spans="1:30" s="1028" customFormat="1" ht="33.75" customHeight="1">
      <c r="A78" s="1014">
        <f>_xlfn.AGGREGATE(4,7,A$24:A77)+1</f>
        <v>54</v>
      </c>
      <c r="B78" s="1043" t="s">
        <v>2009</v>
      </c>
      <c r="C78" s="1044"/>
      <c r="D78" s="1045"/>
      <c r="E78" s="81" t="s">
        <v>2437</v>
      </c>
      <c r="F78" s="1040">
        <v>3.99</v>
      </c>
      <c r="G78" s="1019"/>
      <c r="H78" s="1248">
        <f>ROUND(F78*G78,3)</f>
        <v>0</v>
      </c>
      <c r="I78" s="1020"/>
      <c r="J78" s="1020" t="str">
        <f>VLOOKUP(B78,[25]!Table2[[Column2]:[Column6]],4,FALSE)</f>
        <v>A2</v>
      </c>
      <c r="K78" s="1020">
        <f>IF(J78="A1",0.8,IF(J78="A2",0.7,IF(J78="A3",0.6,IF(J78="A4",0.5,IF(J78="B1",0.35,IF(J78="B2",0.25,IF(J78="C1",0.15,IF(J78="C2",0.1,0))))))))</f>
        <v>0.7</v>
      </c>
      <c r="L78" s="1021">
        <v>20</v>
      </c>
      <c r="M78" s="1021">
        <f>VLOOKUP(B78,'[26]CN BC'!$F$10:$H$267,3,FALSE)</f>
        <v>19.5</v>
      </c>
      <c r="N78" s="1021">
        <f>IF(M78&gt;=L78,L78,IF(M78&lt;L78,M78))</f>
        <v>19.5</v>
      </c>
      <c r="O78" s="1022"/>
      <c r="P78" s="1023">
        <f>(((F78+H78+I78)*$P$21/L78*N78)*K78)+O78</f>
        <v>6372229.5</v>
      </c>
      <c r="Q78" s="1515">
        <f t="shared" si="5"/>
        <v>2.7231749999999999</v>
      </c>
      <c r="R78" s="1429">
        <v>2340000</v>
      </c>
      <c r="S78" s="1486">
        <f t="shared" si="6"/>
        <v>6372229.5</v>
      </c>
      <c r="T78" s="1024">
        <f>A78</f>
        <v>54</v>
      </c>
      <c r="U78" s="1025" t="str">
        <f>VLOOKUP(B78,'[26]CN BC'!$F$10:$K$267,6,FALSE)</f>
        <v xml:space="preserve">Trừ 1/2 ngày nghỉ phép </v>
      </c>
      <c r="V78" s="1038"/>
      <c r="W78" s="1489"/>
    </row>
    <row r="79" spans="1:30" s="1012" customFormat="1" ht="45.75" customHeight="1">
      <c r="A79" s="1014">
        <f>_xlfn.AGGREGATE(4,7,A$24:A78)+1</f>
        <v>55</v>
      </c>
      <c r="B79" s="1050" t="s">
        <v>1861</v>
      </c>
      <c r="C79" s="1029" t="s">
        <v>1668</v>
      </c>
      <c r="D79" s="1051" t="s">
        <v>1361</v>
      </c>
      <c r="E79" s="81" t="s">
        <v>2438</v>
      </c>
      <c r="F79" s="1052">
        <v>4.6500000000000004</v>
      </c>
      <c r="G79" s="1053"/>
      <c r="H79" s="1248">
        <f t="shared" si="0"/>
        <v>0</v>
      </c>
      <c r="I79" s="1020">
        <v>0.45</v>
      </c>
      <c r="J79" s="1020" t="str">
        <f>VLOOKUP(B79,[25]!Table2[[Column2]:[Column6]],4,FALSE)</f>
        <v>A2</v>
      </c>
      <c r="K79" s="1020">
        <f t="shared" si="1"/>
        <v>0.7</v>
      </c>
      <c r="L79" s="1021">
        <v>20</v>
      </c>
      <c r="M79" s="1021">
        <f>VLOOKUP(B79,'[26]CN BC'!$F$10:$H$267,3,FALSE)</f>
        <v>23</v>
      </c>
      <c r="N79" s="1021">
        <f t="shared" si="2"/>
        <v>20</v>
      </c>
      <c r="O79" s="1022"/>
      <c r="P79" s="1023">
        <f t="shared" si="3"/>
        <v>8353800.0000000009</v>
      </c>
      <c r="Q79" s="1515">
        <f t="shared" si="5"/>
        <v>3.5700000000000003</v>
      </c>
      <c r="R79" s="1429">
        <v>2340000</v>
      </c>
      <c r="S79" s="1486">
        <f t="shared" si="6"/>
        <v>8353800.0000000009</v>
      </c>
      <c r="T79" s="1024">
        <f t="shared" si="4"/>
        <v>55</v>
      </c>
      <c r="U79" s="1025">
        <f>VLOOKUP(B79,'[26]CN BC'!$F$10:$K$267,6,FALSE)</f>
        <v>0</v>
      </c>
      <c r="V79" s="1027"/>
      <c r="W79" s="1489"/>
    </row>
    <row r="80" spans="1:30" s="1012" customFormat="1" ht="45.75" customHeight="1">
      <c r="A80" s="1014">
        <f>_xlfn.AGGREGATE(4,7,A$24:A79)+1</f>
        <v>56</v>
      </c>
      <c r="B80" s="1050" t="s">
        <v>1853</v>
      </c>
      <c r="C80" s="1029" t="s">
        <v>1639</v>
      </c>
      <c r="D80" s="1051" t="s">
        <v>1271</v>
      </c>
      <c r="E80" s="81" t="s">
        <v>2439</v>
      </c>
      <c r="F80" s="1018">
        <v>4.6500000000000004</v>
      </c>
      <c r="G80" s="1053"/>
      <c r="H80" s="1248">
        <f t="shared" si="0"/>
        <v>0</v>
      </c>
      <c r="I80" s="1054">
        <v>0.35</v>
      </c>
      <c r="J80" s="1020" t="str">
        <f>VLOOKUP(B80,[25]!Table2[[Column2]:[Column6]],4,FALSE)</f>
        <v>A2</v>
      </c>
      <c r="K80" s="1020">
        <f t="shared" si="1"/>
        <v>0.7</v>
      </c>
      <c r="L80" s="1021">
        <v>20</v>
      </c>
      <c r="M80" s="1021">
        <f>VLOOKUP(B80,'[26]CN BC'!$F$10:$H$267,3,FALSE)</f>
        <v>22</v>
      </c>
      <c r="N80" s="1021">
        <f t="shared" si="2"/>
        <v>20</v>
      </c>
      <c r="O80" s="1022"/>
      <c r="P80" s="1023">
        <f t="shared" si="3"/>
        <v>8189999.9999999991</v>
      </c>
      <c r="Q80" s="1515">
        <f t="shared" si="5"/>
        <v>3.4999999999999996</v>
      </c>
      <c r="R80" s="1429">
        <v>2340000</v>
      </c>
      <c r="S80" s="1486">
        <f t="shared" si="6"/>
        <v>8189999.9999999991</v>
      </c>
      <c r="T80" s="1024">
        <f t="shared" si="4"/>
        <v>56</v>
      </c>
      <c r="U80" s="1025">
        <f>VLOOKUP(B80,'[26]CN BC'!$F$10:$K$267,6,FALSE)</f>
        <v>0</v>
      </c>
      <c r="V80" s="1027"/>
      <c r="W80" s="1489"/>
    </row>
    <row r="81" spans="1:30" s="1028" customFormat="1" ht="44.25" customHeight="1">
      <c r="A81" s="1014">
        <f>_xlfn.AGGREGATE(4,7,A$24:A80)+1</f>
        <v>57</v>
      </c>
      <c r="B81" s="1015" t="s">
        <v>842</v>
      </c>
      <c r="C81" s="1033" t="s">
        <v>1671</v>
      </c>
      <c r="D81" s="1034" t="s">
        <v>396</v>
      </c>
      <c r="E81" s="81" t="s">
        <v>2440</v>
      </c>
      <c r="F81" s="1018">
        <v>3.66</v>
      </c>
      <c r="G81" s="1019"/>
      <c r="H81" s="1248">
        <f t="shared" si="0"/>
        <v>0</v>
      </c>
      <c r="I81" s="1020"/>
      <c r="J81" s="1020" t="str">
        <f>VLOOKUP(B81,[25]!Table2[[Column2]:[Column6]],4,FALSE)</f>
        <v>A3</v>
      </c>
      <c r="K81" s="1020">
        <f t="shared" si="1"/>
        <v>0.6</v>
      </c>
      <c r="L81" s="1021">
        <v>20</v>
      </c>
      <c r="M81" s="1021">
        <f>VLOOKUP(B81,'[26]CN BC'!$F$10:$H$267,3,FALSE)</f>
        <v>21</v>
      </c>
      <c r="N81" s="1021">
        <f t="shared" si="2"/>
        <v>20</v>
      </c>
      <c r="O81" s="1022"/>
      <c r="P81" s="1023">
        <f t="shared" si="3"/>
        <v>5138640</v>
      </c>
      <c r="Q81" s="1515">
        <f t="shared" si="5"/>
        <v>2.1960000000000002</v>
      </c>
      <c r="R81" s="1429">
        <v>2340000</v>
      </c>
      <c r="S81" s="1486">
        <f t="shared" si="6"/>
        <v>5138640</v>
      </c>
      <c r="T81" s="1024">
        <f t="shared" si="4"/>
        <v>57</v>
      </c>
      <c r="U81" s="1025">
        <f>VLOOKUP(B81,'[26]CN BC'!$F$10:$K$267,6,FALSE)</f>
        <v>0</v>
      </c>
      <c r="V81" s="1027"/>
      <c r="W81" s="1489"/>
      <c r="X81" s="1012"/>
      <c r="Y81" s="1012"/>
      <c r="Z81" s="1012"/>
    </row>
    <row r="82" spans="1:30" s="1028" customFormat="1" ht="44.25" customHeight="1">
      <c r="A82" s="1014">
        <f>_xlfn.AGGREGATE(4,7,A$24:A81)+1</f>
        <v>58</v>
      </c>
      <c r="B82" s="1015" t="s">
        <v>1551</v>
      </c>
      <c r="C82" s="1029" t="s">
        <v>1672</v>
      </c>
      <c r="D82" s="1057">
        <v>1603205182756</v>
      </c>
      <c r="E82" s="81" t="s">
        <v>2440</v>
      </c>
      <c r="F82" s="1018">
        <v>3.66</v>
      </c>
      <c r="G82" s="1019"/>
      <c r="H82" s="1248">
        <f t="shared" si="0"/>
        <v>0</v>
      </c>
      <c r="I82" s="1020"/>
      <c r="J82" s="1020" t="str">
        <f>VLOOKUP(B82,[25]!Table2[[Column2]:[Column6]],4,FALSE)</f>
        <v>A3</v>
      </c>
      <c r="K82" s="1020">
        <f t="shared" si="1"/>
        <v>0.6</v>
      </c>
      <c r="L82" s="1021">
        <v>20</v>
      </c>
      <c r="M82" s="1021">
        <f>VLOOKUP(B82,'[26]CN BC'!$F$10:$H$267,3,FALSE)</f>
        <v>20</v>
      </c>
      <c r="N82" s="1021">
        <f t="shared" si="2"/>
        <v>20</v>
      </c>
      <c r="O82" s="1022"/>
      <c r="P82" s="1023">
        <f t="shared" si="3"/>
        <v>5138640</v>
      </c>
      <c r="Q82" s="1515">
        <f t="shared" si="5"/>
        <v>2.1960000000000002</v>
      </c>
      <c r="R82" s="1429">
        <v>2340000</v>
      </c>
      <c r="S82" s="1486">
        <f t="shared" si="6"/>
        <v>5138640</v>
      </c>
      <c r="T82" s="1024">
        <f t="shared" si="4"/>
        <v>58</v>
      </c>
      <c r="U82" s="1025">
        <f>VLOOKUP(B82,'[26]CN BC'!$F$10:$K$267,6,FALSE)</f>
        <v>0</v>
      </c>
      <c r="V82" s="1027"/>
      <c r="W82" s="1489"/>
      <c r="X82" s="1012"/>
      <c r="Y82" s="1012"/>
      <c r="Z82" s="1012"/>
      <c r="AA82" s="1012"/>
      <c r="AB82" s="1012"/>
      <c r="AC82" s="1012"/>
      <c r="AD82" s="1012"/>
    </row>
    <row r="83" spans="1:30" s="1028" customFormat="1" ht="44.25" customHeight="1">
      <c r="A83" s="1014">
        <f>_xlfn.AGGREGATE(4,7,A$24:A82)+1</f>
        <v>59</v>
      </c>
      <c r="B83" s="1015" t="s">
        <v>1521</v>
      </c>
      <c r="C83" s="1029" t="s">
        <v>1673</v>
      </c>
      <c r="D83" s="1063">
        <v>1603205286752</v>
      </c>
      <c r="E83" s="81" t="s">
        <v>2440</v>
      </c>
      <c r="F83" s="1040">
        <v>3.66</v>
      </c>
      <c r="G83" s="1019"/>
      <c r="H83" s="1248">
        <f t="shared" si="0"/>
        <v>0</v>
      </c>
      <c r="I83" s="1020"/>
      <c r="J83" s="1020" t="str">
        <f>VLOOKUP(B83,[25]!Table2[[Column2]:[Column6]],4,FALSE)</f>
        <v>A3</v>
      </c>
      <c r="K83" s="1020">
        <f t="shared" si="1"/>
        <v>0.6</v>
      </c>
      <c r="L83" s="1021">
        <v>20</v>
      </c>
      <c r="M83" s="1021">
        <f>VLOOKUP(B83,'[26]CN BC'!$F$10:$H$267,3,FALSE)</f>
        <v>21</v>
      </c>
      <c r="N83" s="1021">
        <f t="shared" si="2"/>
        <v>20</v>
      </c>
      <c r="O83" s="1022"/>
      <c r="P83" s="1023">
        <f t="shared" si="3"/>
        <v>5138640</v>
      </c>
      <c r="Q83" s="1515">
        <f t="shared" si="5"/>
        <v>2.1960000000000002</v>
      </c>
      <c r="R83" s="1429">
        <v>2340000</v>
      </c>
      <c r="S83" s="1486">
        <f t="shared" si="6"/>
        <v>5138640</v>
      </c>
      <c r="T83" s="1024">
        <f t="shared" si="4"/>
        <v>59</v>
      </c>
      <c r="U83" s="1025">
        <f>VLOOKUP(B83,'[26]CN BC'!$F$10:$K$267,6,FALSE)</f>
        <v>0</v>
      </c>
      <c r="V83" s="1027"/>
      <c r="W83" s="1489"/>
      <c r="X83" s="1012"/>
      <c r="Y83" s="1012"/>
      <c r="Z83" s="1012"/>
      <c r="AA83" s="1012"/>
      <c r="AB83" s="1012"/>
      <c r="AC83" s="1012"/>
      <c r="AD83" s="1012"/>
    </row>
    <row r="84" spans="1:30" s="1028" customFormat="1" ht="44.25" customHeight="1">
      <c r="A84" s="1014">
        <f>_xlfn.AGGREGATE(4,7,A$24:A83)+1</f>
        <v>60</v>
      </c>
      <c r="B84" s="1015" t="s">
        <v>1484</v>
      </c>
      <c r="C84" s="1033" t="s">
        <v>1649</v>
      </c>
      <c r="D84" s="1045">
        <v>1603205357194</v>
      </c>
      <c r="E84" s="81" t="s">
        <v>2440</v>
      </c>
      <c r="F84" s="1064">
        <v>3.66</v>
      </c>
      <c r="G84" s="1019"/>
      <c r="H84" s="1248">
        <f>ROUND(F84*G84,3)</f>
        <v>0</v>
      </c>
      <c r="I84" s="1020"/>
      <c r="J84" s="1020" t="str">
        <f>VLOOKUP(B84,[25]!Table2[[Column2]:[Column6]],4,FALSE)</f>
        <v>A3</v>
      </c>
      <c r="K84" s="1020">
        <f>IF(J84="A1",0.8,IF(J84="A2",0.7,IF(J84="A3",0.6,IF(J84="A4",0.5,IF(J84="B1",0.35,IF(J84="B2",0.25,IF(J84="C1",0.15,IF(J84="C2",0.1,0))))))))</f>
        <v>0.6</v>
      </c>
      <c r="L84" s="1021">
        <v>20</v>
      </c>
      <c r="M84" s="1021">
        <f>VLOOKUP(B84,'[26]CN BC'!$F$10:$H$267,3,FALSE)</f>
        <v>22</v>
      </c>
      <c r="N84" s="1021">
        <f>IF(M84&gt;=L84,L84,IF(M84&lt;L84,M84))</f>
        <v>20</v>
      </c>
      <c r="O84" s="1022"/>
      <c r="P84" s="1023">
        <f>(((F84+H84+I84)*$P$21/L84*N84)*K84)+O84</f>
        <v>5138640</v>
      </c>
      <c r="Q84" s="1515">
        <f t="shared" si="5"/>
        <v>2.1960000000000002</v>
      </c>
      <c r="R84" s="1429">
        <v>2340000</v>
      </c>
      <c r="S84" s="1486">
        <f t="shared" si="6"/>
        <v>5138640</v>
      </c>
      <c r="T84" s="1024">
        <f>A84</f>
        <v>60</v>
      </c>
      <c r="U84" s="1025">
        <f>VLOOKUP(B84,'[26]CN BC'!$F$10:$K$267,6,FALSE)</f>
        <v>0</v>
      </c>
      <c r="V84" s="1038"/>
      <c r="W84" s="1489"/>
    </row>
    <row r="85" spans="1:30" s="1028" customFormat="1" ht="44.25" customHeight="1">
      <c r="A85" s="1014">
        <f>_xlfn.AGGREGATE(4,7,A$24:A84)+1</f>
        <v>61</v>
      </c>
      <c r="B85" s="1015" t="s">
        <v>1854</v>
      </c>
      <c r="C85" s="1033" t="s">
        <v>1616</v>
      </c>
      <c r="D85" s="1034" t="s">
        <v>1260</v>
      </c>
      <c r="E85" s="81" t="s">
        <v>2440</v>
      </c>
      <c r="F85" s="1018">
        <v>4.9800000000000004</v>
      </c>
      <c r="G85" s="1019">
        <v>0.09</v>
      </c>
      <c r="H85" s="1255">
        <f>ROUND(F85*G85,3)</f>
        <v>0.44800000000000001</v>
      </c>
      <c r="I85" s="1020"/>
      <c r="J85" s="1020" t="str">
        <f>VLOOKUP(B85,[25]!Table2[[Column2]:[Column6]],4,FALSE)</f>
        <v>A3</v>
      </c>
      <c r="K85" s="1020">
        <f>IF(J85="A1",0.8,IF(J85="A2",0.7,IF(J85="A3",0.6,IF(J85="A4",0.5,IF(J85="B1",0.35,IF(J85="B2",0.25,IF(J85="C1",0.15,IF(J85="C2",0.1,0))))))))</f>
        <v>0.6</v>
      </c>
      <c r="L85" s="1021">
        <v>20</v>
      </c>
      <c r="M85" s="1021">
        <f>VLOOKUP(B85,'[26]CN BC'!$F$10:$H$267,3,FALSE)</f>
        <v>20</v>
      </c>
      <c r="N85" s="1021">
        <f>IF(M85&gt;=L85,L85,IF(M85&lt;L85,M85))</f>
        <v>20</v>
      </c>
      <c r="O85" s="1035"/>
      <c r="P85" s="1023">
        <f>(((F85+H85+I85)*$P$21/L85*N85)*K85)+O85</f>
        <v>7620912.0000000009</v>
      </c>
      <c r="Q85" s="1515">
        <f t="shared" si="5"/>
        <v>3.2568000000000006</v>
      </c>
      <c r="R85" s="1429">
        <v>2340000</v>
      </c>
      <c r="S85" s="1486">
        <f t="shared" si="6"/>
        <v>7620912.0000000009</v>
      </c>
      <c r="T85" s="1024">
        <f>A85</f>
        <v>61</v>
      </c>
      <c r="U85" s="1025">
        <f>VLOOKUP(B85,'[26]CN BC'!$F$10:$K$267,6,FALSE)</f>
        <v>0</v>
      </c>
      <c r="V85" s="1038"/>
      <c r="W85" s="1489"/>
    </row>
    <row r="86" spans="1:30" s="1028" customFormat="1" ht="40.5" customHeight="1">
      <c r="A86" s="1014">
        <f>_xlfn.AGGREGATE(4,7,A$24:A85)+1</f>
        <v>62</v>
      </c>
      <c r="B86" s="1043" t="s">
        <v>1830</v>
      </c>
      <c r="C86" s="1044" t="s">
        <v>1829</v>
      </c>
      <c r="D86" s="1068">
        <v>1603205354978</v>
      </c>
      <c r="E86" s="81" t="s">
        <v>2443</v>
      </c>
      <c r="F86" s="1040">
        <v>3</v>
      </c>
      <c r="G86" s="1019"/>
      <c r="H86" s="1248">
        <f t="shared" ref="H86:H149" si="13">ROUND(F86*G86,3)</f>
        <v>0</v>
      </c>
      <c r="I86" s="1020">
        <v>0.45</v>
      </c>
      <c r="J86" s="1020" t="str">
        <f>VLOOKUP(B86,[25]!Table2[[Column2]:[Column6]],4,FALSE)</f>
        <v>A1</v>
      </c>
      <c r="K86" s="1020">
        <f t="shared" ref="K86:K149" si="14">IF(J86="A1",0.8,IF(J86="A2",0.7,IF(J86="A3",0.6,IF(J86="A4",0.5,IF(J86="B1",0.35,IF(J86="B2",0.25,IF(J86="C1",0.15,IF(J86="C2",0.1,0))))))))</f>
        <v>0.8</v>
      </c>
      <c r="L86" s="1021">
        <v>20</v>
      </c>
      <c r="M86" s="1021">
        <f>VLOOKUP(B86,'[26]CN BC'!$F$10:$H$267,3,FALSE)</f>
        <v>28</v>
      </c>
      <c r="N86" s="1021">
        <f t="shared" ref="N86:N149" si="15">IF(M86&gt;=L86,L86,IF(M86&lt;L86,M86))</f>
        <v>20</v>
      </c>
      <c r="O86" s="1022"/>
      <c r="P86" s="1023">
        <f t="shared" ref="P86:P149" si="16">(((F86+H86+I86)*$P$21/L86*N86)*K86)+O86</f>
        <v>6458400</v>
      </c>
      <c r="Q86" s="1515">
        <f t="shared" si="5"/>
        <v>2.76</v>
      </c>
      <c r="R86" s="1429">
        <v>2340000</v>
      </c>
      <c r="S86" s="1486">
        <f t="shared" si="6"/>
        <v>6458399.9999999991</v>
      </c>
      <c r="T86" s="1069">
        <f t="shared" ref="T86:T149" si="17">A86</f>
        <v>62</v>
      </c>
      <c r="U86" s="1025">
        <f>VLOOKUP(B86,'[26]CN BC'!$F$10:$K$267,6,FALSE)</f>
        <v>0</v>
      </c>
      <c r="V86" s="1027"/>
      <c r="W86" s="1489"/>
      <c r="X86" s="1012"/>
      <c r="Y86" s="1012"/>
      <c r="Z86" s="1012"/>
    </row>
    <row r="87" spans="1:30" s="1028" customFormat="1" ht="45.75" customHeight="1">
      <c r="A87" s="1014">
        <f>_xlfn.AGGREGATE(4,7,A$24:A86)+1</f>
        <v>63</v>
      </c>
      <c r="B87" s="1043" t="s">
        <v>1606</v>
      </c>
      <c r="C87" s="1044" t="s">
        <v>1635</v>
      </c>
      <c r="D87" s="1058" t="s">
        <v>1604</v>
      </c>
      <c r="E87" s="81" t="s">
        <v>2430</v>
      </c>
      <c r="F87" s="1040">
        <v>3.33</v>
      </c>
      <c r="G87" s="1019"/>
      <c r="H87" s="1248">
        <f t="shared" si="13"/>
        <v>0</v>
      </c>
      <c r="I87" s="1020">
        <v>0.35</v>
      </c>
      <c r="J87" s="1020" t="str">
        <f>VLOOKUP(B87,[25]!Table2[[Column2]:[Column6]],4,FALSE)</f>
        <v>A1</v>
      </c>
      <c r="K87" s="1020">
        <f t="shared" si="14"/>
        <v>0.8</v>
      </c>
      <c r="L87" s="1021">
        <v>20</v>
      </c>
      <c r="M87" s="1021">
        <f>VLOOKUP(B87,'[26]CN BC'!$F$10:$H$267,3,FALSE)</f>
        <v>27</v>
      </c>
      <c r="N87" s="1021">
        <f t="shared" si="15"/>
        <v>20</v>
      </c>
      <c r="O87" s="1022"/>
      <c r="P87" s="1023">
        <f t="shared" si="16"/>
        <v>6888960</v>
      </c>
      <c r="Q87" s="1515">
        <f t="shared" si="5"/>
        <v>2.944</v>
      </c>
      <c r="R87" s="1429">
        <v>2340000</v>
      </c>
      <c r="S87" s="1486">
        <f t="shared" si="6"/>
        <v>6888960</v>
      </c>
      <c r="T87" s="1024">
        <f t="shared" si="17"/>
        <v>63</v>
      </c>
      <c r="U87" s="1025">
        <f>VLOOKUP(B87,'[26]CN BC'!$F$10:$K$267,6,FALSE)</f>
        <v>0</v>
      </c>
      <c r="V87" s="1038"/>
      <c r="W87" s="1489"/>
    </row>
    <row r="88" spans="1:30" s="1028" customFormat="1" ht="42" customHeight="1">
      <c r="A88" s="1014">
        <f>_xlfn.AGGREGATE(4,7,A$24:A87)+1</f>
        <v>64</v>
      </c>
      <c r="B88" s="1015" t="s">
        <v>1522</v>
      </c>
      <c r="C88" s="1033" t="s">
        <v>1633</v>
      </c>
      <c r="D88" s="1057">
        <v>1603205357238</v>
      </c>
      <c r="E88" s="81" t="s">
        <v>2429</v>
      </c>
      <c r="F88" s="1018">
        <v>3.66</v>
      </c>
      <c r="G88" s="1019"/>
      <c r="H88" s="1248">
        <f t="shared" si="13"/>
        <v>0</v>
      </c>
      <c r="I88" s="1020"/>
      <c r="J88" s="1020" t="str">
        <f>VLOOKUP(B88,[25]!Table2[[Column2]:[Column6]],4,FALSE)</f>
        <v>A1</v>
      </c>
      <c r="K88" s="1020">
        <f t="shared" si="14"/>
        <v>0.8</v>
      </c>
      <c r="L88" s="1021">
        <v>20</v>
      </c>
      <c r="M88" s="1021">
        <f>VLOOKUP(B88,'[26]CN BC'!$F$10:$H$267,3,FALSE)</f>
        <v>22</v>
      </c>
      <c r="N88" s="1021">
        <f t="shared" si="15"/>
        <v>20</v>
      </c>
      <c r="O88" s="1022"/>
      <c r="P88" s="1023">
        <f t="shared" si="16"/>
        <v>6851520</v>
      </c>
      <c r="Q88" s="1515">
        <f t="shared" si="5"/>
        <v>2.9279999999999999</v>
      </c>
      <c r="R88" s="1429">
        <v>2340000</v>
      </c>
      <c r="S88" s="1486">
        <f t="shared" si="6"/>
        <v>6851520</v>
      </c>
      <c r="T88" s="1024">
        <f t="shared" si="17"/>
        <v>64</v>
      </c>
      <c r="U88" s="1025">
        <f>VLOOKUP(B88,'[26]CN BC'!$F$10:$K$267,6,FALSE)</f>
        <v>0</v>
      </c>
      <c r="V88" s="1027"/>
      <c r="W88" s="1489"/>
      <c r="X88" s="1012"/>
      <c r="Y88" s="1012"/>
      <c r="Z88" s="1012"/>
    </row>
    <row r="89" spans="1:30" s="1028" customFormat="1" ht="42" customHeight="1">
      <c r="A89" s="1014">
        <f>_xlfn.AGGREGATE(4,7,A$24:A88)+1</f>
        <v>65</v>
      </c>
      <c r="B89" s="1015" t="s">
        <v>1523</v>
      </c>
      <c r="C89" s="1033" t="s">
        <v>1634</v>
      </c>
      <c r="D89" s="1045">
        <v>1603205302590</v>
      </c>
      <c r="E89" s="81" t="s">
        <v>2429</v>
      </c>
      <c r="F89" s="1018">
        <v>3.66</v>
      </c>
      <c r="G89" s="1019"/>
      <c r="H89" s="1248">
        <f t="shared" si="13"/>
        <v>0</v>
      </c>
      <c r="I89" s="1020"/>
      <c r="J89" s="1020" t="str">
        <f>VLOOKUP(B89,[25]!Table2[[Column2]:[Column6]],4,FALSE)</f>
        <v>A2</v>
      </c>
      <c r="K89" s="1020">
        <f t="shared" si="14"/>
        <v>0.7</v>
      </c>
      <c r="L89" s="1021">
        <v>20</v>
      </c>
      <c r="M89" s="1021">
        <f>VLOOKUP(B89,'[26]CN BC'!$F$10:$H$267,3,FALSE)</f>
        <v>20</v>
      </c>
      <c r="N89" s="1021">
        <f t="shared" si="15"/>
        <v>20</v>
      </c>
      <c r="O89" s="1022"/>
      <c r="P89" s="1023">
        <f t="shared" si="16"/>
        <v>5995080</v>
      </c>
      <c r="Q89" s="1515">
        <f t="shared" si="5"/>
        <v>2.5619999999999998</v>
      </c>
      <c r="R89" s="1429">
        <v>2340000</v>
      </c>
      <c r="S89" s="1486">
        <f t="shared" si="6"/>
        <v>5995080</v>
      </c>
      <c r="T89" s="1024">
        <f t="shared" si="17"/>
        <v>65</v>
      </c>
      <c r="U89" s="1025" t="str">
        <f>VLOOKUP(B89,'[26]CN BC'!$F$10:$K$267,6,FALSE)</f>
        <v>Trừ 1 ngày nghỉ phép 29/9</v>
      </c>
      <c r="V89" s="1027"/>
      <c r="W89" s="1489"/>
      <c r="X89" s="1012"/>
      <c r="Y89" s="1012"/>
      <c r="Z89" s="1012"/>
    </row>
    <row r="90" spans="1:30" s="1028" customFormat="1" ht="44.25" customHeight="1">
      <c r="A90" s="1014">
        <f>_xlfn.AGGREGATE(4,7,A$24:A89)+1</f>
        <v>66</v>
      </c>
      <c r="B90" s="1043" t="s">
        <v>1843</v>
      </c>
      <c r="C90" s="1044" t="s">
        <v>1955</v>
      </c>
      <c r="D90" s="1059" t="s">
        <v>1936</v>
      </c>
      <c r="E90" s="81" t="s">
        <v>2429</v>
      </c>
      <c r="F90" s="1018">
        <v>2.67</v>
      </c>
      <c r="G90" s="1019"/>
      <c r="H90" s="1248">
        <f t="shared" si="13"/>
        <v>0</v>
      </c>
      <c r="I90" s="1020"/>
      <c r="J90" s="1020" t="str">
        <f>VLOOKUP(B90,[25]!Table2[[Column2]:[Column6]],4,FALSE)</f>
        <v>A2</v>
      </c>
      <c r="K90" s="1020">
        <f t="shared" si="14"/>
        <v>0.7</v>
      </c>
      <c r="L90" s="1021">
        <v>20</v>
      </c>
      <c r="M90" s="1021">
        <f>VLOOKUP(B90,'[26]CN BC'!$F$10:$H$267,3,FALSE)</f>
        <v>20</v>
      </c>
      <c r="N90" s="1021">
        <f t="shared" si="15"/>
        <v>20</v>
      </c>
      <c r="O90" s="1022"/>
      <c r="P90" s="1023">
        <f t="shared" si="16"/>
        <v>4373460</v>
      </c>
      <c r="Q90" s="1515">
        <f t="shared" ref="Q90:Q153" si="18">P90/R90</f>
        <v>1.869</v>
      </c>
      <c r="R90" s="1429">
        <v>2340000</v>
      </c>
      <c r="S90" s="1486">
        <f t="shared" ref="S90:S153" si="19">Q90*R90</f>
        <v>4373460</v>
      </c>
      <c r="T90" s="1024">
        <f t="shared" si="17"/>
        <v>66</v>
      </c>
      <c r="U90" s="1025">
        <f>VLOOKUP(B90,'[26]CN BC'!$F$10:$K$267,6,FALSE)</f>
        <v>0</v>
      </c>
      <c r="V90" s="1027"/>
      <c r="W90" s="1489"/>
      <c r="X90" s="1012"/>
      <c r="Y90" s="1012"/>
      <c r="Z90" s="1012"/>
    </row>
    <row r="91" spans="1:30" s="1028" customFormat="1" ht="38.25" customHeight="1">
      <c r="A91" s="1014">
        <f>_xlfn.AGGREGATE(4,7,A$24:A90)+1</f>
        <v>67</v>
      </c>
      <c r="B91" s="1015" t="s">
        <v>1470</v>
      </c>
      <c r="C91" s="1029" t="s">
        <v>1679</v>
      </c>
      <c r="D91" s="1045" t="s">
        <v>1438</v>
      </c>
      <c r="E91" s="81" t="s">
        <v>2429</v>
      </c>
      <c r="F91" s="1018">
        <v>3.99</v>
      </c>
      <c r="G91" s="1019"/>
      <c r="H91" s="1248">
        <f t="shared" si="13"/>
        <v>0</v>
      </c>
      <c r="I91" s="1020"/>
      <c r="J91" s="1020" t="str">
        <f>VLOOKUP(B91,[25]!Table2[[Column2]:[Column6]],4,FALSE)</f>
        <v>A2</v>
      </c>
      <c r="K91" s="1020">
        <f t="shared" si="14"/>
        <v>0.7</v>
      </c>
      <c r="L91" s="1021">
        <v>20</v>
      </c>
      <c r="M91" s="1021">
        <f>VLOOKUP(B91,'[26]CN BC'!$F$10:$H$267,3,FALSE)</f>
        <v>20</v>
      </c>
      <c r="N91" s="1021">
        <f t="shared" si="15"/>
        <v>20</v>
      </c>
      <c r="O91" s="1022"/>
      <c r="P91" s="1023">
        <f t="shared" si="16"/>
        <v>6535620</v>
      </c>
      <c r="Q91" s="1515">
        <f t="shared" si="18"/>
        <v>2.7930000000000001</v>
      </c>
      <c r="R91" s="1429">
        <v>2340000</v>
      </c>
      <c r="S91" s="1486">
        <f t="shared" si="19"/>
        <v>6535620</v>
      </c>
      <c r="T91" s="1024">
        <f t="shared" si="17"/>
        <v>67</v>
      </c>
      <c r="U91" s="1025">
        <f>VLOOKUP(B91,'[26]CN BC'!$F$10:$K$267,6,FALSE)</f>
        <v>0</v>
      </c>
      <c r="V91" s="1027"/>
      <c r="W91" s="1489"/>
      <c r="X91" s="1012"/>
      <c r="Y91" s="1012"/>
      <c r="Z91" s="1012"/>
      <c r="AA91" s="1012"/>
      <c r="AB91" s="1012"/>
      <c r="AC91" s="1012"/>
      <c r="AD91" s="1012"/>
    </row>
    <row r="92" spans="1:30" s="1028" customFormat="1" ht="42" customHeight="1">
      <c r="A92" s="1014">
        <f>_xlfn.AGGREGATE(4,7,A$24:A91)+1</f>
        <v>68</v>
      </c>
      <c r="B92" s="1015" t="s">
        <v>1466</v>
      </c>
      <c r="C92" s="1033" t="s">
        <v>1663</v>
      </c>
      <c r="D92" s="1045" t="s">
        <v>1579</v>
      </c>
      <c r="E92" s="81" t="s">
        <v>2429</v>
      </c>
      <c r="F92" s="1018">
        <v>3.46</v>
      </c>
      <c r="G92" s="1019"/>
      <c r="H92" s="1248">
        <f t="shared" si="13"/>
        <v>0</v>
      </c>
      <c r="I92" s="1020"/>
      <c r="J92" s="1020" t="str">
        <f>VLOOKUP(B92,[25]!Table2[[Column2]:[Column6]],4,FALSE)</f>
        <v>A1</v>
      </c>
      <c r="K92" s="1020">
        <f t="shared" si="14"/>
        <v>0.8</v>
      </c>
      <c r="L92" s="1021">
        <v>20</v>
      </c>
      <c r="M92" s="1021">
        <f>VLOOKUP(B92,'[26]CN BC'!$F$10:$H$267,3,FALSE)</f>
        <v>21</v>
      </c>
      <c r="N92" s="1021">
        <f t="shared" si="15"/>
        <v>20</v>
      </c>
      <c r="O92" s="1022"/>
      <c r="P92" s="1023">
        <f t="shared" si="16"/>
        <v>6477120</v>
      </c>
      <c r="Q92" s="1515">
        <f t="shared" si="18"/>
        <v>2.7679999999999998</v>
      </c>
      <c r="R92" s="1429">
        <v>2340000</v>
      </c>
      <c r="S92" s="1486">
        <f t="shared" si="19"/>
        <v>6477119.9999999991</v>
      </c>
      <c r="T92" s="1024">
        <f t="shared" si="17"/>
        <v>68</v>
      </c>
      <c r="U92" s="1025">
        <f>VLOOKUP(B92,'[26]CN BC'!$F$10:$K$267,6,FALSE)</f>
        <v>0</v>
      </c>
      <c r="V92" s="1027"/>
      <c r="W92" s="1489"/>
      <c r="X92" s="1012"/>
      <c r="Y92" s="1012"/>
      <c r="Z92" s="1012"/>
    </row>
    <row r="93" spans="1:30" s="1012" customFormat="1" ht="44.25" customHeight="1">
      <c r="A93" s="1014">
        <f>_xlfn.AGGREGATE(4,7,A$24:A92)+1</f>
        <v>69</v>
      </c>
      <c r="B93" s="1050" t="s">
        <v>2005</v>
      </c>
      <c r="C93" s="1070" t="s">
        <v>1826</v>
      </c>
      <c r="D93" s="1071" t="s">
        <v>12</v>
      </c>
      <c r="E93" s="81" t="s">
        <v>2429</v>
      </c>
      <c r="F93" s="1054">
        <v>3.66</v>
      </c>
      <c r="G93" s="1072"/>
      <c r="H93" s="1248">
        <f t="shared" si="13"/>
        <v>0</v>
      </c>
      <c r="I93" s="1072">
        <v>0</v>
      </c>
      <c r="J93" s="1020" t="str">
        <f>VLOOKUP(B93,[25]!Table2[[Column2]:[Column6]],4,FALSE)</f>
        <v>A4</v>
      </c>
      <c r="K93" s="1020">
        <f t="shared" si="14"/>
        <v>0.5</v>
      </c>
      <c r="L93" s="1021">
        <v>20</v>
      </c>
      <c r="M93" s="1021">
        <f>VLOOKUP(B93,'[26]CN BC'!$F$10:$H$267,3,FALSE)</f>
        <v>26</v>
      </c>
      <c r="N93" s="1021">
        <f t="shared" si="15"/>
        <v>20</v>
      </c>
      <c r="O93" s="1022"/>
      <c r="P93" s="1023">
        <f t="shared" si="16"/>
        <v>4282200</v>
      </c>
      <c r="Q93" s="1515">
        <f t="shared" si="18"/>
        <v>1.83</v>
      </c>
      <c r="R93" s="1429">
        <v>2340000</v>
      </c>
      <c r="S93" s="1486">
        <f t="shared" si="19"/>
        <v>4282200</v>
      </c>
      <c r="T93" s="1073">
        <f t="shared" si="17"/>
        <v>69</v>
      </c>
      <c r="U93" s="1025">
        <f>VLOOKUP(B93,'[26]CN BC'!$F$10:$K$267,6,FALSE)</f>
        <v>0</v>
      </c>
      <c r="V93" s="1013"/>
      <c r="W93" s="1489"/>
    </row>
    <row r="94" spans="1:30" s="1028" customFormat="1" ht="44.25" customHeight="1">
      <c r="A94" s="1014">
        <f>_xlfn.AGGREGATE(4,7,A$24:A93)+1</f>
        <v>70</v>
      </c>
      <c r="B94" s="1015" t="s">
        <v>1848</v>
      </c>
      <c r="C94" s="1033" t="s">
        <v>1644</v>
      </c>
      <c r="D94" s="1045">
        <v>1603205360856</v>
      </c>
      <c r="E94" s="368" t="s">
        <v>2429</v>
      </c>
      <c r="F94" s="1040">
        <v>3.66</v>
      </c>
      <c r="G94" s="1019"/>
      <c r="H94" s="1255">
        <f>ROUND(F94*G94,3)</f>
        <v>0</v>
      </c>
      <c r="I94" s="1020"/>
      <c r="J94" s="1020" t="str">
        <f>VLOOKUP(B94,[25]!Table2[[Column2]:[Column6]],4,FALSE)</f>
        <v>A2</v>
      </c>
      <c r="K94" s="1020">
        <f>IF(J94="A1",0.8,IF(J94="A2",0.7,IF(J94="A3",0.6,IF(J94="A4",0.5,IF(J94="B1",0.35,IF(J94="B2",0.25,IF(J94="C1",0.15,IF(J94="C2",0.1,0))))))))</f>
        <v>0.7</v>
      </c>
      <c r="L94" s="1021">
        <v>20</v>
      </c>
      <c r="M94" s="1021">
        <f>VLOOKUP(B94,'[26]CN BC'!$F$10:$H$267,3,FALSE)</f>
        <v>20</v>
      </c>
      <c r="N94" s="1021">
        <f>IF(M94&gt;=L94,L94,IF(M94&lt;L94,M94))</f>
        <v>20</v>
      </c>
      <c r="O94" s="1035"/>
      <c r="P94" s="1023">
        <f>(((F94+H94+I94)*$P$21/L94*N94)*K94)+O94</f>
        <v>5995080</v>
      </c>
      <c r="Q94" s="1515">
        <f t="shared" si="18"/>
        <v>2.5619999999999998</v>
      </c>
      <c r="R94" s="1429">
        <v>2340000</v>
      </c>
      <c r="S94" s="1486">
        <f t="shared" si="19"/>
        <v>5995080</v>
      </c>
      <c r="T94" s="1024">
        <f>A94</f>
        <v>70</v>
      </c>
      <c r="U94" s="1025">
        <f>VLOOKUP(B94,'[26]CN BC'!$F$10:$K$267,6,FALSE)</f>
        <v>0</v>
      </c>
      <c r="V94" s="1038"/>
      <c r="W94" s="1490"/>
    </row>
    <row r="95" spans="1:30" s="1028" customFormat="1" ht="25.5" customHeight="1">
      <c r="A95" s="1014">
        <f>_xlfn.AGGREGATE(4,7,A$24:A94)+1</f>
        <v>71</v>
      </c>
      <c r="B95" s="1015" t="s">
        <v>1472</v>
      </c>
      <c r="C95" s="1029" t="s">
        <v>1682</v>
      </c>
      <c r="D95" s="1045" t="s">
        <v>1582</v>
      </c>
      <c r="E95" s="81" t="str">
        <f>VLOOKUP(B95,TH.Q2!B94:E425,4,FALSE)</f>
        <v>Trưởng khoa Kinh tế</v>
      </c>
      <c r="F95" s="1040">
        <v>4.32</v>
      </c>
      <c r="G95" s="1019"/>
      <c r="H95" s="1248">
        <f t="shared" si="13"/>
        <v>0</v>
      </c>
      <c r="I95" s="1020">
        <v>0.45</v>
      </c>
      <c r="J95" s="1020" t="str">
        <f>VLOOKUP(B95,[25]!Table2[[Column2]:[Column6]],4,FALSE)</f>
        <v>A2</v>
      </c>
      <c r="K95" s="1020">
        <f t="shared" si="14"/>
        <v>0.7</v>
      </c>
      <c r="L95" s="1021">
        <v>20</v>
      </c>
      <c r="M95" s="1021">
        <f>VLOOKUP(B95,'[26]CN BC'!$F$10:$H$267,3,FALSE)</f>
        <v>20</v>
      </c>
      <c r="N95" s="1021">
        <f t="shared" si="15"/>
        <v>20</v>
      </c>
      <c r="O95" s="1022"/>
      <c r="P95" s="1023">
        <f t="shared" si="16"/>
        <v>7813260.0000000009</v>
      </c>
      <c r="Q95" s="1515">
        <f t="shared" si="18"/>
        <v>3.3390000000000004</v>
      </c>
      <c r="R95" s="1429">
        <v>2340000</v>
      </c>
      <c r="S95" s="1486">
        <f t="shared" si="19"/>
        <v>7813260.0000000009</v>
      </c>
      <c r="T95" s="1024">
        <f t="shared" si="17"/>
        <v>71</v>
      </c>
      <c r="U95" s="1025">
        <f>VLOOKUP(B95,'[26]CN BC'!$F$10:$K$267,6,FALSE)</f>
        <v>0</v>
      </c>
      <c r="V95" s="1027"/>
      <c r="W95" s="1489"/>
      <c r="X95" s="1012"/>
      <c r="Y95" s="1012"/>
      <c r="Z95" s="1012"/>
      <c r="AA95" s="1012"/>
      <c r="AB95" s="1012"/>
      <c r="AC95" s="1012"/>
      <c r="AD95" s="1012"/>
    </row>
    <row r="96" spans="1:30" s="1028" customFormat="1" ht="25.15" customHeight="1">
      <c r="A96" s="1014">
        <f>_xlfn.AGGREGATE(4,7,A$24:A95)+1</f>
        <v>72</v>
      </c>
      <c r="B96" s="1015" t="s">
        <v>1566</v>
      </c>
      <c r="C96" s="1033" t="s">
        <v>1681</v>
      </c>
      <c r="D96" s="1074" t="s">
        <v>1567</v>
      </c>
      <c r="E96" s="81" t="str">
        <f>VLOOKUP(B96,TH.Q2!B95:E426,4,FALSE)</f>
        <v>Giảng viên khoa Kinh tế</v>
      </c>
      <c r="F96" s="1040">
        <v>3.33</v>
      </c>
      <c r="G96" s="1019"/>
      <c r="H96" s="1248">
        <f t="shared" si="13"/>
        <v>0</v>
      </c>
      <c r="I96" s="1020"/>
      <c r="J96" s="1020" t="str">
        <f>VLOOKUP(B96,[25]!Table2[[Column2]:[Column6]],4,FALSE)</f>
        <v>A4</v>
      </c>
      <c r="K96" s="1020">
        <f t="shared" si="14"/>
        <v>0.5</v>
      </c>
      <c r="L96" s="1021">
        <v>20</v>
      </c>
      <c r="M96" s="1021">
        <f>VLOOKUP(B96,'[26]CN BC'!$F$10:$H$267,3,FALSE)</f>
        <v>20</v>
      </c>
      <c r="N96" s="1021">
        <f t="shared" si="15"/>
        <v>20</v>
      </c>
      <c r="O96" s="1022"/>
      <c r="P96" s="1023">
        <f t="shared" si="16"/>
        <v>3896100</v>
      </c>
      <c r="Q96" s="1515">
        <f t="shared" si="18"/>
        <v>1.665</v>
      </c>
      <c r="R96" s="1429">
        <v>2340000</v>
      </c>
      <c r="S96" s="1486">
        <f t="shared" si="19"/>
        <v>3896100</v>
      </c>
      <c r="T96" s="1024">
        <f t="shared" si="17"/>
        <v>72</v>
      </c>
      <c r="U96" s="1025">
        <f>VLOOKUP(B96,'[26]CN BC'!$F$10:$K$267,6,FALSE)</f>
        <v>0</v>
      </c>
      <c r="V96" s="1038"/>
      <c r="W96" s="1489"/>
    </row>
    <row r="97" spans="1:30" s="1028" customFormat="1" ht="25.15" customHeight="1">
      <c r="A97" s="1014">
        <f>_xlfn.AGGREGATE(4,7,A$24:A96)+1</f>
        <v>73</v>
      </c>
      <c r="B97" s="1015" t="s">
        <v>1831</v>
      </c>
      <c r="C97" s="1033" t="s">
        <v>1960</v>
      </c>
      <c r="D97" s="1076">
        <v>1603215005603</v>
      </c>
      <c r="E97" s="81" t="str">
        <f>VLOOKUP(B97,TH.Q2!B96:E427,4,FALSE)</f>
        <v>Giảng viên khoa 
Kinh tế</v>
      </c>
      <c r="F97" s="1040">
        <v>3</v>
      </c>
      <c r="G97" s="1019"/>
      <c r="H97" s="1248">
        <f t="shared" si="13"/>
        <v>0</v>
      </c>
      <c r="I97" s="1020"/>
      <c r="J97" s="1020" t="str">
        <f>VLOOKUP(B97,[25]!Table2[[Column2]:[Column6]],4,FALSE)</f>
        <v>A2</v>
      </c>
      <c r="K97" s="1020">
        <f t="shared" si="14"/>
        <v>0.7</v>
      </c>
      <c r="L97" s="1021">
        <v>20</v>
      </c>
      <c r="M97" s="1021">
        <f>VLOOKUP(B97,'[26]CN BC'!$F$10:$H$267,3,FALSE)</f>
        <v>20</v>
      </c>
      <c r="N97" s="1021">
        <f t="shared" si="15"/>
        <v>20</v>
      </c>
      <c r="O97" s="1022"/>
      <c r="P97" s="1023">
        <f t="shared" si="16"/>
        <v>4914000</v>
      </c>
      <c r="Q97" s="1515">
        <f t="shared" si="18"/>
        <v>2.1</v>
      </c>
      <c r="R97" s="1429">
        <v>2340000</v>
      </c>
      <c r="S97" s="1486">
        <f t="shared" si="19"/>
        <v>4914000</v>
      </c>
      <c r="T97" s="1024">
        <f t="shared" si="17"/>
        <v>73</v>
      </c>
      <c r="U97" s="1025">
        <f>VLOOKUP(B97,'[26]CN BC'!$F$10:$K$267,6,FALSE)</f>
        <v>0</v>
      </c>
      <c r="V97" s="1027"/>
      <c r="W97" s="1489"/>
      <c r="X97" s="1012"/>
      <c r="Y97" s="1012"/>
      <c r="Z97" s="1012"/>
    </row>
    <row r="98" spans="1:30" s="1028" customFormat="1" ht="42.75" customHeight="1">
      <c r="A98" s="1014">
        <f>_xlfn.AGGREGATE(4,7,A$24:A97)+1</f>
        <v>74</v>
      </c>
      <c r="B98" s="1077" t="s">
        <v>1928</v>
      </c>
      <c r="C98" s="1033" t="s">
        <v>1961</v>
      </c>
      <c r="D98" s="1059" t="s">
        <v>1934</v>
      </c>
      <c r="E98" s="368" t="str">
        <f>VLOOKUP(B98,TH.Q2!B98:E429,4,FALSE)</f>
        <v>Giảng viên khoa Du lịch - Khách sạn</v>
      </c>
      <c r="F98" s="1075">
        <v>2.67</v>
      </c>
      <c r="G98" s="1019"/>
      <c r="H98" s="1255">
        <f t="shared" si="13"/>
        <v>0</v>
      </c>
      <c r="I98" s="1020"/>
      <c r="J98" s="1020" t="str">
        <f>VLOOKUP(B98,[25]!Table2[[Column2]:[Column6]],4,FALSE)</f>
        <v>A4</v>
      </c>
      <c r="K98" s="1020">
        <f t="shared" si="14"/>
        <v>0.5</v>
      </c>
      <c r="L98" s="1021">
        <v>20</v>
      </c>
      <c r="M98" s="1021">
        <f>VLOOKUP(B98,'[26]CN BC'!$F$10:$H$267,3,FALSE)</f>
        <v>20</v>
      </c>
      <c r="N98" s="1021">
        <f t="shared" si="15"/>
        <v>20</v>
      </c>
      <c r="O98" s="1035"/>
      <c r="P98" s="1023">
        <f t="shared" si="16"/>
        <v>3123900</v>
      </c>
      <c r="Q98" s="1534">
        <f t="shared" si="18"/>
        <v>1.335</v>
      </c>
      <c r="R98" s="1429">
        <v>2340000</v>
      </c>
      <c r="S98" s="1535">
        <f t="shared" si="19"/>
        <v>3123900</v>
      </c>
      <c r="T98" s="1024">
        <f t="shared" si="17"/>
        <v>74</v>
      </c>
      <c r="U98" s="1470">
        <f>VLOOKUP(B98,'[26]CN BC'!$F$10:$K$267,6,FALSE)</f>
        <v>0</v>
      </c>
      <c r="V98" s="1038"/>
      <c r="W98" s="1490"/>
    </row>
    <row r="99" spans="1:30" s="1028" customFormat="1" ht="32.25" customHeight="1">
      <c r="A99" s="1014">
        <f>_xlfn.AGGREGATE(4,7,A$24:A98)+1</f>
        <v>75</v>
      </c>
      <c r="B99" s="1015" t="s">
        <v>1474</v>
      </c>
      <c r="C99" s="1033" t="s">
        <v>1684</v>
      </c>
      <c r="D99" s="1045" t="s">
        <v>1584</v>
      </c>
      <c r="E99" s="81" t="str">
        <f>VLOOKUP(B99,TH.Q2!B99:E430,4,FALSE)</f>
        <v>Giảng viên khoa Kinh tế</v>
      </c>
      <c r="F99" s="1040">
        <v>3.66</v>
      </c>
      <c r="G99" s="1019"/>
      <c r="H99" s="1248">
        <f t="shared" si="13"/>
        <v>0</v>
      </c>
      <c r="I99" s="1020"/>
      <c r="J99" s="1020" t="str">
        <f>VLOOKUP(B99,[25]!Table2[[Column2]:[Column6]],4,FALSE)</f>
        <v>A2</v>
      </c>
      <c r="K99" s="1020">
        <f t="shared" si="14"/>
        <v>0.7</v>
      </c>
      <c r="L99" s="1021">
        <v>20</v>
      </c>
      <c r="M99" s="1021">
        <f>VLOOKUP(B99,'[26]CN BC'!$F$10:$H$267,3,FALSE)</f>
        <v>20</v>
      </c>
      <c r="N99" s="1021">
        <f t="shared" si="15"/>
        <v>20</v>
      </c>
      <c r="O99" s="1022"/>
      <c r="P99" s="1023">
        <f t="shared" si="16"/>
        <v>5995080</v>
      </c>
      <c r="Q99" s="1515">
        <f t="shared" si="18"/>
        <v>2.5619999999999998</v>
      </c>
      <c r="R99" s="1429">
        <v>2340000</v>
      </c>
      <c r="S99" s="1486">
        <f t="shared" si="19"/>
        <v>5995080</v>
      </c>
      <c r="T99" s="1024">
        <f t="shared" si="17"/>
        <v>75</v>
      </c>
      <c r="U99" s="1025">
        <f>VLOOKUP(B99,'[26]CN BC'!$F$10:$K$267,6,FALSE)</f>
        <v>0</v>
      </c>
      <c r="V99" s="1038"/>
      <c r="W99" s="1489"/>
    </row>
    <row r="100" spans="1:30" s="1028" customFormat="1" ht="28.5" customHeight="1">
      <c r="A100" s="1014">
        <f>_xlfn.AGGREGATE(4,7,A$24:A99)+1</f>
        <v>76</v>
      </c>
      <c r="B100" s="1015" t="s">
        <v>1571</v>
      </c>
      <c r="C100" s="1033" t="s">
        <v>1685</v>
      </c>
      <c r="D100" s="1074" t="s">
        <v>1572</v>
      </c>
      <c r="E100" s="81" t="str">
        <f>VLOOKUP(B100,TH.Q2!B100:E431,4,FALSE)</f>
        <v>Giảng viên khoa Kinh tế</v>
      </c>
      <c r="F100" s="1040">
        <v>3.33</v>
      </c>
      <c r="G100" s="1019"/>
      <c r="H100" s="1248">
        <f t="shared" si="13"/>
        <v>0</v>
      </c>
      <c r="I100" s="1020"/>
      <c r="J100" s="1020" t="str">
        <f>VLOOKUP(B100,[25]!Table2[[Column2]:[Column6]],4,FALSE)</f>
        <v>A3</v>
      </c>
      <c r="K100" s="1020">
        <f t="shared" si="14"/>
        <v>0.6</v>
      </c>
      <c r="L100" s="1021">
        <v>20</v>
      </c>
      <c r="M100" s="1021">
        <f>VLOOKUP(B100,'[26]CN BC'!$F$10:$H$267,3,FALSE)</f>
        <v>20</v>
      </c>
      <c r="N100" s="1021">
        <f t="shared" si="15"/>
        <v>20</v>
      </c>
      <c r="O100" s="1022"/>
      <c r="P100" s="1023">
        <f t="shared" si="16"/>
        <v>4675320</v>
      </c>
      <c r="Q100" s="1515">
        <f t="shared" si="18"/>
        <v>1.998</v>
      </c>
      <c r="R100" s="1429">
        <v>2340000</v>
      </c>
      <c r="S100" s="1486">
        <f t="shared" si="19"/>
        <v>4675320</v>
      </c>
      <c r="T100" s="1024">
        <f t="shared" si="17"/>
        <v>76</v>
      </c>
      <c r="U100" s="1025">
        <f>VLOOKUP(B100,'[26]CN BC'!$F$10:$K$267,6,FALSE)</f>
        <v>0</v>
      </c>
      <c r="V100" s="1027"/>
      <c r="W100" s="1489"/>
      <c r="X100" s="1012"/>
      <c r="Y100" s="1012"/>
      <c r="Z100" s="1012"/>
    </row>
    <row r="101" spans="1:30" s="1028" customFormat="1" ht="28.5" customHeight="1">
      <c r="A101" s="1014">
        <f>_xlfn.AGGREGATE(4,7,A$24:A100)+1</f>
        <v>77</v>
      </c>
      <c r="B101" s="1015" t="s">
        <v>1475</v>
      </c>
      <c r="C101" s="1033" t="s">
        <v>1686</v>
      </c>
      <c r="D101" s="1045" t="s">
        <v>1585</v>
      </c>
      <c r="E101" s="81" t="str">
        <f>VLOOKUP(B101,TH.Q2!B101:E432,4,FALSE)</f>
        <v>Giảng viên khoa Kinh tế</v>
      </c>
      <c r="F101" s="1040">
        <v>3.99</v>
      </c>
      <c r="G101" s="1019"/>
      <c r="H101" s="1248">
        <f t="shared" si="13"/>
        <v>0</v>
      </c>
      <c r="I101" s="1020"/>
      <c r="J101" s="1020" t="str">
        <f>VLOOKUP(B101,[25]!Table2[[Column2]:[Column6]],4,FALSE)</f>
        <v>A2</v>
      </c>
      <c r="K101" s="1020">
        <f t="shared" si="14"/>
        <v>0.7</v>
      </c>
      <c r="L101" s="1021">
        <v>20</v>
      </c>
      <c r="M101" s="1021">
        <f>VLOOKUP(B101,'[26]CN BC'!$F$10:$H$267,3,FALSE)</f>
        <v>20</v>
      </c>
      <c r="N101" s="1021">
        <f t="shared" si="15"/>
        <v>20</v>
      </c>
      <c r="O101" s="1022"/>
      <c r="P101" s="1023">
        <f t="shared" si="16"/>
        <v>6535620</v>
      </c>
      <c r="Q101" s="1515">
        <f t="shared" si="18"/>
        <v>2.7930000000000001</v>
      </c>
      <c r="R101" s="1429">
        <v>2340000</v>
      </c>
      <c r="S101" s="1486">
        <f t="shared" si="19"/>
        <v>6535620</v>
      </c>
      <c r="T101" s="1024">
        <f t="shared" si="17"/>
        <v>77</v>
      </c>
      <c r="U101" s="1025">
        <f>VLOOKUP(B101,'[26]CN BC'!$F$10:$K$267,6,FALSE)</f>
        <v>0</v>
      </c>
      <c r="V101" s="1038"/>
      <c r="W101" s="1489"/>
    </row>
    <row r="102" spans="1:30" s="1028" customFormat="1" ht="30" customHeight="1">
      <c r="A102" s="1014">
        <f>_xlfn.AGGREGATE(4,7,A$24:A101)+1</f>
        <v>78</v>
      </c>
      <c r="B102" s="1015" t="s">
        <v>1476</v>
      </c>
      <c r="C102" s="1033" t="s">
        <v>1687</v>
      </c>
      <c r="D102" s="1045" t="s">
        <v>1586</v>
      </c>
      <c r="E102" s="81" t="str">
        <f>VLOOKUP(B102,TH.Q2!B102:E433,4,FALSE)</f>
        <v>Giảng viên khoa Du lịch - Khách sạn</v>
      </c>
      <c r="F102" s="1040">
        <v>3.33</v>
      </c>
      <c r="G102" s="1019"/>
      <c r="H102" s="1248">
        <f t="shared" si="13"/>
        <v>0</v>
      </c>
      <c r="I102" s="1020"/>
      <c r="J102" s="1020" t="str">
        <f>VLOOKUP(B102,[25]!Table2[[Column2]:[Column6]],4,FALSE)</f>
        <v>A4</v>
      </c>
      <c r="K102" s="1020">
        <f t="shared" si="14"/>
        <v>0.5</v>
      </c>
      <c r="L102" s="1021">
        <v>20</v>
      </c>
      <c r="M102" s="1021">
        <f>VLOOKUP(B102,'[26]CN BC'!$F$10:$H$267,3,FALSE)</f>
        <v>20</v>
      </c>
      <c r="N102" s="1021">
        <f t="shared" si="15"/>
        <v>20</v>
      </c>
      <c r="O102" s="1022"/>
      <c r="P102" s="1023">
        <f t="shared" si="16"/>
        <v>3896100</v>
      </c>
      <c r="Q102" s="1515">
        <f t="shared" si="18"/>
        <v>1.665</v>
      </c>
      <c r="R102" s="1429">
        <v>2340000</v>
      </c>
      <c r="S102" s="1486">
        <f t="shared" si="19"/>
        <v>3896100</v>
      </c>
      <c r="T102" s="1024">
        <f t="shared" si="17"/>
        <v>78</v>
      </c>
      <c r="U102" s="1025">
        <f>VLOOKUP(B102,'[26]CN BC'!$F$10:$K$267,6,FALSE)</f>
        <v>0</v>
      </c>
      <c r="V102" s="1027"/>
      <c r="W102" s="1489"/>
      <c r="X102" s="1012"/>
      <c r="Y102" s="1012"/>
      <c r="Z102" s="1012"/>
    </row>
    <row r="103" spans="1:30" s="1028" customFormat="1" ht="30" customHeight="1">
      <c r="A103" s="1014">
        <f>_xlfn.AGGREGATE(4,7,A$24:A102)+1</f>
        <v>79</v>
      </c>
      <c r="B103" s="1015" t="s">
        <v>1477</v>
      </c>
      <c r="C103" s="1033" t="s">
        <v>1688</v>
      </c>
      <c r="D103" s="1045" t="s">
        <v>1587</v>
      </c>
      <c r="E103" s="81" t="str">
        <f>VLOOKUP(B103,TH.Q2!B103:E434,4,FALSE)</f>
        <v>Giảng viên khoa Du lịch - Khách sạn</v>
      </c>
      <c r="F103" s="1040">
        <v>3.66</v>
      </c>
      <c r="G103" s="1019"/>
      <c r="H103" s="1248">
        <f t="shared" si="13"/>
        <v>0</v>
      </c>
      <c r="I103" s="1020">
        <v>0.25</v>
      </c>
      <c r="J103" s="1020" t="str">
        <f>VLOOKUP(B103,[25]!Table2[[Column2]:[Column6]],4,FALSE)</f>
        <v>A1</v>
      </c>
      <c r="K103" s="1020">
        <f t="shared" si="14"/>
        <v>0.8</v>
      </c>
      <c r="L103" s="1021">
        <v>20</v>
      </c>
      <c r="M103" s="1021">
        <f>VLOOKUP(B103,'[26]CN BC'!$F$10:$H$267,3,FALSE)</f>
        <v>20</v>
      </c>
      <c r="N103" s="1021">
        <f t="shared" si="15"/>
        <v>20</v>
      </c>
      <c r="O103" s="1022"/>
      <c r="P103" s="1023">
        <f t="shared" si="16"/>
        <v>7319520</v>
      </c>
      <c r="Q103" s="1515">
        <f t="shared" si="18"/>
        <v>3.1280000000000001</v>
      </c>
      <c r="R103" s="1429">
        <v>2340000</v>
      </c>
      <c r="S103" s="1486">
        <f t="shared" si="19"/>
        <v>7319520</v>
      </c>
      <c r="T103" s="1024">
        <f t="shared" si="17"/>
        <v>79</v>
      </c>
      <c r="U103" s="1025">
        <f>VLOOKUP(B103,'[26]CN BC'!$F$10:$K$267,6,FALSE)</f>
        <v>0</v>
      </c>
      <c r="V103" s="1027"/>
      <c r="W103" s="1489"/>
      <c r="X103" s="1012"/>
      <c r="Y103" s="1012"/>
      <c r="Z103" s="1012"/>
    </row>
    <row r="104" spans="1:30" s="1028" customFormat="1" ht="28.5" customHeight="1">
      <c r="A104" s="1014">
        <f>_xlfn.AGGREGATE(4,7,A$24:A103)+1</f>
        <v>80</v>
      </c>
      <c r="B104" s="1077" t="s">
        <v>1946</v>
      </c>
      <c r="C104" s="1014" t="s">
        <v>1950</v>
      </c>
      <c r="D104" s="1059" t="s">
        <v>1951</v>
      </c>
      <c r="E104" s="81" t="str">
        <f>VLOOKUP(B104,TH.Q2!B105:E436,4,FALSE)</f>
        <v>Trưởng khoa Du lịch - Khách sạn</v>
      </c>
      <c r="F104" s="1075">
        <v>2.67</v>
      </c>
      <c r="G104" s="1019"/>
      <c r="H104" s="1248">
        <f t="shared" si="13"/>
        <v>0</v>
      </c>
      <c r="I104" s="1020">
        <v>0.45</v>
      </c>
      <c r="J104" s="1020" t="str">
        <f>VLOOKUP(B104,[25]!Table2[[Column2]:[Column6]],4,FALSE)</f>
        <v>A1</v>
      </c>
      <c r="K104" s="1020">
        <f t="shared" si="14"/>
        <v>0.8</v>
      </c>
      <c r="L104" s="1021">
        <v>20</v>
      </c>
      <c r="M104" s="1021">
        <f>VLOOKUP(B104,'[26]CN BC'!$F$10:$H$267,3,FALSE)</f>
        <v>20</v>
      </c>
      <c r="N104" s="1021">
        <f t="shared" si="15"/>
        <v>20</v>
      </c>
      <c r="O104" s="1022"/>
      <c r="P104" s="1023">
        <f t="shared" si="16"/>
        <v>5840640</v>
      </c>
      <c r="Q104" s="1515">
        <f t="shared" si="18"/>
        <v>2.496</v>
      </c>
      <c r="R104" s="1429">
        <v>2340000</v>
      </c>
      <c r="S104" s="1486">
        <f t="shared" si="19"/>
        <v>5840640</v>
      </c>
      <c r="T104" s="1024">
        <f t="shared" si="17"/>
        <v>80</v>
      </c>
      <c r="U104" s="1025">
        <f>VLOOKUP(B104,'[26]CN BC'!$F$10:$K$267,6,FALSE)</f>
        <v>0</v>
      </c>
      <c r="V104" s="1027"/>
      <c r="W104" s="1489"/>
      <c r="X104" s="1012"/>
      <c r="Y104" s="1012"/>
      <c r="Z104" s="1012"/>
    </row>
    <row r="105" spans="1:30" s="1028" customFormat="1" ht="28.5" customHeight="1">
      <c r="A105" s="1014">
        <f>_xlfn.AGGREGATE(4,7,A$24:A104)+1</f>
        <v>81</v>
      </c>
      <c r="B105" s="1077" t="s">
        <v>1997</v>
      </c>
      <c r="C105" s="1014"/>
      <c r="D105" s="1059"/>
      <c r="E105" s="81" t="str">
        <f>VLOOKUP(B105,TH.Q2!B107:E438,4,FALSE)</f>
        <v>Giảng viên khoa Kinh tế</v>
      </c>
      <c r="F105" s="1075">
        <v>2.34</v>
      </c>
      <c r="G105" s="1019"/>
      <c r="H105" s="1248">
        <f t="shared" si="13"/>
        <v>0</v>
      </c>
      <c r="I105" s="1020"/>
      <c r="J105" s="1020" t="str">
        <f>VLOOKUP(B105,[25]!Table2[[Column2]:[Column6]],4,FALSE)</f>
        <v>A1</v>
      </c>
      <c r="K105" s="1020">
        <f t="shared" si="14"/>
        <v>0.8</v>
      </c>
      <c r="L105" s="1021">
        <v>20</v>
      </c>
      <c r="M105" s="1021">
        <f>VLOOKUP(B105,'[26]CN BC'!$F$10:$H$267,3,FALSE)</f>
        <v>20</v>
      </c>
      <c r="N105" s="1021">
        <f t="shared" si="15"/>
        <v>20</v>
      </c>
      <c r="O105" s="1022"/>
      <c r="P105" s="1023">
        <f t="shared" si="16"/>
        <v>4380480</v>
      </c>
      <c r="Q105" s="1515">
        <f t="shared" si="18"/>
        <v>1.8720000000000001</v>
      </c>
      <c r="R105" s="1429">
        <v>2340000</v>
      </c>
      <c r="S105" s="1486">
        <f t="shared" si="19"/>
        <v>4380480</v>
      </c>
      <c r="T105" s="1024">
        <f t="shared" si="17"/>
        <v>81</v>
      </c>
      <c r="U105" s="1025">
        <f>VLOOKUP(B105,'[26]CN BC'!$F$10:$K$267,6,FALSE)</f>
        <v>0</v>
      </c>
      <c r="V105" s="1038"/>
      <c r="W105" s="1489"/>
    </row>
    <row r="106" spans="1:30" s="1028" customFormat="1" ht="26.25" customHeight="1">
      <c r="A106" s="1014">
        <f>_xlfn.AGGREGATE(4,7,A$24:A105)+1</f>
        <v>82</v>
      </c>
      <c r="B106" s="1077" t="s">
        <v>1998</v>
      </c>
      <c r="C106" s="1014"/>
      <c r="D106" s="1059"/>
      <c r="E106" s="81" t="str">
        <f>VLOOKUP(B106,TH.Q2!B108:E439,4,FALSE)</f>
        <v>Giảng viên khoa Du lịch - Khách sạn</v>
      </c>
      <c r="F106" s="1040">
        <v>3.66</v>
      </c>
      <c r="G106" s="1019"/>
      <c r="H106" s="1248">
        <f t="shared" si="13"/>
        <v>0</v>
      </c>
      <c r="I106" s="1020"/>
      <c r="J106" s="1020" t="str">
        <f>VLOOKUP(B106,[25]!Table2[[Column2]:[Column6]],4,FALSE)</f>
        <v>A3</v>
      </c>
      <c r="K106" s="1020">
        <f t="shared" si="14"/>
        <v>0.6</v>
      </c>
      <c r="L106" s="1021">
        <v>20</v>
      </c>
      <c r="M106" s="1021">
        <f>VLOOKUP(B106,'[26]CN BC'!$F$10:$H$267,3,FALSE)</f>
        <v>20</v>
      </c>
      <c r="N106" s="1021">
        <f t="shared" si="15"/>
        <v>20</v>
      </c>
      <c r="O106" s="1022"/>
      <c r="P106" s="1023">
        <f t="shared" si="16"/>
        <v>5138640</v>
      </c>
      <c r="Q106" s="1515">
        <f t="shared" si="18"/>
        <v>2.1960000000000002</v>
      </c>
      <c r="R106" s="1429">
        <v>2340000</v>
      </c>
      <c r="S106" s="1486">
        <f t="shared" si="19"/>
        <v>5138640</v>
      </c>
      <c r="T106" s="1024">
        <f t="shared" si="17"/>
        <v>82</v>
      </c>
      <c r="U106" s="1025">
        <f>VLOOKUP(B106,'[26]CN BC'!$F$10:$K$267,6,FALSE)</f>
        <v>0</v>
      </c>
      <c r="V106" s="1038"/>
      <c r="W106" s="1489"/>
    </row>
    <row r="107" spans="1:30" s="1028" customFormat="1" ht="28.5" customHeight="1">
      <c r="A107" s="1014">
        <f>_xlfn.AGGREGATE(4,7,A$24:A106)+1</f>
        <v>83</v>
      </c>
      <c r="B107" s="1077" t="s">
        <v>1999</v>
      </c>
      <c r="C107" s="1014"/>
      <c r="D107" s="1059"/>
      <c r="E107" s="81" t="s">
        <v>2251</v>
      </c>
      <c r="F107" s="1040">
        <v>3.99</v>
      </c>
      <c r="G107" s="1019"/>
      <c r="H107" s="1248">
        <f t="shared" si="13"/>
        <v>0</v>
      </c>
      <c r="I107" s="1020"/>
      <c r="J107" s="1020" t="str">
        <f>VLOOKUP(B107,[25]!Table2[[Column2]:[Column6]],4,FALSE)</f>
        <v>A4</v>
      </c>
      <c r="K107" s="1020">
        <f t="shared" si="14"/>
        <v>0.5</v>
      </c>
      <c r="L107" s="1021">
        <v>20</v>
      </c>
      <c r="M107" s="1021">
        <f>VLOOKUP(B107,'[26]CN BC'!$F$10:$H$267,3,FALSE)</f>
        <v>20</v>
      </c>
      <c r="N107" s="1021">
        <f t="shared" si="15"/>
        <v>20</v>
      </c>
      <c r="O107" s="1022"/>
      <c r="P107" s="1023">
        <f t="shared" si="16"/>
        <v>4668300</v>
      </c>
      <c r="Q107" s="1515">
        <f t="shared" si="18"/>
        <v>1.9950000000000001</v>
      </c>
      <c r="R107" s="1429">
        <v>2340000</v>
      </c>
      <c r="S107" s="1486">
        <f t="shared" si="19"/>
        <v>4668300</v>
      </c>
      <c r="T107" s="1024">
        <f t="shared" si="17"/>
        <v>83</v>
      </c>
      <c r="U107" s="1025">
        <f>VLOOKUP(B107,'[26]CN BC'!$F$10:$K$267,6,FALSE)</f>
        <v>0</v>
      </c>
      <c r="V107" s="1038"/>
      <c r="W107" s="1489"/>
    </row>
    <row r="108" spans="1:30" s="1028" customFormat="1" ht="33" customHeight="1">
      <c r="A108" s="1014">
        <f>_xlfn.AGGREGATE(4,7,A$24:A107)+1</f>
        <v>84</v>
      </c>
      <c r="B108" s="1015" t="s">
        <v>1500</v>
      </c>
      <c r="C108" s="1033" t="s">
        <v>1728</v>
      </c>
      <c r="D108" s="1034" t="s">
        <v>377</v>
      </c>
      <c r="E108" s="81" t="s">
        <v>2251</v>
      </c>
      <c r="F108" s="1040">
        <v>3.99</v>
      </c>
      <c r="G108" s="1019"/>
      <c r="H108" s="1248">
        <f>ROUND(F108*G108,3)</f>
        <v>0</v>
      </c>
      <c r="I108" s="1020"/>
      <c r="J108" s="1020" t="str">
        <f>VLOOKUP(B108,[25]!Table2[[Column2]:[Column6]],4,FALSE)</f>
        <v>A4</v>
      </c>
      <c r="K108" s="1020">
        <f>IF(J108="A1",0.8,IF(J108="A2",0.7,IF(J108="A3",0.6,IF(J108="A4",0.5,IF(J108="B1",0.35,IF(J108="B2",0.25,IF(J108="C1",0.15,IF(J108="C2",0.1,0))))))))</f>
        <v>0.5</v>
      </c>
      <c r="L108" s="1021">
        <v>20</v>
      </c>
      <c r="M108" s="1021">
        <f>VLOOKUP(B108,'[26]CN BC'!$F$10:$H$267,3,FALSE)</f>
        <v>20</v>
      </c>
      <c r="N108" s="1021">
        <f>IF(M108&gt;=L108,L108,IF(M108&lt;L108,M108))</f>
        <v>20</v>
      </c>
      <c r="O108" s="1022"/>
      <c r="P108" s="1023">
        <f>(((F108+H108+I108)*$P$21/L108*N108)*K108)+O108</f>
        <v>4668300</v>
      </c>
      <c r="Q108" s="1515">
        <f t="shared" si="18"/>
        <v>1.9950000000000001</v>
      </c>
      <c r="R108" s="1429">
        <v>2340000</v>
      </c>
      <c r="S108" s="1486">
        <f t="shared" si="19"/>
        <v>4668300</v>
      </c>
      <c r="T108" s="1024">
        <f>A108</f>
        <v>84</v>
      </c>
      <c r="U108" s="1025">
        <f>VLOOKUP(B108,'[26]CN BC'!$F$10:$K$267,6,FALSE)</f>
        <v>0</v>
      </c>
      <c r="V108" s="1038"/>
      <c r="W108" s="1489"/>
    </row>
    <row r="109" spans="1:30" s="1028" customFormat="1" ht="28.5" customHeight="1">
      <c r="A109" s="1014">
        <f>_xlfn.AGGREGATE(4,7,A$24:A108)+1</f>
        <v>85</v>
      </c>
      <c r="B109" s="1077" t="s">
        <v>2001</v>
      </c>
      <c r="C109" s="1014"/>
      <c r="D109" s="1059"/>
      <c r="E109" s="81" t="str">
        <f>VLOOKUP(B109,TH.Q2!B110:E441,4,FALSE)</f>
        <v>Giảng viên khoa Kinh tế</v>
      </c>
      <c r="F109" s="1040">
        <v>3</v>
      </c>
      <c r="G109" s="1019"/>
      <c r="H109" s="1248">
        <f t="shared" si="13"/>
        <v>0</v>
      </c>
      <c r="I109" s="1020"/>
      <c r="J109" s="1020" t="str">
        <f>VLOOKUP(B109,[25]!Table2[[Column2]:[Column6]],4,FALSE)</f>
        <v>A3</v>
      </c>
      <c r="K109" s="1020">
        <f t="shared" si="14"/>
        <v>0.6</v>
      </c>
      <c r="L109" s="1021">
        <v>20</v>
      </c>
      <c r="M109" s="1021">
        <f>VLOOKUP(B109,'[26]CN BC'!$F$10:$H$267,3,FALSE)</f>
        <v>20</v>
      </c>
      <c r="N109" s="1021">
        <f t="shared" si="15"/>
        <v>20</v>
      </c>
      <c r="O109" s="1022"/>
      <c r="P109" s="1023">
        <f t="shared" si="16"/>
        <v>4212000</v>
      </c>
      <c r="Q109" s="1515">
        <f t="shared" si="18"/>
        <v>1.8</v>
      </c>
      <c r="R109" s="1429">
        <v>2340000</v>
      </c>
      <c r="S109" s="1486">
        <f t="shared" si="19"/>
        <v>4212000</v>
      </c>
      <c r="T109" s="1024">
        <f t="shared" si="17"/>
        <v>85</v>
      </c>
      <c r="U109" s="1025">
        <f>VLOOKUP(B109,'[26]CN BC'!$F$10:$K$267,6,FALSE)</f>
        <v>0</v>
      </c>
      <c r="V109" s="1038"/>
      <c r="W109" s="1489"/>
    </row>
    <row r="110" spans="1:30" s="1028" customFormat="1" ht="32.25" customHeight="1">
      <c r="A110" s="1014">
        <f>_xlfn.AGGREGATE(4,7,A$24:A109)+1</f>
        <v>86</v>
      </c>
      <c r="B110" s="1077" t="s">
        <v>2096</v>
      </c>
      <c r="C110" s="1014"/>
      <c r="D110" s="1059"/>
      <c r="E110" s="368" t="s">
        <v>2252</v>
      </c>
      <c r="F110" s="1040">
        <v>2.67</v>
      </c>
      <c r="G110" s="1019"/>
      <c r="H110" s="1255">
        <f t="shared" si="13"/>
        <v>0</v>
      </c>
      <c r="I110" s="1020"/>
      <c r="J110" s="1020" t="str">
        <f>VLOOKUP(B110,[25]!Table2[[Column2]:[Column6]],4,FALSE)</f>
        <v>A3</v>
      </c>
      <c r="K110" s="1020">
        <f t="shared" si="14"/>
        <v>0.6</v>
      </c>
      <c r="L110" s="1021">
        <v>20</v>
      </c>
      <c r="M110" s="1021">
        <f>VLOOKUP(B110,'[26]CN BC'!$F$10:$H$267,3,FALSE)</f>
        <v>25</v>
      </c>
      <c r="N110" s="1021">
        <f t="shared" si="15"/>
        <v>20</v>
      </c>
      <c r="O110" s="1035"/>
      <c r="P110" s="1023">
        <f t="shared" si="16"/>
        <v>3748680</v>
      </c>
      <c r="Q110" s="1515">
        <f t="shared" si="18"/>
        <v>1.6020000000000001</v>
      </c>
      <c r="R110" s="1429">
        <v>2340000</v>
      </c>
      <c r="S110" s="1486">
        <f t="shared" si="19"/>
        <v>3748680</v>
      </c>
      <c r="T110" s="1024">
        <f t="shared" si="17"/>
        <v>86</v>
      </c>
      <c r="U110" s="1025" t="str">
        <f>VLOOKUP(B110,'[26]CN BC'!$F$10:$K$267,6,FALSE)</f>
        <v>Hỗ trợ công việc phòng KHTC</v>
      </c>
      <c r="V110" s="1038"/>
      <c r="W110" s="1489"/>
    </row>
    <row r="111" spans="1:30" s="1028" customFormat="1" ht="31.5" customHeight="1">
      <c r="A111" s="1014">
        <f>_xlfn.AGGREGATE(4,7,A$24:A110)+1</f>
        <v>87</v>
      </c>
      <c r="B111" s="1015" t="s">
        <v>1478</v>
      </c>
      <c r="C111" s="1033" t="s">
        <v>1689</v>
      </c>
      <c r="D111" s="1034" t="s">
        <v>371</v>
      </c>
      <c r="E111" s="81" t="str">
        <f>VLOOKUP(B111,TH.Q2!B19:E350,4,FALSE)</f>
        <v>Giảng viên khoa May - Thời trang</v>
      </c>
      <c r="F111" s="1040">
        <v>3.99</v>
      </c>
      <c r="G111" s="1019"/>
      <c r="H111" s="1248">
        <f t="shared" si="13"/>
        <v>0</v>
      </c>
      <c r="I111" s="1020"/>
      <c r="J111" s="1020" t="str">
        <f>VLOOKUP(B111,[25]!Table2[[Column2]:[Column6]],4,FALSE)</f>
        <v>A3</v>
      </c>
      <c r="K111" s="1020">
        <f t="shared" si="14"/>
        <v>0.6</v>
      </c>
      <c r="L111" s="1021">
        <v>20</v>
      </c>
      <c r="M111" s="1021">
        <f>VLOOKUP(B111,'[26]CN BC'!$F$10:$H$267,3,FALSE)</f>
        <v>20</v>
      </c>
      <c r="N111" s="1021">
        <f t="shared" si="15"/>
        <v>20</v>
      </c>
      <c r="O111" s="1022"/>
      <c r="P111" s="1023">
        <f t="shared" si="16"/>
        <v>5601960</v>
      </c>
      <c r="Q111" s="1515">
        <f t="shared" si="18"/>
        <v>2.3940000000000001</v>
      </c>
      <c r="R111" s="1429">
        <v>2340000</v>
      </c>
      <c r="S111" s="1486">
        <f t="shared" si="19"/>
        <v>5601960</v>
      </c>
      <c r="T111" s="1024">
        <f t="shared" si="17"/>
        <v>87</v>
      </c>
      <c r="U111" s="1025">
        <f>VLOOKUP(B111,'[26]CN BC'!$F$10:$K$267,6,FALSE)</f>
        <v>0</v>
      </c>
      <c r="V111" s="1027"/>
      <c r="W111" s="1489"/>
      <c r="X111" s="1012"/>
      <c r="Y111" s="1012"/>
      <c r="Z111" s="1012"/>
    </row>
    <row r="112" spans="1:30" s="1028" customFormat="1" ht="24.75" customHeight="1">
      <c r="A112" s="1014">
        <f>_xlfn.AGGREGATE(4,7,A$24:A111)+1</f>
        <v>88</v>
      </c>
      <c r="B112" s="1050" t="s">
        <v>1479</v>
      </c>
      <c r="C112" s="1029" t="s">
        <v>1690</v>
      </c>
      <c r="D112" s="1051" t="s">
        <v>372</v>
      </c>
      <c r="E112" s="81" t="str">
        <f>VLOOKUP(B112,TH.Q2!B20:E351,4,FALSE)</f>
        <v>Giảng viên khoa May - Thời trang</v>
      </c>
      <c r="F112" s="1056">
        <v>3.99</v>
      </c>
      <c r="G112" s="1053"/>
      <c r="H112" s="1248">
        <f t="shared" si="13"/>
        <v>0</v>
      </c>
      <c r="I112" s="1054"/>
      <c r="J112" s="1020" t="str">
        <f>VLOOKUP(B112,[25]!Table2[[Column2]:[Column6]],4,FALSE)</f>
        <v>A4</v>
      </c>
      <c r="K112" s="1020">
        <f t="shared" si="14"/>
        <v>0.5</v>
      </c>
      <c r="L112" s="1021">
        <v>20</v>
      </c>
      <c r="M112" s="1021">
        <f>VLOOKUP(B112,'[26]CN BC'!$F$10:$H$267,3,FALSE)</f>
        <v>20</v>
      </c>
      <c r="N112" s="1021">
        <f t="shared" si="15"/>
        <v>20</v>
      </c>
      <c r="O112" s="1022"/>
      <c r="P112" s="1023">
        <f t="shared" si="16"/>
        <v>4668300</v>
      </c>
      <c r="Q112" s="1515">
        <f t="shared" si="18"/>
        <v>1.9950000000000001</v>
      </c>
      <c r="R112" s="1429">
        <v>2340000</v>
      </c>
      <c r="S112" s="1486">
        <f t="shared" si="19"/>
        <v>4668300</v>
      </c>
      <c r="T112" s="1024">
        <f t="shared" si="17"/>
        <v>88</v>
      </c>
      <c r="U112" s="1025">
        <f>VLOOKUP(B112,'[26]CN BC'!$F$10:$K$267,6,FALSE)</f>
        <v>0</v>
      </c>
      <c r="V112" s="1027"/>
      <c r="W112" s="1489"/>
      <c r="X112" s="1012"/>
      <c r="Y112" s="1012"/>
      <c r="Z112" s="1012"/>
      <c r="AA112" s="1012"/>
      <c r="AB112" s="1012"/>
      <c r="AC112" s="1012"/>
      <c r="AD112" s="1012"/>
    </row>
    <row r="113" spans="1:30" s="1028" customFormat="1" ht="24.75" customHeight="1">
      <c r="A113" s="1014">
        <f>_xlfn.AGGREGATE(4,7,A$24:A112)+1</f>
        <v>89</v>
      </c>
      <c r="B113" s="1015" t="s">
        <v>1480</v>
      </c>
      <c r="C113" s="1029" t="s">
        <v>1691</v>
      </c>
      <c r="D113" s="1045" t="s">
        <v>735</v>
      </c>
      <c r="E113" s="81" t="str">
        <f>VLOOKUP(B113,TH.Q2!B21:E352,4,FALSE)</f>
        <v>Phó Trưởng khoa May - Thời trang</v>
      </c>
      <c r="F113" s="1040">
        <v>3.66</v>
      </c>
      <c r="G113" s="1019"/>
      <c r="H113" s="1248">
        <f t="shared" si="13"/>
        <v>0</v>
      </c>
      <c r="I113" s="1020">
        <v>0.45</v>
      </c>
      <c r="J113" s="1020" t="str">
        <f>VLOOKUP(B113,[25]!Table2[[Column2]:[Column6]],4,FALSE)</f>
        <v>A2</v>
      </c>
      <c r="K113" s="1020">
        <f t="shared" si="14"/>
        <v>0.7</v>
      </c>
      <c r="L113" s="1021">
        <v>20</v>
      </c>
      <c r="M113" s="1021">
        <f>VLOOKUP(B113,'[26]CN BC'!$F$10:$H$267,3,FALSE)</f>
        <v>20</v>
      </c>
      <c r="N113" s="1021">
        <f t="shared" si="15"/>
        <v>20</v>
      </c>
      <c r="O113" s="1022"/>
      <c r="P113" s="1023">
        <f t="shared" si="16"/>
        <v>6732180</v>
      </c>
      <c r="Q113" s="1515">
        <f t="shared" si="18"/>
        <v>2.8769999999999998</v>
      </c>
      <c r="R113" s="1429">
        <v>2340000</v>
      </c>
      <c r="S113" s="1486">
        <f t="shared" si="19"/>
        <v>6732179.9999999991</v>
      </c>
      <c r="T113" s="1024">
        <f t="shared" si="17"/>
        <v>89</v>
      </c>
      <c r="U113" s="1025">
        <f>VLOOKUP(B113,'[26]CN BC'!$F$10:$K$267,6,FALSE)</f>
        <v>0</v>
      </c>
      <c r="V113" s="1027"/>
      <c r="W113" s="1489"/>
      <c r="X113" s="1012"/>
      <c r="Y113" s="1012"/>
      <c r="Z113" s="1012"/>
      <c r="AA113" s="1012"/>
      <c r="AB113" s="1012"/>
      <c r="AC113" s="1012"/>
      <c r="AD113" s="1012"/>
    </row>
    <row r="114" spans="1:30" s="1028" customFormat="1" ht="24.75" customHeight="1">
      <c r="A114" s="1014">
        <f>_xlfn.AGGREGATE(4,7,A$24:A113)+1</f>
        <v>90</v>
      </c>
      <c r="B114" s="1015" t="s">
        <v>1481</v>
      </c>
      <c r="C114" s="1033" t="s">
        <v>1692</v>
      </c>
      <c r="D114" s="1045">
        <v>1603205353742</v>
      </c>
      <c r="E114" s="81" t="str">
        <f>VLOOKUP(B114,TH.Q2!B22:E353,4,FALSE)</f>
        <v>Giảng viên khoa May - Thời trang</v>
      </c>
      <c r="F114" s="1040">
        <v>3.66</v>
      </c>
      <c r="G114" s="1019"/>
      <c r="H114" s="1248">
        <f t="shared" si="13"/>
        <v>0</v>
      </c>
      <c r="I114" s="1020"/>
      <c r="J114" s="1020" t="str">
        <f>VLOOKUP(B114,[25]!Table2[[Column2]:[Column6]],4,FALSE)</f>
        <v>A4</v>
      </c>
      <c r="K114" s="1020">
        <f t="shared" si="14"/>
        <v>0.5</v>
      </c>
      <c r="L114" s="1021">
        <v>20</v>
      </c>
      <c r="M114" s="1021">
        <f>VLOOKUP(B114,'[26]CN BC'!$F$10:$H$267,3,FALSE)</f>
        <v>20</v>
      </c>
      <c r="N114" s="1021">
        <f t="shared" si="15"/>
        <v>20</v>
      </c>
      <c r="O114" s="1022"/>
      <c r="P114" s="1023">
        <f t="shared" si="16"/>
        <v>4282200</v>
      </c>
      <c r="Q114" s="1515">
        <f t="shared" si="18"/>
        <v>1.83</v>
      </c>
      <c r="R114" s="1429">
        <v>2340000</v>
      </c>
      <c r="S114" s="1486">
        <f t="shared" si="19"/>
        <v>4282200</v>
      </c>
      <c r="T114" s="1024">
        <f t="shared" si="17"/>
        <v>90</v>
      </c>
      <c r="U114" s="1025">
        <f>VLOOKUP(B114,'[26]CN BC'!$F$10:$K$267,6,FALSE)</f>
        <v>0</v>
      </c>
      <c r="V114" s="1027"/>
      <c r="W114" s="1489"/>
      <c r="X114" s="1012"/>
      <c r="Y114" s="1012"/>
      <c r="Z114" s="1012"/>
    </row>
    <row r="115" spans="1:30" s="1028" customFormat="1" ht="24.75" customHeight="1">
      <c r="A115" s="1014">
        <f>_xlfn.AGGREGATE(4,7,A$24:A114)+1</f>
        <v>91</v>
      </c>
      <c r="B115" s="1015" t="s">
        <v>1865</v>
      </c>
      <c r="C115" s="1029" t="s">
        <v>1693</v>
      </c>
      <c r="D115" s="1045">
        <v>1603205357136</v>
      </c>
      <c r="E115" s="81" t="str">
        <f>VLOOKUP(B115,TH.Q2!B23:E354,4,FALSE)</f>
        <v>Giảng viên khoa May - Thời trang</v>
      </c>
      <c r="F115" s="1040">
        <v>3.66</v>
      </c>
      <c r="G115" s="1019"/>
      <c r="H115" s="1248">
        <f t="shared" si="13"/>
        <v>0</v>
      </c>
      <c r="I115" s="1020"/>
      <c r="J115" s="1020" t="str">
        <f>VLOOKUP(B115,[25]!Table2[[Column2]:[Column6]],4,FALSE)</f>
        <v>A4</v>
      </c>
      <c r="K115" s="1020">
        <f t="shared" si="14"/>
        <v>0.5</v>
      </c>
      <c r="L115" s="1021">
        <v>20</v>
      </c>
      <c r="M115" s="1021">
        <f>VLOOKUP(B115,'[26]CN BC'!$F$10:$H$267,3,FALSE)</f>
        <v>20</v>
      </c>
      <c r="N115" s="1021">
        <f t="shared" si="15"/>
        <v>20</v>
      </c>
      <c r="O115" s="1022"/>
      <c r="P115" s="1023">
        <f t="shared" si="16"/>
        <v>4282200</v>
      </c>
      <c r="Q115" s="1515">
        <f t="shared" si="18"/>
        <v>1.83</v>
      </c>
      <c r="R115" s="1429">
        <v>2340000</v>
      </c>
      <c r="S115" s="1486">
        <f t="shared" si="19"/>
        <v>4282200</v>
      </c>
      <c r="T115" s="1024">
        <f t="shared" si="17"/>
        <v>91</v>
      </c>
      <c r="U115" s="1025">
        <f>VLOOKUP(B115,'[26]CN BC'!$F$10:$K$267,6,FALSE)</f>
        <v>0</v>
      </c>
      <c r="V115" s="1027"/>
      <c r="W115" s="1489"/>
      <c r="X115" s="1012"/>
      <c r="Y115" s="1012"/>
      <c r="Z115" s="1012"/>
      <c r="AA115" s="1012"/>
      <c r="AB115" s="1012"/>
      <c r="AC115" s="1012"/>
      <c r="AD115" s="1012"/>
    </row>
    <row r="116" spans="1:30" s="1028" customFormat="1" ht="29.25" customHeight="1">
      <c r="A116" s="1014">
        <f>_xlfn.AGGREGATE(4,7,A$24:A115)+1</f>
        <v>92</v>
      </c>
      <c r="B116" s="1015" t="s">
        <v>1482</v>
      </c>
      <c r="C116" s="1033" t="s">
        <v>1694</v>
      </c>
      <c r="D116" s="1030" t="s">
        <v>1422</v>
      </c>
      <c r="E116" s="368" t="str">
        <f>VLOOKUP(B116,TH.Q2!B24:E355,4,FALSE)</f>
        <v>Giảng viên khoa May - Thời trang</v>
      </c>
      <c r="F116" s="1040">
        <v>3.33</v>
      </c>
      <c r="G116" s="1019"/>
      <c r="H116" s="1255">
        <f t="shared" si="13"/>
        <v>0</v>
      </c>
      <c r="I116" s="1020"/>
      <c r="J116" s="1020" t="str">
        <f>VLOOKUP(B116,[25]!Table2[[Column2]:[Column6]],4,FALSE)</f>
        <v>A4</v>
      </c>
      <c r="K116" s="1020">
        <f t="shared" si="14"/>
        <v>0.5</v>
      </c>
      <c r="L116" s="1021">
        <v>20</v>
      </c>
      <c r="M116" s="1021">
        <f>VLOOKUP(B116,'[26]CN BC'!$F$10:$H$267,3,FALSE)</f>
        <v>20</v>
      </c>
      <c r="N116" s="1021">
        <f t="shared" si="15"/>
        <v>20</v>
      </c>
      <c r="O116" s="1035"/>
      <c r="P116" s="1023">
        <f t="shared" si="16"/>
        <v>3896100</v>
      </c>
      <c r="Q116" s="1515">
        <f t="shared" si="18"/>
        <v>1.665</v>
      </c>
      <c r="R116" s="1429">
        <v>2340000</v>
      </c>
      <c r="S116" s="1486">
        <f t="shared" si="19"/>
        <v>3896100</v>
      </c>
      <c r="T116" s="1024">
        <f t="shared" si="17"/>
        <v>92</v>
      </c>
      <c r="U116" s="1025">
        <f>VLOOKUP(B116,'[26]CN BC'!$F$10:$K$267,6,FALSE)</f>
        <v>0</v>
      </c>
      <c r="V116" s="1038"/>
      <c r="W116" s="1490"/>
    </row>
    <row r="117" spans="1:30" s="1028" customFormat="1" ht="24.75" customHeight="1">
      <c r="A117" s="1014">
        <f>_xlfn.AGGREGATE(4,7,A$24:A116)+1</f>
        <v>93</v>
      </c>
      <c r="B117" s="1015" t="s">
        <v>1483</v>
      </c>
      <c r="C117" s="1029" t="s">
        <v>1695</v>
      </c>
      <c r="D117" s="1030" t="s">
        <v>1432</v>
      </c>
      <c r="E117" s="81" t="str">
        <f>VLOOKUP(B117,TH.Q2!B25:E356,4,FALSE)</f>
        <v>Giảng viên khoa Du lịch - Khách sạn</v>
      </c>
      <c r="F117" s="1018">
        <v>4.9800000000000004</v>
      </c>
      <c r="G117" s="1019">
        <v>0.06</v>
      </c>
      <c r="H117" s="1255">
        <f t="shared" si="13"/>
        <v>0.29899999999999999</v>
      </c>
      <c r="I117" s="1020">
        <v>0.25</v>
      </c>
      <c r="J117" s="1020" t="str">
        <f>VLOOKUP(B117,[25]!Table2[[Column2]:[Column6]],4,FALSE)</f>
        <v>A1</v>
      </c>
      <c r="K117" s="1020">
        <f t="shared" si="14"/>
        <v>0.8</v>
      </c>
      <c r="L117" s="1021">
        <v>20</v>
      </c>
      <c r="M117" s="1021">
        <f>VLOOKUP(B117,'[26]CN BC'!$F$10:$H$267,3,FALSE)</f>
        <v>20</v>
      </c>
      <c r="N117" s="1021">
        <f t="shared" si="15"/>
        <v>20</v>
      </c>
      <c r="O117" s="1022"/>
      <c r="P117" s="1023">
        <f t="shared" si="16"/>
        <v>10350288.000000002</v>
      </c>
      <c r="Q117" s="1515">
        <f t="shared" si="18"/>
        <v>4.4232000000000005</v>
      </c>
      <c r="R117" s="1429">
        <v>2340000</v>
      </c>
      <c r="S117" s="1486">
        <f t="shared" si="19"/>
        <v>10350288.000000002</v>
      </c>
      <c r="T117" s="1024">
        <f t="shared" si="17"/>
        <v>93</v>
      </c>
      <c r="U117" s="1025">
        <f>VLOOKUP(B117,'[26]CN BC'!$F$10:$K$267,6,FALSE)</f>
        <v>0</v>
      </c>
      <c r="V117" s="1027"/>
      <c r="W117" s="1489"/>
      <c r="X117" s="1012"/>
      <c r="Y117" s="1012"/>
      <c r="Z117" s="1012"/>
      <c r="AA117" s="1012"/>
      <c r="AB117" s="1012"/>
      <c r="AC117" s="1012"/>
      <c r="AD117" s="1012"/>
    </row>
    <row r="118" spans="1:30" s="1028" customFormat="1" ht="24.75" customHeight="1">
      <c r="A118" s="1014">
        <f>_xlfn.AGGREGATE(4,7,A$24:A117)+1</f>
        <v>94</v>
      </c>
      <c r="B118" s="1050" t="s">
        <v>1568</v>
      </c>
      <c r="C118" s="1029" t="s">
        <v>1696</v>
      </c>
      <c r="D118" s="1042" t="s">
        <v>1569</v>
      </c>
      <c r="E118" s="81" t="str">
        <f>VLOOKUP(B118,TH.Q2!B26:E357,4,FALSE)</f>
        <v>Giảng viên khoa May - Thời trang</v>
      </c>
      <c r="F118" s="1040">
        <v>3.33</v>
      </c>
      <c r="G118" s="1019"/>
      <c r="H118" s="1255">
        <f t="shared" si="13"/>
        <v>0</v>
      </c>
      <c r="I118" s="1020"/>
      <c r="J118" s="1020" t="str">
        <f>VLOOKUP(B118,[25]!Table2[[Column2]:[Column6]],4,FALSE)</f>
        <v>A3</v>
      </c>
      <c r="K118" s="1020">
        <f t="shared" si="14"/>
        <v>0.6</v>
      </c>
      <c r="L118" s="1021">
        <v>20</v>
      </c>
      <c r="M118" s="1021">
        <f>VLOOKUP(B118,'[26]CN BC'!$F$10:$H$267,3,FALSE)</f>
        <v>20</v>
      </c>
      <c r="N118" s="1021">
        <f t="shared" si="15"/>
        <v>20</v>
      </c>
      <c r="O118" s="1022"/>
      <c r="P118" s="1023">
        <f t="shared" si="16"/>
        <v>4675320</v>
      </c>
      <c r="Q118" s="1515">
        <f t="shared" si="18"/>
        <v>1.998</v>
      </c>
      <c r="R118" s="1429">
        <v>2340000</v>
      </c>
      <c r="S118" s="1486">
        <f t="shared" si="19"/>
        <v>4675320</v>
      </c>
      <c r="T118" s="1024">
        <f t="shared" si="17"/>
        <v>94</v>
      </c>
      <c r="U118" s="1025">
        <f>VLOOKUP(B118,'[26]CN BC'!$F$10:$K$267,6,FALSE)</f>
        <v>0</v>
      </c>
      <c r="V118" s="1027"/>
      <c r="W118" s="1489"/>
      <c r="X118" s="1012"/>
      <c r="Y118" s="1012"/>
      <c r="Z118" s="1012"/>
      <c r="AA118" s="1012"/>
      <c r="AB118" s="1012"/>
      <c r="AC118" s="1012"/>
      <c r="AD118" s="1012"/>
    </row>
    <row r="119" spans="1:30" s="1028" customFormat="1" ht="24.75" customHeight="1">
      <c r="A119" s="1014">
        <f>_xlfn.AGGREGATE(4,7,A$24:A118)+1</f>
        <v>95</v>
      </c>
      <c r="B119" s="1015" t="s">
        <v>1832</v>
      </c>
      <c r="C119" s="1033" t="s">
        <v>1963</v>
      </c>
      <c r="D119" s="1086">
        <v>1603215005610</v>
      </c>
      <c r="E119" s="81" t="str">
        <f>VLOOKUP(B119,TH.Q2!B27:E358,4,FALSE)</f>
        <v>Giảng viên khoa May - Thời trang</v>
      </c>
      <c r="F119" s="1040">
        <v>3.33</v>
      </c>
      <c r="G119" s="1019"/>
      <c r="H119" s="1248">
        <f t="shared" si="13"/>
        <v>0</v>
      </c>
      <c r="I119" s="1020"/>
      <c r="J119" s="1020" t="str">
        <f>VLOOKUP(B119,[25]!Table2[[Column2]:[Column6]],4,FALSE)</f>
        <v>A4</v>
      </c>
      <c r="K119" s="1020">
        <f t="shared" si="14"/>
        <v>0.5</v>
      </c>
      <c r="L119" s="1021">
        <v>20</v>
      </c>
      <c r="M119" s="1021">
        <f>VLOOKUP(B119,'[26]CN BC'!$F$10:$H$267,3,FALSE)</f>
        <v>20</v>
      </c>
      <c r="N119" s="1021">
        <f t="shared" si="15"/>
        <v>20</v>
      </c>
      <c r="O119" s="1022"/>
      <c r="P119" s="1023">
        <f t="shared" si="16"/>
        <v>3896100</v>
      </c>
      <c r="Q119" s="1515">
        <f t="shared" si="18"/>
        <v>1.665</v>
      </c>
      <c r="R119" s="1429">
        <v>2340000</v>
      </c>
      <c r="S119" s="1486">
        <f t="shared" si="19"/>
        <v>3896100</v>
      </c>
      <c r="T119" s="1024">
        <f t="shared" si="17"/>
        <v>95</v>
      </c>
      <c r="U119" s="1025">
        <f>VLOOKUP(B119,'[26]CN BC'!$F$10:$K$267,6,FALSE)</f>
        <v>0</v>
      </c>
      <c r="V119" s="1027"/>
      <c r="W119" s="1489"/>
      <c r="X119" s="1012"/>
      <c r="Y119" s="1012"/>
      <c r="Z119" s="1012"/>
    </row>
    <row r="120" spans="1:30" s="1028" customFormat="1" ht="28.5" customHeight="1">
      <c r="A120" s="1014">
        <f>_xlfn.AGGREGATE(4,7,A$24:A119)+1</f>
        <v>96</v>
      </c>
      <c r="B120" s="1015" t="s">
        <v>843</v>
      </c>
      <c r="C120" s="1033" t="s">
        <v>1726</v>
      </c>
      <c r="D120" s="1034" t="s">
        <v>1316</v>
      </c>
      <c r="E120" s="81" t="s">
        <v>2445</v>
      </c>
      <c r="F120" s="1040">
        <v>4.32</v>
      </c>
      <c r="G120" s="1019"/>
      <c r="H120" s="1255">
        <f>ROUND(F120*G120,3)</f>
        <v>0</v>
      </c>
      <c r="I120" s="1020">
        <v>0.45</v>
      </c>
      <c r="J120" s="1020" t="str">
        <f>VLOOKUP(B120,[25]!Table2[[Column2]:[Column6]],4,FALSE)</f>
        <v>A2</v>
      </c>
      <c r="K120" s="1020">
        <f>IF(J120="A1",0.8,IF(J120="A2",0.7,IF(J120="A3",0.6,IF(J120="A4",0.5,IF(J120="B1",0.35,IF(J120="B2",0.25,IF(J120="C1",0.15,IF(J120="C2",0.1,0))))))))</f>
        <v>0.7</v>
      </c>
      <c r="L120" s="1021">
        <v>20</v>
      </c>
      <c r="M120" s="1021">
        <f>VLOOKUP(B120,'[26]CN BC'!$F$10:$H$267,3,FALSE)</f>
        <v>20</v>
      </c>
      <c r="N120" s="1021">
        <f>IF(M120&gt;=L120,L120,IF(M120&lt;L120,M120))</f>
        <v>20</v>
      </c>
      <c r="O120" s="1035"/>
      <c r="P120" s="1023">
        <f>(((F120+H120+I120)*$P$21/L120*N120)*K120)+O120</f>
        <v>7813260.0000000009</v>
      </c>
      <c r="Q120" s="1515">
        <f t="shared" si="18"/>
        <v>3.3390000000000004</v>
      </c>
      <c r="R120" s="1429">
        <v>2340000</v>
      </c>
      <c r="S120" s="1486">
        <f t="shared" si="19"/>
        <v>7813260.0000000009</v>
      </c>
      <c r="T120" s="1024">
        <f>A120</f>
        <v>96</v>
      </c>
      <c r="U120" s="1025">
        <f>VLOOKUP(B120,'[26]CN BC'!$F$10:$K$267,6,FALSE)</f>
        <v>0</v>
      </c>
      <c r="V120" s="1038"/>
      <c r="W120" s="1489"/>
    </row>
    <row r="121" spans="1:30" s="1012" customFormat="1" ht="30" customHeight="1">
      <c r="A121" s="1014">
        <f>_xlfn.AGGREGATE(4,7,A$24:A120)+1</f>
        <v>97</v>
      </c>
      <c r="B121" s="1093" t="s">
        <v>1871</v>
      </c>
      <c r="C121" s="1094" t="s">
        <v>1705</v>
      </c>
      <c r="D121" s="1212" t="s">
        <v>1309</v>
      </c>
      <c r="E121" s="554" t="s">
        <v>2441</v>
      </c>
      <c r="F121" s="1095">
        <v>4.9800000000000004</v>
      </c>
      <c r="G121" s="1096">
        <v>0.05</v>
      </c>
      <c r="H121" s="1250">
        <f>ROUND(F121*G121,3)</f>
        <v>0.249</v>
      </c>
      <c r="I121" s="1097">
        <v>0.35</v>
      </c>
      <c r="J121" s="1020" t="str">
        <f>VLOOKUP(B121,[25]!Table2[[Column2]:[Column6]],4,FALSE)</f>
        <v>A2</v>
      </c>
      <c r="K121" s="1097">
        <f>IF(J121="A1",0.8,IF(J121="A2",0.7,IF(J121="A3",0.6,IF(J121="A4",0.5,IF(J121="B1",0.35,IF(J121="B2",0.25,IF(J121="C1",0.15,IF(J121="C2",0.1,0))))))))</f>
        <v>0.7</v>
      </c>
      <c r="L121" s="1021">
        <v>20</v>
      </c>
      <c r="M121" s="1021">
        <f>VLOOKUP(B121,'[26]CN BC'!$F$10:$H$267,3,FALSE)</f>
        <v>20</v>
      </c>
      <c r="N121" s="1213">
        <f>IF(M121&gt;=L121,L121,IF(M121&lt;L121,M121))</f>
        <v>20</v>
      </c>
      <c r="O121" s="1035"/>
      <c r="P121" s="1214">
        <f>(((F121+H121+I121)*$P$21/L121*N121)*K121)+O121</f>
        <v>9138402</v>
      </c>
      <c r="Q121" s="1515">
        <f t="shared" si="18"/>
        <v>3.9053</v>
      </c>
      <c r="R121" s="1429">
        <v>2340000</v>
      </c>
      <c r="S121" s="1486">
        <f t="shared" si="19"/>
        <v>9138402</v>
      </c>
      <c r="T121" s="1220">
        <f>A121</f>
        <v>97</v>
      </c>
      <c r="U121" s="1025">
        <f>VLOOKUP(B121,'[26]CN BC'!$F$10:$K$267,6,FALSE)</f>
        <v>0</v>
      </c>
      <c r="V121" s="1027"/>
      <c r="W121" s="1489"/>
    </row>
    <row r="122" spans="1:30" s="1028" customFormat="1" ht="33" customHeight="1">
      <c r="A122" s="1014">
        <f>_xlfn.AGGREGATE(4,7,A$24:A121)+1</f>
        <v>98</v>
      </c>
      <c r="B122" s="1015" t="s">
        <v>1841</v>
      </c>
      <c r="C122" s="1033" t="s">
        <v>1956</v>
      </c>
      <c r="D122" s="1066" t="s">
        <v>1931</v>
      </c>
      <c r="E122" s="81" t="s">
        <v>2441</v>
      </c>
      <c r="F122" s="1040">
        <v>3</v>
      </c>
      <c r="G122" s="1019"/>
      <c r="H122" s="1248">
        <f>ROUND(F122*G122,3)</f>
        <v>0</v>
      </c>
      <c r="I122" s="1020">
        <v>0.35</v>
      </c>
      <c r="J122" s="1020" t="str">
        <f>VLOOKUP(B122,[25]!Table2[[Column2]:[Column6]],4,FALSE)</f>
        <v>A1</v>
      </c>
      <c r="K122" s="1020">
        <f>IF(J122="A1",0.8,IF(J122="A2",0.7,IF(J122="A3",0.6,IF(J122="A4",0.5,IF(J122="B1",0.35,IF(J122="B2",0.25,IF(J122="C1",0.15,IF(J122="C2",0.1,0))))))))</f>
        <v>0.8</v>
      </c>
      <c r="L122" s="1021">
        <v>20</v>
      </c>
      <c r="M122" s="1021">
        <f>VLOOKUP(B122,'[26]CN BC'!$F$10:$H$267,3,FALSE)</f>
        <v>20</v>
      </c>
      <c r="N122" s="1021">
        <f>IF(M122&gt;=L122,L122,IF(M122&lt;L122,M122))</f>
        <v>20</v>
      </c>
      <c r="O122" s="1022"/>
      <c r="P122" s="1023">
        <f>(((F122+H122+I122)*$P$21/L122*N122)*K122)+O122</f>
        <v>6271200</v>
      </c>
      <c r="Q122" s="1515">
        <f t="shared" si="18"/>
        <v>2.68</v>
      </c>
      <c r="R122" s="1429">
        <v>2340000</v>
      </c>
      <c r="S122" s="1486">
        <f t="shared" si="19"/>
        <v>6271200</v>
      </c>
      <c r="T122" s="1024">
        <f>A122</f>
        <v>98</v>
      </c>
      <c r="U122" s="1025">
        <f>VLOOKUP(B122,'[26]CN BC'!$F$10:$K$267,6,FALSE)</f>
        <v>0</v>
      </c>
      <c r="V122" s="1027"/>
      <c r="W122" s="1489"/>
      <c r="X122" s="1012"/>
      <c r="Y122" s="1012"/>
      <c r="Z122" s="1012"/>
    </row>
    <row r="123" spans="1:30" s="1028" customFormat="1" ht="28.5" customHeight="1">
      <c r="A123" s="1014">
        <f>_xlfn.AGGREGATE(4,7,A$24:A122)+1</f>
        <v>99</v>
      </c>
      <c r="B123" s="1015" t="s">
        <v>1866</v>
      </c>
      <c r="C123" s="1033" t="s">
        <v>1697</v>
      </c>
      <c r="D123" s="1034" t="s">
        <v>1300</v>
      </c>
      <c r="E123" s="81" t="s">
        <v>2444</v>
      </c>
      <c r="F123" s="1018">
        <v>4.9800000000000004</v>
      </c>
      <c r="G123" s="1019">
        <v>0.08</v>
      </c>
      <c r="H123" s="1248">
        <f t="shared" si="13"/>
        <v>0.39800000000000002</v>
      </c>
      <c r="I123" s="1020"/>
      <c r="J123" s="1020" t="str">
        <f>VLOOKUP(B123,[25]!Table2[[Column2]:[Column6]],4,FALSE)</f>
        <v>A3</v>
      </c>
      <c r="K123" s="1020">
        <f t="shared" si="14"/>
        <v>0.6</v>
      </c>
      <c r="L123" s="1021">
        <v>20</v>
      </c>
      <c r="M123" s="1021">
        <f>VLOOKUP(B123,'[26]CN BC'!$F$10:$H$267,3,FALSE)</f>
        <v>20</v>
      </c>
      <c r="N123" s="1021">
        <f t="shared" si="15"/>
        <v>20</v>
      </c>
      <c r="O123" s="1022"/>
      <c r="P123" s="1023">
        <f t="shared" si="16"/>
        <v>7550712</v>
      </c>
      <c r="Q123" s="1515">
        <f t="shared" si="18"/>
        <v>3.2267999999999999</v>
      </c>
      <c r="R123" s="1429">
        <v>2340000</v>
      </c>
      <c r="S123" s="1486">
        <f t="shared" si="19"/>
        <v>7550712</v>
      </c>
      <c r="T123" s="1024">
        <f t="shared" si="17"/>
        <v>99</v>
      </c>
      <c r="U123" s="1025">
        <f>VLOOKUP(B123,'[26]CN BC'!$F$10:$K$267,6,FALSE)</f>
        <v>0</v>
      </c>
      <c r="V123" s="1038"/>
      <c r="W123" s="1489"/>
    </row>
    <row r="124" spans="1:30" s="1012" customFormat="1" ht="30" customHeight="1">
      <c r="A124" s="1014">
        <f>_xlfn.AGGREGATE(4,7,A$24:A123)+1</f>
        <v>100</v>
      </c>
      <c r="B124" s="1050" t="s">
        <v>1867</v>
      </c>
      <c r="C124" s="1029" t="s">
        <v>1698</v>
      </c>
      <c r="D124" s="1051" t="s">
        <v>1299</v>
      </c>
      <c r="E124" s="81" t="s">
        <v>2444</v>
      </c>
      <c r="F124" s="1052">
        <v>4.32</v>
      </c>
      <c r="G124" s="1053"/>
      <c r="H124" s="1248">
        <f t="shared" si="13"/>
        <v>0</v>
      </c>
      <c r="I124" s="1054"/>
      <c r="J124" s="1020" t="str">
        <f>VLOOKUP(B124,[25]!Table2[[Column2]:[Column6]],4,FALSE)</f>
        <v>A4</v>
      </c>
      <c r="K124" s="1020">
        <f t="shared" si="14"/>
        <v>0.5</v>
      </c>
      <c r="L124" s="1021">
        <v>20</v>
      </c>
      <c r="M124" s="1021">
        <f>VLOOKUP(B124,'[26]CN BC'!$F$10:$H$267,3,FALSE)</f>
        <v>20</v>
      </c>
      <c r="N124" s="1021">
        <f t="shared" si="15"/>
        <v>20</v>
      </c>
      <c r="O124" s="1022"/>
      <c r="P124" s="1023">
        <f t="shared" si="16"/>
        <v>5054400</v>
      </c>
      <c r="Q124" s="1515">
        <f t="shared" si="18"/>
        <v>2.16</v>
      </c>
      <c r="R124" s="1429">
        <v>2340000</v>
      </c>
      <c r="S124" s="1486">
        <f t="shared" si="19"/>
        <v>5054400</v>
      </c>
      <c r="T124" s="1024">
        <f t="shared" si="17"/>
        <v>100</v>
      </c>
      <c r="U124" s="1025">
        <f>VLOOKUP(B124,'[26]CN BC'!$F$10:$K$267,6,FALSE)</f>
        <v>0</v>
      </c>
      <c r="V124" s="1027"/>
      <c r="W124" s="1489"/>
    </row>
    <row r="125" spans="1:30" s="1028" customFormat="1" ht="30" customHeight="1">
      <c r="A125" s="1014">
        <f>_xlfn.AGGREGATE(4,7,A$24:A124)+1</f>
        <v>101</v>
      </c>
      <c r="B125" s="1015" t="s">
        <v>1485</v>
      </c>
      <c r="C125" s="1033" t="s">
        <v>1699</v>
      </c>
      <c r="D125" s="1034" t="s">
        <v>373</v>
      </c>
      <c r="E125" s="81" t="s">
        <v>2444</v>
      </c>
      <c r="F125" s="1018">
        <v>4.32</v>
      </c>
      <c r="G125" s="1019"/>
      <c r="H125" s="1255">
        <f t="shared" si="13"/>
        <v>0</v>
      </c>
      <c r="I125" s="1020"/>
      <c r="J125" s="1020" t="str">
        <f>VLOOKUP(B125,[25]!Table2[[Column2]:[Column6]],4,FALSE)</f>
        <v>A4</v>
      </c>
      <c r="K125" s="1020">
        <f t="shared" si="14"/>
        <v>0.5</v>
      </c>
      <c r="L125" s="1021">
        <v>20</v>
      </c>
      <c r="M125" s="1021">
        <f>VLOOKUP(B125,'[26]CN BC'!$F$10:$H$267,3,FALSE)</f>
        <v>20</v>
      </c>
      <c r="N125" s="1021">
        <f t="shared" si="15"/>
        <v>20</v>
      </c>
      <c r="O125" s="1035"/>
      <c r="P125" s="1023">
        <f t="shared" si="16"/>
        <v>5054400</v>
      </c>
      <c r="Q125" s="1515">
        <f t="shared" si="18"/>
        <v>2.16</v>
      </c>
      <c r="R125" s="1429">
        <v>2340000</v>
      </c>
      <c r="S125" s="1486">
        <f t="shared" si="19"/>
        <v>5054400</v>
      </c>
      <c r="T125" s="1024">
        <f t="shared" si="17"/>
        <v>101</v>
      </c>
      <c r="U125" s="1025">
        <f>VLOOKUP(B125,'[26]CN BC'!$F$10:$K$267,6,FALSE)</f>
        <v>0</v>
      </c>
      <c r="V125" s="1038"/>
      <c r="W125" s="1489"/>
    </row>
    <row r="126" spans="1:30" s="1028" customFormat="1" ht="30" customHeight="1">
      <c r="A126" s="1014">
        <f>_xlfn.AGGREGATE(4,7,A$24:A125)+1</f>
        <v>102</v>
      </c>
      <c r="B126" s="1015" t="s">
        <v>1559</v>
      </c>
      <c r="C126" s="1029" t="s">
        <v>1647</v>
      </c>
      <c r="D126" s="1034" t="s">
        <v>406</v>
      </c>
      <c r="E126" s="81" t="s">
        <v>2444</v>
      </c>
      <c r="F126" s="1040">
        <v>3.66</v>
      </c>
      <c r="G126" s="1049"/>
      <c r="H126" s="1248">
        <f t="shared" si="13"/>
        <v>0</v>
      </c>
      <c r="I126" s="1020"/>
      <c r="J126" s="1020" t="str">
        <f>VLOOKUP(B126,[25]!Table2[[Column2]:[Column6]],4,FALSE)</f>
        <v>A4</v>
      </c>
      <c r="K126" s="1020">
        <f t="shared" si="14"/>
        <v>0.5</v>
      </c>
      <c r="L126" s="1021">
        <v>20</v>
      </c>
      <c r="M126" s="1021">
        <f>VLOOKUP(B126,'[26]CN BC'!$F$10:$H$267,3,FALSE)</f>
        <v>20</v>
      </c>
      <c r="N126" s="1021">
        <f t="shared" si="15"/>
        <v>20</v>
      </c>
      <c r="O126" s="1022"/>
      <c r="P126" s="1023">
        <f t="shared" si="16"/>
        <v>4282200</v>
      </c>
      <c r="Q126" s="1515">
        <f t="shared" si="18"/>
        <v>1.83</v>
      </c>
      <c r="R126" s="1429">
        <v>2340000</v>
      </c>
      <c r="S126" s="1486">
        <f t="shared" si="19"/>
        <v>4282200</v>
      </c>
      <c r="T126" s="1024">
        <f t="shared" si="17"/>
        <v>102</v>
      </c>
      <c r="U126" s="1025">
        <f>VLOOKUP(B126,'[26]CN BC'!$F$10:$K$267,6,FALSE)</f>
        <v>0</v>
      </c>
      <c r="V126" s="1027"/>
      <c r="W126" s="1489"/>
      <c r="X126" s="1012"/>
      <c r="Y126" s="1012"/>
      <c r="Z126" s="1012"/>
      <c r="AA126" s="1012"/>
      <c r="AB126" s="1012"/>
      <c r="AC126" s="1012"/>
      <c r="AD126" s="1012"/>
    </row>
    <row r="127" spans="1:30" s="1028" customFormat="1" ht="30" customHeight="1">
      <c r="A127" s="1014">
        <f>_xlfn.AGGREGATE(4,7,A$24:A126)+1</f>
        <v>103</v>
      </c>
      <c r="B127" s="1015" t="s">
        <v>1868</v>
      </c>
      <c r="C127" s="1033" t="s">
        <v>1700</v>
      </c>
      <c r="D127" s="1034" t="s">
        <v>1303</v>
      </c>
      <c r="E127" s="81" t="s">
        <v>2444</v>
      </c>
      <c r="F127" s="1018">
        <v>4.9800000000000004</v>
      </c>
      <c r="G127" s="1019"/>
      <c r="H127" s="1248">
        <f t="shared" si="13"/>
        <v>0</v>
      </c>
      <c r="I127" s="1020"/>
      <c r="J127" s="1020" t="str">
        <f>VLOOKUP(B127,[25]!Table2[[Column2]:[Column6]],4,FALSE)</f>
        <v>A4</v>
      </c>
      <c r="K127" s="1020">
        <f t="shared" si="14"/>
        <v>0.5</v>
      </c>
      <c r="L127" s="1021">
        <v>20</v>
      </c>
      <c r="M127" s="1021">
        <f>VLOOKUP(B127,'[26]CN BC'!$F$10:$H$267,3,FALSE)</f>
        <v>20</v>
      </c>
      <c r="N127" s="1021">
        <f t="shared" si="15"/>
        <v>20</v>
      </c>
      <c r="O127" s="1022"/>
      <c r="P127" s="1023">
        <f t="shared" si="16"/>
        <v>5826600.0000000009</v>
      </c>
      <c r="Q127" s="1515">
        <f t="shared" si="18"/>
        <v>2.4900000000000002</v>
      </c>
      <c r="R127" s="1429">
        <v>2340000</v>
      </c>
      <c r="S127" s="1486">
        <f t="shared" si="19"/>
        <v>5826600.0000000009</v>
      </c>
      <c r="T127" s="1024">
        <f t="shared" si="17"/>
        <v>103</v>
      </c>
      <c r="U127" s="1025">
        <f>VLOOKUP(B127,'[26]CN BC'!$F$10:$K$267,6,FALSE)</f>
        <v>0</v>
      </c>
      <c r="V127" s="1027"/>
      <c r="W127" s="1489"/>
      <c r="X127" s="1012"/>
      <c r="Y127" s="1012"/>
      <c r="Z127" s="1012"/>
    </row>
    <row r="128" spans="1:30" s="1028" customFormat="1" ht="30" customHeight="1">
      <c r="A128" s="1014">
        <f>_xlfn.AGGREGATE(4,7,A$24:A127)+1</f>
        <v>104</v>
      </c>
      <c r="B128" s="1015" t="s">
        <v>1869</v>
      </c>
      <c r="C128" s="1029" t="s">
        <v>1701</v>
      </c>
      <c r="D128" s="1034" t="s">
        <v>1304</v>
      </c>
      <c r="E128" s="81" t="s">
        <v>2444</v>
      </c>
      <c r="F128" s="1040">
        <v>4.6500000000000004</v>
      </c>
      <c r="G128" s="1019"/>
      <c r="H128" s="1248">
        <f t="shared" si="13"/>
        <v>0</v>
      </c>
      <c r="I128" s="1020"/>
      <c r="J128" s="1020" t="str">
        <f>VLOOKUP(B128,[25]!Table2[[Column2]:[Column6]],4,FALSE)</f>
        <v>A3</v>
      </c>
      <c r="K128" s="1020">
        <f t="shared" si="14"/>
        <v>0.6</v>
      </c>
      <c r="L128" s="1021">
        <v>20</v>
      </c>
      <c r="M128" s="1021">
        <f>VLOOKUP(B128,'[26]CN BC'!$F$10:$H$267,3,FALSE)</f>
        <v>20</v>
      </c>
      <c r="N128" s="1021">
        <f t="shared" si="15"/>
        <v>20</v>
      </c>
      <c r="O128" s="1022"/>
      <c r="P128" s="1023">
        <f t="shared" si="16"/>
        <v>6528600</v>
      </c>
      <c r="Q128" s="1515">
        <f t="shared" si="18"/>
        <v>2.79</v>
      </c>
      <c r="R128" s="1429">
        <v>2340000</v>
      </c>
      <c r="S128" s="1486">
        <f t="shared" si="19"/>
        <v>6528600</v>
      </c>
      <c r="T128" s="1024">
        <f t="shared" si="17"/>
        <v>104</v>
      </c>
      <c r="U128" s="1025">
        <f>VLOOKUP(B128,'[26]CN BC'!$F$10:$K$267,6,FALSE)</f>
        <v>0</v>
      </c>
      <c r="V128" s="1027"/>
      <c r="W128" s="1489"/>
      <c r="X128" s="1012"/>
      <c r="Y128" s="1012"/>
      <c r="Z128" s="1012"/>
      <c r="AA128" s="1012"/>
      <c r="AB128" s="1012"/>
      <c r="AC128" s="1012"/>
      <c r="AD128" s="1012"/>
    </row>
    <row r="129" spans="1:30" s="1028" customFormat="1" ht="30" customHeight="1">
      <c r="A129" s="1014">
        <f>_xlfn.AGGREGATE(4,7,A$24:A128)+1</f>
        <v>105</v>
      </c>
      <c r="B129" s="1015" t="s">
        <v>1870</v>
      </c>
      <c r="C129" s="1033" t="s">
        <v>1702</v>
      </c>
      <c r="D129" s="1034" t="s">
        <v>1306</v>
      </c>
      <c r="E129" s="81" t="s">
        <v>2444</v>
      </c>
      <c r="F129" s="1018">
        <v>4.9800000000000004</v>
      </c>
      <c r="G129" s="1019">
        <v>0.1</v>
      </c>
      <c r="H129" s="1255">
        <f t="shared" si="13"/>
        <v>0.498</v>
      </c>
      <c r="I129" s="1020"/>
      <c r="J129" s="1020" t="str">
        <f>VLOOKUP(B129,[25]!Table2[[Column2]:[Column6]],4,FALSE)</f>
        <v>A4</v>
      </c>
      <c r="K129" s="1020">
        <f t="shared" si="14"/>
        <v>0.5</v>
      </c>
      <c r="L129" s="1021">
        <v>20</v>
      </c>
      <c r="M129" s="1021">
        <f>VLOOKUP(B129,'[26]CN BC'!$F$10:$H$267,3,FALSE)</f>
        <v>20</v>
      </c>
      <c r="N129" s="1021">
        <f t="shared" si="15"/>
        <v>20</v>
      </c>
      <c r="O129" s="1035"/>
      <c r="P129" s="1023">
        <f t="shared" si="16"/>
        <v>6409260.0000000009</v>
      </c>
      <c r="Q129" s="1515">
        <f t="shared" si="18"/>
        <v>2.7390000000000003</v>
      </c>
      <c r="R129" s="1429">
        <v>2340000</v>
      </c>
      <c r="S129" s="1486">
        <f t="shared" si="19"/>
        <v>6409260.0000000009</v>
      </c>
      <c r="T129" s="1024">
        <f t="shared" si="17"/>
        <v>105</v>
      </c>
      <c r="U129" s="1025">
        <f>VLOOKUP(B129,'[26]CN BC'!$F$10:$K$267,6,FALSE)</f>
        <v>0</v>
      </c>
      <c r="V129" s="1038"/>
      <c r="W129" s="1489"/>
    </row>
    <row r="130" spans="1:30" s="1028" customFormat="1" ht="26.25" customHeight="1">
      <c r="A130" s="1014">
        <f>_xlfn.AGGREGATE(4,7,A$24:A129)+1</f>
        <v>106</v>
      </c>
      <c r="B130" s="1015" t="s">
        <v>847</v>
      </c>
      <c r="C130" s="1033" t="s">
        <v>1703</v>
      </c>
      <c r="D130" s="1034" t="s">
        <v>1307</v>
      </c>
      <c r="E130" s="81" t="s">
        <v>2444</v>
      </c>
      <c r="F130" s="1040">
        <v>4.32</v>
      </c>
      <c r="G130" s="1019"/>
      <c r="H130" s="1248">
        <f t="shared" si="13"/>
        <v>0</v>
      </c>
      <c r="I130" s="1020"/>
      <c r="J130" s="1020" t="str">
        <f>VLOOKUP(B130,[25]!Table2[[Column2]:[Column6]],4,FALSE)</f>
        <v>A2</v>
      </c>
      <c r="K130" s="1020">
        <f t="shared" si="14"/>
        <v>0.7</v>
      </c>
      <c r="L130" s="1021">
        <v>20</v>
      </c>
      <c r="M130" s="1021">
        <f>VLOOKUP(B130,'[26]CN BC'!$F$10:$H$267,3,FALSE)</f>
        <v>20</v>
      </c>
      <c r="N130" s="1021">
        <f t="shared" si="15"/>
        <v>20</v>
      </c>
      <c r="O130" s="1022"/>
      <c r="P130" s="1023">
        <f t="shared" si="16"/>
        <v>7076160</v>
      </c>
      <c r="Q130" s="1515">
        <f t="shared" si="18"/>
        <v>3.024</v>
      </c>
      <c r="R130" s="1429">
        <v>2340000</v>
      </c>
      <c r="S130" s="1486">
        <f t="shared" si="19"/>
        <v>7076160</v>
      </c>
      <c r="T130" s="1089">
        <f t="shared" si="17"/>
        <v>106</v>
      </c>
      <c r="U130" s="1025">
        <f>VLOOKUP(B130,'[26]CN BC'!$F$10:$K$267,6,FALSE)</f>
        <v>0</v>
      </c>
      <c r="V130" s="1038"/>
      <c r="W130" s="1489"/>
    </row>
    <row r="131" spans="1:30" s="1028" customFormat="1" ht="30" customHeight="1">
      <c r="A131" s="1014">
        <f>_xlfn.AGGREGATE(4,7,A$24:A130)+1</f>
        <v>107</v>
      </c>
      <c r="B131" s="1015" t="s">
        <v>1486</v>
      </c>
      <c r="C131" s="1029" t="s">
        <v>1704</v>
      </c>
      <c r="D131" s="1045" t="s">
        <v>1588</v>
      </c>
      <c r="E131" s="81" t="s">
        <v>2444</v>
      </c>
      <c r="F131" s="1040">
        <v>3.66</v>
      </c>
      <c r="G131" s="1019"/>
      <c r="H131" s="1248">
        <f t="shared" si="13"/>
        <v>0</v>
      </c>
      <c r="I131" s="1020"/>
      <c r="J131" s="1020" t="str">
        <f>VLOOKUP(B131,[25]!Table2[[Column2]:[Column6]],4,FALSE)</f>
        <v>A4</v>
      </c>
      <c r="K131" s="1020">
        <f t="shared" si="14"/>
        <v>0.5</v>
      </c>
      <c r="L131" s="1021">
        <v>20</v>
      </c>
      <c r="M131" s="1021">
        <f>VLOOKUP(B131,'[26]CN BC'!$F$10:$H$267,3,FALSE)</f>
        <v>20</v>
      </c>
      <c r="N131" s="1021">
        <f t="shared" si="15"/>
        <v>20</v>
      </c>
      <c r="O131" s="1022"/>
      <c r="P131" s="1023">
        <f t="shared" si="16"/>
        <v>4282200</v>
      </c>
      <c r="Q131" s="1515">
        <f t="shared" si="18"/>
        <v>1.83</v>
      </c>
      <c r="R131" s="1429">
        <v>2340000</v>
      </c>
      <c r="S131" s="1486">
        <f t="shared" si="19"/>
        <v>4282200</v>
      </c>
      <c r="T131" s="1089">
        <f t="shared" si="17"/>
        <v>107</v>
      </c>
      <c r="U131" s="1025">
        <f>VLOOKUP(B131,'[26]CN BC'!$F$10:$K$267,6,FALSE)</f>
        <v>0</v>
      </c>
      <c r="V131" s="1027"/>
      <c r="W131" s="1489"/>
      <c r="X131" s="1012"/>
      <c r="Y131" s="1012"/>
      <c r="Z131" s="1012"/>
      <c r="AA131" s="1012"/>
      <c r="AB131" s="1012"/>
      <c r="AC131" s="1012"/>
      <c r="AD131" s="1012"/>
    </row>
    <row r="132" spans="1:30" s="1028" customFormat="1" ht="30" customHeight="1">
      <c r="A132" s="1014">
        <f>_xlfn.AGGREGATE(4,7,A$24:A131)+1</f>
        <v>108</v>
      </c>
      <c r="B132" s="1015" t="s">
        <v>1872</v>
      </c>
      <c r="C132" s="1033" t="s">
        <v>1706</v>
      </c>
      <c r="D132" s="1034" t="s">
        <v>1311</v>
      </c>
      <c r="E132" s="81" t="s">
        <v>2444</v>
      </c>
      <c r="F132" s="1018">
        <v>4.9800000000000004</v>
      </c>
      <c r="G132" s="1019">
        <v>7.0000000000000007E-2</v>
      </c>
      <c r="H132" s="1255">
        <f t="shared" si="13"/>
        <v>0.34899999999999998</v>
      </c>
      <c r="I132" s="1020"/>
      <c r="J132" s="1020" t="str">
        <f>VLOOKUP(B132,[25]!Table2[[Column2]:[Column6]],4,FALSE)</f>
        <v>A4</v>
      </c>
      <c r="K132" s="1020">
        <f t="shared" si="14"/>
        <v>0.5</v>
      </c>
      <c r="L132" s="1021">
        <v>20</v>
      </c>
      <c r="M132" s="1021">
        <f>VLOOKUP(B132,'[26]CN BC'!$F$10:$H$267,3,FALSE)</f>
        <v>20</v>
      </c>
      <c r="N132" s="1021">
        <f t="shared" si="15"/>
        <v>20</v>
      </c>
      <c r="O132" s="1035"/>
      <c r="P132" s="1023">
        <f t="shared" si="16"/>
        <v>6234930.0000000009</v>
      </c>
      <c r="Q132" s="1515">
        <f t="shared" si="18"/>
        <v>2.6645000000000003</v>
      </c>
      <c r="R132" s="1429">
        <v>2340000</v>
      </c>
      <c r="S132" s="1486">
        <f t="shared" si="19"/>
        <v>6234930.0000000009</v>
      </c>
      <c r="T132" s="1089">
        <f t="shared" si="17"/>
        <v>108</v>
      </c>
      <c r="U132" s="1025">
        <f>VLOOKUP(B132,'[26]CN BC'!$F$10:$K$267,6,FALSE)</f>
        <v>0</v>
      </c>
      <c r="V132" s="1038"/>
      <c r="W132" s="1489"/>
    </row>
    <row r="133" spans="1:30" s="1028" customFormat="1" ht="32.25" customHeight="1">
      <c r="A133" s="1014">
        <f>_xlfn.AGGREGATE(4,7,A$24:A132)+1</f>
        <v>109</v>
      </c>
      <c r="B133" s="1015" t="s">
        <v>1487</v>
      </c>
      <c r="C133" s="1033" t="s">
        <v>1707</v>
      </c>
      <c r="D133" s="1034" t="s">
        <v>1312</v>
      </c>
      <c r="E133" s="81" t="s">
        <v>2444</v>
      </c>
      <c r="F133" s="1040">
        <v>3.99</v>
      </c>
      <c r="G133" s="1019"/>
      <c r="H133" s="1248">
        <f t="shared" si="13"/>
        <v>0</v>
      </c>
      <c r="I133" s="1020"/>
      <c r="J133" s="1020" t="str">
        <f>VLOOKUP(B133,[25]!Table2[[Column2]:[Column6]],4,FALSE)</f>
        <v>A3</v>
      </c>
      <c r="K133" s="1020">
        <f t="shared" si="14"/>
        <v>0.6</v>
      </c>
      <c r="L133" s="1021">
        <v>20</v>
      </c>
      <c r="M133" s="1021">
        <f>VLOOKUP(B133,'[26]CN BC'!$F$10:$H$267,3,FALSE)</f>
        <v>20</v>
      </c>
      <c r="N133" s="1021">
        <f t="shared" si="15"/>
        <v>20</v>
      </c>
      <c r="O133" s="1022"/>
      <c r="P133" s="1023">
        <f t="shared" si="16"/>
        <v>5601960</v>
      </c>
      <c r="Q133" s="1515">
        <f t="shared" si="18"/>
        <v>2.3940000000000001</v>
      </c>
      <c r="R133" s="1429">
        <v>2340000</v>
      </c>
      <c r="S133" s="1486">
        <f t="shared" si="19"/>
        <v>5601960</v>
      </c>
      <c r="T133" s="1024">
        <f t="shared" si="17"/>
        <v>109</v>
      </c>
      <c r="U133" s="1025">
        <f>VLOOKUP(B133,'[26]CN BC'!$F$10:$K$267,6,FALSE)</f>
        <v>0</v>
      </c>
      <c r="V133" s="1038"/>
      <c r="W133" s="1489"/>
    </row>
    <row r="134" spans="1:30" s="1028" customFormat="1" ht="30" customHeight="1">
      <c r="A134" s="1014">
        <f>_xlfn.AGGREGATE(4,7,A$24:A133)+1</f>
        <v>110</v>
      </c>
      <c r="B134" s="1015" t="s">
        <v>1488</v>
      </c>
      <c r="C134" s="1033" t="s">
        <v>1708</v>
      </c>
      <c r="D134" s="1034" t="s">
        <v>374</v>
      </c>
      <c r="E134" s="81" t="s">
        <v>2444</v>
      </c>
      <c r="F134" s="1040">
        <v>3.66</v>
      </c>
      <c r="G134" s="1019"/>
      <c r="H134" s="1248">
        <f t="shared" si="13"/>
        <v>0</v>
      </c>
      <c r="I134" s="1020"/>
      <c r="J134" s="1020" t="str">
        <f>VLOOKUP(B134,[25]!Table2[[Column2]:[Column6]],4,FALSE)</f>
        <v>A4</v>
      </c>
      <c r="K134" s="1020">
        <f t="shared" si="14"/>
        <v>0.5</v>
      </c>
      <c r="L134" s="1021">
        <v>20</v>
      </c>
      <c r="M134" s="1021">
        <f>VLOOKUP(B134,'[26]CN BC'!$F$10:$H$267,3,FALSE)</f>
        <v>20</v>
      </c>
      <c r="N134" s="1021">
        <f t="shared" si="15"/>
        <v>20</v>
      </c>
      <c r="O134" s="1022"/>
      <c r="P134" s="1023">
        <f t="shared" si="16"/>
        <v>4282200</v>
      </c>
      <c r="Q134" s="1515">
        <f t="shared" si="18"/>
        <v>1.83</v>
      </c>
      <c r="R134" s="1429">
        <v>2340000</v>
      </c>
      <c r="S134" s="1486">
        <f t="shared" si="19"/>
        <v>4282200</v>
      </c>
      <c r="T134" s="1024">
        <f t="shared" si="17"/>
        <v>110</v>
      </c>
      <c r="U134" s="1025">
        <f>VLOOKUP(B134,'[26]CN BC'!$F$10:$K$267,6,FALSE)</f>
        <v>0</v>
      </c>
      <c r="V134" s="1027"/>
      <c r="W134" s="1489"/>
      <c r="X134" s="1012"/>
      <c r="Y134" s="1012"/>
      <c r="Z134" s="1012"/>
    </row>
    <row r="135" spans="1:30" s="1028" customFormat="1" ht="30" customHeight="1">
      <c r="A135" s="1014">
        <f>_xlfn.AGGREGATE(4,7,A$24:A134)+1</f>
        <v>111</v>
      </c>
      <c r="B135" s="1015" t="s">
        <v>1489</v>
      </c>
      <c r="C135" s="1033" t="s">
        <v>1709</v>
      </c>
      <c r="D135" s="1030" t="s">
        <v>1424</v>
      </c>
      <c r="E135" s="81" t="s">
        <v>2444</v>
      </c>
      <c r="F135" s="1040">
        <v>3.33</v>
      </c>
      <c r="G135" s="1019"/>
      <c r="H135" s="1248">
        <f t="shared" si="13"/>
        <v>0</v>
      </c>
      <c r="I135" s="1020"/>
      <c r="J135" s="1020" t="str">
        <f>VLOOKUP(B135,[25]!Table2[[Column2]:[Column6]],4,FALSE)</f>
        <v>A4</v>
      </c>
      <c r="K135" s="1020">
        <f t="shared" si="14"/>
        <v>0.5</v>
      </c>
      <c r="L135" s="1021">
        <v>20</v>
      </c>
      <c r="M135" s="1021">
        <f>VLOOKUP(B135,'[26]CN BC'!$F$10:$H$267,3,FALSE)</f>
        <v>20</v>
      </c>
      <c r="N135" s="1021">
        <f t="shared" si="15"/>
        <v>20</v>
      </c>
      <c r="O135" s="1022"/>
      <c r="P135" s="1023">
        <f t="shared" si="16"/>
        <v>3896100</v>
      </c>
      <c r="Q135" s="1515">
        <f t="shared" si="18"/>
        <v>1.665</v>
      </c>
      <c r="R135" s="1429">
        <v>2340000</v>
      </c>
      <c r="S135" s="1486">
        <f t="shared" si="19"/>
        <v>3896100</v>
      </c>
      <c r="T135" s="1024">
        <f t="shared" si="17"/>
        <v>111</v>
      </c>
      <c r="U135" s="1025">
        <f>VLOOKUP(B135,'[26]CN BC'!$F$10:$K$267,6,FALSE)</f>
        <v>0</v>
      </c>
      <c r="V135" s="1027"/>
      <c r="W135" s="1489"/>
      <c r="X135" s="1012"/>
      <c r="Y135" s="1012"/>
      <c r="Z135" s="1012"/>
    </row>
    <row r="136" spans="1:30" s="1028" customFormat="1" ht="27.75" customHeight="1">
      <c r="A136" s="1014">
        <f>_xlfn.AGGREGATE(4,7,A$24:A135)+1</f>
        <v>112</v>
      </c>
      <c r="B136" s="1015" t="s">
        <v>1490</v>
      </c>
      <c r="C136" s="1033" t="s">
        <v>1710</v>
      </c>
      <c r="D136" s="1030" t="s">
        <v>1425</v>
      </c>
      <c r="E136" s="81" t="s">
        <v>2444</v>
      </c>
      <c r="F136" s="1040">
        <v>3.33</v>
      </c>
      <c r="G136" s="1019"/>
      <c r="H136" s="1248">
        <f t="shared" si="13"/>
        <v>0</v>
      </c>
      <c r="I136" s="1020"/>
      <c r="J136" s="1020" t="str">
        <f>VLOOKUP(B136,[25]!Table2[[Column2]:[Column6]],4,FALSE)</f>
        <v>A4</v>
      </c>
      <c r="K136" s="1020">
        <f t="shared" si="14"/>
        <v>0.5</v>
      </c>
      <c r="L136" s="1021">
        <v>20</v>
      </c>
      <c r="M136" s="1021">
        <f>VLOOKUP(B136,'[26]CN BC'!$F$10:$H$267,3,FALSE)</f>
        <v>20</v>
      </c>
      <c r="N136" s="1021">
        <f t="shared" si="15"/>
        <v>20</v>
      </c>
      <c r="O136" s="1022"/>
      <c r="P136" s="1023">
        <f t="shared" si="16"/>
        <v>3896100</v>
      </c>
      <c r="Q136" s="1515">
        <f t="shared" si="18"/>
        <v>1.665</v>
      </c>
      <c r="R136" s="1429">
        <v>2340000</v>
      </c>
      <c r="S136" s="1486">
        <f t="shared" si="19"/>
        <v>3896100</v>
      </c>
      <c r="T136" s="1024">
        <f t="shared" si="17"/>
        <v>112</v>
      </c>
      <c r="U136" s="1025">
        <f>VLOOKUP(B136,'[26]CN BC'!$F$10:$K$267,6,FALSE)</f>
        <v>0</v>
      </c>
      <c r="V136" s="1038"/>
      <c r="W136" s="1489"/>
    </row>
    <row r="137" spans="1:30" s="1028" customFormat="1" ht="30" customHeight="1">
      <c r="A137" s="1014">
        <f>_xlfn.AGGREGATE(4,7,A$24:A136)+1</f>
        <v>113</v>
      </c>
      <c r="B137" s="1015" t="s">
        <v>1873</v>
      </c>
      <c r="C137" s="1033" t="s">
        <v>1711</v>
      </c>
      <c r="D137" s="1034" t="s">
        <v>1322</v>
      </c>
      <c r="E137" s="81" t="s">
        <v>2444</v>
      </c>
      <c r="F137" s="1040">
        <v>4.32</v>
      </c>
      <c r="G137" s="1019"/>
      <c r="H137" s="1255">
        <f t="shared" si="13"/>
        <v>0</v>
      </c>
      <c r="I137" s="1491">
        <f>0.25</f>
        <v>0.25</v>
      </c>
      <c r="J137" s="1020" t="str">
        <f>VLOOKUP(B137,[25]!Table2[[Column2]:[Column6]],4,FALSE)</f>
        <v>A4</v>
      </c>
      <c r="K137" s="1020">
        <f t="shared" si="14"/>
        <v>0.5</v>
      </c>
      <c r="L137" s="1021">
        <v>20</v>
      </c>
      <c r="M137" s="1021">
        <f>VLOOKUP(B137,'[26]CN BC'!$F$10:$H$267,3,FALSE)</f>
        <v>20</v>
      </c>
      <c r="N137" s="1021">
        <f t="shared" si="15"/>
        <v>20</v>
      </c>
      <c r="O137" s="1035"/>
      <c r="P137" s="1023">
        <f t="shared" si="16"/>
        <v>5346900</v>
      </c>
      <c r="Q137" s="1515">
        <f t="shared" si="18"/>
        <v>2.2850000000000001</v>
      </c>
      <c r="R137" s="1429">
        <v>2340000</v>
      </c>
      <c r="S137" s="1486">
        <f t="shared" si="19"/>
        <v>5346900</v>
      </c>
      <c r="T137" s="1024">
        <f t="shared" si="17"/>
        <v>113</v>
      </c>
      <c r="U137" s="1025">
        <f>VLOOKUP(B137,'[26]CN BC'!$F$10:$K$267,6,FALSE)</f>
        <v>0</v>
      </c>
      <c r="V137" s="1038"/>
      <c r="W137" s="1489"/>
    </row>
    <row r="138" spans="1:30" s="1028" customFormat="1" ht="30" customHeight="1">
      <c r="A138" s="1014">
        <f>_xlfn.AGGREGATE(4,7,A$24:A137)+1</f>
        <v>114</v>
      </c>
      <c r="B138" s="1015" t="s">
        <v>1491</v>
      </c>
      <c r="C138" s="1033" t="s">
        <v>1712</v>
      </c>
      <c r="D138" s="1034" t="s">
        <v>1323</v>
      </c>
      <c r="E138" s="81" t="s">
        <v>2444</v>
      </c>
      <c r="F138" s="1040">
        <v>4.32</v>
      </c>
      <c r="G138" s="1019"/>
      <c r="H138" s="1248">
        <f t="shared" si="13"/>
        <v>0</v>
      </c>
      <c r="I138" s="1020"/>
      <c r="J138" s="1020" t="str">
        <f>VLOOKUP(B138,[25]!Table2[[Column2]:[Column6]],4,FALSE)</f>
        <v>A3</v>
      </c>
      <c r="K138" s="1020">
        <f t="shared" si="14"/>
        <v>0.6</v>
      </c>
      <c r="L138" s="1021">
        <v>20</v>
      </c>
      <c r="M138" s="1021">
        <f>VLOOKUP(B138,'[26]CN BC'!$F$10:$H$267,3,FALSE)</f>
        <v>20</v>
      </c>
      <c r="N138" s="1021">
        <f t="shared" si="15"/>
        <v>20</v>
      </c>
      <c r="O138" s="1022"/>
      <c r="P138" s="1023">
        <f t="shared" si="16"/>
        <v>6065280</v>
      </c>
      <c r="Q138" s="1515">
        <f t="shared" si="18"/>
        <v>2.5920000000000001</v>
      </c>
      <c r="R138" s="1429">
        <v>2340000</v>
      </c>
      <c r="S138" s="1486">
        <f t="shared" si="19"/>
        <v>6065280</v>
      </c>
      <c r="T138" s="1024">
        <f t="shared" si="17"/>
        <v>114</v>
      </c>
      <c r="U138" s="1025">
        <f>VLOOKUP(B138,'[26]CN BC'!$F$10:$K$267,6,FALSE)</f>
        <v>0</v>
      </c>
      <c r="V138" s="1027"/>
      <c r="W138" s="1489"/>
      <c r="X138" s="1012"/>
      <c r="Y138" s="1012"/>
      <c r="Z138" s="1012"/>
    </row>
    <row r="139" spans="1:30" s="1028" customFormat="1" ht="36" customHeight="1">
      <c r="A139" s="1014">
        <f>_xlfn.AGGREGATE(4,7,A$24:A138)+1</f>
        <v>115</v>
      </c>
      <c r="B139" s="1015" t="s">
        <v>845</v>
      </c>
      <c r="C139" s="1033" t="s">
        <v>1713</v>
      </c>
      <c r="D139" s="1034" t="s">
        <v>1324</v>
      </c>
      <c r="E139" s="81" t="s">
        <v>2444</v>
      </c>
      <c r="F139" s="1040">
        <v>3.99</v>
      </c>
      <c r="G139" s="1019"/>
      <c r="H139" s="1248">
        <f t="shared" si="13"/>
        <v>0</v>
      </c>
      <c r="I139" s="1020"/>
      <c r="J139" s="1020" t="str">
        <f>VLOOKUP(B139,[25]!Table2[[Column2]:[Column6]],4,FALSE)</f>
        <v>A3</v>
      </c>
      <c r="K139" s="1020">
        <f t="shared" si="14"/>
        <v>0.6</v>
      </c>
      <c r="L139" s="1021">
        <v>20</v>
      </c>
      <c r="M139" s="1021">
        <f>VLOOKUP(B139,'[26]CN BC'!$F$10:$H$267,3,FALSE)</f>
        <v>20</v>
      </c>
      <c r="N139" s="1021">
        <f t="shared" si="15"/>
        <v>20</v>
      </c>
      <c r="O139" s="1022"/>
      <c r="P139" s="1023">
        <f t="shared" si="16"/>
        <v>5601960</v>
      </c>
      <c r="Q139" s="1515">
        <f t="shared" si="18"/>
        <v>2.3940000000000001</v>
      </c>
      <c r="R139" s="1429">
        <v>2340000</v>
      </c>
      <c r="S139" s="1486">
        <f t="shared" si="19"/>
        <v>5601960</v>
      </c>
      <c r="T139" s="1024">
        <f t="shared" si="17"/>
        <v>115</v>
      </c>
      <c r="U139" s="1025">
        <f>VLOOKUP(B139,'[26]CN BC'!$F$10:$K$267,6,FALSE)</f>
        <v>0</v>
      </c>
      <c r="V139" s="1027"/>
      <c r="W139" s="1489"/>
      <c r="X139" s="1012"/>
      <c r="Y139" s="1012"/>
      <c r="Z139" s="1012"/>
    </row>
    <row r="140" spans="1:30" s="1028" customFormat="1" ht="27.75" customHeight="1">
      <c r="A140" s="1014">
        <f>_xlfn.AGGREGATE(4,7,A$24:A139)+1</f>
        <v>116</v>
      </c>
      <c r="B140" s="1015" t="s">
        <v>1492</v>
      </c>
      <c r="C140" s="1029" t="s">
        <v>1714</v>
      </c>
      <c r="D140" s="1090" t="s">
        <v>1938</v>
      </c>
      <c r="E140" s="81" t="s">
        <v>2444</v>
      </c>
      <c r="F140" s="1040">
        <v>3.99</v>
      </c>
      <c r="G140" s="1019"/>
      <c r="H140" s="1248">
        <f t="shared" si="13"/>
        <v>0</v>
      </c>
      <c r="I140" s="1517">
        <v>0.25</v>
      </c>
      <c r="J140" s="1020" t="str">
        <f>VLOOKUP(B140,[25]!Table2[[Column2]:[Column6]],4,FALSE)</f>
        <v>A2</v>
      </c>
      <c r="K140" s="1020">
        <f t="shared" si="14"/>
        <v>0.7</v>
      </c>
      <c r="L140" s="1021">
        <v>20</v>
      </c>
      <c r="M140" s="1021">
        <f>VLOOKUP(B140,'[26]CN BC'!$F$10:$H$267,3,FALSE)</f>
        <v>20</v>
      </c>
      <c r="N140" s="1021">
        <f t="shared" si="15"/>
        <v>20</v>
      </c>
      <c r="O140" s="1022"/>
      <c r="P140" s="1023">
        <f t="shared" si="16"/>
        <v>6945120</v>
      </c>
      <c r="Q140" s="1515">
        <f t="shared" si="18"/>
        <v>2.968</v>
      </c>
      <c r="R140" s="1429">
        <v>2340000</v>
      </c>
      <c r="S140" s="1486">
        <f t="shared" si="19"/>
        <v>6945120</v>
      </c>
      <c r="T140" s="1024">
        <f t="shared" si="17"/>
        <v>116</v>
      </c>
      <c r="U140" s="1025">
        <f>VLOOKUP(B140,'[26]CN BC'!$F$10:$K$267,6,FALSE)</f>
        <v>0</v>
      </c>
      <c r="V140" s="1027"/>
      <c r="W140" s="1489"/>
      <c r="X140" s="1012"/>
      <c r="Y140" s="1012"/>
      <c r="Z140" s="1012"/>
      <c r="AA140" s="1012"/>
      <c r="AB140" s="1012"/>
      <c r="AC140" s="1012"/>
      <c r="AD140" s="1012"/>
    </row>
    <row r="141" spans="1:30" s="1028" customFormat="1" ht="31.5" customHeight="1">
      <c r="A141" s="1014">
        <f>_xlfn.AGGREGATE(4,7,A$24:A140)+1</f>
        <v>117</v>
      </c>
      <c r="B141" s="1015" t="s">
        <v>1558</v>
      </c>
      <c r="C141" s="1033" t="s">
        <v>1715</v>
      </c>
      <c r="D141" s="1034" t="s">
        <v>21</v>
      </c>
      <c r="E141" s="81" t="s">
        <v>2444</v>
      </c>
      <c r="F141" s="1040">
        <v>4.6500000000000004</v>
      </c>
      <c r="G141" s="1019"/>
      <c r="H141" s="1248">
        <f t="shared" si="13"/>
        <v>0</v>
      </c>
      <c r="I141" s="1020"/>
      <c r="J141" s="1020" t="str">
        <f>VLOOKUP(B141,[25]!Table2[[Column2]:[Column6]],4,FALSE)</f>
        <v>A4</v>
      </c>
      <c r="K141" s="1020">
        <f t="shared" si="14"/>
        <v>0.5</v>
      </c>
      <c r="L141" s="1021">
        <v>20</v>
      </c>
      <c r="M141" s="1021">
        <f>VLOOKUP(B141,'[26]CN BC'!$F$10:$H$267,3,FALSE)</f>
        <v>20</v>
      </c>
      <c r="N141" s="1021">
        <f t="shared" si="15"/>
        <v>20</v>
      </c>
      <c r="O141" s="1022"/>
      <c r="P141" s="1023">
        <f t="shared" si="16"/>
        <v>5440500</v>
      </c>
      <c r="Q141" s="1515">
        <f t="shared" si="18"/>
        <v>2.3250000000000002</v>
      </c>
      <c r="R141" s="1429">
        <v>2340000</v>
      </c>
      <c r="S141" s="1486">
        <f t="shared" si="19"/>
        <v>5440500</v>
      </c>
      <c r="T141" s="1024">
        <f t="shared" si="17"/>
        <v>117</v>
      </c>
      <c r="U141" s="1025">
        <f>VLOOKUP(B141,'[26]CN BC'!$F$10:$K$267,6,FALSE)</f>
        <v>0</v>
      </c>
      <c r="V141" s="1027"/>
      <c r="W141" s="1489"/>
      <c r="X141" s="1012"/>
      <c r="Y141" s="1012"/>
      <c r="Z141" s="1012"/>
    </row>
    <row r="142" spans="1:30" s="1028" customFormat="1" ht="30" customHeight="1">
      <c r="A142" s="1014">
        <f>_xlfn.AGGREGATE(4,7,A$24:A141)+1</f>
        <v>118</v>
      </c>
      <c r="B142" s="1015" t="s">
        <v>1499</v>
      </c>
      <c r="C142" s="1033" t="s">
        <v>1725</v>
      </c>
      <c r="D142" s="1034" t="s">
        <v>378</v>
      </c>
      <c r="E142" s="81" t="s">
        <v>2444</v>
      </c>
      <c r="F142" s="1040">
        <v>4.32</v>
      </c>
      <c r="G142" s="1100"/>
      <c r="H142" s="1248">
        <f t="shared" si="13"/>
        <v>0</v>
      </c>
      <c r="I142" s="1020"/>
      <c r="J142" s="1020" t="str">
        <f>VLOOKUP(B142,[25]!Table2[[Column2]:[Column6]],4,FALSE)</f>
        <v>A4</v>
      </c>
      <c r="K142" s="1020">
        <f t="shared" si="14"/>
        <v>0.5</v>
      </c>
      <c r="L142" s="1021">
        <v>20</v>
      </c>
      <c r="M142" s="1021">
        <f>VLOOKUP(B142,'[26]CN BC'!$F$10:$H$267,3,FALSE)</f>
        <v>20</v>
      </c>
      <c r="N142" s="1021">
        <f t="shared" si="15"/>
        <v>20</v>
      </c>
      <c r="O142" s="1022"/>
      <c r="P142" s="1023">
        <f t="shared" si="16"/>
        <v>5054400</v>
      </c>
      <c r="Q142" s="1515">
        <f t="shared" si="18"/>
        <v>2.16</v>
      </c>
      <c r="R142" s="1429">
        <v>2340000</v>
      </c>
      <c r="S142" s="1486">
        <f t="shared" si="19"/>
        <v>5054400</v>
      </c>
      <c r="T142" s="1024">
        <f t="shared" si="17"/>
        <v>118</v>
      </c>
      <c r="U142" s="1025">
        <f>VLOOKUP(B142,'[26]CN BC'!$F$10:$K$267,6,FALSE)</f>
        <v>0</v>
      </c>
      <c r="V142" s="1038"/>
      <c r="W142" s="1489"/>
    </row>
    <row r="143" spans="1:30" s="1028" customFormat="1" ht="28.5" customHeight="1">
      <c r="A143" s="1014">
        <f>_xlfn.AGGREGATE(4,7,A$24:A142)+1</f>
        <v>119</v>
      </c>
      <c r="B143" s="1015" t="s">
        <v>846</v>
      </c>
      <c r="C143" s="1033" t="s">
        <v>1727</v>
      </c>
      <c r="D143" s="1034" t="s">
        <v>1317</v>
      </c>
      <c r="E143" s="81" t="s">
        <v>2444</v>
      </c>
      <c r="F143" s="1040">
        <v>4.32</v>
      </c>
      <c r="G143" s="1019"/>
      <c r="H143" s="1255">
        <f t="shared" si="13"/>
        <v>0</v>
      </c>
      <c r="I143" s="1491">
        <v>0.25</v>
      </c>
      <c r="J143" s="1020" t="str">
        <f>VLOOKUP(B143,[25]!Table2[[Column2]:[Column6]],4,FALSE)</f>
        <v>A3</v>
      </c>
      <c r="K143" s="1020">
        <f t="shared" si="14"/>
        <v>0.6</v>
      </c>
      <c r="L143" s="1021">
        <v>20</v>
      </c>
      <c r="M143" s="1021">
        <f>VLOOKUP(B143,'[26]CN BC'!$F$10:$H$267,3,FALSE)</f>
        <v>20</v>
      </c>
      <c r="N143" s="1021">
        <f t="shared" si="15"/>
        <v>20</v>
      </c>
      <c r="O143" s="1035"/>
      <c r="P143" s="1023">
        <f t="shared" si="16"/>
        <v>6416280</v>
      </c>
      <c r="Q143" s="1515">
        <f t="shared" si="18"/>
        <v>2.742</v>
      </c>
      <c r="R143" s="1429">
        <v>2340000</v>
      </c>
      <c r="S143" s="1486">
        <f t="shared" si="19"/>
        <v>6416280</v>
      </c>
      <c r="T143" s="1024">
        <f t="shared" si="17"/>
        <v>119</v>
      </c>
      <c r="U143" s="1025">
        <f>VLOOKUP(B143,'[26]CN BC'!$F$10:$K$267,6,FALSE)</f>
        <v>0</v>
      </c>
      <c r="V143" s="1038"/>
      <c r="W143" s="1489"/>
    </row>
    <row r="144" spans="1:30" s="1028" customFormat="1" ht="30.75" customHeight="1">
      <c r="A144" s="1014">
        <f>_xlfn.AGGREGATE(4,7,A$24:A143)+1</f>
        <v>120</v>
      </c>
      <c r="B144" s="1015" t="s">
        <v>1877</v>
      </c>
      <c r="C144" s="1033" t="s">
        <v>1729</v>
      </c>
      <c r="D144" s="1034" t="s">
        <v>1320</v>
      </c>
      <c r="E144" s="81" t="s">
        <v>2444</v>
      </c>
      <c r="F144" s="1018">
        <v>4.6500000000000004</v>
      </c>
      <c r="G144" s="1019"/>
      <c r="H144" s="1248">
        <f t="shared" si="13"/>
        <v>0</v>
      </c>
      <c r="I144" s="1020"/>
      <c r="J144" s="1020" t="str">
        <f>VLOOKUP(B144,[25]!Table2[[Column2]:[Column6]],4,FALSE)</f>
        <v>A3</v>
      </c>
      <c r="K144" s="1020">
        <f t="shared" si="14"/>
        <v>0.6</v>
      </c>
      <c r="L144" s="1021">
        <v>20</v>
      </c>
      <c r="M144" s="1021">
        <f>VLOOKUP(B144,'[26]CN BC'!$F$10:$H$267,3,FALSE)</f>
        <v>20</v>
      </c>
      <c r="N144" s="1021">
        <f t="shared" si="15"/>
        <v>20</v>
      </c>
      <c r="O144" s="1022"/>
      <c r="P144" s="1023">
        <f t="shared" si="16"/>
        <v>6528600</v>
      </c>
      <c r="Q144" s="1515">
        <f t="shared" si="18"/>
        <v>2.79</v>
      </c>
      <c r="R144" s="1429">
        <v>2340000</v>
      </c>
      <c r="S144" s="1486">
        <f t="shared" si="19"/>
        <v>6528600</v>
      </c>
      <c r="T144" s="1024">
        <f t="shared" si="17"/>
        <v>120</v>
      </c>
      <c r="U144" s="1025">
        <f>VLOOKUP(B144,'[26]CN BC'!$F$10:$K$267,6,FALSE)</f>
        <v>0</v>
      </c>
      <c r="V144" s="1038"/>
      <c r="W144" s="1489"/>
    </row>
    <row r="145" spans="1:26" s="1028" customFormat="1" ht="28.5" customHeight="1">
      <c r="A145" s="1014">
        <f>_xlfn.AGGREGATE(4,7,A$24:A144)+1</f>
        <v>121</v>
      </c>
      <c r="B145" s="1015" t="s">
        <v>1501</v>
      </c>
      <c r="C145" s="1033" t="s">
        <v>1730</v>
      </c>
      <c r="D145" s="1030" t="s">
        <v>314</v>
      </c>
      <c r="E145" s="81" t="s">
        <v>2444</v>
      </c>
      <c r="F145" s="1040">
        <v>3.99</v>
      </c>
      <c r="G145" s="1019"/>
      <c r="H145" s="1255">
        <f t="shared" si="13"/>
        <v>0</v>
      </c>
      <c r="I145" s="1020"/>
      <c r="J145" s="1020" t="str">
        <f>VLOOKUP(B145,[25]!Table2[[Column2]:[Column6]],4,FALSE)</f>
        <v>A3</v>
      </c>
      <c r="K145" s="1020">
        <f t="shared" si="14"/>
        <v>0.6</v>
      </c>
      <c r="L145" s="1021">
        <v>20</v>
      </c>
      <c r="M145" s="1021">
        <f>VLOOKUP(B145,'[26]CN BC'!$F$10:$H$267,3,FALSE)</f>
        <v>20</v>
      </c>
      <c r="N145" s="1021">
        <f t="shared" si="15"/>
        <v>20</v>
      </c>
      <c r="O145" s="1035"/>
      <c r="P145" s="1023">
        <f t="shared" si="16"/>
        <v>5601960</v>
      </c>
      <c r="Q145" s="1515">
        <f t="shared" si="18"/>
        <v>2.3940000000000001</v>
      </c>
      <c r="R145" s="1429">
        <v>2340000</v>
      </c>
      <c r="S145" s="1486">
        <f t="shared" si="19"/>
        <v>5601960</v>
      </c>
      <c r="T145" s="1024">
        <f t="shared" si="17"/>
        <v>121</v>
      </c>
      <c r="U145" s="1025">
        <f>VLOOKUP(B145,'[26]CN BC'!$F$10:$K$267,6,FALSE)</f>
        <v>0</v>
      </c>
      <c r="V145" s="1038"/>
      <c r="W145" s="1489"/>
    </row>
    <row r="146" spans="1:26" s="1028" customFormat="1" ht="28.5" customHeight="1">
      <c r="A146" s="1014">
        <f>_xlfn.AGGREGATE(4,7,A$24:A145)+1</f>
        <v>122</v>
      </c>
      <c r="B146" s="1015" t="s">
        <v>1878</v>
      </c>
      <c r="C146" s="1033" t="s">
        <v>1731</v>
      </c>
      <c r="D146" s="1034" t="s">
        <v>1314</v>
      </c>
      <c r="E146" s="81" t="s">
        <v>2444</v>
      </c>
      <c r="F146" s="1018">
        <v>4.6500000000000004</v>
      </c>
      <c r="G146" s="1019"/>
      <c r="H146" s="1255">
        <f t="shared" si="13"/>
        <v>0</v>
      </c>
      <c r="I146" s="1020"/>
      <c r="J146" s="1020" t="str">
        <f>VLOOKUP(B146,[25]!Table2[[Column2]:[Column6]],4,FALSE)</f>
        <v>A4</v>
      </c>
      <c r="K146" s="1020">
        <f t="shared" si="14"/>
        <v>0.5</v>
      </c>
      <c r="L146" s="1021">
        <v>20</v>
      </c>
      <c r="M146" s="1021">
        <f>VLOOKUP(B146,'[26]CN BC'!$F$10:$H$267,3,FALSE)</f>
        <v>20</v>
      </c>
      <c r="N146" s="1021">
        <f t="shared" si="15"/>
        <v>20</v>
      </c>
      <c r="O146" s="1035"/>
      <c r="P146" s="1023">
        <f t="shared" si="16"/>
        <v>5440500</v>
      </c>
      <c r="Q146" s="1515">
        <f t="shared" si="18"/>
        <v>2.3250000000000002</v>
      </c>
      <c r="R146" s="1429">
        <v>2340000</v>
      </c>
      <c r="S146" s="1486">
        <f t="shared" si="19"/>
        <v>5440500</v>
      </c>
      <c r="T146" s="1024">
        <f t="shared" si="17"/>
        <v>122</v>
      </c>
      <c r="U146" s="1025">
        <f>VLOOKUP(B146,'[26]CN BC'!$F$10:$K$267,6,FALSE)</f>
        <v>0</v>
      </c>
      <c r="V146" s="1038"/>
      <c r="W146" s="1489"/>
    </row>
    <row r="147" spans="1:26" s="1028" customFormat="1" ht="28.5" customHeight="1">
      <c r="A147" s="1014">
        <f>_xlfn.AGGREGATE(4,7,A$24:A146)+1</f>
        <v>123</v>
      </c>
      <c r="B147" s="1015" t="s">
        <v>1879</v>
      </c>
      <c r="C147" s="1033" t="s">
        <v>1732</v>
      </c>
      <c r="D147" s="1034" t="s">
        <v>1315</v>
      </c>
      <c r="E147" s="81" t="s">
        <v>2444</v>
      </c>
      <c r="F147" s="1040">
        <v>4.6500000000000004</v>
      </c>
      <c r="G147" s="1019"/>
      <c r="H147" s="1248">
        <f t="shared" si="13"/>
        <v>0</v>
      </c>
      <c r="I147" s="1020"/>
      <c r="J147" s="1020" t="str">
        <f>VLOOKUP(B147,[25]!Table2[[Column2]:[Column6]],4,FALSE)</f>
        <v>A1</v>
      </c>
      <c r="K147" s="1020">
        <f t="shared" si="14"/>
        <v>0.8</v>
      </c>
      <c r="L147" s="1021">
        <v>20</v>
      </c>
      <c r="M147" s="1021">
        <f>VLOOKUP(B147,'[26]CN BC'!$F$10:$H$267,3,FALSE)</f>
        <v>20</v>
      </c>
      <c r="N147" s="1021">
        <f t="shared" si="15"/>
        <v>20</v>
      </c>
      <c r="O147" s="1022"/>
      <c r="P147" s="1023">
        <f t="shared" si="16"/>
        <v>8704800</v>
      </c>
      <c r="Q147" s="1515">
        <f t="shared" si="18"/>
        <v>3.72</v>
      </c>
      <c r="R147" s="1429">
        <v>2340000</v>
      </c>
      <c r="S147" s="1486">
        <f t="shared" si="19"/>
        <v>8704800</v>
      </c>
      <c r="T147" s="1024">
        <f t="shared" si="17"/>
        <v>123</v>
      </c>
      <c r="U147" s="1025">
        <f>VLOOKUP(B147,'[26]CN BC'!$F$10:$K$267,6,FALSE)</f>
        <v>0</v>
      </c>
      <c r="V147" s="1027"/>
      <c r="W147" s="1489"/>
      <c r="X147" s="1012"/>
      <c r="Y147" s="1012"/>
      <c r="Z147" s="1012"/>
    </row>
    <row r="148" spans="1:26" s="1028" customFormat="1" ht="28.5" customHeight="1">
      <c r="A148" s="1014">
        <f>_xlfn.AGGREGATE(4,7,A$24:A147)+1</f>
        <v>124</v>
      </c>
      <c r="B148" s="1015" t="s">
        <v>1502</v>
      </c>
      <c r="C148" s="1033" t="s">
        <v>1733</v>
      </c>
      <c r="D148" s="1034" t="s">
        <v>1318</v>
      </c>
      <c r="E148" s="81" t="s">
        <v>2444</v>
      </c>
      <c r="F148" s="1040">
        <v>3.99</v>
      </c>
      <c r="G148" s="1019"/>
      <c r="H148" s="1255">
        <f t="shared" si="13"/>
        <v>0</v>
      </c>
      <c r="I148" s="1020"/>
      <c r="J148" s="1020" t="str">
        <f>VLOOKUP(B148,[25]!Table2[[Column2]:[Column6]],4,FALSE)</f>
        <v>A3</v>
      </c>
      <c r="K148" s="1020">
        <f t="shared" si="14"/>
        <v>0.6</v>
      </c>
      <c r="L148" s="1021">
        <v>20</v>
      </c>
      <c r="M148" s="1021">
        <f>VLOOKUP(B148,'[26]CN BC'!$F$10:$H$267,3,FALSE)</f>
        <v>20</v>
      </c>
      <c r="N148" s="1021">
        <f t="shared" si="15"/>
        <v>20</v>
      </c>
      <c r="O148" s="1035"/>
      <c r="P148" s="1023">
        <f t="shared" si="16"/>
        <v>5601960</v>
      </c>
      <c r="Q148" s="1515">
        <f t="shared" si="18"/>
        <v>2.3940000000000001</v>
      </c>
      <c r="R148" s="1429">
        <v>2340000</v>
      </c>
      <c r="S148" s="1486">
        <f t="shared" si="19"/>
        <v>5601960</v>
      </c>
      <c r="T148" s="1024">
        <f t="shared" si="17"/>
        <v>124</v>
      </c>
      <c r="U148" s="1025">
        <f>VLOOKUP(B148,'[26]CN BC'!$F$10:$K$267,6,FALSE)</f>
        <v>0</v>
      </c>
      <c r="V148" s="1038"/>
      <c r="W148" s="1489"/>
    </row>
    <row r="149" spans="1:26" s="1028" customFormat="1" ht="28.5" customHeight="1">
      <c r="A149" s="1014">
        <f>_xlfn.AGGREGATE(4,7,A$24:A148)+1</f>
        <v>125</v>
      </c>
      <c r="B149" s="1015" t="s">
        <v>1880</v>
      </c>
      <c r="C149" s="1033" t="s">
        <v>1734</v>
      </c>
      <c r="D149" s="1034" t="s">
        <v>375</v>
      </c>
      <c r="E149" s="81" t="s">
        <v>2444</v>
      </c>
      <c r="F149" s="1040">
        <v>3.99</v>
      </c>
      <c r="G149" s="1019"/>
      <c r="H149" s="1255">
        <f t="shared" si="13"/>
        <v>0</v>
      </c>
      <c r="I149" s="1020"/>
      <c r="J149" s="1020" t="str">
        <f>VLOOKUP(B149,[25]!Table2[[Column2]:[Column6]],4,FALSE)</f>
        <v>A3</v>
      </c>
      <c r="K149" s="1020">
        <f t="shared" si="14"/>
        <v>0.6</v>
      </c>
      <c r="L149" s="1021">
        <v>20</v>
      </c>
      <c r="M149" s="1021">
        <f>VLOOKUP(B149,'[26]CN BC'!$F$10:$H$267,3,FALSE)</f>
        <v>20</v>
      </c>
      <c r="N149" s="1021">
        <f t="shared" si="15"/>
        <v>20</v>
      </c>
      <c r="O149" s="1035"/>
      <c r="P149" s="1023">
        <f t="shared" si="16"/>
        <v>5601960</v>
      </c>
      <c r="Q149" s="1515">
        <f t="shared" si="18"/>
        <v>2.3940000000000001</v>
      </c>
      <c r="R149" s="1429">
        <v>2340000</v>
      </c>
      <c r="S149" s="1486">
        <f t="shared" si="19"/>
        <v>5601960</v>
      </c>
      <c r="T149" s="1024">
        <f t="shared" si="17"/>
        <v>125</v>
      </c>
      <c r="U149" s="1025">
        <f>VLOOKUP(B149,'[26]CN BC'!$F$10:$K$267,6,FALSE)</f>
        <v>0</v>
      </c>
      <c r="V149" s="1038"/>
      <c r="W149" s="1489"/>
    </row>
    <row r="150" spans="1:26" s="1028" customFormat="1" ht="28.5" customHeight="1">
      <c r="A150" s="1014">
        <f>_xlfn.AGGREGATE(4,7,A$24:A149)+1</f>
        <v>126</v>
      </c>
      <c r="B150" s="1015" t="s">
        <v>1503</v>
      </c>
      <c r="C150" s="1033" t="s">
        <v>1735</v>
      </c>
      <c r="D150" s="1034" t="s">
        <v>376</v>
      </c>
      <c r="E150" s="81" t="s">
        <v>2444</v>
      </c>
      <c r="F150" s="1040">
        <v>3.99</v>
      </c>
      <c r="G150" s="1019"/>
      <c r="H150" s="1255">
        <f t="shared" ref="H150:H216" si="20">ROUND(F150*G150,3)</f>
        <v>0</v>
      </c>
      <c r="I150" s="1020"/>
      <c r="J150" s="1020" t="str">
        <f>VLOOKUP(B150,[25]!Table2[[Column2]:[Column6]],4,FALSE)</f>
        <v>A4</v>
      </c>
      <c r="K150" s="1020">
        <f t="shared" ref="K150:K216" si="21">IF(J150="A1",0.8,IF(J150="A2",0.7,IF(J150="A3",0.6,IF(J150="A4",0.5,IF(J150="B1",0.35,IF(J150="B2",0.25,IF(J150="C1",0.15,IF(J150="C2",0.1,0))))))))</f>
        <v>0.5</v>
      </c>
      <c r="L150" s="1021">
        <v>20</v>
      </c>
      <c r="M150" s="1021">
        <f>VLOOKUP(B150,'[26]CN BC'!$F$10:$H$267,3,FALSE)</f>
        <v>20</v>
      </c>
      <c r="N150" s="1021">
        <f t="shared" ref="N150:N214" si="22">IF(M150&gt;=L150,L150,IF(M150&lt;L150,M150))</f>
        <v>20</v>
      </c>
      <c r="O150" s="1035"/>
      <c r="P150" s="1023">
        <f t="shared" ref="P150:P214" si="23">(((F150+H150+I150)*$P$21/L150*N150)*K150)+O150</f>
        <v>4668300</v>
      </c>
      <c r="Q150" s="1515">
        <f t="shared" si="18"/>
        <v>1.9950000000000001</v>
      </c>
      <c r="R150" s="1429">
        <v>2340000</v>
      </c>
      <c r="S150" s="1486">
        <f t="shared" si="19"/>
        <v>4668300</v>
      </c>
      <c r="T150" s="1024">
        <f t="shared" ref="T150:T213" si="24">A150</f>
        <v>126</v>
      </c>
      <c r="U150" s="1025">
        <f>VLOOKUP(B150,'[26]CN BC'!$F$10:$K$267,6,FALSE)</f>
        <v>0</v>
      </c>
      <c r="V150" s="1038"/>
      <c r="W150" s="1489"/>
    </row>
    <row r="151" spans="1:26" s="1028" customFormat="1" ht="26.25" customHeight="1">
      <c r="A151" s="1014">
        <f>_xlfn.AGGREGATE(4,7,A$24:A150)+1</f>
        <v>127</v>
      </c>
      <c r="B151" s="1015" t="s">
        <v>1504</v>
      </c>
      <c r="C151" s="1033" t="s">
        <v>1736</v>
      </c>
      <c r="D151" s="1033" t="s">
        <v>503</v>
      </c>
      <c r="E151" s="81" t="s">
        <v>2444</v>
      </c>
      <c r="F151" s="1040">
        <v>4.32</v>
      </c>
      <c r="G151" s="1019"/>
      <c r="H151" s="1248">
        <f t="shared" si="20"/>
        <v>0</v>
      </c>
      <c r="I151" s="1020"/>
      <c r="J151" s="1020" t="str">
        <f>VLOOKUP(B151,[25]!Table2[[Column2]:[Column6]],4,FALSE)</f>
        <v>A4</v>
      </c>
      <c r="K151" s="1020">
        <f t="shared" si="21"/>
        <v>0.5</v>
      </c>
      <c r="L151" s="1021">
        <v>20</v>
      </c>
      <c r="M151" s="1021">
        <f>VLOOKUP(B151,'[26]CN BC'!$F$10:$H$267,3,FALSE)</f>
        <v>20</v>
      </c>
      <c r="N151" s="1021">
        <f t="shared" si="22"/>
        <v>20</v>
      </c>
      <c r="O151" s="1022"/>
      <c r="P151" s="1023">
        <f t="shared" si="23"/>
        <v>5054400</v>
      </c>
      <c r="Q151" s="1515">
        <f t="shared" si="18"/>
        <v>2.16</v>
      </c>
      <c r="R151" s="1429">
        <v>2340000</v>
      </c>
      <c r="S151" s="1486">
        <f t="shared" si="19"/>
        <v>5054400</v>
      </c>
      <c r="T151" s="1024">
        <f t="shared" si="24"/>
        <v>127</v>
      </c>
      <c r="U151" s="1025">
        <f>VLOOKUP(B151,'[26]CN BC'!$F$10:$K$267,6,FALSE)</f>
        <v>0</v>
      </c>
      <c r="V151" s="1027"/>
      <c r="W151" s="1489"/>
      <c r="X151" s="1012"/>
      <c r="Y151" s="1012"/>
      <c r="Z151" s="1012"/>
    </row>
    <row r="152" spans="1:26" s="1028" customFormat="1" ht="27" customHeight="1">
      <c r="A152" s="1014">
        <f>_xlfn.AGGREGATE(4,7,A$24:A151)+1</f>
        <v>128</v>
      </c>
      <c r="B152" s="1015" t="s">
        <v>1505</v>
      </c>
      <c r="C152" s="1033" t="s">
        <v>1737</v>
      </c>
      <c r="D152" s="1030" t="s">
        <v>1592</v>
      </c>
      <c r="E152" s="81" t="s">
        <v>2444</v>
      </c>
      <c r="F152" s="1040">
        <v>3.66</v>
      </c>
      <c r="G152" s="1019"/>
      <c r="H152" s="1255">
        <f t="shared" si="20"/>
        <v>0</v>
      </c>
      <c r="I152" s="1020"/>
      <c r="J152" s="1020" t="str">
        <f>VLOOKUP(B152,[25]!Table2[[Column2]:[Column6]],4,FALSE)</f>
        <v>A1</v>
      </c>
      <c r="K152" s="1020">
        <f t="shared" si="21"/>
        <v>0.8</v>
      </c>
      <c r="L152" s="1021">
        <v>20</v>
      </c>
      <c r="M152" s="1021">
        <f>VLOOKUP(B152,'[26]CN BC'!$F$10:$H$267,3,FALSE)</f>
        <v>20</v>
      </c>
      <c r="N152" s="1021">
        <f t="shared" si="22"/>
        <v>20</v>
      </c>
      <c r="O152" s="1035"/>
      <c r="P152" s="1023">
        <f t="shared" si="23"/>
        <v>6851520</v>
      </c>
      <c r="Q152" s="1515">
        <f t="shared" si="18"/>
        <v>2.9279999999999999</v>
      </c>
      <c r="R152" s="1429">
        <v>2340000</v>
      </c>
      <c r="S152" s="1486">
        <f t="shared" si="19"/>
        <v>6851520</v>
      </c>
      <c r="T152" s="1024">
        <f t="shared" si="24"/>
        <v>128</v>
      </c>
      <c r="U152" s="1025">
        <f>VLOOKUP(B152,'[26]CN BC'!$F$10:$K$267,6,FALSE)</f>
        <v>0</v>
      </c>
      <c r="V152" s="1038"/>
      <c r="W152" s="1489"/>
    </row>
    <row r="153" spans="1:26" s="1028" customFormat="1" ht="28.15" customHeight="1">
      <c r="A153" s="1014">
        <f>_xlfn.AGGREGATE(4,7,A$24:A152)+1</f>
        <v>129</v>
      </c>
      <c r="B153" s="1015" t="s">
        <v>1881</v>
      </c>
      <c r="C153" s="1033" t="s">
        <v>1738</v>
      </c>
      <c r="D153" s="1034" t="s">
        <v>379</v>
      </c>
      <c r="E153" s="81" t="s">
        <v>2444</v>
      </c>
      <c r="F153" s="1040">
        <v>3.66</v>
      </c>
      <c r="G153" s="1019"/>
      <c r="H153" s="1248">
        <f t="shared" si="20"/>
        <v>0</v>
      </c>
      <c r="I153" s="1020"/>
      <c r="J153" s="1020" t="str">
        <f>VLOOKUP(B153,[25]!Table2[[Column2]:[Column6]],4,FALSE)</f>
        <v>A2</v>
      </c>
      <c r="K153" s="1020">
        <f t="shared" si="21"/>
        <v>0.7</v>
      </c>
      <c r="L153" s="1021">
        <v>20</v>
      </c>
      <c r="M153" s="1021">
        <f>VLOOKUP(B153,'[26]CN BC'!$F$10:$H$267,3,FALSE)</f>
        <v>20</v>
      </c>
      <c r="N153" s="1021">
        <f t="shared" si="22"/>
        <v>20</v>
      </c>
      <c r="O153" s="1022"/>
      <c r="P153" s="1023">
        <f t="shared" si="23"/>
        <v>5995080</v>
      </c>
      <c r="Q153" s="1515">
        <f t="shared" si="18"/>
        <v>2.5619999999999998</v>
      </c>
      <c r="R153" s="1429">
        <v>2340000</v>
      </c>
      <c r="S153" s="1486">
        <f t="shared" si="19"/>
        <v>5995080</v>
      </c>
      <c r="T153" s="1024">
        <f t="shared" si="24"/>
        <v>129</v>
      </c>
      <c r="U153" s="1025">
        <f>VLOOKUP(B153,'[26]CN BC'!$F$10:$K$267,6,FALSE)</f>
        <v>0</v>
      </c>
      <c r="V153" s="1027"/>
      <c r="W153" s="1489"/>
      <c r="X153" s="1012"/>
      <c r="Y153" s="1012"/>
      <c r="Z153" s="1012"/>
    </row>
    <row r="154" spans="1:26" s="1028" customFormat="1" ht="31.5" customHeight="1">
      <c r="A154" s="1014">
        <f>_xlfn.AGGREGATE(4,7,A$24:A153)+1</f>
        <v>130</v>
      </c>
      <c r="B154" s="1015" t="s">
        <v>1496</v>
      </c>
      <c r="C154" s="1033" t="s">
        <v>1722</v>
      </c>
      <c r="D154" s="1030" t="s">
        <v>1589</v>
      </c>
      <c r="E154" s="81" t="s">
        <v>2446</v>
      </c>
      <c r="F154" s="1040">
        <v>3.33</v>
      </c>
      <c r="G154" s="1019"/>
      <c r="H154" s="1248">
        <f t="shared" si="20"/>
        <v>0</v>
      </c>
      <c r="I154" s="1020">
        <v>0.45</v>
      </c>
      <c r="J154" s="1020" t="str">
        <f>VLOOKUP(B154,[25]!Table2[[Column2]:[Column6]],4,FALSE)</f>
        <v>A2</v>
      </c>
      <c r="K154" s="1020">
        <f t="shared" si="21"/>
        <v>0.7</v>
      </c>
      <c r="L154" s="1021">
        <v>20</v>
      </c>
      <c r="M154" s="1021">
        <f>VLOOKUP(B154,'[26]CN BC'!$F$10:$H$267,3,FALSE)</f>
        <v>20</v>
      </c>
      <c r="N154" s="1021">
        <f t="shared" si="22"/>
        <v>20</v>
      </c>
      <c r="O154" s="1022"/>
      <c r="P154" s="1023">
        <f t="shared" si="23"/>
        <v>6191640</v>
      </c>
      <c r="Q154" s="1515">
        <f t="shared" ref="Q154:Q217" si="25">P154/R154</f>
        <v>2.6459999999999999</v>
      </c>
      <c r="R154" s="1429">
        <v>2340000</v>
      </c>
      <c r="S154" s="1486">
        <f t="shared" ref="S154:S217" si="26">Q154*R154</f>
        <v>6191640</v>
      </c>
      <c r="T154" s="1024">
        <f t="shared" si="24"/>
        <v>130</v>
      </c>
      <c r="U154" s="1025">
        <f>VLOOKUP(B154,'[26]CN BC'!$F$10:$K$267,6,FALSE)</f>
        <v>0</v>
      </c>
      <c r="V154" s="1027"/>
      <c r="W154" s="1489"/>
      <c r="X154" s="1012"/>
      <c r="Y154" s="1012"/>
      <c r="Z154" s="1012"/>
    </row>
    <row r="155" spans="1:26" s="1028" customFormat="1" ht="31.5" customHeight="1">
      <c r="A155" s="1014">
        <f>_xlfn.AGGREGATE(4,7,A$24:A154)+1</f>
        <v>131</v>
      </c>
      <c r="B155" s="1015" t="s">
        <v>1493</v>
      </c>
      <c r="C155" s="1033" t="s">
        <v>1716</v>
      </c>
      <c r="D155" s="1034" t="s">
        <v>1330</v>
      </c>
      <c r="E155" s="81" t="str">
        <f>VLOOKUP(B155,TH.Q2!B49:E380,4,FALSE)</f>
        <v>Giảng viên khoa Ngoại ngữ</v>
      </c>
      <c r="F155" s="1018">
        <v>4.6500000000000004</v>
      </c>
      <c r="G155" s="1019"/>
      <c r="H155" s="1248">
        <f t="shared" si="20"/>
        <v>0</v>
      </c>
      <c r="I155" s="1020"/>
      <c r="J155" s="1020" t="str">
        <f>VLOOKUP(B155,[25]!Table2[[Column2]:[Column6]],4,FALSE)</f>
        <v>A3</v>
      </c>
      <c r="K155" s="1020">
        <f t="shared" si="21"/>
        <v>0.6</v>
      </c>
      <c r="L155" s="1021">
        <v>20</v>
      </c>
      <c r="M155" s="1021">
        <f>VLOOKUP(B155,'[26]CN BC'!$F$10:$H$267,3,FALSE)</f>
        <v>20</v>
      </c>
      <c r="N155" s="1021">
        <f t="shared" si="22"/>
        <v>20</v>
      </c>
      <c r="O155" s="1022"/>
      <c r="P155" s="1023">
        <f t="shared" si="23"/>
        <v>6528600</v>
      </c>
      <c r="Q155" s="1515">
        <f t="shared" si="25"/>
        <v>2.79</v>
      </c>
      <c r="R155" s="1429">
        <v>2340000</v>
      </c>
      <c r="S155" s="1486">
        <f t="shared" si="26"/>
        <v>6528600</v>
      </c>
      <c r="T155" s="1024">
        <f t="shared" si="24"/>
        <v>131</v>
      </c>
      <c r="U155" s="1025">
        <f>VLOOKUP(B155,'[26]CN BC'!$F$10:$K$267,6,FALSE)</f>
        <v>0</v>
      </c>
      <c r="V155" s="1038"/>
      <c r="W155" s="1489"/>
    </row>
    <row r="156" spans="1:26" s="1028" customFormat="1" ht="31.5" customHeight="1">
      <c r="A156" s="1014">
        <f>_xlfn.AGGREGATE(4,7,A$24:A155)+1</f>
        <v>132</v>
      </c>
      <c r="B156" s="1015" t="s">
        <v>1874</v>
      </c>
      <c r="C156" s="1033" t="s">
        <v>1717</v>
      </c>
      <c r="D156" s="1034" t="s">
        <v>1331</v>
      </c>
      <c r="E156" s="81" t="str">
        <f>VLOOKUP(B156,TH.Q2!B50:E381,4,FALSE)</f>
        <v>Giảng viên khoa Ngoại ngữ</v>
      </c>
      <c r="F156" s="1018">
        <v>4.9800000000000004</v>
      </c>
      <c r="G156" s="1019"/>
      <c r="H156" s="1248">
        <f t="shared" si="20"/>
        <v>0</v>
      </c>
      <c r="I156" s="1020"/>
      <c r="J156" s="1020" t="str">
        <f>VLOOKUP(B156,[25]!Table2[[Column2]:[Column6]],4,FALSE)</f>
        <v>A4</v>
      </c>
      <c r="K156" s="1020">
        <f t="shared" si="21"/>
        <v>0.5</v>
      </c>
      <c r="L156" s="1021">
        <v>20</v>
      </c>
      <c r="M156" s="1021">
        <f>VLOOKUP(B156,'[26]CN BC'!$F$10:$H$267,3,FALSE)</f>
        <v>20</v>
      </c>
      <c r="N156" s="1021">
        <f t="shared" si="22"/>
        <v>20</v>
      </c>
      <c r="O156" s="1022"/>
      <c r="P156" s="1023">
        <f t="shared" si="23"/>
        <v>5826600.0000000009</v>
      </c>
      <c r="Q156" s="1515">
        <f t="shared" si="25"/>
        <v>2.4900000000000002</v>
      </c>
      <c r="R156" s="1429">
        <v>2340000</v>
      </c>
      <c r="S156" s="1486">
        <f t="shared" si="26"/>
        <v>5826600.0000000009</v>
      </c>
      <c r="T156" s="1024">
        <f t="shared" si="24"/>
        <v>132</v>
      </c>
      <c r="U156" s="1025">
        <f>VLOOKUP(B156,'[26]CN BC'!$F$10:$K$267,6,FALSE)</f>
        <v>0</v>
      </c>
      <c r="V156" s="1027"/>
      <c r="W156" s="1489"/>
      <c r="X156" s="1012"/>
      <c r="Y156" s="1012"/>
      <c r="Z156" s="1012"/>
    </row>
    <row r="157" spans="1:26" s="1028" customFormat="1" ht="31.5" customHeight="1">
      <c r="A157" s="1014">
        <f>_xlfn.AGGREGATE(4,7,A$24:A156)+1</f>
        <v>133</v>
      </c>
      <c r="B157" s="1015" t="s">
        <v>1875</v>
      </c>
      <c r="C157" s="1033" t="s">
        <v>1718</v>
      </c>
      <c r="D157" s="1034" t="s">
        <v>1332</v>
      </c>
      <c r="E157" s="81" t="str">
        <f>VLOOKUP(B157,TH.Q2!B51:E382,4,FALSE)</f>
        <v>Giảng viên khoa Ngoại ngữ</v>
      </c>
      <c r="F157" s="1018">
        <v>4.6500000000000004</v>
      </c>
      <c r="G157" s="1019"/>
      <c r="H157" s="1248">
        <f t="shared" si="20"/>
        <v>0</v>
      </c>
      <c r="I157" s="1020"/>
      <c r="J157" s="1020" t="str">
        <f>VLOOKUP(B157,[25]!Table2[[Column2]:[Column6]],4,FALSE)</f>
        <v>A4</v>
      </c>
      <c r="K157" s="1020">
        <f t="shared" si="21"/>
        <v>0.5</v>
      </c>
      <c r="L157" s="1021">
        <v>20</v>
      </c>
      <c r="M157" s="1021">
        <f>VLOOKUP(B157,'[26]CN BC'!$F$10:$H$267,3,FALSE)</f>
        <v>20</v>
      </c>
      <c r="N157" s="1021">
        <f t="shared" si="22"/>
        <v>20</v>
      </c>
      <c r="O157" s="1022"/>
      <c r="P157" s="1023">
        <f t="shared" si="23"/>
        <v>5440500</v>
      </c>
      <c r="Q157" s="1515">
        <f t="shared" si="25"/>
        <v>2.3250000000000002</v>
      </c>
      <c r="R157" s="1429">
        <v>2340000</v>
      </c>
      <c r="S157" s="1486">
        <f t="shared" si="26"/>
        <v>5440500</v>
      </c>
      <c r="T157" s="1024">
        <f t="shared" si="24"/>
        <v>133</v>
      </c>
      <c r="U157" s="1025">
        <f>VLOOKUP(B157,'[26]CN BC'!$F$10:$K$267,6,FALSE)</f>
        <v>0</v>
      </c>
      <c r="V157" s="1038"/>
      <c r="W157" s="1489"/>
    </row>
    <row r="158" spans="1:26" s="1028" customFormat="1" ht="31.5" customHeight="1">
      <c r="A158" s="1014">
        <f>_xlfn.AGGREGATE(4,7,A$24:A157)+1</f>
        <v>134</v>
      </c>
      <c r="B158" s="1015" t="s">
        <v>1494</v>
      </c>
      <c r="C158" s="1033" t="s">
        <v>1719</v>
      </c>
      <c r="D158" s="1034" t="s">
        <v>1333</v>
      </c>
      <c r="E158" s="81" t="str">
        <f>VLOOKUP(B158,TH.Q2!B52:E383,4,FALSE)</f>
        <v>Giảng viên khoa Ngoại ngữ</v>
      </c>
      <c r="F158" s="1040">
        <v>3.99</v>
      </c>
      <c r="G158" s="1019"/>
      <c r="H158" s="1248">
        <f t="shared" si="20"/>
        <v>0</v>
      </c>
      <c r="I158" s="1020"/>
      <c r="J158" s="1020" t="str">
        <f>VLOOKUP(B158,[25]!Table2[[Column2]:[Column6]],4,FALSE)</f>
        <v>A3</v>
      </c>
      <c r="K158" s="1020">
        <f t="shared" si="21"/>
        <v>0.6</v>
      </c>
      <c r="L158" s="1021">
        <v>20</v>
      </c>
      <c r="M158" s="1021">
        <f>VLOOKUP(B158,'[26]CN BC'!$F$10:$H$267,3,FALSE)</f>
        <v>20</v>
      </c>
      <c r="N158" s="1021">
        <f t="shared" si="22"/>
        <v>20</v>
      </c>
      <c r="O158" s="1022"/>
      <c r="P158" s="1023">
        <f t="shared" si="23"/>
        <v>5601960</v>
      </c>
      <c r="Q158" s="1515">
        <f t="shared" si="25"/>
        <v>2.3940000000000001</v>
      </c>
      <c r="R158" s="1429">
        <v>2340000</v>
      </c>
      <c r="S158" s="1486">
        <f t="shared" si="26"/>
        <v>5601960</v>
      </c>
      <c r="T158" s="1024">
        <f t="shared" si="24"/>
        <v>134</v>
      </c>
      <c r="U158" s="1025">
        <f>VLOOKUP(B158,'[26]CN BC'!$F$10:$K$267,6,FALSE)</f>
        <v>0</v>
      </c>
      <c r="V158" s="1027"/>
      <c r="W158" s="1489"/>
      <c r="X158" s="1012"/>
      <c r="Y158" s="1012"/>
      <c r="Z158" s="1012"/>
    </row>
    <row r="159" spans="1:26" s="1028" customFormat="1" ht="31.5" customHeight="1">
      <c r="A159" s="1014">
        <f>_xlfn.AGGREGATE(4,7,A$24:A158)+1</f>
        <v>135</v>
      </c>
      <c r="B159" s="1015" t="s">
        <v>1495</v>
      </c>
      <c r="C159" s="1033" t="s">
        <v>1720</v>
      </c>
      <c r="D159" s="1034" t="s">
        <v>1335</v>
      </c>
      <c r="E159" s="81" t="str">
        <f>VLOOKUP(B159,TH.Q2!B53:E384,4,FALSE)</f>
        <v>Giảng viên khoa Ngoại ngữ</v>
      </c>
      <c r="F159" s="1018">
        <v>4.9800000000000004</v>
      </c>
      <c r="G159" s="1019">
        <v>0.05</v>
      </c>
      <c r="H159" s="1248">
        <f t="shared" si="20"/>
        <v>0.249</v>
      </c>
      <c r="I159" s="1020"/>
      <c r="J159" s="1020" t="str">
        <f>VLOOKUP(B159,[25]!Table2[[Column2]:[Column6]],4,FALSE)</f>
        <v>A4</v>
      </c>
      <c r="K159" s="1020">
        <f t="shared" si="21"/>
        <v>0.5</v>
      </c>
      <c r="L159" s="1021">
        <v>20</v>
      </c>
      <c r="M159" s="1021">
        <f>VLOOKUP(B159,'[26]CN BC'!$F$10:$H$267,3,FALSE)</f>
        <v>20</v>
      </c>
      <c r="N159" s="1021">
        <f t="shared" si="22"/>
        <v>20</v>
      </c>
      <c r="O159" s="1022"/>
      <c r="P159" s="1023">
        <f t="shared" si="23"/>
        <v>6117930</v>
      </c>
      <c r="Q159" s="1515">
        <f t="shared" si="25"/>
        <v>2.6145</v>
      </c>
      <c r="R159" s="1429">
        <v>2340000</v>
      </c>
      <c r="S159" s="1486">
        <f t="shared" si="26"/>
        <v>6117930</v>
      </c>
      <c r="T159" s="1024">
        <f t="shared" si="24"/>
        <v>135</v>
      </c>
      <c r="U159" s="1025">
        <f>VLOOKUP(B159,'[26]CN BC'!$F$10:$K$267,6,FALSE)</f>
        <v>0</v>
      </c>
      <c r="V159" s="1027"/>
      <c r="W159" s="1489"/>
      <c r="X159" s="1012"/>
      <c r="Y159" s="1012"/>
      <c r="Z159" s="1012"/>
    </row>
    <row r="160" spans="1:26" s="1028" customFormat="1" ht="31.5" customHeight="1">
      <c r="A160" s="1014">
        <f>_xlfn.AGGREGATE(4,7,A$24:A159)+1</f>
        <v>136</v>
      </c>
      <c r="B160" s="1015" t="s">
        <v>1876</v>
      </c>
      <c r="C160" s="1033" t="s">
        <v>1721</v>
      </c>
      <c r="D160" s="1034" t="s">
        <v>504</v>
      </c>
      <c r="E160" s="81" t="str">
        <f>VLOOKUP(B160,TH.Q2!B54:E385,4,FALSE)</f>
        <v>Giảng viên khoa Ngoại ngữ</v>
      </c>
      <c r="F160" s="1040">
        <v>3.99</v>
      </c>
      <c r="G160" s="1019"/>
      <c r="H160" s="1248">
        <f t="shared" si="20"/>
        <v>0</v>
      </c>
      <c r="I160" s="1020"/>
      <c r="J160" s="1020" t="str">
        <f>VLOOKUP(B160,[25]!Table2[[Column2]:[Column6]],4,FALSE)</f>
        <v>A3</v>
      </c>
      <c r="K160" s="1020">
        <f t="shared" si="21"/>
        <v>0.6</v>
      </c>
      <c r="L160" s="1021">
        <v>20</v>
      </c>
      <c r="M160" s="1021">
        <f>VLOOKUP(B160,'[26]CN BC'!$F$10:$H$267,3,FALSE)</f>
        <v>20</v>
      </c>
      <c r="N160" s="1021">
        <f t="shared" si="22"/>
        <v>20</v>
      </c>
      <c r="O160" s="1022"/>
      <c r="P160" s="1023">
        <f t="shared" si="23"/>
        <v>5601960</v>
      </c>
      <c r="Q160" s="1515">
        <f t="shared" si="25"/>
        <v>2.3940000000000001</v>
      </c>
      <c r="R160" s="1429">
        <v>2340000</v>
      </c>
      <c r="S160" s="1486">
        <f t="shared" si="26"/>
        <v>5601960</v>
      </c>
      <c r="T160" s="1024">
        <f t="shared" si="24"/>
        <v>136</v>
      </c>
      <c r="U160" s="1025">
        <f>VLOOKUP(B160,'[26]CN BC'!$F$10:$K$267,6,FALSE)</f>
        <v>0</v>
      </c>
      <c r="V160" s="1027"/>
      <c r="W160" s="1489"/>
      <c r="X160" s="1012"/>
      <c r="Y160" s="1012"/>
      <c r="Z160" s="1012"/>
    </row>
    <row r="161" spans="1:26" s="1028" customFormat="1" ht="31.5" customHeight="1">
      <c r="A161" s="1014">
        <f>_xlfn.AGGREGATE(4,7,A$24:A160)+1</f>
        <v>137</v>
      </c>
      <c r="B161" s="1432" t="s">
        <v>1497</v>
      </c>
      <c r="C161" s="1433" t="s">
        <v>1723</v>
      </c>
      <c r="D161" s="1474" t="s">
        <v>1590</v>
      </c>
      <c r="E161" s="472" t="str">
        <f>VLOOKUP(B161,TH.Q2!B56:E387,4,FALSE)</f>
        <v>Giảng viên khoa Ngoại ngữ</v>
      </c>
      <c r="F161" s="1473">
        <v>3.33</v>
      </c>
      <c r="G161" s="1082"/>
      <c r="H161" s="1253">
        <f t="shared" si="20"/>
        <v>0</v>
      </c>
      <c r="I161" s="1083"/>
      <c r="J161" s="1020" t="str">
        <f>VLOOKUP(B161,[25]!Table2[[Column2]:[Column6]],4,FALSE)</f>
        <v>A3</v>
      </c>
      <c r="K161" s="1083">
        <f t="shared" si="21"/>
        <v>0.6</v>
      </c>
      <c r="L161" s="1021">
        <v>20</v>
      </c>
      <c r="M161" s="1021">
        <f>VLOOKUP(B161,'[26]CN BC'!$F$10:$H$267,3,FALSE)</f>
        <v>20</v>
      </c>
      <c r="N161" s="1203">
        <f t="shared" si="22"/>
        <v>20</v>
      </c>
      <c r="O161" s="1084"/>
      <c r="P161" s="1204">
        <f t="shared" si="23"/>
        <v>4675320</v>
      </c>
      <c r="Q161" s="1515">
        <f t="shared" si="25"/>
        <v>1.998</v>
      </c>
      <c r="R161" s="1429">
        <v>2340000</v>
      </c>
      <c r="S161" s="1486">
        <f t="shared" si="26"/>
        <v>4675320</v>
      </c>
      <c r="T161" s="1085">
        <f t="shared" si="24"/>
        <v>137</v>
      </c>
      <c r="U161" s="1025" t="str">
        <f>VLOOKUP(B161,'[26]CN BC'!$F$10:$K$267,6,FALSE)</f>
        <v>Nghỉ hộ sản hưởng chế độ BHXH</v>
      </c>
      <c r="V161" s="1027"/>
      <c r="W161" s="1489"/>
      <c r="X161" s="1012"/>
      <c r="Y161" s="1012"/>
      <c r="Z161" s="1012"/>
    </row>
    <row r="162" spans="1:26" s="1028" customFormat="1" ht="31.5" customHeight="1">
      <c r="A162" s="1014">
        <f>_xlfn.AGGREGATE(4,7,A$24:A161)+1</f>
        <v>138</v>
      </c>
      <c r="B162" s="1015" t="s">
        <v>1929</v>
      </c>
      <c r="C162" s="1033" t="s">
        <v>1964</v>
      </c>
      <c r="D162" s="1066" t="s">
        <v>1932</v>
      </c>
      <c r="E162" s="81" t="str">
        <f>VLOOKUP(B162,TH.Q2!B57:E388,4,FALSE)</f>
        <v>Giảng viên khoa Ngoại ngữ</v>
      </c>
      <c r="F162" s="1018">
        <v>2.67</v>
      </c>
      <c r="G162" s="1019"/>
      <c r="H162" s="1248">
        <f t="shared" si="20"/>
        <v>0</v>
      </c>
      <c r="I162" s="1020"/>
      <c r="J162" s="1020" t="str">
        <f>VLOOKUP(B162,[25]!Table2[[Column2]:[Column6]],4,FALSE)</f>
        <v>A4</v>
      </c>
      <c r="K162" s="1020">
        <f t="shared" si="21"/>
        <v>0.5</v>
      </c>
      <c r="L162" s="1021">
        <v>20</v>
      </c>
      <c r="M162" s="1021">
        <f>VLOOKUP(B162,'[26]CN BC'!$F$10:$H$267,3,FALSE)</f>
        <v>20</v>
      </c>
      <c r="N162" s="1021">
        <f t="shared" si="22"/>
        <v>20</v>
      </c>
      <c r="O162" s="1022"/>
      <c r="P162" s="1023">
        <f t="shared" si="23"/>
        <v>3123900</v>
      </c>
      <c r="Q162" s="1515">
        <f t="shared" si="25"/>
        <v>1.335</v>
      </c>
      <c r="R162" s="1429">
        <v>2340000</v>
      </c>
      <c r="S162" s="1486">
        <f t="shared" si="26"/>
        <v>3123900</v>
      </c>
      <c r="T162" s="1024">
        <f t="shared" si="24"/>
        <v>138</v>
      </c>
      <c r="U162" s="1025">
        <f>VLOOKUP(B162,'[26]CN BC'!$F$10:$K$267,6,FALSE)</f>
        <v>0</v>
      </c>
      <c r="V162" s="1027"/>
      <c r="W162" s="1489"/>
      <c r="X162" s="1012"/>
      <c r="Y162" s="1012"/>
      <c r="Z162" s="1012"/>
    </row>
    <row r="163" spans="1:26" s="1028" customFormat="1" ht="28.5" customHeight="1">
      <c r="A163" s="1014">
        <f>_xlfn.AGGREGATE(4,7,A$24:A162)+1</f>
        <v>139</v>
      </c>
      <c r="B163" s="1015" t="s">
        <v>1498</v>
      </c>
      <c r="C163" s="1033" t="s">
        <v>1724</v>
      </c>
      <c r="D163" s="1030" t="s">
        <v>1591</v>
      </c>
      <c r="E163" s="81" t="str">
        <f>VLOOKUP(B163,TH.Q2!B58:E389,4,FALSE)</f>
        <v>Giảng viên khoa Ngoại ngữ</v>
      </c>
      <c r="F163" s="1040">
        <v>3.33</v>
      </c>
      <c r="G163" s="1019"/>
      <c r="H163" s="1248">
        <f t="shared" si="20"/>
        <v>0</v>
      </c>
      <c r="I163" s="1020">
        <v>0.25</v>
      </c>
      <c r="J163" s="1020" t="str">
        <f>VLOOKUP(B163,[25]!Table2[[Column2]:[Column6]],4,FALSE)</f>
        <v>A3</v>
      </c>
      <c r="K163" s="1020">
        <f t="shared" si="21"/>
        <v>0.6</v>
      </c>
      <c r="L163" s="1021">
        <v>20</v>
      </c>
      <c r="M163" s="1021">
        <f>VLOOKUP(B163,'[26]CN BC'!$F$10:$H$267,3,FALSE)</f>
        <v>20</v>
      </c>
      <c r="N163" s="1021">
        <f t="shared" si="22"/>
        <v>20</v>
      </c>
      <c r="O163" s="1022"/>
      <c r="P163" s="1023">
        <f t="shared" si="23"/>
        <v>5026320</v>
      </c>
      <c r="Q163" s="1515">
        <f t="shared" si="25"/>
        <v>2.1480000000000001</v>
      </c>
      <c r="R163" s="1429">
        <v>2340000</v>
      </c>
      <c r="S163" s="1486">
        <f t="shared" si="26"/>
        <v>5026320</v>
      </c>
      <c r="T163" s="1024">
        <f t="shared" si="24"/>
        <v>139</v>
      </c>
      <c r="U163" s="1025">
        <f>VLOOKUP(B163,'[26]CN BC'!$F$10:$K$267,6,FALSE)</f>
        <v>0</v>
      </c>
      <c r="V163" s="1038"/>
      <c r="W163" s="1489"/>
    </row>
    <row r="164" spans="1:26" s="1028" customFormat="1" ht="43.5" customHeight="1">
      <c r="A164" s="1014">
        <f>_xlfn.AGGREGATE(4,7,A$24:A163)+1</f>
        <v>140</v>
      </c>
      <c r="B164" s="1015" t="s">
        <v>1925</v>
      </c>
      <c r="C164" s="1033" t="s">
        <v>1965</v>
      </c>
      <c r="D164" s="1091" t="s">
        <v>1930</v>
      </c>
      <c r="E164" s="81" t="str">
        <f>VLOOKUP(B164,TH.Q2!B59:E390,4,FALSE)</f>
        <v>Giảng viên khoa Ngoại ngữ</v>
      </c>
      <c r="F164" s="1018">
        <v>2.67</v>
      </c>
      <c r="G164" s="1019"/>
      <c r="H164" s="1248">
        <f t="shared" si="20"/>
        <v>0</v>
      </c>
      <c r="I164" s="1020"/>
      <c r="J164" s="1020" t="str">
        <f>VLOOKUP(B164,[25]!Table2[[Column2]:[Column6]],4,FALSE)</f>
        <v>A3</v>
      </c>
      <c r="K164" s="1020">
        <f t="shared" si="21"/>
        <v>0.6</v>
      </c>
      <c r="L164" s="1021">
        <v>20</v>
      </c>
      <c r="M164" s="1021">
        <f>VLOOKUP(B164,'[26]CN BC'!$F$10:$H$267,3,FALSE)</f>
        <v>20</v>
      </c>
      <c r="N164" s="1021">
        <f t="shared" si="22"/>
        <v>20</v>
      </c>
      <c r="O164" s="1022"/>
      <c r="P164" s="1023">
        <f t="shared" si="23"/>
        <v>3748680</v>
      </c>
      <c r="Q164" s="1515">
        <f t="shared" si="25"/>
        <v>1.6020000000000001</v>
      </c>
      <c r="R164" s="1429">
        <v>2340000</v>
      </c>
      <c r="S164" s="1486">
        <f t="shared" si="26"/>
        <v>3748680</v>
      </c>
      <c r="T164" s="1024">
        <f t="shared" si="24"/>
        <v>140</v>
      </c>
      <c r="U164" s="1025">
        <f>VLOOKUP(B164,'[26]CN BC'!$F$10:$K$267,6,FALSE)</f>
        <v>0</v>
      </c>
      <c r="V164" s="1038"/>
      <c r="W164" s="1489"/>
    </row>
    <row r="165" spans="1:26" s="1028" customFormat="1" ht="30.75" customHeight="1">
      <c r="A165" s="1014">
        <f>_xlfn.AGGREGATE(4,7,A$24:A164)+1</f>
        <v>141</v>
      </c>
      <c r="B165" s="1015" t="s">
        <v>2018</v>
      </c>
      <c r="C165" s="1033"/>
      <c r="D165" s="1091"/>
      <c r="E165" s="368" t="str">
        <f>VLOOKUP(B165,TH.Q2!B60:E391,4,FALSE)</f>
        <v>Giảng viên khoa Ngoại ngữ</v>
      </c>
      <c r="F165" s="1018">
        <v>2.34</v>
      </c>
      <c r="G165" s="1019"/>
      <c r="H165" s="1255">
        <f t="shared" si="20"/>
        <v>0</v>
      </c>
      <c r="I165" s="1020"/>
      <c r="J165" s="1020" t="str">
        <f>VLOOKUP(B165,[25]!Table2[[Column2]:[Column6]],4,FALSE)</f>
        <v>A2</v>
      </c>
      <c r="K165" s="1020">
        <f t="shared" si="21"/>
        <v>0.7</v>
      </c>
      <c r="L165" s="1021">
        <v>20</v>
      </c>
      <c r="M165" s="1021">
        <f>VLOOKUP(B165,'[26]CN BC'!$F$10:$H$267,3,FALSE)</f>
        <v>20</v>
      </c>
      <c r="N165" s="1021">
        <f t="shared" si="22"/>
        <v>20</v>
      </c>
      <c r="O165" s="1035"/>
      <c r="P165" s="1023">
        <f t="shared" si="23"/>
        <v>3832919.9999999995</v>
      </c>
      <c r="Q165" s="1515">
        <f t="shared" si="25"/>
        <v>1.6379999999999999</v>
      </c>
      <c r="R165" s="1429">
        <v>2340000</v>
      </c>
      <c r="S165" s="1486">
        <f t="shared" si="26"/>
        <v>3832920</v>
      </c>
      <c r="T165" s="1024">
        <f t="shared" si="24"/>
        <v>141</v>
      </c>
      <c r="U165" s="1025">
        <f>VLOOKUP(B165,'[26]CN BC'!$F$10:$K$267,6,FALSE)</f>
        <v>0</v>
      </c>
      <c r="V165" s="1038"/>
      <c r="W165" s="1489"/>
    </row>
    <row r="166" spans="1:26" s="1028" customFormat="1" ht="30.75" customHeight="1">
      <c r="A166" s="1014">
        <f>_xlfn.AGGREGATE(4,7,A$24:A165)+1</f>
        <v>142</v>
      </c>
      <c r="B166" s="1015" t="s">
        <v>2024</v>
      </c>
      <c r="C166" s="1033"/>
      <c r="D166" s="1091"/>
      <c r="E166" s="81" t="str">
        <f>VLOOKUP(B166,TH.Q2!B61:E392,4,FALSE)</f>
        <v>Giảng viên khoa Ngoại ngữ</v>
      </c>
      <c r="F166" s="1018">
        <v>2.34</v>
      </c>
      <c r="G166" s="1019"/>
      <c r="H166" s="1248">
        <f t="shared" si="20"/>
        <v>0</v>
      </c>
      <c r="I166" s="1020"/>
      <c r="J166" s="1020" t="str">
        <f>VLOOKUP(B166,[25]!Table2[[Column2]:[Column6]],4,FALSE)</f>
        <v>A3</v>
      </c>
      <c r="K166" s="1020">
        <f t="shared" si="21"/>
        <v>0.6</v>
      </c>
      <c r="L166" s="1021">
        <v>20</v>
      </c>
      <c r="M166" s="1021">
        <f>VLOOKUP(B166,'[26]CN BC'!$F$10:$H$267,3,FALSE)</f>
        <v>20</v>
      </c>
      <c r="N166" s="1021">
        <f t="shared" si="22"/>
        <v>20</v>
      </c>
      <c r="O166" s="1022"/>
      <c r="P166" s="1023">
        <f t="shared" si="23"/>
        <v>3285360</v>
      </c>
      <c r="Q166" s="1515">
        <f t="shared" si="25"/>
        <v>1.4039999999999999</v>
      </c>
      <c r="R166" s="1429">
        <v>2340000</v>
      </c>
      <c r="S166" s="1486">
        <f t="shared" si="26"/>
        <v>3285360</v>
      </c>
      <c r="T166" s="1024">
        <f t="shared" si="24"/>
        <v>142</v>
      </c>
      <c r="U166" s="1025">
        <f>VLOOKUP(B166,'[26]CN BC'!$F$10:$K$267,6,FALSE)</f>
        <v>0</v>
      </c>
      <c r="V166" s="1038"/>
      <c r="W166" s="1489"/>
    </row>
    <row r="167" spans="1:26" s="1028" customFormat="1" ht="30.75" customHeight="1">
      <c r="A167" s="1014">
        <f>_xlfn.AGGREGATE(4,7,A$24:A166)+1</f>
        <v>143</v>
      </c>
      <c r="B167" s="1015" t="s">
        <v>2006</v>
      </c>
      <c r="C167" s="1033"/>
      <c r="D167" s="1091"/>
      <c r="E167" s="368" t="str">
        <f>VLOOKUP(B167,TH.Q2!B62:E393,4,FALSE)</f>
        <v>Giảng viên khoa Ngoại ngữ</v>
      </c>
      <c r="F167" s="1018">
        <v>2.34</v>
      </c>
      <c r="G167" s="1019"/>
      <c r="H167" s="1255">
        <f t="shared" si="20"/>
        <v>0</v>
      </c>
      <c r="I167" s="1020"/>
      <c r="J167" s="1020" t="str">
        <f>VLOOKUP(B167,[25]!Table2[[Column2]:[Column6]],4,FALSE)</f>
        <v>A3</v>
      </c>
      <c r="K167" s="1020">
        <f t="shared" si="21"/>
        <v>0.6</v>
      </c>
      <c r="L167" s="1021">
        <v>20</v>
      </c>
      <c r="M167" s="1021">
        <f>VLOOKUP(B167,'[26]CN BC'!$F$10:$H$267,3,FALSE)</f>
        <v>20</v>
      </c>
      <c r="N167" s="1021">
        <f t="shared" si="22"/>
        <v>20</v>
      </c>
      <c r="O167" s="1035"/>
      <c r="P167" s="1023">
        <f t="shared" si="23"/>
        <v>3285360</v>
      </c>
      <c r="Q167" s="1515">
        <f t="shared" si="25"/>
        <v>1.4039999999999999</v>
      </c>
      <c r="R167" s="1429">
        <v>2340000</v>
      </c>
      <c r="S167" s="1486">
        <f t="shared" si="26"/>
        <v>3285360</v>
      </c>
      <c r="T167" s="1024">
        <f t="shared" si="24"/>
        <v>143</v>
      </c>
      <c r="U167" s="1025">
        <f>VLOOKUP(B167,'[26]CN BC'!$F$10:$K$267,6,FALSE)</f>
        <v>0</v>
      </c>
      <c r="V167" s="1038"/>
      <c r="W167" s="1490"/>
    </row>
    <row r="168" spans="1:26" s="1028" customFormat="1" ht="43.5" customHeight="1">
      <c r="A168" s="1014">
        <f>_xlfn.AGGREGATE(4,7,A$24:A167)+1</f>
        <v>144</v>
      </c>
      <c r="B168" s="1432" t="s">
        <v>2345</v>
      </c>
      <c r="C168" s="1433"/>
      <c r="D168" s="1434"/>
      <c r="E168" s="472" t="str">
        <f>VLOOKUP(B168,TH.Q2!B63:E394,4,FALSE)</f>
        <v>Giảng viên khoa Ngoại ngữ</v>
      </c>
      <c r="F168" s="1435">
        <v>2.34</v>
      </c>
      <c r="G168" s="1082"/>
      <c r="H168" s="1253">
        <f t="shared" si="20"/>
        <v>0</v>
      </c>
      <c r="I168" s="1083"/>
      <c r="J168" s="1083" t="str">
        <f>VLOOKUP(B168,[25]!Table2[[Column2]:[Column6]],4,FALSE)</f>
        <v>A2</v>
      </c>
      <c r="K168" s="1083">
        <f t="shared" si="21"/>
        <v>0.7</v>
      </c>
      <c r="L168" s="1203">
        <v>20</v>
      </c>
      <c r="M168" s="1203">
        <f>VLOOKUP(B168,'[26]CN BC'!$F$10:$H$267,3,FALSE)</f>
        <v>20</v>
      </c>
      <c r="N168" s="1203">
        <f t="shared" si="22"/>
        <v>20</v>
      </c>
      <c r="O168" s="1084"/>
      <c r="P168" s="1204">
        <f>(((F168+H169+I168)*$P$21/L168*N168)*K168)+O168</f>
        <v>3832919.9999999995</v>
      </c>
      <c r="Q168" s="1515">
        <f t="shared" si="25"/>
        <v>1.6379999999999999</v>
      </c>
      <c r="R168" s="1429">
        <v>2340000</v>
      </c>
      <c r="S168" s="1486">
        <f t="shared" si="26"/>
        <v>3832920</v>
      </c>
      <c r="T168" s="1085">
        <f t="shared" si="24"/>
        <v>144</v>
      </c>
      <c r="U168" s="1205" t="s">
        <v>2470</v>
      </c>
      <c r="V168" s="1038"/>
      <c r="W168" s="1489"/>
    </row>
    <row r="169" spans="1:26" s="1028" customFormat="1" ht="30.75" customHeight="1">
      <c r="A169" s="1014">
        <f>_xlfn.AGGREGATE(4,7,A$24:A168)+1</f>
        <v>145</v>
      </c>
      <c r="B169" s="1015" t="s">
        <v>2393</v>
      </c>
      <c r="C169" s="1033"/>
      <c r="D169" s="1091"/>
      <c r="E169" s="368" t="s">
        <v>2374</v>
      </c>
      <c r="F169" s="1018">
        <v>2.34</v>
      </c>
      <c r="G169" s="1019"/>
      <c r="H169" s="1255">
        <f t="shared" si="20"/>
        <v>0</v>
      </c>
      <c r="I169" s="1020"/>
      <c r="J169" s="1020" t="str">
        <f>VLOOKUP(B169,[25]!Table2[[Column2]:[Column6]],4,FALSE)</f>
        <v>A3</v>
      </c>
      <c r="K169" s="1020">
        <f t="shared" si="21"/>
        <v>0.6</v>
      </c>
      <c r="L169" s="1021">
        <v>20</v>
      </c>
      <c r="M169" s="1021">
        <f>VLOOKUP(B169,'[26]CN BC'!$F$10:$H$267,3,FALSE)</f>
        <v>20</v>
      </c>
      <c r="N169" s="1021">
        <f t="shared" si="22"/>
        <v>20</v>
      </c>
      <c r="O169" s="1035"/>
      <c r="P169" s="1023">
        <f>(((F169+H142+I169)*$P$21/L169*N169)*K169)+O169</f>
        <v>3285360</v>
      </c>
      <c r="Q169" s="1515">
        <f t="shared" si="25"/>
        <v>1.4039999999999999</v>
      </c>
      <c r="R169" s="1429">
        <v>2340000</v>
      </c>
      <c r="S169" s="1486">
        <f t="shared" si="26"/>
        <v>3285360</v>
      </c>
      <c r="T169" s="1024">
        <f t="shared" si="24"/>
        <v>145</v>
      </c>
      <c r="U169" s="1025">
        <f>VLOOKUP(B169,'[26]CN BC'!$F$10:$K$267,6,FALSE)</f>
        <v>0</v>
      </c>
      <c r="V169" s="1038"/>
      <c r="W169" s="1490"/>
    </row>
    <row r="170" spans="1:26" s="1012" customFormat="1" ht="34.5" customHeight="1">
      <c r="A170" s="1014">
        <f>_xlfn.AGGREGATE(4,7,A$24:A169)+1</f>
        <v>146</v>
      </c>
      <c r="B170" s="1050" t="s">
        <v>1863</v>
      </c>
      <c r="C170" s="1029" t="s">
        <v>1675</v>
      </c>
      <c r="D170" s="1051" t="s">
        <v>1357</v>
      </c>
      <c r="E170" s="81" t="s">
        <v>2442</v>
      </c>
      <c r="F170" s="1056">
        <v>3.99</v>
      </c>
      <c r="G170" s="1053"/>
      <c r="H170" s="1248">
        <f t="shared" si="20"/>
        <v>0</v>
      </c>
      <c r="I170" s="1054">
        <v>0.45</v>
      </c>
      <c r="J170" s="1020" t="str">
        <f>VLOOKUP(B170,[25]!Table2[[Column2]:[Column6]],4,FALSE)</f>
        <v>A1</v>
      </c>
      <c r="K170" s="1020">
        <f t="shared" si="21"/>
        <v>0.8</v>
      </c>
      <c r="L170" s="1021">
        <v>20</v>
      </c>
      <c r="M170" s="1021">
        <f>VLOOKUP(B170,'[26]CN BC'!$F$10:$H$267,3,FALSE)</f>
        <v>20</v>
      </c>
      <c r="N170" s="1021">
        <f t="shared" si="22"/>
        <v>20</v>
      </c>
      <c r="O170" s="1022"/>
      <c r="P170" s="1023">
        <f>(((F170+H170+I170)*$P$21/L170*N170)*K170)+O170</f>
        <v>8311680</v>
      </c>
      <c r="Q170" s="1515">
        <f t="shared" si="25"/>
        <v>3.552</v>
      </c>
      <c r="R170" s="1429">
        <v>2340000</v>
      </c>
      <c r="S170" s="1486">
        <f t="shared" si="26"/>
        <v>8311680</v>
      </c>
      <c r="T170" s="1024">
        <f t="shared" si="24"/>
        <v>146</v>
      </c>
      <c r="U170" s="1025">
        <f>VLOOKUP(B170,'[26]CN BC'!$F$10:$K$267,6,FALSE)</f>
        <v>0</v>
      </c>
      <c r="V170" s="1027"/>
      <c r="W170" s="1489"/>
    </row>
    <row r="171" spans="1:26" s="1028" customFormat="1" ht="27" customHeight="1">
      <c r="A171" s="1014">
        <f>_xlfn.AGGREGATE(4,7,A$24:A170)+1</f>
        <v>147</v>
      </c>
      <c r="B171" s="1015" t="s">
        <v>1882</v>
      </c>
      <c r="C171" s="1033" t="s">
        <v>1741</v>
      </c>
      <c r="D171" s="1034" t="s">
        <v>1341</v>
      </c>
      <c r="E171" s="81" t="str">
        <f>VLOOKUP(B171,TH.Q2!B79:E410,4,FALSE)</f>
        <v>Giảng viên khoa CNTT</v>
      </c>
      <c r="F171" s="1040">
        <v>4.32</v>
      </c>
      <c r="G171" s="1019"/>
      <c r="H171" s="1248">
        <f t="shared" si="20"/>
        <v>0</v>
      </c>
      <c r="I171" s="1020"/>
      <c r="J171" s="1020" t="str">
        <f>VLOOKUP(B171,[25]!Table2[[Column2]:[Column6]],4,FALSE)</f>
        <v>A2</v>
      </c>
      <c r="K171" s="1020">
        <f t="shared" si="21"/>
        <v>0.7</v>
      </c>
      <c r="L171" s="1021">
        <v>20</v>
      </c>
      <c r="M171" s="1021">
        <f>VLOOKUP(B171,'[26]CN BC'!$F$10:$H$267,3,FALSE)</f>
        <v>20</v>
      </c>
      <c r="N171" s="1021">
        <f t="shared" si="22"/>
        <v>20</v>
      </c>
      <c r="O171" s="1022"/>
      <c r="P171" s="1023">
        <f t="shared" si="23"/>
        <v>7076160</v>
      </c>
      <c r="Q171" s="1515">
        <f t="shared" si="25"/>
        <v>3.024</v>
      </c>
      <c r="R171" s="1429">
        <v>2340000</v>
      </c>
      <c r="S171" s="1486">
        <f t="shared" si="26"/>
        <v>7076160</v>
      </c>
      <c r="T171" s="1024">
        <f t="shared" si="24"/>
        <v>147</v>
      </c>
      <c r="U171" s="1025">
        <f>VLOOKUP(B171,'[26]CN BC'!$F$10:$K$267,6,FALSE)</f>
        <v>0</v>
      </c>
      <c r="V171" s="1038"/>
      <c r="W171" s="1489"/>
    </row>
    <row r="172" spans="1:26" s="1012" customFormat="1" ht="28.5" customHeight="1">
      <c r="A172" s="1014">
        <f>_xlfn.AGGREGATE(4,7,A$24:A171)+1</f>
        <v>148</v>
      </c>
      <c r="B172" s="1050" t="s">
        <v>1508</v>
      </c>
      <c r="C172" s="1029" t="s">
        <v>1742</v>
      </c>
      <c r="D172" s="1051" t="s">
        <v>1342</v>
      </c>
      <c r="E172" s="81" t="str">
        <f>VLOOKUP(B172,TH.Q2!B80:E411,4,FALSE)</f>
        <v>Giảng viên khoa CNTT</v>
      </c>
      <c r="F172" s="1056">
        <v>3.99</v>
      </c>
      <c r="G172" s="1053"/>
      <c r="H172" s="1248">
        <f t="shared" si="20"/>
        <v>0</v>
      </c>
      <c r="I172" s="1054"/>
      <c r="J172" s="1020" t="str">
        <f>VLOOKUP(B172,[25]!Table2[[Column2]:[Column6]],4,FALSE)</f>
        <v>A3</v>
      </c>
      <c r="K172" s="1020">
        <f t="shared" si="21"/>
        <v>0.6</v>
      </c>
      <c r="L172" s="1021">
        <v>20</v>
      </c>
      <c r="M172" s="1021">
        <f>VLOOKUP(B172,'[26]CN BC'!$F$10:$H$267,3,FALSE)</f>
        <v>20</v>
      </c>
      <c r="N172" s="1021">
        <f t="shared" si="22"/>
        <v>20</v>
      </c>
      <c r="O172" s="1022"/>
      <c r="P172" s="1023">
        <f t="shared" si="23"/>
        <v>5601960</v>
      </c>
      <c r="Q172" s="1515">
        <f t="shared" si="25"/>
        <v>2.3940000000000001</v>
      </c>
      <c r="R172" s="1429">
        <v>2340000</v>
      </c>
      <c r="S172" s="1486">
        <f t="shared" si="26"/>
        <v>5601960</v>
      </c>
      <c r="T172" s="1024">
        <f t="shared" si="24"/>
        <v>148</v>
      </c>
      <c r="U172" s="1025">
        <f>VLOOKUP(B172,'[26]CN BC'!$F$10:$K$267,6,FALSE)</f>
        <v>0</v>
      </c>
      <c r="V172" s="1027"/>
      <c r="W172" s="1489"/>
    </row>
    <row r="173" spans="1:26" s="1012" customFormat="1" ht="26.25" customHeight="1">
      <c r="A173" s="1014">
        <f>_xlfn.AGGREGATE(4,7,A$24:A172)+1</f>
        <v>149</v>
      </c>
      <c r="B173" s="1050" t="s">
        <v>1509</v>
      </c>
      <c r="C173" s="1029" t="s">
        <v>1743</v>
      </c>
      <c r="D173" s="1051" t="s">
        <v>1344</v>
      </c>
      <c r="E173" s="81" t="str">
        <f>VLOOKUP(B173,TH.Q2!B81:E412,4,FALSE)</f>
        <v>Giảng viên khoa CNTT</v>
      </c>
      <c r="F173" s="1052">
        <v>4.32</v>
      </c>
      <c r="G173" s="1053"/>
      <c r="H173" s="1248">
        <f t="shared" si="20"/>
        <v>0</v>
      </c>
      <c r="I173" s="1054"/>
      <c r="J173" s="1020" t="str">
        <f>VLOOKUP(B173,[25]!Table2[[Column2]:[Column6]],4,FALSE)</f>
        <v>A3</v>
      </c>
      <c r="K173" s="1020">
        <f t="shared" si="21"/>
        <v>0.6</v>
      </c>
      <c r="L173" s="1021">
        <v>20</v>
      </c>
      <c r="M173" s="1021">
        <f>VLOOKUP(B173,'[26]CN BC'!$F$10:$H$267,3,FALSE)</f>
        <v>20</v>
      </c>
      <c r="N173" s="1021">
        <f t="shared" si="22"/>
        <v>20</v>
      </c>
      <c r="O173" s="1022"/>
      <c r="P173" s="1023">
        <f t="shared" si="23"/>
        <v>6065280</v>
      </c>
      <c r="Q173" s="1515">
        <f t="shared" si="25"/>
        <v>2.5920000000000001</v>
      </c>
      <c r="R173" s="1429">
        <v>2340000</v>
      </c>
      <c r="S173" s="1486">
        <f t="shared" si="26"/>
        <v>6065280</v>
      </c>
      <c r="T173" s="1024">
        <f t="shared" si="24"/>
        <v>149</v>
      </c>
      <c r="U173" s="1025">
        <f>VLOOKUP(B173,'[26]CN BC'!$F$10:$K$267,6,FALSE)</f>
        <v>0</v>
      </c>
      <c r="V173" s="1027"/>
      <c r="W173" s="1489"/>
    </row>
    <row r="174" spans="1:26" s="1028" customFormat="1" ht="27" customHeight="1">
      <c r="A174" s="1014">
        <f>_xlfn.AGGREGATE(4,7,A$24:A173)+1</f>
        <v>150</v>
      </c>
      <c r="B174" s="1101" t="s">
        <v>1511</v>
      </c>
      <c r="C174" s="1033" t="s">
        <v>1745</v>
      </c>
      <c r="D174" s="1034" t="s">
        <v>1349</v>
      </c>
      <c r="E174" s="368" t="str">
        <f>VLOOKUP(B174,TH.Q2!B83:E414,4,FALSE)</f>
        <v>Giảng viên khoa CNTT</v>
      </c>
      <c r="F174" s="1040">
        <v>4.32</v>
      </c>
      <c r="G174" s="1019"/>
      <c r="H174" s="1255">
        <f t="shared" si="20"/>
        <v>0</v>
      </c>
      <c r="I174" s="1020"/>
      <c r="J174" s="1020" t="str">
        <f>VLOOKUP(B174,[25]!Table2[[Column2]:[Column6]],4,FALSE)</f>
        <v>A1</v>
      </c>
      <c r="K174" s="1020">
        <f t="shared" si="21"/>
        <v>0.8</v>
      </c>
      <c r="L174" s="1021">
        <v>20</v>
      </c>
      <c r="M174" s="1021">
        <f>VLOOKUP(B174,'[26]CN BC'!$F$10:$H$267,3,FALSE)</f>
        <v>20</v>
      </c>
      <c r="N174" s="1021">
        <f t="shared" si="22"/>
        <v>20</v>
      </c>
      <c r="O174" s="1035"/>
      <c r="P174" s="1023">
        <f t="shared" si="23"/>
        <v>8087040</v>
      </c>
      <c r="Q174" s="1515">
        <f t="shared" si="25"/>
        <v>3.456</v>
      </c>
      <c r="R174" s="1429">
        <v>2340000</v>
      </c>
      <c r="S174" s="1486">
        <f t="shared" si="26"/>
        <v>8087040</v>
      </c>
      <c r="T174" s="1024">
        <f t="shared" si="24"/>
        <v>150</v>
      </c>
      <c r="U174" s="1025">
        <f>VLOOKUP(B174,'[26]CN BC'!$F$10:$K$267,6,FALSE)</f>
        <v>0</v>
      </c>
      <c r="V174" s="1038"/>
      <c r="W174" s="1490"/>
    </row>
    <row r="175" spans="1:26" s="1028" customFormat="1" ht="30.75" customHeight="1">
      <c r="A175" s="1014">
        <f>_xlfn.AGGREGATE(4,7,A$24:A174)+1</f>
        <v>151</v>
      </c>
      <c r="B175" s="1015" t="s">
        <v>1512</v>
      </c>
      <c r="C175" s="1033" t="s">
        <v>1746</v>
      </c>
      <c r="D175" s="1034" t="s">
        <v>1350</v>
      </c>
      <c r="E175" s="368" t="str">
        <f>VLOOKUP(B175,TH.Q2!B84:E415,4,FALSE)</f>
        <v>Giảng viên khoa CNTT</v>
      </c>
      <c r="F175" s="1040">
        <v>3.99</v>
      </c>
      <c r="G175" s="1019"/>
      <c r="H175" s="1255">
        <f t="shared" si="20"/>
        <v>0</v>
      </c>
      <c r="I175" s="1020"/>
      <c r="J175" s="1020" t="str">
        <f>VLOOKUP(B175,[25]!Table2[[Column2]:[Column6]],4,FALSE)</f>
        <v>A1</v>
      </c>
      <c r="K175" s="1020">
        <f t="shared" si="21"/>
        <v>0.8</v>
      </c>
      <c r="L175" s="1021">
        <v>20</v>
      </c>
      <c r="M175" s="1021">
        <f>VLOOKUP(B175,'[26]CN BC'!$F$10:$H$267,3,FALSE)</f>
        <v>20</v>
      </c>
      <c r="N175" s="1021">
        <f t="shared" si="22"/>
        <v>20</v>
      </c>
      <c r="O175" s="1035"/>
      <c r="P175" s="1023">
        <f t="shared" si="23"/>
        <v>7469280</v>
      </c>
      <c r="Q175" s="1515">
        <f t="shared" si="25"/>
        <v>3.1920000000000002</v>
      </c>
      <c r="R175" s="1429">
        <v>2340000</v>
      </c>
      <c r="S175" s="1486">
        <f t="shared" si="26"/>
        <v>7469280</v>
      </c>
      <c r="T175" s="1024">
        <f t="shared" si="24"/>
        <v>151</v>
      </c>
      <c r="U175" s="1025">
        <f>VLOOKUP(B175,'[26]CN BC'!$F$10:$K$267,6,FALSE)</f>
        <v>0</v>
      </c>
      <c r="V175" s="1038"/>
      <c r="W175" s="1489"/>
    </row>
    <row r="176" spans="1:26" s="1012" customFormat="1" ht="27" customHeight="1">
      <c r="A176" s="1014">
        <f>_xlfn.AGGREGATE(4,7,A$24:A175)+1</f>
        <v>152</v>
      </c>
      <c r="B176" s="1050" t="s">
        <v>1513</v>
      </c>
      <c r="C176" s="1029" t="s">
        <v>1747</v>
      </c>
      <c r="D176" s="1051" t="s">
        <v>1353</v>
      </c>
      <c r="E176" s="81" t="str">
        <f>VLOOKUP(B176,TH.Q2!B85:E416,4,FALSE)</f>
        <v>Trưởng BM khoa CNTT</v>
      </c>
      <c r="F176" s="1040">
        <v>3.99</v>
      </c>
      <c r="G176" s="1019"/>
      <c r="H176" s="1255">
        <f t="shared" si="20"/>
        <v>0</v>
      </c>
      <c r="I176" s="1020">
        <v>0.35</v>
      </c>
      <c r="J176" s="1020" t="str">
        <f>VLOOKUP(B176,[25]!Table2[[Column2]:[Column6]],4,FALSE)</f>
        <v>A1</v>
      </c>
      <c r="K176" s="1020">
        <f t="shared" si="21"/>
        <v>0.8</v>
      </c>
      <c r="L176" s="1021">
        <v>20</v>
      </c>
      <c r="M176" s="1021">
        <f>VLOOKUP(B176,'[26]CN BC'!$F$10:$H$267,3,FALSE)</f>
        <v>20</v>
      </c>
      <c r="N176" s="1021">
        <f t="shared" si="22"/>
        <v>20</v>
      </c>
      <c r="O176" s="1022"/>
      <c r="P176" s="1023">
        <f t="shared" si="23"/>
        <v>8124480</v>
      </c>
      <c r="Q176" s="1515">
        <f t="shared" si="25"/>
        <v>3.472</v>
      </c>
      <c r="R176" s="1429">
        <v>2340000</v>
      </c>
      <c r="S176" s="1486">
        <f t="shared" si="26"/>
        <v>8124480</v>
      </c>
      <c r="T176" s="1024">
        <f t="shared" si="24"/>
        <v>152</v>
      </c>
      <c r="U176" s="1025">
        <f>VLOOKUP(B176,'[26]CN BC'!$F$10:$K$267,6,FALSE)</f>
        <v>0</v>
      </c>
      <c r="V176" s="1027"/>
      <c r="W176" s="1489"/>
    </row>
    <row r="177" spans="1:30" s="1028" customFormat="1" ht="30" customHeight="1">
      <c r="A177" s="1014">
        <f>_xlfn.AGGREGATE(4,7,A$24:A176)+1</f>
        <v>153</v>
      </c>
      <c r="B177" s="1015" t="s">
        <v>1514</v>
      </c>
      <c r="C177" s="1033" t="s">
        <v>1748</v>
      </c>
      <c r="D177" s="1034" t="s">
        <v>1354</v>
      </c>
      <c r="E177" s="368" t="str">
        <f>VLOOKUP(B177,TH.Q2!B86:E417,4,FALSE)</f>
        <v>Giảng viên khoa CNTT</v>
      </c>
      <c r="F177" s="1040">
        <v>3.99</v>
      </c>
      <c r="G177" s="1019"/>
      <c r="H177" s="1255">
        <f t="shared" si="20"/>
        <v>0</v>
      </c>
      <c r="I177" s="1020"/>
      <c r="J177" s="1020" t="str">
        <f>VLOOKUP(B177,[25]!Table2[[Column2]:[Column6]],4,FALSE)</f>
        <v>A3</v>
      </c>
      <c r="K177" s="1020">
        <f t="shared" si="21"/>
        <v>0.6</v>
      </c>
      <c r="L177" s="1021">
        <v>20</v>
      </c>
      <c r="M177" s="1021">
        <f>VLOOKUP(B177,'[26]CN BC'!$F$10:$H$267,3,FALSE)</f>
        <v>20</v>
      </c>
      <c r="N177" s="1021">
        <f t="shared" si="22"/>
        <v>20</v>
      </c>
      <c r="O177" s="1035"/>
      <c r="P177" s="1023">
        <f t="shared" si="23"/>
        <v>5601960</v>
      </c>
      <c r="Q177" s="1515">
        <f t="shared" si="25"/>
        <v>2.3940000000000001</v>
      </c>
      <c r="R177" s="1429">
        <v>2340000</v>
      </c>
      <c r="S177" s="1486">
        <f t="shared" si="26"/>
        <v>5601960</v>
      </c>
      <c r="T177" s="1024">
        <f t="shared" si="24"/>
        <v>153</v>
      </c>
      <c r="U177" s="1025">
        <f>VLOOKUP(B177,'[26]CN BC'!$F$10:$K$267,6,FALSE)</f>
        <v>0</v>
      </c>
      <c r="V177" s="1038"/>
      <c r="W177" s="1490"/>
    </row>
    <row r="178" spans="1:30" s="1028" customFormat="1" ht="24.75" customHeight="1">
      <c r="A178" s="1014">
        <f>_xlfn.AGGREGATE(4,7,A$24:A177)+1</f>
        <v>154</v>
      </c>
      <c r="B178" s="1015" t="s">
        <v>1515</v>
      </c>
      <c r="C178" s="1033" t="s">
        <v>1749</v>
      </c>
      <c r="D178" s="1034" t="s">
        <v>1355</v>
      </c>
      <c r="E178" s="368" t="str">
        <f>VLOOKUP(B178,TH.Q2!B87:E418,4,FALSE)</f>
        <v>Giảng viên khoa CNTT</v>
      </c>
      <c r="F178" s="1040">
        <v>3.99</v>
      </c>
      <c r="G178" s="1019"/>
      <c r="H178" s="1255">
        <f t="shared" si="20"/>
        <v>0</v>
      </c>
      <c r="I178" s="1020"/>
      <c r="J178" s="1020" t="str">
        <f>VLOOKUP(B178,[25]!Table2[[Column2]:[Column6]],4,FALSE)</f>
        <v>A3</v>
      </c>
      <c r="K178" s="1020">
        <f t="shared" si="21"/>
        <v>0.6</v>
      </c>
      <c r="L178" s="1021">
        <v>20</v>
      </c>
      <c r="M178" s="1021">
        <f>VLOOKUP(B178,'[26]CN BC'!$F$10:$H$267,3,FALSE)</f>
        <v>20</v>
      </c>
      <c r="N178" s="1021">
        <f t="shared" si="22"/>
        <v>20</v>
      </c>
      <c r="O178" s="1035"/>
      <c r="P178" s="1023">
        <f t="shared" si="23"/>
        <v>5601960</v>
      </c>
      <c r="Q178" s="1515">
        <f t="shared" si="25"/>
        <v>2.3940000000000001</v>
      </c>
      <c r="R178" s="1429">
        <v>2340000</v>
      </c>
      <c r="S178" s="1486">
        <f t="shared" si="26"/>
        <v>5601960</v>
      </c>
      <c r="T178" s="1024">
        <f t="shared" si="24"/>
        <v>154</v>
      </c>
      <c r="U178" s="1025">
        <f>VLOOKUP(B178,'[26]CN BC'!$F$10:$K$267,6,FALSE)</f>
        <v>0</v>
      </c>
      <c r="V178" s="1038"/>
      <c r="W178" s="1489"/>
    </row>
    <row r="179" spans="1:30" s="1012" customFormat="1" ht="24.75" customHeight="1">
      <c r="A179" s="1014">
        <f>_xlfn.AGGREGATE(4,7,A$24:A178)+1</f>
        <v>155</v>
      </c>
      <c r="B179" s="1050" t="s">
        <v>1516</v>
      </c>
      <c r="C179" s="1029" t="s">
        <v>1750</v>
      </c>
      <c r="D179" s="1051" t="s">
        <v>1356</v>
      </c>
      <c r="E179" s="81" t="str">
        <f>VLOOKUP(B179,TH.Q2!B88:E419,4,FALSE)</f>
        <v>Giảng viên khoa CNTT</v>
      </c>
      <c r="F179" s="1040">
        <v>3.99</v>
      </c>
      <c r="G179" s="1053"/>
      <c r="H179" s="1248">
        <f t="shared" si="20"/>
        <v>0</v>
      </c>
      <c r="I179" s="1054"/>
      <c r="J179" s="1020" t="str">
        <f>VLOOKUP(B179,[25]!Table2[[Column2]:[Column6]],4,FALSE)</f>
        <v>A1</v>
      </c>
      <c r="K179" s="1020">
        <f t="shared" si="21"/>
        <v>0.8</v>
      </c>
      <c r="L179" s="1021">
        <v>20</v>
      </c>
      <c r="M179" s="1021">
        <f>VLOOKUP(B179,'[26]CN BC'!$F$10:$H$267,3,FALSE)</f>
        <v>20</v>
      </c>
      <c r="N179" s="1021">
        <f t="shared" si="22"/>
        <v>20</v>
      </c>
      <c r="O179" s="1022"/>
      <c r="P179" s="1023">
        <f t="shared" si="23"/>
        <v>7469280</v>
      </c>
      <c r="Q179" s="1515">
        <f t="shared" si="25"/>
        <v>3.1920000000000002</v>
      </c>
      <c r="R179" s="1429">
        <v>2340000</v>
      </c>
      <c r="S179" s="1486">
        <f t="shared" si="26"/>
        <v>7469280</v>
      </c>
      <c r="T179" s="1024">
        <f t="shared" si="24"/>
        <v>155</v>
      </c>
      <c r="U179" s="1025">
        <f>VLOOKUP(B179,'[26]CN BC'!$F$10:$K$267,6,FALSE)</f>
        <v>0</v>
      </c>
      <c r="V179" s="1027"/>
      <c r="W179" s="1489"/>
    </row>
    <row r="180" spans="1:30" s="1028" customFormat="1" ht="27" customHeight="1">
      <c r="A180" s="1014">
        <f>_xlfn.AGGREGATE(4,7,A$24:A179)+1</f>
        <v>156</v>
      </c>
      <c r="B180" s="1015" t="s">
        <v>1883</v>
      </c>
      <c r="C180" s="1033" t="s">
        <v>1751</v>
      </c>
      <c r="D180" s="1034" t="s">
        <v>381</v>
      </c>
      <c r="E180" s="368" t="str">
        <f>VLOOKUP(B180,TH.Q2!B89:E420,4,FALSE)</f>
        <v>Phó Trưởng khoa CNTT</v>
      </c>
      <c r="F180" s="1040">
        <v>3.99</v>
      </c>
      <c r="G180" s="1019"/>
      <c r="H180" s="1255">
        <f t="shared" si="20"/>
        <v>0</v>
      </c>
      <c r="I180" s="1020">
        <v>0.35</v>
      </c>
      <c r="J180" s="1020" t="str">
        <f>VLOOKUP(B180,[25]!Table2[[Column2]:[Column6]],4,FALSE)</f>
        <v>A1</v>
      </c>
      <c r="K180" s="1020">
        <f t="shared" si="21"/>
        <v>0.8</v>
      </c>
      <c r="L180" s="1021">
        <v>20</v>
      </c>
      <c r="M180" s="1021">
        <f>VLOOKUP(B180,'[26]CN BC'!$F$10:$H$267,3,FALSE)</f>
        <v>20</v>
      </c>
      <c r="N180" s="1021">
        <f t="shared" si="22"/>
        <v>20</v>
      </c>
      <c r="O180" s="1035"/>
      <c r="P180" s="1023">
        <f t="shared" si="23"/>
        <v>8124480</v>
      </c>
      <c r="Q180" s="1515">
        <f t="shared" si="25"/>
        <v>3.472</v>
      </c>
      <c r="R180" s="1429">
        <v>2340000</v>
      </c>
      <c r="S180" s="1486">
        <f t="shared" si="26"/>
        <v>8124480</v>
      </c>
      <c r="T180" s="1024">
        <f t="shared" si="24"/>
        <v>156</v>
      </c>
      <c r="U180" s="1025">
        <f>VLOOKUP(B180,'[26]CN BC'!$F$10:$K$267,6,FALSE)</f>
        <v>0</v>
      </c>
      <c r="V180" s="1038"/>
      <c r="W180" s="1489"/>
    </row>
    <row r="181" spans="1:30" s="1028" customFormat="1" ht="23.25" customHeight="1">
      <c r="A181" s="1014">
        <f>_xlfn.AGGREGATE(4,7,A$24:A180)+1</f>
        <v>157</v>
      </c>
      <c r="B181" s="1015" t="s">
        <v>1833</v>
      </c>
      <c r="C181" s="1033" t="s">
        <v>1966</v>
      </c>
      <c r="D181" s="1103">
        <v>1603215005649</v>
      </c>
      <c r="E181" s="81" t="str">
        <f>VLOOKUP(B181,TH.Q2!B90:E421,4,FALSE)</f>
        <v>Giảng viên khoa CNTT</v>
      </c>
      <c r="F181" s="1040">
        <v>3.66</v>
      </c>
      <c r="G181" s="1019"/>
      <c r="H181" s="1248">
        <f t="shared" si="20"/>
        <v>0</v>
      </c>
      <c r="I181" s="1020"/>
      <c r="J181" s="1020" t="str">
        <f>VLOOKUP(B181,[25]!Table2[[Column2]:[Column6]],4,FALSE)</f>
        <v>A2</v>
      </c>
      <c r="K181" s="1020">
        <f t="shared" si="21"/>
        <v>0.7</v>
      </c>
      <c r="L181" s="1021">
        <v>20</v>
      </c>
      <c r="M181" s="1021">
        <f>VLOOKUP(B181,'[26]CN BC'!$F$10:$H$267,3,FALSE)</f>
        <v>20</v>
      </c>
      <c r="N181" s="1021">
        <f t="shared" si="22"/>
        <v>20</v>
      </c>
      <c r="O181" s="1022"/>
      <c r="P181" s="1023">
        <f t="shared" si="23"/>
        <v>5995080</v>
      </c>
      <c r="Q181" s="1515">
        <f t="shared" si="25"/>
        <v>2.5619999999999998</v>
      </c>
      <c r="R181" s="1429">
        <v>2340000</v>
      </c>
      <c r="S181" s="1486">
        <f t="shared" si="26"/>
        <v>5995080</v>
      </c>
      <c r="T181" s="1024">
        <f t="shared" si="24"/>
        <v>157</v>
      </c>
      <c r="U181" s="1025">
        <f>VLOOKUP(B181,'[26]CN BC'!$F$10:$K$267,6,FALSE)</f>
        <v>0</v>
      </c>
      <c r="V181" s="1038"/>
      <c r="W181" s="1489"/>
    </row>
    <row r="182" spans="1:30" s="1028" customFormat="1" ht="29.25" customHeight="1">
      <c r="A182" s="1014">
        <f>_xlfn.AGGREGATE(4,7,A$24:A181)+1</f>
        <v>158</v>
      </c>
      <c r="B182" s="1015" t="s">
        <v>1884</v>
      </c>
      <c r="C182" s="1029" t="s">
        <v>1752</v>
      </c>
      <c r="D182" s="1034" t="s">
        <v>1345</v>
      </c>
      <c r="E182" s="81" t="str">
        <f>VLOOKUP(B182,TH.Q2!B91:E422,4,FALSE)</f>
        <v>Giảng viên khoa CNTT</v>
      </c>
      <c r="F182" s="1040">
        <v>4.32</v>
      </c>
      <c r="G182" s="1019"/>
      <c r="H182" s="1248">
        <f t="shared" si="20"/>
        <v>0</v>
      </c>
      <c r="I182" s="1020">
        <v>0.25</v>
      </c>
      <c r="J182" s="1020" t="str">
        <f>VLOOKUP(B182,[25]!Table2[[Column2]:[Column6]],4,FALSE)</f>
        <v>A3</v>
      </c>
      <c r="K182" s="1020">
        <f t="shared" si="21"/>
        <v>0.6</v>
      </c>
      <c r="L182" s="1021">
        <v>20</v>
      </c>
      <c r="M182" s="1021">
        <f>VLOOKUP(B182,'[26]CN BC'!$F$10:$H$267,3,FALSE)</f>
        <v>20</v>
      </c>
      <c r="N182" s="1021">
        <f t="shared" si="22"/>
        <v>20</v>
      </c>
      <c r="O182" s="1022"/>
      <c r="P182" s="1023">
        <f t="shared" si="23"/>
        <v>6416280</v>
      </c>
      <c r="Q182" s="1515">
        <f t="shared" si="25"/>
        <v>2.742</v>
      </c>
      <c r="R182" s="1429">
        <v>2340000</v>
      </c>
      <c r="S182" s="1486">
        <f t="shared" si="26"/>
        <v>6416280</v>
      </c>
      <c r="T182" s="1024">
        <f t="shared" si="24"/>
        <v>158</v>
      </c>
      <c r="U182" s="1025">
        <f>VLOOKUP(B182,'[26]CN BC'!$F$10:$K$267,6,FALSE)</f>
        <v>0</v>
      </c>
      <c r="V182" s="1027"/>
      <c r="W182" s="1489"/>
      <c r="X182" s="1012"/>
      <c r="Y182" s="1012"/>
      <c r="Z182" s="1012"/>
      <c r="AA182" s="1012"/>
      <c r="AB182" s="1012"/>
      <c r="AC182" s="1012"/>
      <c r="AD182" s="1012"/>
    </row>
    <row r="183" spans="1:30" s="1028" customFormat="1" ht="29.25" customHeight="1">
      <c r="A183" s="1014">
        <f>_xlfn.AGGREGATE(4,7,A$24:A182)+1</f>
        <v>159</v>
      </c>
      <c r="B183" s="1015" t="s">
        <v>1517</v>
      </c>
      <c r="C183" s="1033" t="s">
        <v>1753</v>
      </c>
      <c r="D183" s="1045">
        <v>1603205286594</v>
      </c>
      <c r="E183" s="368" t="str">
        <f>VLOOKUP(B183,TH.Q2!B92:E423,4,FALSE)</f>
        <v>Giảng viên khoa CNTT</v>
      </c>
      <c r="F183" s="1040">
        <v>3.66</v>
      </c>
      <c r="G183" s="1019"/>
      <c r="H183" s="1255">
        <f t="shared" si="20"/>
        <v>0</v>
      </c>
      <c r="I183" s="1020"/>
      <c r="J183" s="1020" t="str">
        <f>VLOOKUP(B183,[25]!Table2[[Column2]:[Column6]],4,FALSE)</f>
        <v>A3</v>
      </c>
      <c r="K183" s="1020">
        <f t="shared" si="21"/>
        <v>0.6</v>
      </c>
      <c r="L183" s="1021">
        <v>20</v>
      </c>
      <c r="M183" s="1021">
        <f>VLOOKUP(B183,'[26]CN BC'!$F$10:$H$267,3,FALSE)</f>
        <v>20</v>
      </c>
      <c r="N183" s="1021">
        <f t="shared" si="22"/>
        <v>20</v>
      </c>
      <c r="O183" s="1035"/>
      <c r="P183" s="1023">
        <f t="shared" si="23"/>
        <v>5138640</v>
      </c>
      <c r="Q183" s="1515">
        <f t="shared" si="25"/>
        <v>2.1960000000000002</v>
      </c>
      <c r="R183" s="1429">
        <v>2340000</v>
      </c>
      <c r="S183" s="1486">
        <f t="shared" si="26"/>
        <v>5138640</v>
      </c>
      <c r="T183" s="1024">
        <f t="shared" si="24"/>
        <v>159</v>
      </c>
      <c r="U183" s="1025">
        <f>VLOOKUP(B183,'[26]CN BC'!$F$10:$K$267,6,FALSE)</f>
        <v>0</v>
      </c>
      <c r="V183" s="1038"/>
      <c r="W183" s="1489"/>
    </row>
    <row r="184" spans="1:30" s="1028" customFormat="1" ht="28.5" customHeight="1">
      <c r="A184" s="1014">
        <f>_xlfn.AGGREGATE(4,7,A$24:A183)+1</f>
        <v>160</v>
      </c>
      <c r="B184" s="1015" t="s">
        <v>1518</v>
      </c>
      <c r="C184" s="1033" t="s">
        <v>1754</v>
      </c>
      <c r="D184" s="1034" t="s">
        <v>1346</v>
      </c>
      <c r="E184" s="368" t="str">
        <f>VLOOKUP(B184,TH.Q2!B93:E424,4,FALSE)</f>
        <v>Giảng viên khoa CNTT</v>
      </c>
      <c r="F184" s="1018">
        <v>4.32</v>
      </c>
      <c r="G184" s="1019"/>
      <c r="H184" s="1255">
        <f t="shared" si="20"/>
        <v>0</v>
      </c>
      <c r="I184" s="1020"/>
      <c r="J184" s="1020" t="str">
        <f>VLOOKUP(B184,[25]!Table2[[Column2]:[Column6]],4,FALSE)</f>
        <v>A2</v>
      </c>
      <c r="K184" s="1020">
        <f t="shared" si="21"/>
        <v>0.7</v>
      </c>
      <c r="L184" s="1021">
        <v>20</v>
      </c>
      <c r="M184" s="1021">
        <f>VLOOKUP(B184,'[26]CN BC'!$F$10:$H$267,3,FALSE)</f>
        <v>20</v>
      </c>
      <c r="N184" s="1021">
        <f t="shared" si="22"/>
        <v>20</v>
      </c>
      <c r="O184" s="1035"/>
      <c r="P184" s="1023">
        <f t="shared" si="23"/>
        <v>7076160</v>
      </c>
      <c r="Q184" s="1515">
        <f t="shared" si="25"/>
        <v>3.024</v>
      </c>
      <c r="R184" s="1429">
        <v>2340000</v>
      </c>
      <c r="S184" s="1486">
        <f t="shared" si="26"/>
        <v>7076160</v>
      </c>
      <c r="T184" s="1024">
        <f t="shared" si="24"/>
        <v>160</v>
      </c>
      <c r="U184" s="1025">
        <f>VLOOKUP(B184,'[26]CN BC'!$F$10:$K$267,6,FALSE)</f>
        <v>0</v>
      </c>
      <c r="V184" s="1038"/>
      <c r="W184" s="1489"/>
    </row>
    <row r="185" spans="1:30" s="1028" customFormat="1" ht="28.5" customHeight="1">
      <c r="A185" s="1014">
        <f>_xlfn.AGGREGATE(4,7,A$24:A184)+1</f>
        <v>161</v>
      </c>
      <c r="B185" s="1015" t="s">
        <v>1519</v>
      </c>
      <c r="C185" s="1033" t="s">
        <v>1755</v>
      </c>
      <c r="D185" s="1034" t="s">
        <v>771</v>
      </c>
      <c r="E185" s="368" t="str">
        <f>VLOOKUP(B185,TH.Q2!B94:E425,4,FALSE)</f>
        <v>Giảng viên khoa CNTT</v>
      </c>
      <c r="F185" s="1040">
        <v>3.99</v>
      </c>
      <c r="G185" s="1019"/>
      <c r="H185" s="1255">
        <f t="shared" si="20"/>
        <v>0</v>
      </c>
      <c r="I185" s="1020"/>
      <c r="J185" s="1020" t="str">
        <f>VLOOKUP(B185,[25]!Table2[[Column2]:[Column6]],4,FALSE)</f>
        <v>A2</v>
      </c>
      <c r="K185" s="1020">
        <f t="shared" si="21"/>
        <v>0.7</v>
      </c>
      <c r="L185" s="1021">
        <v>20</v>
      </c>
      <c r="M185" s="1021">
        <f>VLOOKUP(B185,'[26]CN BC'!$F$10:$H$267,3,FALSE)</f>
        <v>20</v>
      </c>
      <c r="N185" s="1021">
        <f t="shared" si="22"/>
        <v>20</v>
      </c>
      <c r="O185" s="1035"/>
      <c r="P185" s="1023">
        <f t="shared" si="23"/>
        <v>6535620</v>
      </c>
      <c r="Q185" s="1515">
        <f t="shared" si="25"/>
        <v>2.7930000000000001</v>
      </c>
      <c r="R185" s="1429">
        <v>2340000</v>
      </c>
      <c r="S185" s="1486">
        <f t="shared" si="26"/>
        <v>6535620</v>
      </c>
      <c r="T185" s="1024">
        <f t="shared" si="24"/>
        <v>161</v>
      </c>
      <c r="U185" s="1025">
        <f>VLOOKUP(B185,'[26]CN BC'!$F$10:$K$267,6,FALSE)</f>
        <v>0</v>
      </c>
      <c r="V185" s="1038"/>
      <c r="W185" s="1489"/>
    </row>
    <row r="186" spans="1:30" s="1028" customFormat="1" ht="25.5" customHeight="1">
      <c r="A186" s="1014">
        <f>_xlfn.AGGREGATE(4,7,A$24:A185)+1</f>
        <v>162</v>
      </c>
      <c r="B186" s="1015" t="s">
        <v>1520</v>
      </c>
      <c r="C186" s="1033" t="s">
        <v>1756</v>
      </c>
      <c r="D186" s="1104" t="s">
        <v>1593</v>
      </c>
      <c r="E186" s="81" t="str">
        <f>VLOOKUP(B186,TH.Q2!B95:E426,4,FALSE)</f>
        <v>Giảng viên khoa CNTT</v>
      </c>
      <c r="F186" s="1040">
        <v>3.99</v>
      </c>
      <c r="G186" s="1019"/>
      <c r="H186" s="1248">
        <f t="shared" si="20"/>
        <v>0</v>
      </c>
      <c r="I186" s="1020">
        <v>0.25</v>
      </c>
      <c r="J186" s="1020" t="str">
        <f>VLOOKUP(B186,[25]!Table2[[Column2]:[Column6]],4,FALSE)</f>
        <v>A2</v>
      </c>
      <c r="K186" s="1020">
        <f t="shared" si="21"/>
        <v>0.7</v>
      </c>
      <c r="L186" s="1021">
        <v>20</v>
      </c>
      <c r="M186" s="1021">
        <f>VLOOKUP(B186,'[26]CN BC'!$F$10:$H$267,3,FALSE)</f>
        <v>20</v>
      </c>
      <c r="N186" s="1021">
        <f t="shared" si="22"/>
        <v>20</v>
      </c>
      <c r="O186" s="1022"/>
      <c r="P186" s="1023">
        <f t="shared" si="23"/>
        <v>6945120</v>
      </c>
      <c r="Q186" s="1515">
        <f t="shared" si="25"/>
        <v>2.968</v>
      </c>
      <c r="R186" s="1429">
        <v>2340000</v>
      </c>
      <c r="S186" s="1486">
        <f t="shared" si="26"/>
        <v>6945120</v>
      </c>
      <c r="T186" s="1024">
        <f t="shared" si="24"/>
        <v>162</v>
      </c>
      <c r="U186" s="1025">
        <f>VLOOKUP(B186,'[26]CN BC'!$F$10:$K$267,6,FALSE)</f>
        <v>0</v>
      </c>
      <c r="V186" s="1038"/>
      <c r="W186" s="1489"/>
    </row>
    <row r="187" spans="1:30" s="1028" customFormat="1" ht="28.5" customHeight="1">
      <c r="A187" s="1014">
        <f>_xlfn.AGGREGATE(4,7,A$24:A186)+1</f>
        <v>163</v>
      </c>
      <c r="B187" s="1015" t="s">
        <v>1467</v>
      </c>
      <c r="C187" s="1033" t="s">
        <v>1674</v>
      </c>
      <c r="D187" s="1034" t="s">
        <v>1343</v>
      </c>
      <c r="E187" s="81" t="str">
        <f>VLOOKUP(B187,TH.Q2!B96:E427,4,FALSE)</f>
        <v>Giảng viên khoa CNTT</v>
      </c>
      <c r="F187" s="1018">
        <v>4.32</v>
      </c>
      <c r="G187" s="1019"/>
      <c r="H187" s="1248">
        <f t="shared" si="20"/>
        <v>0</v>
      </c>
      <c r="I187" s="1020"/>
      <c r="J187" s="1020" t="str">
        <f>VLOOKUP(B187,[25]!Table2[[Column2]:[Column6]],4,FALSE)</f>
        <v>A1</v>
      </c>
      <c r="K187" s="1020">
        <f t="shared" si="21"/>
        <v>0.8</v>
      </c>
      <c r="L187" s="1021">
        <v>20</v>
      </c>
      <c r="M187" s="1021">
        <f>VLOOKUP(B187,'[26]CN BC'!$F$10:$H$267,3,FALSE)</f>
        <v>20</v>
      </c>
      <c r="N187" s="1021">
        <f t="shared" si="22"/>
        <v>20</v>
      </c>
      <c r="O187" s="1022"/>
      <c r="P187" s="1023">
        <f t="shared" si="23"/>
        <v>8087040</v>
      </c>
      <c r="Q187" s="1515">
        <f t="shared" si="25"/>
        <v>3.456</v>
      </c>
      <c r="R187" s="1429">
        <v>2340000</v>
      </c>
      <c r="S187" s="1486">
        <f t="shared" si="26"/>
        <v>8087040</v>
      </c>
      <c r="T187" s="1024">
        <f t="shared" si="24"/>
        <v>163</v>
      </c>
      <c r="U187" s="1025">
        <f>VLOOKUP(B187,'[26]CN BC'!$F$10:$K$267,6,FALSE)</f>
        <v>0</v>
      </c>
      <c r="V187" s="1027"/>
      <c r="W187" s="1489"/>
      <c r="X187" s="1012"/>
      <c r="Y187" s="1012"/>
      <c r="Z187" s="1012"/>
    </row>
    <row r="188" spans="1:30" s="1028" customFormat="1" ht="28.5" customHeight="1">
      <c r="A188" s="1014">
        <f>_xlfn.AGGREGATE(4,7,A$24:A187)+1</f>
        <v>164</v>
      </c>
      <c r="B188" s="1015" t="s">
        <v>2011</v>
      </c>
      <c r="C188" s="1033"/>
      <c r="D188" s="1034"/>
      <c r="E188" s="81" t="str">
        <f>VLOOKUP(B188,TH.Q2!B97:E428,4,FALSE)</f>
        <v>Giảng viên khoa CNTT</v>
      </c>
      <c r="F188" s="1018">
        <v>2.67</v>
      </c>
      <c r="G188" s="1019"/>
      <c r="H188" s="1248">
        <f t="shared" si="20"/>
        <v>0</v>
      </c>
      <c r="I188" s="1020"/>
      <c r="J188" s="1020" t="str">
        <f>VLOOKUP(B188,[25]!Table2[[Column2]:[Column6]],4,FALSE)</f>
        <v>A2</v>
      </c>
      <c r="K188" s="1020">
        <f t="shared" si="21"/>
        <v>0.7</v>
      </c>
      <c r="L188" s="1021">
        <v>20</v>
      </c>
      <c r="M188" s="1021">
        <f>VLOOKUP(B188,'[26]CN BC'!$F$10:$H$267,3,FALSE)</f>
        <v>20</v>
      </c>
      <c r="N188" s="1021">
        <f t="shared" si="22"/>
        <v>20</v>
      </c>
      <c r="O188" s="1022"/>
      <c r="P188" s="1023">
        <f t="shared" si="23"/>
        <v>4373460</v>
      </c>
      <c r="Q188" s="1515">
        <f t="shared" si="25"/>
        <v>1.869</v>
      </c>
      <c r="R188" s="1429">
        <v>2340000</v>
      </c>
      <c r="S188" s="1486">
        <f t="shared" si="26"/>
        <v>4373460</v>
      </c>
      <c r="T188" s="1024">
        <f t="shared" si="24"/>
        <v>164</v>
      </c>
      <c r="U188" s="1025">
        <f>VLOOKUP(B188,'[26]CN BC'!$F$10:$K$267,6,FALSE)</f>
        <v>0</v>
      </c>
      <c r="V188" s="1038"/>
      <c r="W188" s="1489"/>
    </row>
    <row r="189" spans="1:30" s="1028" customFormat="1" ht="28.5" customHeight="1">
      <c r="A189" s="1014">
        <f>_xlfn.AGGREGATE(4,7,A$24:A188)+1</f>
        <v>165</v>
      </c>
      <c r="B189" s="1015" t="s">
        <v>2017</v>
      </c>
      <c r="C189" s="1033"/>
      <c r="D189" s="1034"/>
      <c r="E189" s="368" t="str">
        <f>VLOOKUP(B189,TH.Q2!B98:E429,4,FALSE)</f>
        <v>Giảng viên khoa CNTT</v>
      </c>
      <c r="F189" s="1018">
        <v>2.34</v>
      </c>
      <c r="G189" s="1019"/>
      <c r="H189" s="1255">
        <f t="shared" si="20"/>
        <v>0</v>
      </c>
      <c r="I189" s="1020"/>
      <c r="J189" s="1020" t="str">
        <f>VLOOKUP(B189,[25]!Table2[[Column2]:[Column6]],4,FALSE)</f>
        <v>A2</v>
      </c>
      <c r="K189" s="1020">
        <f t="shared" si="21"/>
        <v>0.7</v>
      </c>
      <c r="L189" s="1021">
        <v>20</v>
      </c>
      <c r="M189" s="1021">
        <f>VLOOKUP(B189,'[26]CN BC'!$F$10:$H$267,3,FALSE)</f>
        <v>20</v>
      </c>
      <c r="N189" s="1021">
        <f t="shared" si="22"/>
        <v>20</v>
      </c>
      <c r="O189" s="1035"/>
      <c r="P189" s="1023">
        <f t="shared" si="23"/>
        <v>3832919.9999999995</v>
      </c>
      <c r="Q189" s="1515">
        <f t="shared" si="25"/>
        <v>1.6379999999999999</v>
      </c>
      <c r="R189" s="1429">
        <v>2340000</v>
      </c>
      <c r="S189" s="1486">
        <f t="shared" si="26"/>
        <v>3832920</v>
      </c>
      <c r="T189" s="1024">
        <f t="shared" si="24"/>
        <v>165</v>
      </c>
      <c r="U189" s="1025">
        <f>VLOOKUP(B189,'[26]CN BC'!$F$10:$K$267,6,FALSE)</f>
        <v>0</v>
      </c>
      <c r="V189" s="1038"/>
      <c r="W189" s="1489"/>
    </row>
    <row r="190" spans="1:30" s="1028" customFormat="1" ht="28.5" customHeight="1">
      <c r="A190" s="1014">
        <f>_xlfn.AGGREGATE(4,7,A$24:A189)+1</f>
        <v>166</v>
      </c>
      <c r="B190" s="1015" t="s">
        <v>1885</v>
      </c>
      <c r="C190" s="1033" t="s">
        <v>1757</v>
      </c>
      <c r="D190" s="1034" t="s">
        <v>1368</v>
      </c>
      <c r="E190" s="81" t="str">
        <f>VLOOKUP(B190,TH.Q2!B99:E430,4,FALSE)</f>
        <v>Trưởng khoa Cơ khí</v>
      </c>
      <c r="F190" s="1018">
        <v>4.6500000000000004</v>
      </c>
      <c r="G190" s="1019"/>
      <c r="H190" s="1248">
        <f t="shared" si="20"/>
        <v>0</v>
      </c>
      <c r="I190" s="1020">
        <v>0.45</v>
      </c>
      <c r="J190" s="1020" t="str">
        <f>VLOOKUP(B190,[25]!Table2[[Column2]:[Column6]],4,FALSE)</f>
        <v>A1</v>
      </c>
      <c r="K190" s="1020">
        <f t="shared" si="21"/>
        <v>0.8</v>
      </c>
      <c r="L190" s="1021">
        <v>20</v>
      </c>
      <c r="M190" s="1021">
        <f>VLOOKUP(B190,'[26]CN BC'!$F$10:$H$267,3,FALSE)</f>
        <v>22</v>
      </c>
      <c r="N190" s="1021">
        <f t="shared" si="22"/>
        <v>20</v>
      </c>
      <c r="O190" s="1022"/>
      <c r="P190" s="1023">
        <f t="shared" si="23"/>
        <v>9547200.0000000019</v>
      </c>
      <c r="Q190" s="1515">
        <f t="shared" si="25"/>
        <v>4.080000000000001</v>
      </c>
      <c r="R190" s="1429">
        <v>2340000</v>
      </c>
      <c r="S190" s="1486">
        <f t="shared" si="26"/>
        <v>9547200.0000000019</v>
      </c>
      <c r="T190" s="1024">
        <f t="shared" si="24"/>
        <v>166</v>
      </c>
      <c r="U190" s="1025">
        <f>VLOOKUP(B190,'[26]CN BC'!$F$10:$K$267,6,FALSE)</f>
        <v>0</v>
      </c>
      <c r="V190" s="1027"/>
      <c r="W190" s="1489"/>
      <c r="X190" s="1012"/>
      <c r="Y190" s="1012"/>
      <c r="Z190" s="1012"/>
    </row>
    <row r="191" spans="1:30" s="1012" customFormat="1" ht="26.25" customHeight="1">
      <c r="A191" s="1014">
        <f>_xlfn.AGGREGATE(4,7,A$24:A190)+1</f>
        <v>167</v>
      </c>
      <c r="B191" s="1050" t="s">
        <v>1886</v>
      </c>
      <c r="C191" s="1029" t="s">
        <v>1758</v>
      </c>
      <c r="D191" s="1051" t="s">
        <v>1363</v>
      </c>
      <c r="E191" s="81" t="str">
        <f>VLOOKUP(B191,TH.Q2!B100:E431,4,FALSE)</f>
        <v>Giảng viên khoa Cơ khí</v>
      </c>
      <c r="F191" s="1052">
        <v>4.9800000000000004</v>
      </c>
      <c r="G191" s="1053">
        <v>0.08</v>
      </c>
      <c r="H191" s="1248">
        <f t="shared" si="20"/>
        <v>0.39800000000000002</v>
      </c>
      <c r="I191" s="1054"/>
      <c r="J191" s="1020" t="str">
        <f>VLOOKUP(B191,[25]!Table2[[Column2]:[Column6]],4,FALSE)</f>
        <v>A4</v>
      </c>
      <c r="K191" s="1020">
        <f t="shared" si="21"/>
        <v>0.5</v>
      </c>
      <c r="L191" s="1021">
        <v>20</v>
      </c>
      <c r="M191" s="1021">
        <f>VLOOKUP(B191,'[26]CN BC'!$F$10:$H$267,3,FALSE)</f>
        <v>20</v>
      </c>
      <c r="N191" s="1021">
        <f t="shared" si="22"/>
        <v>20</v>
      </c>
      <c r="O191" s="1022"/>
      <c r="P191" s="1023">
        <f t="shared" si="23"/>
        <v>6292260</v>
      </c>
      <c r="Q191" s="1515">
        <f t="shared" si="25"/>
        <v>2.6890000000000001</v>
      </c>
      <c r="R191" s="1429">
        <v>2340000</v>
      </c>
      <c r="S191" s="1486">
        <f t="shared" si="26"/>
        <v>6292260</v>
      </c>
      <c r="T191" s="1024">
        <f t="shared" si="24"/>
        <v>167</v>
      </c>
      <c r="U191" s="1025">
        <f>VLOOKUP(B191,'[26]CN BC'!$F$10:$K$267,6,FALSE)</f>
        <v>0</v>
      </c>
      <c r="V191" s="1027"/>
      <c r="W191" s="1489"/>
    </row>
    <row r="192" spans="1:30" s="1028" customFormat="1" ht="31.5" customHeight="1">
      <c r="A192" s="1014">
        <f>_xlfn.AGGREGATE(4,7,A$24:A191)+1</f>
        <v>168</v>
      </c>
      <c r="B192" s="1015" t="s">
        <v>1887</v>
      </c>
      <c r="C192" s="1033" t="s">
        <v>1759</v>
      </c>
      <c r="D192" s="1034" t="s">
        <v>1364</v>
      </c>
      <c r="E192" s="368" t="str">
        <f>VLOOKUP(B192,TH.Q2!B101:E432,4,FALSE)</f>
        <v>Giảng viên khoa Cơ khí</v>
      </c>
      <c r="F192" s="1018">
        <v>4.9800000000000004</v>
      </c>
      <c r="G192" s="1019">
        <v>0.09</v>
      </c>
      <c r="H192" s="1255">
        <f t="shared" si="20"/>
        <v>0.44800000000000001</v>
      </c>
      <c r="I192" s="1020"/>
      <c r="J192" s="1020" t="str">
        <f>VLOOKUP(B192,[25]!Table2[[Column2]:[Column6]],4,FALSE)</f>
        <v>A2</v>
      </c>
      <c r="K192" s="1020">
        <f t="shared" si="21"/>
        <v>0.7</v>
      </c>
      <c r="L192" s="1021">
        <v>20</v>
      </c>
      <c r="M192" s="1021">
        <f>VLOOKUP(B192,'[26]CN BC'!$F$10:$H$267,3,FALSE)</f>
        <v>20</v>
      </c>
      <c r="N192" s="1021">
        <f t="shared" si="22"/>
        <v>20</v>
      </c>
      <c r="O192" s="1035"/>
      <c r="P192" s="1023">
        <f t="shared" si="23"/>
        <v>8891064</v>
      </c>
      <c r="Q192" s="1515">
        <f t="shared" si="25"/>
        <v>3.7995999999999999</v>
      </c>
      <c r="R192" s="1429">
        <v>2340000</v>
      </c>
      <c r="S192" s="1486">
        <f t="shared" si="26"/>
        <v>8891064</v>
      </c>
      <c r="T192" s="1024">
        <f t="shared" si="24"/>
        <v>168</v>
      </c>
      <c r="U192" s="1025">
        <f>VLOOKUP(B192,'[26]CN BC'!$F$10:$K$267,6,FALSE)</f>
        <v>0</v>
      </c>
      <c r="V192" s="1038"/>
      <c r="W192" s="1489"/>
    </row>
    <row r="193" spans="1:30" s="1028" customFormat="1" ht="25.5" customHeight="1">
      <c r="A193" s="1014">
        <f>_xlfn.AGGREGATE(4,7,A$24:A192)+1</f>
        <v>169</v>
      </c>
      <c r="B193" s="1015" t="s">
        <v>1888</v>
      </c>
      <c r="C193" s="1033" t="s">
        <v>1760</v>
      </c>
      <c r="D193" s="1034" t="s">
        <v>1369</v>
      </c>
      <c r="E193" s="81" t="str">
        <f>VLOOKUP(B193,TH.Q2!B102:E433,4,FALSE)</f>
        <v>Giảng viên khoa Cơ khí</v>
      </c>
      <c r="F193" s="1018">
        <v>4.6500000000000004</v>
      </c>
      <c r="G193" s="1019"/>
      <c r="H193" s="1248">
        <f t="shared" si="20"/>
        <v>0</v>
      </c>
      <c r="I193" s="1020"/>
      <c r="J193" s="1020" t="str">
        <f>VLOOKUP(B193,[25]!Table2[[Column2]:[Column6]],4,FALSE)</f>
        <v>A4</v>
      </c>
      <c r="K193" s="1020">
        <f t="shared" si="21"/>
        <v>0.5</v>
      </c>
      <c r="L193" s="1021">
        <v>20</v>
      </c>
      <c r="M193" s="1021">
        <f>VLOOKUP(B193,'[26]CN BC'!$F$10:$H$267,3,FALSE)</f>
        <v>20</v>
      </c>
      <c r="N193" s="1021">
        <f t="shared" si="22"/>
        <v>20</v>
      </c>
      <c r="O193" s="1022"/>
      <c r="P193" s="1023">
        <f t="shared" si="23"/>
        <v>5440500</v>
      </c>
      <c r="Q193" s="1515">
        <f t="shared" si="25"/>
        <v>2.3250000000000002</v>
      </c>
      <c r="R193" s="1429">
        <v>2340000</v>
      </c>
      <c r="S193" s="1486">
        <f t="shared" si="26"/>
        <v>5440500</v>
      </c>
      <c r="T193" s="1024">
        <f t="shared" si="24"/>
        <v>169</v>
      </c>
      <c r="U193" s="1025">
        <f>VLOOKUP(B193,'[26]CN BC'!$F$10:$K$267,6,FALSE)</f>
        <v>0</v>
      </c>
      <c r="V193" s="1027"/>
      <c r="W193" s="1489"/>
      <c r="X193" s="1012"/>
      <c r="Y193" s="1012"/>
      <c r="Z193" s="1012"/>
    </row>
    <row r="194" spans="1:30" s="1028" customFormat="1" ht="25.5" customHeight="1">
      <c r="A194" s="1014">
        <f>_xlfn.AGGREGATE(4,7,A$24:A193)+1</f>
        <v>170</v>
      </c>
      <c r="B194" s="1015" t="s">
        <v>1889</v>
      </c>
      <c r="C194" s="1033" t="s">
        <v>1761</v>
      </c>
      <c r="D194" s="1034" t="s">
        <v>42</v>
      </c>
      <c r="E194" s="81" t="str">
        <f>VLOOKUP(B194,TH.Q2!B103:E434,4,FALSE)</f>
        <v>Giảng viên khoa Cơ khí</v>
      </c>
      <c r="F194" s="1018">
        <v>4.9800000000000004</v>
      </c>
      <c r="G194" s="1019">
        <v>0.16</v>
      </c>
      <c r="H194" s="1248">
        <f t="shared" si="20"/>
        <v>0.79700000000000004</v>
      </c>
      <c r="I194" s="1020"/>
      <c r="J194" s="1020" t="str">
        <f>VLOOKUP(B194,[25]!Table2[[Column2]:[Column6]],4,FALSE)</f>
        <v>A4</v>
      </c>
      <c r="K194" s="1020">
        <f t="shared" si="21"/>
        <v>0.5</v>
      </c>
      <c r="L194" s="1021">
        <v>20</v>
      </c>
      <c r="M194" s="1021">
        <f>VLOOKUP(B194,'[26]CN BC'!$F$10:$H$267,3,FALSE)</f>
        <v>20</v>
      </c>
      <c r="N194" s="1021">
        <f t="shared" si="22"/>
        <v>20</v>
      </c>
      <c r="O194" s="1022"/>
      <c r="P194" s="1023">
        <f t="shared" si="23"/>
        <v>6759090</v>
      </c>
      <c r="Q194" s="1515">
        <f t="shared" si="25"/>
        <v>2.8885000000000001</v>
      </c>
      <c r="R194" s="1429">
        <v>2340000</v>
      </c>
      <c r="S194" s="1486">
        <f t="shared" si="26"/>
        <v>6759090</v>
      </c>
      <c r="T194" s="1024">
        <f t="shared" si="24"/>
        <v>170</v>
      </c>
      <c r="U194" s="1025">
        <f>VLOOKUP(B194,'[26]CN BC'!$F$10:$K$267,6,FALSE)</f>
        <v>0</v>
      </c>
      <c r="V194" s="1027"/>
      <c r="W194" s="1489"/>
      <c r="X194" s="1012"/>
      <c r="Y194" s="1012"/>
      <c r="Z194" s="1012"/>
    </row>
    <row r="195" spans="1:30" s="1028" customFormat="1" ht="25.5" customHeight="1">
      <c r="A195" s="1014">
        <f>_xlfn.AGGREGATE(4,7,A$24:A194)+1</f>
        <v>171</v>
      </c>
      <c r="B195" s="1015" t="s">
        <v>1890</v>
      </c>
      <c r="C195" s="1033" t="s">
        <v>1762</v>
      </c>
      <c r="D195" s="1034" t="s">
        <v>1367</v>
      </c>
      <c r="E195" s="81" t="str">
        <f>VLOOKUP(B195,TH.Q2!B104:E435,4,FALSE)</f>
        <v>Giảng viên khoa Cơ khí</v>
      </c>
      <c r="F195" s="1018">
        <v>4.6500000000000004</v>
      </c>
      <c r="G195" s="1019"/>
      <c r="H195" s="1248">
        <f t="shared" si="20"/>
        <v>0</v>
      </c>
      <c r="I195" s="1020">
        <f>0.25</f>
        <v>0.25</v>
      </c>
      <c r="J195" s="1020" t="str">
        <f>VLOOKUP(B195,[25]!Table2[[Column2]:[Column6]],4,FALSE)</f>
        <v>A2</v>
      </c>
      <c r="K195" s="1020">
        <f t="shared" si="21"/>
        <v>0.7</v>
      </c>
      <c r="L195" s="1021">
        <v>20</v>
      </c>
      <c r="M195" s="1021">
        <f>VLOOKUP(B195,'[26]CN BC'!$F$10:$H$267,3,FALSE)</f>
        <v>20</v>
      </c>
      <c r="N195" s="1021">
        <f t="shared" si="22"/>
        <v>20</v>
      </c>
      <c r="O195" s="1022"/>
      <c r="P195" s="1023">
        <f t="shared" si="23"/>
        <v>8026199.9999999991</v>
      </c>
      <c r="Q195" s="1515">
        <f t="shared" si="25"/>
        <v>3.4299999999999997</v>
      </c>
      <c r="R195" s="1429">
        <v>2340000</v>
      </c>
      <c r="S195" s="1486">
        <f t="shared" si="26"/>
        <v>8026199.9999999991</v>
      </c>
      <c r="T195" s="1024">
        <f t="shared" si="24"/>
        <v>171</v>
      </c>
      <c r="U195" s="1025">
        <f>VLOOKUP(B195,'[26]CN BC'!$F$10:$K$267,6,FALSE)</f>
        <v>0</v>
      </c>
      <c r="V195" s="1027"/>
      <c r="W195" s="1489"/>
      <c r="X195" s="1012"/>
      <c r="Y195" s="1012"/>
      <c r="Z195" s="1012"/>
    </row>
    <row r="196" spans="1:30" s="1028" customFormat="1" ht="25.5" customHeight="1">
      <c r="A196" s="1014">
        <f>_xlfn.AGGREGATE(4,7,A$24:A195)+1</f>
        <v>172</v>
      </c>
      <c r="B196" s="1015" t="s">
        <v>1891</v>
      </c>
      <c r="C196" s="1033" t="s">
        <v>1763</v>
      </c>
      <c r="D196" s="1034" t="s">
        <v>1377</v>
      </c>
      <c r="E196" s="368" t="str">
        <f>VLOOKUP(B196,TH.Q2!B105:E436,4,FALSE)</f>
        <v>Giảng viên khoa Cơ khí</v>
      </c>
      <c r="F196" s="1018">
        <v>4.9800000000000004</v>
      </c>
      <c r="G196" s="1019">
        <v>0.08</v>
      </c>
      <c r="H196" s="1255">
        <f t="shared" si="20"/>
        <v>0.39800000000000002</v>
      </c>
      <c r="I196" s="1020">
        <v>0.25</v>
      </c>
      <c r="J196" s="1020" t="str">
        <f>VLOOKUP(B196,[25]!Table2[[Column2]:[Column6]],4,FALSE)</f>
        <v>A2</v>
      </c>
      <c r="K196" s="1020">
        <f t="shared" si="21"/>
        <v>0.7</v>
      </c>
      <c r="L196" s="1021">
        <v>20</v>
      </c>
      <c r="M196" s="1021">
        <f>VLOOKUP(B196,'[26]CN BC'!$F$10:$H$267,3,FALSE)</f>
        <v>20</v>
      </c>
      <c r="N196" s="1021">
        <f t="shared" si="22"/>
        <v>20</v>
      </c>
      <c r="O196" s="1035"/>
      <c r="P196" s="1023">
        <f t="shared" si="23"/>
        <v>9218664</v>
      </c>
      <c r="Q196" s="1515">
        <f t="shared" si="25"/>
        <v>3.9396</v>
      </c>
      <c r="R196" s="1429">
        <v>2340000</v>
      </c>
      <c r="S196" s="1486">
        <f t="shared" si="26"/>
        <v>9218664</v>
      </c>
      <c r="T196" s="1024">
        <f t="shared" si="24"/>
        <v>172</v>
      </c>
      <c r="U196" s="1025">
        <f>VLOOKUP(B196,'[26]CN BC'!$F$10:$K$267,6,FALSE)</f>
        <v>0</v>
      </c>
      <c r="V196" s="1038"/>
      <c r="W196" s="1489"/>
    </row>
    <row r="197" spans="1:30" s="1028" customFormat="1" ht="25.5" customHeight="1">
      <c r="A197" s="1014">
        <f>_xlfn.AGGREGATE(4,7,A$24:A196)+1</f>
        <v>173</v>
      </c>
      <c r="B197" s="1015" t="s">
        <v>1525</v>
      </c>
      <c r="C197" s="1033" t="s">
        <v>1764</v>
      </c>
      <c r="D197" s="1034" t="s">
        <v>1372</v>
      </c>
      <c r="E197" s="81" t="str">
        <f>VLOOKUP(B197,TH.Q2!B106:E437,4,FALSE)</f>
        <v>Giảng viên khoa Cơ khí</v>
      </c>
      <c r="F197" s="1040">
        <v>3.99</v>
      </c>
      <c r="G197" s="1019"/>
      <c r="H197" s="1248">
        <f t="shared" si="20"/>
        <v>0</v>
      </c>
      <c r="I197" s="1020"/>
      <c r="J197" s="1020" t="str">
        <f>VLOOKUP(B197,[25]!Table2[[Column2]:[Column6]],4,FALSE)</f>
        <v>A2</v>
      </c>
      <c r="K197" s="1020">
        <f t="shared" si="21"/>
        <v>0.7</v>
      </c>
      <c r="L197" s="1021">
        <v>20</v>
      </c>
      <c r="M197" s="1021">
        <f>VLOOKUP(B197,'[26]CN BC'!$F$10:$H$267,3,FALSE)</f>
        <v>20</v>
      </c>
      <c r="N197" s="1021">
        <f t="shared" si="22"/>
        <v>20</v>
      </c>
      <c r="O197" s="1022"/>
      <c r="P197" s="1023">
        <f t="shared" si="23"/>
        <v>6535620</v>
      </c>
      <c r="Q197" s="1515">
        <f t="shared" si="25"/>
        <v>2.7930000000000001</v>
      </c>
      <c r="R197" s="1429">
        <v>2340000</v>
      </c>
      <c r="S197" s="1486">
        <f t="shared" si="26"/>
        <v>6535620</v>
      </c>
      <c r="T197" s="1024">
        <f t="shared" si="24"/>
        <v>173</v>
      </c>
      <c r="U197" s="1025">
        <f>VLOOKUP(B197,'[26]CN BC'!$F$10:$K$267,6,FALSE)</f>
        <v>0</v>
      </c>
      <c r="V197" s="1027"/>
      <c r="W197" s="1489"/>
      <c r="X197" s="1012"/>
      <c r="Y197" s="1012"/>
      <c r="Z197" s="1012"/>
    </row>
    <row r="198" spans="1:30" s="1028" customFormat="1" ht="25.5" customHeight="1">
      <c r="A198" s="1014">
        <f>_xlfn.AGGREGATE(4,7,A$24:A197)+1</f>
        <v>174</v>
      </c>
      <c r="B198" s="1015" t="s">
        <v>1892</v>
      </c>
      <c r="C198" s="1033" t="s">
        <v>1765</v>
      </c>
      <c r="D198" s="1034" t="s">
        <v>1374</v>
      </c>
      <c r="E198" s="368" t="str">
        <f>VLOOKUP(B198,TH.Q2!B107:E438,4,FALSE)</f>
        <v>Giảng viên khoa Cơ khí</v>
      </c>
      <c r="F198" s="1018">
        <v>4.9800000000000004</v>
      </c>
      <c r="G198" s="1019">
        <v>7.0000000000000007E-2</v>
      </c>
      <c r="H198" s="1255">
        <f t="shared" si="20"/>
        <v>0.34899999999999998</v>
      </c>
      <c r="I198" s="1020"/>
      <c r="J198" s="1020" t="str">
        <f>VLOOKUP(B198,[25]!Table2[[Column2]:[Column6]],4,FALSE)</f>
        <v>A4</v>
      </c>
      <c r="K198" s="1020">
        <f t="shared" si="21"/>
        <v>0.5</v>
      </c>
      <c r="L198" s="1021">
        <v>20</v>
      </c>
      <c r="M198" s="1021">
        <f>VLOOKUP(B198,'[26]CN BC'!$F$10:$H$267,3,FALSE)</f>
        <v>20</v>
      </c>
      <c r="N198" s="1021">
        <f t="shared" si="22"/>
        <v>20</v>
      </c>
      <c r="O198" s="1035"/>
      <c r="P198" s="1023">
        <f t="shared" si="23"/>
        <v>6234930.0000000009</v>
      </c>
      <c r="Q198" s="1515">
        <f t="shared" si="25"/>
        <v>2.6645000000000003</v>
      </c>
      <c r="R198" s="1429">
        <v>2340000</v>
      </c>
      <c r="S198" s="1486">
        <f t="shared" si="26"/>
        <v>6234930.0000000009</v>
      </c>
      <c r="T198" s="1024">
        <f t="shared" si="24"/>
        <v>174</v>
      </c>
      <c r="U198" s="1025">
        <f>VLOOKUP(B198,'[26]CN BC'!$F$10:$K$267,6,FALSE)</f>
        <v>0</v>
      </c>
      <c r="V198" s="1038"/>
      <c r="W198" s="1489"/>
    </row>
    <row r="199" spans="1:30" s="1028" customFormat="1" ht="25.5" customHeight="1">
      <c r="A199" s="1014">
        <f>_xlfn.AGGREGATE(4,7,A$24:A198)+1</f>
        <v>175</v>
      </c>
      <c r="B199" s="1015" t="s">
        <v>1526</v>
      </c>
      <c r="C199" s="1033" t="s">
        <v>1766</v>
      </c>
      <c r="D199" s="1066" t="s">
        <v>1939</v>
      </c>
      <c r="E199" s="368" t="str">
        <f>VLOOKUP(B199,TH.Q2!B108:E439,4,FALSE)</f>
        <v>Phó Trưởng khoa Cơ khí</v>
      </c>
      <c r="F199" s="1040">
        <v>3.99</v>
      </c>
      <c r="G199" s="1019"/>
      <c r="H199" s="1255">
        <f t="shared" si="20"/>
        <v>0</v>
      </c>
      <c r="I199" s="1020">
        <v>0.35</v>
      </c>
      <c r="J199" s="1020" t="str">
        <f>VLOOKUP(B199,[25]!Table2[[Column2]:[Column6]],4,FALSE)</f>
        <v>A3</v>
      </c>
      <c r="K199" s="1020">
        <f t="shared" si="21"/>
        <v>0.6</v>
      </c>
      <c r="L199" s="1021">
        <v>20</v>
      </c>
      <c r="M199" s="1021">
        <f>VLOOKUP(B199,'[26]CN BC'!$F$10:$H$267,3,FALSE)</f>
        <v>20</v>
      </c>
      <c r="N199" s="1021">
        <f t="shared" si="22"/>
        <v>20</v>
      </c>
      <c r="O199" s="1035"/>
      <c r="P199" s="1023">
        <f t="shared" si="23"/>
        <v>6093360</v>
      </c>
      <c r="Q199" s="1515">
        <f t="shared" si="25"/>
        <v>2.6040000000000001</v>
      </c>
      <c r="R199" s="1429">
        <v>2340000</v>
      </c>
      <c r="S199" s="1486">
        <f t="shared" si="26"/>
        <v>6093360</v>
      </c>
      <c r="T199" s="1024">
        <f t="shared" si="24"/>
        <v>175</v>
      </c>
      <c r="U199" s="1025">
        <f>VLOOKUP(B199,'[26]CN BC'!$F$10:$K$267,6,FALSE)</f>
        <v>0</v>
      </c>
      <c r="V199" s="1038"/>
      <c r="W199" s="1489"/>
    </row>
    <row r="200" spans="1:30" s="1028" customFormat="1" ht="26.25" customHeight="1">
      <c r="A200" s="1014">
        <f>_xlfn.AGGREGATE(4,7,A$24:A199)+1</f>
        <v>176</v>
      </c>
      <c r="B200" s="1015" t="s">
        <v>1527</v>
      </c>
      <c r="C200" s="1033" t="s">
        <v>1767</v>
      </c>
      <c r="D200" s="1034" t="s">
        <v>1379</v>
      </c>
      <c r="E200" s="368" t="str">
        <f>VLOOKUP(B200,TH.Q2!B109:E440,4,FALSE)</f>
        <v>Giảng viên khoa Cơ khí</v>
      </c>
      <c r="F200" s="1040">
        <v>3.99</v>
      </c>
      <c r="G200" s="1019"/>
      <c r="H200" s="1255">
        <f t="shared" si="20"/>
        <v>0</v>
      </c>
      <c r="I200" s="1020"/>
      <c r="J200" s="1020" t="str">
        <f>VLOOKUP(B200,[25]!Table2[[Column2]:[Column6]],4,FALSE)</f>
        <v>A1</v>
      </c>
      <c r="K200" s="1020">
        <f t="shared" si="21"/>
        <v>0.8</v>
      </c>
      <c r="L200" s="1021">
        <v>20</v>
      </c>
      <c r="M200" s="1021">
        <f>VLOOKUP(B200,'[26]CN BC'!$F$10:$H$267,3,FALSE)</f>
        <v>20</v>
      </c>
      <c r="N200" s="1021">
        <f t="shared" si="22"/>
        <v>20</v>
      </c>
      <c r="O200" s="1035"/>
      <c r="P200" s="1023">
        <f t="shared" si="23"/>
        <v>7469280</v>
      </c>
      <c r="Q200" s="1515">
        <f t="shared" si="25"/>
        <v>3.1920000000000002</v>
      </c>
      <c r="R200" s="1429">
        <v>2340000</v>
      </c>
      <c r="S200" s="1486">
        <f t="shared" si="26"/>
        <v>7469280</v>
      </c>
      <c r="T200" s="1024">
        <f t="shared" si="24"/>
        <v>176</v>
      </c>
      <c r="U200" s="1025">
        <f>VLOOKUP(B200,'[26]CN BC'!$F$10:$K$267,6,FALSE)</f>
        <v>0</v>
      </c>
      <c r="V200" s="1038"/>
      <c r="W200" s="1489"/>
    </row>
    <row r="201" spans="1:30" s="1028" customFormat="1" ht="27.75" customHeight="1">
      <c r="A201" s="1014">
        <f>_xlfn.AGGREGATE(4,7,A$24:A200)+1</f>
        <v>177</v>
      </c>
      <c r="B201" s="1015" t="s">
        <v>1893</v>
      </c>
      <c r="C201" s="1033" t="s">
        <v>1768</v>
      </c>
      <c r="D201" s="1034" t="s">
        <v>387</v>
      </c>
      <c r="E201" s="81" t="str">
        <f>VLOOKUP(B201,TH.Q2!B110:E441,4,FALSE)</f>
        <v>Giảng viên khoa Cơ khí</v>
      </c>
      <c r="F201" s="1040">
        <v>3.99</v>
      </c>
      <c r="G201" s="1019"/>
      <c r="H201" s="1248">
        <f t="shared" si="20"/>
        <v>0</v>
      </c>
      <c r="I201" s="1020"/>
      <c r="J201" s="1020" t="str">
        <f>VLOOKUP(B201,[25]!Table2[[Column2]:[Column6]],4,FALSE)</f>
        <v>A4</v>
      </c>
      <c r="K201" s="1020">
        <f t="shared" si="21"/>
        <v>0.5</v>
      </c>
      <c r="L201" s="1021">
        <v>20</v>
      </c>
      <c r="M201" s="1021">
        <f>VLOOKUP(B201,'[26]CN BC'!$F$10:$H$267,3,FALSE)</f>
        <v>20</v>
      </c>
      <c r="N201" s="1021">
        <f t="shared" si="22"/>
        <v>20</v>
      </c>
      <c r="O201" s="1022"/>
      <c r="P201" s="1023">
        <f t="shared" si="23"/>
        <v>4668300</v>
      </c>
      <c r="Q201" s="1515">
        <f t="shared" si="25"/>
        <v>1.9950000000000001</v>
      </c>
      <c r="R201" s="1429">
        <v>2340000</v>
      </c>
      <c r="S201" s="1486">
        <f t="shared" si="26"/>
        <v>4668300</v>
      </c>
      <c r="T201" s="1024">
        <f t="shared" si="24"/>
        <v>177</v>
      </c>
      <c r="U201" s="1025">
        <f>VLOOKUP(B201,'[26]CN BC'!$F$10:$K$267,6,FALSE)</f>
        <v>0</v>
      </c>
      <c r="V201" s="1027"/>
      <c r="W201" s="1489"/>
      <c r="X201" s="1012"/>
      <c r="Y201" s="1012"/>
      <c r="Z201" s="1012"/>
    </row>
    <row r="202" spans="1:30" s="1028" customFormat="1" ht="27.75" customHeight="1">
      <c r="A202" s="1014">
        <f>_xlfn.AGGREGATE(4,7,A$24:A201)+1</f>
        <v>178</v>
      </c>
      <c r="B202" s="1015" t="s">
        <v>1894</v>
      </c>
      <c r="C202" s="1033" t="s">
        <v>1769</v>
      </c>
      <c r="D202" s="1034" t="s">
        <v>388</v>
      </c>
      <c r="E202" s="81" t="str">
        <f>VLOOKUP(B202,TH.Q2!B111:E442,4,FALSE)</f>
        <v>Giảng viên khoa Cơ khí</v>
      </c>
      <c r="F202" s="1040">
        <v>3.99</v>
      </c>
      <c r="G202" s="1019"/>
      <c r="H202" s="1248">
        <f t="shared" si="20"/>
        <v>0</v>
      </c>
      <c r="I202" s="1020"/>
      <c r="J202" s="1020" t="str">
        <f>VLOOKUP(B202,[25]!Table2[[Column2]:[Column6]],4,FALSE)</f>
        <v>A4</v>
      </c>
      <c r="K202" s="1020">
        <f t="shared" si="21"/>
        <v>0.5</v>
      </c>
      <c r="L202" s="1021">
        <v>20</v>
      </c>
      <c r="M202" s="1021">
        <f>VLOOKUP(B202,'[26]CN BC'!$F$10:$H$267,3,FALSE)</f>
        <v>20</v>
      </c>
      <c r="N202" s="1021">
        <f t="shared" si="22"/>
        <v>20</v>
      </c>
      <c r="O202" s="1022"/>
      <c r="P202" s="1023">
        <f t="shared" si="23"/>
        <v>4668300</v>
      </c>
      <c r="Q202" s="1515">
        <f t="shared" si="25"/>
        <v>1.9950000000000001</v>
      </c>
      <c r="R202" s="1429">
        <v>2340000</v>
      </c>
      <c r="S202" s="1486">
        <f t="shared" si="26"/>
        <v>4668300</v>
      </c>
      <c r="T202" s="1024">
        <f t="shared" si="24"/>
        <v>178</v>
      </c>
      <c r="U202" s="1025">
        <f>VLOOKUP(B202,'[26]CN BC'!$F$10:$K$267,6,FALSE)</f>
        <v>0</v>
      </c>
      <c r="V202" s="1027"/>
      <c r="W202" s="1489"/>
      <c r="X202" s="1012"/>
      <c r="Y202" s="1012"/>
      <c r="Z202" s="1012"/>
    </row>
    <row r="203" spans="1:30" s="1028" customFormat="1" ht="32.25" customHeight="1">
      <c r="A203" s="1014">
        <f>_xlfn.AGGREGATE(4,7,A$24:A202)+1</f>
        <v>179</v>
      </c>
      <c r="B203" s="1015" t="s">
        <v>2023</v>
      </c>
      <c r="C203" s="1033" t="s">
        <v>1770</v>
      </c>
      <c r="D203" s="1034" t="s">
        <v>386</v>
      </c>
      <c r="E203" s="81" t="str">
        <f>VLOOKUP(B203,TH.Q2!B112:E443,4,FALSE)</f>
        <v>Giảng viên khoa Cơ khí</v>
      </c>
      <c r="F203" s="1040">
        <v>3.99</v>
      </c>
      <c r="G203" s="1019"/>
      <c r="H203" s="1248">
        <f t="shared" si="20"/>
        <v>0</v>
      </c>
      <c r="I203" s="1020"/>
      <c r="J203" s="1020" t="str">
        <f>VLOOKUP(B203,[25]!Table2[[Column2]:[Column6]],4,FALSE)</f>
        <v>A4</v>
      </c>
      <c r="K203" s="1020">
        <f t="shared" si="21"/>
        <v>0.5</v>
      </c>
      <c r="L203" s="1021">
        <v>20</v>
      </c>
      <c r="M203" s="1021">
        <f>VLOOKUP(B203,'[26]CN BC'!$F$10:$H$267,3,FALSE)</f>
        <v>20</v>
      </c>
      <c r="N203" s="1021">
        <f t="shared" si="22"/>
        <v>20</v>
      </c>
      <c r="O203" s="1022"/>
      <c r="P203" s="1023">
        <f t="shared" si="23"/>
        <v>4668300</v>
      </c>
      <c r="Q203" s="1515">
        <f t="shared" si="25"/>
        <v>1.9950000000000001</v>
      </c>
      <c r="R203" s="1429">
        <v>2340000</v>
      </c>
      <c r="S203" s="1486">
        <f t="shared" si="26"/>
        <v>4668300</v>
      </c>
      <c r="T203" s="1024">
        <f t="shared" si="24"/>
        <v>179</v>
      </c>
      <c r="U203" s="1025">
        <f>VLOOKUP(B203,'[26]CN BC'!$F$10:$K$267,6,FALSE)</f>
        <v>0</v>
      </c>
      <c r="V203" s="1038"/>
      <c r="W203" s="1489"/>
    </row>
    <row r="204" spans="1:30" s="1028" customFormat="1" ht="30.75" customHeight="1">
      <c r="A204" s="1014">
        <f>_xlfn.AGGREGATE(4,7,A$24:A203)+1</f>
        <v>180</v>
      </c>
      <c r="B204" s="1015" t="s">
        <v>1528</v>
      </c>
      <c r="C204" s="1033" t="s">
        <v>1771</v>
      </c>
      <c r="D204" s="1034" t="s">
        <v>456</v>
      </c>
      <c r="E204" s="368" t="str">
        <f>VLOOKUP(B204,TH.Q2!B113:E444,4,FALSE)</f>
        <v>Giảng viên khoa Cơ khí</v>
      </c>
      <c r="F204" s="1040">
        <v>3.66</v>
      </c>
      <c r="G204" s="1019"/>
      <c r="H204" s="1255">
        <f t="shared" si="20"/>
        <v>0</v>
      </c>
      <c r="I204" s="1020"/>
      <c r="J204" s="1020" t="str">
        <f>VLOOKUP(B204,[25]!Table2[[Column2]:[Column6]],4,FALSE)</f>
        <v>A4</v>
      </c>
      <c r="K204" s="1020">
        <f t="shared" si="21"/>
        <v>0.5</v>
      </c>
      <c r="L204" s="1021">
        <v>20</v>
      </c>
      <c r="M204" s="1021">
        <f>VLOOKUP(B204,'[26]CN BC'!$F$10:$H$267,3,FALSE)</f>
        <v>20</v>
      </c>
      <c r="N204" s="1021">
        <f t="shared" si="22"/>
        <v>20</v>
      </c>
      <c r="O204" s="1035"/>
      <c r="P204" s="1023">
        <f t="shared" si="23"/>
        <v>4282200</v>
      </c>
      <c r="Q204" s="1515">
        <f t="shared" si="25"/>
        <v>1.83</v>
      </c>
      <c r="R204" s="1429">
        <v>2340000</v>
      </c>
      <c r="S204" s="1486">
        <f t="shared" si="26"/>
        <v>4282200</v>
      </c>
      <c r="T204" s="1024">
        <f t="shared" si="24"/>
        <v>180</v>
      </c>
      <c r="U204" s="1025">
        <f>VLOOKUP(B204,'[26]CN BC'!$F$10:$K$267,6,FALSE)</f>
        <v>0</v>
      </c>
      <c r="V204" s="1038"/>
      <c r="W204" s="1490"/>
    </row>
    <row r="205" spans="1:30" s="1028" customFormat="1" ht="30" customHeight="1">
      <c r="A205" s="1014">
        <f>_xlfn.AGGREGATE(4,7,A$24:A204)+1</f>
        <v>181</v>
      </c>
      <c r="B205" s="1015" t="s">
        <v>1529</v>
      </c>
      <c r="C205" s="1033" t="s">
        <v>1772</v>
      </c>
      <c r="D205" s="1034" t="s">
        <v>743</v>
      </c>
      <c r="E205" s="368" t="str">
        <f>VLOOKUP(B205,TH.Q2!B114:E445,4,FALSE)</f>
        <v>Giảng viên - Trưởng BM khoa Cơ khí</v>
      </c>
      <c r="F205" s="1040">
        <v>3.66</v>
      </c>
      <c r="G205" s="1019"/>
      <c r="H205" s="1255">
        <f t="shared" si="20"/>
        <v>0</v>
      </c>
      <c r="I205" s="1517"/>
      <c r="J205" s="1020" t="str">
        <f>VLOOKUP(B205,[25]!Table2[[Column2]:[Column6]],4,FALSE)</f>
        <v>A2</v>
      </c>
      <c r="K205" s="1020">
        <f t="shared" si="21"/>
        <v>0.7</v>
      </c>
      <c r="L205" s="1021">
        <v>20</v>
      </c>
      <c r="M205" s="1021">
        <f>VLOOKUP(B205,'[26]CN BC'!$F$10:$H$267,3,FALSE)</f>
        <v>20</v>
      </c>
      <c r="N205" s="1021">
        <f t="shared" si="22"/>
        <v>20</v>
      </c>
      <c r="O205" s="1035"/>
      <c r="P205" s="1023">
        <f t="shared" si="23"/>
        <v>5995080</v>
      </c>
      <c r="Q205" s="1515">
        <f t="shared" si="25"/>
        <v>2.5619999999999998</v>
      </c>
      <c r="R205" s="1429">
        <v>2340000</v>
      </c>
      <c r="S205" s="1486">
        <f t="shared" si="26"/>
        <v>5995080</v>
      </c>
      <c r="T205" s="1024">
        <f t="shared" si="24"/>
        <v>181</v>
      </c>
      <c r="U205" s="1025">
        <f>VLOOKUP(B205,'[26]CN BC'!$F$10:$K$267,6,FALSE)</f>
        <v>0</v>
      </c>
      <c r="V205" s="1038"/>
      <c r="W205" s="1489"/>
    </row>
    <row r="206" spans="1:30" s="1028" customFormat="1" ht="30" customHeight="1">
      <c r="A206" s="1014">
        <f>_xlfn.AGGREGATE(4,7,A$24:A205)+1</f>
        <v>182</v>
      </c>
      <c r="B206" s="1015" t="s">
        <v>1530</v>
      </c>
      <c r="C206" s="1033" t="s">
        <v>1773</v>
      </c>
      <c r="D206" s="1057">
        <v>1603205357641</v>
      </c>
      <c r="E206" s="368" t="str">
        <f>VLOOKUP(B206,TH.Q2!B115:E446,4,FALSE)</f>
        <v>Giảng viên khoa Cơ khí</v>
      </c>
      <c r="F206" s="1040">
        <v>3.66</v>
      </c>
      <c r="G206" s="1019"/>
      <c r="H206" s="1255">
        <f t="shared" si="20"/>
        <v>0</v>
      </c>
      <c r="I206" s="1020"/>
      <c r="J206" s="1020" t="str">
        <f>VLOOKUP(B206,[25]!Table2[[Column2]:[Column6]],4,FALSE)</f>
        <v>A4</v>
      </c>
      <c r="K206" s="1020">
        <f t="shared" si="21"/>
        <v>0.5</v>
      </c>
      <c r="L206" s="1021">
        <v>20</v>
      </c>
      <c r="M206" s="1021">
        <f>VLOOKUP(B206,'[26]CN BC'!$F$10:$H$267,3,FALSE)</f>
        <v>20</v>
      </c>
      <c r="N206" s="1021">
        <f t="shared" si="22"/>
        <v>20</v>
      </c>
      <c r="O206" s="1035"/>
      <c r="P206" s="1023">
        <f t="shared" si="23"/>
        <v>4282200</v>
      </c>
      <c r="Q206" s="1515">
        <f t="shared" si="25"/>
        <v>1.83</v>
      </c>
      <c r="R206" s="1429">
        <v>2340000</v>
      </c>
      <c r="S206" s="1486">
        <f t="shared" si="26"/>
        <v>4282200</v>
      </c>
      <c r="T206" s="1024">
        <f t="shared" si="24"/>
        <v>182</v>
      </c>
      <c r="U206" s="1025">
        <f>VLOOKUP(B206,'[26]CN BC'!$F$10:$K$267,6,FALSE)</f>
        <v>0</v>
      </c>
      <c r="V206" s="1038"/>
      <c r="W206" s="1489"/>
    </row>
    <row r="207" spans="1:30" s="1028" customFormat="1" ht="25.9" customHeight="1">
      <c r="A207" s="1014">
        <f>_xlfn.AGGREGATE(4,7,A$24:A206)+1</f>
        <v>183</v>
      </c>
      <c r="B207" s="1015" t="s">
        <v>1531</v>
      </c>
      <c r="C207" s="1029" t="s">
        <v>1774</v>
      </c>
      <c r="D207" s="1057">
        <v>1603205357120</v>
      </c>
      <c r="E207" s="81" t="str">
        <f>VLOOKUP(B207,TH.Q2!B116:E447,4,FALSE)</f>
        <v>Giảng viên khoa Cơ khí</v>
      </c>
      <c r="F207" s="1040">
        <v>3.33</v>
      </c>
      <c r="G207" s="1019"/>
      <c r="H207" s="1248">
        <f t="shared" si="20"/>
        <v>0</v>
      </c>
      <c r="I207" s="1020"/>
      <c r="J207" s="1020" t="str">
        <f>VLOOKUP(B207,[25]!Table2[[Column2]:[Column6]],4,FALSE)</f>
        <v>A3</v>
      </c>
      <c r="K207" s="1020">
        <f t="shared" si="21"/>
        <v>0.6</v>
      </c>
      <c r="L207" s="1021">
        <v>20</v>
      </c>
      <c r="M207" s="1021">
        <f>VLOOKUP(B207,'[26]CN BC'!$F$10:$H$267,3,FALSE)</f>
        <v>20</v>
      </c>
      <c r="N207" s="1021">
        <f t="shared" si="22"/>
        <v>20</v>
      </c>
      <c r="O207" s="1022"/>
      <c r="P207" s="1023">
        <f t="shared" si="23"/>
        <v>4675320</v>
      </c>
      <c r="Q207" s="1515">
        <f t="shared" si="25"/>
        <v>1.998</v>
      </c>
      <c r="R207" s="1429">
        <v>2340000</v>
      </c>
      <c r="S207" s="1486">
        <f t="shared" si="26"/>
        <v>4675320</v>
      </c>
      <c r="T207" s="1024">
        <f t="shared" si="24"/>
        <v>183</v>
      </c>
      <c r="U207" s="1025">
        <f>VLOOKUP(B207,'[26]CN BC'!$F$10:$K$267,6,FALSE)</f>
        <v>0</v>
      </c>
      <c r="V207" s="1027"/>
      <c r="W207" s="1489"/>
      <c r="X207" s="1012"/>
      <c r="Y207" s="1012"/>
      <c r="Z207" s="1012"/>
      <c r="AA207" s="1012"/>
      <c r="AB207" s="1012"/>
      <c r="AC207" s="1012"/>
      <c r="AD207" s="1012"/>
    </row>
    <row r="208" spans="1:30" s="1028" customFormat="1" ht="32.25" customHeight="1">
      <c r="A208" s="1014">
        <f>_xlfn.AGGREGATE(4,7,A$24:A207)+1</f>
        <v>184</v>
      </c>
      <c r="B208" s="1015" t="s">
        <v>1895</v>
      </c>
      <c r="C208" s="1033" t="s">
        <v>1775</v>
      </c>
      <c r="D208" s="1034" t="s">
        <v>1261</v>
      </c>
      <c r="E208" s="368" t="str">
        <f>VLOOKUP(B208,TH.Q2!B117:E448,4,FALSE)</f>
        <v>Giảng viên khoa Cơ khí</v>
      </c>
      <c r="F208" s="1018">
        <v>4.9800000000000004</v>
      </c>
      <c r="G208" s="1019">
        <v>0.09</v>
      </c>
      <c r="H208" s="1255">
        <f t="shared" si="20"/>
        <v>0.44800000000000001</v>
      </c>
      <c r="I208" s="1020"/>
      <c r="J208" s="1020" t="str">
        <f>VLOOKUP(B208,[25]!Table2[[Column2]:[Column6]],4,FALSE)</f>
        <v>A4</v>
      </c>
      <c r="K208" s="1020">
        <f t="shared" si="21"/>
        <v>0.5</v>
      </c>
      <c r="L208" s="1021">
        <v>20</v>
      </c>
      <c r="M208" s="1021">
        <f>VLOOKUP(B208,'[26]CN BC'!$F$10:$H$267,3,FALSE)</f>
        <v>20</v>
      </c>
      <c r="N208" s="1021">
        <f t="shared" si="22"/>
        <v>20</v>
      </c>
      <c r="O208" s="1035"/>
      <c r="P208" s="1023">
        <f t="shared" si="23"/>
        <v>6350760.0000000009</v>
      </c>
      <c r="Q208" s="1515">
        <f t="shared" si="25"/>
        <v>2.7140000000000004</v>
      </c>
      <c r="R208" s="1429">
        <v>2340000</v>
      </c>
      <c r="S208" s="1486">
        <f t="shared" si="26"/>
        <v>6350760.0000000009</v>
      </c>
      <c r="T208" s="1024">
        <f t="shared" si="24"/>
        <v>184</v>
      </c>
      <c r="U208" s="1025">
        <f>VLOOKUP(B208,'[26]CN BC'!$F$10:$K$267,6,FALSE)</f>
        <v>0</v>
      </c>
      <c r="V208" s="1038"/>
      <c r="W208" s="1489"/>
    </row>
    <row r="209" spans="1:30" s="1028" customFormat="1" ht="29.25" customHeight="1">
      <c r="A209" s="1014">
        <f>_xlfn.AGGREGATE(4,7,A$24:A208)+1</f>
        <v>185</v>
      </c>
      <c r="B209" s="1015" t="s">
        <v>1532</v>
      </c>
      <c r="C209" s="1029" t="s">
        <v>1777</v>
      </c>
      <c r="D209" s="1030" t="s">
        <v>1594</v>
      </c>
      <c r="E209" s="81" t="str">
        <f>VLOOKUP(B209,TH.Q2!B119:E450,4,FALSE)</f>
        <v>Giảng viên khoa Cơ khí</v>
      </c>
      <c r="F209" s="1040">
        <v>3.66</v>
      </c>
      <c r="G209" s="1019"/>
      <c r="H209" s="1248">
        <f t="shared" si="20"/>
        <v>0</v>
      </c>
      <c r="I209" s="1020"/>
      <c r="J209" s="1020" t="str">
        <f>VLOOKUP(B209,[25]!Table2[[Column2]:[Column6]],4,FALSE)</f>
        <v>A1</v>
      </c>
      <c r="K209" s="1020">
        <f t="shared" si="21"/>
        <v>0.8</v>
      </c>
      <c r="L209" s="1021">
        <v>20</v>
      </c>
      <c r="M209" s="1021">
        <f>VLOOKUP(B209,'[26]CN BC'!$F$10:$H$267,3,FALSE)</f>
        <v>20</v>
      </c>
      <c r="N209" s="1021">
        <f t="shared" si="22"/>
        <v>20</v>
      </c>
      <c r="O209" s="1022"/>
      <c r="P209" s="1023">
        <f t="shared" si="23"/>
        <v>6851520</v>
      </c>
      <c r="Q209" s="1515">
        <f t="shared" si="25"/>
        <v>2.9279999999999999</v>
      </c>
      <c r="R209" s="1429">
        <v>2340000</v>
      </c>
      <c r="S209" s="1486">
        <f t="shared" si="26"/>
        <v>6851520</v>
      </c>
      <c r="T209" s="1024">
        <f t="shared" si="24"/>
        <v>185</v>
      </c>
      <c r="U209" s="1025">
        <f>VLOOKUP(B209,'[26]CN BC'!$F$10:$K$267,6,FALSE)</f>
        <v>0</v>
      </c>
      <c r="V209" s="1027"/>
      <c r="W209" s="1489"/>
      <c r="X209" s="1012"/>
      <c r="Y209" s="1012"/>
      <c r="Z209" s="1012"/>
      <c r="AA209" s="1012"/>
      <c r="AB209" s="1012"/>
      <c r="AC209" s="1012"/>
      <c r="AD209" s="1012"/>
    </row>
    <row r="210" spans="1:30" s="1028" customFormat="1" ht="25.5" customHeight="1">
      <c r="A210" s="1014">
        <f>_xlfn.AGGREGATE(4,7,A$24:A209)+1</f>
        <v>186</v>
      </c>
      <c r="B210" s="1015" t="s">
        <v>1608</v>
      </c>
      <c r="C210" s="1107" t="s">
        <v>1968</v>
      </c>
      <c r="D210" s="1039">
        <v>1603215003955</v>
      </c>
      <c r="E210" s="81" t="str">
        <f>VLOOKUP(B210,TH.Q2!B120:E451,4,FALSE)</f>
        <v>Giảng viên khoa Cơ khí</v>
      </c>
      <c r="F210" s="1040">
        <v>3.33</v>
      </c>
      <c r="G210" s="1049"/>
      <c r="H210" s="1248">
        <f t="shared" si="20"/>
        <v>0</v>
      </c>
      <c r="I210" s="1020"/>
      <c r="J210" s="1020" t="str">
        <f>VLOOKUP(B210,[25]!Table2[[Column2]:[Column6]],4,FALSE)</f>
        <v>A4</v>
      </c>
      <c r="K210" s="1020">
        <f t="shared" si="21"/>
        <v>0.5</v>
      </c>
      <c r="L210" s="1021">
        <v>20</v>
      </c>
      <c r="M210" s="1021">
        <f>VLOOKUP(B210,'[26]CN BC'!$F$10:$H$267,3,FALSE)</f>
        <v>20</v>
      </c>
      <c r="N210" s="1021">
        <f t="shared" si="22"/>
        <v>20</v>
      </c>
      <c r="O210" s="1022"/>
      <c r="P210" s="1023">
        <f t="shared" si="23"/>
        <v>3896100</v>
      </c>
      <c r="Q210" s="1515">
        <f t="shared" si="25"/>
        <v>1.665</v>
      </c>
      <c r="R210" s="1429">
        <v>2340000</v>
      </c>
      <c r="S210" s="1486">
        <f t="shared" si="26"/>
        <v>3896100</v>
      </c>
      <c r="T210" s="1024">
        <f t="shared" si="24"/>
        <v>186</v>
      </c>
      <c r="U210" s="1025">
        <f>VLOOKUP(B210,'[26]CN BC'!$F$10:$K$267,6,FALSE)</f>
        <v>0</v>
      </c>
      <c r="V210" s="1027"/>
      <c r="W210" s="1489"/>
      <c r="X210" s="1012"/>
      <c r="Y210" s="1012"/>
      <c r="Z210" s="1012"/>
    </row>
    <row r="211" spans="1:30" s="1028" customFormat="1" ht="24.75" customHeight="1">
      <c r="A211" s="1014">
        <f>_xlfn.AGGREGATE(4,7,A$24:A210)+1</f>
        <v>187</v>
      </c>
      <c r="B211" s="1015" t="s">
        <v>1835</v>
      </c>
      <c r="C211" s="1033" t="s">
        <v>1970</v>
      </c>
      <c r="D211" s="1108" t="s">
        <v>1969</v>
      </c>
      <c r="E211" s="81" t="str">
        <f>VLOOKUP(B211,TH.Q2!B121:E452,4,FALSE)</f>
        <v>Giảng viên khoa Cơ khí</v>
      </c>
      <c r="F211" s="1040">
        <v>3</v>
      </c>
      <c r="G211" s="1049"/>
      <c r="H211" s="1248">
        <f t="shared" si="20"/>
        <v>0</v>
      </c>
      <c r="I211" s="1020"/>
      <c r="J211" s="1020" t="str">
        <f>VLOOKUP(B211,[25]!Table2[[Column2]:[Column6]],4,FALSE)</f>
        <v>A2</v>
      </c>
      <c r="K211" s="1020">
        <f t="shared" si="21"/>
        <v>0.7</v>
      </c>
      <c r="L211" s="1021">
        <v>20</v>
      </c>
      <c r="M211" s="1021">
        <f>VLOOKUP(B211,'[26]CN BC'!$F$10:$H$267,3,FALSE)</f>
        <v>20</v>
      </c>
      <c r="N211" s="1021">
        <f t="shared" si="22"/>
        <v>20</v>
      </c>
      <c r="O211" s="1022"/>
      <c r="P211" s="1023">
        <f t="shared" si="23"/>
        <v>4914000</v>
      </c>
      <c r="Q211" s="1515">
        <f t="shared" si="25"/>
        <v>2.1</v>
      </c>
      <c r="R211" s="1429">
        <v>2340000</v>
      </c>
      <c r="S211" s="1486">
        <f t="shared" si="26"/>
        <v>4914000</v>
      </c>
      <c r="T211" s="1024">
        <f t="shared" si="24"/>
        <v>187</v>
      </c>
      <c r="U211" s="1025">
        <f>VLOOKUP(B211,'[26]CN BC'!$F$10:$K$267,6,FALSE)</f>
        <v>0</v>
      </c>
      <c r="V211" s="1027"/>
      <c r="W211" s="1489"/>
      <c r="X211" s="1012"/>
      <c r="Y211" s="1012"/>
      <c r="Z211" s="1012"/>
    </row>
    <row r="212" spans="1:30" s="1028" customFormat="1" ht="29.25" customHeight="1">
      <c r="A212" s="1014">
        <f>_xlfn.AGGREGATE(4,7,A$24:A211)+1</f>
        <v>188</v>
      </c>
      <c r="B212" s="1015" t="s">
        <v>1897</v>
      </c>
      <c r="C212" s="1033" t="s">
        <v>1670</v>
      </c>
      <c r="D212" s="1034" t="s">
        <v>1286</v>
      </c>
      <c r="E212" s="81" t="str">
        <f>VLOOKUP(B212,TH.Q2!B122:E453,4,FALSE)</f>
        <v>Giảng viên khoa Cơ khí</v>
      </c>
      <c r="F212" s="1018">
        <v>4.9800000000000004</v>
      </c>
      <c r="G212" s="1019">
        <v>0.13</v>
      </c>
      <c r="H212" s="1248">
        <f t="shared" si="20"/>
        <v>0.64700000000000002</v>
      </c>
      <c r="I212" s="1020"/>
      <c r="J212" s="1020" t="str">
        <f>VLOOKUP(B212,[25]!Table2[[Column2]:[Column6]],4,FALSE)</f>
        <v>A4</v>
      </c>
      <c r="K212" s="1020">
        <f t="shared" si="21"/>
        <v>0.5</v>
      </c>
      <c r="L212" s="1021">
        <v>20</v>
      </c>
      <c r="M212" s="1021">
        <f>VLOOKUP(B212,'[26]CN BC'!$F$10:$H$267,3,FALSE)</f>
        <v>20</v>
      </c>
      <c r="N212" s="1021">
        <f t="shared" si="22"/>
        <v>20</v>
      </c>
      <c r="O212" s="1022"/>
      <c r="P212" s="1023">
        <f t="shared" si="23"/>
        <v>6583590.0000000009</v>
      </c>
      <c r="Q212" s="1515">
        <f t="shared" si="25"/>
        <v>2.8135000000000003</v>
      </c>
      <c r="R212" s="1429">
        <v>2340000</v>
      </c>
      <c r="S212" s="1486">
        <f t="shared" si="26"/>
        <v>6583590.0000000009</v>
      </c>
      <c r="T212" s="1024">
        <f t="shared" si="24"/>
        <v>188</v>
      </c>
      <c r="U212" s="1025">
        <f>VLOOKUP(B212,'[26]CN BC'!$F$10:$K$267,6,FALSE)</f>
        <v>0</v>
      </c>
      <c r="V212" s="1038"/>
      <c r="W212" s="1489"/>
    </row>
    <row r="213" spans="1:30" s="1028" customFormat="1" ht="25.5" customHeight="1">
      <c r="A213" s="1014">
        <f>_xlfn.AGGREGATE(4,7,A$24:A212)+1</f>
        <v>189</v>
      </c>
      <c r="B213" s="1015" t="s">
        <v>1840</v>
      </c>
      <c r="C213" s="1033" t="s">
        <v>1971</v>
      </c>
      <c r="D213" s="1039">
        <v>1603205596180</v>
      </c>
      <c r="E213" s="81" t="str">
        <f>VLOOKUP(B213,TH.Q2!B123:E454,4,FALSE)</f>
        <v>Giảng viên khoa Cơ khí</v>
      </c>
      <c r="F213" s="1040">
        <v>3</v>
      </c>
      <c r="G213" s="1019"/>
      <c r="H213" s="1248">
        <f t="shared" si="20"/>
        <v>0</v>
      </c>
      <c r="I213" s="1020"/>
      <c r="J213" s="1020" t="str">
        <f>VLOOKUP(B213,[25]!Table2[[Column2]:[Column6]],4,FALSE)</f>
        <v>A1</v>
      </c>
      <c r="K213" s="1020">
        <f t="shared" si="21"/>
        <v>0.8</v>
      </c>
      <c r="L213" s="1021">
        <v>20</v>
      </c>
      <c r="M213" s="1021">
        <f>VLOOKUP(B213,'[26]CN BC'!$F$10:$H$267,3,FALSE)</f>
        <v>20</v>
      </c>
      <c r="N213" s="1021">
        <f t="shared" si="22"/>
        <v>20</v>
      </c>
      <c r="O213" s="1022"/>
      <c r="P213" s="1023">
        <f t="shared" si="23"/>
        <v>5616000</v>
      </c>
      <c r="Q213" s="1515">
        <f t="shared" si="25"/>
        <v>2.4</v>
      </c>
      <c r="R213" s="1429">
        <v>2340000</v>
      </c>
      <c r="S213" s="1486">
        <f t="shared" si="26"/>
        <v>5616000</v>
      </c>
      <c r="T213" s="1024">
        <f t="shared" si="24"/>
        <v>189</v>
      </c>
      <c r="U213" s="1025">
        <f>VLOOKUP(B213,'[26]CN BC'!$F$10:$K$267,6,FALSE)</f>
        <v>0</v>
      </c>
      <c r="V213" s="1027"/>
      <c r="W213" s="1489"/>
      <c r="X213" s="1012"/>
      <c r="Y213" s="1012"/>
      <c r="Z213" s="1012"/>
    </row>
    <row r="214" spans="1:30" s="1028" customFormat="1" ht="24.75" customHeight="1">
      <c r="A214" s="1014">
        <f>_xlfn.AGGREGATE(4,7,A$24:A213)+1</f>
        <v>190</v>
      </c>
      <c r="B214" s="1015" t="s">
        <v>1943</v>
      </c>
      <c r="C214" s="1033" t="s">
        <v>1972</v>
      </c>
      <c r="D214" s="1034"/>
      <c r="E214" s="81" t="str">
        <f>VLOOKUP(B214,TH.Q2!B124:E455,4,FALSE)</f>
        <v>Giảng viên khoa Cơ khí</v>
      </c>
      <c r="F214" s="1040">
        <v>3.33</v>
      </c>
      <c r="G214" s="1019"/>
      <c r="H214" s="1248">
        <f t="shared" si="20"/>
        <v>0</v>
      </c>
      <c r="I214" s="1020"/>
      <c r="J214" s="1020" t="str">
        <f>VLOOKUP(B214,[25]!Table2[[Column2]:[Column6]],4,FALSE)</f>
        <v>A1</v>
      </c>
      <c r="K214" s="1020">
        <f t="shared" si="21"/>
        <v>0.8</v>
      </c>
      <c r="L214" s="1021">
        <v>20</v>
      </c>
      <c r="M214" s="1021">
        <f>VLOOKUP(B214,'[26]CN BC'!$F$10:$H$267,3,FALSE)</f>
        <v>20</v>
      </c>
      <c r="N214" s="1021">
        <f t="shared" si="22"/>
        <v>20</v>
      </c>
      <c r="O214" s="1022"/>
      <c r="P214" s="1023">
        <f t="shared" si="23"/>
        <v>6233760</v>
      </c>
      <c r="Q214" s="1515">
        <f t="shared" si="25"/>
        <v>2.6640000000000001</v>
      </c>
      <c r="R214" s="1429">
        <v>2340000</v>
      </c>
      <c r="S214" s="1486">
        <f t="shared" si="26"/>
        <v>6233760</v>
      </c>
      <c r="T214" s="1024">
        <f t="shared" ref="T214:T277" si="27">A214</f>
        <v>190</v>
      </c>
      <c r="U214" s="1025">
        <f>VLOOKUP(B214,'[26]CN BC'!$F$10:$K$267,6,FALSE)</f>
        <v>0</v>
      </c>
      <c r="V214" s="1038"/>
      <c r="W214" s="1489"/>
    </row>
    <row r="215" spans="1:30" s="1028" customFormat="1" ht="26.25" customHeight="1">
      <c r="A215" s="1014">
        <f>_xlfn.AGGREGATE(4,7,A$24:A214)+1</f>
        <v>191</v>
      </c>
      <c r="B215" s="1015" t="s">
        <v>1994</v>
      </c>
      <c r="C215" s="1033"/>
      <c r="D215" s="1034"/>
      <c r="E215" s="81" t="str">
        <f>VLOOKUP(B215,TH.Q2!B125:E456,4,FALSE)</f>
        <v>Giảng viên khoa Cơ khí</v>
      </c>
      <c r="F215" s="1018">
        <v>4.6500000000000004</v>
      </c>
      <c r="G215" s="1019"/>
      <c r="H215" s="1248">
        <f t="shared" si="20"/>
        <v>0</v>
      </c>
      <c r="I215" s="1020"/>
      <c r="J215" s="1020" t="str">
        <f>VLOOKUP(B215,[25]!Table2[[Column2]:[Column6]],4,FALSE)</f>
        <v>A4</v>
      </c>
      <c r="K215" s="1020">
        <f t="shared" si="21"/>
        <v>0.5</v>
      </c>
      <c r="L215" s="1021">
        <v>20</v>
      </c>
      <c r="M215" s="1021">
        <f>VLOOKUP(B215,'[26]CN BC'!$F$10:$H$267,3,FALSE)</f>
        <v>20</v>
      </c>
      <c r="N215" s="1021">
        <f t="shared" ref="N215:N278" si="28">IF(M215&gt;=L215,L215,IF(M215&lt;L215,M215))</f>
        <v>20</v>
      </c>
      <c r="O215" s="1022"/>
      <c r="P215" s="1023">
        <f t="shared" ref="P215:P278" si="29">(((F215+H215+I215)*$P$21/L215*N215)*K215)+O215</f>
        <v>5440500</v>
      </c>
      <c r="Q215" s="1515">
        <f t="shared" si="25"/>
        <v>2.3250000000000002</v>
      </c>
      <c r="R215" s="1429">
        <v>2340000</v>
      </c>
      <c r="S215" s="1486">
        <f t="shared" si="26"/>
        <v>5440500</v>
      </c>
      <c r="T215" s="1024">
        <f t="shared" si="27"/>
        <v>191</v>
      </c>
      <c r="U215" s="1025">
        <f>VLOOKUP(B215,'[26]CN BC'!$F$10:$K$267,6,FALSE)</f>
        <v>0</v>
      </c>
      <c r="V215" s="1027"/>
      <c r="W215" s="1489"/>
      <c r="X215" s="1012"/>
      <c r="Y215" s="1012"/>
      <c r="Z215" s="1012"/>
    </row>
    <row r="216" spans="1:30" s="1028" customFormat="1" ht="25.5" customHeight="1">
      <c r="A216" s="1014">
        <f>_xlfn.AGGREGATE(4,7,A$24:A215)+1</f>
        <v>192</v>
      </c>
      <c r="B216" s="1015" t="s">
        <v>2000</v>
      </c>
      <c r="C216" s="1033"/>
      <c r="D216" s="1034"/>
      <c r="E216" s="81" t="str">
        <f>VLOOKUP(B216,TH.Q2!B126:E457,4,FALSE)</f>
        <v>Giảng viên khoa Cơ khí</v>
      </c>
      <c r="F216" s="1040">
        <v>3</v>
      </c>
      <c r="G216" s="1019"/>
      <c r="H216" s="1248">
        <f t="shared" si="20"/>
        <v>0</v>
      </c>
      <c r="I216" s="1020"/>
      <c r="J216" s="1020" t="str">
        <f>VLOOKUP(B216,[25]!Table2[[Column2]:[Column6]],4,FALSE)</f>
        <v>A3</v>
      </c>
      <c r="K216" s="1020">
        <f t="shared" si="21"/>
        <v>0.6</v>
      </c>
      <c r="L216" s="1021">
        <v>20</v>
      </c>
      <c r="M216" s="1021">
        <f>VLOOKUP(B216,'[26]CN BC'!$F$10:$H$267,3,FALSE)</f>
        <v>20</v>
      </c>
      <c r="N216" s="1021">
        <f t="shared" si="28"/>
        <v>20</v>
      </c>
      <c r="O216" s="1022"/>
      <c r="P216" s="1023">
        <f t="shared" si="29"/>
        <v>4212000</v>
      </c>
      <c r="Q216" s="1515">
        <f t="shared" si="25"/>
        <v>1.8</v>
      </c>
      <c r="R216" s="1429">
        <v>2340000</v>
      </c>
      <c r="S216" s="1486">
        <f t="shared" si="26"/>
        <v>4212000</v>
      </c>
      <c r="T216" s="1024">
        <f t="shared" si="27"/>
        <v>192</v>
      </c>
      <c r="U216" s="1025">
        <f>VLOOKUP(B216,'[26]CN BC'!$F$10:$K$267,6,FALSE)</f>
        <v>0</v>
      </c>
      <c r="V216" s="1038"/>
      <c r="W216" s="1489"/>
    </row>
    <row r="217" spans="1:30" s="1028" customFormat="1" ht="27" customHeight="1">
      <c r="A217" s="1014">
        <f>_xlfn.AGGREGATE(4,7,A$24:A216)+1</f>
        <v>193</v>
      </c>
      <c r="B217" s="1015" t="s">
        <v>1855</v>
      </c>
      <c r="C217" s="1033" t="s">
        <v>1651</v>
      </c>
      <c r="D217" s="1034" t="s">
        <v>1292</v>
      </c>
      <c r="E217" s="81" t="str">
        <f>VLOOKUP(B217,TH.Q2!B127:E458,4,FALSE)</f>
        <v>Giảng viên khoa Cơ khí</v>
      </c>
      <c r="F217" s="1018">
        <v>4.9800000000000004</v>
      </c>
      <c r="G217" s="1019">
        <v>0.08</v>
      </c>
      <c r="H217" s="1248">
        <f t="shared" ref="H217:H272" si="30">ROUND(F217*G217,3)</f>
        <v>0.39800000000000002</v>
      </c>
      <c r="I217" s="1020"/>
      <c r="J217" s="1020" t="str">
        <f>VLOOKUP(B217,[25]!Table2[[Column2]:[Column6]],4,FALSE)</f>
        <v>A3</v>
      </c>
      <c r="K217" s="1020">
        <f t="shared" ref="K217:K280" si="31">IF(J217="A1",0.8,IF(J217="A2",0.7,IF(J217="A3",0.6,IF(J217="A4",0.5,IF(J217="B1",0.35,IF(J217="B2",0.25,IF(J217="C1",0.15,IF(J217="C2",0.1,0))))))))</f>
        <v>0.6</v>
      </c>
      <c r="L217" s="1021">
        <v>20</v>
      </c>
      <c r="M217" s="1021">
        <f>VLOOKUP(B217,'[26]CN BC'!$F$10:$H$267,3,FALSE)</f>
        <v>20</v>
      </c>
      <c r="N217" s="1021">
        <f t="shared" si="28"/>
        <v>20</v>
      </c>
      <c r="O217" s="1022"/>
      <c r="P217" s="1023">
        <f t="shared" si="29"/>
        <v>7550712</v>
      </c>
      <c r="Q217" s="1515">
        <f t="shared" si="25"/>
        <v>3.2267999999999999</v>
      </c>
      <c r="R217" s="1429">
        <v>2340000</v>
      </c>
      <c r="S217" s="1486">
        <f t="shared" si="26"/>
        <v>7550712</v>
      </c>
      <c r="T217" s="1024">
        <f t="shared" si="27"/>
        <v>193</v>
      </c>
      <c r="U217" s="1025">
        <f>VLOOKUP(B217,'[26]CN BC'!$F$10:$K$267,6,FALSE)</f>
        <v>0</v>
      </c>
      <c r="V217" s="1038"/>
      <c r="W217" s="1489"/>
    </row>
    <row r="218" spans="1:30" s="1012" customFormat="1" ht="25.5" customHeight="1">
      <c r="A218" s="1014">
        <f>_xlfn.AGGREGATE(4,7,A$24:A217)+1</f>
        <v>194</v>
      </c>
      <c r="B218" s="1050" t="s">
        <v>1898</v>
      </c>
      <c r="C218" s="1029" t="s">
        <v>1781</v>
      </c>
      <c r="D218" s="1051" t="s">
        <v>1386</v>
      </c>
      <c r="E218" s="81" t="str">
        <f>VLOOKUP(B218,TH.Q2!B128:E459,4,FALSE)</f>
        <v>Trưởng khoa Điện - Điện tử</v>
      </c>
      <c r="F218" s="1052">
        <v>4.9800000000000004</v>
      </c>
      <c r="G218" s="1053"/>
      <c r="H218" s="1248">
        <f t="shared" si="30"/>
        <v>0</v>
      </c>
      <c r="I218" s="1020">
        <v>0.45</v>
      </c>
      <c r="J218" s="1020" t="str">
        <f>VLOOKUP(B218,[25]!Table2[[Column2]:[Column6]],4,FALSE)</f>
        <v>A2</v>
      </c>
      <c r="K218" s="1020">
        <f t="shared" si="31"/>
        <v>0.7</v>
      </c>
      <c r="L218" s="1021">
        <v>20</v>
      </c>
      <c r="M218" s="1021">
        <f>VLOOKUP(B218,'[26]CN BC'!$F$10:$H$267,3,FALSE)</f>
        <v>20</v>
      </c>
      <c r="N218" s="1021">
        <f t="shared" si="28"/>
        <v>20</v>
      </c>
      <c r="O218" s="1022"/>
      <c r="P218" s="1023">
        <f t="shared" si="29"/>
        <v>8894340</v>
      </c>
      <c r="Q218" s="1515">
        <f t="shared" ref="Q218:Q281" si="32">P218/R218</f>
        <v>3.8010000000000002</v>
      </c>
      <c r="R218" s="1429">
        <v>2340000</v>
      </c>
      <c r="S218" s="1486">
        <f t="shared" ref="S218:S281" si="33">Q218*R218</f>
        <v>8894340</v>
      </c>
      <c r="T218" s="1024">
        <f t="shared" si="27"/>
        <v>194</v>
      </c>
      <c r="U218" s="1025">
        <f>VLOOKUP(B218,'[26]CN BC'!$F$10:$K$267,6,FALSE)</f>
        <v>0</v>
      </c>
      <c r="V218" s="1027"/>
      <c r="W218" s="1489"/>
    </row>
    <row r="219" spans="1:30" s="1028" customFormat="1" ht="27.75" customHeight="1">
      <c r="A219" s="1014">
        <f>_xlfn.AGGREGATE(4,7,A$24:A218)+1</f>
        <v>195</v>
      </c>
      <c r="B219" s="1015" t="s">
        <v>526</v>
      </c>
      <c r="C219" s="1029" t="s">
        <v>1646</v>
      </c>
      <c r="D219" s="1034" t="s">
        <v>1398</v>
      </c>
      <c r="E219" s="81" t="str">
        <f>VLOOKUP(B219,TH.Q2!B129:E460,4,FALSE)</f>
        <v>Phó Trưởng khoa Điện - Điện tử</v>
      </c>
      <c r="F219" s="1018">
        <v>4.9800000000000004</v>
      </c>
      <c r="G219" s="1019">
        <v>0.17</v>
      </c>
      <c r="H219" s="1248">
        <f t="shared" si="30"/>
        <v>0.84699999999999998</v>
      </c>
      <c r="I219" s="1020">
        <f>0.35</f>
        <v>0.35</v>
      </c>
      <c r="J219" s="1020" t="str">
        <f>VLOOKUP(B219,[25]!Table2[[Column2]:[Column6]],4,FALSE)</f>
        <v>A3</v>
      </c>
      <c r="K219" s="1020">
        <f t="shared" si="31"/>
        <v>0.6</v>
      </c>
      <c r="L219" s="1021">
        <v>20</v>
      </c>
      <c r="M219" s="1021">
        <f>VLOOKUP(B219,'[26]CN BC'!$F$10:$H$267,3,FALSE)</f>
        <v>20</v>
      </c>
      <c r="N219" s="1021">
        <f t="shared" si="28"/>
        <v>20</v>
      </c>
      <c r="O219" s="1022"/>
      <c r="P219" s="1023">
        <f t="shared" si="29"/>
        <v>8672508</v>
      </c>
      <c r="Q219" s="1515">
        <f t="shared" si="32"/>
        <v>3.7061999999999999</v>
      </c>
      <c r="R219" s="1429">
        <v>2340000</v>
      </c>
      <c r="S219" s="1486">
        <f t="shared" si="33"/>
        <v>8672508</v>
      </c>
      <c r="T219" s="1024">
        <f t="shared" si="27"/>
        <v>195</v>
      </c>
      <c r="U219" s="1025">
        <f>VLOOKUP(B219,'[26]CN BC'!$F$10:$K$267,6,FALSE)</f>
        <v>0</v>
      </c>
      <c r="V219" s="1027"/>
      <c r="W219" s="1489"/>
      <c r="X219" s="1012"/>
      <c r="Y219" s="1012"/>
      <c r="Z219" s="1012"/>
      <c r="AA219" s="1012"/>
      <c r="AB219" s="1012"/>
      <c r="AC219" s="1012"/>
      <c r="AD219" s="1012"/>
    </row>
    <row r="220" spans="1:30" s="1028" customFormat="1" ht="24.75" customHeight="1">
      <c r="A220" s="1014">
        <f>_xlfn.AGGREGATE(4,7,A$24:A219)+1</f>
        <v>196</v>
      </c>
      <c r="B220" s="1015" t="s">
        <v>1899</v>
      </c>
      <c r="C220" s="1033" t="s">
        <v>1778</v>
      </c>
      <c r="D220" s="1034" t="s">
        <v>1381</v>
      </c>
      <c r="E220" s="368" t="str">
        <f>VLOOKUP(B220,TH.Q2!B130:E461,4,FALSE)</f>
        <v>Giảng viên khoa Điện - Điện tử</v>
      </c>
      <c r="F220" s="1018">
        <v>4.9800000000000004</v>
      </c>
      <c r="G220" s="1019">
        <v>0.08</v>
      </c>
      <c r="H220" s="1255">
        <f t="shared" si="30"/>
        <v>0.39800000000000002</v>
      </c>
      <c r="I220" s="1020"/>
      <c r="J220" s="1020" t="str">
        <f>VLOOKUP(B220,[25]!Table2[[Column2]:[Column6]],4,FALSE)</f>
        <v>A3</v>
      </c>
      <c r="K220" s="1020">
        <f t="shared" si="31"/>
        <v>0.6</v>
      </c>
      <c r="L220" s="1021">
        <v>20</v>
      </c>
      <c r="M220" s="1021">
        <f>VLOOKUP(B220,'[26]CN BC'!$F$10:$H$267,3,FALSE)</f>
        <v>20</v>
      </c>
      <c r="N220" s="1021">
        <f t="shared" si="28"/>
        <v>20</v>
      </c>
      <c r="O220" s="1035"/>
      <c r="P220" s="1023">
        <f t="shared" si="29"/>
        <v>7550712</v>
      </c>
      <c r="Q220" s="1515">
        <f t="shared" si="32"/>
        <v>3.2267999999999999</v>
      </c>
      <c r="R220" s="1429">
        <v>2340000</v>
      </c>
      <c r="S220" s="1486">
        <f t="shared" si="33"/>
        <v>7550712</v>
      </c>
      <c r="T220" s="1024">
        <f t="shared" si="27"/>
        <v>196</v>
      </c>
      <c r="U220" s="1025">
        <f>VLOOKUP(B220,'[26]CN BC'!$F$10:$K$267,6,FALSE)</f>
        <v>0</v>
      </c>
      <c r="V220" s="1038"/>
      <c r="W220" s="1489"/>
    </row>
    <row r="221" spans="1:30" s="1028" customFormat="1" ht="28.5" customHeight="1">
      <c r="A221" s="1014">
        <f>_xlfn.AGGREGATE(4,7,A$24:A220)+1</f>
        <v>197</v>
      </c>
      <c r="B221" s="1015" t="s">
        <v>461</v>
      </c>
      <c r="C221" s="1033" t="s">
        <v>1779</v>
      </c>
      <c r="D221" s="1034" t="s">
        <v>1384</v>
      </c>
      <c r="E221" s="368" t="str">
        <f>VLOOKUP(B221,TH.Q2!B131:E462,4,FALSE)</f>
        <v>Giảng viên khoa Điện - Điện tử</v>
      </c>
      <c r="F221" s="1018">
        <v>4.9800000000000004</v>
      </c>
      <c r="G221" s="1019">
        <v>7.0000000000000007E-2</v>
      </c>
      <c r="H221" s="1255">
        <f t="shared" si="30"/>
        <v>0.34899999999999998</v>
      </c>
      <c r="I221" s="1020"/>
      <c r="J221" s="1020" t="str">
        <f>VLOOKUP(B221,[25]!Table2[[Column2]:[Column6]],4,FALSE)</f>
        <v>A4</v>
      </c>
      <c r="K221" s="1020">
        <f t="shared" si="31"/>
        <v>0.5</v>
      </c>
      <c r="L221" s="1021">
        <v>20</v>
      </c>
      <c r="M221" s="1021">
        <f>VLOOKUP(B221,'[26]CN BC'!$F$10:$H$267,3,FALSE)</f>
        <v>20</v>
      </c>
      <c r="N221" s="1021">
        <f t="shared" si="28"/>
        <v>20</v>
      </c>
      <c r="O221" s="1035"/>
      <c r="P221" s="1023">
        <f t="shared" si="29"/>
        <v>6234930.0000000009</v>
      </c>
      <c r="Q221" s="1515">
        <f t="shared" si="32"/>
        <v>2.6645000000000003</v>
      </c>
      <c r="R221" s="1429">
        <v>2340000</v>
      </c>
      <c r="S221" s="1486">
        <f t="shared" si="33"/>
        <v>6234930.0000000009</v>
      </c>
      <c r="T221" s="1024">
        <f t="shared" si="27"/>
        <v>197</v>
      </c>
      <c r="U221" s="1025">
        <f>VLOOKUP(B221,'[26]CN BC'!$F$10:$K$267,6,FALSE)</f>
        <v>0</v>
      </c>
      <c r="V221" s="1038"/>
      <c r="W221" s="1489"/>
    </row>
    <row r="222" spans="1:30" s="1028" customFormat="1" ht="25.5" customHeight="1">
      <c r="A222" s="1014">
        <f>_xlfn.AGGREGATE(4,7,A$24:A221)+1</f>
        <v>198</v>
      </c>
      <c r="B222" s="1015" t="s">
        <v>1900</v>
      </c>
      <c r="C222" s="1033" t="s">
        <v>1780</v>
      </c>
      <c r="D222" s="1034" t="s">
        <v>1385</v>
      </c>
      <c r="E222" s="368" t="str">
        <f>VLOOKUP(B222,TH.Q2!B132:E463,4,FALSE)</f>
        <v>Giảng viên khoa Điện - Điện tử</v>
      </c>
      <c r="F222" s="1018">
        <v>4.9800000000000004</v>
      </c>
      <c r="G222" s="1019"/>
      <c r="H222" s="1255">
        <f t="shared" si="30"/>
        <v>0</v>
      </c>
      <c r="I222" s="1020"/>
      <c r="J222" s="1020" t="str">
        <f>VLOOKUP(B222,[25]!Table2[[Column2]:[Column6]],4,FALSE)</f>
        <v>A4</v>
      </c>
      <c r="K222" s="1020">
        <f t="shared" si="31"/>
        <v>0.5</v>
      </c>
      <c r="L222" s="1021">
        <v>20</v>
      </c>
      <c r="M222" s="1021">
        <f>VLOOKUP(B222,'[26]CN BC'!$F$10:$H$267,3,FALSE)</f>
        <v>20</v>
      </c>
      <c r="N222" s="1021">
        <f t="shared" si="28"/>
        <v>20</v>
      </c>
      <c r="O222" s="1035"/>
      <c r="P222" s="1023">
        <f t="shared" si="29"/>
        <v>5826600.0000000009</v>
      </c>
      <c r="Q222" s="1515">
        <f t="shared" si="32"/>
        <v>2.4900000000000002</v>
      </c>
      <c r="R222" s="1429">
        <v>2340000</v>
      </c>
      <c r="S222" s="1486">
        <f t="shared" si="33"/>
        <v>5826600.0000000009</v>
      </c>
      <c r="T222" s="1024">
        <f t="shared" si="27"/>
        <v>198</v>
      </c>
      <c r="U222" s="1025">
        <f>VLOOKUP(B222,'[26]CN BC'!$F$10:$K$267,6,FALSE)</f>
        <v>0</v>
      </c>
      <c r="V222" s="1038"/>
      <c r="W222" s="1489"/>
    </row>
    <row r="223" spans="1:30" s="1028" customFormat="1" ht="25.5" customHeight="1">
      <c r="A223" s="1014">
        <f>_xlfn.AGGREGATE(4,7,A$24:A222)+1</f>
        <v>199</v>
      </c>
      <c r="B223" s="1015" t="s">
        <v>1901</v>
      </c>
      <c r="C223" s="1033" t="s">
        <v>1782</v>
      </c>
      <c r="D223" s="1034" t="s">
        <v>1387</v>
      </c>
      <c r="E223" s="368" t="str">
        <f>VLOOKUP(B223,TH.Q2!B133:E464,4,FALSE)</f>
        <v>Giảng viên khoa Điện - Điện tử</v>
      </c>
      <c r="F223" s="1018">
        <v>4.6500000000000004</v>
      </c>
      <c r="G223" s="1019"/>
      <c r="H223" s="1255">
        <f t="shared" si="30"/>
        <v>0</v>
      </c>
      <c r="I223" s="1020"/>
      <c r="J223" s="1020" t="str">
        <f>VLOOKUP(B223,[25]!Table2[[Column2]:[Column6]],4,FALSE)</f>
        <v>A4</v>
      </c>
      <c r="K223" s="1020">
        <f t="shared" si="31"/>
        <v>0.5</v>
      </c>
      <c r="L223" s="1021">
        <v>20</v>
      </c>
      <c r="M223" s="1021">
        <f>VLOOKUP(B223,'[26]CN BC'!$F$10:$H$267,3,FALSE)</f>
        <v>20</v>
      </c>
      <c r="N223" s="1021">
        <f t="shared" si="28"/>
        <v>20</v>
      </c>
      <c r="O223" s="1035"/>
      <c r="P223" s="1023">
        <f t="shared" si="29"/>
        <v>5440500</v>
      </c>
      <c r="Q223" s="1515">
        <f t="shared" si="32"/>
        <v>2.3250000000000002</v>
      </c>
      <c r="R223" s="1429">
        <v>2340000</v>
      </c>
      <c r="S223" s="1486">
        <f t="shared" si="33"/>
        <v>5440500</v>
      </c>
      <c r="T223" s="1024">
        <f t="shared" si="27"/>
        <v>199</v>
      </c>
      <c r="U223" s="1025">
        <f>VLOOKUP(B223,'[26]CN BC'!$F$10:$K$267,6,FALSE)</f>
        <v>0</v>
      </c>
      <c r="V223" s="1038"/>
      <c r="W223" s="1489"/>
    </row>
    <row r="224" spans="1:30" s="1028" customFormat="1" ht="25.5" customHeight="1">
      <c r="A224" s="1014">
        <f>_xlfn.AGGREGATE(4,7,A$24:A223)+1</f>
        <v>200</v>
      </c>
      <c r="B224" s="1015" t="s">
        <v>1534</v>
      </c>
      <c r="C224" s="1033" t="s">
        <v>1783</v>
      </c>
      <c r="D224" s="1034" t="s">
        <v>1388</v>
      </c>
      <c r="E224" s="368" t="str">
        <f>VLOOKUP(B224,TH.Q2!B134:E465,4,FALSE)</f>
        <v>Giảng viên khoa
Điện - Điện tử</v>
      </c>
      <c r="F224" s="1018">
        <v>4.6500000000000004</v>
      </c>
      <c r="G224" s="1019"/>
      <c r="H224" s="1255">
        <f t="shared" si="30"/>
        <v>0</v>
      </c>
      <c r="I224" s="1020"/>
      <c r="J224" s="1020" t="str">
        <f>VLOOKUP(B224,[25]!Table2[[Column2]:[Column6]],4,FALSE)</f>
        <v>A4</v>
      </c>
      <c r="K224" s="1020">
        <f t="shared" si="31"/>
        <v>0.5</v>
      </c>
      <c r="L224" s="1021">
        <v>20</v>
      </c>
      <c r="M224" s="1021">
        <f>VLOOKUP(B224,'[26]CN BC'!$F$10:$H$267,3,FALSE)</f>
        <v>20</v>
      </c>
      <c r="N224" s="1021">
        <f t="shared" si="28"/>
        <v>20</v>
      </c>
      <c r="O224" s="1035"/>
      <c r="P224" s="1023">
        <f t="shared" si="29"/>
        <v>5440500</v>
      </c>
      <c r="Q224" s="1515">
        <f t="shared" si="32"/>
        <v>2.3250000000000002</v>
      </c>
      <c r="R224" s="1429">
        <v>2340000</v>
      </c>
      <c r="S224" s="1486">
        <f t="shared" si="33"/>
        <v>5440500</v>
      </c>
      <c r="T224" s="1024">
        <f t="shared" si="27"/>
        <v>200</v>
      </c>
      <c r="U224" s="1025">
        <f>VLOOKUP(B224,'[26]CN BC'!$F$10:$K$267,6,FALSE)</f>
        <v>0</v>
      </c>
      <c r="V224" s="1038"/>
      <c r="W224" s="1489"/>
    </row>
    <row r="225" spans="1:30" s="1028" customFormat="1" ht="25.5" customHeight="1">
      <c r="A225" s="1014">
        <f>_xlfn.AGGREGATE(4,7,A$24:A224)+1</f>
        <v>201</v>
      </c>
      <c r="B225" s="1015" t="s">
        <v>1535</v>
      </c>
      <c r="C225" s="1033" t="s">
        <v>1784</v>
      </c>
      <c r="D225" s="1030" t="s">
        <v>1595</v>
      </c>
      <c r="E225" s="368" t="str">
        <f>VLOOKUP(B225,TH.Q2!B135:E466,4,FALSE)</f>
        <v>Trưởng BM Cơ điện tử và Tự động hóa</v>
      </c>
      <c r="F225" s="1040">
        <v>3.66</v>
      </c>
      <c r="G225" s="1019"/>
      <c r="H225" s="1255">
        <f t="shared" si="30"/>
        <v>0</v>
      </c>
      <c r="I225" s="1020">
        <v>0.25</v>
      </c>
      <c r="J225" s="1020" t="str">
        <f>VLOOKUP(B225,[25]!Table2[[Column2]:[Column6]],4,FALSE)</f>
        <v>A1</v>
      </c>
      <c r="K225" s="1020">
        <f t="shared" si="31"/>
        <v>0.8</v>
      </c>
      <c r="L225" s="1021">
        <v>20</v>
      </c>
      <c r="M225" s="1021">
        <f>VLOOKUP(B225,'[26]CN BC'!$F$10:$H$267,3,FALSE)</f>
        <v>20</v>
      </c>
      <c r="N225" s="1021">
        <f t="shared" si="28"/>
        <v>20</v>
      </c>
      <c r="O225" s="1035"/>
      <c r="P225" s="1023">
        <f t="shared" si="29"/>
        <v>7319520</v>
      </c>
      <c r="Q225" s="1515">
        <f t="shared" si="32"/>
        <v>3.1280000000000001</v>
      </c>
      <c r="R225" s="1429">
        <v>2340000</v>
      </c>
      <c r="S225" s="1486">
        <f t="shared" si="33"/>
        <v>7319520</v>
      </c>
      <c r="T225" s="1024">
        <f t="shared" si="27"/>
        <v>201</v>
      </c>
      <c r="U225" s="1025">
        <f>VLOOKUP(B225,'[26]CN BC'!$F$10:$K$267,6,FALSE)</f>
        <v>0</v>
      </c>
      <c r="V225" s="1038"/>
      <c r="W225" s="1489"/>
    </row>
    <row r="226" spans="1:30" s="1028" customFormat="1" ht="24.75" customHeight="1">
      <c r="A226" s="1014">
        <f>_xlfn.AGGREGATE(4,7,A$24:A225)+1</f>
        <v>202</v>
      </c>
      <c r="B226" s="1101" t="s">
        <v>1903</v>
      </c>
      <c r="C226" s="1033" t="s">
        <v>1786</v>
      </c>
      <c r="D226" s="1034" t="s">
        <v>1392</v>
      </c>
      <c r="E226" s="81" t="str">
        <f>VLOOKUP(B226,TH.Q2!B136:E467,4,FALSE)</f>
        <v>Giảng viên khoa Điện - Điện tử</v>
      </c>
      <c r="F226" s="1040">
        <v>4.6500000000000004</v>
      </c>
      <c r="G226" s="1019"/>
      <c r="H226" s="1248">
        <f t="shared" si="30"/>
        <v>0</v>
      </c>
      <c r="I226" s="1020"/>
      <c r="J226" s="1020" t="str">
        <f>VLOOKUP(B226,[25]!Table2[[Column2]:[Column6]],4,FALSE)</f>
        <v>A4</v>
      </c>
      <c r="K226" s="1020">
        <f t="shared" si="31"/>
        <v>0.5</v>
      </c>
      <c r="L226" s="1021">
        <v>20</v>
      </c>
      <c r="M226" s="1021">
        <f>VLOOKUP(B226,'[26]CN BC'!$F$10:$H$267,3,FALSE)</f>
        <v>20</v>
      </c>
      <c r="N226" s="1021">
        <f t="shared" si="28"/>
        <v>20</v>
      </c>
      <c r="O226" s="1022"/>
      <c r="P226" s="1023">
        <f t="shared" si="29"/>
        <v>5440500</v>
      </c>
      <c r="Q226" s="1515">
        <f t="shared" si="32"/>
        <v>2.3250000000000002</v>
      </c>
      <c r="R226" s="1429">
        <v>2340000</v>
      </c>
      <c r="S226" s="1486">
        <f t="shared" si="33"/>
        <v>5440500</v>
      </c>
      <c r="T226" s="1024">
        <f t="shared" si="27"/>
        <v>202</v>
      </c>
      <c r="U226" s="1025">
        <f>VLOOKUP(B226,'[26]CN BC'!$F$10:$K$267,6,FALSE)</f>
        <v>0</v>
      </c>
      <c r="V226" s="1027"/>
      <c r="W226" s="1489"/>
      <c r="X226" s="1012"/>
      <c r="Y226" s="1012"/>
      <c r="Z226" s="1012"/>
    </row>
    <row r="227" spans="1:30" s="1028" customFormat="1" ht="24.75" customHeight="1">
      <c r="A227" s="1014">
        <f>_xlfn.AGGREGATE(4,7,A$24:A226)+1</f>
        <v>203</v>
      </c>
      <c r="B227" s="1015" t="s">
        <v>1904</v>
      </c>
      <c r="C227" s="1029" t="s">
        <v>1787</v>
      </c>
      <c r="D227" s="1034" t="s">
        <v>1396</v>
      </c>
      <c r="E227" s="81" t="str">
        <f>VLOOKUP(B227,TH.Q2!B137:E468,4,FALSE)</f>
        <v>Giảng viên khoa Điện - Điện tử</v>
      </c>
      <c r="F227" s="1018">
        <v>4.9800000000000004</v>
      </c>
      <c r="G227" s="1019"/>
      <c r="H227" s="1248">
        <f t="shared" si="30"/>
        <v>0</v>
      </c>
      <c r="I227" s="1020"/>
      <c r="J227" s="1020" t="str">
        <f>VLOOKUP(B227,[25]!Table2[[Column2]:[Column6]],4,FALSE)</f>
        <v>A4</v>
      </c>
      <c r="K227" s="1020">
        <f t="shared" si="31"/>
        <v>0.5</v>
      </c>
      <c r="L227" s="1021">
        <v>20</v>
      </c>
      <c r="M227" s="1021">
        <f>VLOOKUP(B227,'[26]CN BC'!$F$10:$H$267,3,FALSE)</f>
        <v>20</v>
      </c>
      <c r="N227" s="1021">
        <f t="shared" si="28"/>
        <v>20</v>
      </c>
      <c r="O227" s="1022"/>
      <c r="P227" s="1023">
        <f t="shared" si="29"/>
        <v>5826600.0000000009</v>
      </c>
      <c r="Q227" s="1515">
        <f t="shared" si="32"/>
        <v>2.4900000000000002</v>
      </c>
      <c r="R227" s="1429">
        <v>2340000</v>
      </c>
      <c r="S227" s="1486">
        <f t="shared" si="33"/>
        <v>5826600.0000000009</v>
      </c>
      <c r="T227" s="1024">
        <f t="shared" si="27"/>
        <v>203</v>
      </c>
      <c r="U227" s="1025">
        <f>VLOOKUP(B227,'[26]CN BC'!$F$10:$K$267,6,FALSE)</f>
        <v>0</v>
      </c>
      <c r="V227" s="1027"/>
      <c r="W227" s="1489"/>
      <c r="X227" s="1012"/>
      <c r="Y227" s="1012"/>
      <c r="Z227" s="1012"/>
      <c r="AA227" s="1012"/>
      <c r="AB227" s="1012"/>
      <c r="AC227" s="1012"/>
      <c r="AD227" s="1012"/>
    </row>
    <row r="228" spans="1:30" s="1028" customFormat="1" ht="24.75" customHeight="1">
      <c r="A228" s="1014">
        <f>_xlfn.AGGREGATE(4,7,A$24:A227)+1</f>
        <v>204</v>
      </c>
      <c r="B228" s="1015" t="s">
        <v>1536</v>
      </c>
      <c r="C228" s="1033" t="s">
        <v>1788</v>
      </c>
      <c r="D228" s="1034" t="s">
        <v>389</v>
      </c>
      <c r="E228" s="81" t="str">
        <f>VLOOKUP(B228,TH.Q2!B138:E469,4,FALSE)</f>
        <v>Giảng viên khoa
Điện - Điện tử</v>
      </c>
      <c r="F228" s="1040">
        <v>3.99</v>
      </c>
      <c r="G228" s="1019"/>
      <c r="H228" s="1248">
        <f t="shared" si="30"/>
        <v>0</v>
      </c>
      <c r="I228" s="1020"/>
      <c r="J228" s="1020" t="str">
        <f>VLOOKUP(B228,[25]!Table2[[Column2]:[Column6]],4,FALSE)</f>
        <v>A4</v>
      </c>
      <c r="K228" s="1020">
        <f t="shared" si="31"/>
        <v>0.5</v>
      </c>
      <c r="L228" s="1021">
        <v>20</v>
      </c>
      <c r="M228" s="1021">
        <f>VLOOKUP(B228,'[26]CN BC'!$F$10:$H$267,3,FALSE)</f>
        <v>20</v>
      </c>
      <c r="N228" s="1021">
        <f t="shared" si="28"/>
        <v>20</v>
      </c>
      <c r="O228" s="1022"/>
      <c r="P228" s="1023">
        <f t="shared" si="29"/>
        <v>4668300</v>
      </c>
      <c r="Q228" s="1515">
        <f t="shared" si="32"/>
        <v>1.9950000000000001</v>
      </c>
      <c r="R228" s="1429">
        <v>2340000</v>
      </c>
      <c r="S228" s="1486">
        <f t="shared" si="33"/>
        <v>4668300</v>
      </c>
      <c r="T228" s="1024">
        <f t="shared" si="27"/>
        <v>204</v>
      </c>
      <c r="U228" s="1025">
        <f>VLOOKUP(B228,'[26]CN BC'!$F$10:$K$267,6,FALSE)</f>
        <v>0</v>
      </c>
      <c r="V228" s="1027"/>
      <c r="W228" s="1489"/>
      <c r="X228" s="1012"/>
      <c r="Y228" s="1012"/>
      <c r="Z228" s="1012"/>
    </row>
    <row r="229" spans="1:30" s="1028" customFormat="1" ht="24.75" customHeight="1">
      <c r="A229" s="1014">
        <f>_xlfn.AGGREGATE(4,7,A$24:A228)+1</f>
        <v>205</v>
      </c>
      <c r="B229" s="1015" t="s">
        <v>1537</v>
      </c>
      <c r="C229" s="1033" t="s">
        <v>1789</v>
      </c>
      <c r="D229" s="1034" t="s">
        <v>1334</v>
      </c>
      <c r="E229" s="368" t="str">
        <f>VLOOKUP(B229,TH.Q2!B139:E470,4,FALSE)</f>
        <v>Giảng viên khoa
Điện - Điện tử</v>
      </c>
      <c r="F229" s="1040">
        <v>4.32</v>
      </c>
      <c r="G229" s="1019"/>
      <c r="H229" s="1255">
        <f t="shared" si="30"/>
        <v>0</v>
      </c>
      <c r="I229" s="1020"/>
      <c r="J229" s="1020" t="str">
        <f>VLOOKUP(B229,[25]!Table2[[Column2]:[Column6]],4,FALSE)</f>
        <v>A3</v>
      </c>
      <c r="K229" s="1020">
        <f t="shared" si="31"/>
        <v>0.6</v>
      </c>
      <c r="L229" s="1021">
        <v>20</v>
      </c>
      <c r="M229" s="1021">
        <f>VLOOKUP(B229,'[26]CN BC'!$F$10:$H$267,3,FALSE)</f>
        <v>20</v>
      </c>
      <c r="N229" s="1021">
        <f t="shared" si="28"/>
        <v>20</v>
      </c>
      <c r="O229" s="1035"/>
      <c r="P229" s="1023">
        <f t="shared" si="29"/>
        <v>6065280</v>
      </c>
      <c r="Q229" s="1515">
        <f t="shared" si="32"/>
        <v>2.5920000000000001</v>
      </c>
      <c r="R229" s="1429">
        <v>2340000</v>
      </c>
      <c r="S229" s="1486">
        <f t="shared" si="33"/>
        <v>6065280</v>
      </c>
      <c r="T229" s="1024">
        <f t="shared" si="27"/>
        <v>205</v>
      </c>
      <c r="U229" s="1025">
        <f>VLOOKUP(B229,'[26]CN BC'!$F$10:$K$267,6,FALSE)</f>
        <v>0</v>
      </c>
      <c r="V229" s="1038"/>
      <c r="W229" s="1489"/>
    </row>
    <row r="230" spans="1:30" s="1028" customFormat="1" ht="24.75" customHeight="1">
      <c r="A230" s="1014">
        <f>_xlfn.AGGREGATE(4,7,A$24:A229)+1</f>
        <v>206</v>
      </c>
      <c r="B230" s="1015" t="s">
        <v>1905</v>
      </c>
      <c r="C230" s="1029" t="s">
        <v>1790</v>
      </c>
      <c r="D230" s="1047" t="s">
        <v>463</v>
      </c>
      <c r="E230" s="81" t="str">
        <f>VLOOKUP(B230,TH.Q2!B140:E471,4,FALSE)</f>
        <v>Giảng viên khoa Điện - Điện tử</v>
      </c>
      <c r="F230" s="1040">
        <v>3.66</v>
      </c>
      <c r="G230" s="1019"/>
      <c r="H230" s="1248">
        <f t="shared" si="30"/>
        <v>0</v>
      </c>
      <c r="I230" s="1020"/>
      <c r="J230" s="1020" t="str">
        <f>VLOOKUP(B230,[25]!Table2[[Column2]:[Column6]],4,FALSE)</f>
        <v>A2</v>
      </c>
      <c r="K230" s="1020">
        <f t="shared" si="31"/>
        <v>0.7</v>
      </c>
      <c r="L230" s="1021">
        <v>20</v>
      </c>
      <c r="M230" s="1021">
        <f>VLOOKUP(B230,'[26]CN BC'!$F$10:$H$267,3,FALSE)</f>
        <v>20</v>
      </c>
      <c r="N230" s="1021">
        <f t="shared" si="28"/>
        <v>20</v>
      </c>
      <c r="O230" s="1022"/>
      <c r="P230" s="1023">
        <f t="shared" si="29"/>
        <v>5995080</v>
      </c>
      <c r="Q230" s="1515">
        <f t="shared" si="32"/>
        <v>2.5619999999999998</v>
      </c>
      <c r="R230" s="1429">
        <v>2340000</v>
      </c>
      <c r="S230" s="1486">
        <f t="shared" si="33"/>
        <v>5995080</v>
      </c>
      <c r="T230" s="1024">
        <f t="shared" si="27"/>
        <v>206</v>
      </c>
      <c r="U230" s="1025">
        <f>VLOOKUP(B230,'[26]CN BC'!$F$10:$K$267,6,FALSE)</f>
        <v>0</v>
      </c>
      <c r="V230" s="1027"/>
      <c r="W230" s="1489"/>
      <c r="X230" s="1012"/>
      <c r="Y230" s="1012"/>
      <c r="Z230" s="1012"/>
      <c r="AA230" s="1012"/>
      <c r="AB230" s="1012"/>
      <c r="AC230" s="1012"/>
      <c r="AD230" s="1012"/>
    </row>
    <row r="231" spans="1:30" s="1028" customFormat="1" ht="34.5" customHeight="1">
      <c r="A231" s="1014">
        <f>_xlfn.AGGREGATE(4,7,A$24:A230)+1</f>
        <v>207</v>
      </c>
      <c r="B231" s="1015" t="s">
        <v>1538</v>
      </c>
      <c r="C231" s="1029" t="s">
        <v>1791</v>
      </c>
      <c r="D231" s="1047" t="s">
        <v>510</v>
      </c>
      <c r="E231" s="81" t="str">
        <f>VLOOKUP(B231,TH.Q2!B141:E472,4,FALSE)</f>
        <v>Giảng viên khoa
Điện - Điện tử</v>
      </c>
      <c r="F231" s="1040">
        <v>3.99</v>
      </c>
      <c r="G231" s="1019"/>
      <c r="H231" s="1248">
        <f t="shared" si="30"/>
        <v>0</v>
      </c>
      <c r="I231" s="1020"/>
      <c r="J231" s="1020" t="str">
        <f>VLOOKUP(B231,[25]!Table2[[Column2]:[Column6]],4,FALSE)</f>
        <v>A3</v>
      </c>
      <c r="K231" s="1020">
        <f t="shared" si="31"/>
        <v>0.6</v>
      </c>
      <c r="L231" s="1021">
        <v>20</v>
      </c>
      <c r="M231" s="1021">
        <f>VLOOKUP(B231,'[26]CN BC'!$F$10:$H$267,3,FALSE)</f>
        <v>20</v>
      </c>
      <c r="N231" s="1021">
        <f t="shared" si="28"/>
        <v>20</v>
      </c>
      <c r="O231" s="1022"/>
      <c r="P231" s="1023">
        <f t="shared" si="29"/>
        <v>5601960</v>
      </c>
      <c r="Q231" s="1515">
        <f t="shared" si="32"/>
        <v>2.3940000000000001</v>
      </c>
      <c r="R231" s="1429">
        <v>2340000</v>
      </c>
      <c r="S231" s="1486">
        <f t="shared" si="33"/>
        <v>5601960</v>
      </c>
      <c r="T231" s="1024">
        <f t="shared" si="27"/>
        <v>207</v>
      </c>
      <c r="U231" s="1025">
        <f>VLOOKUP(B231,'[26]CN BC'!$F$10:$K$267,6,FALSE)</f>
        <v>0</v>
      </c>
      <c r="V231" s="1027"/>
      <c r="W231" s="1489"/>
      <c r="X231" s="1012"/>
      <c r="Y231" s="1012"/>
      <c r="Z231" s="1012"/>
      <c r="AA231" s="1012"/>
      <c r="AB231" s="1012"/>
      <c r="AC231" s="1012"/>
      <c r="AD231" s="1012"/>
    </row>
    <row r="232" spans="1:30" s="1028" customFormat="1" ht="25.5" customHeight="1">
      <c r="A232" s="1014">
        <f>_xlfn.AGGREGATE(4,7,A$24:A231)+1</f>
        <v>208</v>
      </c>
      <c r="B232" s="1015" t="s">
        <v>1906</v>
      </c>
      <c r="C232" s="1033" t="s">
        <v>1792</v>
      </c>
      <c r="D232" s="1034" t="s">
        <v>1399</v>
      </c>
      <c r="E232" s="81" t="str">
        <f>VLOOKUP(B232,TH.Q2!B142:E473,4,FALSE)</f>
        <v>Giảng viên khoa Điện - Điện tử</v>
      </c>
      <c r="F232" s="1018">
        <v>4.9800000000000004</v>
      </c>
      <c r="G232" s="1019">
        <v>0.1</v>
      </c>
      <c r="H232" s="1248">
        <f t="shared" si="30"/>
        <v>0.498</v>
      </c>
      <c r="I232" s="1020">
        <v>0.35</v>
      </c>
      <c r="J232" s="1020" t="str">
        <f>VLOOKUP(B232,[25]!Table2[[Column2]:[Column6]],4,FALSE)</f>
        <v>A3</v>
      </c>
      <c r="K232" s="1020">
        <f t="shared" si="31"/>
        <v>0.6</v>
      </c>
      <c r="L232" s="1021">
        <v>20</v>
      </c>
      <c r="M232" s="1021">
        <f>VLOOKUP(B232,'[26]CN BC'!$F$10:$H$267,3,FALSE)</f>
        <v>20</v>
      </c>
      <c r="N232" s="1021">
        <f t="shared" si="28"/>
        <v>20</v>
      </c>
      <c r="O232" s="1022"/>
      <c r="P232" s="1023">
        <f t="shared" si="29"/>
        <v>8182512</v>
      </c>
      <c r="Q232" s="1515">
        <f t="shared" si="32"/>
        <v>3.4967999999999999</v>
      </c>
      <c r="R232" s="1429">
        <v>2340000</v>
      </c>
      <c r="S232" s="1486">
        <f t="shared" si="33"/>
        <v>8182512</v>
      </c>
      <c r="T232" s="1024">
        <f t="shared" si="27"/>
        <v>208</v>
      </c>
      <c r="U232" s="1025">
        <f>VLOOKUP(B232,'[26]CN BC'!$F$10:$K$267,6,FALSE)</f>
        <v>0</v>
      </c>
      <c r="V232" s="1027"/>
      <c r="W232" s="1489"/>
      <c r="X232" s="1012"/>
      <c r="Y232" s="1012"/>
      <c r="Z232" s="1012"/>
    </row>
    <row r="233" spans="1:30" s="1028" customFormat="1" ht="25.5" customHeight="1">
      <c r="A233" s="1014">
        <f>_xlfn.AGGREGATE(4,7,A$24:A232)+1</f>
        <v>209</v>
      </c>
      <c r="B233" s="1015" t="s">
        <v>1907</v>
      </c>
      <c r="C233" s="1033" t="s">
        <v>1793</v>
      </c>
      <c r="D233" s="1034" t="s">
        <v>1400</v>
      </c>
      <c r="E233" s="81" t="str">
        <f>VLOOKUP(B233,TH.Q2!B143:E474,4,FALSE)</f>
        <v>Giảng viên khoa Điện - Điện tử</v>
      </c>
      <c r="F233" s="1018">
        <v>4.9800000000000004</v>
      </c>
      <c r="G233" s="1019">
        <v>0.13</v>
      </c>
      <c r="H233" s="1248">
        <f t="shared" si="30"/>
        <v>0.64700000000000002</v>
      </c>
      <c r="I233" s="1020"/>
      <c r="J233" s="1020" t="str">
        <f>VLOOKUP(B233,[25]!Table2[[Column2]:[Column6]],4,FALSE)</f>
        <v>B1</v>
      </c>
      <c r="K233" s="1020">
        <f t="shared" si="31"/>
        <v>0.35</v>
      </c>
      <c r="L233" s="1021">
        <v>20</v>
      </c>
      <c r="M233" s="1021">
        <f>VLOOKUP(B233,'[26]CN BC'!$F$10:$H$267,3,FALSE)</f>
        <v>20</v>
      </c>
      <c r="N233" s="1021">
        <f t="shared" si="28"/>
        <v>20</v>
      </c>
      <c r="O233" s="1022"/>
      <c r="P233" s="1023">
        <f t="shared" si="29"/>
        <v>4608513</v>
      </c>
      <c r="Q233" s="1515">
        <f t="shared" si="32"/>
        <v>1.9694499999999999</v>
      </c>
      <c r="R233" s="1429">
        <v>2340000</v>
      </c>
      <c r="S233" s="1486">
        <f t="shared" si="33"/>
        <v>4608513</v>
      </c>
      <c r="T233" s="1024">
        <f t="shared" si="27"/>
        <v>209</v>
      </c>
      <c r="U233" s="1025">
        <f>VLOOKUP(B233,'[26]CN BC'!$F$10:$K$267,6,FALSE)</f>
        <v>0</v>
      </c>
      <c r="V233" s="1038"/>
      <c r="W233" s="1489"/>
    </row>
    <row r="234" spans="1:30" s="1028" customFormat="1" ht="25.5" customHeight="1">
      <c r="A234" s="1014">
        <f>_xlfn.AGGREGATE(4,7,A$24:A233)+1</f>
        <v>210</v>
      </c>
      <c r="B234" s="1015" t="s">
        <v>1908</v>
      </c>
      <c r="C234" s="1033" t="s">
        <v>1794</v>
      </c>
      <c r="D234" s="1034" t="s">
        <v>1401</v>
      </c>
      <c r="E234" s="81" t="str">
        <f>VLOOKUP(B234,TH.Q2!B144:E475,4,FALSE)</f>
        <v>Giảng viên khoa Điện - Điện tử</v>
      </c>
      <c r="F234" s="1018">
        <v>4.9800000000000004</v>
      </c>
      <c r="G234" s="1019">
        <v>0.1</v>
      </c>
      <c r="H234" s="1248">
        <f t="shared" si="30"/>
        <v>0.498</v>
      </c>
      <c r="I234" s="1020"/>
      <c r="J234" s="1020" t="str">
        <f>VLOOKUP(B234,[25]!Table2[[Column2]:[Column6]],4,FALSE)</f>
        <v>A3</v>
      </c>
      <c r="K234" s="1020">
        <f t="shared" si="31"/>
        <v>0.6</v>
      </c>
      <c r="L234" s="1021">
        <v>20</v>
      </c>
      <c r="M234" s="1021">
        <f>VLOOKUP(B234,'[26]CN BC'!$F$10:$H$267,3,FALSE)</f>
        <v>20</v>
      </c>
      <c r="N234" s="1021">
        <f t="shared" si="28"/>
        <v>20</v>
      </c>
      <c r="O234" s="1022"/>
      <c r="P234" s="1023">
        <f t="shared" si="29"/>
        <v>7691112.0000000009</v>
      </c>
      <c r="Q234" s="1515">
        <f t="shared" si="32"/>
        <v>3.2868000000000004</v>
      </c>
      <c r="R234" s="1429">
        <v>2340000</v>
      </c>
      <c r="S234" s="1486">
        <f t="shared" si="33"/>
        <v>7691112.0000000009</v>
      </c>
      <c r="T234" s="1024">
        <f t="shared" si="27"/>
        <v>210</v>
      </c>
      <c r="U234" s="1025">
        <f>VLOOKUP(B234,'[26]CN BC'!$F$10:$K$267,6,FALSE)</f>
        <v>0</v>
      </c>
      <c r="V234" s="1027"/>
      <c r="W234" s="1489"/>
      <c r="X234" s="1012"/>
      <c r="Y234" s="1012"/>
      <c r="Z234" s="1012"/>
    </row>
    <row r="235" spans="1:30" s="1028" customFormat="1" ht="24" customHeight="1">
      <c r="A235" s="1014">
        <f>_xlfn.AGGREGATE(4,7,A$24:A234)+1</f>
        <v>211</v>
      </c>
      <c r="B235" s="1015" t="s">
        <v>1909</v>
      </c>
      <c r="C235" s="1033" t="s">
        <v>1795</v>
      </c>
      <c r="D235" s="1034" t="s">
        <v>1404</v>
      </c>
      <c r="E235" s="368" t="str">
        <f>VLOOKUP(B235,TH.Q2!B145:E476,4,FALSE)</f>
        <v>Giảng viên khoa Điện - Điện tử</v>
      </c>
      <c r="F235" s="1018">
        <v>4.6500000000000004</v>
      </c>
      <c r="G235" s="1431"/>
      <c r="H235" s="1255">
        <f t="shared" si="30"/>
        <v>0</v>
      </c>
      <c r="I235" s="1020"/>
      <c r="J235" s="1020" t="str">
        <f>VLOOKUP(B235,[25]!Table2[[Column2]:[Column6]],4,FALSE)</f>
        <v>A4</v>
      </c>
      <c r="K235" s="1020">
        <f t="shared" si="31"/>
        <v>0.5</v>
      </c>
      <c r="L235" s="1021">
        <v>20</v>
      </c>
      <c r="M235" s="1021">
        <f>VLOOKUP(B235,'[26]CN BC'!$F$10:$H$267,3,FALSE)</f>
        <v>20</v>
      </c>
      <c r="N235" s="1021">
        <f t="shared" si="28"/>
        <v>20</v>
      </c>
      <c r="O235" s="1035"/>
      <c r="P235" s="1023">
        <f t="shared" si="29"/>
        <v>5440500</v>
      </c>
      <c r="Q235" s="1515">
        <f t="shared" si="32"/>
        <v>2.3250000000000002</v>
      </c>
      <c r="R235" s="1429">
        <v>2340000</v>
      </c>
      <c r="S235" s="1486">
        <f t="shared" si="33"/>
        <v>5440500</v>
      </c>
      <c r="T235" s="1024">
        <f t="shared" si="27"/>
        <v>211</v>
      </c>
      <c r="U235" s="1025">
        <f>VLOOKUP(B235,'[26]CN BC'!$F$10:$K$267,6,FALSE)</f>
        <v>0</v>
      </c>
      <c r="V235" s="1038"/>
      <c r="W235" s="1489"/>
    </row>
    <row r="236" spans="1:30" s="1028" customFormat="1" ht="27.75" customHeight="1">
      <c r="A236" s="1014">
        <f>_xlfn.AGGREGATE(4,7,A$24:A235)+1</f>
        <v>212</v>
      </c>
      <c r="B236" s="1015" t="s">
        <v>1539</v>
      </c>
      <c r="C236" s="1033" t="s">
        <v>1796</v>
      </c>
      <c r="D236" s="1034" t="s">
        <v>1405</v>
      </c>
      <c r="E236" s="368" t="str">
        <f>VLOOKUP(B236,TH.Q2!B146:E477,4,FALSE)</f>
        <v>Giảng viên khoa
Điện - Điện tử</v>
      </c>
      <c r="F236" s="1018">
        <v>4.6500000000000004</v>
      </c>
      <c r="G236" s="1019"/>
      <c r="H236" s="1255">
        <f t="shared" si="30"/>
        <v>0</v>
      </c>
      <c r="I236" s="1020"/>
      <c r="J236" s="1020" t="str">
        <f>VLOOKUP(B236,[25]!Table2[[Column2]:[Column6]],4,FALSE)</f>
        <v>A3</v>
      </c>
      <c r="K236" s="1020">
        <f t="shared" si="31"/>
        <v>0.6</v>
      </c>
      <c r="L236" s="1021">
        <v>20</v>
      </c>
      <c r="M236" s="1021">
        <f>VLOOKUP(B236,'[26]CN BC'!$F$10:$H$267,3,FALSE)</f>
        <v>20</v>
      </c>
      <c r="N236" s="1021">
        <f t="shared" si="28"/>
        <v>20</v>
      </c>
      <c r="O236" s="1035"/>
      <c r="P236" s="1023">
        <f t="shared" si="29"/>
        <v>6528600</v>
      </c>
      <c r="Q236" s="1515">
        <f t="shared" si="32"/>
        <v>2.79</v>
      </c>
      <c r="R236" s="1429">
        <v>2340000</v>
      </c>
      <c r="S236" s="1486">
        <f t="shared" si="33"/>
        <v>6528600</v>
      </c>
      <c r="T236" s="1024">
        <f t="shared" si="27"/>
        <v>212</v>
      </c>
      <c r="U236" s="1025">
        <f>VLOOKUP(B236,'[26]CN BC'!$F$10:$K$267,6,FALSE)</f>
        <v>0</v>
      </c>
      <c r="V236" s="1038"/>
      <c r="W236" s="1489"/>
    </row>
    <row r="237" spans="1:30" s="1028" customFormat="1" ht="24" customHeight="1">
      <c r="A237" s="1014">
        <f>_xlfn.AGGREGATE(4,7,A$24:A236)+1</f>
        <v>213</v>
      </c>
      <c r="B237" s="1015" t="s">
        <v>1910</v>
      </c>
      <c r="C237" s="1029" t="s">
        <v>1797</v>
      </c>
      <c r="D237" s="1034" t="s">
        <v>1406</v>
      </c>
      <c r="E237" s="81" t="str">
        <f>VLOOKUP(B237,TH.Q2!B147:E478,4,FALSE)</f>
        <v>Giảng viên khoa Điện - Điện tử</v>
      </c>
      <c r="F237" s="1018">
        <v>4.6500000000000004</v>
      </c>
      <c r="G237" s="1019"/>
      <c r="H237" s="1248">
        <f t="shared" si="30"/>
        <v>0</v>
      </c>
      <c r="I237" s="1020"/>
      <c r="J237" s="1020" t="str">
        <f>VLOOKUP(B237,[25]!Table2[[Column2]:[Column6]],4,FALSE)</f>
        <v>A3</v>
      </c>
      <c r="K237" s="1020">
        <f t="shared" si="31"/>
        <v>0.6</v>
      </c>
      <c r="L237" s="1021">
        <v>20</v>
      </c>
      <c r="M237" s="1021">
        <f>VLOOKUP(B237,'[26]CN BC'!$F$10:$H$267,3,FALSE)</f>
        <v>20</v>
      </c>
      <c r="N237" s="1021">
        <f t="shared" si="28"/>
        <v>20</v>
      </c>
      <c r="O237" s="1022"/>
      <c r="P237" s="1023">
        <f t="shared" si="29"/>
        <v>6528600</v>
      </c>
      <c r="Q237" s="1515">
        <f t="shared" si="32"/>
        <v>2.79</v>
      </c>
      <c r="R237" s="1429">
        <v>2340000</v>
      </c>
      <c r="S237" s="1486">
        <f t="shared" si="33"/>
        <v>6528600</v>
      </c>
      <c r="T237" s="1024">
        <f t="shared" si="27"/>
        <v>213</v>
      </c>
      <c r="U237" s="1025">
        <f>VLOOKUP(B237,'[26]CN BC'!$F$10:$K$267,6,FALSE)</f>
        <v>0</v>
      </c>
      <c r="V237" s="1027"/>
      <c r="W237" s="1489"/>
      <c r="X237" s="1012"/>
      <c r="Y237" s="1012"/>
      <c r="Z237" s="1012"/>
      <c r="AA237" s="1012"/>
      <c r="AB237" s="1012"/>
      <c r="AC237" s="1012"/>
      <c r="AD237" s="1012"/>
    </row>
    <row r="238" spans="1:30" s="1028" customFormat="1" ht="24.75" customHeight="1">
      <c r="A238" s="1014">
        <f>_xlfn.AGGREGATE(4,7,A$24:A237)+1</f>
        <v>214</v>
      </c>
      <c r="B238" s="1015" t="s">
        <v>1911</v>
      </c>
      <c r="C238" s="1033" t="s">
        <v>1798</v>
      </c>
      <c r="D238" s="1034" t="s">
        <v>1407</v>
      </c>
      <c r="E238" s="81" t="str">
        <f>VLOOKUP(B238,TH.Q2!B148:E479,4,FALSE)</f>
        <v>Giảng viên khoa Điện - Điện tử</v>
      </c>
      <c r="F238" s="1018">
        <v>4.6500000000000004</v>
      </c>
      <c r="G238" s="1019"/>
      <c r="H238" s="1248">
        <f t="shared" si="30"/>
        <v>0</v>
      </c>
      <c r="I238" s="1020"/>
      <c r="J238" s="1020" t="str">
        <f>VLOOKUP(B238,[25]!Table2[[Column2]:[Column6]],4,FALSE)</f>
        <v>A3</v>
      </c>
      <c r="K238" s="1020">
        <f t="shared" si="31"/>
        <v>0.6</v>
      </c>
      <c r="L238" s="1021">
        <v>20</v>
      </c>
      <c r="M238" s="1021">
        <f>VLOOKUP(B238,'[26]CN BC'!$F$10:$H$267,3,FALSE)</f>
        <v>20</v>
      </c>
      <c r="N238" s="1021">
        <f t="shared" si="28"/>
        <v>20</v>
      </c>
      <c r="O238" s="1022"/>
      <c r="P238" s="1023">
        <f t="shared" si="29"/>
        <v>6528600</v>
      </c>
      <c r="Q238" s="1515">
        <f t="shared" si="32"/>
        <v>2.79</v>
      </c>
      <c r="R238" s="1429">
        <v>2340000</v>
      </c>
      <c r="S238" s="1486">
        <f t="shared" si="33"/>
        <v>6528600</v>
      </c>
      <c r="T238" s="1024">
        <f t="shared" si="27"/>
        <v>214</v>
      </c>
      <c r="U238" s="1025">
        <f>VLOOKUP(B238,'[26]CN BC'!$F$10:$K$267,6,FALSE)</f>
        <v>0</v>
      </c>
      <c r="V238" s="1027"/>
      <c r="W238" s="1489"/>
      <c r="X238" s="1012"/>
      <c r="Y238" s="1012"/>
      <c r="Z238" s="1012"/>
    </row>
    <row r="239" spans="1:30" s="1012" customFormat="1" ht="24.75" customHeight="1">
      <c r="A239" s="1014">
        <f>_xlfn.AGGREGATE(4,7,A$24:A238)+1</f>
        <v>215</v>
      </c>
      <c r="B239" s="1050" t="s">
        <v>1912</v>
      </c>
      <c r="C239" s="1029" t="s">
        <v>1799</v>
      </c>
      <c r="D239" s="1051" t="s">
        <v>1409</v>
      </c>
      <c r="E239" s="81" t="str">
        <f>VLOOKUP(B239,TH.Q2!B149:E480,4,FALSE)</f>
        <v>Giảng viên khoa Điện - Điện tử</v>
      </c>
      <c r="F239" s="1052">
        <v>4.6500000000000004</v>
      </c>
      <c r="G239" s="1053"/>
      <c r="H239" s="1248">
        <f t="shared" si="30"/>
        <v>0</v>
      </c>
      <c r="I239" s="1054"/>
      <c r="J239" s="1020" t="str">
        <f>VLOOKUP(B239,[25]!Table2[[Column2]:[Column6]],4,FALSE)</f>
        <v>A3</v>
      </c>
      <c r="K239" s="1020">
        <f t="shared" si="31"/>
        <v>0.6</v>
      </c>
      <c r="L239" s="1021">
        <v>20</v>
      </c>
      <c r="M239" s="1021">
        <f>VLOOKUP(B239,'[26]CN BC'!$F$10:$H$267,3,FALSE)</f>
        <v>20</v>
      </c>
      <c r="N239" s="1021">
        <f t="shared" si="28"/>
        <v>20</v>
      </c>
      <c r="O239" s="1022"/>
      <c r="P239" s="1023">
        <f t="shared" si="29"/>
        <v>6528600</v>
      </c>
      <c r="Q239" s="1515">
        <f t="shared" si="32"/>
        <v>2.79</v>
      </c>
      <c r="R239" s="1429">
        <v>2340000</v>
      </c>
      <c r="S239" s="1486">
        <f t="shared" si="33"/>
        <v>6528600</v>
      </c>
      <c r="T239" s="1024">
        <f t="shared" si="27"/>
        <v>215</v>
      </c>
      <c r="U239" s="1025">
        <f>VLOOKUP(B239,'[26]CN BC'!$F$10:$K$267,6,FALSE)</f>
        <v>0</v>
      </c>
      <c r="V239" s="1027"/>
      <c r="W239" s="1489"/>
    </row>
    <row r="240" spans="1:30" s="1012" customFormat="1" ht="24.75" customHeight="1">
      <c r="A240" s="1014">
        <f>_xlfn.AGGREGATE(4,7,A$24:A239)+1</f>
        <v>216</v>
      </c>
      <c r="B240" s="1050" t="s">
        <v>1913</v>
      </c>
      <c r="C240" s="1029" t="s">
        <v>1800</v>
      </c>
      <c r="D240" s="1051" t="s">
        <v>1410</v>
      </c>
      <c r="E240" s="81" t="str">
        <f>VLOOKUP(B240,TH.Q2!B150:E481,4,FALSE)</f>
        <v>Giảng viên khoa Điện - Điện tử</v>
      </c>
      <c r="F240" s="1052">
        <v>4.6500000000000004</v>
      </c>
      <c r="G240" s="1053"/>
      <c r="H240" s="1248">
        <f t="shared" si="30"/>
        <v>0</v>
      </c>
      <c r="I240" s="1054"/>
      <c r="J240" s="1020" t="str">
        <f>VLOOKUP(B240,[25]!Table2[[Column2]:[Column6]],4,FALSE)</f>
        <v>A4</v>
      </c>
      <c r="K240" s="1020">
        <f t="shared" si="31"/>
        <v>0.5</v>
      </c>
      <c r="L240" s="1021">
        <v>20</v>
      </c>
      <c r="M240" s="1021">
        <f>VLOOKUP(B240,'[26]CN BC'!$F$10:$H$267,3,FALSE)</f>
        <v>20</v>
      </c>
      <c r="N240" s="1021">
        <f t="shared" si="28"/>
        <v>20</v>
      </c>
      <c r="O240" s="1022"/>
      <c r="P240" s="1023">
        <f t="shared" si="29"/>
        <v>5440500</v>
      </c>
      <c r="Q240" s="1515">
        <f t="shared" si="32"/>
        <v>2.3250000000000002</v>
      </c>
      <c r="R240" s="1429">
        <v>2340000</v>
      </c>
      <c r="S240" s="1486">
        <f t="shared" si="33"/>
        <v>5440500</v>
      </c>
      <c r="T240" s="1024">
        <f t="shared" si="27"/>
        <v>216</v>
      </c>
      <c r="U240" s="1025">
        <f>VLOOKUP(B240,'[26]CN BC'!$F$10:$K$267,6,FALSE)</f>
        <v>0</v>
      </c>
      <c r="V240" s="1027"/>
      <c r="W240" s="1489"/>
    </row>
    <row r="241" spans="1:26" s="1012" customFormat="1" ht="24.75" customHeight="1">
      <c r="A241" s="1014">
        <f>_xlfn.AGGREGATE(4,7,A$24:A240)+1</f>
        <v>217</v>
      </c>
      <c r="B241" s="1050" t="s">
        <v>1540</v>
      </c>
      <c r="C241" s="1029" t="s">
        <v>1801</v>
      </c>
      <c r="D241" s="1051" t="s">
        <v>1412</v>
      </c>
      <c r="E241" s="81" t="str">
        <f>VLOOKUP(B241,TH.Q2!B151:E482,4,FALSE)</f>
        <v>Giảng viên khoa
Điện - Điện tử</v>
      </c>
      <c r="F241" s="1052">
        <v>4.32</v>
      </c>
      <c r="G241" s="1053"/>
      <c r="H241" s="1248">
        <f t="shared" si="30"/>
        <v>0</v>
      </c>
      <c r="I241" s="1054"/>
      <c r="J241" s="1020" t="str">
        <f>VLOOKUP(B241,[25]!Table2[[Column2]:[Column6]],4,FALSE)</f>
        <v>A4</v>
      </c>
      <c r="K241" s="1020">
        <f t="shared" si="31"/>
        <v>0.5</v>
      </c>
      <c r="L241" s="1021">
        <v>20</v>
      </c>
      <c r="M241" s="1021">
        <f>VLOOKUP(B241,'[26]CN BC'!$F$10:$H$267,3,FALSE)</f>
        <v>20</v>
      </c>
      <c r="N241" s="1021">
        <f t="shared" si="28"/>
        <v>20</v>
      </c>
      <c r="O241" s="1022"/>
      <c r="P241" s="1023">
        <f t="shared" si="29"/>
        <v>5054400</v>
      </c>
      <c r="Q241" s="1515">
        <f t="shared" si="32"/>
        <v>2.16</v>
      </c>
      <c r="R241" s="1429">
        <v>2340000</v>
      </c>
      <c r="S241" s="1486">
        <f t="shared" si="33"/>
        <v>5054400</v>
      </c>
      <c r="T241" s="1024">
        <f t="shared" si="27"/>
        <v>217</v>
      </c>
      <c r="U241" s="1025">
        <f>VLOOKUP(B241,'[26]CN BC'!$F$10:$K$267,6,FALSE)</f>
        <v>0</v>
      </c>
      <c r="V241" s="1027"/>
      <c r="W241" s="1489"/>
    </row>
    <row r="242" spans="1:26" s="1028" customFormat="1" ht="25.5" customHeight="1">
      <c r="A242" s="1014">
        <f>_xlfn.AGGREGATE(4,7,A$24:A241)+1</f>
        <v>218</v>
      </c>
      <c r="B242" s="1015" t="s">
        <v>1609</v>
      </c>
      <c r="C242" s="1033" t="s">
        <v>1973</v>
      </c>
      <c r="D242" s="1045" t="s">
        <v>1611</v>
      </c>
      <c r="E242" s="81" t="str">
        <f>VLOOKUP(B242,TH.Q2!B152:E483,4,FALSE)</f>
        <v>Giảng viên khoa
Điện - Điện tử</v>
      </c>
      <c r="F242" s="1040">
        <v>3.33</v>
      </c>
      <c r="G242" s="1019"/>
      <c r="H242" s="1248">
        <f t="shared" si="30"/>
        <v>0</v>
      </c>
      <c r="I242" s="1020"/>
      <c r="J242" s="1020" t="str">
        <f>VLOOKUP(B242,[25]!Table2[[Column2]:[Column6]],4,FALSE)</f>
        <v>A3</v>
      </c>
      <c r="K242" s="1020">
        <f t="shared" si="31"/>
        <v>0.6</v>
      </c>
      <c r="L242" s="1021">
        <v>20</v>
      </c>
      <c r="M242" s="1021">
        <f>VLOOKUP(B242,'[26]CN BC'!$F$10:$H$267,3,FALSE)</f>
        <v>20</v>
      </c>
      <c r="N242" s="1021">
        <f t="shared" si="28"/>
        <v>20</v>
      </c>
      <c r="O242" s="1022"/>
      <c r="P242" s="1023">
        <f t="shared" si="29"/>
        <v>4675320</v>
      </c>
      <c r="Q242" s="1515">
        <f t="shared" si="32"/>
        <v>1.998</v>
      </c>
      <c r="R242" s="1429">
        <v>2340000</v>
      </c>
      <c r="S242" s="1486">
        <f t="shared" si="33"/>
        <v>4675320</v>
      </c>
      <c r="T242" s="1024">
        <f t="shared" si="27"/>
        <v>218</v>
      </c>
      <c r="U242" s="1025">
        <f>VLOOKUP(B242,'[26]CN BC'!$F$10:$K$267,6,FALSE)</f>
        <v>0</v>
      </c>
      <c r="V242" s="1027"/>
      <c r="W242" s="1489"/>
      <c r="X242" s="1012"/>
      <c r="Y242" s="1012"/>
      <c r="Z242" s="1012"/>
    </row>
    <row r="243" spans="1:26" s="1028" customFormat="1" ht="25.5" customHeight="1">
      <c r="A243" s="1014">
        <f>_xlfn.AGGREGATE(4,7,A$24:A242)+1</f>
        <v>219</v>
      </c>
      <c r="B243" s="1015" t="s">
        <v>1610</v>
      </c>
      <c r="C243" s="1033" t="s">
        <v>1974</v>
      </c>
      <c r="D243" s="1045" t="s">
        <v>1612</v>
      </c>
      <c r="E243" s="81" t="str">
        <f>VLOOKUP(B243,TH.Q2!B153:E484,4,FALSE)</f>
        <v>Giảng viên khoa
Điện - Điện tử</v>
      </c>
      <c r="F243" s="1040">
        <v>3</v>
      </c>
      <c r="G243" s="1019"/>
      <c r="H243" s="1248">
        <f t="shared" si="30"/>
        <v>0</v>
      </c>
      <c r="I243" s="1020">
        <v>0.25</v>
      </c>
      <c r="J243" s="1020" t="str">
        <f>VLOOKUP(B243,[25]!Table2[[Column2]:[Column6]],4,FALSE)</f>
        <v>A1</v>
      </c>
      <c r="K243" s="1020">
        <f t="shared" si="31"/>
        <v>0.8</v>
      </c>
      <c r="L243" s="1021">
        <v>20</v>
      </c>
      <c r="M243" s="1021">
        <f>VLOOKUP(B243,'[26]CN BC'!$F$10:$H$267,3,FALSE)</f>
        <v>20</v>
      </c>
      <c r="N243" s="1021">
        <f t="shared" si="28"/>
        <v>20</v>
      </c>
      <c r="O243" s="1022"/>
      <c r="P243" s="1023">
        <f t="shared" si="29"/>
        <v>6084000</v>
      </c>
      <c r="Q243" s="1515">
        <f t="shared" si="32"/>
        <v>2.6</v>
      </c>
      <c r="R243" s="1429">
        <v>2340000</v>
      </c>
      <c r="S243" s="1486">
        <f t="shared" si="33"/>
        <v>6084000</v>
      </c>
      <c r="T243" s="1024">
        <f t="shared" si="27"/>
        <v>219</v>
      </c>
      <c r="U243" s="1025">
        <f>VLOOKUP(B243,'[26]CN BC'!$F$10:$K$267,6,FALSE)</f>
        <v>0</v>
      </c>
      <c r="V243" s="1027"/>
      <c r="W243" s="1489"/>
      <c r="X243" s="1012"/>
      <c r="Y243" s="1012"/>
      <c r="Z243" s="1012"/>
    </row>
    <row r="244" spans="1:26" s="1028" customFormat="1" ht="25.5" customHeight="1">
      <c r="A244" s="1014">
        <f>_xlfn.AGGREGATE(4,7,A$24:A243)+1</f>
        <v>220</v>
      </c>
      <c r="B244" s="1101" t="s">
        <v>1838</v>
      </c>
      <c r="C244" s="1033" t="s">
        <v>1975</v>
      </c>
      <c r="D244" s="1039">
        <v>1603205590132</v>
      </c>
      <c r="E244" s="81" t="str">
        <f>VLOOKUP(B244,TH.Q2!B154:E485,4,FALSE)</f>
        <v>Giảng viên khoa
Điện - Điện tử</v>
      </c>
      <c r="F244" s="1040">
        <v>3</v>
      </c>
      <c r="G244" s="1019"/>
      <c r="H244" s="1248">
        <f t="shared" si="30"/>
        <v>0</v>
      </c>
      <c r="I244" s="1020">
        <v>0.25</v>
      </c>
      <c r="J244" s="1020" t="str">
        <f>VLOOKUP(B244,[25]!Table2[[Column2]:[Column6]],4,FALSE)</f>
        <v>A1</v>
      </c>
      <c r="K244" s="1020">
        <f t="shared" si="31"/>
        <v>0.8</v>
      </c>
      <c r="L244" s="1021">
        <v>20</v>
      </c>
      <c r="M244" s="1021">
        <f>VLOOKUP(B244,'[26]CN BC'!$F$10:$H$267,3,FALSE)</f>
        <v>20</v>
      </c>
      <c r="N244" s="1021">
        <f t="shared" si="28"/>
        <v>20</v>
      </c>
      <c r="O244" s="1022"/>
      <c r="P244" s="1023">
        <f t="shared" si="29"/>
        <v>6084000</v>
      </c>
      <c r="Q244" s="1515">
        <f t="shared" si="32"/>
        <v>2.6</v>
      </c>
      <c r="R244" s="1429">
        <v>2340000</v>
      </c>
      <c r="S244" s="1486">
        <f t="shared" si="33"/>
        <v>6084000</v>
      </c>
      <c r="T244" s="1024">
        <f t="shared" si="27"/>
        <v>220</v>
      </c>
      <c r="U244" s="1025">
        <f>VLOOKUP(B244,'[26]CN BC'!$F$10:$K$267,6,FALSE)</f>
        <v>0</v>
      </c>
      <c r="V244" s="1027"/>
      <c r="W244" s="1489"/>
      <c r="X244" s="1012"/>
      <c r="Y244" s="1012"/>
      <c r="Z244" s="1012"/>
    </row>
    <row r="245" spans="1:26" s="1028" customFormat="1" ht="25.5" customHeight="1">
      <c r="A245" s="1014">
        <f>_xlfn.AGGREGATE(4,7,A$24:A244)+1</f>
        <v>221</v>
      </c>
      <c r="B245" s="1101" t="s">
        <v>1993</v>
      </c>
      <c r="C245" s="1033"/>
      <c r="D245" s="1103"/>
      <c r="E245" s="81" t="str">
        <f>VLOOKUP(B245,TH.Q2!B155:E486,4,FALSE)</f>
        <v>Giảng viên khoa Điện - Điện tử</v>
      </c>
      <c r="F245" s="1018">
        <v>4.32</v>
      </c>
      <c r="G245" s="1019"/>
      <c r="H245" s="1248">
        <f t="shared" si="30"/>
        <v>0</v>
      </c>
      <c r="I245" s="1020"/>
      <c r="J245" s="1020" t="str">
        <f>VLOOKUP(B245,[25]!Table2[[Column2]:[Column6]],4,FALSE)</f>
        <v>A3</v>
      </c>
      <c r="K245" s="1020">
        <f t="shared" si="31"/>
        <v>0.6</v>
      </c>
      <c r="L245" s="1021">
        <v>20</v>
      </c>
      <c r="M245" s="1021">
        <f>VLOOKUP(B245,'[26]CN BC'!$F$10:$H$267,3,FALSE)</f>
        <v>20</v>
      </c>
      <c r="N245" s="1021">
        <f t="shared" si="28"/>
        <v>20</v>
      </c>
      <c r="O245" s="1022"/>
      <c r="P245" s="1023">
        <f t="shared" si="29"/>
        <v>6065280</v>
      </c>
      <c r="Q245" s="1515">
        <f t="shared" si="32"/>
        <v>2.5920000000000001</v>
      </c>
      <c r="R245" s="1429">
        <v>2340000</v>
      </c>
      <c r="S245" s="1486">
        <f t="shared" si="33"/>
        <v>6065280</v>
      </c>
      <c r="T245" s="1024">
        <f t="shared" si="27"/>
        <v>221</v>
      </c>
      <c r="U245" s="1025">
        <f>VLOOKUP(B245,'[26]CN BC'!$F$10:$K$267,6,FALSE)</f>
        <v>0</v>
      </c>
      <c r="V245" s="1027"/>
      <c r="W245" s="1489"/>
      <c r="X245" s="1012"/>
      <c r="Y245" s="1012"/>
      <c r="Z245" s="1012"/>
    </row>
    <row r="246" spans="1:26" s="1028" customFormat="1" ht="30.75" customHeight="1">
      <c r="A246" s="1014">
        <f>_xlfn.AGGREGATE(4,7,A$24:A245)+1</f>
        <v>222</v>
      </c>
      <c r="B246" s="1101" t="s">
        <v>2002</v>
      </c>
      <c r="C246" s="1033"/>
      <c r="D246" s="1103"/>
      <c r="E246" s="81" t="str">
        <f>VLOOKUP(B246,TH.Q2!B156:E487,4,FALSE)</f>
        <v>Giảng viên khoa Điện - Điện tử</v>
      </c>
      <c r="F246" s="1018">
        <v>2.67</v>
      </c>
      <c r="G246" s="1019"/>
      <c r="H246" s="1248">
        <f t="shared" si="30"/>
        <v>0</v>
      </c>
      <c r="I246" s="1020"/>
      <c r="J246" s="1020" t="str">
        <f>VLOOKUP(B246,[25]!Table2[[Column2]:[Column6]],4,FALSE)</f>
        <v>A4</v>
      </c>
      <c r="K246" s="1020">
        <f t="shared" si="31"/>
        <v>0.5</v>
      </c>
      <c r="L246" s="1021">
        <v>20</v>
      </c>
      <c r="M246" s="1021">
        <f>VLOOKUP(B246,'[26]CN BC'!$F$10:$H$267,3,FALSE)</f>
        <v>20</v>
      </c>
      <c r="N246" s="1021">
        <f t="shared" si="28"/>
        <v>20</v>
      </c>
      <c r="O246" s="1022"/>
      <c r="P246" s="1023">
        <f t="shared" si="29"/>
        <v>3123900</v>
      </c>
      <c r="Q246" s="1515">
        <f t="shared" si="32"/>
        <v>1.335</v>
      </c>
      <c r="R246" s="1429">
        <v>2340000</v>
      </c>
      <c r="S246" s="1486">
        <f t="shared" si="33"/>
        <v>3123900</v>
      </c>
      <c r="T246" s="1024">
        <f t="shared" si="27"/>
        <v>222</v>
      </c>
      <c r="U246" s="1025">
        <f>VLOOKUP(B246,'[26]CN BC'!$F$10:$K$267,6,FALSE)</f>
        <v>0</v>
      </c>
      <c r="V246" s="1038"/>
      <c r="W246" s="1489"/>
    </row>
    <row r="247" spans="1:26" s="1028" customFormat="1" ht="32.25" customHeight="1">
      <c r="A247" s="1014">
        <f>_xlfn.AGGREGATE(4,7,A$24:A246)+1</f>
        <v>223</v>
      </c>
      <c r="B247" s="1101" t="s">
        <v>2004</v>
      </c>
      <c r="C247" s="1033"/>
      <c r="D247" s="1103"/>
      <c r="E247" s="81" t="str">
        <f>VLOOKUP(B247,TH.Q2!B157:E488,4,FALSE)</f>
        <v>Giảng viên khoa Điện - Điện tử</v>
      </c>
      <c r="F247" s="1018">
        <v>2.34</v>
      </c>
      <c r="G247" s="1019"/>
      <c r="H247" s="1248">
        <f t="shared" si="30"/>
        <v>0</v>
      </c>
      <c r="I247" s="1020"/>
      <c r="J247" s="1020" t="str">
        <f>VLOOKUP(B247,[25]!Table2[[Column2]:[Column6]],4,FALSE)</f>
        <v>A4</v>
      </c>
      <c r="K247" s="1020">
        <f t="shared" si="31"/>
        <v>0.5</v>
      </c>
      <c r="L247" s="1021">
        <v>20</v>
      </c>
      <c r="M247" s="1021">
        <f>VLOOKUP(B247,'[26]CN BC'!$F$10:$H$267,3,FALSE)</f>
        <v>20</v>
      </c>
      <c r="N247" s="1021">
        <f t="shared" si="28"/>
        <v>20</v>
      </c>
      <c r="O247" s="1022"/>
      <c r="P247" s="1023">
        <f t="shared" si="29"/>
        <v>2737800</v>
      </c>
      <c r="Q247" s="1515">
        <f t="shared" si="32"/>
        <v>1.17</v>
      </c>
      <c r="R247" s="1429">
        <v>2340000</v>
      </c>
      <c r="S247" s="1486">
        <f t="shared" si="33"/>
        <v>2737800</v>
      </c>
      <c r="T247" s="1024">
        <f t="shared" si="27"/>
        <v>223</v>
      </c>
      <c r="U247" s="1025">
        <f>VLOOKUP(B247,'[26]CN BC'!$F$10:$K$267,6,FALSE)</f>
        <v>0</v>
      </c>
      <c r="V247" s="1038"/>
      <c r="W247" s="1489"/>
    </row>
    <row r="248" spans="1:26" s="1028" customFormat="1" ht="33.75" customHeight="1">
      <c r="A248" s="1078">
        <f>_xlfn.AGGREGATE(4,7,A$24:A247)+1</f>
        <v>224</v>
      </c>
      <c r="B248" s="1432" t="s">
        <v>1458</v>
      </c>
      <c r="C248" s="1078" t="s">
        <v>1995</v>
      </c>
      <c r="D248" s="1474" t="s">
        <v>1577</v>
      </c>
      <c r="E248" s="472" t="s">
        <v>2447</v>
      </c>
      <c r="F248" s="1435">
        <v>4.9800000000000004</v>
      </c>
      <c r="G248" s="1082">
        <v>0.06</v>
      </c>
      <c r="H248" s="1253">
        <f>ROUND(F248*G248,3)</f>
        <v>0.29899999999999999</v>
      </c>
      <c r="I248" s="1083">
        <v>0.45</v>
      </c>
      <c r="J248" s="1083" t="str">
        <f>VLOOKUP(B248,[25]!Table2[[Column2]:[Column6]],4,FALSE)</f>
        <v>E</v>
      </c>
      <c r="K248" s="1083">
        <f>IF(J248="A1",0.8,IF(J248="A2",0.7,IF(J248="A3",0.6,IF(J248="A4",0.5,IF(J248="B1",0.35,IF(J248="B2",0.25,IF(J248="C1",0.15,IF(J248="C2",0.1,0))))))))</f>
        <v>0</v>
      </c>
      <c r="L248" s="1203">
        <v>20</v>
      </c>
      <c r="M248" s="1203">
        <f>VLOOKUP(B248,'[26]CN BC'!$F$10:$H$267,3,FALSE)</f>
        <v>20</v>
      </c>
      <c r="N248" s="1203">
        <f>IF(M248&gt;=L248,L248,IF(M248&lt;L248,M248))</f>
        <v>20</v>
      </c>
      <c r="O248" s="1084"/>
      <c r="P248" s="1204">
        <f>(((F248+H248+I248)*$P$21/L248*N248)*K248)+O248</f>
        <v>0</v>
      </c>
      <c r="Q248" s="1533">
        <f t="shared" si="32"/>
        <v>0</v>
      </c>
      <c r="R248" s="1364">
        <v>2340000</v>
      </c>
      <c r="S248" s="1488">
        <f t="shared" si="33"/>
        <v>0</v>
      </c>
      <c r="T248" s="1085">
        <f>A248</f>
        <v>224</v>
      </c>
      <c r="U248" s="1205" t="s">
        <v>2487</v>
      </c>
      <c r="V248" s="1038"/>
      <c r="W248" s="1489"/>
    </row>
    <row r="249" spans="1:26" s="1028" customFormat="1" ht="29.25" customHeight="1">
      <c r="A249" s="1014">
        <f>_xlfn.AGGREGATE(4,7,A$24:A248)+1</f>
        <v>225</v>
      </c>
      <c r="B249" s="1015" t="s">
        <v>1914</v>
      </c>
      <c r="C249" s="1033" t="s">
        <v>1803</v>
      </c>
      <c r="D249" s="1034" t="s">
        <v>0</v>
      </c>
      <c r="E249" s="81" t="str">
        <f>VLOOKUP(B249,TH.Q2!B158:E489,4,FALSE)</f>
        <v>Trưởng khoa Động lực</v>
      </c>
      <c r="F249" s="1018">
        <v>4.6500000000000004</v>
      </c>
      <c r="G249" s="1019"/>
      <c r="H249" s="1248">
        <f t="shared" si="30"/>
        <v>0</v>
      </c>
      <c r="I249" s="1020">
        <v>0.45</v>
      </c>
      <c r="J249" s="1020" t="str">
        <f>VLOOKUP(B249,[25]!Table2[[Column2]:[Column6]],4,FALSE)</f>
        <v>A2</v>
      </c>
      <c r="K249" s="1020">
        <f t="shared" si="31"/>
        <v>0.7</v>
      </c>
      <c r="L249" s="1021">
        <v>20</v>
      </c>
      <c r="M249" s="1021">
        <f>VLOOKUP(B249,'[26]CN BC'!$F$10:$H$267,3,FALSE)</f>
        <v>20</v>
      </c>
      <c r="N249" s="1021">
        <f t="shared" si="28"/>
        <v>20</v>
      </c>
      <c r="O249" s="1022"/>
      <c r="P249" s="1023">
        <f t="shared" si="29"/>
        <v>8353800.0000000009</v>
      </c>
      <c r="Q249" s="1515">
        <f t="shared" si="32"/>
        <v>3.5700000000000003</v>
      </c>
      <c r="R249" s="1429">
        <v>2340000</v>
      </c>
      <c r="S249" s="1486">
        <f t="shared" si="33"/>
        <v>8353800.0000000009</v>
      </c>
      <c r="T249" s="1024">
        <f t="shared" si="27"/>
        <v>225</v>
      </c>
      <c r="U249" s="1025">
        <f>VLOOKUP(B249,'[26]CN BC'!$F$10:$K$267,6,FALSE)</f>
        <v>0</v>
      </c>
      <c r="V249" s="1027"/>
      <c r="W249" s="1489"/>
      <c r="X249" s="1012"/>
      <c r="Y249" s="1012"/>
      <c r="Z249" s="1012"/>
    </row>
    <row r="250" spans="1:26" s="1028" customFormat="1" ht="27.75" customHeight="1">
      <c r="A250" s="1014">
        <f>_xlfn.AGGREGATE(4,7,A$24:A249)+1</f>
        <v>226</v>
      </c>
      <c r="B250" s="1093" t="s">
        <v>1915</v>
      </c>
      <c r="C250" s="1094" t="s">
        <v>1804</v>
      </c>
      <c r="D250" s="1212" t="s">
        <v>1420</v>
      </c>
      <c r="E250" s="554" t="s">
        <v>2414</v>
      </c>
      <c r="F250" s="1095">
        <v>4.9800000000000004</v>
      </c>
      <c r="G250" s="1096"/>
      <c r="H250" s="1250">
        <f t="shared" si="30"/>
        <v>0</v>
      </c>
      <c r="I250" s="1097"/>
      <c r="J250" s="1020" t="str">
        <f>VLOOKUP(B250,[25]!Table2[[Column2]:[Column6]],4,FALSE)</f>
        <v>A3</v>
      </c>
      <c r="K250" s="1097">
        <f t="shared" si="31"/>
        <v>0.6</v>
      </c>
      <c r="L250" s="1021">
        <v>20</v>
      </c>
      <c r="M250" s="1021">
        <f>VLOOKUP(B250,'[26]CN BC'!$F$10:$H$267,3,FALSE)</f>
        <v>20</v>
      </c>
      <c r="N250" s="1213">
        <f t="shared" si="28"/>
        <v>20</v>
      </c>
      <c r="O250" s="1098"/>
      <c r="P250" s="1214">
        <f t="shared" si="29"/>
        <v>6991920.0000000009</v>
      </c>
      <c r="Q250" s="1515">
        <f t="shared" si="32"/>
        <v>2.9880000000000004</v>
      </c>
      <c r="R250" s="1429">
        <v>2340000</v>
      </c>
      <c r="S250" s="1486">
        <f t="shared" si="33"/>
        <v>6991920.0000000009</v>
      </c>
      <c r="T250" s="1099">
        <f t="shared" si="27"/>
        <v>226</v>
      </c>
      <c r="U250" s="1025">
        <f>VLOOKUP(B250,'[26]CN BC'!$F$10:$K$267,6,FALSE)</f>
        <v>0</v>
      </c>
      <c r="V250" s="1027"/>
      <c r="W250" s="1489"/>
      <c r="X250" s="1012"/>
      <c r="Y250" s="1012"/>
      <c r="Z250" s="1012"/>
    </row>
    <row r="251" spans="1:26" s="1028" customFormat="1" ht="27.75" customHeight="1">
      <c r="A251" s="1014">
        <f>_xlfn.AGGREGATE(4,7,A$24:A250)+1</f>
        <v>227</v>
      </c>
      <c r="B251" s="1015" t="s">
        <v>1916</v>
      </c>
      <c r="C251" s="1033" t="s">
        <v>1805</v>
      </c>
      <c r="D251" s="1034" t="s">
        <v>1</v>
      </c>
      <c r="E251" s="81" t="s">
        <v>2414</v>
      </c>
      <c r="F251" s="1018">
        <v>4.32</v>
      </c>
      <c r="G251" s="1019"/>
      <c r="H251" s="1248">
        <f t="shared" si="30"/>
        <v>0</v>
      </c>
      <c r="I251" s="1517"/>
      <c r="J251" s="1020" t="str">
        <f>VLOOKUP(B251,[25]!Table2[[Column2]:[Column6]],4,FALSE)</f>
        <v>A4</v>
      </c>
      <c r="K251" s="1020">
        <f t="shared" si="31"/>
        <v>0.5</v>
      </c>
      <c r="L251" s="1021">
        <v>20</v>
      </c>
      <c r="M251" s="1021">
        <f>VLOOKUP(B251,'[26]CN BC'!$F$10:$H$267,3,FALSE)</f>
        <v>20</v>
      </c>
      <c r="N251" s="1021">
        <f t="shared" si="28"/>
        <v>20</v>
      </c>
      <c r="O251" s="1022"/>
      <c r="P251" s="1023">
        <f t="shared" si="29"/>
        <v>5054400</v>
      </c>
      <c r="Q251" s="1515">
        <f t="shared" si="32"/>
        <v>2.16</v>
      </c>
      <c r="R251" s="1429">
        <v>2340000</v>
      </c>
      <c r="S251" s="1486">
        <f t="shared" si="33"/>
        <v>5054400</v>
      </c>
      <c r="T251" s="1024">
        <f t="shared" si="27"/>
        <v>227</v>
      </c>
      <c r="U251" s="1025">
        <f>VLOOKUP(B251,'[26]CN BC'!$F$10:$K$267,6,FALSE)</f>
        <v>0</v>
      </c>
      <c r="V251" s="1027"/>
      <c r="W251" s="1489"/>
      <c r="X251" s="1012"/>
      <c r="Y251" s="1012"/>
      <c r="Z251" s="1012"/>
    </row>
    <row r="252" spans="1:26" s="1028" customFormat="1" ht="27.75" customHeight="1">
      <c r="A252" s="1014">
        <f>_xlfn.AGGREGATE(4,7,A$24:A251)+1</f>
        <v>228</v>
      </c>
      <c r="B252" s="1015" t="s">
        <v>1542</v>
      </c>
      <c r="C252" s="1033" t="s">
        <v>1806</v>
      </c>
      <c r="D252" s="1034" t="s">
        <v>3</v>
      </c>
      <c r="E252" s="81" t="s">
        <v>2414</v>
      </c>
      <c r="F252" s="1040">
        <v>4.32</v>
      </c>
      <c r="G252" s="1019"/>
      <c r="H252" s="1255">
        <f t="shared" si="30"/>
        <v>0</v>
      </c>
      <c r="I252" s="1020"/>
      <c r="J252" s="1020" t="str">
        <f>VLOOKUP(B252,[25]!Table2[[Column2]:[Column6]],4,FALSE)</f>
        <v>A4</v>
      </c>
      <c r="K252" s="1020">
        <f t="shared" si="31"/>
        <v>0.5</v>
      </c>
      <c r="L252" s="1021">
        <v>20</v>
      </c>
      <c r="M252" s="1021">
        <f>VLOOKUP(B252,'[26]CN BC'!$F$10:$H$267,3,FALSE)</f>
        <v>20</v>
      </c>
      <c r="N252" s="1021">
        <f t="shared" si="28"/>
        <v>20</v>
      </c>
      <c r="O252" s="1035"/>
      <c r="P252" s="1023">
        <f t="shared" si="29"/>
        <v>5054400</v>
      </c>
      <c r="Q252" s="1515">
        <f t="shared" si="32"/>
        <v>2.16</v>
      </c>
      <c r="R252" s="1429">
        <v>2340000</v>
      </c>
      <c r="S252" s="1486">
        <f t="shared" si="33"/>
        <v>5054400</v>
      </c>
      <c r="T252" s="1024">
        <f t="shared" si="27"/>
        <v>228</v>
      </c>
      <c r="U252" s="1025">
        <f>VLOOKUP(B252,'[26]CN BC'!$F$10:$K$267,6,FALSE)</f>
        <v>0</v>
      </c>
      <c r="V252" s="1038"/>
      <c r="W252" s="1489"/>
    </row>
    <row r="253" spans="1:26" s="1028" customFormat="1" ht="27.75" customHeight="1">
      <c r="A253" s="1014">
        <f>_xlfn.AGGREGATE(4,7,A$24:A252)+1</f>
        <v>229</v>
      </c>
      <c r="B253" s="1015" t="s">
        <v>1543</v>
      </c>
      <c r="C253" s="1033" t="s">
        <v>1807</v>
      </c>
      <c r="D253" s="1034" t="s">
        <v>4</v>
      </c>
      <c r="E253" s="81" t="s">
        <v>2414</v>
      </c>
      <c r="F253" s="1040">
        <v>4.32</v>
      </c>
      <c r="G253" s="1019"/>
      <c r="H253" s="1248">
        <f t="shared" si="30"/>
        <v>0</v>
      </c>
      <c r="I253" s="1517"/>
      <c r="J253" s="1020" t="str">
        <f>VLOOKUP(B253,[25]!Table2[[Column2]:[Column6]],4,FALSE)</f>
        <v>A2</v>
      </c>
      <c r="K253" s="1020">
        <f t="shared" si="31"/>
        <v>0.7</v>
      </c>
      <c r="L253" s="1021">
        <v>20</v>
      </c>
      <c r="M253" s="1021">
        <f>VLOOKUP(B253,'[26]CN BC'!$F$10:$H$267,3,FALSE)</f>
        <v>20</v>
      </c>
      <c r="N253" s="1021">
        <f t="shared" si="28"/>
        <v>20</v>
      </c>
      <c r="O253" s="1022"/>
      <c r="P253" s="1023">
        <f t="shared" si="29"/>
        <v>7076160</v>
      </c>
      <c r="Q253" s="1515">
        <f t="shared" si="32"/>
        <v>3.024</v>
      </c>
      <c r="R253" s="1429">
        <v>2340000</v>
      </c>
      <c r="S253" s="1486">
        <f t="shared" si="33"/>
        <v>7076160</v>
      </c>
      <c r="T253" s="1024">
        <f t="shared" si="27"/>
        <v>229</v>
      </c>
      <c r="U253" s="1025">
        <f>VLOOKUP(B253,'[26]CN BC'!$F$10:$K$267,6,FALSE)</f>
        <v>0</v>
      </c>
      <c r="V253" s="1027"/>
      <c r="W253" s="1489"/>
      <c r="X253" s="1012"/>
      <c r="Y253" s="1012"/>
      <c r="Z253" s="1012"/>
    </row>
    <row r="254" spans="1:26" s="1028" customFormat="1" ht="23.25" customHeight="1">
      <c r="A254" s="1014">
        <f>_xlfn.AGGREGATE(4,7,A$24:A253)+1</f>
        <v>230</v>
      </c>
      <c r="B254" s="1015" t="s">
        <v>1544</v>
      </c>
      <c r="C254" s="1033" t="s">
        <v>1808</v>
      </c>
      <c r="D254" s="1034" t="s">
        <v>5</v>
      </c>
      <c r="E254" s="368" t="str">
        <f>VLOOKUP(B254,TH.Q2!B163:E494,4,FALSE)</f>
        <v>Giảng viên khoa Động lực</v>
      </c>
      <c r="F254" s="1040">
        <v>3.99</v>
      </c>
      <c r="G254" s="1019"/>
      <c r="H254" s="1255">
        <f t="shared" si="30"/>
        <v>0</v>
      </c>
      <c r="I254" s="1020"/>
      <c r="J254" s="1020" t="str">
        <f>VLOOKUP(B254,[25]!Table2[[Column2]:[Column6]],4,FALSE)</f>
        <v>A4</v>
      </c>
      <c r="K254" s="1020">
        <f t="shared" si="31"/>
        <v>0.5</v>
      </c>
      <c r="L254" s="1021">
        <v>20</v>
      </c>
      <c r="M254" s="1021">
        <f>VLOOKUP(B254,'[26]CN BC'!$F$10:$H$267,3,FALSE)</f>
        <v>20</v>
      </c>
      <c r="N254" s="1021">
        <f t="shared" si="28"/>
        <v>20</v>
      </c>
      <c r="O254" s="1035"/>
      <c r="P254" s="1023">
        <f t="shared" si="29"/>
        <v>4668300</v>
      </c>
      <c r="Q254" s="1515">
        <f t="shared" si="32"/>
        <v>1.9950000000000001</v>
      </c>
      <c r="R254" s="1429">
        <v>2340000</v>
      </c>
      <c r="S254" s="1486">
        <f t="shared" si="33"/>
        <v>4668300</v>
      </c>
      <c r="T254" s="1024">
        <f t="shared" si="27"/>
        <v>230</v>
      </c>
      <c r="U254" s="1025">
        <f>VLOOKUP(B254,'[26]CN BC'!$F$10:$K$267,6,FALSE)</f>
        <v>0</v>
      </c>
      <c r="V254" s="1038"/>
      <c r="W254" s="1489"/>
    </row>
    <row r="255" spans="1:26" s="1028" customFormat="1" ht="27.75" customHeight="1">
      <c r="A255" s="1014">
        <f>_xlfn.AGGREGATE(4,7,A$24:A254)+1</f>
        <v>231</v>
      </c>
      <c r="B255" s="1015" t="s">
        <v>1917</v>
      </c>
      <c r="C255" s="1033" t="s">
        <v>1809</v>
      </c>
      <c r="D255" s="1034" t="s">
        <v>394</v>
      </c>
      <c r="E255" s="368" t="str">
        <f>VLOOKUP(B255,TH.Q2!B164:E495,4,FALSE)</f>
        <v>Giảng viên khoa Động lực</v>
      </c>
      <c r="F255" s="1040">
        <v>3.99</v>
      </c>
      <c r="G255" s="1019"/>
      <c r="H255" s="1255">
        <f t="shared" si="30"/>
        <v>0</v>
      </c>
      <c r="I255" s="1020"/>
      <c r="J255" s="1020" t="str">
        <f>VLOOKUP(B255,[25]!Table2[[Column2]:[Column6]],4,FALSE)</f>
        <v>A4</v>
      </c>
      <c r="K255" s="1020">
        <f t="shared" si="31"/>
        <v>0.5</v>
      </c>
      <c r="L255" s="1021">
        <v>20</v>
      </c>
      <c r="M255" s="1021">
        <f>VLOOKUP(B255,'[26]CN BC'!$F$10:$H$267,3,FALSE)</f>
        <v>20</v>
      </c>
      <c r="N255" s="1021">
        <f t="shared" si="28"/>
        <v>20</v>
      </c>
      <c r="O255" s="1035"/>
      <c r="P255" s="1023">
        <f t="shared" si="29"/>
        <v>4668300</v>
      </c>
      <c r="Q255" s="1515">
        <f t="shared" si="32"/>
        <v>1.9950000000000001</v>
      </c>
      <c r="R255" s="1429">
        <v>2340000</v>
      </c>
      <c r="S255" s="1486">
        <f t="shared" si="33"/>
        <v>4668300</v>
      </c>
      <c r="T255" s="1024">
        <f t="shared" si="27"/>
        <v>231</v>
      </c>
      <c r="U255" s="1025">
        <f>VLOOKUP(B255,'[26]CN BC'!$F$10:$K$267,6,FALSE)</f>
        <v>0</v>
      </c>
      <c r="V255" s="1038"/>
      <c r="W255" s="1489"/>
    </row>
    <row r="256" spans="1:26" s="1028" customFormat="1" ht="26.25" customHeight="1">
      <c r="A256" s="1014">
        <f>_xlfn.AGGREGATE(4,7,A$24:A255)+1</f>
        <v>232</v>
      </c>
      <c r="B256" s="1101" t="s">
        <v>1918</v>
      </c>
      <c r="C256" s="1033" t="s">
        <v>1810</v>
      </c>
      <c r="D256" s="1034" t="s">
        <v>393</v>
      </c>
      <c r="E256" s="368" t="str">
        <f>VLOOKUP(B256,TH.Q2!B165:E496,4,FALSE)</f>
        <v>Giảng viên khoa Động lực</v>
      </c>
      <c r="F256" s="1040">
        <v>3.99</v>
      </c>
      <c r="G256" s="1019"/>
      <c r="H256" s="1255">
        <f t="shared" si="30"/>
        <v>0</v>
      </c>
      <c r="I256" s="1020"/>
      <c r="J256" s="1020" t="str">
        <f>VLOOKUP(B256,[25]!Table2[[Column2]:[Column6]],4,FALSE)</f>
        <v>A4</v>
      </c>
      <c r="K256" s="1020">
        <f t="shared" si="31"/>
        <v>0.5</v>
      </c>
      <c r="L256" s="1021">
        <v>20</v>
      </c>
      <c r="M256" s="1021">
        <f>VLOOKUP(B256,'[26]CN BC'!$F$10:$H$267,3,FALSE)</f>
        <v>20</v>
      </c>
      <c r="N256" s="1021">
        <f t="shared" si="28"/>
        <v>20</v>
      </c>
      <c r="O256" s="1035"/>
      <c r="P256" s="1023">
        <f t="shared" si="29"/>
        <v>4668300</v>
      </c>
      <c r="Q256" s="1515">
        <f t="shared" si="32"/>
        <v>1.9950000000000001</v>
      </c>
      <c r="R256" s="1429">
        <v>2340000</v>
      </c>
      <c r="S256" s="1486">
        <f t="shared" si="33"/>
        <v>4668300</v>
      </c>
      <c r="T256" s="1024">
        <f t="shared" si="27"/>
        <v>232</v>
      </c>
      <c r="U256" s="1025">
        <f>VLOOKUP(B256,'[26]CN BC'!$F$10:$K$267,6,FALSE)</f>
        <v>0</v>
      </c>
      <c r="V256" s="1038"/>
      <c r="W256" s="1489"/>
    </row>
    <row r="257" spans="1:26" s="1028" customFormat="1" ht="27.75" customHeight="1">
      <c r="A257" s="1014">
        <f>_xlfn.AGGREGATE(4,7,A$24:A256)+1</f>
        <v>233</v>
      </c>
      <c r="B257" s="1015" t="s">
        <v>1545</v>
      </c>
      <c r="C257" s="1033" t="s">
        <v>1811</v>
      </c>
      <c r="D257" s="1034" t="s">
        <v>395</v>
      </c>
      <c r="E257" s="368" t="str">
        <f>VLOOKUP(B257,TH.Q2!B166:E497,4,FALSE)</f>
        <v>Giảng viên khoa Động lực</v>
      </c>
      <c r="F257" s="1040">
        <v>3.99</v>
      </c>
      <c r="G257" s="1019"/>
      <c r="H257" s="1255">
        <f t="shared" si="30"/>
        <v>0</v>
      </c>
      <c r="I257" s="1020"/>
      <c r="J257" s="1020" t="str">
        <f>VLOOKUP(B257,[25]!Table2[[Column2]:[Column6]],4,FALSE)</f>
        <v>A4</v>
      </c>
      <c r="K257" s="1020">
        <f t="shared" si="31"/>
        <v>0.5</v>
      </c>
      <c r="L257" s="1021">
        <v>20</v>
      </c>
      <c r="M257" s="1021">
        <f>VLOOKUP(B257,'[26]CN BC'!$F$10:$H$267,3,FALSE)</f>
        <v>20</v>
      </c>
      <c r="N257" s="1021">
        <f t="shared" si="28"/>
        <v>20</v>
      </c>
      <c r="O257" s="1035"/>
      <c r="P257" s="1023">
        <f t="shared" si="29"/>
        <v>4668300</v>
      </c>
      <c r="Q257" s="1515">
        <f t="shared" si="32"/>
        <v>1.9950000000000001</v>
      </c>
      <c r="R257" s="1429">
        <v>2340000</v>
      </c>
      <c r="S257" s="1486">
        <f t="shared" si="33"/>
        <v>4668300</v>
      </c>
      <c r="T257" s="1024">
        <f t="shared" si="27"/>
        <v>233</v>
      </c>
      <c r="U257" s="1025">
        <f>VLOOKUP(B257,'[26]CN BC'!$F$10:$K$267,6,FALSE)</f>
        <v>0</v>
      </c>
      <c r="V257" s="1038"/>
      <c r="W257" s="1489"/>
    </row>
    <row r="258" spans="1:26" s="1028" customFormat="1" ht="41.25" customHeight="1">
      <c r="A258" s="1014">
        <f>_xlfn.AGGREGATE(4,7,A$24:A257)+1</f>
        <v>234</v>
      </c>
      <c r="B258" s="1015" t="s">
        <v>1546</v>
      </c>
      <c r="C258" s="1033" t="s">
        <v>1812</v>
      </c>
      <c r="D258" s="1034" t="s">
        <v>473</v>
      </c>
      <c r="E258" s="81" t="str">
        <f>VLOOKUP(B258,TH.Q2!B167:E498,4,FALSE)</f>
        <v>Giảng viên khoa Động lực</v>
      </c>
      <c r="F258" s="1040">
        <v>3.99</v>
      </c>
      <c r="G258" s="1019"/>
      <c r="H258" s="1248">
        <f t="shared" si="30"/>
        <v>0</v>
      </c>
      <c r="I258" s="1020"/>
      <c r="J258" s="1020" t="str">
        <f>VLOOKUP(B258,[25]!Table2[[Column2]:[Column6]],4,FALSE)</f>
        <v>A3</v>
      </c>
      <c r="K258" s="1020">
        <f t="shared" si="31"/>
        <v>0.6</v>
      </c>
      <c r="L258" s="1021">
        <v>20</v>
      </c>
      <c r="M258" s="1021">
        <f>VLOOKUP(B258,'[26]CN BC'!$F$10:$H$267,3,FALSE)</f>
        <v>32</v>
      </c>
      <c r="N258" s="1021">
        <f t="shared" si="28"/>
        <v>20</v>
      </c>
      <c r="O258" s="1022"/>
      <c r="P258" s="1023">
        <f t="shared" si="29"/>
        <v>5601960</v>
      </c>
      <c r="Q258" s="1515">
        <f t="shared" si="32"/>
        <v>2.3940000000000001</v>
      </c>
      <c r="R258" s="1429">
        <v>2340000</v>
      </c>
      <c r="S258" s="1486">
        <f t="shared" si="33"/>
        <v>5601960</v>
      </c>
      <c r="T258" s="1024">
        <f t="shared" si="27"/>
        <v>234</v>
      </c>
      <c r="U258" s="1025" t="str">
        <f>VLOOKUP(B258,'[26]CN BC'!$F$10:$K$267,6,FALSE)</f>
        <v>Cộng 12 ngày công T8/2025 (Theo Tờ trình của TK)</v>
      </c>
      <c r="V258" s="1027"/>
      <c r="W258" s="1489"/>
      <c r="X258" s="1012"/>
      <c r="Y258" s="1012"/>
      <c r="Z258" s="1012"/>
    </row>
    <row r="259" spans="1:26" s="1028" customFormat="1" ht="25.5" customHeight="1">
      <c r="A259" s="1014">
        <f>_xlfn.AGGREGATE(4,7,A$24:A258)+1</f>
        <v>235</v>
      </c>
      <c r="B259" s="1015" t="s">
        <v>1547</v>
      </c>
      <c r="C259" s="1033" t="s">
        <v>1813</v>
      </c>
      <c r="D259" s="1104" t="s">
        <v>490</v>
      </c>
      <c r="E259" s="81" t="str">
        <f>VLOOKUP(B259,TH.Q2!B168:E499,4,FALSE)</f>
        <v>Giảng viên khoa Động lực</v>
      </c>
      <c r="F259" s="1040">
        <v>3.66</v>
      </c>
      <c r="G259" s="1019"/>
      <c r="H259" s="1248">
        <f t="shared" si="30"/>
        <v>0</v>
      </c>
      <c r="I259" s="1020"/>
      <c r="J259" s="1020" t="str">
        <f>VLOOKUP(B259,[25]!Table2[[Column2]:[Column6]],4,FALSE)</f>
        <v>A4</v>
      </c>
      <c r="K259" s="1020">
        <f t="shared" si="31"/>
        <v>0.5</v>
      </c>
      <c r="L259" s="1021">
        <v>20</v>
      </c>
      <c r="M259" s="1021">
        <f>VLOOKUP(B259,'[26]CN BC'!$F$10:$H$267,3,FALSE)</f>
        <v>20</v>
      </c>
      <c r="N259" s="1021">
        <f t="shared" si="28"/>
        <v>20</v>
      </c>
      <c r="O259" s="1022"/>
      <c r="P259" s="1023">
        <f t="shared" si="29"/>
        <v>4282200</v>
      </c>
      <c r="Q259" s="1515">
        <f t="shared" si="32"/>
        <v>1.83</v>
      </c>
      <c r="R259" s="1429">
        <v>2340000</v>
      </c>
      <c r="S259" s="1486">
        <f t="shared" si="33"/>
        <v>4282200</v>
      </c>
      <c r="T259" s="1024">
        <f t="shared" si="27"/>
        <v>235</v>
      </c>
      <c r="U259" s="1025">
        <f>VLOOKUP(B259,'[26]CN BC'!$F$10:$K$267,6,FALSE)</f>
        <v>0</v>
      </c>
      <c r="V259" s="1027"/>
      <c r="W259" s="1489"/>
      <c r="X259" s="1012"/>
      <c r="Y259" s="1012"/>
      <c r="Z259" s="1012"/>
    </row>
    <row r="260" spans="1:26" s="1028" customFormat="1" ht="23.25" customHeight="1">
      <c r="A260" s="1014">
        <f>_xlfn.AGGREGATE(4,7,A$24:A259)+1</f>
        <v>236</v>
      </c>
      <c r="B260" s="1015" t="s">
        <v>1919</v>
      </c>
      <c r="C260" s="1033" t="s">
        <v>1814</v>
      </c>
      <c r="D260" s="1034" t="s">
        <v>750</v>
      </c>
      <c r="E260" s="81" t="str">
        <f>VLOOKUP(B260,TH.Q2!B169:E500,4,FALSE)</f>
        <v>Giảng viên khoa Động lực</v>
      </c>
      <c r="F260" s="1040">
        <v>3.66</v>
      </c>
      <c r="G260" s="1019"/>
      <c r="H260" s="1248">
        <f t="shared" si="30"/>
        <v>0</v>
      </c>
      <c r="I260" s="1020"/>
      <c r="J260" s="1020" t="str">
        <f>VLOOKUP(B260,[25]!Table2[[Column2]:[Column6]],4,FALSE)</f>
        <v>A4</v>
      </c>
      <c r="K260" s="1020">
        <f t="shared" si="31"/>
        <v>0.5</v>
      </c>
      <c r="L260" s="1021">
        <v>20</v>
      </c>
      <c r="M260" s="1021">
        <f>VLOOKUP(B260,'[26]CN BC'!$F$10:$H$267,3,FALSE)</f>
        <v>20</v>
      </c>
      <c r="N260" s="1021">
        <f t="shared" si="28"/>
        <v>20</v>
      </c>
      <c r="O260" s="1022"/>
      <c r="P260" s="1023">
        <f t="shared" si="29"/>
        <v>4282200</v>
      </c>
      <c r="Q260" s="1515">
        <f t="shared" si="32"/>
        <v>1.83</v>
      </c>
      <c r="R260" s="1429">
        <v>2340000</v>
      </c>
      <c r="S260" s="1486">
        <f t="shared" si="33"/>
        <v>4282200</v>
      </c>
      <c r="T260" s="1024">
        <f t="shared" si="27"/>
        <v>236</v>
      </c>
      <c r="U260" s="1025">
        <f>VLOOKUP(B260,'[26]CN BC'!$F$10:$K$267,6,FALSE)</f>
        <v>0</v>
      </c>
      <c r="V260" s="1027"/>
      <c r="W260" s="1489"/>
      <c r="X260" s="1012"/>
      <c r="Y260" s="1012"/>
      <c r="Z260" s="1012"/>
    </row>
    <row r="261" spans="1:26" s="1028" customFormat="1" ht="25.5" customHeight="1">
      <c r="A261" s="1014">
        <f>_xlfn.AGGREGATE(4,7,A$24:A260)+1</f>
        <v>237</v>
      </c>
      <c r="B261" s="1015" t="s">
        <v>1548</v>
      </c>
      <c r="C261" s="1033" t="s">
        <v>1815</v>
      </c>
      <c r="D261" s="1034" t="s">
        <v>752</v>
      </c>
      <c r="E261" s="81" t="str">
        <f>VLOOKUP(B261,TH.Q2!B170:E501,4,FALSE)</f>
        <v>Giảng viên khoa Động lực</v>
      </c>
      <c r="F261" s="1040">
        <v>3.66</v>
      </c>
      <c r="G261" s="1019"/>
      <c r="H261" s="1248">
        <f t="shared" si="30"/>
        <v>0</v>
      </c>
      <c r="I261" s="1020"/>
      <c r="J261" s="1020" t="str">
        <f>VLOOKUP(B261,[25]!Table2[[Column2]:[Column6]],4,FALSE)</f>
        <v>A4</v>
      </c>
      <c r="K261" s="1020">
        <f t="shared" si="31"/>
        <v>0.5</v>
      </c>
      <c r="L261" s="1021">
        <v>20</v>
      </c>
      <c r="M261" s="1021">
        <f>VLOOKUP(B261,'[26]CN BC'!$F$10:$H$267,3,FALSE)</f>
        <v>20</v>
      </c>
      <c r="N261" s="1021">
        <f t="shared" si="28"/>
        <v>20</v>
      </c>
      <c r="O261" s="1022"/>
      <c r="P261" s="1023">
        <f t="shared" si="29"/>
        <v>4282200</v>
      </c>
      <c r="Q261" s="1515">
        <f t="shared" si="32"/>
        <v>1.83</v>
      </c>
      <c r="R261" s="1429">
        <v>2340000</v>
      </c>
      <c r="S261" s="1486">
        <f t="shared" si="33"/>
        <v>4282200</v>
      </c>
      <c r="T261" s="1024">
        <f t="shared" si="27"/>
        <v>237</v>
      </c>
      <c r="U261" s="1025">
        <f>VLOOKUP(B261,'[26]CN BC'!$F$10:$K$267,6,FALSE)</f>
        <v>0</v>
      </c>
      <c r="V261" s="1038"/>
      <c r="W261" s="1489"/>
    </row>
    <row r="262" spans="1:26" s="1028" customFormat="1" ht="25.5" customHeight="1">
      <c r="A262" s="1014">
        <f>_xlfn.AGGREGATE(4,7,A$24:A261)+1</f>
        <v>238</v>
      </c>
      <c r="B262" s="1015" t="s">
        <v>1549</v>
      </c>
      <c r="C262" s="1033" t="s">
        <v>1816</v>
      </c>
      <c r="D262" s="1030" t="s">
        <v>1429</v>
      </c>
      <c r="E262" s="368" t="str">
        <f>VLOOKUP(B262,TH.Q2!B171:E502,4,FALSE)</f>
        <v>Giảng viên khoa Động lực</v>
      </c>
      <c r="F262" s="1109">
        <v>3.66</v>
      </c>
      <c r="G262" s="1019"/>
      <c r="H262" s="1255">
        <f t="shared" si="30"/>
        <v>0</v>
      </c>
      <c r="I262" s="1020">
        <v>0.25</v>
      </c>
      <c r="J262" s="1020" t="str">
        <f>VLOOKUP(B262,[25]!Table2[[Column2]:[Column6]],4,FALSE)</f>
        <v>A4</v>
      </c>
      <c r="K262" s="1020">
        <f t="shared" si="31"/>
        <v>0.5</v>
      </c>
      <c r="L262" s="1021">
        <v>20</v>
      </c>
      <c r="M262" s="1021">
        <f>VLOOKUP(B262,'[26]CN BC'!$F$10:$H$267,3,FALSE)</f>
        <v>20</v>
      </c>
      <c r="N262" s="1021">
        <f t="shared" si="28"/>
        <v>20</v>
      </c>
      <c r="O262" s="1035"/>
      <c r="P262" s="1023">
        <f t="shared" si="29"/>
        <v>4574700</v>
      </c>
      <c r="Q262" s="1515">
        <f t="shared" si="32"/>
        <v>1.9550000000000001</v>
      </c>
      <c r="R262" s="1429">
        <v>2340000</v>
      </c>
      <c r="S262" s="1486">
        <f t="shared" si="33"/>
        <v>4574700</v>
      </c>
      <c r="T262" s="1024">
        <f t="shared" si="27"/>
        <v>238</v>
      </c>
      <c r="U262" s="1025">
        <f>VLOOKUP(B262,'[26]CN BC'!$F$10:$K$267,6,FALSE)</f>
        <v>0</v>
      </c>
      <c r="V262" s="1038"/>
      <c r="W262" s="1489"/>
    </row>
    <row r="263" spans="1:26" s="1028" customFormat="1" ht="25.5" customHeight="1">
      <c r="A263" s="1014">
        <f>_xlfn.AGGREGATE(4,7,A$24:A262)+1</f>
        <v>239</v>
      </c>
      <c r="B263" s="1015" t="s">
        <v>1550</v>
      </c>
      <c r="C263" s="1033" t="s">
        <v>1817</v>
      </c>
      <c r="D263" s="1030" t="s">
        <v>1430</v>
      </c>
      <c r="E263" s="368" t="str">
        <f>VLOOKUP(B263,TH.Q2!B172:E503,4,FALSE)</f>
        <v>Giảng viên khoa Động lực</v>
      </c>
      <c r="F263" s="1109">
        <v>3.66</v>
      </c>
      <c r="G263" s="1019"/>
      <c r="H263" s="1255">
        <f t="shared" si="30"/>
        <v>0</v>
      </c>
      <c r="I263" s="1020"/>
      <c r="J263" s="1020" t="str">
        <f>VLOOKUP(B263,[25]!Table2[[Column2]:[Column6]],4,FALSE)</f>
        <v>A4</v>
      </c>
      <c r="K263" s="1020">
        <f t="shared" si="31"/>
        <v>0.5</v>
      </c>
      <c r="L263" s="1021">
        <v>20</v>
      </c>
      <c r="M263" s="1021">
        <f>VLOOKUP(B263,'[26]CN BC'!$F$10:$H$267,3,FALSE)</f>
        <v>20</v>
      </c>
      <c r="N263" s="1021">
        <f t="shared" si="28"/>
        <v>20</v>
      </c>
      <c r="O263" s="1035"/>
      <c r="P263" s="1023">
        <f t="shared" si="29"/>
        <v>4282200</v>
      </c>
      <c r="Q263" s="1515">
        <f t="shared" si="32"/>
        <v>1.83</v>
      </c>
      <c r="R263" s="1429">
        <v>2340000</v>
      </c>
      <c r="S263" s="1486">
        <f t="shared" si="33"/>
        <v>4282200</v>
      </c>
      <c r="T263" s="1024">
        <f t="shared" si="27"/>
        <v>239</v>
      </c>
      <c r="U263" s="1025">
        <f>VLOOKUP(B263,'[26]CN BC'!$F$10:$K$267,6,FALSE)</f>
        <v>0</v>
      </c>
      <c r="V263" s="1038"/>
      <c r="W263" s="1489"/>
    </row>
    <row r="264" spans="1:26" s="1028" customFormat="1" ht="25.5" customHeight="1">
      <c r="A264" s="1014">
        <f>_xlfn.AGGREGATE(4,7,A$24:A263)+1</f>
        <v>240</v>
      </c>
      <c r="B264" s="1015" t="s">
        <v>1836</v>
      </c>
      <c r="C264" s="1033" t="s">
        <v>1976</v>
      </c>
      <c r="D264" s="1076" t="s">
        <v>1977</v>
      </c>
      <c r="E264" s="81" t="str">
        <f>VLOOKUP(B264,TH.Q2!B173:E504,4,FALSE)</f>
        <v>Giảng viên khoa Động lực</v>
      </c>
      <c r="F264" s="1109">
        <v>3</v>
      </c>
      <c r="G264" s="1019"/>
      <c r="H264" s="1248">
        <f t="shared" si="30"/>
        <v>0</v>
      </c>
      <c r="I264" s="1020"/>
      <c r="J264" s="1020" t="str">
        <f>VLOOKUP(B264,[25]!Table2[[Column2]:[Column6]],4,FALSE)</f>
        <v>A3</v>
      </c>
      <c r="K264" s="1020">
        <f t="shared" si="31"/>
        <v>0.6</v>
      </c>
      <c r="L264" s="1021">
        <v>20</v>
      </c>
      <c r="M264" s="1021">
        <f>VLOOKUP(B264,'[26]CN BC'!$F$10:$H$267,3,FALSE)</f>
        <v>20</v>
      </c>
      <c r="N264" s="1021">
        <f t="shared" si="28"/>
        <v>20</v>
      </c>
      <c r="O264" s="1022"/>
      <c r="P264" s="1023">
        <f t="shared" si="29"/>
        <v>4212000</v>
      </c>
      <c r="Q264" s="1515">
        <f t="shared" si="32"/>
        <v>1.8</v>
      </c>
      <c r="R264" s="1429">
        <v>2340000</v>
      </c>
      <c r="S264" s="1486">
        <f t="shared" si="33"/>
        <v>4212000</v>
      </c>
      <c r="T264" s="1024">
        <f t="shared" si="27"/>
        <v>240</v>
      </c>
      <c r="U264" s="1025">
        <f>VLOOKUP(B264,'[26]CN BC'!$F$10:$K$267,6,FALSE)</f>
        <v>0</v>
      </c>
      <c r="V264" s="1027"/>
      <c r="W264" s="1489"/>
      <c r="X264" s="1012"/>
      <c r="Y264" s="1012"/>
      <c r="Z264" s="1012"/>
    </row>
    <row r="265" spans="1:26" s="1028" customFormat="1" ht="25.5" customHeight="1">
      <c r="A265" s="1014">
        <f>_xlfn.AGGREGATE(4,7,A$24:A264)+1</f>
        <v>241</v>
      </c>
      <c r="B265" s="1015" t="s">
        <v>1837</v>
      </c>
      <c r="C265" s="1033" t="s">
        <v>1978</v>
      </c>
      <c r="D265" s="1076" t="s">
        <v>1979</v>
      </c>
      <c r="E265" s="81" t="str">
        <f>VLOOKUP(B265,TH.Q2!B174:E505,4,FALSE)</f>
        <v>Giảng viên khoa Động lực</v>
      </c>
      <c r="F265" s="1104">
        <v>2.67</v>
      </c>
      <c r="G265" s="1019"/>
      <c r="H265" s="1248">
        <f t="shared" si="30"/>
        <v>0</v>
      </c>
      <c r="I265" s="1020"/>
      <c r="J265" s="1020" t="str">
        <f>VLOOKUP(B265,[25]!Table2[[Column2]:[Column6]],4,FALSE)</f>
        <v>A4</v>
      </c>
      <c r="K265" s="1020">
        <f t="shared" si="31"/>
        <v>0.5</v>
      </c>
      <c r="L265" s="1021">
        <v>20</v>
      </c>
      <c r="M265" s="1021">
        <f>VLOOKUP(B265,'[26]CN BC'!$F$10:$H$267,3,FALSE)</f>
        <v>20</v>
      </c>
      <c r="N265" s="1021">
        <f t="shared" si="28"/>
        <v>20</v>
      </c>
      <c r="O265" s="1022"/>
      <c r="P265" s="1023">
        <f t="shared" si="29"/>
        <v>3123900</v>
      </c>
      <c r="Q265" s="1515">
        <f t="shared" si="32"/>
        <v>1.335</v>
      </c>
      <c r="R265" s="1429">
        <v>2340000</v>
      </c>
      <c r="S265" s="1486">
        <f t="shared" si="33"/>
        <v>3123900</v>
      </c>
      <c r="T265" s="1024">
        <f t="shared" si="27"/>
        <v>241</v>
      </c>
      <c r="U265" s="1025">
        <f>VLOOKUP(B265,'[26]CN BC'!$F$10:$K$267,6,FALSE)</f>
        <v>0</v>
      </c>
      <c r="V265" s="1027"/>
      <c r="W265" s="1489"/>
      <c r="X265" s="1012"/>
      <c r="Y265" s="1012"/>
      <c r="Z265" s="1012"/>
    </row>
    <row r="266" spans="1:26" s="1028" customFormat="1" ht="25.5" customHeight="1">
      <c r="A266" s="1014">
        <f>_xlfn.AGGREGATE(4,7,A$24:A265)+1</f>
        <v>242</v>
      </c>
      <c r="B266" s="1101" t="s">
        <v>1839</v>
      </c>
      <c r="C266" s="1033" t="s">
        <v>1980</v>
      </c>
      <c r="D266" s="1076" t="s">
        <v>1981</v>
      </c>
      <c r="E266" s="81" t="str">
        <f>VLOOKUP(B266,TH.Q2!B175:E506,4,FALSE)</f>
        <v>Giảng viên khoa Động lực</v>
      </c>
      <c r="F266" s="1109">
        <v>3.33</v>
      </c>
      <c r="G266" s="1019"/>
      <c r="H266" s="1248">
        <f t="shared" si="30"/>
        <v>0</v>
      </c>
      <c r="I266" s="1020"/>
      <c r="J266" s="1020" t="str">
        <f>VLOOKUP(B266,[25]!Table2[[Column2]:[Column6]],4,FALSE)</f>
        <v>A4</v>
      </c>
      <c r="K266" s="1020">
        <f t="shared" si="31"/>
        <v>0.5</v>
      </c>
      <c r="L266" s="1021">
        <v>20</v>
      </c>
      <c r="M266" s="1021">
        <f>VLOOKUP(B266,'[26]CN BC'!$F$10:$H$267,3,FALSE)</f>
        <v>20</v>
      </c>
      <c r="N266" s="1021">
        <f t="shared" si="28"/>
        <v>20</v>
      </c>
      <c r="O266" s="1022"/>
      <c r="P266" s="1023">
        <f t="shared" si="29"/>
        <v>3896100</v>
      </c>
      <c r="Q266" s="1515">
        <f t="shared" si="32"/>
        <v>1.665</v>
      </c>
      <c r="R266" s="1429">
        <v>2340000</v>
      </c>
      <c r="S266" s="1486">
        <f t="shared" si="33"/>
        <v>3896100</v>
      </c>
      <c r="T266" s="1024">
        <f t="shared" si="27"/>
        <v>242</v>
      </c>
      <c r="U266" s="1025">
        <f>VLOOKUP(B266,'[26]CN BC'!$F$10:$K$267,6,FALSE)</f>
        <v>0</v>
      </c>
      <c r="V266" s="1027"/>
      <c r="W266" s="1489"/>
      <c r="X266" s="1012"/>
      <c r="Y266" s="1012"/>
      <c r="Z266" s="1012"/>
    </row>
    <row r="267" spans="1:26" s="1028" customFormat="1" ht="41.25" customHeight="1">
      <c r="A267" s="1014">
        <f>_xlfn.AGGREGATE(4,7,A$24:A266)+1</f>
        <v>243</v>
      </c>
      <c r="B267" s="1101" t="s">
        <v>1844</v>
      </c>
      <c r="C267" s="1033" t="s">
        <v>1982</v>
      </c>
      <c r="D267" s="1076" t="s">
        <v>1983</v>
      </c>
      <c r="E267" s="81" t="str">
        <f>VLOOKUP(B267,TH.Q2!B176:E507,4,FALSE)</f>
        <v>Giảng viên khoa Động lực</v>
      </c>
      <c r="F267" s="1109">
        <v>3.66</v>
      </c>
      <c r="G267" s="1019"/>
      <c r="H267" s="1248">
        <f t="shared" si="30"/>
        <v>0</v>
      </c>
      <c r="I267" s="1020"/>
      <c r="J267" s="1020" t="str">
        <f>VLOOKUP(B267,[25]!Table2[[Column2]:[Column6]],4,FALSE)</f>
        <v>A4</v>
      </c>
      <c r="K267" s="1020">
        <f t="shared" si="31"/>
        <v>0.5</v>
      </c>
      <c r="L267" s="1021">
        <v>20</v>
      </c>
      <c r="M267" s="1021">
        <f>VLOOKUP(B267,'[26]CN BC'!$F$10:$H$267,3,FALSE)</f>
        <v>26</v>
      </c>
      <c r="N267" s="1021">
        <f t="shared" si="28"/>
        <v>20</v>
      </c>
      <c r="O267" s="1022"/>
      <c r="P267" s="1023">
        <f t="shared" si="29"/>
        <v>4282200</v>
      </c>
      <c r="Q267" s="1515">
        <f t="shared" si="32"/>
        <v>1.83</v>
      </c>
      <c r="R267" s="1429">
        <v>2340000</v>
      </c>
      <c r="S267" s="1486">
        <f t="shared" si="33"/>
        <v>4282200</v>
      </c>
      <c r="T267" s="1024">
        <f t="shared" si="27"/>
        <v>243</v>
      </c>
      <c r="U267" s="1025" t="str">
        <f>VLOOKUP(B267,'[26]CN BC'!$F$10:$K$267,6,FALSE)</f>
        <v>Cộng 6 ngày công T7/2025 (Theo Tờ trình của TK)</v>
      </c>
      <c r="V267" s="1027"/>
      <c r="W267" s="1489"/>
      <c r="X267" s="1012"/>
      <c r="Y267" s="1012"/>
      <c r="Z267" s="1012"/>
    </row>
    <row r="268" spans="1:26" s="1028" customFormat="1" ht="24" customHeight="1">
      <c r="A268" s="1014">
        <f>_xlfn.AGGREGATE(4,7,A$24:A267)+1</f>
        <v>244</v>
      </c>
      <c r="B268" s="1101" t="s">
        <v>1926</v>
      </c>
      <c r="C268" s="1033" t="s">
        <v>1984</v>
      </c>
      <c r="D268" s="1108" t="s">
        <v>1985</v>
      </c>
      <c r="E268" s="81" t="str">
        <f>VLOOKUP(B268,TH.Q2!B177:E508,4,FALSE)</f>
        <v>Giảng viên khoa Động lực</v>
      </c>
      <c r="F268" s="1110">
        <v>2.67</v>
      </c>
      <c r="G268" s="1019"/>
      <c r="H268" s="1248">
        <f t="shared" si="30"/>
        <v>0</v>
      </c>
      <c r="I268" s="1020"/>
      <c r="J268" s="1020" t="str">
        <f>VLOOKUP(B268,[25]!Table2[[Column2]:[Column6]],4,FALSE)</f>
        <v>A4</v>
      </c>
      <c r="K268" s="1020">
        <f t="shared" si="31"/>
        <v>0.5</v>
      </c>
      <c r="L268" s="1021">
        <v>20</v>
      </c>
      <c r="M268" s="1021">
        <f>VLOOKUP(B268,'[26]CN BC'!$F$10:$H$267,3,FALSE)</f>
        <v>20</v>
      </c>
      <c r="N268" s="1021">
        <f t="shared" si="28"/>
        <v>20</v>
      </c>
      <c r="O268" s="1022"/>
      <c r="P268" s="1023">
        <f t="shared" si="29"/>
        <v>3123900</v>
      </c>
      <c r="Q268" s="1515">
        <f t="shared" si="32"/>
        <v>1.335</v>
      </c>
      <c r="R268" s="1429">
        <v>2340000</v>
      </c>
      <c r="S268" s="1486">
        <f t="shared" si="33"/>
        <v>3123900</v>
      </c>
      <c r="T268" s="1024">
        <f t="shared" si="27"/>
        <v>244</v>
      </c>
      <c r="U268" s="1025">
        <f>VLOOKUP(B268,'[26]CN BC'!$F$10:$K$267,6,FALSE)</f>
        <v>0</v>
      </c>
      <c r="V268" s="1027"/>
      <c r="W268" s="1489"/>
      <c r="X268" s="1012"/>
      <c r="Y268" s="1012"/>
      <c r="Z268" s="1012"/>
    </row>
    <row r="269" spans="1:26" s="1028" customFormat="1" ht="24" customHeight="1">
      <c r="A269" s="1014">
        <f>_xlfn.AGGREGATE(4,7,A$24:A268)+1</f>
        <v>245</v>
      </c>
      <c r="B269" s="1101" t="s">
        <v>1941</v>
      </c>
      <c r="C269" s="1033" t="s">
        <v>1989</v>
      </c>
      <c r="D269" s="1108" t="s">
        <v>1988</v>
      </c>
      <c r="E269" s="81" t="str">
        <f>VLOOKUP(B269,TH.Q2!B178:E509,4,FALSE)</f>
        <v>Giảng viên khoa Động lực</v>
      </c>
      <c r="F269" s="1110">
        <v>2.67</v>
      </c>
      <c r="G269" s="1019"/>
      <c r="H269" s="1248">
        <f t="shared" si="30"/>
        <v>0</v>
      </c>
      <c r="I269" s="1020"/>
      <c r="J269" s="1020" t="str">
        <f>VLOOKUP(B269,[25]!Table2[[Column2]:[Column6]],4,FALSE)</f>
        <v>A4</v>
      </c>
      <c r="K269" s="1020">
        <f t="shared" si="31"/>
        <v>0.5</v>
      </c>
      <c r="L269" s="1021">
        <v>20</v>
      </c>
      <c r="M269" s="1021">
        <f>VLOOKUP(B269,'[26]CN BC'!$F$10:$H$267,3,FALSE)</f>
        <v>20</v>
      </c>
      <c r="N269" s="1021">
        <f t="shared" si="28"/>
        <v>20</v>
      </c>
      <c r="O269" s="1022"/>
      <c r="P269" s="1023">
        <f t="shared" si="29"/>
        <v>3123900</v>
      </c>
      <c r="Q269" s="1515">
        <f t="shared" si="32"/>
        <v>1.335</v>
      </c>
      <c r="R269" s="1429">
        <v>2340000</v>
      </c>
      <c r="S269" s="1486">
        <f t="shared" si="33"/>
        <v>3123900</v>
      </c>
      <c r="T269" s="1024">
        <f t="shared" si="27"/>
        <v>245</v>
      </c>
      <c r="U269" s="1025">
        <f>VLOOKUP(B269,'[26]CN BC'!$F$10:$K$267,6,FALSE)</f>
        <v>0</v>
      </c>
      <c r="V269" s="1027"/>
      <c r="W269" s="1489"/>
      <c r="X269" s="1012"/>
      <c r="Y269" s="1012"/>
      <c r="Z269" s="1012"/>
    </row>
    <row r="270" spans="1:26" s="1028" customFormat="1" ht="41.25" customHeight="1">
      <c r="A270" s="1014">
        <f>_xlfn.AGGREGATE(4,7,A$24:A269)+1</f>
        <v>246</v>
      </c>
      <c r="B270" s="1101" t="s">
        <v>1945</v>
      </c>
      <c r="C270" s="1014" t="s">
        <v>1948</v>
      </c>
      <c r="D270" s="1030" t="s">
        <v>1949</v>
      </c>
      <c r="E270" s="81" t="str">
        <f>VLOOKUP(B270,TH.Q2!B180:E511,4,FALSE)</f>
        <v>Giảng viên khoa Động lực</v>
      </c>
      <c r="F270" s="1110">
        <v>3.66</v>
      </c>
      <c r="G270" s="1019"/>
      <c r="H270" s="1248">
        <f t="shared" si="30"/>
        <v>0</v>
      </c>
      <c r="I270" s="1020"/>
      <c r="J270" s="1020" t="str">
        <f>VLOOKUP(B270,[25]!Table2[[Column2]:[Column6]],4,FALSE)</f>
        <v>A4</v>
      </c>
      <c r="K270" s="1020">
        <f t="shared" si="31"/>
        <v>0.5</v>
      </c>
      <c r="L270" s="1021">
        <v>20</v>
      </c>
      <c r="M270" s="1021">
        <f>VLOOKUP(B270,'[26]CN BC'!$F$10:$H$267,3,FALSE)</f>
        <v>25</v>
      </c>
      <c r="N270" s="1021">
        <f t="shared" si="28"/>
        <v>20</v>
      </c>
      <c r="O270" s="1022"/>
      <c r="P270" s="1023">
        <f t="shared" si="29"/>
        <v>4282200</v>
      </c>
      <c r="Q270" s="1515">
        <f t="shared" si="32"/>
        <v>1.83</v>
      </c>
      <c r="R270" s="1429">
        <v>2340000</v>
      </c>
      <c r="S270" s="1486">
        <f t="shared" si="33"/>
        <v>4282200</v>
      </c>
      <c r="T270" s="1024">
        <f t="shared" si="27"/>
        <v>246</v>
      </c>
      <c r="U270" s="1025" t="str">
        <f>VLOOKUP(B270,'[26]CN BC'!$F$10:$K$267,6,FALSE)</f>
        <v>Cộng 5 ngày công T7+8/2025 (Theo Tờ trình của TK)</v>
      </c>
      <c r="V270" s="1038"/>
      <c r="W270" s="1489"/>
    </row>
    <row r="271" spans="1:26" s="1028" customFormat="1" ht="24" customHeight="1">
      <c r="A271" s="1014">
        <f>_xlfn.AGGREGATE(4,7,A$24:A270)+1</f>
        <v>247</v>
      </c>
      <c r="B271" s="1101" t="s">
        <v>2003</v>
      </c>
      <c r="C271" s="1014"/>
      <c r="D271" s="1030"/>
      <c r="E271" s="81" t="str">
        <f>VLOOKUP(B271,TH.Q2!B181:E512,4,FALSE)</f>
        <v>Giảng viên khoa Động lực</v>
      </c>
      <c r="F271" s="1109">
        <v>3.33</v>
      </c>
      <c r="G271" s="1019"/>
      <c r="H271" s="1248">
        <f t="shared" si="30"/>
        <v>0</v>
      </c>
      <c r="I271" s="1020"/>
      <c r="J271" s="1020" t="str">
        <f>VLOOKUP(B271,[25]!Table2[[Column2]:[Column6]],4,FALSE)</f>
        <v>A4</v>
      </c>
      <c r="K271" s="1020">
        <f t="shared" si="31"/>
        <v>0.5</v>
      </c>
      <c r="L271" s="1021">
        <v>20</v>
      </c>
      <c r="M271" s="1021">
        <f>VLOOKUP(B271,'[26]CN BC'!$F$10:$H$267,3,FALSE)</f>
        <v>20</v>
      </c>
      <c r="N271" s="1021">
        <f t="shared" si="28"/>
        <v>20</v>
      </c>
      <c r="O271" s="1022"/>
      <c r="P271" s="1023">
        <f t="shared" si="29"/>
        <v>3896100</v>
      </c>
      <c r="Q271" s="1515">
        <f t="shared" si="32"/>
        <v>1.665</v>
      </c>
      <c r="R271" s="1429">
        <v>2340000</v>
      </c>
      <c r="S271" s="1486">
        <f t="shared" si="33"/>
        <v>3896100</v>
      </c>
      <c r="T271" s="1024">
        <f t="shared" si="27"/>
        <v>247</v>
      </c>
      <c r="U271" s="1025">
        <f>VLOOKUP(B271,'[26]CN BC'!$F$10:$K$267,6,FALSE)</f>
        <v>0</v>
      </c>
      <c r="V271" s="1038"/>
      <c r="W271" s="1489"/>
    </row>
    <row r="272" spans="1:26" s="1028" customFormat="1" ht="24" customHeight="1">
      <c r="A272" s="1014">
        <f>_xlfn.AGGREGATE(4,7,A$24:A271)+1</f>
        <v>248</v>
      </c>
      <c r="B272" s="1101" t="s">
        <v>2010</v>
      </c>
      <c r="C272" s="1014"/>
      <c r="D272" s="1030"/>
      <c r="E272" s="81" t="str">
        <f>VLOOKUP(B272,TH.Q2!B182:E513,4,FALSE)</f>
        <v>Giảng viên khoa Động lực</v>
      </c>
      <c r="F272" s="1109">
        <v>2.34</v>
      </c>
      <c r="G272" s="1019"/>
      <c r="H272" s="1248">
        <f t="shared" si="30"/>
        <v>0</v>
      </c>
      <c r="I272" s="1020"/>
      <c r="J272" s="1020" t="str">
        <f>VLOOKUP(B272,[25]!Table2[[Column2]:[Column6]],4,FALSE)</f>
        <v>A4</v>
      </c>
      <c r="K272" s="1020">
        <f t="shared" si="31"/>
        <v>0.5</v>
      </c>
      <c r="L272" s="1021">
        <v>20</v>
      </c>
      <c r="M272" s="1021">
        <f>VLOOKUP(B272,'[26]CN BC'!$F$10:$H$267,3,FALSE)</f>
        <v>20</v>
      </c>
      <c r="N272" s="1021">
        <f t="shared" si="28"/>
        <v>20</v>
      </c>
      <c r="O272" s="1022"/>
      <c r="P272" s="1023">
        <f t="shared" si="29"/>
        <v>2737800</v>
      </c>
      <c r="Q272" s="1515">
        <f t="shared" si="32"/>
        <v>1.17</v>
      </c>
      <c r="R272" s="1429">
        <v>2340000</v>
      </c>
      <c r="S272" s="1486">
        <f t="shared" si="33"/>
        <v>2737800</v>
      </c>
      <c r="T272" s="1024">
        <f t="shared" si="27"/>
        <v>248</v>
      </c>
      <c r="U272" s="1025">
        <f>VLOOKUP(B272,'[26]CN BC'!$F$10:$K$267,6,FALSE)</f>
        <v>0</v>
      </c>
      <c r="V272" s="1038"/>
      <c r="W272" s="1489"/>
    </row>
    <row r="273" spans="1:30" s="1028" customFormat="1" ht="28.5" customHeight="1">
      <c r="A273" s="1014">
        <f>_xlfn.AGGREGATE(4,7,A$24:A272)+1</f>
        <v>249</v>
      </c>
      <c r="B273" s="1043" t="s">
        <v>1607</v>
      </c>
      <c r="C273" s="1044" t="s">
        <v>1957</v>
      </c>
      <c r="D273" s="1059">
        <v>1603215003961</v>
      </c>
      <c r="E273" s="368" t="str">
        <f>VLOOKUP(B273,TH.Q2!B91:E422,4,FALSE)</f>
        <v>Trưởng khoa Xây dựng - Nhiệt lạnh</v>
      </c>
      <c r="F273" s="1040">
        <v>3.99</v>
      </c>
      <c r="G273" s="1019"/>
      <c r="H273" s="1255">
        <f>ROUND(F273*G273,3)</f>
        <v>0</v>
      </c>
      <c r="I273" s="1020">
        <v>0.45</v>
      </c>
      <c r="J273" s="1020" t="str">
        <f>VLOOKUP(B273,[25]!Table2[[Column2]:[Column6]],4,FALSE)</f>
        <v>A2</v>
      </c>
      <c r="K273" s="1020">
        <f>IF(J273="A1",0.8,IF(J273="A2",0.7,IF(J273="A3",0.6,IF(J273="A4",0.5,IF(J273="B1",0.35,IF(J273="B2",0.25,IF(J273="C1",0.15,IF(J273="C2",0.1,0))))))))</f>
        <v>0.7</v>
      </c>
      <c r="L273" s="1021">
        <v>20</v>
      </c>
      <c r="M273" s="1021">
        <f>VLOOKUP(B273,'[26]CN BC'!$F$10:$H$267,3,FALSE)</f>
        <v>20</v>
      </c>
      <c r="N273" s="1021">
        <f>IF(M273&gt;=L273,L273,IF(M273&lt;L273,M273))</f>
        <v>20</v>
      </c>
      <c r="O273" s="1035"/>
      <c r="P273" s="1023">
        <f>(((F273+H273+I273)*$P$21/L273*N273)*K273)+O273</f>
        <v>7272720</v>
      </c>
      <c r="Q273" s="1515">
        <f t="shared" si="32"/>
        <v>3.1080000000000001</v>
      </c>
      <c r="R273" s="1429">
        <v>2340000</v>
      </c>
      <c r="S273" s="1486">
        <f t="shared" si="33"/>
        <v>7272720</v>
      </c>
      <c r="T273" s="1024">
        <f>A273</f>
        <v>249</v>
      </c>
      <c r="U273" s="1025">
        <f>VLOOKUP(B273,'[26]CN BC'!$F$10:$K$267,6,FALSE)</f>
        <v>0</v>
      </c>
      <c r="V273" s="1038"/>
      <c r="W273" s="1489"/>
    </row>
    <row r="274" spans="1:30" s="1028" customFormat="1" ht="25.5" customHeight="1">
      <c r="A274" s="1014">
        <f>_xlfn.AGGREGATE(4,7,A$24:A273)+1</f>
        <v>250</v>
      </c>
      <c r="B274" s="1015" t="s">
        <v>1924</v>
      </c>
      <c r="C274" s="1033" t="s">
        <v>1958</v>
      </c>
      <c r="D274" s="1066" t="s">
        <v>1935</v>
      </c>
      <c r="E274" s="81" t="str">
        <f>VLOOKUP(B274,TH.Q2!B92:E423,4,FALSE)</f>
        <v>Giảng viên khoa Xây dựng - Nhiệt lạnh</v>
      </c>
      <c r="F274" s="1040">
        <v>3</v>
      </c>
      <c r="G274" s="1019"/>
      <c r="H274" s="1248">
        <f>ROUND(F274*G274,3)</f>
        <v>0</v>
      </c>
      <c r="I274" s="1020"/>
      <c r="J274" s="1020" t="str">
        <f>VLOOKUP(B274,[25]!Table2[[Column2]:[Column6]],4,FALSE)</f>
        <v>A4</v>
      </c>
      <c r="K274" s="1020">
        <f>IF(J274="A1",0.8,IF(J274="A2",0.7,IF(J274="A3",0.6,IF(J274="A4",0.5,IF(J274="B1",0.35,IF(J274="B2",0.25,IF(J274="C1",0.15,IF(J274="C2",0.1,0))))))))</f>
        <v>0.5</v>
      </c>
      <c r="L274" s="1021">
        <v>20</v>
      </c>
      <c r="M274" s="1021">
        <f>VLOOKUP(B274,'[26]CN BC'!$F$10:$H$267,3,FALSE)</f>
        <v>20</v>
      </c>
      <c r="N274" s="1021">
        <f>IF(M274&gt;=L274,L274,IF(M274&lt;L274,M274))</f>
        <v>20</v>
      </c>
      <c r="O274" s="1022"/>
      <c r="P274" s="1023">
        <f>(((F274+H274+I274)*$P$21/L274*N274)*K274)+O274</f>
        <v>3510000</v>
      </c>
      <c r="Q274" s="1515">
        <f t="shared" si="32"/>
        <v>1.5</v>
      </c>
      <c r="R274" s="1429">
        <v>2340000</v>
      </c>
      <c r="S274" s="1486">
        <f t="shared" si="33"/>
        <v>3510000</v>
      </c>
      <c r="T274" s="1024">
        <f>A274</f>
        <v>250</v>
      </c>
      <c r="U274" s="1025">
        <f>VLOOKUP(B274,'[26]CN BC'!$F$10:$K$267,6,FALSE)</f>
        <v>0</v>
      </c>
      <c r="V274" s="1038"/>
      <c r="W274" s="1489"/>
    </row>
    <row r="275" spans="1:30" s="1028" customFormat="1" ht="25.15" customHeight="1">
      <c r="A275" s="1014">
        <f>_xlfn.AGGREGATE(4,7,A$24:A274)+1</f>
        <v>251</v>
      </c>
      <c r="B275" s="1015" t="s">
        <v>1944</v>
      </c>
      <c r="C275" s="1033" t="s">
        <v>1959</v>
      </c>
      <c r="D275" s="1059"/>
      <c r="E275" s="81" t="str">
        <f>VLOOKUP(B275,TH.Q2!B93:E424,4,FALSE)</f>
        <v>Giảng viên khoa Xây dựng - Nhiệt lạnh</v>
      </c>
      <c r="F275" s="1018">
        <v>2.67</v>
      </c>
      <c r="G275" s="1019"/>
      <c r="H275" s="1248">
        <f>ROUND(F275*G275,3)</f>
        <v>0</v>
      </c>
      <c r="I275" s="1020"/>
      <c r="J275" s="1020" t="str">
        <f>VLOOKUP(B275,[25]!Table2[[Column2]:[Column6]],4,FALSE)</f>
        <v>A3</v>
      </c>
      <c r="K275" s="1020">
        <f>IF(J275="A1",0.8,IF(J275="A2",0.7,IF(J275="A3",0.6,IF(J275="A4",0.5,IF(J275="B1",0.35,IF(J275="B2",0.25,IF(J275="C1",0.15,IF(J275="C2",0.1,0))))))))</f>
        <v>0.6</v>
      </c>
      <c r="L275" s="1021">
        <v>20</v>
      </c>
      <c r="M275" s="1021">
        <f>VLOOKUP(B275,'[26]CN BC'!$F$10:$H$267,3,FALSE)</f>
        <v>20</v>
      </c>
      <c r="N275" s="1021">
        <f>IF(M275&gt;=L275,L275,IF(M275&lt;L275,M275))</f>
        <v>20</v>
      </c>
      <c r="O275" s="1022"/>
      <c r="P275" s="1023">
        <f>(((F275+H275+I275)*$P$21/L275*N275)*K275)+O275</f>
        <v>3748680</v>
      </c>
      <c r="Q275" s="1515">
        <f t="shared" si="32"/>
        <v>1.6020000000000001</v>
      </c>
      <c r="R275" s="1429">
        <v>2340000</v>
      </c>
      <c r="S275" s="1486">
        <f t="shared" si="33"/>
        <v>3748680</v>
      </c>
      <c r="T275" s="1024">
        <f>A275</f>
        <v>251</v>
      </c>
      <c r="U275" s="1025">
        <f>VLOOKUP(B275,'[26]CN BC'!$F$10:$K$267,6,FALSE)</f>
        <v>0</v>
      </c>
      <c r="V275" s="1038"/>
      <c r="W275" s="1489"/>
    </row>
    <row r="276" spans="1:30" s="1028" customFormat="1" ht="30" customHeight="1">
      <c r="A276" s="1014">
        <f>_xlfn.AGGREGATE(4,7,A$24:A275)+1</f>
        <v>252</v>
      </c>
      <c r="B276" s="1015" t="s">
        <v>1920</v>
      </c>
      <c r="C276" s="1033" t="s">
        <v>1819</v>
      </c>
      <c r="D276" s="1034" t="s">
        <v>1414</v>
      </c>
      <c r="E276" s="81" t="str">
        <f>VLOOKUP(B276,TH.Q2!B184:E515,4,FALSE)</f>
        <v>Giảng viên khoa Xây dựng - Nhiệt lạnh</v>
      </c>
      <c r="F276" s="1018">
        <v>4.9800000000000004</v>
      </c>
      <c r="G276" s="1019"/>
      <c r="H276" s="1255">
        <f t="shared" ref="H276:H282" si="34">ROUND(F276*G276,3)</f>
        <v>0</v>
      </c>
      <c r="I276" s="1020">
        <v>0.25</v>
      </c>
      <c r="J276" s="1020" t="str">
        <f>VLOOKUP(B276,[25]!Table2[[Column2]:[Column6]],4,FALSE)</f>
        <v>A4</v>
      </c>
      <c r="K276" s="1020">
        <f t="shared" si="31"/>
        <v>0.5</v>
      </c>
      <c r="L276" s="1021">
        <v>20</v>
      </c>
      <c r="M276" s="1021">
        <f>VLOOKUP(B276,'[26]CN BC'!$F$10:$H$267,3,FALSE)</f>
        <v>20</v>
      </c>
      <c r="N276" s="1021">
        <f t="shared" si="28"/>
        <v>20</v>
      </c>
      <c r="O276" s="1022"/>
      <c r="P276" s="1023">
        <f t="shared" si="29"/>
        <v>6119100.0000000009</v>
      </c>
      <c r="Q276" s="1515">
        <f t="shared" si="32"/>
        <v>2.6150000000000002</v>
      </c>
      <c r="R276" s="1429">
        <v>2340000</v>
      </c>
      <c r="S276" s="1486">
        <f t="shared" si="33"/>
        <v>6119100.0000000009</v>
      </c>
      <c r="T276" s="1024">
        <f t="shared" si="27"/>
        <v>252</v>
      </c>
      <c r="U276" s="1025">
        <f>VLOOKUP(B276,'[26]CN BC'!$F$10:$K$267,6,FALSE)</f>
        <v>0</v>
      </c>
      <c r="V276" s="1027"/>
      <c r="W276" s="1489"/>
      <c r="X276" s="1012"/>
      <c r="Y276" s="1012"/>
      <c r="Z276" s="1012"/>
    </row>
    <row r="277" spans="1:30" s="1028" customFormat="1" ht="30" customHeight="1">
      <c r="A277" s="1014">
        <f>_xlfn.AGGREGATE(4,7,A$24:A276)+1</f>
        <v>253</v>
      </c>
      <c r="B277" s="1015" t="s">
        <v>1921</v>
      </c>
      <c r="C277" s="1029" t="s">
        <v>1820</v>
      </c>
      <c r="D277" s="1034" t="s">
        <v>1415</v>
      </c>
      <c r="E277" s="81" t="str">
        <f>VLOOKUP(B277,TH.Q2!B185:E516,4,FALSE)</f>
        <v>Giảng viên khoa Xây dựng - Nhiệt lạnh</v>
      </c>
      <c r="F277" s="1018">
        <v>4.6500000000000004</v>
      </c>
      <c r="G277" s="1019"/>
      <c r="H277" s="1255">
        <f t="shared" si="34"/>
        <v>0</v>
      </c>
      <c r="I277" s="1020">
        <v>0.25</v>
      </c>
      <c r="J277" s="1020" t="str">
        <f>VLOOKUP(B277,[25]!Table2[[Column2]:[Column6]],4,FALSE)</f>
        <v>A3</v>
      </c>
      <c r="K277" s="1020">
        <f t="shared" si="31"/>
        <v>0.6</v>
      </c>
      <c r="L277" s="1021">
        <v>20</v>
      </c>
      <c r="M277" s="1021">
        <f>VLOOKUP(B277,'[26]CN BC'!$F$10:$H$267,3,FALSE)</f>
        <v>20</v>
      </c>
      <c r="N277" s="1021">
        <f t="shared" si="28"/>
        <v>20</v>
      </c>
      <c r="O277" s="1022"/>
      <c r="P277" s="1023">
        <f t="shared" si="29"/>
        <v>6879600</v>
      </c>
      <c r="Q277" s="1515">
        <f t="shared" si="32"/>
        <v>2.94</v>
      </c>
      <c r="R277" s="1429">
        <v>2340000</v>
      </c>
      <c r="S277" s="1486">
        <f t="shared" si="33"/>
        <v>6879600</v>
      </c>
      <c r="T277" s="1024">
        <f t="shared" si="27"/>
        <v>253</v>
      </c>
      <c r="U277" s="1025">
        <f>VLOOKUP(B277,'[26]CN BC'!$F$10:$K$267,6,FALSE)</f>
        <v>0</v>
      </c>
      <c r="V277" s="1027"/>
      <c r="W277" s="1489"/>
      <c r="X277" s="1012"/>
      <c r="Y277" s="1012"/>
      <c r="Z277" s="1012"/>
      <c r="AA277" s="1012"/>
      <c r="AB277" s="1012"/>
      <c r="AC277" s="1012"/>
      <c r="AD277" s="1012"/>
    </row>
    <row r="278" spans="1:30" s="1028" customFormat="1" ht="30" customHeight="1">
      <c r="A278" s="1014">
        <f>_xlfn.AGGREGATE(4,7,A$24:A277)+1</f>
        <v>254</v>
      </c>
      <c r="B278" s="1015" t="s">
        <v>1922</v>
      </c>
      <c r="C278" s="1033" t="s">
        <v>1821</v>
      </c>
      <c r="D278" s="1034" t="s">
        <v>392</v>
      </c>
      <c r="E278" s="81" t="str">
        <f>VLOOKUP(B278,TH.Q2!B186:E517,4,FALSE)</f>
        <v>Giảng viên khoa Xây dựng - Nhiệt lạnh</v>
      </c>
      <c r="F278" s="1040">
        <v>3.99</v>
      </c>
      <c r="G278" s="1019"/>
      <c r="H278" s="1248">
        <f t="shared" si="34"/>
        <v>0</v>
      </c>
      <c r="I278" s="1020"/>
      <c r="J278" s="1020" t="str">
        <f>VLOOKUP(B278,[25]!Table2[[Column2]:[Column6]],4,FALSE)</f>
        <v>A4</v>
      </c>
      <c r="K278" s="1020">
        <f t="shared" si="31"/>
        <v>0.5</v>
      </c>
      <c r="L278" s="1021">
        <v>20</v>
      </c>
      <c r="M278" s="1021">
        <f>VLOOKUP(B278,'[26]CN BC'!$F$10:$H$267,3,FALSE)</f>
        <v>20</v>
      </c>
      <c r="N278" s="1021">
        <f t="shared" si="28"/>
        <v>20</v>
      </c>
      <c r="O278" s="1022"/>
      <c r="P278" s="1023">
        <f t="shared" si="29"/>
        <v>4668300</v>
      </c>
      <c r="Q278" s="1515">
        <f t="shared" si="32"/>
        <v>1.9950000000000001</v>
      </c>
      <c r="R278" s="1429">
        <v>2340000</v>
      </c>
      <c r="S278" s="1486">
        <f t="shared" si="33"/>
        <v>4668300</v>
      </c>
      <c r="T278" s="1024">
        <f t="shared" ref="T278:T341" si="35">A278</f>
        <v>254</v>
      </c>
      <c r="U278" s="1025">
        <f>VLOOKUP(B278,'[26]CN BC'!$F$10:$K$267,6,FALSE)</f>
        <v>0</v>
      </c>
      <c r="V278" s="1038"/>
      <c r="W278" s="1489"/>
    </row>
    <row r="279" spans="1:30" s="1028" customFormat="1" ht="30" customHeight="1">
      <c r="A279" s="1014">
        <f>_xlfn.AGGREGATE(4,7,A$24:A278)+1</f>
        <v>255</v>
      </c>
      <c r="B279" s="1015" t="s">
        <v>1923</v>
      </c>
      <c r="C279" s="1033" t="s">
        <v>1822</v>
      </c>
      <c r="D279" s="1047" t="s">
        <v>511</v>
      </c>
      <c r="E279" s="81" t="str">
        <f>VLOOKUP(B279,TH.Q2!B187:E518,4,FALSE)</f>
        <v>Giảng viên khoa Xây dựng - Nhiệt lạnh</v>
      </c>
      <c r="F279" s="1040">
        <v>3.66</v>
      </c>
      <c r="G279" s="1019"/>
      <c r="H279" s="1248">
        <f t="shared" si="34"/>
        <v>0</v>
      </c>
      <c r="I279" s="1020"/>
      <c r="J279" s="1020" t="str">
        <f>VLOOKUP(B279,[25]!Table2[[Column2]:[Column6]],4,FALSE)</f>
        <v>A3</v>
      </c>
      <c r="K279" s="1020">
        <f t="shared" si="31"/>
        <v>0.6</v>
      </c>
      <c r="L279" s="1021">
        <v>20</v>
      </c>
      <c r="M279" s="1021">
        <f>VLOOKUP(B279,'[26]CN BC'!$F$10:$H$267,3,FALSE)</f>
        <v>20</v>
      </c>
      <c r="N279" s="1021">
        <f t="shared" ref="N279:N282" si="36">IF(M279&gt;=L279,L279,IF(M279&lt;L279,M279))</f>
        <v>20</v>
      </c>
      <c r="O279" s="1022"/>
      <c r="P279" s="1023">
        <f t="shared" ref="P279:P282" si="37">(((F279+H279+I279)*$P$21/L279*N279)*K279)+O279</f>
        <v>5138640</v>
      </c>
      <c r="Q279" s="1515">
        <f t="shared" si="32"/>
        <v>2.1960000000000002</v>
      </c>
      <c r="R279" s="1429">
        <v>2340000</v>
      </c>
      <c r="S279" s="1486">
        <f t="shared" si="33"/>
        <v>5138640</v>
      </c>
      <c r="T279" s="1024">
        <f t="shared" si="35"/>
        <v>255</v>
      </c>
      <c r="U279" s="1025">
        <f>VLOOKUP(B279,'[26]CN BC'!$F$10:$K$267,6,FALSE)</f>
        <v>0</v>
      </c>
      <c r="V279" s="1038"/>
      <c r="W279" s="1489"/>
    </row>
    <row r="280" spans="1:30" s="1028" customFormat="1" ht="30" customHeight="1">
      <c r="A280" s="1014">
        <f>_xlfn.AGGREGATE(4,7,A$24:A279)+1</f>
        <v>256</v>
      </c>
      <c r="B280" s="1015" t="s">
        <v>1552</v>
      </c>
      <c r="C280" s="1033" t="s">
        <v>1823</v>
      </c>
      <c r="D280" s="1034" t="s">
        <v>1418</v>
      </c>
      <c r="E280" s="81" t="str">
        <f>VLOOKUP(B280,TH.Q2!B188:E519,4,FALSE)</f>
        <v>Giảng viên khoa Xây dựng - Nhiệt lạnh</v>
      </c>
      <c r="F280" s="1018">
        <v>4.6500000000000004</v>
      </c>
      <c r="G280" s="1019"/>
      <c r="H280" s="1248">
        <f t="shared" si="34"/>
        <v>0</v>
      </c>
      <c r="I280" s="1020"/>
      <c r="J280" s="1020" t="str">
        <f>VLOOKUP(B280,[25]!Table2[[Column2]:[Column6]],4,FALSE)</f>
        <v>A4</v>
      </c>
      <c r="K280" s="1020">
        <f t="shared" si="31"/>
        <v>0.5</v>
      </c>
      <c r="L280" s="1021">
        <v>20</v>
      </c>
      <c r="M280" s="1021">
        <f>VLOOKUP(B280,'[26]CN BC'!$F$10:$H$267,3,FALSE)</f>
        <v>20</v>
      </c>
      <c r="N280" s="1021">
        <f t="shared" si="36"/>
        <v>20</v>
      </c>
      <c r="O280" s="1022"/>
      <c r="P280" s="1023">
        <f t="shared" si="37"/>
        <v>5440500</v>
      </c>
      <c r="Q280" s="1515">
        <f t="shared" si="32"/>
        <v>2.3250000000000002</v>
      </c>
      <c r="R280" s="1429">
        <v>2340000</v>
      </c>
      <c r="S280" s="1486">
        <f t="shared" si="33"/>
        <v>5440500</v>
      </c>
      <c r="T280" s="1024">
        <f t="shared" si="35"/>
        <v>256</v>
      </c>
      <c r="U280" s="1025">
        <f>VLOOKUP(B280,'[26]CN BC'!$F$10:$K$267,6,FALSE)</f>
        <v>0</v>
      </c>
      <c r="V280" s="1038"/>
      <c r="W280" s="1489"/>
    </row>
    <row r="281" spans="1:30" s="1028" customFormat="1" ht="30" customHeight="1">
      <c r="A281" s="1014">
        <f>_xlfn.AGGREGATE(4,7,A$24:A280)+1</f>
        <v>257</v>
      </c>
      <c r="B281" s="1015" t="s">
        <v>1940</v>
      </c>
      <c r="C281" s="1033" t="s">
        <v>1991</v>
      </c>
      <c r="D281" s="1034" t="s">
        <v>1992</v>
      </c>
      <c r="E281" s="81" t="str">
        <f>VLOOKUP(B281,TH.Q2!B189:E520,4,FALSE)</f>
        <v>Giảng viên khoa Xây dựng - Nhiệt lạnh</v>
      </c>
      <c r="F281" s="1040">
        <v>3.33</v>
      </c>
      <c r="G281" s="1019"/>
      <c r="H281" s="1248">
        <f t="shared" si="34"/>
        <v>0</v>
      </c>
      <c r="I281" s="1020"/>
      <c r="J281" s="1020" t="str">
        <f>VLOOKUP(B281,[25]!Table2[[Column2]:[Column6]],4,FALSE)</f>
        <v>A2</v>
      </c>
      <c r="K281" s="1020">
        <f t="shared" ref="K281:K282" si="38">IF(J281="A1",0.8,IF(J281="A2",0.7,IF(J281="A3",0.6,IF(J281="A4",0.5,IF(J281="B1",0.35,IF(J281="B2",0.25,IF(J281="C1",0.15,IF(J281="C2",0.1,0))))))))</f>
        <v>0.7</v>
      </c>
      <c r="L281" s="1021">
        <v>20</v>
      </c>
      <c r="M281" s="1021">
        <f>VLOOKUP(B281,'[26]CN BC'!$F$10:$H$267,3,FALSE)</f>
        <v>20</v>
      </c>
      <c r="N281" s="1021">
        <f t="shared" si="36"/>
        <v>20</v>
      </c>
      <c r="O281" s="1022"/>
      <c r="P281" s="1023">
        <f t="shared" si="37"/>
        <v>5454540</v>
      </c>
      <c r="Q281" s="1515">
        <f t="shared" si="32"/>
        <v>2.331</v>
      </c>
      <c r="R281" s="1429">
        <v>2340000</v>
      </c>
      <c r="S281" s="1486">
        <f t="shared" si="33"/>
        <v>5454540</v>
      </c>
      <c r="T281" s="1024">
        <f t="shared" si="35"/>
        <v>257</v>
      </c>
      <c r="U281" s="1025">
        <f>VLOOKUP(B281,'[26]CN BC'!$F$10:$K$267,6,FALSE)</f>
        <v>0</v>
      </c>
      <c r="V281" s="1027"/>
      <c r="W281" s="1489"/>
      <c r="X281" s="1012"/>
      <c r="Y281" s="1012"/>
      <c r="Z281" s="1012"/>
    </row>
    <row r="282" spans="1:30" s="1012" customFormat="1" ht="30" customHeight="1">
      <c r="A282" s="1014">
        <f>_xlfn.AGGREGATE(4,7,A$24:A281)+1</f>
        <v>258</v>
      </c>
      <c r="B282" s="1050" t="s">
        <v>1553</v>
      </c>
      <c r="C282" s="1029" t="s">
        <v>1824</v>
      </c>
      <c r="D282" s="1111">
        <v>1603205246186</v>
      </c>
      <c r="E282" s="81" t="str">
        <f>VLOOKUP(B282,TH.Q2!B190:E521,4,FALSE)</f>
        <v>Giảng viên khoa Xây dựng - Nhiệt lạnh</v>
      </c>
      <c r="F282" s="1018">
        <v>4.9800000000000004</v>
      </c>
      <c r="G282" s="1019">
        <v>0.05</v>
      </c>
      <c r="H282" s="1248">
        <f t="shared" si="34"/>
        <v>0.249</v>
      </c>
      <c r="I282" s="1020"/>
      <c r="J282" s="1020" t="str">
        <f>VLOOKUP(B282,[25]!Table2[[Column2]:[Column6]],4,FALSE)</f>
        <v>A4</v>
      </c>
      <c r="K282" s="1020">
        <f t="shared" si="38"/>
        <v>0.5</v>
      </c>
      <c r="L282" s="1021">
        <v>20</v>
      </c>
      <c r="M282" s="1021">
        <f>VLOOKUP(B282,'[26]CN BC'!$F$10:$H$267,3,FALSE)</f>
        <v>20</v>
      </c>
      <c r="N282" s="1021">
        <f t="shared" si="36"/>
        <v>20</v>
      </c>
      <c r="O282" s="1022"/>
      <c r="P282" s="1023">
        <f t="shared" si="37"/>
        <v>6117930</v>
      </c>
      <c r="Q282" s="1515">
        <f t="shared" ref="Q282:Q343" si="39">P282/R282</f>
        <v>2.6145</v>
      </c>
      <c r="R282" s="1429">
        <v>2340000</v>
      </c>
      <c r="S282" s="1486">
        <f t="shared" ref="S282:S343" si="40">Q282*R282</f>
        <v>6117930</v>
      </c>
      <c r="T282" s="1024">
        <f t="shared" si="35"/>
        <v>258</v>
      </c>
      <c r="U282" s="1025">
        <f>VLOOKUP(B282,'[26]CN BC'!$F$10:$K$267,6,FALSE)</f>
        <v>0</v>
      </c>
      <c r="V282" s="1027"/>
      <c r="W282" s="1489"/>
    </row>
    <row r="283" spans="1:30" s="1012" customFormat="1" ht="30" customHeight="1">
      <c r="A283" s="1014">
        <f>_xlfn.AGGREGATE(4,7,A$24:A282)+1</f>
        <v>259</v>
      </c>
      <c r="B283" s="1344" t="s">
        <v>2029</v>
      </c>
      <c r="C283" s="1518"/>
      <c r="D283" s="1519"/>
      <c r="E283" s="1340" t="s">
        <v>2449</v>
      </c>
      <c r="F283" s="1520"/>
      <c r="G283" s="1521"/>
      <c r="H283" s="1522"/>
      <c r="I283" s="1523"/>
      <c r="J283" s="1523"/>
      <c r="K283" s="1523"/>
      <c r="L283" s="1524"/>
      <c r="M283" s="1524"/>
      <c r="N283" s="1524"/>
      <c r="O283" s="1525"/>
      <c r="P283" s="1526">
        <v>2564863</v>
      </c>
      <c r="Q283" s="1515">
        <f t="shared" si="39"/>
        <v>1.0960952991452992</v>
      </c>
      <c r="R283" s="1429">
        <v>2340000</v>
      </c>
      <c r="S283" s="1486">
        <f t="shared" si="40"/>
        <v>2564863</v>
      </c>
      <c r="T283" s="1024">
        <f t="shared" si="35"/>
        <v>259</v>
      </c>
      <c r="U283" s="1025">
        <v>0</v>
      </c>
      <c r="V283" s="1027"/>
      <c r="W283" s="1489"/>
    </row>
    <row r="284" spans="1:30" s="1012" customFormat="1" ht="30" customHeight="1">
      <c r="A284" s="1014">
        <f>_xlfn.AGGREGATE(4,7,A$24:A283)+1</f>
        <v>260</v>
      </c>
      <c r="B284" s="1344" t="s">
        <v>2035</v>
      </c>
      <c r="C284" s="1518"/>
      <c r="D284" s="1519"/>
      <c r="E284" s="1340" t="s">
        <v>2449</v>
      </c>
      <c r="F284" s="1520"/>
      <c r="G284" s="1521"/>
      <c r="H284" s="1522"/>
      <c r="I284" s="1523"/>
      <c r="J284" s="1523"/>
      <c r="K284" s="1523"/>
      <c r="L284" s="1524"/>
      <c r="M284" s="1524"/>
      <c r="N284" s="1524"/>
      <c r="O284" s="1525"/>
      <c r="P284" s="1526">
        <v>1913940</v>
      </c>
      <c r="Q284" s="1515">
        <f t="shared" si="39"/>
        <v>0.81792307692307697</v>
      </c>
      <c r="R284" s="1429">
        <v>2340000</v>
      </c>
      <c r="S284" s="1486">
        <f t="shared" si="40"/>
        <v>1913940.0000000002</v>
      </c>
      <c r="T284" s="1024">
        <f t="shared" si="35"/>
        <v>260</v>
      </c>
      <c r="U284" s="1025">
        <v>0</v>
      </c>
      <c r="V284" s="1027"/>
      <c r="W284" s="1489"/>
    </row>
    <row r="285" spans="1:30" s="1012" customFormat="1" ht="30" customHeight="1">
      <c r="A285" s="1014">
        <f>_xlfn.AGGREGATE(4,7,A$24:A284)+1</f>
        <v>261</v>
      </c>
      <c r="B285" s="1344" t="s">
        <v>2039</v>
      </c>
      <c r="C285" s="1518"/>
      <c r="D285" s="1519"/>
      <c r="E285" s="1340" t="s">
        <v>2449</v>
      </c>
      <c r="F285" s="1520"/>
      <c r="G285" s="1521"/>
      <c r="H285" s="1522"/>
      <c r="I285" s="1523"/>
      <c r="J285" s="1523"/>
      <c r="K285" s="1523"/>
      <c r="L285" s="1524"/>
      <c r="M285" s="1524"/>
      <c r="N285" s="1524"/>
      <c r="O285" s="1525"/>
      <c r="P285" s="1526">
        <v>2693106</v>
      </c>
      <c r="Q285" s="1515">
        <f t="shared" si="39"/>
        <v>1.1509</v>
      </c>
      <c r="R285" s="1429">
        <v>2340000</v>
      </c>
      <c r="S285" s="1486">
        <f t="shared" si="40"/>
        <v>2693106</v>
      </c>
      <c r="T285" s="1024">
        <f t="shared" si="35"/>
        <v>261</v>
      </c>
      <c r="U285" s="1025">
        <v>0</v>
      </c>
      <c r="V285" s="1027"/>
      <c r="W285" s="1489"/>
    </row>
    <row r="286" spans="1:30" s="1012" customFormat="1" ht="30" customHeight="1">
      <c r="A286" s="1014">
        <f>_xlfn.AGGREGATE(4,7,A$24:A285)+1</f>
        <v>262</v>
      </c>
      <c r="B286" s="1344" t="s">
        <v>2043</v>
      </c>
      <c r="C286" s="1518"/>
      <c r="D286" s="1519"/>
      <c r="E286" s="1340" t="s">
        <v>2449</v>
      </c>
      <c r="F286" s="1520"/>
      <c r="G286" s="1521"/>
      <c r="H286" s="1522"/>
      <c r="I286" s="1523"/>
      <c r="J286" s="1523"/>
      <c r="K286" s="1523"/>
      <c r="L286" s="1524"/>
      <c r="M286" s="1524"/>
      <c r="N286" s="1524"/>
      <c r="O286" s="1525"/>
      <c r="P286" s="1526">
        <v>2598005</v>
      </c>
      <c r="Q286" s="1515">
        <f t="shared" si="39"/>
        <v>1.1102585470085471</v>
      </c>
      <c r="R286" s="1429">
        <v>2340000</v>
      </c>
      <c r="S286" s="1486">
        <f t="shared" si="40"/>
        <v>2598005</v>
      </c>
      <c r="T286" s="1024">
        <f t="shared" si="35"/>
        <v>262</v>
      </c>
      <c r="U286" s="1025" t="s">
        <v>2474</v>
      </c>
      <c r="V286" s="1027"/>
      <c r="W286" s="1489"/>
    </row>
    <row r="287" spans="1:30" s="1012" customFormat="1" ht="30" customHeight="1">
      <c r="A287" s="1014">
        <f>_xlfn.AGGREGATE(4,7,A$24:A286)+1</f>
        <v>263</v>
      </c>
      <c r="B287" s="1344" t="s">
        <v>2046</v>
      </c>
      <c r="C287" s="1518"/>
      <c r="D287" s="1519"/>
      <c r="E287" s="1340" t="s">
        <v>2449</v>
      </c>
      <c r="F287" s="1520"/>
      <c r="G287" s="1521"/>
      <c r="H287" s="1522"/>
      <c r="I287" s="1523"/>
      <c r="J287" s="1523"/>
      <c r="K287" s="1523"/>
      <c r="L287" s="1524"/>
      <c r="M287" s="1524"/>
      <c r="N287" s="1524"/>
      <c r="O287" s="1525"/>
      <c r="P287" s="1526">
        <v>2791687</v>
      </c>
      <c r="Q287" s="1515">
        <f t="shared" si="39"/>
        <v>1.1930286324786326</v>
      </c>
      <c r="R287" s="1429">
        <v>2340000</v>
      </c>
      <c r="S287" s="1486">
        <f t="shared" si="40"/>
        <v>2791687</v>
      </c>
      <c r="T287" s="1024">
        <f t="shared" si="35"/>
        <v>263</v>
      </c>
      <c r="U287" s="1025">
        <v>0</v>
      </c>
      <c r="V287" s="1027"/>
      <c r="W287" s="1489"/>
    </row>
    <row r="288" spans="1:30" s="1012" customFormat="1" ht="30" customHeight="1">
      <c r="A288" s="1014">
        <f>_xlfn.AGGREGATE(4,7,A$24:A287)+1</f>
        <v>264</v>
      </c>
      <c r="B288" s="1344" t="s">
        <v>2049</v>
      </c>
      <c r="C288" s="1518"/>
      <c r="D288" s="1519"/>
      <c r="E288" s="1340" t="s">
        <v>2449</v>
      </c>
      <c r="F288" s="1520"/>
      <c r="G288" s="1521"/>
      <c r="H288" s="1522"/>
      <c r="I288" s="1523"/>
      <c r="J288" s="1523"/>
      <c r="K288" s="1523"/>
      <c r="L288" s="1524"/>
      <c r="M288" s="1524"/>
      <c r="N288" s="1524"/>
      <c r="O288" s="1525"/>
      <c r="P288" s="1526">
        <v>2658750</v>
      </c>
      <c r="Q288" s="1515">
        <f t="shared" si="39"/>
        <v>1.1362179487179487</v>
      </c>
      <c r="R288" s="1429">
        <v>2340000</v>
      </c>
      <c r="S288" s="1486">
        <f t="shared" si="40"/>
        <v>2658750</v>
      </c>
      <c r="T288" s="1024">
        <f t="shared" si="35"/>
        <v>264</v>
      </c>
      <c r="U288" s="1025">
        <v>0</v>
      </c>
      <c r="V288" s="1027"/>
      <c r="W288" s="1489"/>
    </row>
    <row r="289" spans="1:23" s="1012" customFormat="1" ht="30" customHeight="1">
      <c r="A289" s="1014">
        <f>_xlfn.AGGREGATE(4,7,A$24:A288)+1</f>
        <v>265</v>
      </c>
      <c r="B289" s="1344" t="s">
        <v>2052</v>
      </c>
      <c r="C289" s="1518"/>
      <c r="D289" s="1519"/>
      <c r="E289" s="1340" t="s">
        <v>2449</v>
      </c>
      <c r="F289" s="1520"/>
      <c r="G289" s="1521"/>
      <c r="H289" s="1522"/>
      <c r="I289" s="1523"/>
      <c r="J289" s="1523"/>
      <c r="K289" s="1523"/>
      <c r="L289" s="1524"/>
      <c r="M289" s="1524"/>
      <c r="N289" s="1524"/>
      <c r="O289" s="1525"/>
      <c r="P289" s="1526">
        <v>3949538</v>
      </c>
      <c r="Q289" s="1515">
        <f t="shared" si="39"/>
        <v>1.6878367521367521</v>
      </c>
      <c r="R289" s="1429">
        <v>2340000</v>
      </c>
      <c r="S289" s="1486">
        <f t="shared" si="40"/>
        <v>3949538</v>
      </c>
      <c r="T289" s="1024">
        <f t="shared" si="35"/>
        <v>265</v>
      </c>
      <c r="U289" s="1025">
        <v>0</v>
      </c>
      <c r="V289" s="1027"/>
      <c r="W289" s="1489"/>
    </row>
    <row r="290" spans="1:23" s="1012" customFormat="1" ht="30" customHeight="1">
      <c r="A290" s="1014">
        <f>_xlfn.AGGREGATE(4,7,A$24:A289)+1</f>
        <v>266</v>
      </c>
      <c r="B290" s="1344" t="s">
        <v>2053</v>
      </c>
      <c r="C290" s="1518"/>
      <c r="D290" s="1519"/>
      <c r="E290" s="1340" t="s">
        <v>2449</v>
      </c>
      <c r="F290" s="1520"/>
      <c r="G290" s="1521"/>
      <c r="H290" s="1522"/>
      <c r="I290" s="1523"/>
      <c r="J290" s="1523"/>
      <c r="K290" s="1523"/>
      <c r="L290" s="1524"/>
      <c r="M290" s="1524"/>
      <c r="N290" s="1524"/>
      <c r="O290" s="1525"/>
      <c r="P290" s="1526">
        <v>2187360</v>
      </c>
      <c r="Q290" s="1515">
        <f t="shared" si="39"/>
        <v>0.9347692307692308</v>
      </c>
      <c r="R290" s="1429">
        <v>2340000</v>
      </c>
      <c r="S290" s="1486">
        <f t="shared" si="40"/>
        <v>2187360</v>
      </c>
      <c r="T290" s="1024">
        <f t="shared" si="35"/>
        <v>266</v>
      </c>
      <c r="U290" s="1025">
        <v>0</v>
      </c>
      <c r="V290" s="1027"/>
      <c r="W290" s="1489"/>
    </row>
    <row r="291" spans="1:23" s="1012" customFormat="1" ht="30" customHeight="1">
      <c r="A291" s="1014">
        <f>_xlfn.AGGREGATE(4,7,A$24:A290)+1</f>
        <v>267</v>
      </c>
      <c r="B291" s="1344" t="s">
        <v>2418</v>
      </c>
      <c r="C291" s="1518"/>
      <c r="D291" s="1519"/>
      <c r="E291" s="1340" t="s">
        <v>2449</v>
      </c>
      <c r="F291" s="1520"/>
      <c r="G291" s="1521"/>
      <c r="H291" s="1522"/>
      <c r="I291" s="1523"/>
      <c r="J291" s="1523"/>
      <c r="K291" s="1523"/>
      <c r="L291" s="1524"/>
      <c r="M291" s="1524"/>
      <c r="N291" s="1524"/>
      <c r="O291" s="1525"/>
      <c r="P291" s="1526">
        <v>2083200</v>
      </c>
      <c r="Q291" s="1515">
        <f t="shared" si="39"/>
        <v>0.89025641025641022</v>
      </c>
      <c r="R291" s="1429">
        <v>2340000</v>
      </c>
      <c r="S291" s="1486">
        <f t="shared" si="40"/>
        <v>2083200</v>
      </c>
      <c r="T291" s="1024">
        <f t="shared" si="35"/>
        <v>267</v>
      </c>
      <c r="U291" s="1025">
        <v>0</v>
      </c>
      <c r="V291" s="1027"/>
      <c r="W291" s="1489"/>
    </row>
    <row r="292" spans="1:23" s="1012" customFormat="1" ht="30" customHeight="1">
      <c r="A292" s="1014">
        <f>_xlfn.AGGREGATE(4,7,A$24:A291)+1</f>
        <v>268</v>
      </c>
      <c r="B292" s="1344" t="s">
        <v>2057</v>
      </c>
      <c r="C292" s="1518"/>
      <c r="D292" s="1519"/>
      <c r="E292" s="1340" t="s">
        <v>2449</v>
      </c>
      <c r="F292" s="1520"/>
      <c r="G292" s="1521"/>
      <c r="H292" s="1522"/>
      <c r="I292" s="1523"/>
      <c r="J292" s="1523"/>
      <c r="K292" s="1523"/>
      <c r="L292" s="1524"/>
      <c r="M292" s="1524"/>
      <c r="N292" s="1524"/>
      <c r="O292" s="1525"/>
      <c r="P292" s="1526">
        <v>7575759</v>
      </c>
      <c r="Q292" s="1515">
        <f t="shared" si="39"/>
        <v>3.2375038461538463</v>
      </c>
      <c r="R292" s="1429">
        <v>2340000</v>
      </c>
      <c r="S292" s="1486">
        <f t="shared" si="40"/>
        <v>7575759</v>
      </c>
      <c r="T292" s="1024">
        <f t="shared" si="35"/>
        <v>268</v>
      </c>
      <c r="U292" s="1025">
        <v>0</v>
      </c>
      <c r="V292" s="1027"/>
      <c r="W292" s="1489"/>
    </row>
    <row r="293" spans="1:23" s="1012" customFormat="1" ht="30" customHeight="1">
      <c r="A293" s="1014">
        <f>_xlfn.AGGREGATE(4,7,A$24:A292)+1</f>
        <v>269</v>
      </c>
      <c r="B293" s="1344" t="s">
        <v>2059</v>
      </c>
      <c r="C293" s="1518"/>
      <c r="D293" s="1519"/>
      <c r="E293" s="1340" t="s">
        <v>2449</v>
      </c>
      <c r="F293" s="1520"/>
      <c r="G293" s="1521"/>
      <c r="H293" s="1522"/>
      <c r="I293" s="1523"/>
      <c r="J293" s="1523"/>
      <c r="K293" s="1523"/>
      <c r="L293" s="1524"/>
      <c r="M293" s="1524"/>
      <c r="N293" s="1524"/>
      <c r="O293" s="1525"/>
      <c r="P293" s="1526">
        <v>2187360</v>
      </c>
      <c r="Q293" s="1515">
        <f t="shared" si="39"/>
        <v>0.9347692307692308</v>
      </c>
      <c r="R293" s="1429">
        <v>2340000</v>
      </c>
      <c r="S293" s="1486">
        <f t="shared" si="40"/>
        <v>2187360</v>
      </c>
      <c r="T293" s="1024">
        <f t="shared" si="35"/>
        <v>269</v>
      </c>
      <c r="U293" s="1025">
        <v>0</v>
      </c>
      <c r="V293" s="1027"/>
      <c r="W293" s="1489"/>
    </row>
    <row r="294" spans="1:23" s="1012" customFormat="1" ht="30" customHeight="1">
      <c r="A294" s="1014">
        <f>_xlfn.AGGREGATE(4,7,A$24:A293)+1</f>
        <v>270</v>
      </c>
      <c r="B294" s="1344" t="s">
        <v>2054</v>
      </c>
      <c r="C294" s="1518"/>
      <c r="D294" s="1519"/>
      <c r="E294" s="1340" t="s">
        <v>2450</v>
      </c>
      <c r="F294" s="1520"/>
      <c r="G294" s="1521"/>
      <c r="H294" s="1522"/>
      <c r="I294" s="1523"/>
      <c r="J294" s="1523"/>
      <c r="K294" s="1523"/>
      <c r="L294" s="1524"/>
      <c r="M294" s="1524"/>
      <c r="N294" s="1524"/>
      <c r="O294" s="1525"/>
      <c r="P294" s="1526">
        <v>4563927</v>
      </c>
      <c r="Q294" s="1515">
        <f t="shared" si="39"/>
        <v>1.9503961538461538</v>
      </c>
      <c r="R294" s="1429">
        <v>2340000</v>
      </c>
      <c r="S294" s="1486">
        <f t="shared" si="40"/>
        <v>4563927</v>
      </c>
      <c r="T294" s="1024">
        <f t="shared" si="35"/>
        <v>270</v>
      </c>
      <c r="U294" s="1025">
        <v>0</v>
      </c>
      <c r="V294" s="1027"/>
      <c r="W294" s="1489"/>
    </row>
    <row r="295" spans="1:23" s="1012" customFormat="1" ht="30" customHeight="1">
      <c r="A295" s="1014">
        <f>_xlfn.AGGREGATE(4,7,A$24:A294)+1</f>
        <v>271</v>
      </c>
      <c r="B295" s="1344" t="s">
        <v>2055</v>
      </c>
      <c r="C295" s="1518"/>
      <c r="D295" s="1519"/>
      <c r="E295" s="1343" t="s">
        <v>2451</v>
      </c>
      <c r="F295" s="1520"/>
      <c r="G295" s="1521"/>
      <c r="H295" s="1522"/>
      <c r="I295" s="1523"/>
      <c r="J295" s="1523"/>
      <c r="K295" s="1523"/>
      <c r="L295" s="1524"/>
      <c r="M295" s="1524"/>
      <c r="N295" s="1524"/>
      <c r="O295" s="1525"/>
      <c r="P295" s="1526">
        <v>2411564</v>
      </c>
      <c r="Q295" s="1515">
        <f t="shared" si="39"/>
        <v>1.0305829059829059</v>
      </c>
      <c r="R295" s="1429">
        <v>2340000</v>
      </c>
      <c r="S295" s="1486">
        <f t="shared" si="40"/>
        <v>2411564</v>
      </c>
      <c r="T295" s="1024">
        <f t="shared" si="35"/>
        <v>271</v>
      </c>
      <c r="U295" s="1025">
        <v>0</v>
      </c>
      <c r="V295" s="1027"/>
      <c r="W295" s="1489"/>
    </row>
    <row r="296" spans="1:23" s="1012" customFormat="1" ht="30" customHeight="1">
      <c r="A296" s="1014">
        <f>_xlfn.AGGREGATE(4,7,A$24:A295)+1</f>
        <v>272</v>
      </c>
      <c r="B296" s="1344" t="s">
        <v>2060</v>
      </c>
      <c r="C296" s="1518"/>
      <c r="D296" s="1519"/>
      <c r="E296" s="1343" t="s">
        <v>2452</v>
      </c>
      <c r="F296" s="1520"/>
      <c r="G296" s="1521"/>
      <c r="H296" s="1522"/>
      <c r="I296" s="1523"/>
      <c r="J296" s="1523"/>
      <c r="K296" s="1523"/>
      <c r="L296" s="1524"/>
      <c r="M296" s="1524"/>
      <c r="N296" s="1524"/>
      <c r="O296" s="1525"/>
      <c r="P296" s="1526">
        <v>6370346</v>
      </c>
      <c r="Q296" s="1515">
        <f t="shared" si="39"/>
        <v>2.7223700854700854</v>
      </c>
      <c r="R296" s="1429">
        <v>2340000</v>
      </c>
      <c r="S296" s="1486">
        <f t="shared" si="40"/>
        <v>6370346</v>
      </c>
      <c r="T296" s="1024">
        <f t="shared" si="35"/>
        <v>272</v>
      </c>
      <c r="U296" s="1025" t="s">
        <v>2475</v>
      </c>
      <c r="V296" s="1027"/>
      <c r="W296" s="1489"/>
    </row>
    <row r="297" spans="1:23" s="1012" customFormat="1" ht="30" customHeight="1">
      <c r="A297" s="1014">
        <f>_xlfn.AGGREGATE(4,7,A$24:A296)+1</f>
        <v>273</v>
      </c>
      <c r="B297" s="1344" t="s">
        <v>2106</v>
      </c>
      <c r="C297" s="1518"/>
      <c r="D297" s="1519"/>
      <c r="E297" s="1343" t="s">
        <v>2452</v>
      </c>
      <c r="F297" s="1520"/>
      <c r="G297" s="1521"/>
      <c r="H297" s="1522"/>
      <c r="I297" s="1523"/>
      <c r="J297" s="1523"/>
      <c r="K297" s="1523"/>
      <c r="L297" s="1524"/>
      <c r="M297" s="1524"/>
      <c r="N297" s="1524"/>
      <c r="O297" s="1525"/>
      <c r="P297" s="1526">
        <v>5283316</v>
      </c>
      <c r="Q297" s="1515">
        <f t="shared" si="39"/>
        <v>2.2578273504273505</v>
      </c>
      <c r="R297" s="1429">
        <v>2340000</v>
      </c>
      <c r="S297" s="1486">
        <f t="shared" si="40"/>
        <v>5283316</v>
      </c>
      <c r="T297" s="1024">
        <f t="shared" si="35"/>
        <v>273</v>
      </c>
      <c r="U297" s="1025">
        <v>0</v>
      </c>
      <c r="V297" s="1027"/>
      <c r="W297" s="1489"/>
    </row>
    <row r="298" spans="1:23" s="1012" customFormat="1" ht="30" customHeight="1">
      <c r="A298" s="1014">
        <f>_xlfn.AGGREGATE(4,7,A$24:A297)+1</f>
        <v>274</v>
      </c>
      <c r="B298" s="1344" t="s">
        <v>2062</v>
      </c>
      <c r="C298" s="1518"/>
      <c r="D298" s="1519"/>
      <c r="E298" s="1343" t="s">
        <v>2453</v>
      </c>
      <c r="F298" s="1520"/>
      <c r="G298" s="1521"/>
      <c r="H298" s="1522"/>
      <c r="I298" s="1523"/>
      <c r="J298" s="1523"/>
      <c r="K298" s="1523"/>
      <c r="L298" s="1524"/>
      <c r="M298" s="1524"/>
      <c r="N298" s="1524"/>
      <c r="O298" s="1525"/>
      <c r="P298" s="1526">
        <v>7247855</v>
      </c>
      <c r="Q298" s="1515">
        <f t="shared" si="39"/>
        <v>3.0973739316239315</v>
      </c>
      <c r="R298" s="1429">
        <v>2340000</v>
      </c>
      <c r="S298" s="1486">
        <f t="shared" si="40"/>
        <v>7247855</v>
      </c>
      <c r="T298" s="1024">
        <f t="shared" si="35"/>
        <v>274</v>
      </c>
      <c r="U298" s="1025">
        <v>0</v>
      </c>
      <c r="V298" s="1027"/>
      <c r="W298" s="1489"/>
    </row>
    <row r="299" spans="1:23" s="1012" customFormat="1" ht="30" customHeight="1">
      <c r="A299" s="1014">
        <f>_xlfn.AGGREGATE(4,7,A$24:A298)+1</f>
        <v>275</v>
      </c>
      <c r="B299" s="1344" t="s">
        <v>2065</v>
      </c>
      <c r="C299" s="1518"/>
      <c r="D299" s="1519"/>
      <c r="E299" s="1343" t="s">
        <v>2453</v>
      </c>
      <c r="F299" s="1520"/>
      <c r="G299" s="1521"/>
      <c r="H299" s="1522"/>
      <c r="I299" s="1523"/>
      <c r="J299" s="1523"/>
      <c r="K299" s="1523"/>
      <c r="L299" s="1524"/>
      <c r="M299" s="1524"/>
      <c r="N299" s="1524"/>
      <c r="O299" s="1525"/>
      <c r="P299" s="1526">
        <v>7088449</v>
      </c>
      <c r="Q299" s="1515">
        <f t="shared" si="39"/>
        <v>3.0292517094017093</v>
      </c>
      <c r="R299" s="1429">
        <v>2340000</v>
      </c>
      <c r="S299" s="1486">
        <f t="shared" si="40"/>
        <v>7088449</v>
      </c>
      <c r="T299" s="1024">
        <f t="shared" si="35"/>
        <v>275</v>
      </c>
      <c r="U299" s="1025" t="s">
        <v>2476</v>
      </c>
      <c r="V299" s="1027"/>
      <c r="W299" s="1489"/>
    </row>
    <row r="300" spans="1:23" s="1012" customFormat="1" ht="30" customHeight="1">
      <c r="A300" s="1014">
        <f>_xlfn.AGGREGATE(4,7,A$24:A299)+1</f>
        <v>276</v>
      </c>
      <c r="B300" s="1344" t="s">
        <v>2067</v>
      </c>
      <c r="C300" s="1518"/>
      <c r="D300" s="1519"/>
      <c r="E300" s="1343" t="s">
        <v>2453</v>
      </c>
      <c r="F300" s="1520"/>
      <c r="G300" s="1521"/>
      <c r="H300" s="1522"/>
      <c r="I300" s="1523"/>
      <c r="J300" s="1523"/>
      <c r="K300" s="1523"/>
      <c r="L300" s="1524"/>
      <c r="M300" s="1524"/>
      <c r="N300" s="1524"/>
      <c r="O300" s="1525"/>
      <c r="P300" s="1526">
        <v>7755205</v>
      </c>
      <c r="Q300" s="1515">
        <f t="shared" si="39"/>
        <v>3.3141901709401709</v>
      </c>
      <c r="R300" s="1429">
        <v>2340000</v>
      </c>
      <c r="S300" s="1486">
        <f t="shared" si="40"/>
        <v>7755205</v>
      </c>
      <c r="T300" s="1024">
        <f t="shared" si="35"/>
        <v>276</v>
      </c>
      <c r="U300" s="1025">
        <v>0</v>
      </c>
      <c r="V300" s="1027"/>
      <c r="W300" s="1489"/>
    </row>
    <row r="301" spans="1:23" s="1012" customFormat="1" ht="30" customHeight="1">
      <c r="A301" s="1014">
        <f>_xlfn.AGGREGATE(4,7,A$24:A300)+1</f>
        <v>277</v>
      </c>
      <c r="B301" s="1344" t="s">
        <v>2069</v>
      </c>
      <c r="C301" s="1518"/>
      <c r="D301" s="1519"/>
      <c r="E301" s="1343" t="s">
        <v>2453</v>
      </c>
      <c r="F301" s="1520"/>
      <c r="G301" s="1521"/>
      <c r="H301" s="1522"/>
      <c r="I301" s="1523"/>
      <c r="J301" s="1523"/>
      <c r="K301" s="1523"/>
      <c r="L301" s="1524"/>
      <c r="M301" s="1524"/>
      <c r="N301" s="1524"/>
      <c r="O301" s="1525"/>
      <c r="P301" s="1526">
        <v>6389497</v>
      </c>
      <c r="Q301" s="1515">
        <f t="shared" si="39"/>
        <v>2.7305542735042736</v>
      </c>
      <c r="R301" s="1429">
        <v>2340000</v>
      </c>
      <c r="S301" s="1486">
        <f t="shared" si="40"/>
        <v>6389497</v>
      </c>
      <c r="T301" s="1024">
        <f t="shared" si="35"/>
        <v>277</v>
      </c>
      <c r="U301" s="1025">
        <v>0</v>
      </c>
      <c r="V301" s="1027"/>
      <c r="W301" s="1489"/>
    </row>
    <row r="302" spans="1:23" s="1012" customFormat="1" ht="30" customHeight="1">
      <c r="A302" s="1014">
        <f>_xlfn.AGGREGATE(4,7,A$24:A301)+1</f>
        <v>278</v>
      </c>
      <c r="B302" s="1344" t="s">
        <v>2073</v>
      </c>
      <c r="C302" s="1518"/>
      <c r="D302" s="1519"/>
      <c r="E302" s="1343" t="s">
        <v>2453</v>
      </c>
      <c r="F302" s="1520"/>
      <c r="G302" s="1521"/>
      <c r="H302" s="1522"/>
      <c r="I302" s="1523"/>
      <c r="J302" s="1523"/>
      <c r="K302" s="1523"/>
      <c r="L302" s="1524"/>
      <c r="M302" s="1524"/>
      <c r="N302" s="1524"/>
      <c r="O302" s="1525"/>
      <c r="P302" s="1526">
        <v>5283316</v>
      </c>
      <c r="Q302" s="1515">
        <f t="shared" si="39"/>
        <v>2.2578273504273505</v>
      </c>
      <c r="R302" s="1429">
        <v>2340000</v>
      </c>
      <c r="S302" s="1486">
        <f t="shared" si="40"/>
        <v>5283316</v>
      </c>
      <c r="T302" s="1024">
        <f t="shared" si="35"/>
        <v>278</v>
      </c>
      <c r="U302" s="1025">
        <v>0</v>
      </c>
      <c r="V302" s="1027"/>
      <c r="W302" s="1489"/>
    </row>
    <row r="303" spans="1:23" s="1012" customFormat="1" ht="30" customHeight="1">
      <c r="A303" s="1014">
        <f>_xlfn.AGGREGATE(4,7,A$24:A302)+1</f>
        <v>279</v>
      </c>
      <c r="B303" s="1344" t="s">
        <v>2037</v>
      </c>
      <c r="C303" s="1518"/>
      <c r="D303" s="1519"/>
      <c r="E303" s="1343" t="s">
        <v>2453</v>
      </c>
      <c r="F303" s="1520"/>
      <c r="G303" s="1521"/>
      <c r="H303" s="1522"/>
      <c r="I303" s="1523"/>
      <c r="J303" s="1523"/>
      <c r="K303" s="1523"/>
      <c r="L303" s="1524"/>
      <c r="M303" s="1524"/>
      <c r="N303" s="1524"/>
      <c r="O303" s="1525"/>
      <c r="P303" s="1526">
        <v>5312507</v>
      </c>
      <c r="Q303" s="1515">
        <f t="shared" si="39"/>
        <v>2.2703021367521368</v>
      </c>
      <c r="R303" s="1429">
        <v>2340000</v>
      </c>
      <c r="S303" s="1486">
        <f t="shared" si="40"/>
        <v>5312507</v>
      </c>
      <c r="T303" s="1024">
        <f t="shared" si="35"/>
        <v>279</v>
      </c>
      <c r="U303" s="1025" t="s">
        <v>2477</v>
      </c>
      <c r="V303" s="1027"/>
      <c r="W303" s="1489"/>
    </row>
    <row r="304" spans="1:23" s="1012" customFormat="1" ht="30" customHeight="1">
      <c r="A304" s="1014">
        <f>_xlfn.AGGREGATE(4,7,A$24:A303)+1</f>
        <v>280</v>
      </c>
      <c r="B304" s="1344" t="s">
        <v>2075</v>
      </c>
      <c r="C304" s="1518"/>
      <c r="D304" s="1519"/>
      <c r="E304" s="1343" t="s">
        <v>2454</v>
      </c>
      <c r="F304" s="1520"/>
      <c r="G304" s="1521"/>
      <c r="H304" s="1522"/>
      <c r="I304" s="1523"/>
      <c r="J304" s="1523"/>
      <c r="K304" s="1523"/>
      <c r="L304" s="1524"/>
      <c r="M304" s="1524"/>
      <c r="N304" s="1524"/>
      <c r="O304" s="1525"/>
      <c r="P304" s="1526">
        <v>3741128</v>
      </c>
      <c r="Q304" s="1515">
        <f t="shared" si="39"/>
        <v>1.5987726495726495</v>
      </c>
      <c r="R304" s="1429">
        <v>2340000</v>
      </c>
      <c r="S304" s="1486">
        <f t="shared" si="40"/>
        <v>3741128</v>
      </c>
      <c r="T304" s="1024">
        <f t="shared" si="35"/>
        <v>280</v>
      </c>
      <c r="U304" s="1025">
        <v>0</v>
      </c>
      <c r="V304" s="1027"/>
      <c r="W304" s="1489"/>
    </row>
    <row r="305" spans="1:23" s="1012" customFormat="1" ht="30" customHeight="1">
      <c r="A305" s="1014">
        <f>_xlfn.AGGREGATE(4,7,A$24:A304)+1</f>
        <v>281</v>
      </c>
      <c r="B305" s="1344" t="s">
        <v>2080</v>
      </c>
      <c r="C305" s="1518"/>
      <c r="D305" s="1519"/>
      <c r="E305" s="1343" t="s">
        <v>2454</v>
      </c>
      <c r="F305" s="1520"/>
      <c r="G305" s="1521"/>
      <c r="H305" s="1522"/>
      <c r="I305" s="1523"/>
      <c r="J305" s="1523"/>
      <c r="K305" s="1523"/>
      <c r="L305" s="1524"/>
      <c r="M305" s="1524"/>
      <c r="N305" s="1524"/>
      <c r="O305" s="1525"/>
      <c r="P305" s="1526">
        <v>2296728</v>
      </c>
      <c r="Q305" s="1515">
        <f t="shared" si="39"/>
        <v>0.9815076923076923</v>
      </c>
      <c r="R305" s="1429">
        <v>2340000</v>
      </c>
      <c r="S305" s="1486">
        <f t="shared" si="40"/>
        <v>2296728</v>
      </c>
      <c r="T305" s="1024">
        <f t="shared" si="35"/>
        <v>281</v>
      </c>
      <c r="U305" s="1025">
        <v>0</v>
      </c>
      <c r="V305" s="1027"/>
      <c r="W305" s="1489"/>
    </row>
    <row r="306" spans="1:23" s="1012" customFormat="1" ht="30" customHeight="1">
      <c r="A306" s="1014">
        <f>_xlfn.AGGREGATE(4,7,A$24:A305)+1</f>
        <v>282</v>
      </c>
      <c r="B306" s="1344" t="s">
        <v>2082</v>
      </c>
      <c r="C306" s="1518"/>
      <c r="D306" s="1519"/>
      <c r="E306" s="1343" t="s">
        <v>2454</v>
      </c>
      <c r="F306" s="1520"/>
      <c r="G306" s="1521"/>
      <c r="H306" s="1522"/>
      <c r="I306" s="1523"/>
      <c r="J306" s="1523"/>
      <c r="K306" s="1523"/>
      <c r="L306" s="1524"/>
      <c r="M306" s="1524"/>
      <c r="N306" s="1524"/>
      <c r="O306" s="1525"/>
      <c r="P306" s="1526">
        <v>2296728</v>
      </c>
      <c r="Q306" s="1515">
        <f t="shared" si="39"/>
        <v>0.9815076923076923</v>
      </c>
      <c r="R306" s="1429">
        <v>2340000</v>
      </c>
      <c r="S306" s="1486">
        <f t="shared" si="40"/>
        <v>2296728</v>
      </c>
      <c r="T306" s="1024">
        <f t="shared" si="35"/>
        <v>282</v>
      </c>
      <c r="U306" s="1025">
        <v>0</v>
      </c>
      <c r="V306" s="1027"/>
      <c r="W306" s="1489"/>
    </row>
    <row r="307" spans="1:23" s="1012" customFormat="1" ht="30" customHeight="1">
      <c r="A307" s="1014">
        <f>_xlfn.AGGREGATE(4,7,A$24:A306)+1</f>
        <v>283</v>
      </c>
      <c r="B307" s="1344" t="s">
        <v>2084</v>
      </c>
      <c r="C307" s="1518"/>
      <c r="D307" s="1519"/>
      <c r="E307" s="1343" t="s">
        <v>2454</v>
      </c>
      <c r="F307" s="1520"/>
      <c r="G307" s="1521"/>
      <c r="H307" s="1522"/>
      <c r="I307" s="1523"/>
      <c r="J307" s="1523"/>
      <c r="K307" s="1523"/>
      <c r="L307" s="1524"/>
      <c r="M307" s="1524"/>
      <c r="N307" s="1524"/>
      <c r="O307" s="1525"/>
      <c r="P307" s="1526">
        <v>2296728</v>
      </c>
      <c r="Q307" s="1515">
        <f t="shared" si="39"/>
        <v>0.9815076923076923</v>
      </c>
      <c r="R307" s="1429">
        <v>2340000</v>
      </c>
      <c r="S307" s="1486">
        <f t="shared" si="40"/>
        <v>2296728</v>
      </c>
      <c r="T307" s="1024">
        <f t="shared" si="35"/>
        <v>283</v>
      </c>
      <c r="U307" s="1025">
        <v>0</v>
      </c>
      <c r="V307" s="1027"/>
      <c r="W307" s="1489"/>
    </row>
    <row r="308" spans="1:23" s="1012" customFormat="1" ht="30" customHeight="1">
      <c r="A308" s="1014">
        <f>_xlfn.AGGREGATE(4,7,A$24:A307)+1</f>
        <v>284</v>
      </c>
      <c r="B308" s="1344" t="s">
        <v>2086</v>
      </c>
      <c r="C308" s="1518"/>
      <c r="D308" s="1519"/>
      <c r="E308" s="1343" t="s">
        <v>2454</v>
      </c>
      <c r="F308" s="1520"/>
      <c r="G308" s="1521"/>
      <c r="H308" s="1522"/>
      <c r="I308" s="1523"/>
      <c r="J308" s="1523"/>
      <c r="K308" s="1523"/>
      <c r="L308" s="1524"/>
      <c r="M308" s="1524"/>
      <c r="N308" s="1524"/>
      <c r="O308" s="1525"/>
      <c r="P308" s="1526">
        <v>2296728</v>
      </c>
      <c r="Q308" s="1515">
        <f t="shared" si="39"/>
        <v>0.9815076923076923</v>
      </c>
      <c r="R308" s="1429">
        <v>2340000</v>
      </c>
      <c r="S308" s="1486">
        <f t="shared" si="40"/>
        <v>2296728</v>
      </c>
      <c r="T308" s="1024">
        <f t="shared" si="35"/>
        <v>284</v>
      </c>
      <c r="U308" s="1025">
        <v>0</v>
      </c>
      <c r="V308" s="1027"/>
      <c r="W308" s="1489"/>
    </row>
    <row r="309" spans="1:23" s="1012" customFormat="1" ht="30" customHeight="1">
      <c r="A309" s="1014">
        <f>_xlfn.AGGREGATE(4,7,A$24:A308)+1</f>
        <v>285</v>
      </c>
      <c r="B309" s="1344" t="s">
        <v>2087</v>
      </c>
      <c r="C309" s="1518"/>
      <c r="D309" s="1519"/>
      <c r="E309" s="1343" t="s">
        <v>2454</v>
      </c>
      <c r="F309" s="1520"/>
      <c r="G309" s="1521"/>
      <c r="H309" s="1522"/>
      <c r="I309" s="1523"/>
      <c r="J309" s="1523"/>
      <c r="K309" s="1523"/>
      <c r="L309" s="1524"/>
      <c r="M309" s="1524"/>
      <c r="N309" s="1524"/>
      <c r="O309" s="1525"/>
      <c r="P309" s="1526">
        <v>1913940</v>
      </c>
      <c r="Q309" s="1515">
        <f t="shared" si="39"/>
        <v>0.81792307692307697</v>
      </c>
      <c r="R309" s="1429">
        <v>2340000</v>
      </c>
      <c r="S309" s="1486">
        <f t="shared" si="40"/>
        <v>1913940.0000000002</v>
      </c>
      <c r="T309" s="1024">
        <f t="shared" si="35"/>
        <v>285</v>
      </c>
      <c r="U309" s="1025">
        <v>0</v>
      </c>
      <c r="V309" s="1027"/>
      <c r="W309" s="1489"/>
    </row>
    <row r="310" spans="1:23" s="1012" customFormat="1" ht="30" customHeight="1">
      <c r="A310" s="1014">
        <f>_xlfn.AGGREGATE(4,7,A$24:A309)+1</f>
        <v>286</v>
      </c>
      <c r="B310" s="1344" t="s">
        <v>2253</v>
      </c>
      <c r="C310" s="1518"/>
      <c r="D310" s="1519"/>
      <c r="E310" s="1343" t="s">
        <v>2454</v>
      </c>
      <c r="F310" s="1520"/>
      <c r="G310" s="1521"/>
      <c r="H310" s="1522"/>
      <c r="I310" s="1523"/>
      <c r="J310" s="1523"/>
      <c r="K310" s="1523"/>
      <c r="L310" s="1524"/>
      <c r="M310" s="1524"/>
      <c r="N310" s="1524"/>
      <c r="O310" s="1525"/>
      <c r="P310" s="1526">
        <v>4628321</v>
      </c>
      <c r="Q310" s="1515">
        <f t="shared" si="39"/>
        <v>1.9779149572649573</v>
      </c>
      <c r="R310" s="1429">
        <v>2340000</v>
      </c>
      <c r="S310" s="1486">
        <f t="shared" si="40"/>
        <v>4628321</v>
      </c>
      <c r="T310" s="1024">
        <f t="shared" si="35"/>
        <v>286</v>
      </c>
      <c r="U310" s="1025" t="s">
        <v>2478</v>
      </c>
      <c r="V310" s="1027"/>
      <c r="W310" s="1489"/>
    </row>
    <row r="311" spans="1:23" s="1012" customFormat="1" ht="30" customHeight="1">
      <c r="A311" s="1014">
        <f>_xlfn.AGGREGATE(4,7,A$24:A310)+1</f>
        <v>287</v>
      </c>
      <c r="B311" s="1344" t="s">
        <v>2088</v>
      </c>
      <c r="C311" s="1518"/>
      <c r="D311" s="1519"/>
      <c r="E311" s="1343" t="s">
        <v>2454</v>
      </c>
      <c r="F311" s="1520"/>
      <c r="G311" s="1521"/>
      <c r="H311" s="1522"/>
      <c r="I311" s="1523"/>
      <c r="J311" s="1523"/>
      <c r="K311" s="1523"/>
      <c r="L311" s="1524"/>
      <c r="M311" s="1524"/>
      <c r="N311" s="1524"/>
      <c r="O311" s="1525"/>
      <c r="P311" s="1526">
        <v>2916480</v>
      </c>
      <c r="Q311" s="1515">
        <f t="shared" si="39"/>
        <v>1.2463589743589745</v>
      </c>
      <c r="R311" s="1429">
        <v>2340000</v>
      </c>
      <c r="S311" s="1486">
        <f t="shared" si="40"/>
        <v>2916480.0000000005</v>
      </c>
      <c r="T311" s="1024">
        <f t="shared" si="35"/>
        <v>287</v>
      </c>
      <c r="U311" s="1025">
        <v>0</v>
      </c>
      <c r="V311" s="1027"/>
      <c r="W311" s="1489"/>
    </row>
    <row r="312" spans="1:23" s="1012" customFormat="1" ht="30" customHeight="1">
      <c r="A312" s="1014">
        <f>_xlfn.AGGREGATE(4,7,A$24:A311)+1</f>
        <v>288</v>
      </c>
      <c r="B312" s="1344" t="s">
        <v>2110</v>
      </c>
      <c r="C312" s="1518"/>
      <c r="D312" s="1519"/>
      <c r="E312" s="1343" t="s">
        <v>2454</v>
      </c>
      <c r="F312" s="1520"/>
      <c r="G312" s="1521"/>
      <c r="H312" s="1522"/>
      <c r="I312" s="1523"/>
      <c r="J312" s="1523"/>
      <c r="K312" s="1523"/>
      <c r="L312" s="1524"/>
      <c r="M312" s="1524"/>
      <c r="N312" s="1524"/>
      <c r="O312" s="1525"/>
      <c r="P312" s="1526">
        <v>3993436</v>
      </c>
      <c r="Q312" s="1515">
        <f t="shared" si="39"/>
        <v>1.7065965811965811</v>
      </c>
      <c r="R312" s="1429">
        <v>2340000</v>
      </c>
      <c r="S312" s="1486">
        <f t="shared" si="40"/>
        <v>3993435.9999999995</v>
      </c>
      <c r="T312" s="1024">
        <f t="shared" si="35"/>
        <v>288</v>
      </c>
      <c r="U312" s="1025">
        <v>0</v>
      </c>
      <c r="V312" s="1027"/>
      <c r="W312" s="1489"/>
    </row>
    <row r="313" spans="1:23" s="1012" customFormat="1" ht="30" customHeight="1">
      <c r="A313" s="1014">
        <f>_xlfn.AGGREGATE(4,7,A$24:A312)+1</f>
        <v>289</v>
      </c>
      <c r="B313" s="1344" t="s">
        <v>2100</v>
      </c>
      <c r="C313" s="1518"/>
      <c r="D313" s="1519"/>
      <c r="E313" s="1343" t="s">
        <v>2458</v>
      </c>
      <c r="F313" s="1520"/>
      <c r="G313" s="1521"/>
      <c r="H313" s="1522"/>
      <c r="I313" s="1523"/>
      <c r="J313" s="1523"/>
      <c r="K313" s="1523"/>
      <c r="L313" s="1524"/>
      <c r="M313" s="1524"/>
      <c r="N313" s="1524"/>
      <c r="O313" s="1525"/>
      <c r="P313" s="1526">
        <v>9483508</v>
      </c>
      <c r="Q313" s="1515">
        <f t="shared" si="39"/>
        <v>4.0527811965811962</v>
      </c>
      <c r="R313" s="1429">
        <v>2340000</v>
      </c>
      <c r="S313" s="1486">
        <f t="shared" si="40"/>
        <v>9483507.9999999981</v>
      </c>
      <c r="T313" s="1024">
        <f t="shared" si="35"/>
        <v>289</v>
      </c>
      <c r="U313" s="1025">
        <v>0</v>
      </c>
      <c r="V313" s="1027"/>
      <c r="W313" s="1489"/>
    </row>
    <row r="314" spans="1:23" s="1012" customFormat="1" ht="30" customHeight="1">
      <c r="A314" s="1014">
        <f>_xlfn.AGGREGATE(4,7,A$24:A313)+1</f>
        <v>290</v>
      </c>
      <c r="B314" s="1344" t="s">
        <v>2091</v>
      </c>
      <c r="C314" s="1518"/>
      <c r="D314" s="1519"/>
      <c r="E314" s="1343" t="s">
        <v>2458</v>
      </c>
      <c r="F314" s="1520"/>
      <c r="G314" s="1521"/>
      <c r="H314" s="1522"/>
      <c r="I314" s="1523"/>
      <c r="J314" s="1523"/>
      <c r="K314" s="1523"/>
      <c r="L314" s="1524"/>
      <c r="M314" s="1524"/>
      <c r="N314" s="1524"/>
      <c r="O314" s="1525"/>
      <c r="P314" s="1526">
        <v>1746850</v>
      </c>
      <c r="Q314" s="1515">
        <f t="shared" si="39"/>
        <v>0.74651709401709399</v>
      </c>
      <c r="R314" s="1429">
        <v>2340000</v>
      </c>
      <c r="S314" s="1486">
        <f t="shared" si="40"/>
        <v>1746850</v>
      </c>
      <c r="T314" s="1024">
        <f t="shared" si="35"/>
        <v>290</v>
      </c>
      <c r="U314" s="1025">
        <v>0</v>
      </c>
      <c r="V314" s="1027"/>
      <c r="W314" s="1489"/>
    </row>
    <row r="315" spans="1:23" s="1012" customFormat="1" ht="30" customHeight="1">
      <c r="A315" s="1014">
        <f>_xlfn.AGGREGATE(4,7,A$24:A314)+1</f>
        <v>291</v>
      </c>
      <c r="B315" s="1344" t="s">
        <v>2056</v>
      </c>
      <c r="C315" s="1518"/>
      <c r="D315" s="1519"/>
      <c r="E315" s="1343" t="s">
        <v>2460</v>
      </c>
      <c r="F315" s="1520"/>
      <c r="G315" s="1521"/>
      <c r="H315" s="1522"/>
      <c r="I315" s="1523"/>
      <c r="J315" s="1523"/>
      <c r="K315" s="1523"/>
      <c r="L315" s="1524"/>
      <c r="M315" s="1524"/>
      <c r="N315" s="1524"/>
      <c r="O315" s="1525"/>
      <c r="P315" s="1526">
        <v>3949538</v>
      </c>
      <c r="Q315" s="1515">
        <f t="shared" si="39"/>
        <v>1.6878367521367521</v>
      </c>
      <c r="R315" s="1429">
        <v>2340000</v>
      </c>
      <c r="S315" s="1486">
        <f t="shared" si="40"/>
        <v>3949538</v>
      </c>
      <c r="T315" s="1024">
        <f t="shared" si="35"/>
        <v>291</v>
      </c>
      <c r="U315" s="1025">
        <v>0</v>
      </c>
      <c r="V315" s="1027"/>
      <c r="W315" s="1489"/>
    </row>
    <row r="316" spans="1:23" s="1012" customFormat="1" ht="30" customHeight="1">
      <c r="A316" s="1014">
        <f>_xlfn.AGGREGATE(4,7,A$24:A315)+1</f>
        <v>292</v>
      </c>
      <c r="B316" s="1344" t="s">
        <v>2113</v>
      </c>
      <c r="C316" s="1518"/>
      <c r="D316" s="1519"/>
      <c r="E316" s="1343" t="s">
        <v>2460</v>
      </c>
      <c r="F316" s="1520"/>
      <c r="G316" s="1521"/>
      <c r="H316" s="1522"/>
      <c r="I316" s="1523"/>
      <c r="J316" s="1523"/>
      <c r="K316" s="1523"/>
      <c r="L316" s="1524"/>
      <c r="M316" s="1524"/>
      <c r="N316" s="1524"/>
      <c r="O316" s="1525"/>
      <c r="P316" s="1526">
        <v>3949538</v>
      </c>
      <c r="Q316" s="1515">
        <f t="shared" si="39"/>
        <v>1.6878367521367521</v>
      </c>
      <c r="R316" s="1429">
        <v>2340000</v>
      </c>
      <c r="S316" s="1486">
        <f t="shared" si="40"/>
        <v>3949538</v>
      </c>
      <c r="T316" s="1024">
        <f t="shared" si="35"/>
        <v>292</v>
      </c>
      <c r="U316" s="1025">
        <v>0</v>
      </c>
      <c r="V316" s="1027"/>
      <c r="W316" s="1489"/>
    </row>
    <row r="317" spans="1:23" s="1012" customFormat="1" ht="30" customHeight="1">
      <c r="A317" s="1014">
        <f>_xlfn.AGGREGATE(4,7,A$24:A316)+1</f>
        <v>293</v>
      </c>
      <c r="B317" s="1344" t="s">
        <v>2108</v>
      </c>
      <c r="C317" s="1518"/>
      <c r="D317" s="1519"/>
      <c r="E317" s="1343" t="s">
        <v>2489</v>
      </c>
      <c r="F317" s="1520"/>
      <c r="G317" s="1521"/>
      <c r="H317" s="1522"/>
      <c r="I317" s="1523"/>
      <c r="J317" s="1523"/>
      <c r="K317" s="1523"/>
      <c r="L317" s="1524"/>
      <c r="M317" s="1524"/>
      <c r="N317" s="1524"/>
      <c r="O317" s="1525"/>
      <c r="P317" s="1526">
        <v>3620410</v>
      </c>
      <c r="Q317" s="1515">
        <f t="shared" si="39"/>
        <v>1.5471837606837606</v>
      </c>
      <c r="R317" s="1429">
        <v>2340000</v>
      </c>
      <c r="S317" s="1486">
        <f t="shared" si="40"/>
        <v>3620410</v>
      </c>
      <c r="T317" s="1024">
        <f t="shared" si="35"/>
        <v>293</v>
      </c>
      <c r="U317" s="1025" t="s">
        <v>2479</v>
      </c>
      <c r="V317" s="1027"/>
      <c r="W317" s="1489"/>
    </row>
    <row r="318" spans="1:23" s="1012" customFormat="1" ht="30" customHeight="1">
      <c r="A318" s="1014">
        <f>_xlfn.AGGREGATE(4,7,A$24:A317)+1</f>
        <v>294</v>
      </c>
      <c r="B318" s="1344" t="s">
        <v>2089</v>
      </c>
      <c r="C318" s="1518"/>
      <c r="D318" s="1519"/>
      <c r="E318" s="1343" t="s">
        <v>2493</v>
      </c>
      <c r="F318" s="1520"/>
      <c r="G318" s="1521"/>
      <c r="H318" s="1522"/>
      <c r="I318" s="1523"/>
      <c r="J318" s="1523"/>
      <c r="K318" s="1523"/>
      <c r="L318" s="1524"/>
      <c r="M318" s="1524"/>
      <c r="N318" s="1524"/>
      <c r="O318" s="1525"/>
      <c r="P318" s="1526">
        <v>5096749</v>
      </c>
      <c r="Q318" s="1515">
        <f t="shared" si="39"/>
        <v>2.1780978632478631</v>
      </c>
      <c r="R318" s="1429">
        <v>2340000</v>
      </c>
      <c r="S318" s="1486">
        <f t="shared" si="40"/>
        <v>5096749</v>
      </c>
      <c r="T318" s="1024">
        <f t="shared" si="35"/>
        <v>294</v>
      </c>
      <c r="U318" s="1025">
        <v>0</v>
      </c>
      <c r="V318" s="1027"/>
      <c r="W318" s="1489"/>
    </row>
    <row r="319" spans="1:23" s="1012" customFormat="1" ht="30" customHeight="1">
      <c r="A319" s="1014">
        <f>_xlfn.AGGREGATE(4,7,A$24:A318)+1</f>
        <v>295</v>
      </c>
      <c r="B319" s="1344" t="s">
        <v>2092</v>
      </c>
      <c r="C319" s="1518"/>
      <c r="D319" s="1519"/>
      <c r="E319" s="1340" t="s">
        <v>2492</v>
      </c>
      <c r="F319" s="1520"/>
      <c r="G319" s="1521"/>
      <c r="H319" s="1522"/>
      <c r="I319" s="1523"/>
      <c r="J319" s="1523"/>
      <c r="K319" s="1523"/>
      <c r="L319" s="1524"/>
      <c r="M319" s="1524"/>
      <c r="N319" s="1524"/>
      <c r="O319" s="1525"/>
      <c r="P319" s="1526">
        <v>13922658</v>
      </c>
      <c r="Q319" s="1515">
        <f t="shared" si="39"/>
        <v>5.9498538461538457</v>
      </c>
      <c r="R319" s="1429">
        <v>2340000</v>
      </c>
      <c r="S319" s="1486">
        <f t="shared" si="40"/>
        <v>13922657.999999998</v>
      </c>
      <c r="T319" s="1024">
        <f t="shared" si="35"/>
        <v>295</v>
      </c>
      <c r="U319" s="1025">
        <v>0</v>
      </c>
      <c r="V319" s="1027"/>
      <c r="W319" s="1489"/>
    </row>
    <row r="320" spans="1:23" s="1012" customFormat="1" ht="30" customHeight="1">
      <c r="A320" s="1014">
        <f>_xlfn.AGGREGATE(4,7,A$24:A319)+1</f>
        <v>296</v>
      </c>
      <c r="B320" s="1344" t="s">
        <v>2094</v>
      </c>
      <c r="C320" s="1518"/>
      <c r="D320" s="1519"/>
      <c r="E320" s="1340" t="s">
        <v>2457</v>
      </c>
      <c r="F320" s="1520"/>
      <c r="G320" s="1521"/>
      <c r="H320" s="1522"/>
      <c r="I320" s="1523"/>
      <c r="J320" s="1523"/>
      <c r="K320" s="1523"/>
      <c r="L320" s="1524"/>
      <c r="M320" s="1524"/>
      <c r="N320" s="1524"/>
      <c r="O320" s="1525"/>
      <c r="P320" s="1526">
        <v>7247855</v>
      </c>
      <c r="Q320" s="1515">
        <f t="shared" si="39"/>
        <v>3.0973739316239315</v>
      </c>
      <c r="R320" s="1429">
        <v>2340000</v>
      </c>
      <c r="S320" s="1486">
        <f t="shared" si="40"/>
        <v>7247855</v>
      </c>
      <c r="T320" s="1024">
        <f t="shared" si="35"/>
        <v>296</v>
      </c>
      <c r="U320" s="1025">
        <v>0</v>
      </c>
      <c r="V320" s="1027"/>
      <c r="W320" s="1489"/>
    </row>
    <row r="321" spans="1:23" s="1012" customFormat="1" ht="30" customHeight="1">
      <c r="A321" s="1014">
        <f>_xlfn.AGGREGATE(4,7,A$24:A320)+1</f>
        <v>297</v>
      </c>
      <c r="B321" s="1344" t="s">
        <v>2098</v>
      </c>
      <c r="C321" s="1518"/>
      <c r="D321" s="1519"/>
      <c r="E321" s="1340" t="s">
        <v>2457</v>
      </c>
      <c r="F321" s="1520"/>
      <c r="G321" s="1521"/>
      <c r="H321" s="1522"/>
      <c r="I321" s="1523"/>
      <c r="J321" s="1523"/>
      <c r="K321" s="1523"/>
      <c r="L321" s="1524"/>
      <c r="M321" s="1524"/>
      <c r="N321" s="1524"/>
      <c r="O321" s="1525"/>
      <c r="P321" s="1526">
        <v>5068575</v>
      </c>
      <c r="Q321" s="1515">
        <f t="shared" si="39"/>
        <v>2.1660576923076924</v>
      </c>
      <c r="R321" s="1429">
        <v>2340000</v>
      </c>
      <c r="S321" s="1486">
        <f t="shared" si="40"/>
        <v>5068575</v>
      </c>
      <c r="T321" s="1024">
        <f t="shared" si="35"/>
        <v>297</v>
      </c>
      <c r="U321" s="1025" t="s">
        <v>2480</v>
      </c>
      <c r="V321" s="1027"/>
      <c r="W321" s="1489"/>
    </row>
    <row r="322" spans="1:23" s="1012" customFormat="1" ht="30" customHeight="1">
      <c r="A322" s="1014">
        <f>_xlfn.AGGREGATE(4,7,A$24:A321)+1</f>
        <v>298</v>
      </c>
      <c r="B322" s="1344" t="s">
        <v>2099</v>
      </c>
      <c r="C322" s="1518"/>
      <c r="D322" s="1519"/>
      <c r="E322" s="1340" t="s">
        <v>2457</v>
      </c>
      <c r="F322" s="1520"/>
      <c r="G322" s="1521"/>
      <c r="H322" s="1522"/>
      <c r="I322" s="1523"/>
      <c r="J322" s="1523"/>
      <c r="K322" s="1523"/>
      <c r="L322" s="1524"/>
      <c r="M322" s="1524"/>
      <c r="N322" s="1524"/>
      <c r="O322" s="1525"/>
      <c r="P322" s="1526">
        <v>5529354</v>
      </c>
      <c r="Q322" s="1515">
        <f t="shared" si="39"/>
        <v>2.362971794871795</v>
      </c>
      <c r="R322" s="1429">
        <v>2340000</v>
      </c>
      <c r="S322" s="1486">
        <f t="shared" si="40"/>
        <v>5529354</v>
      </c>
      <c r="T322" s="1024">
        <f t="shared" si="35"/>
        <v>298</v>
      </c>
      <c r="U322" s="1025">
        <v>0</v>
      </c>
      <c r="V322" s="1027"/>
      <c r="W322" s="1489"/>
    </row>
    <row r="323" spans="1:23" s="1012" customFormat="1" ht="30" customHeight="1">
      <c r="A323" s="1014">
        <f>_xlfn.AGGREGATE(4,7,A$24:A322)+1</f>
        <v>299</v>
      </c>
      <c r="B323" s="1344" t="s">
        <v>2102</v>
      </c>
      <c r="C323" s="1518"/>
      <c r="D323" s="1519"/>
      <c r="E323" s="1340" t="s">
        <v>2453</v>
      </c>
      <c r="F323" s="1520"/>
      <c r="G323" s="1521"/>
      <c r="H323" s="1522"/>
      <c r="I323" s="1523"/>
      <c r="J323" s="1523"/>
      <c r="K323" s="1523"/>
      <c r="L323" s="1524"/>
      <c r="M323" s="1524"/>
      <c r="N323" s="1524"/>
      <c r="O323" s="1525"/>
      <c r="P323" s="1526">
        <v>4402763</v>
      </c>
      <c r="Q323" s="1515">
        <f t="shared" si="39"/>
        <v>1.8815226495726496</v>
      </c>
      <c r="R323" s="1429">
        <v>2340000</v>
      </c>
      <c r="S323" s="1486">
        <f t="shared" si="40"/>
        <v>4402763</v>
      </c>
      <c r="T323" s="1024">
        <f t="shared" si="35"/>
        <v>299</v>
      </c>
      <c r="U323" s="1025">
        <v>0</v>
      </c>
      <c r="V323" s="1027"/>
      <c r="W323" s="1489"/>
    </row>
    <row r="324" spans="1:23" s="1012" customFormat="1" ht="39.75" customHeight="1">
      <c r="A324" s="1092">
        <f>_xlfn.AGGREGATE(4,7,A$24:A323)+1</f>
        <v>300</v>
      </c>
      <c r="B324" s="1342" t="s">
        <v>2109</v>
      </c>
      <c r="C324" s="1527"/>
      <c r="D324" s="1528"/>
      <c r="E324" s="1500" t="s">
        <v>2456</v>
      </c>
      <c r="F324" s="1529"/>
      <c r="G324" s="1530"/>
      <c r="H324" s="1531"/>
      <c r="I324" s="1396"/>
      <c r="J324" s="1396"/>
      <c r="K324" s="1396"/>
      <c r="L324" s="1397"/>
      <c r="M324" s="1397"/>
      <c r="N324" s="1397"/>
      <c r="O324" s="1398"/>
      <c r="P324" s="1399">
        <v>0</v>
      </c>
      <c r="Q324" s="1532">
        <f t="shared" si="39"/>
        <v>0</v>
      </c>
      <c r="R324" s="1225">
        <v>2340000</v>
      </c>
      <c r="S324" s="1487">
        <f t="shared" si="40"/>
        <v>0</v>
      </c>
      <c r="T324" s="1099">
        <f t="shared" si="35"/>
        <v>300</v>
      </c>
      <c r="U324" s="1215" t="s">
        <v>2421</v>
      </c>
      <c r="V324" s="1027"/>
      <c r="W324" s="1489"/>
    </row>
    <row r="325" spans="1:23" s="1012" customFormat="1" ht="30" customHeight="1">
      <c r="A325" s="1014">
        <f>_xlfn.AGGREGATE(4,7,A$24:A324)+1</f>
        <v>301</v>
      </c>
      <c r="B325" s="1344" t="s">
        <v>2114</v>
      </c>
      <c r="C325" s="1518"/>
      <c r="D325" s="1519"/>
      <c r="E325" s="1340" t="s">
        <v>2452</v>
      </c>
      <c r="F325" s="1520"/>
      <c r="G325" s="1521"/>
      <c r="H325" s="1522"/>
      <c r="I325" s="1523"/>
      <c r="J325" s="1523"/>
      <c r="K325" s="1523"/>
      <c r="L325" s="1524"/>
      <c r="M325" s="1524"/>
      <c r="N325" s="1524"/>
      <c r="O325" s="1525"/>
      <c r="P325" s="1526">
        <v>7247855</v>
      </c>
      <c r="Q325" s="1515">
        <f t="shared" si="39"/>
        <v>3.0973739316239315</v>
      </c>
      <c r="R325" s="1429">
        <v>2340000</v>
      </c>
      <c r="S325" s="1486">
        <f t="shared" si="40"/>
        <v>7247855</v>
      </c>
      <c r="T325" s="1024">
        <f t="shared" si="35"/>
        <v>301</v>
      </c>
      <c r="U325" s="1025">
        <v>0</v>
      </c>
      <c r="V325" s="1027"/>
      <c r="W325" s="1489"/>
    </row>
    <row r="326" spans="1:23" s="1012" customFormat="1" ht="30" customHeight="1">
      <c r="A326" s="1014">
        <f>_xlfn.AGGREGATE(4,7,A$24:A325)+1</f>
        <v>302</v>
      </c>
      <c r="B326" s="1344" t="s">
        <v>2117</v>
      </c>
      <c r="C326" s="1518"/>
      <c r="D326" s="1519"/>
      <c r="E326" s="1340" t="s">
        <v>2461</v>
      </c>
      <c r="F326" s="1520"/>
      <c r="G326" s="1521"/>
      <c r="H326" s="1522"/>
      <c r="I326" s="1523"/>
      <c r="J326" s="1523"/>
      <c r="K326" s="1523"/>
      <c r="L326" s="1524"/>
      <c r="M326" s="1524"/>
      <c r="N326" s="1524"/>
      <c r="O326" s="1525"/>
      <c r="P326" s="1526">
        <v>5529354</v>
      </c>
      <c r="Q326" s="1515">
        <f t="shared" si="39"/>
        <v>2.362971794871795</v>
      </c>
      <c r="R326" s="1429">
        <v>2340000</v>
      </c>
      <c r="S326" s="1486">
        <f t="shared" si="40"/>
        <v>5529354</v>
      </c>
      <c r="T326" s="1024">
        <f t="shared" si="35"/>
        <v>302</v>
      </c>
      <c r="U326" s="1025">
        <v>0</v>
      </c>
      <c r="V326" s="1027"/>
      <c r="W326" s="1489"/>
    </row>
    <row r="327" spans="1:23" s="1012" customFormat="1" ht="30" customHeight="1">
      <c r="A327" s="1014">
        <f>_xlfn.AGGREGATE(4,7,A$24:A326)+1</f>
        <v>303</v>
      </c>
      <c r="B327" s="1344" t="s">
        <v>2119</v>
      </c>
      <c r="C327" s="1518"/>
      <c r="D327" s="1519"/>
      <c r="E327" s="1340" t="s">
        <v>2489</v>
      </c>
      <c r="F327" s="1520"/>
      <c r="G327" s="1521"/>
      <c r="H327" s="1522"/>
      <c r="I327" s="1523"/>
      <c r="J327" s="1523"/>
      <c r="K327" s="1523"/>
      <c r="L327" s="1524"/>
      <c r="M327" s="1524"/>
      <c r="N327" s="1524"/>
      <c r="O327" s="1525"/>
      <c r="P327" s="1526">
        <v>4739446</v>
      </c>
      <c r="Q327" s="1515">
        <f t="shared" si="39"/>
        <v>2.0254042735042734</v>
      </c>
      <c r="R327" s="1429">
        <v>2340000</v>
      </c>
      <c r="S327" s="1486">
        <f t="shared" si="40"/>
        <v>4739446</v>
      </c>
      <c r="T327" s="1024">
        <f t="shared" si="35"/>
        <v>303</v>
      </c>
      <c r="U327" s="1025">
        <v>0</v>
      </c>
      <c r="V327" s="1027"/>
      <c r="W327" s="1489"/>
    </row>
    <row r="328" spans="1:23" s="1012" customFormat="1" ht="30" customHeight="1">
      <c r="A328" s="1014">
        <f>_xlfn.AGGREGATE(4,7,A$24:A327)+1</f>
        <v>304</v>
      </c>
      <c r="B328" s="1344" t="s">
        <v>2123</v>
      </c>
      <c r="C328" s="1518"/>
      <c r="D328" s="1519"/>
      <c r="E328" s="1340" t="s">
        <v>2489</v>
      </c>
      <c r="F328" s="1520"/>
      <c r="G328" s="1521"/>
      <c r="H328" s="1522"/>
      <c r="I328" s="1523"/>
      <c r="J328" s="1523"/>
      <c r="K328" s="1523"/>
      <c r="L328" s="1524"/>
      <c r="M328" s="1524"/>
      <c r="N328" s="1524"/>
      <c r="O328" s="1525"/>
      <c r="P328" s="1526">
        <v>4402763</v>
      </c>
      <c r="Q328" s="1515">
        <f t="shared" si="39"/>
        <v>1.8815226495726496</v>
      </c>
      <c r="R328" s="1429">
        <v>2340000</v>
      </c>
      <c r="S328" s="1486">
        <f t="shared" si="40"/>
        <v>4402763</v>
      </c>
      <c r="T328" s="1024">
        <f t="shared" si="35"/>
        <v>304</v>
      </c>
      <c r="U328" s="1025">
        <v>0</v>
      </c>
      <c r="V328" s="1027"/>
      <c r="W328" s="1489"/>
    </row>
    <row r="329" spans="1:23" s="1012" customFormat="1" ht="30" customHeight="1">
      <c r="A329" s="1014">
        <f>_xlfn.AGGREGATE(4,7,A$24:A328)+1</f>
        <v>305</v>
      </c>
      <c r="B329" s="1344" t="s">
        <v>2125</v>
      </c>
      <c r="C329" s="1518"/>
      <c r="D329" s="1519"/>
      <c r="E329" s="1340" t="s">
        <v>2462</v>
      </c>
      <c r="F329" s="1520"/>
      <c r="G329" s="1521"/>
      <c r="H329" s="1522"/>
      <c r="I329" s="1523"/>
      <c r="J329" s="1523"/>
      <c r="K329" s="1523"/>
      <c r="L329" s="1524"/>
      <c r="M329" s="1524"/>
      <c r="N329" s="1524"/>
      <c r="O329" s="1525"/>
      <c r="P329" s="1526">
        <v>7580090</v>
      </c>
      <c r="Q329" s="1515">
        <f t="shared" si="39"/>
        <v>3.239354700854701</v>
      </c>
      <c r="R329" s="1429">
        <v>2340000</v>
      </c>
      <c r="S329" s="1486">
        <f t="shared" si="40"/>
        <v>7580090</v>
      </c>
      <c r="T329" s="1024">
        <f t="shared" si="35"/>
        <v>305</v>
      </c>
      <c r="U329" s="1025" t="s">
        <v>2481</v>
      </c>
      <c r="V329" s="1027"/>
      <c r="W329" s="1489"/>
    </row>
    <row r="330" spans="1:23" s="1012" customFormat="1" ht="30" customHeight="1">
      <c r="A330" s="1014">
        <f>_xlfn.AGGREGATE(4,7,A$24:A329)+1</f>
        <v>306</v>
      </c>
      <c r="B330" s="1344" t="s">
        <v>2128</v>
      </c>
      <c r="C330" s="1518"/>
      <c r="D330" s="1519"/>
      <c r="E330" s="1340" t="s">
        <v>2462</v>
      </c>
      <c r="F330" s="1520"/>
      <c r="G330" s="1521"/>
      <c r="H330" s="1522"/>
      <c r="I330" s="1523"/>
      <c r="J330" s="1523"/>
      <c r="K330" s="1523"/>
      <c r="L330" s="1524"/>
      <c r="M330" s="1524"/>
      <c r="N330" s="1524"/>
      <c r="O330" s="1525"/>
      <c r="P330" s="1526">
        <v>6319262</v>
      </c>
      <c r="Q330" s="1515">
        <f t="shared" si="39"/>
        <v>2.7005393162393161</v>
      </c>
      <c r="R330" s="1429">
        <v>2340000</v>
      </c>
      <c r="S330" s="1486">
        <f t="shared" si="40"/>
        <v>6319262</v>
      </c>
      <c r="T330" s="1024">
        <f t="shared" si="35"/>
        <v>306</v>
      </c>
      <c r="U330" s="1025">
        <v>0</v>
      </c>
      <c r="V330" s="1027"/>
      <c r="W330" s="1489"/>
    </row>
    <row r="331" spans="1:23" s="1012" customFormat="1" ht="30" customHeight="1">
      <c r="A331" s="1014">
        <f>_xlfn.AGGREGATE(4,7,A$24:A330)+1</f>
        <v>307</v>
      </c>
      <c r="B331" s="1344" t="s">
        <v>2131</v>
      </c>
      <c r="C331" s="1518"/>
      <c r="D331" s="1519"/>
      <c r="E331" s="1340" t="s">
        <v>2462</v>
      </c>
      <c r="F331" s="1520"/>
      <c r="G331" s="1521"/>
      <c r="H331" s="1522"/>
      <c r="I331" s="1523"/>
      <c r="J331" s="1523"/>
      <c r="K331" s="1523"/>
      <c r="L331" s="1524"/>
      <c r="M331" s="1524"/>
      <c r="N331" s="1524"/>
      <c r="O331" s="1525"/>
      <c r="P331" s="1526">
        <v>8283263</v>
      </c>
      <c r="Q331" s="1515">
        <f t="shared" si="39"/>
        <v>3.539855982905983</v>
      </c>
      <c r="R331" s="1429">
        <v>2340000</v>
      </c>
      <c r="S331" s="1486">
        <f t="shared" si="40"/>
        <v>8283263</v>
      </c>
      <c r="T331" s="1024">
        <f t="shared" si="35"/>
        <v>307</v>
      </c>
      <c r="U331" s="1025">
        <v>0</v>
      </c>
      <c r="V331" s="1027"/>
      <c r="W331" s="1489"/>
    </row>
    <row r="332" spans="1:23" s="1012" customFormat="1" ht="30" customHeight="1">
      <c r="A332" s="1014">
        <f>_xlfn.AGGREGATE(4,7,A$24:A331)+1</f>
        <v>308</v>
      </c>
      <c r="B332" s="1344" t="s">
        <v>2134</v>
      </c>
      <c r="C332" s="1518"/>
      <c r="D332" s="1519"/>
      <c r="E332" s="1340" t="s">
        <v>2462</v>
      </c>
      <c r="F332" s="1520"/>
      <c r="G332" s="1521"/>
      <c r="H332" s="1522"/>
      <c r="I332" s="1523"/>
      <c r="J332" s="1523"/>
      <c r="K332" s="1523"/>
      <c r="L332" s="1524"/>
      <c r="M332" s="1524"/>
      <c r="N332" s="1524"/>
      <c r="O332" s="1525"/>
      <c r="P332" s="1526">
        <v>9483506</v>
      </c>
      <c r="Q332" s="1515">
        <f t="shared" si="39"/>
        <v>4.0527803418803421</v>
      </c>
      <c r="R332" s="1429">
        <v>2340000</v>
      </c>
      <c r="S332" s="1486">
        <f t="shared" si="40"/>
        <v>9483506</v>
      </c>
      <c r="T332" s="1024">
        <f t="shared" si="35"/>
        <v>308</v>
      </c>
      <c r="U332" s="1025">
        <v>0</v>
      </c>
      <c r="V332" s="1027"/>
      <c r="W332" s="1489"/>
    </row>
    <row r="333" spans="1:23" s="1012" customFormat="1" ht="30" customHeight="1">
      <c r="A333" s="1014">
        <f>_xlfn.AGGREGATE(4,7,A$24:A332)+1</f>
        <v>309</v>
      </c>
      <c r="B333" s="1344" t="s">
        <v>2137</v>
      </c>
      <c r="C333" s="1518"/>
      <c r="D333" s="1519"/>
      <c r="E333" s="1340" t="s">
        <v>2462</v>
      </c>
      <c r="F333" s="1520"/>
      <c r="G333" s="1521"/>
      <c r="H333" s="1522"/>
      <c r="I333" s="1523"/>
      <c r="J333" s="1523"/>
      <c r="K333" s="1523"/>
      <c r="L333" s="1524"/>
      <c r="M333" s="1524"/>
      <c r="N333" s="1524"/>
      <c r="O333" s="1525"/>
      <c r="P333" s="1526">
        <v>5905852</v>
      </c>
      <c r="Q333" s="1515">
        <f t="shared" si="39"/>
        <v>2.5238683760683762</v>
      </c>
      <c r="R333" s="1429">
        <v>2340000</v>
      </c>
      <c r="S333" s="1486">
        <f t="shared" si="40"/>
        <v>5905852</v>
      </c>
      <c r="T333" s="1024">
        <f t="shared" si="35"/>
        <v>309</v>
      </c>
      <c r="U333" s="1025">
        <v>0</v>
      </c>
      <c r="V333" s="1027"/>
      <c r="W333" s="1489"/>
    </row>
    <row r="334" spans="1:23" s="1012" customFormat="1" ht="30" customHeight="1">
      <c r="A334" s="1014">
        <f>_xlfn.AGGREGATE(4,7,A$24:A333)+1</f>
        <v>310</v>
      </c>
      <c r="B334" s="1344" t="s">
        <v>2353</v>
      </c>
      <c r="C334" s="1518"/>
      <c r="D334" s="1519"/>
      <c r="E334" s="1340" t="s">
        <v>2462</v>
      </c>
      <c r="F334" s="1520"/>
      <c r="G334" s="1521"/>
      <c r="H334" s="1522"/>
      <c r="I334" s="1523"/>
      <c r="J334" s="1523"/>
      <c r="K334" s="1523"/>
      <c r="L334" s="1524"/>
      <c r="M334" s="1524"/>
      <c r="N334" s="1524"/>
      <c r="O334" s="1525"/>
      <c r="P334" s="1526">
        <v>4728936</v>
      </c>
      <c r="Q334" s="1515">
        <f t="shared" si="39"/>
        <v>2.0209128205128204</v>
      </c>
      <c r="R334" s="1429">
        <v>2340000</v>
      </c>
      <c r="S334" s="1486">
        <f t="shared" si="40"/>
        <v>4728936</v>
      </c>
      <c r="T334" s="1024">
        <f t="shared" si="35"/>
        <v>310</v>
      </c>
      <c r="U334" s="1025" t="s">
        <v>2482</v>
      </c>
      <c r="V334" s="1027"/>
      <c r="W334" s="1489"/>
    </row>
    <row r="335" spans="1:23" s="1012" customFormat="1" ht="30" customHeight="1">
      <c r="A335" s="1014">
        <f>_xlfn.AGGREGATE(4,7,A$24:A334)+1</f>
        <v>311</v>
      </c>
      <c r="B335" s="1344" t="s">
        <v>2142</v>
      </c>
      <c r="C335" s="1518"/>
      <c r="D335" s="1519"/>
      <c r="E335" s="1340" t="s">
        <v>2490</v>
      </c>
      <c r="F335" s="1520"/>
      <c r="G335" s="1521"/>
      <c r="H335" s="1522"/>
      <c r="I335" s="1523"/>
      <c r="J335" s="1523"/>
      <c r="K335" s="1523"/>
      <c r="L335" s="1524"/>
      <c r="M335" s="1524"/>
      <c r="N335" s="1524"/>
      <c r="O335" s="1525"/>
      <c r="P335" s="1526">
        <v>4859737</v>
      </c>
      <c r="Q335" s="1515">
        <f t="shared" si="39"/>
        <v>2.0768106837606837</v>
      </c>
      <c r="R335" s="1429">
        <v>2340000</v>
      </c>
      <c r="S335" s="1486">
        <f t="shared" si="40"/>
        <v>4859737</v>
      </c>
      <c r="T335" s="1024">
        <f t="shared" si="35"/>
        <v>311</v>
      </c>
      <c r="U335" s="1025">
        <v>0</v>
      </c>
      <c r="V335" s="1027"/>
      <c r="W335" s="1489"/>
    </row>
    <row r="336" spans="1:23" s="1012" customFormat="1" ht="30" customHeight="1">
      <c r="A336" s="1014">
        <f>_xlfn.AGGREGATE(4,7,A$24:A335)+1</f>
        <v>312</v>
      </c>
      <c r="B336" s="1344" t="s">
        <v>2144</v>
      </c>
      <c r="C336" s="1518"/>
      <c r="D336" s="1519"/>
      <c r="E336" s="1340" t="s">
        <v>2491</v>
      </c>
      <c r="F336" s="1520"/>
      <c r="G336" s="1521"/>
      <c r="H336" s="1522"/>
      <c r="I336" s="1523"/>
      <c r="J336" s="1523"/>
      <c r="K336" s="1523"/>
      <c r="L336" s="1524"/>
      <c r="M336" s="1524"/>
      <c r="N336" s="1524"/>
      <c r="O336" s="1525"/>
      <c r="P336" s="1526">
        <v>6212447</v>
      </c>
      <c r="Q336" s="1515">
        <f t="shared" si="39"/>
        <v>2.6548918803418804</v>
      </c>
      <c r="R336" s="1429">
        <v>2340000</v>
      </c>
      <c r="S336" s="1486">
        <f t="shared" si="40"/>
        <v>6212447</v>
      </c>
      <c r="T336" s="1024">
        <f t="shared" si="35"/>
        <v>312</v>
      </c>
      <c r="U336" s="1025">
        <v>0</v>
      </c>
      <c r="V336" s="1027"/>
      <c r="W336" s="1489"/>
    </row>
    <row r="337" spans="1:23" s="1012" customFormat="1" ht="30" customHeight="1">
      <c r="A337" s="1014">
        <f>_xlfn.AGGREGATE(4,7,A$24:A336)+1</f>
        <v>313</v>
      </c>
      <c r="B337" s="1344" t="s">
        <v>2147</v>
      </c>
      <c r="C337" s="1518"/>
      <c r="D337" s="1519"/>
      <c r="E337" s="20" t="s">
        <v>2464</v>
      </c>
      <c r="F337" s="1520"/>
      <c r="G337" s="1521"/>
      <c r="H337" s="1522"/>
      <c r="I337" s="1523"/>
      <c r="J337" s="1523"/>
      <c r="K337" s="1523"/>
      <c r="L337" s="1524"/>
      <c r="M337" s="1524"/>
      <c r="N337" s="1524"/>
      <c r="O337" s="1525"/>
      <c r="P337" s="1526">
        <v>7769340</v>
      </c>
      <c r="Q337" s="1515">
        <f t="shared" si="39"/>
        <v>3.3202307692307693</v>
      </c>
      <c r="R337" s="1429">
        <v>2340000</v>
      </c>
      <c r="S337" s="1486">
        <f t="shared" si="40"/>
        <v>7769340</v>
      </c>
      <c r="T337" s="1024">
        <f t="shared" si="35"/>
        <v>313</v>
      </c>
      <c r="U337" s="1025">
        <v>0</v>
      </c>
      <c r="V337" s="1027"/>
      <c r="W337" s="1489"/>
    </row>
    <row r="338" spans="1:23" s="1012" customFormat="1" ht="40.5" customHeight="1">
      <c r="A338" s="1014">
        <f>_xlfn.AGGREGATE(4,7,A$24:A337)+1</f>
        <v>314</v>
      </c>
      <c r="B338" s="1344" t="s">
        <v>2149</v>
      </c>
      <c r="C338" s="1518"/>
      <c r="D338" s="1519"/>
      <c r="E338" s="1340" t="s">
        <v>2456</v>
      </c>
      <c r="F338" s="1520"/>
      <c r="G338" s="1521"/>
      <c r="H338" s="1522"/>
      <c r="I338" s="1523"/>
      <c r="J338" s="1523"/>
      <c r="K338" s="1523"/>
      <c r="L338" s="1524"/>
      <c r="M338" s="1524"/>
      <c r="N338" s="1524"/>
      <c r="O338" s="1525"/>
      <c r="P338" s="1526">
        <v>4402763</v>
      </c>
      <c r="Q338" s="1515">
        <f t="shared" si="39"/>
        <v>1.8815226495726496</v>
      </c>
      <c r="R338" s="1429">
        <v>2340000</v>
      </c>
      <c r="S338" s="1486">
        <f t="shared" si="40"/>
        <v>4402763</v>
      </c>
      <c r="T338" s="1024">
        <f t="shared" si="35"/>
        <v>314</v>
      </c>
      <c r="U338" s="1025">
        <v>0</v>
      </c>
      <c r="V338" s="1027"/>
      <c r="W338" s="1489"/>
    </row>
    <row r="339" spans="1:23" s="1012" customFormat="1" ht="42.75" customHeight="1">
      <c r="A339" s="1014">
        <f>_xlfn.AGGREGATE(4,7,A$24:A338)+1</f>
        <v>315</v>
      </c>
      <c r="B339" s="1344" t="s">
        <v>2151</v>
      </c>
      <c r="C339" s="1518"/>
      <c r="D339" s="1519"/>
      <c r="E339" s="1340" t="s">
        <v>2456</v>
      </c>
      <c r="F339" s="1520"/>
      <c r="G339" s="1521"/>
      <c r="H339" s="1522"/>
      <c r="I339" s="1523"/>
      <c r="J339" s="1523"/>
      <c r="K339" s="1523"/>
      <c r="L339" s="1524"/>
      <c r="M339" s="1524"/>
      <c r="N339" s="1524"/>
      <c r="O339" s="1525"/>
      <c r="P339" s="1526">
        <v>2187360</v>
      </c>
      <c r="Q339" s="1515">
        <f t="shared" si="39"/>
        <v>0.9347692307692308</v>
      </c>
      <c r="R339" s="1429">
        <v>2340000</v>
      </c>
      <c r="S339" s="1486">
        <f t="shared" si="40"/>
        <v>2187360</v>
      </c>
      <c r="T339" s="1024">
        <f t="shared" si="35"/>
        <v>315</v>
      </c>
      <c r="U339" s="1025">
        <v>0</v>
      </c>
      <c r="V339" s="1027"/>
      <c r="W339" s="1489"/>
    </row>
    <row r="340" spans="1:23" s="1012" customFormat="1" ht="41.25" customHeight="1">
      <c r="A340" s="1078">
        <f>_xlfn.AGGREGATE(4,7,A$24:A339)+1</f>
        <v>316</v>
      </c>
      <c r="B340" s="1332" t="s">
        <v>2138</v>
      </c>
      <c r="C340" s="1536"/>
      <c r="D340" s="1537"/>
      <c r="E340" s="1538" t="s">
        <v>2459</v>
      </c>
      <c r="F340" s="1539"/>
      <c r="G340" s="1540"/>
      <c r="H340" s="1541"/>
      <c r="I340" s="1456"/>
      <c r="J340" s="1456"/>
      <c r="K340" s="1456"/>
      <c r="L340" s="1457"/>
      <c r="M340" s="1457"/>
      <c r="N340" s="1457"/>
      <c r="O340" s="1458"/>
      <c r="P340" s="1542">
        <v>0</v>
      </c>
      <c r="Q340" s="1533">
        <f t="shared" si="39"/>
        <v>0</v>
      </c>
      <c r="R340" s="1364">
        <v>2340000</v>
      </c>
      <c r="S340" s="1488">
        <f t="shared" si="40"/>
        <v>0</v>
      </c>
      <c r="T340" s="1085">
        <f t="shared" si="35"/>
        <v>316</v>
      </c>
      <c r="U340" s="1205" t="s">
        <v>2422</v>
      </c>
      <c r="V340" s="1027"/>
      <c r="W340" s="1489"/>
    </row>
    <row r="341" spans="1:23" s="1012" customFormat="1" ht="30" customHeight="1">
      <c r="A341" s="1014">
        <f>_xlfn.AGGREGATE(4,7,A$24:A340)+1</f>
        <v>317</v>
      </c>
      <c r="B341" s="1344" t="s">
        <v>2152</v>
      </c>
      <c r="C341" s="1518"/>
      <c r="D341" s="1519"/>
      <c r="E341" s="1340" t="s">
        <v>2465</v>
      </c>
      <c r="F341" s="1520"/>
      <c r="G341" s="1521"/>
      <c r="H341" s="1522"/>
      <c r="I341" s="1523"/>
      <c r="J341" s="1523"/>
      <c r="K341" s="1523"/>
      <c r="L341" s="1524"/>
      <c r="M341" s="1524"/>
      <c r="N341" s="1524"/>
      <c r="O341" s="1525"/>
      <c r="P341" s="1526">
        <v>4521827</v>
      </c>
      <c r="Q341" s="1515">
        <f t="shared" si="39"/>
        <v>1.932404700854701</v>
      </c>
      <c r="R341" s="1429">
        <v>2340000</v>
      </c>
      <c r="S341" s="1486">
        <f t="shared" si="40"/>
        <v>4521827</v>
      </c>
      <c r="T341" s="1024">
        <f t="shared" si="35"/>
        <v>317</v>
      </c>
      <c r="U341" s="1025">
        <v>0</v>
      </c>
      <c r="V341" s="1027"/>
      <c r="W341" s="1489"/>
    </row>
    <row r="342" spans="1:23" s="1012" customFormat="1" ht="39.75" customHeight="1">
      <c r="A342" s="1014">
        <f>_xlfn.AGGREGATE(4,7,A$24:A341)+1</f>
        <v>318</v>
      </c>
      <c r="B342" s="1344" t="s">
        <v>2155</v>
      </c>
      <c r="C342" s="1518"/>
      <c r="D342" s="1519"/>
      <c r="E342" s="1340" t="s">
        <v>2465</v>
      </c>
      <c r="F342" s="1520"/>
      <c r="G342" s="1521"/>
      <c r="H342" s="1522"/>
      <c r="I342" s="1523"/>
      <c r="J342" s="1523"/>
      <c r="K342" s="1523"/>
      <c r="L342" s="1524"/>
      <c r="M342" s="1524"/>
      <c r="N342" s="1524"/>
      <c r="O342" s="1525"/>
      <c r="P342" s="1526">
        <v>3486333</v>
      </c>
      <c r="Q342" s="1515">
        <f t="shared" si="39"/>
        <v>1.4898858974358975</v>
      </c>
      <c r="R342" s="1429">
        <v>2340000</v>
      </c>
      <c r="S342" s="1486">
        <f t="shared" si="40"/>
        <v>3486333</v>
      </c>
      <c r="T342" s="1024">
        <f t="shared" ref="T342:T343" si="41">A342</f>
        <v>318</v>
      </c>
      <c r="U342" s="1025" t="s">
        <v>2467</v>
      </c>
      <c r="V342" s="1027"/>
      <c r="W342" s="1489"/>
    </row>
    <row r="343" spans="1:23" s="1012" customFormat="1" ht="30" customHeight="1">
      <c r="A343" s="1014">
        <f>_xlfn.AGGREGATE(4,7,A$24:A342)+1</f>
        <v>319</v>
      </c>
      <c r="B343" s="1344" t="s">
        <v>2156</v>
      </c>
      <c r="C343" s="1518"/>
      <c r="D343" s="1519"/>
      <c r="E343" s="1340" t="s">
        <v>2465</v>
      </c>
      <c r="F343" s="1520"/>
      <c r="G343" s="1521"/>
      <c r="H343" s="1522"/>
      <c r="I343" s="1523"/>
      <c r="J343" s="1523"/>
      <c r="K343" s="1523"/>
      <c r="L343" s="1524"/>
      <c r="M343" s="1524"/>
      <c r="N343" s="1524"/>
      <c r="O343" s="1525"/>
      <c r="P343" s="1526">
        <v>5806026</v>
      </c>
      <c r="Q343" s="1515">
        <f t="shared" si="39"/>
        <v>2.4812076923076924</v>
      </c>
      <c r="R343" s="1429">
        <v>2340000</v>
      </c>
      <c r="S343" s="1486">
        <f t="shared" si="40"/>
        <v>5806026</v>
      </c>
      <c r="T343" s="1485">
        <f t="shared" si="41"/>
        <v>319</v>
      </c>
      <c r="U343" s="1387">
        <v>0</v>
      </c>
      <c r="V343" s="1027"/>
      <c r="W343" s="1489"/>
    </row>
    <row r="344" spans="1:23" s="1125" customFormat="1" ht="18" customHeight="1">
      <c r="A344" s="1115"/>
      <c r="B344" s="1116" t="s">
        <v>1109</v>
      </c>
      <c r="C344" s="1117"/>
      <c r="D344" s="1118"/>
      <c r="E344" s="1118"/>
      <c r="F344" s="1119">
        <f>SUM(F25:F282)</f>
        <v>1023.950000000001</v>
      </c>
      <c r="G344" s="1119">
        <f>SUM(G25:G282)</f>
        <v>2.7700000000000005</v>
      </c>
      <c r="H344" s="1119">
        <f>SUM(H25:H282)</f>
        <v>13.792999999999999</v>
      </c>
      <c r="I344" s="1119">
        <f>SUM(I25:I282)</f>
        <v>21.499999999999993</v>
      </c>
      <c r="J344" s="1119"/>
      <c r="K344" s="1119">
        <f t="shared" ref="K344:O344" si="42">SUM(K25:K282)</f>
        <v>160.44999999999976</v>
      </c>
      <c r="L344" s="1120">
        <f t="shared" si="42"/>
        <v>5160</v>
      </c>
      <c r="M344" s="1120">
        <f t="shared" si="42"/>
        <v>5332</v>
      </c>
      <c r="N344" s="1120">
        <f t="shared" si="42"/>
        <v>5133</v>
      </c>
      <c r="O344" s="1120">
        <f t="shared" si="42"/>
        <v>0</v>
      </c>
      <c r="P344" s="1120">
        <f>SUM(P25:P343)</f>
        <v>1824811672.5</v>
      </c>
      <c r="Q344" s="1374">
        <f>SUM(Q25:Q343)</f>
        <v>779.83404807692352</v>
      </c>
      <c r="R344" s="1122"/>
      <c r="S344" s="1122">
        <f>SUM(S25:S343)</f>
        <v>1824811672.5</v>
      </c>
      <c r="T344" s="1123"/>
      <c r="U344" s="1118"/>
    </row>
    <row r="345" spans="1:23" ht="2.25" customHeight="1">
      <c r="L345" s="1007"/>
      <c r="M345" s="1007"/>
      <c r="N345" s="1007"/>
      <c r="O345" s="1007"/>
      <c r="P345" s="1259"/>
      <c r="Q345" s="1259"/>
      <c r="R345" s="1259"/>
      <c r="S345" s="1259"/>
    </row>
    <row r="346" spans="1:23" s="1003" customFormat="1" ht="18.75" customHeight="1">
      <c r="B346" s="1464" t="s">
        <v>2494</v>
      </c>
      <c r="C346" s="1464"/>
      <c r="D346" s="1464"/>
      <c r="E346" s="1464"/>
      <c r="F346" s="1464"/>
      <c r="G346" s="1464"/>
      <c r="H346" s="1464"/>
      <c r="I346" s="1464"/>
      <c r="J346" s="1464"/>
      <c r="K346" s="1464"/>
      <c r="L346" s="1464"/>
      <c r="M346" s="1464"/>
      <c r="N346" s="1464"/>
      <c r="O346" s="1464"/>
      <c r="P346" s="1261"/>
      <c r="Q346" s="1261"/>
      <c r="R346" s="1261"/>
      <c r="S346" s="1261"/>
      <c r="U346" s="1262"/>
    </row>
    <row r="347" spans="1:23" s="1003" customFormat="1" ht="18" customHeight="1">
      <c r="B347" s="1263"/>
      <c r="C347" s="1004"/>
      <c r="D347" s="1004"/>
      <c r="E347" s="1004"/>
      <c r="F347" s="1260"/>
      <c r="G347" s="1260"/>
      <c r="H347" s="1260"/>
      <c r="I347" s="1260"/>
      <c r="J347" s="1321">
        <f>COUNTIF($J$25:$J$288,"A2")</f>
        <v>46</v>
      </c>
      <c r="K347" s="1260"/>
      <c r="L347" s="1483" t="s">
        <v>2408</v>
      </c>
      <c r="M347" s="1483"/>
      <c r="N347" s="1483"/>
      <c r="O347" s="1483"/>
      <c r="P347" s="1483"/>
      <c r="Q347" s="1483"/>
      <c r="R347" s="1596" t="s">
        <v>2472</v>
      </c>
      <c r="S347" s="1596"/>
      <c r="T347" s="1596"/>
      <c r="U347" s="1596"/>
    </row>
    <row r="348" spans="1:23" s="1003" customFormat="1">
      <c r="A348" s="1570" t="s">
        <v>859</v>
      </c>
      <c r="B348" s="1570"/>
      <c r="C348" s="1004"/>
      <c r="D348" s="1004"/>
      <c r="E348" s="1570" t="s">
        <v>1191</v>
      </c>
      <c r="F348" s="1570"/>
      <c r="G348" s="1570"/>
      <c r="H348" s="1570"/>
      <c r="I348" s="1570"/>
      <c r="J348" s="1570"/>
      <c r="K348" s="1570"/>
      <c r="L348" s="1570"/>
      <c r="M348" s="1570"/>
      <c r="N348" s="1570"/>
      <c r="O348" s="1570"/>
      <c r="P348" s="1570"/>
      <c r="Q348" s="1570"/>
      <c r="R348" s="1570" t="s">
        <v>2419</v>
      </c>
      <c r="S348" s="1570"/>
      <c r="T348" s="1570"/>
      <c r="U348" s="1570"/>
    </row>
    <row r="349" spans="1:23" s="1003" customFormat="1" ht="11.25" customHeight="1">
      <c r="A349" s="1218"/>
      <c r="B349" s="1218"/>
      <c r="C349" s="1004"/>
      <c r="D349" s="1004"/>
      <c r="E349" s="1004"/>
      <c r="F349" s="1218"/>
      <c r="G349" s="1218"/>
      <c r="H349" s="1218"/>
      <c r="I349" s="1218"/>
      <c r="J349" s="1324"/>
      <c r="K349" s="1218"/>
      <c r="L349" s="1218"/>
      <c r="M349" s="1218"/>
      <c r="N349" s="1218"/>
      <c r="O349" s="1004"/>
      <c r="P349" s="1570"/>
      <c r="Q349" s="1570"/>
      <c r="R349" s="1570"/>
      <c r="S349" s="1570"/>
      <c r="T349" s="1570"/>
      <c r="U349" s="1570"/>
    </row>
    <row r="350" spans="1:23" s="1003" customFormat="1" ht="10.5" customHeight="1">
      <c r="A350" s="1218"/>
      <c r="B350" s="1218"/>
      <c r="C350" s="1004"/>
      <c r="D350" s="1004"/>
      <c r="E350" s="1004"/>
      <c r="F350" s="1218"/>
      <c r="G350" s="1218"/>
      <c r="H350" s="1218"/>
      <c r="I350" s="1218"/>
      <c r="J350" s="1436">
        <f>COUNTIF($J$25:$J$288,"A1")</f>
        <v>55</v>
      </c>
      <c r="K350" s="1218"/>
      <c r="L350" s="1218"/>
      <c r="M350" s="1218"/>
      <c r="N350" s="1218"/>
      <c r="O350" s="1004"/>
      <c r="P350" s="1218"/>
      <c r="Q350" s="1218"/>
      <c r="R350" s="1218"/>
      <c r="S350" s="1218"/>
      <c r="U350" s="1135"/>
    </row>
    <row r="351" spans="1:23" s="1003" customFormat="1" ht="13.5" customHeight="1">
      <c r="J351" s="1436">
        <f>COUNTIF($J$25:$J$288,"A2")</f>
        <v>46</v>
      </c>
      <c r="L351" s="1218"/>
      <c r="M351" s="1218"/>
      <c r="N351" s="1218"/>
      <c r="O351" s="1006"/>
      <c r="P351" s="1006"/>
      <c r="Q351" s="1006"/>
      <c r="R351" s="1006"/>
      <c r="S351" s="1006"/>
      <c r="U351" s="1007"/>
    </row>
    <row r="352" spans="1:23" s="1003" customFormat="1" ht="13.5" customHeight="1">
      <c r="J352" s="1436">
        <f>COUNTIF($J$25:$J$288,"A3")</f>
        <v>69</v>
      </c>
      <c r="L352" s="1218"/>
      <c r="M352" s="1218"/>
      <c r="N352" s="1218"/>
      <c r="O352" s="1006"/>
      <c r="P352" s="1006"/>
      <c r="Q352" s="1006"/>
      <c r="R352" s="1006"/>
      <c r="S352" s="1006"/>
      <c r="U352" s="1264"/>
    </row>
    <row r="353" spans="1:21" s="1003" customFormat="1" ht="13.5" customHeight="1">
      <c r="J353" s="1436">
        <f>COUNTIF($J$25:$J$288,"A4")</f>
        <v>85</v>
      </c>
      <c r="L353" s="1218"/>
      <c r="M353" s="1218"/>
      <c r="N353" s="1218"/>
      <c r="O353" s="1006"/>
      <c r="P353" s="1265"/>
      <c r="Q353" s="1265"/>
      <c r="R353" s="1265"/>
      <c r="S353" s="1265"/>
      <c r="U353" s="1007"/>
    </row>
    <row r="354" spans="1:21" s="1003" customFormat="1" ht="13.5" customHeight="1">
      <c r="F354" s="1006"/>
      <c r="G354" s="1006"/>
      <c r="H354" s="1006"/>
      <c r="I354" s="1006"/>
      <c r="J354" s="1436"/>
      <c r="K354" s="1006"/>
      <c r="L354" s="1006"/>
      <c r="M354" s="1006"/>
      <c r="N354" s="1006"/>
      <c r="O354" s="1006"/>
      <c r="P354" s="1006"/>
      <c r="Q354" s="1006"/>
      <c r="R354" s="1006"/>
      <c r="S354" s="1006"/>
      <c r="U354" s="1264"/>
    </row>
    <row r="355" spans="1:21" s="1003" customFormat="1" ht="13.5" customHeight="1">
      <c r="F355" s="1006"/>
      <c r="G355" s="1006"/>
      <c r="H355" s="1006"/>
      <c r="I355" s="1006"/>
      <c r="J355" s="1006"/>
      <c r="K355" s="1006"/>
      <c r="L355" s="1006"/>
      <c r="M355" s="1006"/>
      <c r="N355" s="1006"/>
      <c r="O355" s="1006"/>
      <c r="P355" s="1006"/>
      <c r="Q355" s="1006"/>
      <c r="R355" s="1006"/>
      <c r="S355" s="1006"/>
      <c r="U355" s="1007"/>
    </row>
    <row r="356" spans="1:21" s="1003" customFormat="1">
      <c r="A356" s="1570" t="s">
        <v>1827</v>
      </c>
      <c r="B356" s="1570"/>
      <c r="C356" s="1004"/>
      <c r="D356" s="1004"/>
      <c r="E356" s="1570" t="s">
        <v>1445</v>
      </c>
      <c r="F356" s="1570"/>
      <c r="G356" s="1570"/>
      <c r="H356" s="1570"/>
      <c r="I356" s="1570"/>
      <c r="J356" s="1570"/>
      <c r="K356" s="1570"/>
      <c r="L356" s="1570"/>
      <c r="M356" s="1570"/>
      <c r="N356" s="1570"/>
      <c r="O356" s="1570"/>
      <c r="P356" s="1570"/>
      <c r="Q356" s="1570"/>
      <c r="R356" s="1570" t="s">
        <v>2420</v>
      </c>
      <c r="S356" s="1570"/>
      <c r="T356" s="1570"/>
      <c r="U356" s="1570"/>
    </row>
    <row r="357" spans="1:21" ht="15.75" customHeight="1">
      <c r="A357" s="1267"/>
    </row>
    <row r="413" ht="15.75" customHeight="1"/>
  </sheetData>
  <mergeCells count="51">
    <mergeCell ref="P349:U349"/>
    <mergeCell ref="A356:B356"/>
    <mergeCell ref="E356:Q356"/>
    <mergeCell ref="R356:U356"/>
    <mergeCell ref="A18:U18"/>
    <mergeCell ref="A19:U19"/>
    <mergeCell ref="L20:O20"/>
    <mergeCell ref="J21:K21"/>
    <mergeCell ref="A22:A23"/>
    <mergeCell ref="B22:B23"/>
    <mergeCell ref="E22:E23"/>
    <mergeCell ref="F22:I22"/>
    <mergeCell ref="J22:K22"/>
    <mergeCell ref="L22:N22"/>
    <mergeCell ref="A5:U5"/>
    <mergeCell ref="O22:O23"/>
    <mergeCell ref="P22:P23"/>
    <mergeCell ref="T22:U23"/>
    <mergeCell ref="T24:U24"/>
    <mergeCell ref="A13:G13"/>
    <mergeCell ref="J13:U13"/>
    <mergeCell ref="A14:G14"/>
    <mergeCell ref="J14:U14"/>
    <mergeCell ref="A15:G15"/>
    <mergeCell ref="A17:U17"/>
    <mergeCell ref="A1:G1"/>
    <mergeCell ref="J1:U1"/>
    <mergeCell ref="A2:G2"/>
    <mergeCell ref="J2:U2"/>
    <mergeCell ref="A3:G3"/>
    <mergeCell ref="T10:U11"/>
    <mergeCell ref="A6:U6"/>
    <mergeCell ref="A7:U7"/>
    <mergeCell ref="L8:O8"/>
    <mergeCell ref="J9:K9"/>
    <mergeCell ref="A10:A11"/>
    <mergeCell ref="B10:B11"/>
    <mergeCell ref="E10:E11"/>
    <mergeCell ref="F10:I10"/>
    <mergeCell ref="J10:K10"/>
    <mergeCell ref="L10:N10"/>
    <mergeCell ref="O10:O11"/>
    <mergeCell ref="P10:P11"/>
    <mergeCell ref="Q10:Q11"/>
    <mergeCell ref="R10:R11"/>
    <mergeCell ref="S10:S11"/>
    <mergeCell ref="T12:U12"/>
    <mergeCell ref="R347:U347"/>
    <mergeCell ref="A348:B348"/>
    <mergeCell ref="E348:Q348"/>
    <mergeCell ref="R348:U348"/>
  </mergeCells>
  <conditionalFormatting sqref="D75 D200:D208 A19 D96 D127:D130 D249:D261 C273 D187:D198 D29:D30 D100 D111:D115 B75 D182:D185 D137:D139 D47:D48 D226:D241 D210:D224 C31:D31 F22 A22:D22 Q23:S23 P22:T22 C23:D23 A21:I21 L22:M22 F23:J23 H13:I14 A13:A15 A24:T24 D25:D26 D79:D81 D59:D62 D85 D276:D281 D108 D52 D32 C76:D78 B68:D68 F25:G28 I25:I28 A25:B26 D54:D57 D35:D42 D66 X69:IM73 D44:D45 D87 B87:B89 B91:B92 F87:G92 T87:T92 F54:G57 I54:I57 D132:D134 D142:D151 B79:B85 F75:G85 X75:IM85 I75:I92 D120:D125 D153:D180 W69:W86 W93:W94 W95:IM169 G262:G343 F273:F343 V69:V73 D69:D73 F59:G73 I59:I73 B27:B30 X94:IM94 F31:G52 F94:G261 I31:I52 I94:I343 B32:B67 B69:B73 B94:B282 T25:T85 P25:P343 K25:N343 T94:T343 A27:A343 V19:IM19 V22:XFD23 L21:XFD21 A16:XFD18 A20:XFD20 H15:XFD15 V170:IM343 A344:IM345 V24:IM68 V87:IM92 V94:V169 A357:XFD65602 V347:IM348 V75:V92 V1:IM2 V7:IM7 V12:IM14 V10:XFD11 L9:XFD9 A4:XFD4 A8:XFD8 H3:XFD3 A6:XFD6 P346:IM346 V356:IM356 V349:XFD349 A350:XFD355">
    <cfRule type="cellIs" dxfId="2230" priority="122" stopIfTrue="1" operator="equal">
      <formula>"KXL"</formula>
    </cfRule>
    <cfRule type="cellIs" dxfId="2229" priority="123" stopIfTrue="1" operator="equal">
      <formula>"A DN"</formula>
    </cfRule>
    <cfRule type="cellIs" dxfId="2228" priority="124" stopIfTrue="1" operator="equal">
      <formula>"C"</formula>
    </cfRule>
    <cfRule type="cellIs" dxfId="2227" priority="125" stopIfTrue="1" operator="equal">
      <formula>"B"</formula>
    </cfRule>
  </conditionalFormatting>
  <conditionalFormatting sqref="B77 X55:IM56 X74:IM74 X77:IM77 V77 V74 V55:V56">
    <cfRule type="cellIs" dxfId="2226" priority="119" stopIfTrue="1" operator="equal">
      <formula>"C"</formula>
    </cfRule>
    <cfRule type="cellIs" dxfId="2225" priority="120" stopIfTrue="1" operator="equal">
      <formula>"B"</formula>
    </cfRule>
    <cfRule type="cellIs" dxfId="2224" priority="121" stopIfTrue="1" operator="equal">
      <formula>"A DN"</formula>
    </cfRule>
  </conditionalFormatting>
  <conditionalFormatting sqref="B74">
    <cfRule type="cellIs" dxfId="2223" priority="116" stopIfTrue="1" operator="equal">
      <formula>"C"</formula>
    </cfRule>
    <cfRule type="cellIs" dxfId="2222" priority="117" stopIfTrue="1" operator="equal">
      <formula>"B"</formula>
    </cfRule>
    <cfRule type="cellIs" dxfId="2221" priority="118" stopIfTrue="1" operator="equal">
      <formula>"A DN"</formula>
    </cfRule>
  </conditionalFormatting>
  <conditionalFormatting sqref="B55:B56">
    <cfRule type="cellIs" dxfId="2220" priority="113" stopIfTrue="1" operator="equal">
      <formula>"C"</formula>
    </cfRule>
    <cfRule type="cellIs" dxfId="2219" priority="114" stopIfTrue="1" operator="equal">
      <formula>"B"</formula>
    </cfRule>
    <cfRule type="cellIs" dxfId="2218" priority="115" stopIfTrue="1" operator="equal">
      <formula>"A DN"</formula>
    </cfRule>
  </conditionalFormatting>
  <conditionalFormatting sqref="D55:D56">
    <cfRule type="cellIs" dxfId="2217" priority="109" stopIfTrue="1" operator="equal">
      <formula>"KXL"</formula>
    </cfRule>
    <cfRule type="cellIs" dxfId="2216" priority="110" stopIfTrue="1" operator="equal">
      <formula>"A DN"</formula>
    </cfRule>
    <cfRule type="cellIs" dxfId="2215" priority="111" stopIfTrue="1" operator="equal">
      <formula>"C"</formula>
    </cfRule>
    <cfRule type="cellIs" dxfId="2214" priority="112" stopIfTrue="1" operator="equal">
      <formula>"B"</formula>
    </cfRule>
  </conditionalFormatting>
  <conditionalFormatting sqref="C30:D30">
    <cfRule type="cellIs" dxfId="2213" priority="105" stopIfTrue="1" operator="equal">
      <formula>"KXL"</formula>
    </cfRule>
    <cfRule type="cellIs" dxfId="2212" priority="106" stopIfTrue="1" operator="equal">
      <formula>"A DN"</formula>
    </cfRule>
    <cfRule type="cellIs" dxfId="2211" priority="107" stopIfTrue="1" operator="equal">
      <formula>"C"</formula>
    </cfRule>
    <cfRule type="cellIs" dxfId="2210" priority="108" stopIfTrue="1" operator="equal">
      <formula>"B"</formula>
    </cfRule>
  </conditionalFormatting>
  <conditionalFormatting sqref="C87:D87 C90:C92">
    <cfRule type="cellIs" dxfId="2209" priority="101" stopIfTrue="1" operator="equal">
      <formula>"KXL"</formula>
    </cfRule>
    <cfRule type="cellIs" dxfId="2208" priority="102" stopIfTrue="1" operator="equal">
      <formula>"A DN"</formula>
    </cfRule>
    <cfRule type="cellIs" dxfId="2207" priority="103" stopIfTrue="1" operator="equal">
      <formula>"C"</formula>
    </cfRule>
    <cfRule type="cellIs" dxfId="2206" priority="104" stopIfTrue="1" operator="equal">
      <formula>"B"</formula>
    </cfRule>
  </conditionalFormatting>
  <conditionalFormatting sqref="T86:T92">
    <cfRule type="cellIs" dxfId="2205" priority="97" stopIfTrue="1" operator="equal">
      <formula>"KXL"</formula>
    </cfRule>
    <cfRule type="cellIs" dxfId="2204" priority="98" stopIfTrue="1" operator="equal">
      <formula>"A DN"</formula>
    </cfRule>
    <cfRule type="cellIs" dxfId="2203" priority="99" stopIfTrue="1" operator="equal">
      <formula>"C"</formula>
    </cfRule>
    <cfRule type="cellIs" dxfId="2202" priority="100" stopIfTrue="1" operator="equal">
      <formula>"B"</formula>
    </cfRule>
  </conditionalFormatting>
  <conditionalFormatting sqref="C86:D92 X86:IM92">
    <cfRule type="cellIs" dxfId="2201" priority="93" stopIfTrue="1" operator="equal">
      <formula>"KXL"</formula>
    </cfRule>
    <cfRule type="cellIs" dxfId="2200" priority="94" stopIfTrue="1" operator="equal">
      <formula>"A DN"</formula>
    </cfRule>
    <cfRule type="cellIs" dxfId="2199" priority="95" stopIfTrue="1" operator="equal">
      <formula>"C"</formula>
    </cfRule>
    <cfRule type="cellIs" dxfId="2198" priority="96" stopIfTrue="1" operator="equal">
      <formula>"B"</formula>
    </cfRule>
  </conditionalFormatting>
  <conditionalFormatting sqref="F29:G30 I29:I30 I53:I58 F53:G58">
    <cfRule type="cellIs" dxfId="2197" priority="89" stopIfTrue="1" operator="equal">
      <formula>"KXL"</formula>
    </cfRule>
    <cfRule type="cellIs" dxfId="2196" priority="90" stopIfTrue="1" operator="equal">
      <formula>"A DN"</formula>
    </cfRule>
    <cfRule type="cellIs" dxfId="2195" priority="91" stopIfTrue="1" operator="equal">
      <formula>"C"</formula>
    </cfRule>
    <cfRule type="cellIs" dxfId="2194" priority="92" stopIfTrue="1" operator="equal">
      <formula>"B"</formula>
    </cfRule>
  </conditionalFormatting>
  <conditionalFormatting sqref="F77:G77 I77">
    <cfRule type="cellIs" dxfId="2193" priority="86" stopIfTrue="1" operator="equal">
      <formula>"C"</formula>
    </cfRule>
    <cfRule type="cellIs" dxfId="2192" priority="87" stopIfTrue="1" operator="equal">
      <formula>"B"</formula>
    </cfRule>
    <cfRule type="cellIs" dxfId="2191" priority="88" stopIfTrue="1" operator="equal">
      <formula>"A DN"</formula>
    </cfRule>
  </conditionalFormatting>
  <conditionalFormatting sqref="F74:G74 I74">
    <cfRule type="cellIs" dxfId="2190" priority="83" stopIfTrue="1" operator="equal">
      <formula>"C"</formula>
    </cfRule>
    <cfRule type="cellIs" dxfId="2189" priority="84" stopIfTrue="1" operator="equal">
      <formula>"B"</formula>
    </cfRule>
    <cfRule type="cellIs" dxfId="2188" priority="85" stopIfTrue="1" operator="equal">
      <formula>"A DN"</formula>
    </cfRule>
  </conditionalFormatting>
  <conditionalFormatting sqref="F55:F56 I55:I56">
    <cfRule type="cellIs" dxfId="2187" priority="80" stopIfTrue="1" operator="equal">
      <formula>"C"</formula>
    </cfRule>
    <cfRule type="cellIs" dxfId="2186" priority="81" stopIfTrue="1" operator="equal">
      <formula>"B"</formula>
    </cfRule>
    <cfRule type="cellIs" dxfId="2185" priority="82" stopIfTrue="1" operator="equal">
      <formula>"A DN"</formula>
    </cfRule>
  </conditionalFormatting>
  <conditionalFormatting sqref="F30:G30 I30">
    <cfRule type="cellIs" dxfId="2184" priority="76" stopIfTrue="1" operator="equal">
      <formula>"KXL"</formula>
    </cfRule>
    <cfRule type="cellIs" dxfId="2183" priority="77" stopIfTrue="1" operator="equal">
      <formula>"A DN"</formula>
    </cfRule>
    <cfRule type="cellIs" dxfId="2182" priority="78" stopIfTrue="1" operator="equal">
      <formula>"C"</formula>
    </cfRule>
    <cfRule type="cellIs" dxfId="2181" priority="79" stopIfTrue="1" operator="equal">
      <formula>"B"</formula>
    </cfRule>
  </conditionalFormatting>
  <conditionalFormatting sqref="F86:G92">
    <cfRule type="cellIs" dxfId="2180" priority="72" stopIfTrue="1" operator="equal">
      <formula>"KXL"</formula>
    </cfRule>
    <cfRule type="cellIs" dxfId="2179" priority="73" stopIfTrue="1" operator="equal">
      <formula>"A DN"</formula>
    </cfRule>
    <cfRule type="cellIs" dxfId="2178" priority="74" stopIfTrue="1" operator="equal">
      <formula>"C"</formula>
    </cfRule>
    <cfRule type="cellIs" dxfId="2177" priority="75" stopIfTrue="1" operator="equal">
      <formula>"B"</formula>
    </cfRule>
  </conditionalFormatting>
  <conditionalFormatting sqref="J25:J343">
    <cfRule type="cellIs" dxfId="2176" priority="65" operator="equal">
      <formula>"A DN"</formula>
    </cfRule>
    <cfRule type="cellIs" dxfId="2175" priority="66" operator="equal">
      <formula>"KXL"</formula>
    </cfRule>
    <cfRule type="cellIs" dxfId="2174" priority="67" operator="equal">
      <formula>"D"</formula>
    </cfRule>
    <cfRule type="cellIs" dxfId="2173" priority="68" operator="equal">
      <formula>"C2"</formula>
    </cfRule>
    <cfRule type="cellIs" dxfId="2172" priority="69" operator="equal">
      <formula>"C1"</formula>
    </cfRule>
    <cfRule type="cellIs" dxfId="2171" priority="70" operator="equal">
      <formula>"B2"</formula>
    </cfRule>
    <cfRule type="cellIs" dxfId="2170" priority="71" operator="equal">
      <formula>"B1"</formula>
    </cfRule>
  </conditionalFormatting>
  <conditionalFormatting sqref="E22">
    <cfRule type="cellIs" dxfId="2169" priority="61" stopIfTrue="1" operator="equal">
      <formula>"KXL"</formula>
    </cfRule>
    <cfRule type="cellIs" dxfId="2168" priority="62" stopIfTrue="1" operator="equal">
      <formula>"A DN"</formula>
    </cfRule>
    <cfRule type="cellIs" dxfId="2167" priority="63" stopIfTrue="1" operator="equal">
      <formula>"C"</formula>
    </cfRule>
    <cfRule type="cellIs" dxfId="2166" priority="64" stopIfTrue="1" operator="equal">
      <formula>"B"</formula>
    </cfRule>
  </conditionalFormatting>
  <conditionalFormatting sqref="K23">
    <cfRule type="cellIs" dxfId="2165" priority="57" stopIfTrue="1" operator="equal">
      <formula>"KXL"</formula>
    </cfRule>
    <cfRule type="cellIs" dxfId="2164" priority="58" stopIfTrue="1" operator="equal">
      <formula>"A DN"</formula>
    </cfRule>
    <cfRule type="cellIs" dxfId="2163" priority="59" stopIfTrue="1" operator="equal">
      <formula>"C"</formula>
    </cfRule>
    <cfRule type="cellIs" dxfId="2162" priority="60" stopIfTrue="1" operator="equal">
      <formula>"B"</formula>
    </cfRule>
  </conditionalFormatting>
  <conditionalFormatting sqref="G55:G56">
    <cfRule type="cellIs" dxfId="2161" priority="53" stopIfTrue="1" operator="equal">
      <formula>"KXL"</formula>
    </cfRule>
    <cfRule type="cellIs" dxfId="2160" priority="54" stopIfTrue="1" operator="equal">
      <formula>"A DN"</formula>
    </cfRule>
    <cfRule type="cellIs" dxfId="2159" priority="55" stopIfTrue="1" operator="equal">
      <formula>"C"</formula>
    </cfRule>
    <cfRule type="cellIs" dxfId="2158" priority="56" stopIfTrue="1" operator="equal">
      <formula>"B"</formula>
    </cfRule>
  </conditionalFormatting>
  <conditionalFormatting sqref="B285:B297 B302:B317">
    <cfRule type="cellIs" dxfId="2157" priority="49" stopIfTrue="1" operator="equal">
      <formula>"KXL"</formula>
    </cfRule>
    <cfRule type="cellIs" dxfId="2156" priority="50" stopIfTrue="1" operator="equal">
      <formula>"A DN"</formula>
    </cfRule>
    <cfRule type="cellIs" dxfId="2155" priority="51" stopIfTrue="1" operator="equal">
      <formula>"C"</formula>
    </cfRule>
    <cfRule type="cellIs" dxfId="2154" priority="52" stopIfTrue="1" operator="equal">
      <formula>"B"</formula>
    </cfRule>
  </conditionalFormatting>
  <conditionalFormatting sqref="E283 E294:E297 E299:E303 E320:E325 E315:E318 E340:E343 E327:E336">
    <cfRule type="cellIs" dxfId="2153" priority="45" stopIfTrue="1" operator="equal">
      <formula>"KXL"</formula>
    </cfRule>
    <cfRule type="cellIs" dxfId="2152" priority="46" stopIfTrue="1" operator="equal">
      <formula>"A DN"</formula>
    </cfRule>
    <cfRule type="cellIs" dxfId="2151" priority="47" stopIfTrue="1" operator="equal">
      <formula>"C"</formula>
    </cfRule>
    <cfRule type="cellIs" dxfId="2150" priority="48" stopIfTrue="1" operator="equal">
      <formula>"B"</formula>
    </cfRule>
  </conditionalFormatting>
  <conditionalFormatting sqref="E337">
    <cfRule type="cellIs" dxfId="2149" priority="29" stopIfTrue="1" operator="equal">
      <formula>"KXL"</formula>
    </cfRule>
    <cfRule type="cellIs" dxfId="2148" priority="30" stopIfTrue="1" operator="equal">
      <formula>"A DN"</formula>
    </cfRule>
    <cfRule type="cellIs" dxfId="2147" priority="31" stopIfTrue="1" operator="equal">
      <formula>"C"</formula>
    </cfRule>
    <cfRule type="cellIs" dxfId="2146" priority="32" stopIfTrue="1" operator="equal">
      <formula>"B"</formula>
    </cfRule>
  </conditionalFormatting>
  <conditionalFormatting sqref="E298">
    <cfRule type="cellIs" dxfId="2145" priority="41" stopIfTrue="1" operator="equal">
      <formula>"KXL"</formula>
    </cfRule>
    <cfRule type="cellIs" dxfId="2144" priority="42" stopIfTrue="1" operator="equal">
      <formula>"A DN"</formula>
    </cfRule>
    <cfRule type="cellIs" dxfId="2143" priority="43" stopIfTrue="1" operator="equal">
      <formula>"C"</formula>
    </cfRule>
    <cfRule type="cellIs" dxfId="2142" priority="44" stopIfTrue="1" operator="equal">
      <formula>"B"</formula>
    </cfRule>
  </conditionalFormatting>
  <conditionalFormatting sqref="E319">
    <cfRule type="cellIs" dxfId="2141" priority="37" stopIfTrue="1" operator="equal">
      <formula>"KXL"</formula>
    </cfRule>
    <cfRule type="cellIs" dxfId="2140" priority="38" stopIfTrue="1" operator="equal">
      <formula>"A DN"</formula>
    </cfRule>
    <cfRule type="cellIs" dxfId="2139" priority="39" stopIfTrue="1" operator="equal">
      <formula>"C"</formula>
    </cfRule>
    <cfRule type="cellIs" dxfId="2138" priority="40" stopIfTrue="1" operator="equal">
      <formula>"B"</formula>
    </cfRule>
  </conditionalFormatting>
  <conditionalFormatting sqref="E326">
    <cfRule type="cellIs" dxfId="2137" priority="33" stopIfTrue="1" operator="equal">
      <formula>"KXL"</formula>
    </cfRule>
    <cfRule type="cellIs" dxfId="2136" priority="34" stopIfTrue="1" operator="equal">
      <formula>"A DN"</formula>
    </cfRule>
    <cfRule type="cellIs" dxfId="2135" priority="35" stopIfTrue="1" operator="equal">
      <formula>"C"</formula>
    </cfRule>
    <cfRule type="cellIs" dxfId="2134" priority="36" stopIfTrue="1" operator="equal">
      <formula>"B"</formula>
    </cfRule>
  </conditionalFormatting>
  <conditionalFormatting sqref="E338:E340">
    <cfRule type="cellIs" dxfId="2133" priority="25" stopIfTrue="1" operator="equal">
      <formula>"KXL"</formula>
    </cfRule>
    <cfRule type="cellIs" dxfId="2132" priority="26" stopIfTrue="1" operator="equal">
      <formula>"A DN"</formula>
    </cfRule>
    <cfRule type="cellIs" dxfId="2131" priority="27" stopIfTrue="1" operator="equal">
      <formula>"C"</formula>
    </cfRule>
    <cfRule type="cellIs" dxfId="2130" priority="28" stopIfTrue="1" operator="equal">
      <formula>"B"</formula>
    </cfRule>
  </conditionalFormatting>
  <conditionalFormatting sqref="A7 F10 A10:D10 P10:T10 C11:D11 A9:I9 L10:M10 A12:T12 F11:J11 H1:I2 A1:A3 AF5:XFD5">
    <cfRule type="cellIs" dxfId="2129" priority="21" stopIfTrue="1" operator="equal">
      <formula>"KXL"</formula>
    </cfRule>
    <cfRule type="cellIs" dxfId="2128" priority="22" stopIfTrue="1" operator="equal">
      <formula>"A DN"</formula>
    </cfRule>
    <cfRule type="cellIs" dxfId="2127" priority="23" stopIfTrue="1" operator="equal">
      <formula>"C"</formula>
    </cfRule>
    <cfRule type="cellIs" dxfId="2126" priority="24" stopIfTrue="1" operator="equal">
      <formula>"B"</formula>
    </cfRule>
  </conditionalFormatting>
  <conditionalFormatting sqref="E10">
    <cfRule type="cellIs" dxfId="2125" priority="17" stopIfTrue="1" operator="equal">
      <formula>"KXL"</formula>
    </cfRule>
    <cfRule type="cellIs" dxfId="2124" priority="18" stopIfTrue="1" operator="equal">
      <formula>"A DN"</formula>
    </cfRule>
    <cfRule type="cellIs" dxfId="2123" priority="19" stopIfTrue="1" operator="equal">
      <formula>"C"</formula>
    </cfRule>
    <cfRule type="cellIs" dxfId="2122" priority="20" stopIfTrue="1" operator="equal">
      <formula>"B"</formula>
    </cfRule>
  </conditionalFormatting>
  <conditionalFormatting sqref="K11">
    <cfRule type="cellIs" dxfId="2121" priority="13" stopIfTrue="1" operator="equal">
      <formula>"KXL"</formula>
    </cfRule>
    <cfRule type="cellIs" dxfId="2120" priority="14" stopIfTrue="1" operator="equal">
      <formula>"A DN"</formula>
    </cfRule>
    <cfRule type="cellIs" dxfId="2119" priority="15" stopIfTrue="1" operator="equal">
      <formula>"C"</formula>
    </cfRule>
    <cfRule type="cellIs" dxfId="2118" priority="16" stopIfTrue="1" operator="equal">
      <formula>"B"</formula>
    </cfRule>
  </conditionalFormatting>
  <conditionalFormatting sqref="A5">
    <cfRule type="cellIs" dxfId="2117" priority="9" stopIfTrue="1" operator="equal">
      <formula>"KXL"</formula>
    </cfRule>
    <cfRule type="cellIs" dxfId="2116" priority="10" stopIfTrue="1" operator="equal">
      <formula>"A DN"</formula>
    </cfRule>
    <cfRule type="cellIs" dxfId="2115" priority="11" stopIfTrue="1" operator="equal">
      <formula>"C"</formula>
    </cfRule>
    <cfRule type="cellIs" dxfId="2114" priority="12" stopIfTrue="1" operator="equal">
      <formula>"B"</formula>
    </cfRule>
  </conditionalFormatting>
  <conditionalFormatting sqref="A346:B346">
    <cfRule type="cellIs" dxfId="2113" priority="5" stopIfTrue="1" operator="equal">
      <formula>"KXL"</formula>
    </cfRule>
    <cfRule type="cellIs" dxfId="2112" priority="6" stopIfTrue="1" operator="equal">
      <formula>"A DN"</formula>
    </cfRule>
    <cfRule type="cellIs" dxfId="2111" priority="7" stopIfTrue="1" operator="equal">
      <formula>"C"</formula>
    </cfRule>
    <cfRule type="cellIs" dxfId="2110" priority="8" stopIfTrue="1" operator="equal">
      <formula>"B"</formula>
    </cfRule>
  </conditionalFormatting>
  <conditionalFormatting sqref="A356 A348 A349:P349 A347:L347">
    <cfRule type="cellIs" dxfId="2109" priority="1" stopIfTrue="1" operator="equal">
      <formula>"KXL"</formula>
    </cfRule>
    <cfRule type="cellIs" dxfId="2108" priority="2" stopIfTrue="1" operator="equal">
      <formula>"A DN"</formula>
    </cfRule>
    <cfRule type="cellIs" dxfId="2107" priority="3" stopIfTrue="1" operator="equal">
      <formula>"C"</formula>
    </cfRule>
    <cfRule type="cellIs" dxfId="2106" priority="4" stopIfTrue="1" operator="equal">
      <formula>"B"</formula>
    </cfRule>
  </conditionalFormatting>
  <printOptions horizontalCentered="1"/>
  <pageMargins left="0.34" right="0.15748031496063" top="0.28999999999999998" bottom="0.31496062992126" header="0.15748031496063" footer="0.15748031496063"/>
  <pageSetup paperSize="9" scale="85" orientation="portrait" r:id="rId1"/>
  <headerFooter alignWithMargins="0">
    <oddFooter>Page &amp;P of &amp;N</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J424"/>
  <sheetViews>
    <sheetView topLeftCell="A348" zoomScale="120" zoomScaleNormal="120" workbookViewId="0">
      <selection activeCell="A355" sqref="A355:XFD367"/>
    </sheetView>
  </sheetViews>
  <sheetFormatPr defaultRowHeight="15"/>
  <cols>
    <col min="1" max="1" width="5.5703125" style="1139" customWidth="1"/>
    <col min="2" max="2" width="27.140625" style="1139" customWidth="1"/>
    <col min="3" max="3" width="17.7109375" style="1139" hidden="1" customWidth="1"/>
    <col min="4" max="4" width="16" style="1003" hidden="1" customWidth="1"/>
    <col min="5" max="5" width="19.42578125" style="1003" customWidth="1"/>
    <col min="6" max="11" width="8.140625" style="1139" hidden="1" customWidth="1"/>
    <col min="12" max="12" width="8.85546875" style="1139" hidden="1" customWidth="1"/>
    <col min="13" max="13" width="6.42578125" style="1139" hidden="1" customWidth="1"/>
    <col min="14" max="14" width="8.85546875" style="1139" hidden="1" customWidth="1"/>
    <col min="15" max="15" width="10.5703125" style="1139" hidden="1" customWidth="1"/>
    <col min="16" max="16" width="17.140625" style="1139" hidden="1" customWidth="1"/>
    <col min="17" max="17" width="11.28515625" style="1139" customWidth="1"/>
    <col min="18" max="18" width="14.140625" style="1139" customWidth="1"/>
    <col min="19" max="19" width="16.7109375" style="1139" customWidth="1"/>
    <col min="20" max="20" width="3.85546875" style="1139" customWidth="1"/>
    <col min="21" max="21" width="19.28515625" style="1007" customWidth="1"/>
    <col min="22" max="22" width="23.5703125" style="1138" bestFit="1" customWidth="1"/>
    <col min="23" max="23" width="7.28515625" style="1139" customWidth="1"/>
    <col min="24" max="24" width="12.85546875" style="1139" customWidth="1"/>
    <col min="25" max="25" width="50" style="1140" customWidth="1"/>
    <col min="26" max="16384" width="9.140625" style="1139"/>
  </cols>
  <sheetData>
    <row r="1" spans="1:36">
      <c r="A1" s="1589" t="s">
        <v>492</v>
      </c>
      <c r="B1" s="1589"/>
      <c r="C1" s="1589"/>
      <c r="D1" s="1589"/>
      <c r="E1" s="1589"/>
      <c r="F1" s="1589"/>
      <c r="G1" s="1589"/>
      <c r="H1" s="1003"/>
      <c r="I1" s="1003"/>
      <c r="J1" s="1570" t="s">
        <v>849</v>
      </c>
      <c r="K1" s="1570"/>
      <c r="L1" s="1570"/>
      <c r="M1" s="1570"/>
      <c r="N1" s="1570"/>
      <c r="O1" s="1570"/>
      <c r="P1" s="1570"/>
      <c r="Q1" s="1570"/>
      <c r="R1" s="1570"/>
      <c r="S1" s="1570"/>
      <c r="T1" s="1570"/>
      <c r="U1" s="1570"/>
    </row>
    <row r="2" spans="1:36" ht="15" customHeight="1">
      <c r="A2" s="1570" t="s">
        <v>1563</v>
      </c>
      <c r="B2" s="1570"/>
      <c r="C2" s="1570"/>
      <c r="D2" s="1570"/>
      <c r="E2" s="1570"/>
      <c r="F2" s="1570"/>
      <c r="G2" s="1570"/>
      <c r="H2" s="1004"/>
      <c r="I2" s="1004"/>
      <c r="J2" s="1570" t="s">
        <v>2179</v>
      </c>
      <c r="K2" s="1570"/>
      <c r="L2" s="1570"/>
      <c r="M2" s="1570"/>
      <c r="N2" s="1570"/>
      <c r="O2" s="1570"/>
      <c r="P2" s="1570"/>
      <c r="Q2" s="1570"/>
      <c r="R2" s="1570"/>
      <c r="S2" s="1570"/>
      <c r="T2" s="1570"/>
      <c r="U2" s="1570"/>
    </row>
    <row r="3" spans="1:36" ht="16.5" customHeight="1">
      <c r="A3" s="1570" t="s">
        <v>1564</v>
      </c>
      <c r="B3" s="1570"/>
      <c r="C3" s="1570"/>
      <c r="D3" s="1570"/>
      <c r="E3" s="1570"/>
      <c r="F3" s="1570"/>
      <c r="G3" s="1570"/>
      <c r="H3" s="1004"/>
      <c r="I3" s="1004"/>
      <c r="J3" s="1004"/>
      <c r="K3" s="1004"/>
      <c r="L3" s="1006"/>
      <c r="M3" s="1006"/>
      <c r="N3" s="1006"/>
      <c r="O3" s="1006"/>
      <c r="P3" s="1243"/>
      <c r="Q3" s="1243"/>
      <c r="R3" s="1243"/>
      <c r="S3" s="1243"/>
      <c r="T3" s="1003"/>
    </row>
    <row r="4" spans="1:36" ht="9" customHeight="1">
      <c r="A4" s="1244"/>
      <c r="B4" s="1244"/>
      <c r="C4" s="1244"/>
      <c r="D4" s="1244"/>
      <c r="E4" s="1244"/>
      <c r="F4" s="1244"/>
      <c r="G4" s="1244"/>
      <c r="H4" s="1244"/>
      <c r="I4" s="1244"/>
      <c r="J4" s="1244"/>
      <c r="K4" s="1244"/>
      <c r="L4" s="1006"/>
      <c r="M4" s="1006"/>
      <c r="N4" s="1006"/>
      <c r="O4" s="1006"/>
      <c r="P4" s="1243"/>
      <c r="Q4" s="1243"/>
      <c r="R4" s="1243"/>
      <c r="S4" s="1243"/>
      <c r="T4" s="1003"/>
    </row>
    <row r="5" spans="1:36" ht="18.75" customHeight="1">
      <c r="A5" s="1554" t="s">
        <v>2183</v>
      </c>
      <c r="B5" s="1554"/>
      <c r="C5" s="1554"/>
      <c r="D5" s="1554"/>
      <c r="E5" s="1554"/>
      <c r="F5" s="1554"/>
      <c r="G5" s="1554"/>
      <c r="H5" s="1554"/>
      <c r="I5" s="1554"/>
      <c r="J5" s="1554"/>
      <c r="K5" s="1554"/>
      <c r="L5" s="1554"/>
      <c r="M5" s="1554"/>
      <c r="N5" s="1554"/>
      <c r="O5" s="1554"/>
      <c r="P5" s="1554"/>
      <c r="Q5" s="1554"/>
      <c r="R5" s="1554"/>
      <c r="S5" s="1554"/>
      <c r="T5" s="1554"/>
      <c r="U5" s="1554"/>
      <c r="V5" s="681"/>
      <c r="W5" s="681"/>
      <c r="X5" s="681"/>
      <c r="Y5" s="681"/>
      <c r="Z5" s="681"/>
      <c r="AA5" s="681"/>
      <c r="AB5" s="681"/>
      <c r="AC5" s="681"/>
      <c r="AD5" s="681"/>
      <c r="AE5" s="681"/>
      <c r="AF5" s="681"/>
      <c r="AG5" s="681"/>
      <c r="AH5" s="681"/>
      <c r="AI5" s="681"/>
      <c r="AJ5" s="681"/>
    </row>
    <row r="6" spans="1:36" ht="18.75" customHeight="1">
      <c r="A6" s="1582" t="s">
        <v>2410</v>
      </c>
      <c r="B6" s="1582"/>
      <c r="C6" s="1582"/>
      <c r="D6" s="1582"/>
      <c r="E6" s="1582"/>
      <c r="F6" s="1582"/>
      <c r="G6" s="1582"/>
      <c r="H6" s="1582"/>
      <c r="I6" s="1582"/>
      <c r="J6" s="1582"/>
      <c r="K6" s="1582"/>
      <c r="L6" s="1582"/>
      <c r="M6" s="1582"/>
      <c r="N6" s="1582"/>
      <c r="O6" s="1582"/>
      <c r="P6" s="1582"/>
      <c r="Q6" s="1582"/>
      <c r="R6" s="1582"/>
      <c r="S6" s="1582"/>
      <c r="T6" s="1582"/>
      <c r="U6" s="1582"/>
    </row>
    <row r="7" spans="1:36" ht="36.75" hidden="1" customHeight="1">
      <c r="A7" s="1583" t="s">
        <v>2261</v>
      </c>
      <c r="B7" s="1583"/>
      <c r="C7" s="1583"/>
      <c r="D7" s="1583"/>
      <c r="E7" s="1583"/>
      <c r="F7" s="1583"/>
      <c r="G7" s="1583"/>
      <c r="H7" s="1583"/>
      <c r="I7" s="1583"/>
      <c r="J7" s="1583"/>
      <c r="K7" s="1583"/>
      <c r="L7" s="1583"/>
      <c r="M7" s="1583"/>
      <c r="N7" s="1583"/>
      <c r="O7" s="1583"/>
      <c r="P7" s="1583"/>
      <c r="Q7" s="1583"/>
      <c r="R7" s="1583"/>
      <c r="S7" s="1583"/>
      <c r="T7" s="1583"/>
      <c r="U7" s="1583"/>
    </row>
    <row r="8" spans="1:36" s="1003" customFormat="1" ht="16.5" hidden="1" customHeight="1">
      <c r="A8" s="1002"/>
      <c r="C8" s="1004"/>
      <c r="D8" s="1004"/>
      <c r="E8" s="1004"/>
      <c r="F8" s="1006"/>
      <c r="G8" s="1006"/>
      <c r="H8" s="1006"/>
      <c r="I8" s="1006"/>
      <c r="J8" s="1006"/>
      <c r="K8" s="1006"/>
      <c r="L8" s="1584"/>
      <c r="M8" s="1584"/>
      <c r="N8" s="1584"/>
      <c r="O8" s="1584"/>
      <c r="P8" s="1216" t="s">
        <v>1181</v>
      </c>
      <c r="Q8" s="1216"/>
      <c r="R8" s="1216"/>
      <c r="S8" s="1216"/>
      <c r="T8" s="1006"/>
      <c r="U8" s="1007"/>
      <c r="V8" s="1008"/>
      <c r="Y8" s="1009"/>
    </row>
    <row r="9" spans="1:36" ht="17.25" customHeight="1">
      <c r="A9" s="1007"/>
      <c r="B9" s="1002"/>
      <c r="C9" s="1002"/>
      <c r="D9" s="1004"/>
      <c r="E9" s="1004"/>
      <c r="F9" s="1007"/>
      <c r="G9" s="1007"/>
      <c r="H9" s="1007"/>
      <c r="I9" s="1007"/>
      <c r="J9" s="1585"/>
      <c r="K9" s="1585"/>
      <c r="L9" s="1007"/>
      <c r="M9" s="1007"/>
      <c r="N9" s="1007"/>
      <c r="O9" s="1259" t="s">
        <v>2371</v>
      </c>
      <c r="P9" s="1319">
        <v>2340000</v>
      </c>
      <c r="Q9" s="1137"/>
      <c r="R9" s="1137"/>
      <c r="S9" s="1137"/>
      <c r="T9" s="1007"/>
      <c r="U9" s="1007" t="s">
        <v>2403</v>
      </c>
    </row>
    <row r="10" spans="1:36" s="1240" customFormat="1" ht="18.75" customHeight="1">
      <c r="A10" s="1571" t="s">
        <v>853</v>
      </c>
      <c r="B10" s="1571" t="s">
        <v>854</v>
      </c>
      <c r="C10" s="1236" t="s">
        <v>1598</v>
      </c>
      <c r="D10" s="1237" t="s">
        <v>50</v>
      </c>
      <c r="E10" s="1571" t="s">
        <v>2176</v>
      </c>
      <c r="F10" s="1586" t="s">
        <v>2264</v>
      </c>
      <c r="G10" s="1587"/>
      <c r="H10" s="1587"/>
      <c r="I10" s="1588"/>
      <c r="J10" s="1587" t="s">
        <v>860</v>
      </c>
      <c r="K10" s="1588"/>
      <c r="L10" s="1586" t="s">
        <v>2387</v>
      </c>
      <c r="M10" s="1587"/>
      <c r="N10" s="1588"/>
      <c r="O10" s="1571" t="s">
        <v>2269</v>
      </c>
      <c r="P10" s="1571" t="s">
        <v>1100</v>
      </c>
      <c r="Q10" s="1571" t="s">
        <v>2399</v>
      </c>
      <c r="R10" s="1571" t="s">
        <v>2400</v>
      </c>
      <c r="S10" s="1571" t="s">
        <v>1100</v>
      </c>
      <c r="T10" s="1574" t="s">
        <v>40</v>
      </c>
      <c r="U10" s="1575"/>
      <c r="V10" s="1239"/>
      <c r="Y10" s="1241"/>
    </row>
    <row r="11" spans="1:36" s="1240" customFormat="1" ht="15.75" customHeight="1">
      <c r="A11" s="1573"/>
      <c r="B11" s="1573"/>
      <c r="C11" s="1236"/>
      <c r="D11" s="1237"/>
      <c r="E11" s="1573"/>
      <c r="F11" s="1242" t="s">
        <v>2356</v>
      </c>
      <c r="G11" s="1424" t="s">
        <v>2357</v>
      </c>
      <c r="H11" s="1424" t="s">
        <v>2262</v>
      </c>
      <c r="I11" s="1242" t="s">
        <v>2358</v>
      </c>
      <c r="J11" s="1242" t="s">
        <v>2270</v>
      </c>
      <c r="K11" s="1242" t="s">
        <v>2271</v>
      </c>
      <c r="L11" s="1425" t="s">
        <v>2388</v>
      </c>
      <c r="M11" s="1425"/>
      <c r="N11" s="1425" t="s">
        <v>2389</v>
      </c>
      <c r="O11" s="1573"/>
      <c r="P11" s="1573"/>
      <c r="Q11" s="1572"/>
      <c r="R11" s="1572"/>
      <c r="S11" s="1572"/>
      <c r="T11" s="1576"/>
      <c r="U11" s="1577"/>
      <c r="V11" s="1239"/>
      <c r="Y11" s="1241"/>
    </row>
    <row r="12" spans="1:36" s="1012" customFormat="1" ht="15" customHeight="1">
      <c r="A12" s="1010" t="s">
        <v>1110</v>
      </c>
      <c r="B12" s="1010" t="s">
        <v>1111</v>
      </c>
      <c r="C12" s="1010" t="s">
        <v>1112</v>
      </c>
      <c r="D12" s="1010" t="s">
        <v>1113</v>
      </c>
      <c r="E12" s="1010" t="s">
        <v>1112</v>
      </c>
      <c r="F12" s="1010" t="s">
        <v>1122</v>
      </c>
      <c r="G12" s="1010" t="s">
        <v>1123</v>
      </c>
      <c r="H12" s="1010" t="s">
        <v>1124</v>
      </c>
      <c r="I12" s="1010" t="s">
        <v>1125</v>
      </c>
      <c r="J12" s="1010" t="s">
        <v>1133</v>
      </c>
      <c r="K12" s="1010" t="s">
        <v>1142</v>
      </c>
      <c r="L12" s="1010" t="s">
        <v>1143</v>
      </c>
      <c r="M12" s="1010"/>
      <c r="N12" s="1010"/>
      <c r="O12" s="1010" t="s">
        <v>1146</v>
      </c>
      <c r="P12" s="1010" t="s">
        <v>1147</v>
      </c>
      <c r="Q12" s="1217" t="s">
        <v>1113</v>
      </c>
      <c r="R12" s="1217" t="s">
        <v>1114</v>
      </c>
      <c r="S12" s="1217" t="s">
        <v>1115</v>
      </c>
      <c r="T12" s="1578" t="s">
        <v>1116</v>
      </c>
      <c r="U12" s="1579"/>
      <c r="V12" s="1011"/>
      <c r="Y12" s="1013"/>
    </row>
    <row r="13" spans="1:36" hidden="1">
      <c r="A13" s="1589" t="s">
        <v>492</v>
      </c>
      <c r="B13" s="1589"/>
      <c r="C13" s="1589"/>
      <c r="D13" s="1589"/>
      <c r="E13" s="1589"/>
      <c r="F13" s="1589"/>
      <c r="G13" s="1589"/>
      <c r="H13" s="1003"/>
      <c r="I13" s="1003"/>
      <c r="J13" s="1570" t="s">
        <v>849</v>
      </c>
      <c r="K13" s="1570"/>
      <c r="L13" s="1570"/>
      <c r="M13" s="1570"/>
      <c r="N13" s="1570"/>
      <c r="O13" s="1570"/>
      <c r="P13" s="1570"/>
      <c r="Q13" s="1570"/>
      <c r="R13" s="1570"/>
      <c r="S13" s="1570"/>
      <c r="T13" s="1570"/>
      <c r="U13" s="1570"/>
    </row>
    <row r="14" spans="1:36" ht="15" hidden="1" customHeight="1">
      <c r="A14" s="1570" t="s">
        <v>1563</v>
      </c>
      <c r="B14" s="1570"/>
      <c r="C14" s="1570"/>
      <c r="D14" s="1570"/>
      <c r="E14" s="1570"/>
      <c r="F14" s="1570"/>
      <c r="G14" s="1570"/>
      <c r="H14" s="1004"/>
      <c r="I14" s="1004"/>
      <c r="J14" s="1570" t="s">
        <v>2179</v>
      </c>
      <c r="K14" s="1570"/>
      <c r="L14" s="1570"/>
      <c r="M14" s="1570"/>
      <c r="N14" s="1570"/>
      <c r="O14" s="1570"/>
      <c r="P14" s="1570"/>
      <c r="Q14" s="1570"/>
      <c r="R14" s="1570"/>
      <c r="S14" s="1570"/>
      <c r="T14" s="1570"/>
      <c r="U14" s="1570"/>
    </row>
    <row r="15" spans="1:36" ht="16.5" hidden="1" customHeight="1">
      <c r="A15" s="1570" t="s">
        <v>1564</v>
      </c>
      <c r="B15" s="1570"/>
      <c r="C15" s="1570"/>
      <c r="D15" s="1570"/>
      <c r="E15" s="1570"/>
      <c r="F15" s="1570"/>
      <c r="G15" s="1570"/>
      <c r="H15" s="1004"/>
      <c r="I15" s="1004"/>
      <c r="J15" s="1004"/>
      <c r="K15" s="1004"/>
      <c r="L15" s="1006"/>
      <c r="M15" s="1006"/>
      <c r="N15" s="1006"/>
      <c r="O15" s="1006"/>
      <c r="P15" s="1243"/>
      <c r="Q15" s="1243"/>
      <c r="R15" s="1243"/>
      <c r="S15" s="1243"/>
      <c r="T15" s="1003"/>
    </row>
    <row r="16" spans="1:36" ht="9" hidden="1" customHeight="1">
      <c r="A16" s="1244"/>
      <c r="B16" s="1244"/>
      <c r="C16" s="1244"/>
      <c r="D16" s="1244"/>
      <c r="E16" s="1244"/>
      <c r="F16" s="1244"/>
      <c r="G16" s="1244"/>
      <c r="H16" s="1244"/>
      <c r="I16" s="1244"/>
      <c r="J16" s="1244"/>
      <c r="K16" s="1244"/>
      <c r="L16" s="1006"/>
      <c r="M16" s="1006"/>
      <c r="N16" s="1006"/>
      <c r="O16" s="1006"/>
      <c r="P16" s="1243"/>
      <c r="Q16" s="1243"/>
      <c r="R16" s="1243"/>
      <c r="S16" s="1243"/>
      <c r="T16" s="1003"/>
    </row>
    <row r="17" spans="1:35" ht="18.75" hidden="1" customHeight="1">
      <c r="A17" s="1582" t="s">
        <v>2407</v>
      </c>
      <c r="B17" s="1582"/>
      <c r="C17" s="1582"/>
      <c r="D17" s="1582"/>
      <c r="E17" s="1582"/>
      <c r="F17" s="1582"/>
      <c r="G17" s="1582"/>
      <c r="H17" s="1582"/>
      <c r="I17" s="1582"/>
      <c r="J17" s="1582"/>
      <c r="K17" s="1582"/>
      <c r="L17" s="1582"/>
      <c r="M17" s="1582"/>
      <c r="N17" s="1582"/>
      <c r="O17" s="1582"/>
      <c r="P17" s="1582"/>
      <c r="Q17" s="1582"/>
      <c r="R17" s="1582"/>
      <c r="S17" s="1582"/>
      <c r="T17" s="1582"/>
      <c r="U17" s="1582"/>
    </row>
    <row r="18" spans="1:35" ht="18.75" hidden="1" customHeight="1">
      <c r="A18" s="1582" t="s">
        <v>1600</v>
      </c>
      <c r="B18" s="1582"/>
      <c r="C18" s="1582"/>
      <c r="D18" s="1582"/>
      <c r="E18" s="1582"/>
      <c r="F18" s="1582"/>
      <c r="G18" s="1582"/>
      <c r="H18" s="1582"/>
      <c r="I18" s="1582"/>
      <c r="J18" s="1582"/>
      <c r="K18" s="1582"/>
      <c r="L18" s="1582"/>
      <c r="M18" s="1582"/>
      <c r="N18" s="1582"/>
      <c r="O18" s="1582"/>
      <c r="P18" s="1582"/>
      <c r="Q18" s="1582"/>
      <c r="R18" s="1582"/>
      <c r="S18" s="1582"/>
      <c r="T18" s="1582"/>
      <c r="U18" s="1582"/>
    </row>
    <row r="19" spans="1:35" ht="36.75" hidden="1" customHeight="1">
      <c r="A19" s="1583" t="s">
        <v>2261</v>
      </c>
      <c r="B19" s="1583"/>
      <c r="C19" s="1583"/>
      <c r="D19" s="1583"/>
      <c r="E19" s="1583"/>
      <c r="F19" s="1583"/>
      <c r="G19" s="1583"/>
      <c r="H19" s="1583"/>
      <c r="I19" s="1583"/>
      <c r="J19" s="1583"/>
      <c r="K19" s="1583"/>
      <c r="L19" s="1583"/>
      <c r="M19" s="1583"/>
      <c r="N19" s="1583"/>
      <c r="O19" s="1583"/>
      <c r="P19" s="1583"/>
      <c r="Q19" s="1583"/>
      <c r="R19" s="1583"/>
      <c r="S19" s="1583"/>
      <c r="T19" s="1583"/>
      <c r="U19" s="1583"/>
    </row>
    <row r="20" spans="1:35" s="1003" customFormat="1" ht="16.5" hidden="1" customHeight="1">
      <c r="A20" s="1002"/>
      <c r="C20" s="1004"/>
      <c r="D20" s="1004"/>
      <c r="E20" s="1004"/>
      <c r="F20" s="1006"/>
      <c r="G20" s="1006"/>
      <c r="H20" s="1006"/>
      <c r="I20" s="1006"/>
      <c r="J20" s="1006"/>
      <c r="K20" s="1006"/>
      <c r="L20" s="1584"/>
      <c r="M20" s="1584"/>
      <c r="N20" s="1584"/>
      <c r="O20" s="1584"/>
      <c r="P20" s="1216" t="s">
        <v>1181</v>
      </c>
      <c r="Q20" s="1216"/>
      <c r="R20" s="1216"/>
      <c r="S20" s="1216"/>
      <c r="T20" s="1006"/>
      <c r="U20" s="1007"/>
      <c r="V20" s="1008"/>
      <c r="Y20" s="1009"/>
    </row>
    <row r="21" spans="1:35" ht="17.25" hidden="1" customHeight="1">
      <c r="A21" s="1007"/>
      <c r="B21" s="1002"/>
      <c r="C21" s="1002"/>
      <c r="D21" s="1004"/>
      <c r="E21" s="1004"/>
      <c r="F21" s="1007"/>
      <c r="G21" s="1007"/>
      <c r="H21" s="1007"/>
      <c r="I21" s="1007"/>
      <c r="J21" s="1585"/>
      <c r="K21" s="1585"/>
      <c r="L21" s="1007"/>
      <c r="M21" s="1007"/>
      <c r="N21" s="1007"/>
      <c r="O21" s="1259" t="s">
        <v>2371</v>
      </c>
      <c r="P21" s="1319">
        <v>2340000</v>
      </c>
      <c r="Q21" s="1137"/>
      <c r="R21" s="1137"/>
      <c r="S21" s="1137"/>
      <c r="T21" s="1007"/>
    </row>
    <row r="22" spans="1:35" s="1240" customFormat="1" ht="27.75" hidden="1" customHeight="1">
      <c r="A22" s="1571" t="s">
        <v>853</v>
      </c>
      <c r="B22" s="1571" t="s">
        <v>854</v>
      </c>
      <c r="C22" s="1236" t="s">
        <v>1598</v>
      </c>
      <c r="D22" s="1237" t="s">
        <v>50</v>
      </c>
      <c r="E22" s="1571" t="s">
        <v>2176</v>
      </c>
      <c r="F22" s="1586" t="s">
        <v>2405</v>
      </c>
      <c r="G22" s="1587"/>
      <c r="H22" s="1587"/>
      <c r="I22" s="1588"/>
      <c r="J22" s="1587" t="s">
        <v>860</v>
      </c>
      <c r="K22" s="1588"/>
      <c r="L22" s="1586" t="s">
        <v>2387</v>
      </c>
      <c r="M22" s="1587"/>
      <c r="N22" s="1588"/>
      <c r="O22" s="1571" t="s">
        <v>2269</v>
      </c>
      <c r="P22" s="1571" t="s">
        <v>1100</v>
      </c>
      <c r="Q22" s="1238"/>
      <c r="R22" s="1238"/>
      <c r="S22" s="1238"/>
      <c r="T22" s="1574" t="s">
        <v>40</v>
      </c>
      <c r="U22" s="1575"/>
      <c r="V22" s="1239"/>
      <c r="Y22" s="1241"/>
    </row>
    <row r="23" spans="1:35" s="1240" customFormat="1" ht="23.25" hidden="1" customHeight="1">
      <c r="A23" s="1573"/>
      <c r="B23" s="1573"/>
      <c r="C23" s="1236"/>
      <c r="D23" s="1237"/>
      <c r="E23" s="1573"/>
      <c r="F23" s="1242" t="s">
        <v>2356</v>
      </c>
      <c r="G23" s="1424" t="s">
        <v>2357</v>
      </c>
      <c r="H23" s="1424" t="s">
        <v>2262</v>
      </c>
      <c r="I23" s="1242" t="s">
        <v>2358</v>
      </c>
      <c r="J23" s="1242" t="s">
        <v>2270</v>
      </c>
      <c r="K23" s="1242" t="s">
        <v>2271</v>
      </c>
      <c r="L23" s="1425" t="s">
        <v>2388</v>
      </c>
      <c r="M23" s="1425"/>
      <c r="N23" s="1425" t="s">
        <v>2389</v>
      </c>
      <c r="O23" s="1573"/>
      <c r="P23" s="1573"/>
      <c r="Q23" s="1238"/>
      <c r="R23" s="1363"/>
      <c r="S23" s="1363"/>
      <c r="T23" s="1576"/>
      <c r="U23" s="1577"/>
      <c r="V23" s="1239"/>
      <c r="Y23" s="1241"/>
    </row>
    <row r="24" spans="1:35" s="1012" customFormat="1" ht="15" hidden="1" customHeight="1">
      <c r="A24" s="1010" t="s">
        <v>1110</v>
      </c>
      <c r="B24" s="1010" t="s">
        <v>1111</v>
      </c>
      <c r="C24" s="1010" t="s">
        <v>1112</v>
      </c>
      <c r="D24" s="1010" t="s">
        <v>1113</v>
      </c>
      <c r="E24" s="1010" t="s">
        <v>1112</v>
      </c>
      <c r="F24" s="1010" t="s">
        <v>1113</v>
      </c>
      <c r="G24" s="1010" t="s">
        <v>1114</v>
      </c>
      <c r="H24" s="1010" t="s">
        <v>1115</v>
      </c>
      <c r="I24" s="1010" t="s">
        <v>1116</v>
      </c>
      <c r="J24" s="1010" t="s">
        <v>1117</v>
      </c>
      <c r="K24" s="1010" t="s">
        <v>1118</v>
      </c>
      <c r="L24" s="1010" t="s">
        <v>1119</v>
      </c>
      <c r="M24" s="1010"/>
      <c r="N24" s="1010" t="s">
        <v>1120</v>
      </c>
      <c r="O24" s="1010" t="s">
        <v>1121</v>
      </c>
      <c r="P24" s="1010" t="s">
        <v>1122</v>
      </c>
      <c r="Q24" s="1217"/>
      <c r="R24" s="1217"/>
      <c r="S24" s="1217"/>
      <c r="T24" s="1578" t="s">
        <v>1123</v>
      </c>
      <c r="U24" s="1579"/>
      <c r="V24" s="1011"/>
      <c r="Y24" s="1013"/>
    </row>
    <row r="25" spans="1:35" s="1028" customFormat="1" ht="27.75" customHeight="1">
      <c r="A25" s="1014">
        <f>_xlfn.AGGREGATE(4,7,A$24:A24)+1</f>
        <v>1</v>
      </c>
      <c r="B25" s="1015" t="s">
        <v>1447</v>
      </c>
      <c r="C25" s="1029" t="s">
        <v>1614</v>
      </c>
      <c r="D25" s="1030" t="s">
        <v>1442</v>
      </c>
      <c r="E25" s="81" t="str">
        <f>VLOOKUP(B25,TH.Q2!B19:E350,4,FALSE)</f>
        <v>Phó Hiệu trưởng</v>
      </c>
      <c r="F25" s="1018">
        <v>4.9800000000000004</v>
      </c>
      <c r="G25" s="1019">
        <v>7.0000000000000007E-2</v>
      </c>
      <c r="H25" s="1248">
        <f t="shared" ref="H25:H88" si="0">ROUND(F25*G25,3)</f>
        <v>0.34899999999999998</v>
      </c>
      <c r="I25" s="1020">
        <v>0.9</v>
      </c>
      <c r="J25" s="1020" t="str">
        <f>VLOOKUP(B25,'[27]Gui chi Quynh'!$B$11:$E$396,4,FALSE)</f>
        <v>A1</v>
      </c>
      <c r="K25" s="1020">
        <f t="shared" ref="K25:K88" si="1">IF(J25="A1",0.8,IF(J25="A2",0.7,IF(J25="A3",0.6,IF(J25="A4",0.5,IF(J25="B1",0.35,IF(J25="B2",0.25,IF(J25="C1",0.15,IF(J25="C2",0.1,0))))))))</f>
        <v>0.8</v>
      </c>
      <c r="L25" s="1021">
        <v>20</v>
      </c>
      <c r="M25" s="1021">
        <f>VLOOKUP(B25,'[28]CN BC'!$H$10:$J$275,3,FALSE)</f>
        <v>27</v>
      </c>
      <c r="N25" s="1021">
        <f t="shared" ref="N25:N88" si="2">IF(M25&gt;=L25,L25,IF(M25&lt;L25,M25))</f>
        <v>20</v>
      </c>
      <c r="O25" s="1022"/>
      <c r="P25" s="1023">
        <f t="shared" ref="P25:P88" si="3">(((F25+H25+I25)*$P$21/L25*N25)*K25)+O25</f>
        <v>11660688.000000002</v>
      </c>
      <c r="Q25" s="1477">
        <f>P25/R25</f>
        <v>4.983200000000001</v>
      </c>
      <c r="R25" s="1102">
        <v>2340000</v>
      </c>
      <c r="S25" s="1478">
        <f>Q25*R25</f>
        <v>11660688.000000002</v>
      </c>
      <c r="T25" s="1024">
        <f t="shared" ref="T25:T88" si="4">A25</f>
        <v>1</v>
      </c>
      <c r="U25" s="1025">
        <f>IFERROR(INDEX('[28]CN BC'!$M$10:$M$276,MATCH(B25,'[28]CN BC'!$H$10:$H$276,0)),"")</f>
        <v>0</v>
      </c>
      <c r="V25" s="1011" t="str">
        <f>VLOOKUP(B25,TH.T4!B22:AC352,28,FALSE)</f>
        <v>BGH</v>
      </c>
      <c r="W25" s="1031"/>
      <c r="X25" s="1032"/>
      <c r="Y25" s="1027"/>
      <c r="Z25" s="1012"/>
      <c r="AA25" s="1012"/>
      <c r="AB25" s="1012"/>
      <c r="AC25" s="1012"/>
      <c r="AD25" s="1012"/>
      <c r="AE25" s="1012"/>
      <c r="AF25" s="1012"/>
      <c r="AG25" s="1012"/>
      <c r="AH25" s="1012"/>
      <c r="AI25" s="1012"/>
    </row>
    <row r="26" spans="1:35" s="1028" customFormat="1" ht="27" customHeight="1">
      <c r="A26" s="1014">
        <f>_xlfn.AGGREGATE(4,7,A$24:A25)+1</f>
        <v>2</v>
      </c>
      <c r="B26" s="1015" t="s">
        <v>1845</v>
      </c>
      <c r="C26" s="1033" t="s">
        <v>1615</v>
      </c>
      <c r="D26" s="1034" t="s">
        <v>1255</v>
      </c>
      <c r="E26" s="81" t="str">
        <f>VLOOKUP(B26,TH.Q2!B20:E351,4,FALSE)</f>
        <v>Phó Hiệu trưởng</v>
      </c>
      <c r="F26" s="1018">
        <v>4.9800000000000004</v>
      </c>
      <c r="G26" s="1019">
        <v>0.09</v>
      </c>
      <c r="H26" s="1248">
        <f t="shared" si="0"/>
        <v>0.44800000000000001</v>
      </c>
      <c r="I26" s="1020">
        <v>0.7</v>
      </c>
      <c r="J26" s="1020" t="str">
        <f>VLOOKUP(B26,'[27]Gui chi Quynh'!$B$11:$E$396,4,FALSE)</f>
        <v>A1</v>
      </c>
      <c r="K26" s="1020">
        <f t="shared" si="1"/>
        <v>0.8</v>
      </c>
      <c r="L26" s="1021">
        <v>20</v>
      </c>
      <c r="M26" s="1021">
        <f>VLOOKUP(B26,'[28]CN BC'!$H$10:$J$275,3,FALSE)</f>
        <v>29</v>
      </c>
      <c r="N26" s="1021">
        <f t="shared" si="2"/>
        <v>20</v>
      </c>
      <c r="O26" s="1022"/>
      <c r="P26" s="1023">
        <f t="shared" si="3"/>
        <v>11471616.000000002</v>
      </c>
      <c r="Q26" s="1477">
        <f t="shared" ref="Q26:Q89" si="5">P26/R26</f>
        <v>4.902400000000001</v>
      </c>
      <c r="R26" s="1429">
        <v>2340000</v>
      </c>
      <c r="S26" s="1478">
        <f t="shared" ref="S26:S89" si="6">Q26*R26</f>
        <v>11471616.000000002</v>
      </c>
      <c r="T26" s="1024">
        <f t="shared" si="4"/>
        <v>2</v>
      </c>
      <c r="U26" s="1025">
        <f>IFERROR(INDEX('[28]CN BC'!$M$10:$M$276,MATCH(B26,'[28]CN BC'!$H$10:$H$276,0)),"")</f>
        <v>0</v>
      </c>
      <c r="V26" s="1011" t="str">
        <f>VLOOKUP(B26,TH.T4!B23:AC353,28,FALSE)</f>
        <v>BGH</v>
      </c>
      <c r="W26" s="1036"/>
      <c r="X26" s="1037"/>
      <c r="Y26" s="1038"/>
    </row>
    <row r="27" spans="1:35" s="1028" customFormat="1" ht="24.75" customHeight="1">
      <c r="A27" s="1014">
        <f>_xlfn.AGGREGATE(4,7,A$24:A26)+1</f>
        <v>3</v>
      </c>
      <c r="B27" s="1015" t="s">
        <v>1533</v>
      </c>
      <c r="C27" s="1033" t="s">
        <v>1954</v>
      </c>
      <c r="D27" s="1039" t="s">
        <v>1937</v>
      </c>
      <c r="E27" s="81" t="str">
        <f>VLOOKUP(B27,TH.Q2!B21:E352,4,FALSE)</f>
        <v>Phó Hiệu trưởng</v>
      </c>
      <c r="F27" s="1040">
        <v>4.9800000000000004</v>
      </c>
      <c r="G27" s="1019"/>
      <c r="H27" s="1248">
        <f t="shared" si="0"/>
        <v>0</v>
      </c>
      <c r="I27" s="1020">
        <v>0.7</v>
      </c>
      <c r="J27" s="1020" t="str">
        <f>VLOOKUP(B27,'[27]Gui chi Quynh'!$B$11:$E$396,4,FALSE)</f>
        <v>A1</v>
      </c>
      <c r="K27" s="1020">
        <f t="shared" si="1"/>
        <v>0.8</v>
      </c>
      <c r="L27" s="1021">
        <v>20</v>
      </c>
      <c r="M27" s="1021">
        <f>VLOOKUP(B27,'[28]CN BC'!$H$10:$J$275,3,FALSE)</f>
        <v>28</v>
      </c>
      <c r="N27" s="1021">
        <f t="shared" si="2"/>
        <v>20</v>
      </c>
      <c r="O27" s="1022"/>
      <c r="P27" s="1023">
        <f t="shared" si="3"/>
        <v>10632960.000000002</v>
      </c>
      <c r="Q27" s="1477">
        <f t="shared" si="5"/>
        <v>4.5440000000000005</v>
      </c>
      <c r="R27" s="1429">
        <v>2340000</v>
      </c>
      <c r="S27" s="1478">
        <f t="shared" si="6"/>
        <v>10632960.000000002</v>
      </c>
      <c r="T27" s="1024">
        <f t="shared" si="4"/>
        <v>3</v>
      </c>
      <c r="U27" s="1025">
        <f>IFERROR(INDEX('[28]CN BC'!$M$10:$M$276,MATCH(B27,'[28]CN BC'!$H$10:$H$276,0)),"")</f>
        <v>0</v>
      </c>
      <c r="V27" s="1011" t="str">
        <f>VLOOKUP(B27,TH.T4!B24:AC354,28,FALSE)</f>
        <v>BGH</v>
      </c>
      <c r="W27" s="1041"/>
      <c r="X27" s="1041"/>
      <c r="Y27" s="1027"/>
      <c r="Z27" s="1012"/>
      <c r="AA27" s="1012"/>
      <c r="AB27" s="1012"/>
      <c r="AC27" s="1012"/>
      <c r="AD27" s="1012"/>
      <c r="AE27" s="1012"/>
    </row>
    <row r="28" spans="1:35" s="1028" customFormat="1" ht="33" customHeight="1">
      <c r="A28" s="1014">
        <f>_xlfn.AGGREGATE(4,7,A$24:A27)+1</f>
        <v>4</v>
      </c>
      <c r="B28" s="1015" t="s">
        <v>1458</v>
      </c>
      <c r="C28" s="1014" t="s">
        <v>1995</v>
      </c>
      <c r="D28" s="1030" t="s">
        <v>1577</v>
      </c>
      <c r="E28" s="368" t="str">
        <f>VLOOKUP(B28,TH.Q2!B22:E353,4,FALSE)</f>
        <v>Trưởng phòng TC - HC - TH</v>
      </c>
      <c r="F28" s="1018">
        <v>4.9800000000000004</v>
      </c>
      <c r="G28" s="1019">
        <v>0.06</v>
      </c>
      <c r="H28" s="1255">
        <f t="shared" si="0"/>
        <v>0.29899999999999999</v>
      </c>
      <c r="I28" s="1020">
        <v>0.45</v>
      </c>
      <c r="J28" s="1020" t="str">
        <f>VLOOKUP(B28,'[27]Gui chi Quynh'!$B$11:$E$396,4,FALSE)</f>
        <v>A1</v>
      </c>
      <c r="K28" s="1020">
        <f t="shared" si="1"/>
        <v>0.8</v>
      </c>
      <c r="L28" s="1021">
        <v>20</v>
      </c>
      <c r="M28" s="1021">
        <f>VLOOKUP(B28,'[28]CN BC'!$H$10:$J$275,3,FALSE)</f>
        <v>28</v>
      </c>
      <c r="N28" s="1021">
        <f t="shared" si="2"/>
        <v>20</v>
      </c>
      <c r="O28" s="1035"/>
      <c r="P28" s="1023">
        <f t="shared" si="3"/>
        <v>10724688.000000002</v>
      </c>
      <c r="Q28" s="1477">
        <f t="shared" si="5"/>
        <v>4.5832000000000006</v>
      </c>
      <c r="R28" s="1429">
        <v>2340000</v>
      </c>
      <c r="S28" s="1478">
        <f t="shared" si="6"/>
        <v>10724688.000000002</v>
      </c>
      <c r="T28" s="1024">
        <f t="shared" si="4"/>
        <v>4</v>
      </c>
      <c r="U28" s="1025">
        <f>IFERROR(INDEX('[28]CN BC'!$M$10:$M$276,MATCH(B28,'[28]CN BC'!$H$10:$H$276,0)),"")</f>
        <v>0</v>
      </c>
      <c r="V28" s="1067" t="str">
        <f>VLOOKUP(B28,TH.T4!B25:AC355,28,FALSE)</f>
        <v>TCHC</v>
      </c>
      <c r="W28" s="1426" t="s">
        <v>2272</v>
      </c>
      <c r="X28" s="1426" t="s">
        <v>2273</v>
      </c>
      <c r="Y28" s="1426" t="s">
        <v>2274</v>
      </c>
      <c r="Z28" s="1427"/>
    </row>
    <row r="29" spans="1:35" s="1028" customFormat="1" ht="33" customHeight="1">
      <c r="A29" s="1014">
        <f>_xlfn.AGGREGATE(4,7,A$24:A28)+1</f>
        <v>5</v>
      </c>
      <c r="B29" s="1043" t="s">
        <v>1596</v>
      </c>
      <c r="C29" s="1044" t="s">
        <v>1623</v>
      </c>
      <c r="D29" s="1045">
        <v>1603205353720</v>
      </c>
      <c r="E29" s="81" t="str">
        <f>VLOOKUP(B29,TH.Q2!B23:E354,4,FALSE)</f>
        <v>Phó Trưởng phòng Tổ chức - Hành chính - TH</v>
      </c>
      <c r="F29" s="1040">
        <v>3.66</v>
      </c>
      <c r="G29" s="1019"/>
      <c r="H29" s="1248">
        <f t="shared" si="0"/>
        <v>0</v>
      </c>
      <c r="I29" s="1020">
        <v>0.35</v>
      </c>
      <c r="J29" s="1020" t="str">
        <f>VLOOKUP(B29,'[27]Gui chi Quynh'!$B$11:$E$396,4,FALSE)</f>
        <v>A1</v>
      </c>
      <c r="K29" s="1020">
        <f t="shared" si="1"/>
        <v>0.8</v>
      </c>
      <c r="L29" s="1021">
        <v>20</v>
      </c>
      <c r="M29" s="1021">
        <f>VLOOKUP(B29,'[28]CN BC'!$H$10:$J$275,3,FALSE)</f>
        <v>24</v>
      </c>
      <c r="N29" s="1021">
        <f t="shared" si="2"/>
        <v>20</v>
      </c>
      <c r="O29" s="1022"/>
      <c r="P29" s="1023">
        <f t="shared" si="3"/>
        <v>7506720</v>
      </c>
      <c r="Q29" s="1477">
        <f t="shared" si="5"/>
        <v>3.2080000000000002</v>
      </c>
      <c r="R29" s="1429">
        <v>2340000</v>
      </c>
      <c r="S29" s="1478">
        <f t="shared" si="6"/>
        <v>7506720</v>
      </c>
      <c r="T29" s="1024">
        <f t="shared" si="4"/>
        <v>5</v>
      </c>
      <c r="U29" s="1025">
        <f>IFERROR(INDEX('[28]CN BC'!$M$10:$M$276,MATCH(B29,'[28]CN BC'!$H$10:$H$276,0)),"")</f>
        <v>0</v>
      </c>
      <c r="V29" s="1011" t="str">
        <f>VLOOKUP(B29,TH.T4!B26:AC356,28,FALSE)</f>
        <v>TCHC</v>
      </c>
      <c r="W29" s="1129">
        <f>_xlfn.AGGREGATE(4,7,W$28:W28)+1</f>
        <v>1</v>
      </c>
      <c r="X29" s="1129" t="s">
        <v>2014</v>
      </c>
      <c r="Y29" s="1130" t="s">
        <v>2275</v>
      </c>
      <c r="Z29" s="1131" t="e">
        <f>SUMIF(#REF!,$K29,$H$26:$H$88)</f>
        <v>#REF!</v>
      </c>
      <c r="AA29" s="1012"/>
      <c r="AB29" s="1012"/>
      <c r="AC29" s="1012"/>
      <c r="AD29" s="1012"/>
      <c r="AE29" s="1012"/>
    </row>
    <row r="30" spans="1:35" s="1028" customFormat="1" ht="33" customHeight="1">
      <c r="A30" s="1014">
        <f>_xlfn.AGGREGATE(4,7,A$24:A29)+1</f>
        <v>6</v>
      </c>
      <c r="B30" s="1015" t="s">
        <v>1464</v>
      </c>
      <c r="C30" s="1033" t="s">
        <v>1660</v>
      </c>
      <c r="D30" s="1047">
        <v>1603205185719</v>
      </c>
      <c r="E30" s="81" t="str">
        <f>VLOOKUP(B30,TH.Q2!B24:E355,4,FALSE)</f>
        <v>Phó Trưởng phòng Tổ chức - Hành chính - TH</v>
      </c>
      <c r="F30" s="1040">
        <v>3</v>
      </c>
      <c r="G30" s="1019"/>
      <c r="H30" s="1248">
        <f t="shared" si="0"/>
        <v>0</v>
      </c>
      <c r="I30" s="1020">
        <v>0.35</v>
      </c>
      <c r="J30" s="1020" t="str">
        <f>VLOOKUP(B30,'[27]Gui chi Quynh'!$B$11:$E$396,4,FALSE)</f>
        <v>A1</v>
      </c>
      <c r="K30" s="1020">
        <f t="shared" si="1"/>
        <v>0.8</v>
      </c>
      <c r="L30" s="1021">
        <v>20</v>
      </c>
      <c r="M30" s="1021">
        <f>VLOOKUP(B30,'[28]CN BC'!$H$10:$J$275,3,FALSE)</f>
        <v>27</v>
      </c>
      <c r="N30" s="1021">
        <f t="shared" si="2"/>
        <v>20</v>
      </c>
      <c r="O30" s="1022"/>
      <c r="P30" s="1023">
        <f t="shared" si="3"/>
        <v>6271200</v>
      </c>
      <c r="Q30" s="1477">
        <f t="shared" si="5"/>
        <v>2.68</v>
      </c>
      <c r="R30" s="1429">
        <v>2340000</v>
      </c>
      <c r="S30" s="1478">
        <f t="shared" si="6"/>
        <v>6271200</v>
      </c>
      <c r="T30" s="1024">
        <f t="shared" si="4"/>
        <v>6</v>
      </c>
      <c r="U30" s="1025">
        <f>IFERROR(INDEX('[28]CN BC'!$M$10:$M$276,MATCH(B30,'[28]CN BC'!$H$10:$H$276,0)),"")</f>
        <v>0</v>
      </c>
      <c r="V30" s="1011" t="str">
        <f>VLOOKUP(B30,TH.T4!B27:AC357,28,FALSE)</f>
        <v>TCHC</v>
      </c>
      <c r="W30" s="1129">
        <f>_xlfn.AGGREGATE(4,7,W$28:W29)+1</f>
        <v>2</v>
      </c>
      <c r="X30" s="420" t="s">
        <v>2224</v>
      </c>
      <c r="Y30" s="1130" t="s">
        <v>2276</v>
      </c>
      <c r="Z30" s="1131" t="e">
        <f>SUMIF(#REF!,$K30,$H$26:$H$88)</f>
        <v>#REF!</v>
      </c>
      <c r="AA30" s="1012"/>
      <c r="AB30" s="1012"/>
      <c r="AC30" s="1012"/>
      <c r="AD30" s="1012"/>
      <c r="AE30" s="1012"/>
    </row>
    <row r="31" spans="1:35" s="1028" customFormat="1" ht="33" customHeight="1">
      <c r="A31" s="1014">
        <f>_xlfn.AGGREGATE(4,7,A$24:A30)+1</f>
        <v>7</v>
      </c>
      <c r="B31" s="1015" t="s">
        <v>1846</v>
      </c>
      <c r="C31" s="1033" t="s">
        <v>1618</v>
      </c>
      <c r="D31" s="1034" t="s">
        <v>1264</v>
      </c>
      <c r="E31" s="81" t="str">
        <f>VLOOKUP(B31,TH.Q2!B25:E356,4,FALSE)</f>
        <v>NV Phòng Tổ chức - Hành chính - Tổng hợp</v>
      </c>
      <c r="F31" s="1018">
        <v>3.99</v>
      </c>
      <c r="G31" s="1019"/>
      <c r="H31" s="1248">
        <f t="shared" si="0"/>
        <v>0</v>
      </c>
      <c r="I31" s="1020"/>
      <c r="J31" s="1020" t="str">
        <f>VLOOKUP(B31,'[27]Gui chi Quynh'!$B$11:$E$396,4,FALSE)</f>
        <v>A1</v>
      </c>
      <c r="K31" s="1020">
        <f t="shared" si="1"/>
        <v>0.8</v>
      </c>
      <c r="L31" s="1021">
        <v>20</v>
      </c>
      <c r="M31" s="1021">
        <f>VLOOKUP(B31,'[28]CN BC'!$H$10:$J$275,3,FALSE)</f>
        <v>23</v>
      </c>
      <c r="N31" s="1021">
        <f t="shared" si="2"/>
        <v>20</v>
      </c>
      <c r="O31" s="1022"/>
      <c r="P31" s="1023">
        <f t="shared" si="3"/>
        <v>7469280</v>
      </c>
      <c r="Q31" s="1477">
        <f t="shared" si="5"/>
        <v>3.1920000000000002</v>
      </c>
      <c r="R31" s="1429">
        <v>2340000</v>
      </c>
      <c r="S31" s="1478">
        <f t="shared" si="6"/>
        <v>7469280</v>
      </c>
      <c r="T31" s="1024">
        <f t="shared" si="4"/>
        <v>7</v>
      </c>
      <c r="U31" s="1025">
        <f>IFERROR(INDEX('[28]CN BC'!$M$10:$M$276,MATCH(B31,'[28]CN BC'!$H$10:$H$276,0)),"")</f>
        <v>0</v>
      </c>
      <c r="V31" s="1011" t="str">
        <f>VLOOKUP(B31,TH.T4!B28:AC358,28,FALSE)</f>
        <v>TCHC</v>
      </c>
      <c r="W31" s="1129">
        <f>_xlfn.AGGREGATE(4,7,W$28:W30)+1</f>
        <v>3</v>
      </c>
      <c r="X31" s="1132" t="s">
        <v>527</v>
      </c>
      <c r="Y31" s="1133" t="s">
        <v>2277</v>
      </c>
      <c r="Z31" s="1134" t="e">
        <f>SUMIF(#REF!,$K31,$H$26:$H$88)</f>
        <v>#REF!</v>
      </c>
      <c r="AA31" s="1012"/>
      <c r="AB31" s="1012"/>
      <c r="AC31" s="1012"/>
      <c r="AD31" s="1012"/>
      <c r="AE31" s="1012"/>
    </row>
    <row r="32" spans="1:35" s="1028" customFormat="1" ht="33" customHeight="1">
      <c r="A32" s="1014">
        <f>_xlfn.AGGREGATE(4,7,A$24:A31)+1</f>
        <v>8</v>
      </c>
      <c r="B32" s="1015" t="s">
        <v>1827</v>
      </c>
      <c r="C32" s="1033" t="s">
        <v>1619</v>
      </c>
      <c r="D32" s="1034" t="s">
        <v>1265</v>
      </c>
      <c r="E32" s="81" t="str">
        <f>VLOOKUP(B32,TH.Q2!B26:E357,4,FALSE)</f>
        <v>NV Phòng Tổ chức - Hành chính - Tổng hợp</v>
      </c>
      <c r="F32" s="1040">
        <v>3.99</v>
      </c>
      <c r="G32" s="1019"/>
      <c r="H32" s="1248">
        <f t="shared" si="0"/>
        <v>0</v>
      </c>
      <c r="I32" s="1020"/>
      <c r="J32" s="1020" t="str">
        <f>VLOOKUP(B32,'[27]Gui chi Quynh'!$B$11:$E$396,4,FALSE)</f>
        <v>A1</v>
      </c>
      <c r="K32" s="1020">
        <f t="shared" si="1"/>
        <v>0.8</v>
      </c>
      <c r="L32" s="1021">
        <v>20</v>
      </c>
      <c r="M32" s="1021">
        <f>VLOOKUP(B32,'[28]CN BC'!$H$10:$J$275,3,FALSE)</f>
        <v>24</v>
      </c>
      <c r="N32" s="1021">
        <f t="shared" si="2"/>
        <v>20</v>
      </c>
      <c r="O32" s="1022"/>
      <c r="P32" s="1023">
        <f t="shared" si="3"/>
        <v>7469280</v>
      </c>
      <c r="Q32" s="1477">
        <f t="shared" si="5"/>
        <v>3.1920000000000002</v>
      </c>
      <c r="R32" s="1429">
        <v>2340000</v>
      </c>
      <c r="S32" s="1478">
        <f t="shared" si="6"/>
        <v>7469280</v>
      </c>
      <c r="T32" s="1024">
        <f t="shared" si="4"/>
        <v>8</v>
      </c>
      <c r="U32" s="1025">
        <f>IFERROR(INDEX('[28]CN BC'!$M$10:$M$276,MATCH(B32,'[28]CN BC'!$H$10:$H$276,0)),"")</f>
        <v>0</v>
      </c>
      <c r="V32" s="1011" t="str">
        <f>VLOOKUP(B32,TH.T4!B29:AC359,28,FALSE)</f>
        <v>TCHC</v>
      </c>
      <c r="W32" s="1129">
        <f>_xlfn.AGGREGATE(4,7,W$28:W31)+1</f>
        <v>4</v>
      </c>
      <c r="X32" s="420" t="s">
        <v>2227</v>
      </c>
      <c r="Y32" s="1130" t="s">
        <v>2278</v>
      </c>
      <c r="Z32" s="1131" t="e">
        <f>SUMIF(#REF!,$K32,$H$26:$H$88)</f>
        <v>#REF!</v>
      </c>
      <c r="AA32" s="1012"/>
      <c r="AB32" s="1012"/>
      <c r="AC32" s="1012"/>
      <c r="AD32" s="1012"/>
      <c r="AE32" s="1012"/>
    </row>
    <row r="33" spans="1:35" s="1028" customFormat="1" ht="33" customHeight="1">
      <c r="A33" s="1014">
        <f>_xlfn.AGGREGATE(4,7,A$24:A32)+1</f>
        <v>9</v>
      </c>
      <c r="B33" s="1015" t="s">
        <v>1448</v>
      </c>
      <c r="C33" s="1033" t="s">
        <v>1620</v>
      </c>
      <c r="D33" s="1045" t="s">
        <v>1574</v>
      </c>
      <c r="E33" s="81" t="str">
        <f>VLOOKUP(B33,TH.Q2!B27:E358,4,FALSE)</f>
        <v>NV Phòng Tổ chức - Hành chính - Tổng hợp</v>
      </c>
      <c r="F33" s="1018">
        <v>3.46</v>
      </c>
      <c r="G33" s="1019"/>
      <c r="H33" s="1248">
        <f t="shared" si="0"/>
        <v>0</v>
      </c>
      <c r="I33" s="1020"/>
      <c r="J33" s="1020" t="str">
        <f>VLOOKUP(B33,'[27]Gui chi Quynh'!$B$11:$E$396,4,FALSE)</f>
        <v>A1</v>
      </c>
      <c r="K33" s="1020">
        <f t="shared" si="1"/>
        <v>0.8</v>
      </c>
      <c r="L33" s="1021">
        <v>20</v>
      </c>
      <c r="M33" s="1021">
        <f>VLOOKUP(B33,'[28]CN BC'!$H$10:$J$275,3,FALSE)</f>
        <v>24</v>
      </c>
      <c r="N33" s="1021">
        <f t="shared" si="2"/>
        <v>20</v>
      </c>
      <c r="O33" s="1022"/>
      <c r="P33" s="1023">
        <f t="shared" si="3"/>
        <v>6477120</v>
      </c>
      <c r="Q33" s="1477">
        <f t="shared" si="5"/>
        <v>2.7679999999999998</v>
      </c>
      <c r="R33" s="1429">
        <v>2340000</v>
      </c>
      <c r="S33" s="1478">
        <f t="shared" si="6"/>
        <v>6477119.9999999991</v>
      </c>
      <c r="T33" s="1024">
        <f t="shared" si="4"/>
        <v>9</v>
      </c>
      <c r="U33" s="1025">
        <f>IFERROR(INDEX('[28]CN BC'!$M$10:$M$276,MATCH(B33,'[28]CN BC'!$H$10:$H$276,0)),"")</f>
        <v>0</v>
      </c>
      <c r="V33" s="1011" t="str">
        <f>VLOOKUP(B33,TH.T4!B30:AC360,28,FALSE)</f>
        <v>TCHC</v>
      </c>
      <c r="W33" s="1129">
        <f>_xlfn.AGGREGATE(4,7,W$28:W32)+1</f>
        <v>5</v>
      </c>
      <c r="X33" s="1129" t="s">
        <v>2230</v>
      </c>
      <c r="Y33" s="1130" t="s">
        <v>2279</v>
      </c>
      <c r="Z33" s="1131" t="e">
        <f>SUMIF(#REF!,$K33,$H$26:$H$88)</f>
        <v>#REF!</v>
      </c>
      <c r="AA33" s="1012"/>
      <c r="AB33" s="1012"/>
      <c r="AC33" s="1012"/>
      <c r="AD33" s="1012"/>
      <c r="AE33" s="1012"/>
    </row>
    <row r="34" spans="1:35" s="1028" customFormat="1" ht="33" customHeight="1">
      <c r="A34" s="1014">
        <f>_xlfn.AGGREGATE(4,7,A$24:A33)+1</f>
        <v>10</v>
      </c>
      <c r="B34" s="1015" t="s">
        <v>1449</v>
      </c>
      <c r="C34" s="1029" t="s">
        <v>1621</v>
      </c>
      <c r="D34" s="1048">
        <v>1603205280047</v>
      </c>
      <c r="E34" s="81" t="str">
        <f>VLOOKUP(B34,TH.Q2!B28:E359,4,FALSE)</f>
        <v>NV Phòng Tổ chức - Hành chính - Tổng hợp</v>
      </c>
      <c r="F34" s="1040">
        <v>3.66</v>
      </c>
      <c r="G34" s="1049"/>
      <c r="H34" s="1248">
        <f t="shared" si="0"/>
        <v>0</v>
      </c>
      <c r="I34" s="1020"/>
      <c r="J34" s="1020" t="str">
        <f>VLOOKUP(B34,'[27]Gui chi Quynh'!$B$11:$E$396,4,FALSE)</f>
        <v>A2</v>
      </c>
      <c r="K34" s="1020">
        <f t="shared" si="1"/>
        <v>0.7</v>
      </c>
      <c r="L34" s="1021">
        <v>20</v>
      </c>
      <c r="M34" s="1021">
        <f>VLOOKUP(B34,'[28]CN BC'!$H$10:$J$275,3,FALSE)</f>
        <v>21.5</v>
      </c>
      <c r="N34" s="1021">
        <f t="shared" si="2"/>
        <v>20</v>
      </c>
      <c r="O34" s="1022"/>
      <c r="P34" s="1023">
        <f t="shared" si="3"/>
        <v>5995080</v>
      </c>
      <c r="Q34" s="1477">
        <f t="shared" si="5"/>
        <v>2.5619999999999998</v>
      </c>
      <c r="R34" s="1429">
        <v>2340000</v>
      </c>
      <c r="S34" s="1478">
        <f t="shared" si="6"/>
        <v>5995080</v>
      </c>
      <c r="T34" s="1024">
        <f t="shared" si="4"/>
        <v>10</v>
      </c>
      <c r="U34" s="1025">
        <f>IFERROR(INDEX('[28]CN BC'!$M$10:$M$276,MATCH(B34,'[28]CN BC'!$H$10:$H$276,0)),"")</f>
        <v>0</v>
      </c>
      <c r="V34" s="1011" t="str">
        <f>VLOOKUP(B34,TH.T4!B31:AC361,28,FALSE)</f>
        <v>TCHC</v>
      </c>
      <c r="W34" s="1129">
        <f>_xlfn.AGGREGATE(4,7,W$28:W33)+1</f>
        <v>6</v>
      </c>
      <c r="X34" s="420" t="s">
        <v>2219</v>
      </c>
      <c r="Y34" s="1130" t="s">
        <v>2280</v>
      </c>
      <c r="Z34" s="1131" t="e">
        <f>SUMIF(#REF!,$K34,$H$26:$H$88)</f>
        <v>#REF!</v>
      </c>
      <c r="AA34" s="1012"/>
      <c r="AB34" s="1012"/>
      <c r="AC34" s="1012"/>
      <c r="AD34" s="1012"/>
      <c r="AE34" s="1012"/>
      <c r="AF34" s="1012"/>
      <c r="AG34" s="1012"/>
      <c r="AH34" s="1012"/>
      <c r="AI34" s="1012"/>
    </row>
    <row r="35" spans="1:35" s="1028" customFormat="1" ht="33" customHeight="1">
      <c r="A35" s="1014">
        <f>_xlfn.AGGREGATE(4,7,A$24:A34)+1</f>
        <v>11</v>
      </c>
      <c r="B35" s="1015" t="s">
        <v>1828</v>
      </c>
      <c r="C35" s="1033" t="s">
        <v>1622</v>
      </c>
      <c r="D35" s="1047" t="s">
        <v>385</v>
      </c>
      <c r="E35" s="81" t="str">
        <f>VLOOKUP(B35,TH.Q2!B29:E360,4,FALSE)</f>
        <v>NV Phòng Tổ chức - Hành chính - Tổng hợp</v>
      </c>
      <c r="F35" s="1018">
        <v>3.66</v>
      </c>
      <c r="G35" s="1019"/>
      <c r="H35" s="1248">
        <f t="shared" si="0"/>
        <v>0</v>
      </c>
      <c r="I35" s="1020"/>
      <c r="J35" s="1020" t="str">
        <f>VLOOKUP(B35,'[27]Gui chi Quynh'!$B$11:$E$396,4,FALSE)</f>
        <v>A1</v>
      </c>
      <c r="K35" s="1020">
        <f t="shared" si="1"/>
        <v>0.8</v>
      </c>
      <c r="L35" s="1021">
        <v>20</v>
      </c>
      <c r="M35" s="1021">
        <f>VLOOKUP(B35,'[28]CN BC'!$H$10:$J$275,3,FALSE)</f>
        <v>22.5</v>
      </c>
      <c r="N35" s="1021">
        <f t="shared" si="2"/>
        <v>20</v>
      </c>
      <c r="O35" s="1022"/>
      <c r="P35" s="1023">
        <f t="shared" si="3"/>
        <v>6851520</v>
      </c>
      <c r="Q35" s="1477">
        <f t="shared" si="5"/>
        <v>2.9279999999999999</v>
      </c>
      <c r="R35" s="1429">
        <v>2340000</v>
      </c>
      <c r="S35" s="1478">
        <f t="shared" si="6"/>
        <v>6851520</v>
      </c>
      <c r="T35" s="1024">
        <f t="shared" si="4"/>
        <v>11</v>
      </c>
      <c r="U35" s="1025">
        <f>IFERROR(INDEX('[28]CN BC'!$M$10:$M$276,MATCH(B35,'[28]CN BC'!$H$10:$H$276,0)),"")</f>
        <v>0</v>
      </c>
      <c r="V35" s="1011" t="str">
        <f>VLOOKUP(B35,TH.T4!B32:AC362,28,FALSE)</f>
        <v>TCHC</v>
      </c>
      <c r="W35" s="1132">
        <f>_xlfn.AGGREGATE(4,7,W$28:W34)+1</f>
        <v>7</v>
      </c>
      <c r="X35" s="1132" t="s">
        <v>539</v>
      </c>
      <c r="Y35" s="1133" t="s">
        <v>2281</v>
      </c>
      <c r="Z35" s="1134" t="e">
        <f>SUMIF(#REF!,$K35,$H$26:$H$88)</f>
        <v>#REF!</v>
      </c>
      <c r="AA35" s="1012"/>
      <c r="AB35" s="1012"/>
      <c r="AC35" s="1012"/>
      <c r="AD35" s="1012"/>
      <c r="AE35" s="1012"/>
    </row>
    <row r="36" spans="1:35" s="1028" customFormat="1" ht="33" customHeight="1">
      <c r="A36" s="1014">
        <f>_xlfn.AGGREGATE(4,7,A$24:A35)+1</f>
        <v>12</v>
      </c>
      <c r="B36" s="1015" t="s">
        <v>1847</v>
      </c>
      <c r="C36" s="1029" t="s">
        <v>1643</v>
      </c>
      <c r="D36" s="1034" t="s">
        <v>8</v>
      </c>
      <c r="E36" s="81" t="str">
        <f>VLOOKUP(B36,TH.Q2!B30:E361,4,FALSE)</f>
        <v>NV Phòng Tổ chức - Hành chính - Tổng hợp</v>
      </c>
      <c r="F36" s="1018">
        <v>3.66</v>
      </c>
      <c r="G36" s="1019"/>
      <c r="H36" s="1248">
        <f t="shared" si="0"/>
        <v>0</v>
      </c>
      <c r="I36" s="1020"/>
      <c r="J36" s="1020" t="str">
        <f>VLOOKUP(B36,'[27]Gui chi Quynh'!$B$11:$E$396,4,FALSE)</f>
        <v>A2</v>
      </c>
      <c r="K36" s="1020">
        <f t="shared" si="1"/>
        <v>0.7</v>
      </c>
      <c r="L36" s="1021">
        <v>20</v>
      </c>
      <c r="M36" s="1021">
        <f>VLOOKUP(B36,'[28]CN BC'!$H$10:$J$275,3,FALSE)</f>
        <v>22.5</v>
      </c>
      <c r="N36" s="1021">
        <f t="shared" si="2"/>
        <v>20</v>
      </c>
      <c r="O36" s="1022"/>
      <c r="P36" s="1023">
        <f t="shared" si="3"/>
        <v>5995080</v>
      </c>
      <c r="Q36" s="1477">
        <f t="shared" si="5"/>
        <v>2.5619999999999998</v>
      </c>
      <c r="R36" s="1429">
        <v>2340000</v>
      </c>
      <c r="S36" s="1478">
        <f t="shared" si="6"/>
        <v>5995080</v>
      </c>
      <c r="T36" s="1024">
        <f t="shared" si="4"/>
        <v>12</v>
      </c>
      <c r="U36" s="1025">
        <f>IFERROR(INDEX('[28]CN BC'!$M$10:$M$276,MATCH(B36,'[28]CN BC'!$H$10:$H$276,0)),"")</f>
        <v>0</v>
      </c>
      <c r="V36" s="1011" t="str">
        <f>VLOOKUP(B36,TH.T4!B33:AC363,28,FALSE)</f>
        <v>TCHC</v>
      </c>
      <c r="W36" s="1129">
        <f>_xlfn.AGGREGATE(4,7,W$28:W35)+1</f>
        <v>8</v>
      </c>
      <c r="X36" s="1129" t="s">
        <v>2237</v>
      </c>
      <c r="Y36" s="1130" t="s">
        <v>2282</v>
      </c>
      <c r="Z36" s="1131" t="e">
        <f>SUMIF(#REF!,$K36,$H$26:$H$88)</f>
        <v>#REF!</v>
      </c>
      <c r="AA36" s="1012"/>
      <c r="AB36" s="1012"/>
      <c r="AC36" s="1012"/>
      <c r="AD36" s="1012"/>
      <c r="AE36" s="1012"/>
      <c r="AF36" s="1012"/>
      <c r="AG36" s="1012"/>
      <c r="AH36" s="1012"/>
      <c r="AI36" s="1012"/>
    </row>
    <row r="37" spans="1:35" s="1028" customFormat="1" ht="33" customHeight="1">
      <c r="A37" s="1014">
        <f>_xlfn.AGGREGATE(4,7,A$24:A36)+1</f>
        <v>13</v>
      </c>
      <c r="B37" s="1015" t="s">
        <v>1848</v>
      </c>
      <c r="C37" s="1033" t="s">
        <v>1644</v>
      </c>
      <c r="D37" s="1045">
        <v>1603205360856</v>
      </c>
      <c r="E37" s="81" t="str">
        <f>VLOOKUP(B37,TH.Q2!B31:E362,4,FALSE)</f>
        <v>NV Phòng Tổ chức - Hành chính - Tổng hợp</v>
      </c>
      <c r="F37" s="1040">
        <v>3.33</v>
      </c>
      <c r="G37" s="1019"/>
      <c r="H37" s="1248">
        <f t="shared" si="0"/>
        <v>0</v>
      </c>
      <c r="I37" s="1020"/>
      <c r="J37" s="1020" t="str">
        <f>VLOOKUP(B37,'[27]Gui chi Quynh'!$B$11:$E$396,4,FALSE)</f>
        <v>A1</v>
      </c>
      <c r="K37" s="1020">
        <f t="shared" si="1"/>
        <v>0.8</v>
      </c>
      <c r="L37" s="1021">
        <v>20</v>
      </c>
      <c r="M37" s="1021">
        <f>VLOOKUP(B37,'[28]CN BC'!$H$10:$J$275,3,FALSE)</f>
        <v>22</v>
      </c>
      <c r="N37" s="1021">
        <f t="shared" si="2"/>
        <v>20</v>
      </c>
      <c r="O37" s="1022"/>
      <c r="P37" s="1023">
        <f t="shared" si="3"/>
        <v>6233760</v>
      </c>
      <c r="Q37" s="1477">
        <f t="shared" si="5"/>
        <v>2.6640000000000001</v>
      </c>
      <c r="R37" s="1429">
        <v>2340000</v>
      </c>
      <c r="S37" s="1478">
        <f t="shared" si="6"/>
        <v>6233760</v>
      </c>
      <c r="T37" s="1024">
        <f t="shared" si="4"/>
        <v>13</v>
      </c>
      <c r="U37" s="1025">
        <f>IFERROR(INDEX('[28]CN BC'!$M$10:$M$276,MATCH(B37,'[28]CN BC'!$H$10:$H$276,0)),"")</f>
        <v>0</v>
      </c>
      <c r="V37" s="1011" t="str">
        <f>VLOOKUP(B37,TH.T4!B34:AC364,28,FALSE)</f>
        <v>TCHC</v>
      </c>
      <c r="W37" s="1129">
        <f>_xlfn.AGGREGATE(4,7,W$28:W36)+1</f>
        <v>9</v>
      </c>
      <c r="X37" s="1129" t="s">
        <v>2238</v>
      </c>
      <c r="Y37" s="1130" t="s">
        <v>2283</v>
      </c>
      <c r="Z37" s="1131" t="e">
        <f>SUMIF(#REF!,$K37,$H$26:$H$88)</f>
        <v>#REF!</v>
      </c>
    </row>
    <row r="38" spans="1:35" s="1028" customFormat="1" ht="33" customHeight="1">
      <c r="A38" s="1014">
        <f>_xlfn.AGGREGATE(4,7,A$24:A37)+1</f>
        <v>14</v>
      </c>
      <c r="B38" s="1043" t="s">
        <v>1603</v>
      </c>
      <c r="C38" s="1044" t="s">
        <v>1624</v>
      </c>
      <c r="D38" s="1045">
        <v>1603205545491</v>
      </c>
      <c r="E38" s="81" t="str">
        <f>VLOOKUP(B38,TH.Q2!B32:E363,4,FALSE)</f>
        <v>NV Phòng Tổ chức - Hành chính - Tổng hợp</v>
      </c>
      <c r="F38" s="1040">
        <f>2.46+0.15</f>
        <v>2.61</v>
      </c>
      <c r="G38" s="1019"/>
      <c r="H38" s="1248">
        <f t="shared" si="0"/>
        <v>0</v>
      </c>
      <c r="I38" s="1020"/>
      <c r="J38" s="1020" t="str">
        <f>VLOOKUP(B38,'[27]Gui chi Quynh'!$B$11:$E$396,4,FALSE)</f>
        <v>A1</v>
      </c>
      <c r="K38" s="1020">
        <f t="shared" si="1"/>
        <v>0.8</v>
      </c>
      <c r="L38" s="1021">
        <v>20</v>
      </c>
      <c r="M38" s="1021">
        <f>VLOOKUP(B38,'[28]CN BC'!$H$10:$J$275,3,FALSE)</f>
        <v>24</v>
      </c>
      <c r="N38" s="1021">
        <f t="shared" si="2"/>
        <v>20</v>
      </c>
      <c r="O38" s="1022"/>
      <c r="P38" s="1023">
        <f t="shared" si="3"/>
        <v>4885920</v>
      </c>
      <c r="Q38" s="1477">
        <f t="shared" si="5"/>
        <v>2.0880000000000001</v>
      </c>
      <c r="R38" s="1429">
        <v>2340000</v>
      </c>
      <c r="S38" s="1478">
        <f t="shared" si="6"/>
        <v>4885920</v>
      </c>
      <c r="T38" s="1024">
        <f t="shared" si="4"/>
        <v>14</v>
      </c>
      <c r="U38" s="1025">
        <f>IFERROR(INDEX('[28]CN BC'!$M$10:$M$276,MATCH(B38,'[28]CN BC'!$H$10:$H$276,0)),"")</f>
        <v>0</v>
      </c>
      <c r="V38" s="1011" t="str">
        <f>VLOOKUP(B38,TH.T4!B35:AC365,28,FALSE)</f>
        <v>TCHC</v>
      </c>
      <c r="W38" s="1129">
        <f>_xlfn.AGGREGATE(4,7,W$28:W37)+1</f>
        <v>10</v>
      </c>
      <c r="X38" s="420" t="s">
        <v>2239</v>
      </c>
      <c r="Y38" s="1130" t="s">
        <v>2284</v>
      </c>
      <c r="Z38" s="1131" t="e">
        <f>SUMIF(#REF!,$K38,$H$26:$H$88)</f>
        <v>#REF!</v>
      </c>
      <c r="AA38" s="1012"/>
      <c r="AB38" s="1012"/>
      <c r="AC38" s="1012"/>
      <c r="AD38" s="1012"/>
      <c r="AE38" s="1012"/>
    </row>
    <row r="39" spans="1:35" s="1028" customFormat="1" ht="33" customHeight="1">
      <c r="A39" s="1014">
        <f>_xlfn.AGGREGATE(4,7,A$24:A38)+1</f>
        <v>15</v>
      </c>
      <c r="B39" s="1015" t="s">
        <v>1450</v>
      </c>
      <c r="C39" s="1033" t="s">
        <v>1625</v>
      </c>
      <c r="D39" s="1030" t="s">
        <v>1441</v>
      </c>
      <c r="E39" s="368" t="str">
        <f>VLOOKUP(B39,TH.Q2!B33:E364,4,FALSE)</f>
        <v>Trưởng phòng Quản trị - Dịch vụ</v>
      </c>
      <c r="F39" s="1018">
        <v>4.9800000000000004</v>
      </c>
      <c r="G39" s="1019">
        <v>0.06</v>
      </c>
      <c r="H39" s="1255">
        <f t="shared" si="0"/>
        <v>0.29899999999999999</v>
      </c>
      <c r="I39" s="1020">
        <v>0.45</v>
      </c>
      <c r="J39" s="1020" t="str">
        <f>VLOOKUP(B39,'[27]Gui chi Quynh'!$B$11:$E$396,4,FALSE)</f>
        <v>A1</v>
      </c>
      <c r="K39" s="1020">
        <f t="shared" si="1"/>
        <v>0.8</v>
      </c>
      <c r="L39" s="1021">
        <v>20</v>
      </c>
      <c r="M39" s="1021">
        <f>VLOOKUP(B39,'[28]CN BC'!$H$10:$J$275,3,FALSE)</f>
        <v>27</v>
      </c>
      <c r="N39" s="1021">
        <f t="shared" si="2"/>
        <v>20</v>
      </c>
      <c r="O39" s="1035"/>
      <c r="P39" s="1023">
        <f t="shared" si="3"/>
        <v>10724688.000000002</v>
      </c>
      <c r="Q39" s="1477">
        <f t="shared" si="5"/>
        <v>4.5832000000000006</v>
      </c>
      <c r="R39" s="1429">
        <v>2340000</v>
      </c>
      <c r="S39" s="1478">
        <f t="shared" si="6"/>
        <v>10724688.000000002</v>
      </c>
      <c r="T39" s="1024">
        <f t="shared" si="4"/>
        <v>15</v>
      </c>
      <c r="U39" s="1025">
        <f>IFERROR(INDEX('[28]CN BC'!$M$10:$M$276,MATCH(B39,'[28]CN BC'!$H$10:$H$276,0)),"")</f>
        <v>0</v>
      </c>
      <c r="V39" s="1067" t="str">
        <f>VLOOKUP(B39,TH.T4!B36:AC366,28,FALSE)</f>
        <v>QTDV</v>
      </c>
      <c r="W39" s="1132">
        <f>_xlfn.AGGREGATE(4,7,W$28:W38)+1</f>
        <v>11</v>
      </c>
      <c r="X39" s="1132" t="s">
        <v>548</v>
      </c>
      <c r="Y39" s="1133" t="s">
        <v>2285</v>
      </c>
      <c r="Z39" s="1134" t="e">
        <f>SUMIF(#REF!,$K39,$H$26:$H$88)</f>
        <v>#REF!</v>
      </c>
    </row>
    <row r="40" spans="1:35" s="1028" customFormat="1" ht="33" customHeight="1">
      <c r="A40" s="1014">
        <f>_xlfn.AGGREGATE(4,7,A$24:A39)+1</f>
        <v>16</v>
      </c>
      <c r="B40" s="1015" t="s">
        <v>1996</v>
      </c>
      <c r="C40" s="1029" t="s">
        <v>1626</v>
      </c>
      <c r="D40" s="1034" t="s">
        <v>1393</v>
      </c>
      <c r="E40" s="81" t="str">
        <f>VLOOKUP(B40,TH.Q2!B34:E365,4,FALSE)</f>
        <v>Phó TP. Quản trị - 
Dịch vụ</v>
      </c>
      <c r="F40" s="1018">
        <v>4.9800000000000004</v>
      </c>
      <c r="G40" s="1019">
        <v>7.0000000000000007E-2</v>
      </c>
      <c r="H40" s="1248">
        <f t="shared" si="0"/>
        <v>0.34899999999999998</v>
      </c>
      <c r="I40" s="1020">
        <v>0.35</v>
      </c>
      <c r="J40" s="1020" t="str">
        <f>VLOOKUP(B40,'[27]Gui chi Quynh'!$B$11:$E$396,4,FALSE)</f>
        <v>A1</v>
      </c>
      <c r="K40" s="1020">
        <f t="shared" si="1"/>
        <v>0.8</v>
      </c>
      <c r="L40" s="1021">
        <v>20</v>
      </c>
      <c r="M40" s="1021">
        <f>VLOOKUP(B40,'[28]CN BC'!$H$10:$J$275,3,FALSE)</f>
        <v>22</v>
      </c>
      <c r="N40" s="1021">
        <f t="shared" si="2"/>
        <v>20</v>
      </c>
      <c r="O40" s="1022"/>
      <c r="P40" s="1023">
        <f t="shared" si="3"/>
        <v>10631088</v>
      </c>
      <c r="Q40" s="1477">
        <f t="shared" si="5"/>
        <v>4.5431999999999997</v>
      </c>
      <c r="R40" s="1429">
        <v>2340000</v>
      </c>
      <c r="S40" s="1478">
        <f t="shared" si="6"/>
        <v>10631088</v>
      </c>
      <c r="T40" s="1024">
        <f t="shared" si="4"/>
        <v>16</v>
      </c>
      <c r="U40" s="1025">
        <f>IFERROR(INDEX('[28]CN BC'!$M$10:$M$276,MATCH(B40,'[28]CN BC'!$H$10:$H$276,0)),"")</f>
        <v>0</v>
      </c>
      <c r="V40" s="1011" t="str">
        <f>VLOOKUP(B40,TH.T4!B37:AC367,28,FALSE)</f>
        <v>QTDV</v>
      </c>
      <c r="W40" s="1129">
        <f>_xlfn.AGGREGATE(4,7,W$28:W39)+1</f>
        <v>12</v>
      </c>
      <c r="X40" s="1129" t="s">
        <v>2241</v>
      </c>
      <c r="Y40" s="1130" t="s">
        <v>2286</v>
      </c>
      <c r="Z40" s="1131" t="e">
        <f>SUMIF(#REF!,$K40,$H$26:$H$88)</f>
        <v>#REF!</v>
      </c>
      <c r="AA40" s="1012"/>
      <c r="AB40" s="1012"/>
      <c r="AC40" s="1012"/>
      <c r="AD40" s="1012"/>
      <c r="AE40" s="1012"/>
      <c r="AF40" s="1012"/>
      <c r="AG40" s="1012"/>
      <c r="AH40" s="1012"/>
      <c r="AI40" s="1012"/>
    </row>
    <row r="41" spans="1:35" s="1012" customFormat="1" ht="33" customHeight="1">
      <c r="A41" s="1014">
        <f>_xlfn.AGGREGATE(4,7,A$24:A40)+1</f>
        <v>17</v>
      </c>
      <c r="B41" s="1050" t="s">
        <v>1849</v>
      </c>
      <c r="C41" s="1029" t="s">
        <v>1627</v>
      </c>
      <c r="D41" s="1051" t="s">
        <v>1267</v>
      </c>
      <c r="E41" s="81" t="str">
        <f>VLOOKUP(B41,TH.Q2!B35:E366,4,FALSE)</f>
        <v>NV Phòng Quản trị - Dịch vụ</v>
      </c>
      <c r="F41" s="1052">
        <v>3.65</v>
      </c>
      <c r="G41" s="1053"/>
      <c r="H41" s="1248">
        <f t="shared" si="0"/>
        <v>0</v>
      </c>
      <c r="I41" s="1054">
        <v>0.25</v>
      </c>
      <c r="J41" s="1020" t="str">
        <f>VLOOKUP(B41,'[27]Gui chi Quynh'!$B$11:$E$396,4,FALSE)</f>
        <v>A1</v>
      </c>
      <c r="K41" s="1020">
        <f t="shared" si="1"/>
        <v>0.8</v>
      </c>
      <c r="L41" s="1021">
        <v>20</v>
      </c>
      <c r="M41" s="1021">
        <f>VLOOKUP(B41,'[28]CN BC'!$H$10:$J$275,3,FALSE)</f>
        <v>21</v>
      </c>
      <c r="N41" s="1021">
        <f t="shared" si="2"/>
        <v>20</v>
      </c>
      <c r="O41" s="1022"/>
      <c r="P41" s="1023">
        <f t="shared" si="3"/>
        <v>7300800</v>
      </c>
      <c r="Q41" s="1477">
        <f t="shared" si="5"/>
        <v>3.12</v>
      </c>
      <c r="R41" s="1429">
        <v>2340000</v>
      </c>
      <c r="S41" s="1478">
        <f t="shared" si="6"/>
        <v>7300800</v>
      </c>
      <c r="T41" s="1024">
        <f t="shared" si="4"/>
        <v>17</v>
      </c>
      <c r="U41" s="1025">
        <f>IFERROR(INDEX('[28]CN BC'!$M$10:$M$276,MATCH(B41,'[28]CN BC'!$H$10:$H$276,0)),"")</f>
        <v>0</v>
      </c>
      <c r="V41" s="1011" t="str">
        <f>VLOOKUP(B41,TH.T4!B38:AC368,28,FALSE)</f>
        <v>QTDV</v>
      </c>
      <c r="W41" s="1129">
        <f>_xlfn.AGGREGATE(4,7,W$28:W40)+1</f>
        <v>13</v>
      </c>
      <c r="X41" s="1129" t="s">
        <v>2240</v>
      </c>
      <c r="Y41" s="1130" t="s">
        <v>2287</v>
      </c>
      <c r="Z41" s="1131" t="e">
        <f>SUMIF(#REF!,$K41,$H$26:$H$88)</f>
        <v>#REF!</v>
      </c>
    </row>
    <row r="42" spans="1:35" s="1028" customFormat="1" ht="33" customHeight="1">
      <c r="A42" s="1014">
        <f>_xlfn.AGGREGATE(4,7,A$24:A41)+1</f>
        <v>18</v>
      </c>
      <c r="B42" s="1015" t="s">
        <v>1850</v>
      </c>
      <c r="C42" s="1033" t="s">
        <v>1628</v>
      </c>
      <c r="D42" s="1034" t="s">
        <v>1268</v>
      </c>
      <c r="E42" s="81" t="str">
        <f>VLOOKUP(B42,TH.Q2!B36:E367,4,FALSE)</f>
        <v>NV Phòng Quản trị - Dịch vụ</v>
      </c>
      <c r="F42" s="1018">
        <v>3.46</v>
      </c>
      <c r="G42" s="1019"/>
      <c r="H42" s="1248">
        <f t="shared" si="0"/>
        <v>0</v>
      </c>
      <c r="I42" s="1020"/>
      <c r="J42" s="1020" t="str">
        <f>VLOOKUP(B42,'[27]Gui chi Quynh'!$B$11:$E$396,4,FALSE)</f>
        <v>A1</v>
      </c>
      <c r="K42" s="1020">
        <f t="shared" si="1"/>
        <v>0.8</v>
      </c>
      <c r="L42" s="1021">
        <v>20</v>
      </c>
      <c r="M42" s="1021">
        <f>VLOOKUP(B42,'[28]CN BC'!$H$10:$J$275,3,FALSE)</f>
        <v>22</v>
      </c>
      <c r="N42" s="1021">
        <f t="shared" si="2"/>
        <v>20</v>
      </c>
      <c r="O42" s="1022"/>
      <c r="P42" s="1023">
        <f t="shared" si="3"/>
        <v>6477120</v>
      </c>
      <c r="Q42" s="1477">
        <f t="shared" si="5"/>
        <v>2.7679999999999998</v>
      </c>
      <c r="R42" s="1429">
        <v>2340000</v>
      </c>
      <c r="S42" s="1478">
        <f t="shared" si="6"/>
        <v>6477119.9999999991</v>
      </c>
      <c r="T42" s="1024">
        <f t="shared" si="4"/>
        <v>18</v>
      </c>
      <c r="U42" s="1025">
        <f>IFERROR(INDEX('[28]CN BC'!$M$10:$M$276,MATCH(B42,'[28]CN BC'!$H$10:$H$276,0)),"")</f>
        <v>0</v>
      </c>
      <c r="V42" s="1011" t="str">
        <f>VLOOKUP(B42,TH.T4!B39:AC369,28,FALSE)</f>
        <v>QTDV</v>
      </c>
      <c r="W42" s="1129">
        <f>_xlfn.AGGREGATE(4,7,W$28:W41)+1</f>
        <v>14</v>
      </c>
      <c r="X42" s="1129" t="s">
        <v>2226</v>
      </c>
      <c r="Y42" s="1130" t="s">
        <v>2288</v>
      </c>
      <c r="Z42" s="1131" t="e">
        <f>SUMIF(#REF!,$K42,$H$26:$H$88)</f>
        <v>#REF!</v>
      </c>
      <c r="AA42" s="1012"/>
      <c r="AB42" s="1012"/>
      <c r="AC42" s="1012"/>
      <c r="AD42" s="1012"/>
      <c r="AE42" s="1012"/>
    </row>
    <row r="43" spans="1:35" s="1012" customFormat="1" ht="33" customHeight="1">
      <c r="A43" s="1014">
        <f>_xlfn.AGGREGATE(4,7,A$24:A42)+1</f>
        <v>19</v>
      </c>
      <c r="B43" s="1050" t="s">
        <v>1451</v>
      </c>
      <c r="C43" s="1029" t="s">
        <v>1629</v>
      </c>
      <c r="D43" s="1055" t="s">
        <v>367</v>
      </c>
      <c r="E43" s="81" t="str">
        <f>VLOOKUP(B43,TH.Q2!B37:E368,4,FALSE)</f>
        <v>Nhân viên phòng Quản trị - Dịch vụ</v>
      </c>
      <c r="F43" s="1052">
        <v>3.66</v>
      </c>
      <c r="G43" s="1053"/>
      <c r="H43" s="1248">
        <f t="shared" si="0"/>
        <v>0</v>
      </c>
      <c r="I43" s="1054"/>
      <c r="J43" s="1020" t="str">
        <f>VLOOKUP(B43,'[27]Gui chi Quynh'!$B$11:$E$396,4,FALSE)</f>
        <v>A2</v>
      </c>
      <c r="K43" s="1020">
        <f t="shared" si="1"/>
        <v>0.7</v>
      </c>
      <c r="L43" s="1021">
        <v>20</v>
      </c>
      <c r="M43" s="1021">
        <f>VLOOKUP(B43,'[28]CN BC'!$H$10:$J$275,3,FALSE)</f>
        <v>21</v>
      </c>
      <c r="N43" s="1021">
        <f t="shared" si="2"/>
        <v>20</v>
      </c>
      <c r="O43" s="1022"/>
      <c r="P43" s="1023">
        <f t="shared" si="3"/>
        <v>5995080</v>
      </c>
      <c r="Q43" s="1477">
        <f t="shared" si="5"/>
        <v>2.5619999999999998</v>
      </c>
      <c r="R43" s="1429">
        <v>2340000</v>
      </c>
      <c r="S43" s="1478">
        <f t="shared" si="6"/>
        <v>5995080</v>
      </c>
      <c r="T43" s="1024">
        <f t="shared" si="4"/>
        <v>19</v>
      </c>
      <c r="U43" s="1025">
        <f>IFERROR(INDEX('[28]CN BC'!$M$10:$M$276,MATCH(B43,'[28]CN BC'!$H$10:$H$276,0)),"")</f>
        <v>0</v>
      </c>
      <c r="V43" s="1011" t="str">
        <f>VLOOKUP(B43,TH.T4!B40:AC370,28,FALSE)</f>
        <v>QTDV</v>
      </c>
      <c r="W43" s="1129">
        <f>_xlfn.AGGREGATE(4,7,W$28:W42)+1</f>
        <v>15</v>
      </c>
      <c r="X43" s="420" t="s">
        <v>2289</v>
      </c>
      <c r="Y43" s="1130" t="s">
        <v>2290</v>
      </c>
      <c r="Z43" s="1131" t="e">
        <f>SUMIF(#REF!,$K43,$H$26:$H$88)</f>
        <v>#REF!</v>
      </c>
    </row>
    <row r="44" spans="1:35" s="1028" customFormat="1" ht="33" customHeight="1">
      <c r="A44" s="1014">
        <f>_xlfn.AGGREGATE(4,7,A$24:A43)+1</f>
        <v>20</v>
      </c>
      <c r="B44" s="1015" t="s">
        <v>1452</v>
      </c>
      <c r="C44" s="1033" t="s">
        <v>1630</v>
      </c>
      <c r="D44" s="1045">
        <v>1603205348129</v>
      </c>
      <c r="E44" s="81" t="str">
        <f>VLOOKUP(B44,TH.Q2!B38:E369,4,FALSE)</f>
        <v>Nhân viên phòng Quản trị - Dịch vụ</v>
      </c>
      <c r="F44" s="1018">
        <v>3.34</v>
      </c>
      <c r="G44" s="1019"/>
      <c r="H44" s="1248">
        <f t="shared" si="0"/>
        <v>0</v>
      </c>
      <c r="I44" s="1020"/>
      <c r="J44" s="1020" t="str">
        <f>VLOOKUP(B44,'[27]Gui chi Quynh'!$B$11:$E$396,4,FALSE)</f>
        <v>A2</v>
      </c>
      <c r="K44" s="1020">
        <f t="shared" si="1"/>
        <v>0.7</v>
      </c>
      <c r="L44" s="1021">
        <v>20</v>
      </c>
      <c r="M44" s="1021">
        <f>VLOOKUP(B44,'[28]CN BC'!$H$10:$J$275,3,FALSE)</f>
        <v>22</v>
      </c>
      <c r="N44" s="1021">
        <f t="shared" si="2"/>
        <v>20</v>
      </c>
      <c r="O44" s="1022"/>
      <c r="P44" s="1023">
        <f t="shared" si="3"/>
        <v>5470920</v>
      </c>
      <c r="Q44" s="1477">
        <f t="shared" si="5"/>
        <v>2.3380000000000001</v>
      </c>
      <c r="R44" s="1429">
        <v>2340000</v>
      </c>
      <c r="S44" s="1478">
        <f t="shared" si="6"/>
        <v>5470920</v>
      </c>
      <c r="T44" s="1024">
        <f t="shared" si="4"/>
        <v>20</v>
      </c>
      <c r="U44" s="1025">
        <f>IFERROR(INDEX('[28]CN BC'!$M$10:$M$276,MATCH(B44,'[28]CN BC'!$H$10:$H$276,0)),"")</f>
        <v>0</v>
      </c>
      <c r="V44" s="1011" t="str">
        <f>VLOOKUP(B44,TH.T4!B41:AC371,28,FALSE)</f>
        <v>QTDV</v>
      </c>
      <c r="W44" s="1129">
        <f>_xlfn.AGGREGATE(4,7,W$28:W43)+1</f>
        <v>16</v>
      </c>
      <c r="X44" s="1129" t="s">
        <v>2233</v>
      </c>
      <c r="Y44" s="1130" t="s">
        <v>2291</v>
      </c>
      <c r="Z44" s="1131" t="e">
        <f>SUMIF(#REF!,$K44,$H$26:$H$88)</f>
        <v>#REF!</v>
      </c>
      <c r="AA44" s="1012"/>
      <c r="AB44" s="1012"/>
      <c r="AC44" s="1012"/>
      <c r="AD44" s="1012"/>
      <c r="AE44" s="1012"/>
    </row>
    <row r="45" spans="1:35" s="1012" customFormat="1" ht="43.5" customHeight="1">
      <c r="A45" s="1078">
        <f>_xlfn.AGGREGATE(4,7,A$24:A44)+1</f>
        <v>21</v>
      </c>
      <c r="B45" s="1432" t="s">
        <v>1453</v>
      </c>
      <c r="C45" s="1433" t="s">
        <v>1631</v>
      </c>
      <c r="D45" s="1472" t="s">
        <v>384</v>
      </c>
      <c r="E45" s="472" t="str">
        <f>VLOOKUP(B45,TH.Q2!B39:E370,4,FALSE)</f>
        <v>Nhân viên phòng Quản trị - Dịch vụ</v>
      </c>
      <c r="F45" s="1473">
        <v>3.66</v>
      </c>
      <c r="G45" s="1082"/>
      <c r="H45" s="1253">
        <f t="shared" si="0"/>
        <v>0</v>
      </c>
      <c r="I45" s="1083"/>
      <c r="J45" s="1083" t="str">
        <f>VLOOKUP(B45,'[27]Gui chi Quynh'!$B$11:$E$396,4,FALSE)</f>
        <v>A DN</v>
      </c>
      <c r="K45" s="1083">
        <f t="shared" si="1"/>
        <v>0</v>
      </c>
      <c r="L45" s="1203">
        <v>20</v>
      </c>
      <c r="M45" s="1203">
        <f>VLOOKUP(B45,'[28]CN BC'!$H$10:$J$275,3,FALSE)</f>
        <v>3</v>
      </c>
      <c r="N45" s="1203">
        <f t="shared" si="2"/>
        <v>3</v>
      </c>
      <c r="O45" s="1084"/>
      <c r="P45" s="1204">
        <f t="shared" si="3"/>
        <v>0</v>
      </c>
      <c r="Q45" s="1481">
        <f t="shared" si="5"/>
        <v>0</v>
      </c>
      <c r="R45" s="1364">
        <v>2340000</v>
      </c>
      <c r="S45" s="1482">
        <f t="shared" si="6"/>
        <v>0</v>
      </c>
      <c r="T45" s="1085">
        <f t="shared" si="4"/>
        <v>21</v>
      </c>
      <c r="U45" s="1205" t="str">
        <f>IFERROR(INDEX('[28]CN BC'!$M$10:$M$276,MATCH(B45,'[28]CN BC'!$H$10:$H$276,0)),"")</f>
        <v>Nghỉ bệnh hưởng chế độ BHXH từ ngày 3/11 đến hết 27/11</v>
      </c>
      <c r="V45" s="1011" t="str">
        <f>VLOOKUP(B45,TH.T4!B42:AC372,28,FALSE)</f>
        <v>QTDV</v>
      </c>
      <c r="W45" s="1129">
        <f>_xlfn.AGGREGATE(4,7,W$28:W44)+1</f>
        <v>17</v>
      </c>
      <c r="X45" s="1129" t="s">
        <v>2236</v>
      </c>
      <c r="Y45" s="1130" t="s">
        <v>2292</v>
      </c>
      <c r="Z45" s="1131" t="e">
        <f>SUMIF(#REF!,$K45,$H$26:$H$88)</f>
        <v>#REF!</v>
      </c>
    </row>
    <row r="46" spans="1:35" s="1028" customFormat="1" ht="34.5" customHeight="1">
      <c r="A46" s="1014">
        <f>_xlfn.AGGREGATE(4,7,A$24:A45)+1</f>
        <v>22</v>
      </c>
      <c r="B46" s="1015" t="s">
        <v>1522</v>
      </c>
      <c r="C46" s="1033" t="s">
        <v>1633</v>
      </c>
      <c r="D46" s="1057">
        <v>1603205357238</v>
      </c>
      <c r="E46" s="81" t="str">
        <f>VLOOKUP(B46,TH.Q2!B40:E371,4,FALSE)</f>
        <v>NV - TT Đào tạo và Quản lý vật tư thiết bị</v>
      </c>
      <c r="F46" s="1018">
        <v>3.34</v>
      </c>
      <c r="G46" s="1019"/>
      <c r="H46" s="1248">
        <f t="shared" si="0"/>
        <v>0</v>
      </c>
      <c r="I46" s="1020"/>
      <c r="J46" s="1020" t="str">
        <f>VLOOKUP(B46,'[27]Gui chi Quynh'!$B$11:$E$396,4,FALSE)</f>
        <v>A1</v>
      </c>
      <c r="K46" s="1020">
        <f t="shared" si="1"/>
        <v>0.8</v>
      </c>
      <c r="L46" s="1021">
        <v>20</v>
      </c>
      <c r="M46" s="1021">
        <f>VLOOKUP(B46,'[28]CN BC'!$H$10:$J$275,3,FALSE)</f>
        <v>23</v>
      </c>
      <c r="N46" s="1021">
        <f t="shared" si="2"/>
        <v>20</v>
      </c>
      <c r="O46" s="1022"/>
      <c r="P46" s="1023">
        <f t="shared" si="3"/>
        <v>6252480</v>
      </c>
      <c r="Q46" s="1477">
        <f t="shared" si="5"/>
        <v>2.6720000000000002</v>
      </c>
      <c r="R46" s="1429">
        <v>2340000</v>
      </c>
      <c r="S46" s="1478">
        <f t="shared" si="6"/>
        <v>6252480</v>
      </c>
      <c r="T46" s="1024">
        <f t="shared" si="4"/>
        <v>22</v>
      </c>
      <c r="U46" s="1025">
        <f>IFERROR(INDEX('[28]CN BC'!$M$10:$M$276,MATCH(B46,'[28]CN BC'!$H$10:$H$276,0)),"")</f>
        <v>0</v>
      </c>
      <c r="V46" s="1011" t="str">
        <f>VLOOKUP(B46,TH.T4!B43:AC373,28,FALSE)</f>
        <v>TTĐT</v>
      </c>
      <c r="W46" s="1129">
        <f>_xlfn.AGGREGATE(4,7,W$28:W45)+1</f>
        <v>18</v>
      </c>
      <c r="X46" s="1129" t="s">
        <v>2293</v>
      </c>
      <c r="Y46" s="1130" t="s">
        <v>2294</v>
      </c>
      <c r="Z46" s="1131" t="e">
        <f>SUMIF(#REF!,$K46,$H$26:$H$88)</f>
        <v>#REF!</v>
      </c>
      <c r="AA46" s="1012"/>
      <c r="AB46" s="1012"/>
      <c r="AC46" s="1012"/>
      <c r="AD46" s="1012"/>
      <c r="AE46" s="1012"/>
    </row>
    <row r="47" spans="1:35" s="1028" customFormat="1" ht="34.5" customHeight="1">
      <c r="A47" s="1014">
        <f>_xlfn.AGGREGATE(4,7,A$24:A46)+1</f>
        <v>23</v>
      </c>
      <c r="B47" s="1015" t="s">
        <v>1523</v>
      </c>
      <c r="C47" s="1033" t="s">
        <v>1634</v>
      </c>
      <c r="D47" s="1045">
        <v>1603205302590</v>
      </c>
      <c r="E47" s="81" t="str">
        <f>VLOOKUP(B47,TH.Q2!B41:E372,4,FALSE)</f>
        <v>NV - TT Đào tạo và Quản lý vật tư thiết bị</v>
      </c>
      <c r="F47" s="1018">
        <v>3.34</v>
      </c>
      <c r="G47" s="1019"/>
      <c r="H47" s="1248">
        <f t="shared" si="0"/>
        <v>0</v>
      </c>
      <c r="I47" s="1020"/>
      <c r="J47" s="1020" t="str">
        <f>VLOOKUP(B47,'[27]Gui chi Quynh'!$B$11:$E$396,4,FALSE)</f>
        <v>A2</v>
      </c>
      <c r="K47" s="1020">
        <f t="shared" si="1"/>
        <v>0.7</v>
      </c>
      <c r="L47" s="1021">
        <v>20</v>
      </c>
      <c r="M47" s="1021">
        <f>VLOOKUP(B47,'[28]CN BC'!$H$10:$J$275,3,FALSE)</f>
        <v>18</v>
      </c>
      <c r="N47" s="1021">
        <f t="shared" si="2"/>
        <v>18</v>
      </c>
      <c r="O47" s="1022"/>
      <c r="P47" s="1023">
        <f t="shared" si="3"/>
        <v>4923828</v>
      </c>
      <c r="Q47" s="1477">
        <f t="shared" si="5"/>
        <v>2.1042000000000001</v>
      </c>
      <c r="R47" s="1429">
        <v>2340000</v>
      </c>
      <c r="S47" s="1478">
        <f t="shared" si="6"/>
        <v>4923828</v>
      </c>
      <c r="T47" s="1024">
        <f t="shared" si="4"/>
        <v>23</v>
      </c>
      <c r="U47" s="1025" t="str">
        <f>IFERROR(INDEX('[28]CN BC'!$M$10:$M$276,MATCH(B47,'[28]CN BC'!$H$10:$H$276,0)),"")</f>
        <v>Trừ 4 ngày nghỉ chế độ vợ sinh từ ngày 12 đến 15/11</v>
      </c>
      <c r="V47" s="1011" t="str">
        <f>VLOOKUP(B47,TH.T4!B44:AC374,28,FALSE)</f>
        <v>TTĐT</v>
      </c>
      <c r="W47" s="1129">
        <f>_xlfn.AGGREGATE(4,7,W$28:W46)+1</f>
        <v>19</v>
      </c>
      <c r="X47" s="1129" t="s">
        <v>2229</v>
      </c>
      <c r="Y47" s="1130" t="s">
        <v>2295</v>
      </c>
      <c r="Z47" s="1131" t="e">
        <f>SUMIF(#REF!,$K47,$H$26:$H$88)</f>
        <v>#REF!</v>
      </c>
      <c r="AA47" s="1012"/>
      <c r="AB47" s="1012"/>
      <c r="AC47" s="1012"/>
      <c r="AD47" s="1012"/>
      <c r="AE47" s="1012"/>
    </row>
    <row r="48" spans="1:35" s="1028" customFormat="1" ht="34.5" customHeight="1">
      <c r="A48" s="1014">
        <f>_xlfn.AGGREGATE(4,7,A$24:A47)+1</f>
        <v>24</v>
      </c>
      <c r="B48" s="1043" t="s">
        <v>1606</v>
      </c>
      <c r="C48" s="1044" t="s">
        <v>1635</v>
      </c>
      <c r="D48" s="1058" t="s">
        <v>1604</v>
      </c>
      <c r="E48" s="81" t="str">
        <f>VLOOKUP(B48,TH.Q2!B42:E373,4,FALSE)</f>
        <v>Phó GĐ TT Đào tạo và Quản lý thiết bị</v>
      </c>
      <c r="F48" s="1040">
        <v>3</v>
      </c>
      <c r="G48" s="1019"/>
      <c r="H48" s="1248">
        <f t="shared" si="0"/>
        <v>0</v>
      </c>
      <c r="I48" s="1020">
        <v>0.35</v>
      </c>
      <c r="J48" s="1020" t="str">
        <f>VLOOKUP(B48,'[27]Gui chi Quynh'!$B$11:$E$396,4,FALSE)</f>
        <v>A1</v>
      </c>
      <c r="K48" s="1020">
        <f t="shared" si="1"/>
        <v>0.8</v>
      </c>
      <c r="L48" s="1021">
        <v>20</v>
      </c>
      <c r="M48" s="1021">
        <f>VLOOKUP(B48,'[28]CN BC'!$H$10:$J$275,3,FALSE)</f>
        <v>30</v>
      </c>
      <c r="N48" s="1021">
        <f t="shared" si="2"/>
        <v>20</v>
      </c>
      <c r="O48" s="1022"/>
      <c r="P48" s="1023">
        <f t="shared" si="3"/>
        <v>6271200</v>
      </c>
      <c r="Q48" s="1477">
        <f t="shared" si="5"/>
        <v>2.68</v>
      </c>
      <c r="R48" s="1429">
        <v>2340000</v>
      </c>
      <c r="S48" s="1478">
        <f t="shared" si="6"/>
        <v>6271200</v>
      </c>
      <c r="T48" s="1024">
        <f t="shared" si="4"/>
        <v>24</v>
      </c>
      <c r="U48" s="1025">
        <f>IFERROR(INDEX('[28]CN BC'!$M$10:$M$276,MATCH(B48,'[28]CN BC'!$H$10:$H$276,0)),"")</f>
        <v>0</v>
      </c>
      <c r="V48" s="1011" t="str">
        <f>VLOOKUP(B48,TH.T4!B45:AC375,28,FALSE)</f>
        <v>TTĐT</v>
      </c>
      <c r="W48" s="1129">
        <f>_xlfn.AGGREGATE(4,7,W$28:W47)+1</f>
        <v>20</v>
      </c>
      <c r="X48" s="1129" t="s">
        <v>2222</v>
      </c>
      <c r="Y48" s="1130" t="s">
        <v>2296</v>
      </c>
      <c r="Z48" s="1131" t="e">
        <f>SUMIF(#REF!,$K48,$H$26:$H$88)</f>
        <v>#REF!</v>
      </c>
    </row>
    <row r="49" spans="1:35" s="1028" customFormat="1" ht="34.5" customHeight="1">
      <c r="A49" s="1014">
        <f>_xlfn.AGGREGATE(4,7,A$24:A48)+1</f>
        <v>25</v>
      </c>
      <c r="B49" s="1043" t="s">
        <v>1843</v>
      </c>
      <c r="C49" s="1044" t="s">
        <v>1955</v>
      </c>
      <c r="D49" s="1059" t="s">
        <v>1936</v>
      </c>
      <c r="E49" s="81" t="str">
        <f>VLOOKUP(B49,TH.Q2!B43:E374,4,FALSE)</f>
        <v>NV - TT Đào tạo và Quản lý vật tư thiết bị</v>
      </c>
      <c r="F49" s="1018">
        <v>2.67</v>
      </c>
      <c r="G49" s="1019"/>
      <c r="H49" s="1248">
        <f t="shared" si="0"/>
        <v>0</v>
      </c>
      <c r="I49" s="1020"/>
      <c r="J49" s="1020" t="str">
        <f>VLOOKUP(B49,'[27]Gui chi Quynh'!$B$11:$E$396,4,FALSE)</f>
        <v>A2</v>
      </c>
      <c r="K49" s="1020">
        <f t="shared" si="1"/>
        <v>0.7</v>
      </c>
      <c r="L49" s="1021">
        <v>20</v>
      </c>
      <c r="M49" s="1021">
        <f>VLOOKUP(B49,'[28]CN BC'!$H$10:$J$275,3,FALSE)</f>
        <v>23</v>
      </c>
      <c r="N49" s="1021">
        <f t="shared" si="2"/>
        <v>20</v>
      </c>
      <c r="O49" s="1022"/>
      <c r="P49" s="1023">
        <f t="shared" si="3"/>
        <v>4373460</v>
      </c>
      <c r="Q49" s="1477">
        <f t="shared" si="5"/>
        <v>1.869</v>
      </c>
      <c r="R49" s="1429">
        <v>2340000</v>
      </c>
      <c r="S49" s="1478">
        <f t="shared" si="6"/>
        <v>4373460</v>
      </c>
      <c r="T49" s="1024">
        <f t="shared" si="4"/>
        <v>25</v>
      </c>
      <c r="U49" s="1025">
        <f>IFERROR(INDEX('[28]CN BC'!$M$10:$M$276,MATCH(B49,'[28]CN BC'!$H$10:$H$276,0)),"")</f>
        <v>0</v>
      </c>
      <c r="V49" s="1011" t="str">
        <f>VLOOKUP(B49,TH.T4!B46:AC376,28,FALSE)</f>
        <v>TTĐT</v>
      </c>
      <c r="W49" s="1129">
        <f>_xlfn.AGGREGATE(4,7,W$28:W48)+1</f>
        <v>21</v>
      </c>
      <c r="X49" s="1129" t="s">
        <v>2223</v>
      </c>
      <c r="Y49" s="1130" t="s">
        <v>2297</v>
      </c>
      <c r="Z49" s="1131" t="e">
        <f>SUMIF(#REF!,$K49,$H$26:$H$88)</f>
        <v>#REF!</v>
      </c>
      <c r="AA49" s="1012"/>
      <c r="AB49" s="1012"/>
      <c r="AC49" s="1012"/>
      <c r="AD49" s="1012"/>
      <c r="AE49" s="1012"/>
    </row>
    <row r="50" spans="1:35" s="1028" customFormat="1" ht="34.5" customHeight="1">
      <c r="A50" s="1014">
        <f>_xlfn.AGGREGATE(4,7,A$24:A49)+1</f>
        <v>26</v>
      </c>
      <c r="B50" s="1015" t="s">
        <v>1856</v>
      </c>
      <c r="C50" s="1033" t="s">
        <v>1652</v>
      </c>
      <c r="D50" s="1034" t="s">
        <v>1293</v>
      </c>
      <c r="E50" s="368" t="str">
        <f>VLOOKUP(B50,TH.Q2!B44:E375,4,FALSE)</f>
        <v>Nhân viên phòng Quản trị - Dịch vụ</v>
      </c>
      <c r="F50" s="1018">
        <v>4.9800000000000004</v>
      </c>
      <c r="G50" s="1019">
        <v>0.06</v>
      </c>
      <c r="H50" s="1255">
        <f t="shared" si="0"/>
        <v>0.29899999999999999</v>
      </c>
      <c r="I50" s="1020">
        <v>0.25</v>
      </c>
      <c r="J50" s="1020" t="str">
        <f>VLOOKUP(B50,'[27]Gui chi Quynh'!$B$11:$E$396,4,FALSE)</f>
        <v>A2</v>
      </c>
      <c r="K50" s="1020">
        <f t="shared" si="1"/>
        <v>0.7</v>
      </c>
      <c r="L50" s="1021">
        <v>20</v>
      </c>
      <c r="M50" s="1021">
        <f>VLOOKUP(B50,'[28]CN BC'!$H$10:$J$275,3,FALSE)</f>
        <v>26</v>
      </c>
      <c r="N50" s="1021">
        <f t="shared" si="2"/>
        <v>20</v>
      </c>
      <c r="O50" s="1035"/>
      <c r="P50" s="1023">
        <f t="shared" si="3"/>
        <v>9056502</v>
      </c>
      <c r="Q50" s="1477">
        <f t="shared" si="5"/>
        <v>3.8702999999999999</v>
      </c>
      <c r="R50" s="1429">
        <v>2340000</v>
      </c>
      <c r="S50" s="1478">
        <f t="shared" si="6"/>
        <v>9056502</v>
      </c>
      <c r="T50" s="1024">
        <f t="shared" si="4"/>
        <v>26</v>
      </c>
      <c r="U50" s="1025">
        <f>IFERROR(INDEX('[28]CN BC'!$M$10:$M$276,MATCH(B50,'[28]CN BC'!$H$10:$H$276,0)),"")</f>
        <v>0</v>
      </c>
      <c r="V50" s="1067" t="str">
        <f>VLOOKUP(B50,TH.T4!B47:AC377,28,FALSE)</f>
        <v>QTDV</v>
      </c>
      <c r="W50" s="1132">
        <f>_xlfn.AGGREGATE(4,7,W$28:W49)+1</f>
        <v>22</v>
      </c>
      <c r="X50" s="1132" t="s">
        <v>2298</v>
      </c>
      <c r="Y50" s="1133" t="s">
        <v>2299</v>
      </c>
      <c r="Z50" s="1134" t="e">
        <f>SUMIF(#REF!,$K50,$H$26:$H$88)</f>
        <v>#REF!</v>
      </c>
    </row>
    <row r="51" spans="1:35" s="1028" customFormat="1" ht="34.5" customHeight="1">
      <c r="A51" s="1014">
        <f>_xlfn.AGGREGATE(4,7,A$24:A50)+1</f>
        <v>27</v>
      </c>
      <c r="B51" s="1015" t="s">
        <v>1462</v>
      </c>
      <c r="C51" s="1033" t="s">
        <v>1654</v>
      </c>
      <c r="D51" s="1047">
        <v>1603205182619</v>
      </c>
      <c r="E51" s="81" t="str">
        <f>VLOOKUP(B51,TH.Q2!B45:E376,4,FALSE)</f>
        <v>Nhân viên phòng Quản trị - Dịch vụ</v>
      </c>
      <c r="F51" s="1018">
        <v>3.66</v>
      </c>
      <c r="G51" s="1019"/>
      <c r="H51" s="1248">
        <f t="shared" si="0"/>
        <v>0</v>
      </c>
      <c r="I51" s="1020"/>
      <c r="J51" s="1020" t="str">
        <f>VLOOKUP(B51,'[27]Gui chi Quynh'!$B$11:$E$396,4,FALSE)</f>
        <v>A3</v>
      </c>
      <c r="K51" s="1020">
        <f t="shared" si="1"/>
        <v>0.6</v>
      </c>
      <c r="L51" s="1021">
        <v>20</v>
      </c>
      <c r="M51" s="1021">
        <f>VLOOKUP(B51,'[28]CN BC'!$H$10:$J$275,3,FALSE)</f>
        <v>26</v>
      </c>
      <c r="N51" s="1021">
        <f t="shared" si="2"/>
        <v>20</v>
      </c>
      <c r="O51" s="1022"/>
      <c r="P51" s="1023">
        <f t="shared" si="3"/>
        <v>5138640</v>
      </c>
      <c r="Q51" s="1477">
        <f t="shared" si="5"/>
        <v>2.1960000000000002</v>
      </c>
      <c r="R51" s="1429">
        <v>2340000</v>
      </c>
      <c r="S51" s="1478">
        <f t="shared" si="6"/>
        <v>5138640</v>
      </c>
      <c r="T51" s="1024">
        <f t="shared" si="4"/>
        <v>27</v>
      </c>
      <c r="U51" s="1025">
        <f>IFERROR(INDEX('[28]CN BC'!$M$10:$M$276,MATCH(B51,'[28]CN BC'!$H$10:$H$276,0)),"")</f>
        <v>0</v>
      </c>
      <c r="V51" s="1011" t="str">
        <f>VLOOKUP(B51,TH.T4!B48:AC378,28,FALSE)</f>
        <v>QTDV</v>
      </c>
      <c r="W51" s="1129">
        <f>_xlfn.AGGREGATE(4,7,W$28:W50)+1</f>
        <v>23</v>
      </c>
      <c r="X51" s="1129" t="s">
        <v>2228</v>
      </c>
      <c r="Y51" s="1130" t="s">
        <v>2300</v>
      </c>
      <c r="Z51" s="1131" t="e">
        <f>SUMIF(#REF!,$K51,$H$26:$H$88)</f>
        <v>#REF!</v>
      </c>
    </row>
    <row r="52" spans="1:35" s="1028" customFormat="1" ht="34.5" customHeight="1">
      <c r="A52" s="1014">
        <f>_xlfn.AGGREGATE(4,7,A$24:A51)+1</f>
        <v>28</v>
      </c>
      <c r="B52" s="1015" t="s">
        <v>2012</v>
      </c>
      <c r="C52" s="1033"/>
      <c r="D52" s="1047"/>
      <c r="E52" s="368" t="str">
        <f>VLOOKUP(B52,TH.Q2!B46:E377,4,FALSE)</f>
        <v>Nhân viên phòng Quản trị - Dịch vụ</v>
      </c>
      <c r="F52" s="1018">
        <v>4.0599999999999996</v>
      </c>
      <c r="G52" s="1019">
        <v>0.11</v>
      </c>
      <c r="H52" s="1255">
        <f t="shared" si="0"/>
        <v>0.44700000000000001</v>
      </c>
      <c r="I52" s="1020">
        <v>0.35</v>
      </c>
      <c r="J52" s="1020" t="str">
        <f>VLOOKUP(B52,'[27]Gui chi Quynh'!$B$11:$E$396,4,FALSE)</f>
        <v>A1</v>
      </c>
      <c r="K52" s="1020">
        <f t="shared" si="1"/>
        <v>0.8</v>
      </c>
      <c r="L52" s="1021">
        <v>20</v>
      </c>
      <c r="M52" s="1021">
        <f>VLOOKUP(B52,'[28]CN BC'!$H$10:$J$275,3,FALSE)</f>
        <v>26</v>
      </c>
      <c r="N52" s="1021">
        <f t="shared" si="2"/>
        <v>20</v>
      </c>
      <c r="O52" s="1035"/>
      <c r="P52" s="1023">
        <f t="shared" si="3"/>
        <v>9092303.9999999981</v>
      </c>
      <c r="Q52" s="1477">
        <f t="shared" si="5"/>
        <v>3.8855999999999993</v>
      </c>
      <c r="R52" s="1429">
        <v>2340000</v>
      </c>
      <c r="S52" s="1478">
        <f t="shared" si="6"/>
        <v>9092303.9999999981</v>
      </c>
      <c r="T52" s="1024">
        <f t="shared" si="4"/>
        <v>28</v>
      </c>
      <c r="U52" s="1025">
        <f>IFERROR(INDEX('[28]CN BC'!$M$10:$M$276,MATCH(B52,'[28]CN BC'!$H$10:$H$276,0)),"")</f>
        <v>0</v>
      </c>
      <c r="V52" s="1067" t="str">
        <f>VLOOKUP(B52,TH.T4!B49:AC379,28,FALSE)</f>
        <v>QTDV</v>
      </c>
      <c r="W52" s="1132">
        <f>_xlfn.AGGREGATE(4,7,W$28:W51)+1</f>
        <v>24</v>
      </c>
      <c r="X52" s="1132" t="s">
        <v>2235</v>
      </c>
      <c r="Y52" s="1133" t="s">
        <v>2301</v>
      </c>
      <c r="Z52" s="1134" t="e">
        <f>SUMIF(#REF!,$K52,$H$26:$H$88)</f>
        <v>#REF!</v>
      </c>
    </row>
    <row r="53" spans="1:35" s="1012" customFormat="1" ht="27" customHeight="1">
      <c r="A53" s="1014">
        <f>_xlfn.AGGREGATE(4,7,A$24:A52)+1</f>
        <v>29</v>
      </c>
      <c r="B53" s="1050" t="s">
        <v>1852</v>
      </c>
      <c r="C53" s="1029" t="s">
        <v>1636</v>
      </c>
      <c r="D53" s="1051" t="s">
        <v>1258</v>
      </c>
      <c r="E53" s="81" t="str">
        <f>VLOOKUP(B53,TH.Q2!B47:E378,4,FALSE)</f>
        <v>Trưởng TT Y tế</v>
      </c>
      <c r="F53" s="1056">
        <v>4.6500000000000004</v>
      </c>
      <c r="G53" s="1060"/>
      <c r="H53" s="1248">
        <f t="shared" si="0"/>
        <v>0</v>
      </c>
      <c r="I53" s="1054">
        <v>0.45</v>
      </c>
      <c r="J53" s="1020" t="str">
        <f>VLOOKUP(B53,'[27]Gui chi Quynh'!$B$11:$E$396,4,FALSE)</f>
        <v>A1</v>
      </c>
      <c r="K53" s="1020">
        <f t="shared" si="1"/>
        <v>0.8</v>
      </c>
      <c r="L53" s="1021">
        <v>20</v>
      </c>
      <c r="M53" s="1021">
        <f>VLOOKUP(B53,'[28]CN BC'!$H$10:$J$275,3,FALSE)</f>
        <v>19</v>
      </c>
      <c r="N53" s="1021">
        <f t="shared" si="2"/>
        <v>19</v>
      </c>
      <c r="O53" s="1022"/>
      <c r="P53" s="1023">
        <f t="shared" si="3"/>
        <v>9069840.0000000019</v>
      </c>
      <c r="Q53" s="1477">
        <f t="shared" si="5"/>
        <v>3.8760000000000008</v>
      </c>
      <c r="R53" s="1429">
        <v>2340000</v>
      </c>
      <c r="S53" s="1478">
        <f t="shared" si="6"/>
        <v>9069840.0000000019</v>
      </c>
      <c r="T53" s="1024">
        <f t="shared" si="4"/>
        <v>29</v>
      </c>
      <c r="U53" s="1025" t="str">
        <f>IFERROR(INDEX('[28]CN BC'!$M$10:$M$276,MATCH(B53,'[28]CN BC'!$H$10:$H$276,0)),"")</f>
        <v>Trừ 4 ngày nghỉ phép từ 6 đến 11/11</v>
      </c>
      <c r="V53" s="1011" t="str">
        <f>VLOOKUP(B53,TH.T4!B50:AC380,28,FALSE)</f>
        <v>TTYT</v>
      </c>
      <c r="W53" s="1129">
        <f>_xlfn.AGGREGATE(4,7,W$28:W52)+1</f>
        <v>25</v>
      </c>
      <c r="X53" s="1132" t="s">
        <v>2225</v>
      </c>
      <c r="Y53" s="1133" t="s">
        <v>2302</v>
      </c>
      <c r="Z53" s="1134" t="e">
        <f>SUMIF(#REF!,$K53,$H$26:$H$88)</f>
        <v>#REF!</v>
      </c>
    </row>
    <row r="54" spans="1:35" s="1012" customFormat="1" ht="27" customHeight="1">
      <c r="A54" s="1014">
        <f>_xlfn.AGGREGATE(4,7,A$24:A53)+1</f>
        <v>30</v>
      </c>
      <c r="B54" s="1050" t="s">
        <v>1454</v>
      </c>
      <c r="C54" s="1029" t="s">
        <v>1637</v>
      </c>
      <c r="D54" s="1055">
        <v>1603205247426</v>
      </c>
      <c r="E54" s="81" t="str">
        <f>VLOOKUP(B54,TH.Q2!B48:E379,4,FALSE)</f>
        <v>Nhân viên Trung tâm Y tế</v>
      </c>
      <c r="F54" s="1052">
        <v>3.66</v>
      </c>
      <c r="G54" s="1053"/>
      <c r="H54" s="1248">
        <f t="shared" si="0"/>
        <v>0</v>
      </c>
      <c r="I54" s="1054"/>
      <c r="J54" s="1020" t="str">
        <f>VLOOKUP(B54,'[27]Gui chi Quynh'!$B$11:$E$396,4,FALSE)</f>
        <v>A2</v>
      </c>
      <c r="K54" s="1020">
        <f t="shared" si="1"/>
        <v>0.7</v>
      </c>
      <c r="L54" s="1021">
        <v>20</v>
      </c>
      <c r="M54" s="1021">
        <f>VLOOKUP(B54,'[28]CN BC'!$H$10:$J$275,3,FALSE)</f>
        <v>25</v>
      </c>
      <c r="N54" s="1021">
        <f t="shared" si="2"/>
        <v>20</v>
      </c>
      <c r="O54" s="1022"/>
      <c r="P54" s="1023">
        <f t="shared" si="3"/>
        <v>5995080</v>
      </c>
      <c r="Q54" s="1477">
        <f t="shared" si="5"/>
        <v>2.5619999999999998</v>
      </c>
      <c r="R54" s="1429">
        <v>2340000</v>
      </c>
      <c r="S54" s="1478">
        <f t="shared" si="6"/>
        <v>5995080</v>
      </c>
      <c r="T54" s="1024">
        <f t="shared" si="4"/>
        <v>30</v>
      </c>
      <c r="U54" s="1025">
        <f>IFERROR(INDEX('[28]CN BC'!$M$10:$M$276,MATCH(B54,'[28]CN BC'!$H$10:$H$276,0)),"")</f>
        <v>0</v>
      </c>
      <c r="V54" s="1011" t="str">
        <f>VLOOKUP(B54,TH.T4!B51:AC381,28,FALSE)</f>
        <v>TTYT</v>
      </c>
      <c r="Y54" s="1027"/>
    </row>
    <row r="55" spans="1:35" s="1028" customFormat="1" ht="27" customHeight="1">
      <c r="A55" s="1014">
        <f>_xlfn.AGGREGATE(4,7,A$24:A54)+1</f>
        <v>31</v>
      </c>
      <c r="B55" s="1015" t="s">
        <v>1445</v>
      </c>
      <c r="C55" s="1029" t="s">
        <v>1638</v>
      </c>
      <c r="D55" s="1030" t="s">
        <v>1576</v>
      </c>
      <c r="E55" s="81" t="str">
        <f>VLOOKUP(B55,TH.Q2!B49:E380,4,FALSE)</f>
        <v>TP. Kế hoạch - Tài chính</v>
      </c>
      <c r="F55" s="1040">
        <v>4.9800000000000004</v>
      </c>
      <c r="G55" s="1019">
        <v>0.38</v>
      </c>
      <c r="H55" s="1248">
        <f t="shared" si="0"/>
        <v>1.8919999999999999</v>
      </c>
      <c r="I55" s="1020">
        <v>0.45</v>
      </c>
      <c r="J55" s="1020" t="str">
        <f>VLOOKUP(B55,'[27]Gui chi Quynh'!$B$11:$E$396,4,FALSE)</f>
        <v>A1</v>
      </c>
      <c r="K55" s="1020">
        <f t="shared" si="1"/>
        <v>0.8</v>
      </c>
      <c r="L55" s="1021">
        <v>20</v>
      </c>
      <c r="M55" s="1021">
        <f>VLOOKUP(B55,'[28]CN BC'!$H$10:$J$275,3,FALSE)</f>
        <v>28</v>
      </c>
      <c r="N55" s="1021">
        <f t="shared" si="2"/>
        <v>20</v>
      </c>
      <c r="O55" s="1022"/>
      <c r="P55" s="1023">
        <f t="shared" si="3"/>
        <v>13706784</v>
      </c>
      <c r="Q55" s="1477">
        <f t="shared" si="5"/>
        <v>5.8575999999999997</v>
      </c>
      <c r="R55" s="1429">
        <v>2340000</v>
      </c>
      <c r="S55" s="1478">
        <f t="shared" si="6"/>
        <v>13706784</v>
      </c>
      <c r="T55" s="1024">
        <f t="shared" si="4"/>
        <v>31</v>
      </c>
      <c r="U55" s="1025">
        <f>IFERROR(INDEX('[28]CN BC'!$M$10:$M$276,MATCH(B55,'[28]CN BC'!$H$10:$H$276,0)),"")</f>
        <v>0</v>
      </c>
      <c r="V55" s="1011" t="str">
        <f>VLOOKUP(B55,TH.T4!B52:AC382,28,FALSE)</f>
        <v>KHTC</v>
      </c>
      <c r="W55" s="1012"/>
      <c r="X55" s="1012"/>
      <c r="Y55" s="1027"/>
      <c r="Z55" s="1012"/>
      <c r="AA55" s="1012"/>
      <c r="AB55" s="1012"/>
      <c r="AC55" s="1012"/>
      <c r="AD55" s="1012"/>
      <c r="AE55" s="1012"/>
      <c r="AF55" s="1012"/>
      <c r="AG55" s="1012"/>
      <c r="AH55" s="1012"/>
      <c r="AI55" s="1012"/>
    </row>
    <row r="56" spans="1:35" s="1012" customFormat="1" ht="26.25" customHeight="1">
      <c r="A56" s="1014">
        <f>_xlfn.AGGREGATE(4,7,A$24:A55)+1</f>
        <v>32</v>
      </c>
      <c r="B56" s="1050" t="s">
        <v>1455</v>
      </c>
      <c r="C56" s="1029" t="s">
        <v>1640</v>
      </c>
      <c r="D56" s="1051" t="s">
        <v>368</v>
      </c>
      <c r="E56" s="81" t="str">
        <f>VLOOKUP(B56,TH.Q2!B50:E381,4,FALSE)</f>
        <v>NV phòng KH-TC</v>
      </c>
      <c r="F56" s="1052">
        <v>3.99</v>
      </c>
      <c r="G56" s="1053"/>
      <c r="H56" s="1248">
        <f t="shared" si="0"/>
        <v>0</v>
      </c>
      <c r="I56" s="1054"/>
      <c r="J56" s="1020" t="str">
        <f>VLOOKUP(B56,'[27]Gui chi Quynh'!$B$11:$E$396,4,FALSE)</f>
        <v>A1</v>
      </c>
      <c r="K56" s="1020">
        <f t="shared" si="1"/>
        <v>0.8</v>
      </c>
      <c r="L56" s="1021">
        <v>20</v>
      </c>
      <c r="M56" s="1021">
        <f>VLOOKUP(B56,'[28]CN BC'!$H$10:$J$275,3,FALSE)</f>
        <v>25</v>
      </c>
      <c r="N56" s="1021">
        <f t="shared" si="2"/>
        <v>20</v>
      </c>
      <c r="O56" s="1022"/>
      <c r="P56" s="1023">
        <f t="shared" si="3"/>
        <v>7469280</v>
      </c>
      <c r="Q56" s="1477">
        <f t="shared" si="5"/>
        <v>3.1920000000000002</v>
      </c>
      <c r="R56" s="1429">
        <v>2340000</v>
      </c>
      <c r="S56" s="1478">
        <f t="shared" si="6"/>
        <v>7469280</v>
      </c>
      <c r="T56" s="1024">
        <f t="shared" si="4"/>
        <v>32</v>
      </c>
      <c r="U56" s="1025">
        <f>IFERROR(INDEX('[28]CN BC'!$M$10:$M$276,MATCH(B56,'[28]CN BC'!$H$10:$H$276,0)),"")</f>
        <v>0</v>
      </c>
      <c r="V56" s="1011" t="str">
        <f>VLOOKUP(B56,TH.T4!B53:AC383,28,FALSE)</f>
        <v>KHTC</v>
      </c>
      <c r="Y56" s="1027"/>
    </row>
    <row r="57" spans="1:35" s="1028" customFormat="1" ht="27" customHeight="1">
      <c r="A57" s="1014">
        <f>_xlfn.AGGREGATE(4,7,A$24:A56)+1</f>
        <v>33</v>
      </c>
      <c r="B57" s="1015" t="s">
        <v>1456</v>
      </c>
      <c r="C57" s="1033" t="s">
        <v>1641</v>
      </c>
      <c r="D57" s="1047">
        <v>1603205178873</v>
      </c>
      <c r="E57" s="81" t="str">
        <f>VLOOKUP(B57,TH.Q2!B51:E382,4,FALSE)</f>
        <v>NV phòng KH-TC</v>
      </c>
      <c r="F57" s="1018">
        <v>3.66</v>
      </c>
      <c r="G57" s="1019"/>
      <c r="H57" s="1248">
        <f t="shared" si="0"/>
        <v>0</v>
      </c>
      <c r="I57" s="1020"/>
      <c r="J57" s="1020" t="str">
        <f>VLOOKUP(B57,'[27]Gui chi Quynh'!$B$11:$E$396,4,FALSE)</f>
        <v>A3</v>
      </c>
      <c r="K57" s="1020">
        <f t="shared" si="1"/>
        <v>0.6</v>
      </c>
      <c r="L57" s="1021">
        <v>20</v>
      </c>
      <c r="M57" s="1021">
        <f>VLOOKUP(B57,'[28]CN BC'!$H$10:$J$275,3,FALSE)</f>
        <v>26</v>
      </c>
      <c r="N57" s="1021">
        <f t="shared" si="2"/>
        <v>20</v>
      </c>
      <c r="O57" s="1022"/>
      <c r="P57" s="1023">
        <f t="shared" si="3"/>
        <v>5138640</v>
      </c>
      <c r="Q57" s="1477">
        <f t="shared" si="5"/>
        <v>2.1960000000000002</v>
      </c>
      <c r="R57" s="1429">
        <v>2340000</v>
      </c>
      <c r="S57" s="1478">
        <f t="shared" si="6"/>
        <v>5138640</v>
      </c>
      <c r="T57" s="1024">
        <f t="shared" si="4"/>
        <v>33</v>
      </c>
      <c r="U57" s="1025">
        <f>IFERROR(INDEX('[28]CN BC'!$M$10:$M$276,MATCH(B57,'[28]CN BC'!$H$10:$H$276,0)),"")</f>
        <v>0</v>
      </c>
      <c r="V57" s="1011" t="str">
        <f>VLOOKUP(B57,TH.T4!B54:AC384,28,FALSE)</f>
        <v>KHTC</v>
      </c>
      <c r="W57" s="1012"/>
      <c r="X57" s="1012"/>
      <c r="Y57" s="1027"/>
      <c r="Z57" s="1012"/>
      <c r="AA57" s="1012"/>
      <c r="AB57" s="1012"/>
      <c r="AC57" s="1012"/>
      <c r="AD57" s="1012"/>
      <c r="AE57" s="1012"/>
    </row>
    <row r="58" spans="1:35" s="1028" customFormat="1" ht="27" customHeight="1">
      <c r="A58" s="1014">
        <f>_xlfn.AGGREGATE(4,7,A$24:A57)+1</f>
        <v>34</v>
      </c>
      <c r="B58" s="1015" t="s">
        <v>1457</v>
      </c>
      <c r="C58" s="1033" t="s">
        <v>1642</v>
      </c>
      <c r="D58" s="1045">
        <v>1603205372861</v>
      </c>
      <c r="E58" s="81" t="str">
        <f>VLOOKUP(B58,TH.Q2!B52:E383,4,FALSE)</f>
        <v>NV phòng KH-TC</v>
      </c>
      <c r="F58" s="1040">
        <v>3</v>
      </c>
      <c r="G58" s="1019"/>
      <c r="H58" s="1248">
        <f t="shared" si="0"/>
        <v>0</v>
      </c>
      <c r="I58" s="1020"/>
      <c r="J58" s="1020" t="str">
        <f>VLOOKUP(B58,'[27]Gui chi Quynh'!$B$11:$E$396,4,FALSE)</f>
        <v>A2</v>
      </c>
      <c r="K58" s="1020">
        <f t="shared" si="1"/>
        <v>0.7</v>
      </c>
      <c r="L58" s="1021">
        <v>20</v>
      </c>
      <c r="M58" s="1021">
        <f>VLOOKUP(B58,'[28]CN BC'!$H$10:$J$275,3,FALSE)</f>
        <v>25</v>
      </c>
      <c r="N58" s="1021">
        <f t="shared" si="2"/>
        <v>20</v>
      </c>
      <c r="O58" s="1022"/>
      <c r="P58" s="1023">
        <f t="shared" si="3"/>
        <v>4914000</v>
      </c>
      <c r="Q58" s="1477">
        <f t="shared" si="5"/>
        <v>2.1</v>
      </c>
      <c r="R58" s="1429">
        <v>2340000</v>
      </c>
      <c r="S58" s="1478">
        <f t="shared" si="6"/>
        <v>4914000</v>
      </c>
      <c r="T58" s="1024">
        <f t="shared" si="4"/>
        <v>34</v>
      </c>
      <c r="U58" s="1025">
        <f>IFERROR(INDEX('[28]CN BC'!$M$10:$M$276,MATCH(B58,'[28]CN BC'!$H$10:$H$276,0)),"")</f>
        <v>0</v>
      </c>
      <c r="V58" s="1011" t="str">
        <f>VLOOKUP(B58,TH.T4!B55:AC385,28,FALSE)</f>
        <v>KHTC</v>
      </c>
      <c r="W58" s="1012"/>
      <c r="X58" s="1012"/>
      <c r="Y58" s="1027"/>
      <c r="Z58" s="1012"/>
      <c r="AA58" s="1012"/>
      <c r="AB58" s="1012"/>
      <c r="AC58" s="1012"/>
      <c r="AD58" s="1012"/>
      <c r="AE58" s="1012"/>
    </row>
    <row r="59" spans="1:35" s="1028" customFormat="1" ht="27" customHeight="1">
      <c r="A59" s="1014">
        <f>_xlfn.AGGREGATE(4,7,A$24:A58)+1</f>
        <v>35</v>
      </c>
      <c r="B59" s="1015" t="s">
        <v>1859</v>
      </c>
      <c r="C59" s="1033" t="s">
        <v>1665</v>
      </c>
      <c r="D59" s="1057">
        <v>1603205185357</v>
      </c>
      <c r="E59" s="81" t="str">
        <f>VLOOKUP(B59,TH.Q2!B53:E384,4,FALSE)</f>
        <v>NV Phòng KH-TC</v>
      </c>
      <c r="F59" s="1040">
        <v>3.66</v>
      </c>
      <c r="G59" s="1019"/>
      <c r="H59" s="1248">
        <f t="shared" si="0"/>
        <v>0</v>
      </c>
      <c r="I59" s="1020"/>
      <c r="J59" s="1020" t="str">
        <f>VLOOKUP(B59,'[27]Gui chi Quynh'!$B$11:$E$396,4,FALSE)</f>
        <v>A1</v>
      </c>
      <c r="K59" s="1020">
        <f t="shared" si="1"/>
        <v>0.8</v>
      </c>
      <c r="L59" s="1021">
        <v>20</v>
      </c>
      <c r="M59" s="1021">
        <f>VLOOKUP(B59,'[28]CN BC'!$H$10:$J$275,3,FALSE)</f>
        <v>26</v>
      </c>
      <c r="N59" s="1021">
        <f t="shared" si="2"/>
        <v>20</v>
      </c>
      <c r="O59" s="1022"/>
      <c r="P59" s="1023">
        <f t="shared" si="3"/>
        <v>6851520</v>
      </c>
      <c r="Q59" s="1477">
        <f t="shared" si="5"/>
        <v>2.9279999999999999</v>
      </c>
      <c r="R59" s="1429">
        <v>2340000</v>
      </c>
      <c r="S59" s="1478">
        <f t="shared" si="6"/>
        <v>6851520</v>
      </c>
      <c r="T59" s="1024">
        <f t="shared" si="4"/>
        <v>35</v>
      </c>
      <c r="U59" s="1025">
        <f>IFERROR(INDEX('[28]CN BC'!$M$10:$M$276,MATCH(B59,'[28]CN BC'!$H$10:$H$276,0)),"")</f>
        <v>0</v>
      </c>
      <c r="V59" s="1011" t="str">
        <f>VLOOKUP(B59,TH.T4!B56:AC386,28,FALSE)</f>
        <v>KHTC</v>
      </c>
      <c r="Y59" s="1038"/>
    </row>
    <row r="60" spans="1:35" s="1028" customFormat="1" ht="30.75" customHeight="1">
      <c r="A60" s="1014">
        <f>_xlfn.AGGREGATE(4,7,A$24:A59)+1</f>
        <v>36</v>
      </c>
      <c r="B60" s="1015" t="s">
        <v>1459</v>
      </c>
      <c r="C60" s="1033" t="s">
        <v>1645</v>
      </c>
      <c r="D60" s="1045" t="s">
        <v>1578</v>
      </c>
      <c r="E60" s="81" t="str">
        <f>VLOOKUP(B60,TH.Q2!B54:E385,4,FALSE)</f>
        <v>Trưởng phòng Thanh tra GD - Quan hệ DN</v>
      </c>
      <c r="F60" s="1018">
        <v>4.32</v>
      </c>
      <c r="G60" s="1019"/>
      <c r="H60" s="1248">
        <f t="shared" si="0"/>
        <v>0</v>
      </c>
      <c r="I60" s="1020">
        <v>0.45</v>
      </c>
      <c r="J60" s="1020" t="str">
        <f>VLOOKUP(B60,'[27]Gui chi Quynh'!$B$11:$E$396,4,FALSE)</f>
        <v>A1</v>
      </c>
      <c r="K60" s="1020">
        <f t="shared" si="1"/>
        <v>0.8</v>
      </c>
      <c r="L60" s="1021">
        <v>20</v>
      </c>
      <c r="M60" s="1021">
        <f>VLOOKUP(B60,'[28]CN BC'!$H$10:$J$275,3,FALSE)</f>
        <v>26</v>
      </c>
      <c r="N60" s="1021">
        <f t="shared" si="2"/>
        <v>20</v>
      </c>
      <c r="O60" s="1022"/>
      <c r="P60" s="1023">
        <f t="shared" si="3"/>
        <v>8929440.0000000019</v>
      </c>
      <c r="Q60" s="1477">
        <f t="shared" si="5"/>
        <v>3.8160000000000007</v>
      </c>
      <c r="R60" s="1429">
        <v>2340000</v>
      </c>
      <c r="S60" s="1478">
        <f t="shared" si="6"/>
        <v>8929440.0000000019</v>
      </c>
      <c r="T60" s="1024">
        <f t="shared" si="4"/>
        <v>36</v>
      </c>
      <c r="U60" s="1025">
        <f>IFERROR(INDEX('[28]CN BC'!$M$10:$M$276,MATCH(B60,'[28]CN BC'!$H$10:$H$276,0)),"")</f>
        <v>0</v>
      </c>
      <c r="V60" s="1011" t="str">
        <f>VLOOKUP(B60,TH.T4!B57:AC387,28,FALSE)</f>
        <v>TTrGD</v>
      </c>
      <c r="W60" s="1012"/>
      <c r="X60" s="1012"/>
      <c r="Y60" s="1027"/>
    </row>
    <row r="61" spans="1:35" s="1028" customFormat="1" ht="30.75" customHeight="1">
      <c r="A61" s="1014">
        <f>_xlfn.AGGREGATE(4,7,A$24:A60)+1</f>
        <v>37</v>
      </c>
      <c r="B61" s="1015" t="s">
        <v>1541</v>
      </c>
      <c r="C61" s="1033" t="s">
        <v>1802</v>
      </c>
      <c r="D61" s="1045">
        <v>1603205356140</v>
      </c>
      <c r="E61" s="368" t="str">
        <f>VLOOKUP(B61,TH.Q2!B55:E386,4,FALSE)</f>
        <v>Nhân viên phòng Thanh tra GD - Quan hệ DN</v>
      </c>
      <c r="F61" s="1018">
        <v>4.32</v>
      </c>
      <c r="G61" s="1019"/>
      <c r="H61" s="1255">
        <f t="shared" si="0"/>
        <v>0</v>
      </c>
      <c r="I61" s="1020"/>
      <c r="J61" s="1020" t="str">
        <f>VLOOKUP(B61,'[27]Gui chi Quynh'!$B$11:$E$396,4,FALSE)</f>
        <v>A3</v>
      </c>
      <c r="K61" s="1020">
        <f t="shared" si="1"/>
        <v>0.6</v>
      </c>
      <c r="L61" s="1021">
        <v>20</v>
      </c>
      <c r="M61" s="1021">
        <f>VLOOKUP(B61,'[28]CN BC'!$H$10:$J$275,3,FALSE)</f>
        <v>22</v>
      </c>
      <c r="N61" s="1021">
        <f t="shared" si="2"/>
        <v>20</v>
      </c>
      <c r="O61" s="1035"/>
      <c r="P61" s="1023">
        <f t="shared" si="3"/>
        <v>6065280</v>
      </c>
      <c r="Q61" s="1477">
        <f t="shared" si="5"/>
        <v>2.5920000000000001</v>
      </c>
      <c r="R61" s="1429">
        <v>2340000</v>
      </c>
      <c r="S61" s="1478">
        <f t="shared" si="6"/>
        <v>6065280</v>
      </c>
      <c r="T61" s="1024">
        <f t="shared" si="4"/>
        <v>37</v>
      </c>
      <c r="U61" s="1025">
        <f>IFERROR(INDEX('[28]CN BC'!$M$10:$M$276,MATCH(B61,'[28]CN BC'!$H$10:$H$276,0)),"")</f>
        <v>0</v>
      </c>
      <c r="V61" s="1067" t="str">
        <f>VLOOKUP(B61,TH.T4!B58:AC388,28,FALSE)</f>
        <v>TTrGD</v>
      </c>
      <c r="Y61" s="1038"/>
    </row>
    <row r="62" spans="1:35" s="1028" customFormat="1" ht="30.75" customHeight="1">
      <c r="A62" s="1014">
        <f>_xlfn.AGGREGATE(4,7,A$24:A61)+1</f>
        <v>38</v>
      </c>
      <c r="B62" s="1061" t="s">
        <v>1556</v>
      </c>
      <c r="C62" s="1033" t="s">
        <v>1648</v>
      </c>
      <c r="D62" s="1057">
        <v>1603205182727</v>
      </c>
      <c r="E62" s="81" t="str">
        <f>VLOOKUP(B62,TH.Q2!B56:E387,4,FALSE)</f>
        <v>Nhân viên phòng Thanh tra GD - Quan hệ DN</v>
      </c>
      <c r="F62" s="1040">
        <v>4.6500000000000004</v>
      </c>
      <c r="G62" s="1062"/>
      <c r="H62" s="1248">
        <f t="shared" si="0"/>
        <v>0</v>
      </c>
      <c r="I62" s="1018"/>
      <c r="J62" s="1020" t="str">
        <f>VLOOKUP(B62,'[27]Gui chi Quynh'!$B$11:$E$396,4,FALSE)</f>
        <v>A3</v>
      </c>
      <c r="K62" s="1020">
        <f t="shared" si="1"/>
        <v>0.6</v>
      </c>
      <c r="L62" s="1021">
        <v>20</v>
      </c>
      <c r="M62" s="1021">
        <f>VLOOKUP(B62,'[28]CN BC'!$H$10:$J$275,3,FALSE)</f>
        <v>22</v>
      </c>
      <c r="N62" s="1021">
        <f t="shared" si="2"/>
        <v>20</v>
      </c>
      <c r="O62" s="1022"/>
      <c r="P62" s="1023">
        <f t="shared" si="3"/>
        <v>6528600</v>
      </c>
      <c r="Q62" s="1477">
        <f t="shared" si="5"/>
        <v>2.79</v>
      </c>
      <c r="R62" s="1429">
        <v>2340000</v>
      </c>
      <c r="S62" s="1478">
        <f t="shared" si="6"/>
        <v>6528600</v>
      </c>
      <c r="T62" s="1024">
        <f t="shared" si="4"/>
        <v>38</v>
      </c>
      <c r="U62" s="1025">
        <f>IFERROR(INDEX('[28]CN BC'!$M$10:$M$276,MATCH(B62,'[28]CN BC'!$H$10:$H$276,0)),"")</f>
        <v>0</v>
      </c>
      <c r="V62" s="1011" t="str">
        <f>VLOOKUP(B62,TH.T4!B59:AC389,28,FALSE)</f>
        <v>TTrGD</v>
      </c>
      <c r="W62" s="1012"/>
      <c r="X62" s="1012"/>
      <c r="Y62" s="1027"/>
      <c r="Z62" s="1012"/>
      <c r="AA62" s="1012"/>
      <c r="AB62" s="1012"/>
      <c r="AC62" s="1012"/>
      <c r="AD62" s="1012"/>
      <c r="AE62" s="1012"/>
    </row>
    <row r="63" spans="1:35" s="1028" customFormat="1" ht="30.75" customHeight="1">
      <c r="A63" s="1014">
        <f>_xlfn.AGGREGATE(4,7,A$24:A62)+1</f>
        <v>39</v>
      </c>
      <c r="B63" s="1015" t="s">
        <v>1854</v>
      </c>
      <c r="C63" s="1033" t="s">
        <v>1616</v>
      </c>
      <c r="D63" s="1034" t="s">
        <v>1260</v>
      </c>
      <c r="E63" s="368" t="str">
        <f>VLOOKUP(B63,TH.Q2!B57:E388,4,FALSE)</f>
        <v>Nhân viên phòng Thanh tra GD - Quan hệ DN</v>
      </c>
      <c r="F63" s="1018">
        <v>4.9800000000000004</v>
      </c>
      <c r="G63" s="1019">
        <v>0.08</v>
      </c>
      <c r="H63" s="1255">
        <f t="shared" si="0"/>
        <v>0.39800000000000002</v>
      </c>
      <c r="I63" s="1020"/>
      <c r="J63" s="1020" t="str">
        <f>VLOOKUP(B63,'[27]Gui chi Quynh'!$B$11:$E$396,4,FALSE)</f>
        <v>A1</v>
      </c>
      <c r="K63" s="1020">
        <f t="shared" si="1"/>
        <v>0.8</v>
      </c>
      <c r="L63" s="1021">
        <v>20</v>
      </c>
      <c r="M63" s="1021">
        <f>VLOOKUP(B63,'[28]CN BC'!$H$10:$J$275,3,FALSE)</f>
        <v>23</v>
      </c>
      <c r="N63" s="1021">
        <f t="shared" si="2"/>
        <v>20</v>
      </c>
      <c r="O63" s="1035"/>
      <c r="P63" s="1023">
        <f t="shared" si="3"/>
        <v>10067616</v>
      </c>
      <c r="Q63" s="1477">
        <f t="shared" si="5"/>
        <v>4.3023999999999996</v>
      </c>
      <c r="R63" s="1429">
        <v>2340000</v>
      </c>
      <c r="S63" s="1478">
        <f t="shared" si="6"/>
        <v>10067615.999999998</v>
      </c>
      <c r="T63" s="1024">
        <f t="shared" si="4"/>
        <v>39</v>
      </c>
      <c r="U63" s="1025">
        <f>IFERROR(INDEX('[28]CN BC'!$M$10:$M$276,MATCH(B63,'[28]CN BC'!$H$10:$H$276,0)),"")</f>
        <v>0</v>
      </c>
      <c r="V63" s="1067" t="str">
        <f>VLOOKUP(B63,TH.T4!B60:AC390,28,FALSE)</f>
        <v>TTrGD</v>
      </c>
      <c r="W63" s="1428"/>
      <c r="X63" s="1038"/>
      <c r="Y63" s="1038">
        <v>5000000</v>
      </c>
    </row>
    <row r="64" spans="1:35" s="1028" customFormat="1" ht="30.75" customHeight="1">
      <c r="A64" s="1014">
        <f>_xlfn.AGGREGATE(4,7,A$24:A63)+1</f>
        <v>40</v>
      </c>
      <c r="B64" s="1015" t="s">
        <v>1460</v>
      </c>
      <c r="C64" s="1033" t="s">
        <v>1650</v>
      </c>
      <c r="D64" s="1047">
        <v>1603205189653</v>
      </c>
      <c r="E64" s="81" t="str">
        <f>VLOOKUP(B64,TH.Q2!B58:E389,4,FALSE)</f>
        <v>Nhân viên phòng Thanh tra GD - Quan hệ DN</v>
      </c>
      <c r="F64" s="1018">
        <v>3.99</v>
      </c>
      <c r="G64" s="1019"/>
      <c r="H64" s="1248">
        <f t="shared" si="0"/>
        <v>0</v>
      </c>
      <c r="I64" s="1020"/>
      <c r="J64" s="1020" t="str">
        <f>VLOOKUP(B64,'[27]Gui chi Quynh'!$B$11:$E$396,4,FALSE)</f>
        <v>A2</v>
      </c>
      <c r="K64" s="1020">
        <f t="shared" si="1"/>
        <v>0.7</v>
      </c>
      <c r="L64" s="1021">
        <v>20</v>
      </c>
      <c r="M64" s="1021">
        <f>VLOOKUP(B64,'[28]CN BC'!$H$10:$J$275,3,FALSE)</f>
        <v>24</v>
      </c>
      <c r="N64" s="1021">
        <f t="shared" si="2"/>
        <v>20</v>
      </c>
      <c r="O64" s="1022"/>
      <c r="P64" s="1023">
        <f t="shared" si="3"/>
        <v>6535620</v>
      </c>
      <c r="Q64" s="1477">
        <f t="shared" si="5"/>
        <v>2.7930000000000001</v>
      </c>
      <c r="R64" s="1429">
        <v>2340000</v>
      </c>
      <c r="S64" s="1478">
        <f t="shared" si="6"/>
        <v>6535620</v>
      </c>
      <c r="T64" s="1024">
        <f t="shared" si="4"/>
        <v>40</v>
      </c>
      <c r="U64" s="1025">
        <f>IFERROR(INDEX('[28]CN BC'!$M$10:$M$276,MATCH(B64,'[28]CN BC'!$H$10:$H$276,0)),"")</f>
        <v>0</v>
      </c>
      <c r="V64" s="1011" t="str">
        <f>VLOOKUP(B64,TH.T4!B61:AC391,28,FALSE)</f>
        <v>TTrGD</v>
      </c>
      <c r="Y64" s="1038"/>
    </row>
    <row r="65" spans="1:35" s="1028" customFormat="1" ht="30.75" customHeight="1">
      <c r="A65" s="1014">
        <f>_xlfn.AGGREGATE(4,7,A$24:A64)+1</f>
        <v>41</v>
      </c>
      <c r="B65" s="1015" t="s">
        <v>1461</v>
      </c>
      <c r="C65" s="1033" t="s">
        <v>1653</v>
      </c>
      <c r="D65" s="1034" t="s">
        <v>370</v>
      </c>
      <c r="E65" s="81" t="str">
        <f>VLOOKUP(B65,TH.Q2!B59:E390,4,FALSE)</f>
        <v>Nhân viên phòng Thanh tra GD - Quan hệ DN</v>
      </c>
      <c r="F65" s="1040">
        <v>3.66</v>
      </c>
      <c r="G65" s="1019"/>
      <c r="H65" s="1248">
        <f t="shared" si="0"/>
        <v>0</v>
      </c>
      <c r="I65" s="1020"/>
      <c r="J65" s="1020" t="str">
        <f>VLOOKUP(B65,'[27]Gui chi Quynh'!$B$11:$E$396,4,FALSE)</f>
        <v>A2</v>
      </c>
      <c r="K65" s="1020">
        <f t="shared" si="1"/>
        <v>0.7</v>
      </c>
      <c r="L65" s="1021">
        <v>20</v>
      </c>
      <c r="M65" s="1021">
        <f>VLOOKUP(B65,'[28]CN BC'!$H$10:$J$275,3,FALSE)</f>
        <v>23</v>
      </c>
      <c r="N65" s="1021">
        <f t="shared" si="2"/>
        <v>20</v>
      </c>
      <c r="O65" s="1022"/>
      <c r="P65" s="1023">
        <f t="shared" si="3"/>
        <v>5995080</v>
      </c>
      <c r="Q65" s="1477">
        <f t="shared" si="5"/>
        <v>2.5619999999999998</v>
      </c>
      <c r="R65" s="1429">
        <v>2340000</v>
      </c>
      <c r="S65" s="1478">
        <f t="shared" si="6"/>
        <v>5995080</v>
      </c>
      <c r="T65" s="1024">
        <f t="shared" si="4"/>
        <v>41</v>
      </c>
      <c r="U65" s="1025">
        <f>IFERROR(INDEX('[28]CN BC'!$M$10:$M$276,MATCH(B65,'[28]CN BC'!$H$10:$H$276,0)),"")</f>
        <v>0</v>
      </c>
      <c r="V65" s="1011" t="str">
        <f>VLOOKUP(B65,TH.T4!B62:AC392,28,FALSE)</f>
        <v>TTrGD</v>
      </c>
      <c r="W65" s="1012"/>
      <c r="X65" s="1012"/>
      <c r="Y65" s="1027"/>
      <c r="Z65" s="1012"/>
      <c r="AA65" s="1012"/>
      <c r="AB65" s="1012"/>
      <c r="AC65" s="1012"/>
      <c r="AD65" s="1012"/>
      <c r="AE65" s="1012"/>
    </row>
    <row r="66" spans="1:35" s="1028" customFormat="1" ht="30.75" customHeight="1">
      <c r="A66" s="1014">
        <f>_xlfn.AGGREGATE(4,7,A$24:A65)+1</f>
        <v>42</v>
      </c>
      <c r="B66" s="1015" t="s">
        <v>848</v>
      </c>
      <c r="C66" s="1033" t="s">
        <v>1655</v>
      </c>
      <c r="D66" s="1034" t="s">
        <v>1263</v>
      </c>
      <c r="E66" s="81" t="str">
        <f>VLOOKUP(B66,TH.Q2!B60:E391,4,FALSE)</f>
        <v>Nhân viên phòng Thanh tra GD - Quan hệ DN</v>
      </c>
      <c r="F66" s="1018">
        <v>4.32</v>
      </c>
      <c r="G66" s="1019"/>
      <c r="H66" s="1248">
        <f t="shared" si="0"/>
        <v>0</v>
      </c>
      <c r="I66" s="1020"/>
      <c r="J66" s="1020" t="str">
        <f>VLOOKUP(B66,'[27]Gui chi Quynh'!$B$11:$E$396,4,FALSE)</f>
        <v>A1</v>
      </c>
      <c r="K66" s="1020">
        <f t="shared" si="1"/>
        <v>0.8</v>
      </c>
      <c r="L66" s="1021">
        <v>20</v>
      </c>
      <c r="M66" s="1021">
        <f>VLOOKUP(B66,'[28]CN BC'!$H$10:$J$275,3,FALSE)</f>
        <v>22</v>
      </c>
      <c r="N66" s="1021">
        <f t="shared" si="2"/>
        <v>20</v>
      </c>
      <c r="O66" s="1022"/>
      <c r="P66" s="1023">
        <f t="shared" si="3"/>
        <v>8087040</v>
      </c>
      <c r="Q66" s="1477">
        <f t="shared" si="5"/>
        <v>3.456</v>
      </c>
      <c r="R66" s="1429">
        <v>2340000</v>
      </c>
      <c r="S66" s="1478">
        <f t="shared" si="6"/>
        <v>8087040</v>
      </c>
      <c r="T66" s="1024">
        <f t="shared" si="4"/>
        <v>42</v>
      </c>
      <c r="U66" s="1025">
        <f>IFERROR(INDEX('[28]CN BC'!$M$10:$M$276,MATCH(B66,'[28]CN BC'!$H$10:$H$276,0)),"")</f>
        <v>0</v>
      </c>
      <c r="V66" s="1011" t="str">
        <f>VLOOKUP(B66,TH.T4!B63:AC393,28,FALSE)</f>
        <v>TTrGD</v>
      </c>
      <c r="W66" s="1012"/>
      <c r="X66" s="1012"/>
      <c r="Y66" s="1027"/>
      <c r="Z66" s="1012"/>
      <c r="AA66" s="1012"/>
      <c r="AB66" s="1012"/>
      <c r="AC66" s="1012"/>
      <c r="AD66" s="1012"/>
      <c r="AE66" s="1012"/>
    </row>
    <row r="67" spans="1:35" s="1028" customFormat="1" ht="30.75" customHeight="1">
      <c r="A67" s="1014">
        <f>_xlfn.AGGREGATE(4,7,A$24:A66)+1</f>
        <v>43</v>
      </c>
      <c r="B67" s="1015" t="s">
        <v>1857</v>
      </c>
      <c r="C67" s="1033" t="s">
        <v>1656</v>
      </c>
      <c r="D67" s="1047" t="s">
        <v>1358</v>
      </c>
      <c r="E67" s="81" t="str">
        <f>VLOOKUP(B67,TH.Q2!B61:E392,4,FALSE)</f>
        <v>Nhân viên phòng Thanh tra GD - Quan hệ DN</v>
      </c>
      <c r="F67" s="1018">
        <v>4.32</v>
      </c>
      <c r="G67" s="1019"/>
      <c r="H67" s="1248">
        <f t="shared" si="0"/>
        <v>0</v>
      </c>
      <c r="I67" s="1020"/>
      <c r="J67" s="1020" t="str">
        <f>VLOOKUP(B67,'[27]Gui chi Quynh'!$B$11:$E$396,4,FALSE)</f>
        <v>A3</v>
      </c>
      <c r="K67" s="1020">
        <f t="shared" si="1"/>
        <v>0.6</v>
      </c>
      <c r="L67" s="1021">
        <v>20</v>
      </c>
      <c r="M67" s="1021">
        <f>VLOOKUP(B67,'[28]CN BC'!$H$10:$J$275,3,FALSE)</f>
        <v>23</v>
      </c>
      <c r="N67" s="1021">
        <f t="shared" si="2"/>
        <v>20</v>
      </c>
      <c r="O67" s="1022"/>
      <c r="P67" s="1023">
        <f t="shared" si="3"/>
        <v>6065280</v>
      </c>
      <c r="Q67" s="1477">
        <f t="shared" si="5"/>
        <v>2.5920000000000001</v>
      </c>
      <c r="R67" s="1429">
        <v>2340000</v>
      </c>
      <c r="S67" s="1478">
        <f t="shared" si="6"/>
        <v>6065280</v>
      </c>
      <c r="T67" s="1024">
        <f t="shared" si="4"/>
        <v>43</v>
      </c>
      <c r="U67" s="1025">
        <f>IFERROR(INDEX('[28]CN BC'!$M$10:$M$276,MATCH(B67,'[28]CN BC'!$H$10:$H$276,0)),"")</f>
        <v>0</v>
      </c>
      <c r="V67" s="1011" t="str">
        <f>VLOOKUP(B67,TH.T4!B64:AC394,28,FALSE)</f>
        <v>TTrGD</v>
      </c>
      <c r="W67" s="1012"/>
      <c r="X67" s="1012"/>
      <c r="Y67" s="1027"/>
      <c r="Z67" s="1012"/>
      <c r="AA67" s="1012"/>
      <c r="AB67" s="1012"/>
      <c r="AC67" s="1012"/>
      <c r="AD67" s="1012"/>
      <c r="AE67" s="1012"/>
    </row>
    <row r="68" spans="1:35" s="1028" customFormat="1" ht="30.75" customHeight="1">
      <c r="A68" s="1014">
        <f>_xlfn.AGGREGATE(4,7,A$24:A67)+1</f>
        <v>44</v>
      </c>
      <c r="B68" s="1015" t="s">
        <v>1851</v>
      </c>
      <c r="C68" s="1029" t="s">
        <v>1632</v>
      </c>
      <c r="D68" s="1063" t="s">
        <v>1575</v>
      </c>
      <c r="E68" s="81" t="str">
        <f>VLOOKUP(B68,TH.Q2!B62:E393,4,FALSE)</f>
        <v>Nhân viên phòng Thanh tra GD - Quan hệ DN</v>
      </c>
      <c r="F68" s="1040">
        <v>3.66</v>
      </c>
      <c r="G68" s="1019"/>
      <c r="H68" s="1248">
        <f t="shared" si="0"/>
        <v>0</v>
      </c>
      <c r="I68" s="1020"/>
      <c r="J68" s="1020" t="str">
        <f>VLOOKUP(B68,'[27]Gui chi Quynh'!$B$11:$E$396,4,FALSE)</f>
        <v>A2</v>
      </c>
      <c r="K68" s="1020">
        <f t="shared" si="1"/>
        <v>0.7</v>
      </c>
      <c r="L68" s="1021">
        <v>20</v>
      </c>
      <c r="M68" s="1021">
        <f>VLOOKUP(B68,'[28]CN BC'!$H$10:$J$275,3,FALSE)</f>
        <v>22</v>
      </c>
      <c r="N68" s="1021">
        <f t="shared" si="2"/>
        <v>20</v>
      </c>
      <c r="O68" s="1022"/>
      <c r="P68" s="1023">
        <f t="shared" si="3"/>
        <v>5995080</v>
      </c>
      <c r="Q68" s="1477">
        <f t="shared" si="5"/>
        <v>2.5619999999999998</v>
      </c>
      <c r="R68" s="1429">
        <v>2340000</v>
      </c>
      <c r="S68" s="1478">
        <f t="shared" si="6"/>
        <v>5995080</v>
      </c>
      <c r="T68" s="1024">
        <f t="shared" si="4"/>
        <v>44</v>
      </c>
      <c r="U68" s="1025">
        <f>IFERROR(INDEX('[28]CN BC'!$M$10:$M$276,MATCH(B68,'[28]CN BC'!$H$10:$H$276,0)),"")</f>
        <v>0</v>
      </c>
      <c r="V68" s="1011" t="str">
        <f>VLOOKUP(B68,TH.T4!B65:AC395,28,FALSE)</f>
        <v>TTrGD</v>
      </c>
      <c r="W68" s="1012"/>
      <c r="X68" s="1012"/>
      <c r="Y68" s="1027"/>
      <c r="Z68" s="1012"/>
      <c r="AA68" s="1012"/>
      <c r="AB68" s="1012"/>
      <c r="AC68" s="1012"/>
      <c r="AD68" s="1012"/>
      <c r="AE68" s="1012"/>
      <c r="AF68" s="1012"/>
      <c r="AG68" s="1012"/>
      <c r="AH68" s="1012"/>
      <c r="AI68" s="1012"/>
    </row>
    <row r="69" spans="1:35" s="1028" customFormat="1" ht="30.75" customHeight="1">
      <c r="A69" s="1014">
        <f>_xlfn.AGGREGATE(4,7,A$24:A68)+1</f>
        <v>45</v>
      </c>
      <c r="B69" s="1015" t="s">
        <v>1561</v>
      </c>
      <c r="C69" s="1033" t="s">
        <v>1657</v>
      </c>
      <c r="D69" s="1030" t="s">
        <v>1562</v>
      </c>
      <c r="E69" s="81" t="str">
        <f>VLOOKUP(B69,TH.Q2!B63:E394,4,FALSE)</f>
        <v>Nhân viên phòng Tuyển sinh - Đào tạo</v>
      </c>
      <c r="F69" s="1040">
        <v>3.66</v>
      </c>
      <c r="G69" s="1019"/>
      <c r="H69" s="1248">
        <f t="shared" si="0"/>
        <v>0</v>
      </c>
      <c r="I69" s="1020"/>
      <c r="J69" s="1020" t="str">
        <f>VLOOKUP(B69,'[27]Gui chi Quynh'!$B$11:$E$396,4,FALSE)</f>
        <v>A2</v>
      </c>
      <c r="K69" s="1020">
        <f t="shared" si="1"/>
        <v>0.7</v>
      </c>
      <c r="L69" s="1021">
        <v>20</v>
      </c>
      <c r="M69" s="1021">
        <f>VLOOKUP(B69,'[28]CN BC'!$H$10:$J$275,3,FALSE)</f>
        <v>21</v>
      </c>
      <c r="N69" s="1021">
        <f t="shared" si="2"/>
        <v>20</v>
      </c>
      <c r="O69" s="1022"/>
      <c r="P69" s="1023">
        <f t="shared" si="3"/>
        <v>5995080</v>
      </c>
      <c r="Q69" s="1477">
        <f t="shared" si="5"/>
        <v>2.5619999999999998</v>
      </c>
      <c r="R69" s="1429">
        <v>2340000</v>
      </c>
      <c r="S69" s="1478">
        <f t="shared" si="6"/>
        <v>5995080</v>
      </c>
      <c r="T69" s="1024">
        <f t="shared" si="4"/>
        <v>45</v>
      </c>
      <c r="U69" s="1025">
        <f>IFERROR(INDEX('[28]CN BC'!$M$10:$M$276,MATCH(B69,'[28]CN BC'!$H$10:$H$276,0)),"")</f>
        <v>0</v>
      </c>
      <c r="V69" s="1011" t="str">
        <f>VLOOKUP(B69,TH.T4!B66:AC396,28,FALSE)</f>
        <v>TSĐT</v>
      </c>
      <c r="W69" s="1012"/>
      <c r="X69" s="1012"/>
      <c r="Y69" s="1038"/>
    </row>
    <row r="70" spans="1:35" s="1028" customFormat="1" ht="30.75" customHeight="1">
      <c r="A70" s="1014">
        <f>_xlfn.AGGREGATE(4,7,A$24:A69)+1</f>
        <v>46</v>
      </c>
      <c r="B70" s="1015" t="s">
        <v>1463</v>
      </c>
      <c r="C70" s="1033" t="s">
        <v>1617</v>
      </c>
      <c r="D70" s="1034" t="s">
        <v>1573</v>
      </c>
      <c r="E70" s="81" t="str">
        <f>VLOOKUP(B70,TH.Q2!B64:E395,4,FALSE)</f>
        <v>Trưởng phòng Tuyển sinh - Đào tạo</v>
      </c>
      <c r="F70" s="1040">
        <v>4.74</v>
      </c>
      <c r="G70" s="1019"/>
      <c r="H70" s="1248">
        <f t="shared" si="0"/>
        <v>0</v>
      </c>
      <c r="I70" s="1020">
        <v>0.45</v>
      </c>
      <c r="J70" s="1020" t="str">
        <f>VLOOKUP(B70,'[27]Gui chi Quynh'!$B$11:$E$396,4,FALSE)</f>
        <v>A1</v>
      </c>
      <c r="K70" s="1020">
        <f t="shared" si="1"/>
        <v>0.8</v>
      </c>
      <c r="L70" s="1021">
        <v>20</v>
      </c>
      <c r="M70" s="1021">
        <f>VLOOKUP(B70,'[28]CN BC'!$H$10:$J$275,3,FALSE)</f>
        <v>23</v>
      </c>
      <c r="N70" s="1021">
        <f t="shared" si="2"/>
        <v>20</v>
      </c>
      <c r="O70" s="1022"/>
      <c r="P70" s="1023">
        <f t="shared" si="3"/>
        <v>9715680</v>
      </c>
      <c r="Q70" s="1477">
        <f t="shared" si="5"/>
        <v>4.1520000000000001</v>
      </c>
      <c r="R70" s="1429">
        <v>2340000</v>
      </c>
      <c r="S70" s="1478">
        <f t="shared" si="6"/>
        <v>9715680</v>
      </c>
      <c r="T70" s="1024">
        <f t="shared" si="4"/>
        <v>46</v>
      </c>
      <c r="U70" s="1025">
        <f>IFERROR(INDEX('[28]CN BC'!$M$10:$M$276,MATCH(B70,'[28]CN BC'!$H$10:$H$276,0)),"")</f>
        <v>0</v>
      </c>
      <c r="V70" s="1011" t="str">
        <f>VLOOKUP(B70,TH.T4!B67:AC397,28,FALSE)</f>
        <v>TSĐT</v>
      </c>
      <c r="W70" s="1013"/>
      <c r="X70" s="1012"/>
      <c r="Y70" s="1027"/>
      <c r="Z70" s="1012"/>
      <c r="AA70" s="1012"/>
      <c r="AB70" s="1012"/>
      <c r="AC70" s="1012"/>
      <c r="AD70" s="1012"/>
      <c r="AE70" s="1012"/>
    </row>
    <row r="71" spans="1:35" s="1012" customFormat="1" ht="30.75" customHeight="1">
      <c r="A71" s="1014">
        <f>_xlfn.AGGREGATE(4,7,A$24:A70)+1</f>
        <v>47</v>
      </c>
      <c r="B71" s="1050" t="s">
        <v>1902</v>
      </c>
      <c r="C71" s="1029" t="s">
        <v>1785</v>
      </c>
      <c r="D71" s="1051" t="s">
        <v>1391</v>
      </c>
      <c r="E71" s="81" t="str">
        <f>VLOOKUP(B71,TH.Q2!B65:E396,4,FALSE)</f>
        <v>Phó TP. Tuyể sinh - Đào tạo</v>
      </c>
      <c r="F71" s="1052">
        <v>4.32</v>
      </c>
      <c r="G71" s="1053"/>
      <c r="H71" s="1248">
        <f t="shared" si="0"/>
        <v>0</v>
      </c>
      <c r="I71" s="1054">
        <v>0.35</v>
      </c>
      <c r="J71" s="1020" t="str">
        <f>VLOOKUP(B71,'[27]Gui chi Quynh'!$B$11:$E$396,4,FALSE)</f>
        <v>A1</v>
      </c>
      <c r="K71" s="1020">
        <f t="shared" si="1"/>
        <v>0.8</v>
      </c>
      <c r="L71" s="1021">
        <v>20</v>
      </c>
      <c r="M71" s="1021">
        <f>VLOOKUP(B71,'[28]CN BC'!$H$10:$J$275,3,FALSE)</f>
        <v>21.5</v>
      </c>
      <c r="N71" s="1021">
        <f t="shared" si="2"/>
        <v>20</v>
      </c>
      <c r="O71" s="1022"/>
      <c r="P71" s="1023">
        <f t="shared" si="3"/>
        <v>8742240</v>
      </c>
      <c r="Q71" s="1477">
        <f t="shared" si="5"/>
        <v>3.7360000000000002</v>
      </c>
      <c r="R71" s="1429">
        <v>2340000</v>
      </c>
      <c r="S71" s="1478">
        <f t="shared" si="6"/>
        <v>8742240</v>
      </c>
      <c r="T71" s="1024">
        <f t="shared" si="4"/>
        <v>47</v>
      </c>
      <c r="U71" s="1025">
        <f>IFERROR(INDEX('[28]CN BC'!$M$10:$M$276,MATCH(B71,'[28]CN BC'!$H$10:$H$276,0)),"")</f>
        <v>0</v>
      </c>
      <c r="V71" s="1011" t="str">
        <f>VLOOKUP(B71,TH.T4!B68:AC398,28,FALSE)</f>
        <v>TSĐT</v>
      </c>
      <c r="Y71" s="1027"/>
    </row>
    <row r="72" spans="1:35" s="1028" customFormat="1" ht="30.75" customHeight="1">
      <c r="A72" s="1014">
        <f>_xlfn.AGGREGATE(4,7,A$24:A71)+1</f>
        <v>48</v>
      </c>
      <c r="B72" s="1015" t="s">
        <v>1858</v>
      </c>
      <c r="C72" s="1033" t="s">
        <v>1659</v>
      </c>
      <c r="D72" s="1034" t="s">
        <v>1285</v>
      </c>
      <c r="E72" s="81" t="str">
        <f>VLOOKUP(B72,TH.Q2!B66:E397,4,FALSE)</f>
        <v>Nhân viên phòng TS - Đào tạo</v>
      </c>
      <c r="F72" s="1018">
        <v>4.6500000000000004</v>
      </c>
      <c r="G72" s="1019"/>
      <c r="H72" s="1248">
        <f t="shared" si="0"/>
        <v>0</v>
      </c>
      <c r="I72" s="1020"/>
      <c r="J72" s="1020" t="str">
        <f>VLOOKUP(B72,'[27]Gui chi Quynh'!$B$11:$E$396,4,FALSE)</f>
        <v>A1</v>
      </c>
      <c r="K72" s="1020">
        <f t="shared" si="1"/>
        <v>0.8</v>
      </c>
      <c r="L72" s="1021">
        <v>20</v>
      </c>
      <c r="M72" s="1021">
        <f>VLOOKUP(B72,'[28]CN BC'!$H$10:$J$275,3,FALSE)</f>
        <v>23.5</v>
      </c>
      <c r="N72" s="1021">
        <f t="shared" si="2"/>
        <v>20</v>
      </c>
      <c r="O72" s="1022"/>
      <c r="P72" s="1023">
        <f t="shared" si="3"/>
        <v>8704800</v>
      </c>
      <c r="Q72" s="1477">
        <f t="shared" si="5"/>
        <v>3.72</v>
      </c>
      <c r="R72" s="1429">
        <v>2340000</v>
      </c>
      <c r="S72" s="1478">
        <f t="shared" si="6"/>
        <v>8704800</v>
      </c>
      <c r="T72" s="1024">
        <f t="shared" si="4"/>
        <v>48</v>
      </c>
      <c r="U72" s="1025">
        <f>IFERROR(INDEX('[28]CN BC'!$M$10:$M$276,MATCH(B72,'[28]CN BC'!$H$10:$H$276,0)),"")</f>
        <v>0</v>
      </c>
      <c r="V72" s="1011" t="str">
        <f>VLOOKUP(B72,TH.T4!B69:AC399,28,FALSE)</f>
        <v>TSĐT</v>
      </c>
      <c r="W72" s="1012"/>
      <c r="X72" s="1012"/>
      <c r="Y72" s="1027"/>
      <c r="Z72" s="1012"/>
      <c r="AA72" s="1012"/>
      <c r="AB72" s="1012"/>
      <c r="AC72" s="1012"/>
      <c r="AD72" s="1012"/>
      <c r="AE72" s="1012"/>
    </row>
    <row r="73" spans="1:35" s="1028" customFormat="1" ht="30.75" customHeight="1">
      <c r="A73" s="1014">
        <f>_xlfn.AGGREGATE(4,7,A$24:A72)+1</f>
        <v>49</v>
      </c>
      <c r="B73" s="1015" t="s">
        <v>1465</v>
      </c>
      <c r="C73" s="1033" t="s">
        <v>1661</v>
      </c>
      <c r="D73" s="1047">
        <v>1603205182394</v>
      </c>
      <c r="E73" s="81" t="str">
        <f>VLOOKUP(B73,TH.Q2!B67:E398,4,FALSE)</f>
        <v>Nhân viên phòng TS - Đào tạo</v>
      </c>
      <c r="F73" s="1018">
        <v>3.99</v>
      </c>
      <c r="G73" s="1019"/>
      <c r="H73" s="1248">
        <f t="shared" si="0"/>
        <v>0</v>
      </c>
      <c r="I73" s="1020"/>
      <c r="J73" s="1020" t="str">
        <f>VLOOKUP(B73,'[27]Gui chi Quynh'!$B$11:$E$396,4,FALSE)</f>
        <v>A1</v>
      </c>
      <c r="K73" s="1020">
        <f t="shared" si="1"/>
        <v>0.8</v>
      </c>
      <c r="L73" s="1021">
        <v>20</v>
      </c>
      <c r="M73" s="1021">
        <f>VLOOKUP(B73,'[28]CN BC'!$H$10:$J$275,3,FALSE)</f>
        <v>22</v>
      </c>
      <c r="N73" s="1021">
        <f t="shared" si="2"/>
        <v>20</v>
      </c>
      <c r="O73" s="1022"/>
      <c r="P73" s="1023">
        <f t="shared" si="3"/>
        <v>7469280</v>
      </c>
      <c r="Q73" s="1477">
        <f t="shared" si="5"/>
        <v>3.1920000000000002</v>
      </c>
      <c r="R73" s="1429">
        <v>2340000</v>
      </c>
      <c r="S73" s="1478">
        <f t="shared" si="6"/>
        <v>7469280</v>
      </c>
      <c r="T73" s="1024">
        <f t="shared" si="4"/>
        <v>49</v>
      </c>
      <c r="U73" s="1025">
        <f>IFERROR(INDEX('[28]CN BC'!$M$10:$M$276,MATCH(B73,'[28]CN BC'!$H$10:$H$276,0)),"")</f>
        <v>0</v>
      </c>
      <c r="V73" s="1011" t="str">
        <f>VLOOKUP(B73,TH.T4!B70:AC400,28,FALSE)</f>
        <v>TSĐT</v>
      </c>
      <c r="W73" s="1012"/>
      <c r="X73" s="1012"/>
      <c r="Y73" s="1027"/>
      <c r="Z73" s="1012"/>
      <c r="AA73" s="1012"/>
      <c r="AB73" s="1012"/>
      <c r="AC73" s="1012"/>
      <c r="AD73" s="1012"/>
      <c r="AE73" s="1012"/>
    </row>
    <row r="74" spans="1:35" s="1028" customFormat="1" ht="30.75" customHeight="1">
      <c r="A74" s="1014">
        <f>_xlfn.AGGREGATE(4,7,A$24:A73)+1</f>
        <v>50</v>
      </c>
      <c r="B74" s="1015" t="s">
        <v>844</v>
      </c>
      <c r="C74" s="1033" t="s">
        <v>1662</v>
      </c>
      <c r="D74" s="1047" t="s">
        <v>369</v>
      </c>
      <c r="E74" s="81" t="str">
        <f>VLOOKUP(B74,TH.Q2!B68:E399,4,FALSE)</f>
        <v>Nhân viên phòng TS - Đào tạo</v>
      </c>
      <c r="F74" s="1018">
        <v>3.66</v>
      </c>
      <c r="G74" s="1019"/>
      <c r="H74" s="1248">
        <f t="shared" si="0"/>
        <v>0</v>
      </c>
      <c r="I74" s="1020"/>
      <c r="J74" s="1020" t="str">
        <f>VLOOKUP(B74,'[27]Gui chi Quynh'!$B$11:$E$396,4,FALSE)</f>
        <v>A3</v>
      </c>
      <c r="K74" s="1020">
        <f t="shared" si="1"/>
        <v>0.6</v>
      </c>
      <c r="L74" s="1021">
        <v>20</v>
      </c>
      <c r="M74" s="1021">
        <f>VLOOKUP(B74,'[28]CN BC'!$H$10:$J$275,3,FALSE)</f>
        <v>22.5</v>
      </c>
      <c r="N74" s="1021">
        <f t="shared" si="2"/>
        <v>20</v>
      </c>
      <c r="O74" s="1022"/>
      <c r="P74" s="1023">
        <f t="shared" si="3"/>
        <v>5138640</v>
      </c>
      <c r="Q74" s="1477">
        <f t="shared" si="5"/>
        <v>2.1960000000000002</v>
      </c>
      <c r="R74" s="1429">
        <v>2340000</v>
      </c>
      <c r="S74" s="1478">
        <f t="shared" si="6"/>
        <v>5138640</v>
      </c>
      <c r="T74" s="1024">
        <f t="shared" si="4"/>
        <v>50</v>
      </c>
      <c r="U74" s="1025">
        <f>IFERROR(INDEX('[28]CN BC'!$M$10:$M$276,MATCH(B74,'[28]CN BC'!$H$10:$H$276,0)),"")</f>
        <v>0</v>
      </c>
      <c r="V74" s="1011" t="str">
        <f>VLOOKUP(B74,TH.T4!B71:AC401,28,FALSE)</f>
        <v>TSĐT</v>
      </c>
      <c r="W74" s="1012"/>
      <c r="X74" s="1012"/>
      <c r="Y74" s="1027"/>
      <c r="Z74" s="1012"/>
      <c r="AA74" s="1012"/>
      <c r="AB74" s="1012"/>
      <c r="AC74" s="1012"/>
      <c r="AD74" s="1012"/>
      <c r="AE74" s="1012"/>
    </row>
    <row r="75" spans="1:35" s="1028" customFormat="1" ht="30.75" customHeight="1">
      <c r="A75" s="1014">
        <f>_xlfn.AGGREGATE(4,7,A$24:A74)+1</f>
        <v>51</v>
      </c>
      <c r="B75" s="1061" t="s">
        <v>1557</v>
      </c>
      <c r="C75" s="1033" t="s">
        <v>1664</v>
      </c>
      <c r="D75" s="1057">
        <v>1603205182762</v>
      </c>
      <c r="E75" s="81" t="str">
        <f>VLOOKUP(B75,TH.Q2!B69:E400,4,FALSE)</f>
        <v>Nhân viên phòng TS - Đào tạo</v>
      </c>
      <c r="F75" s="1040">
        <v>3.96</v>
      </c>
      <c r="G75" s="1062"/>
      <c r="H75" s="1248">
        <f t="shared" si="0"/>
        <v>0</v>
      </c>
      <c r="I75" s="1018"/>
      <c r="J75" s="1020" t="str">
        <f>VLOOKUP(B75,'[27]Gui chi Quynh'!$B$11:$E$396,4,FALSE)</f>
        <v>A1</v>
      </c>
      <c r="K75" s="1020">
        <f t="shared" si="1"/>
        <v>0.8</v>
      </c>
      <c r="L75" s="1021">
        <v>20</v>
      </c>
      <c r="M75" s="1021">
        <f>VLOOKUP(B75,'[28]CN BC'!$H$10:$J$275,3,FALSE)</f>
        <v>22.5</v>
      </c>
      <c r="N75" s="1021">
        <f t="shared" si="2"/>
        <v>20</v>
      </c>
      <c r="O75" s="1022"/>
      <c r="P75" s="1023">
        <f t="shared" si="3"/>
        <v>7413120</v>
      </c>
      <c r="Q75" s="1477">
        <f t="shared" si="5"/>
        <v>3.1680000000000001</v>
      </c>
      <c r="R75" s="1429">
        <v>2340000</v>
      </c>
      <c r="S75" s="1478">
        <f t="shared" si="6"/>
        <v>7413120</v>
      </c>
      <c r="T75" s="1024">
        <f t="shared" si="4"/>
        <v>51</v>
      </c>
      <c r="U75" s="1025">
        <f>IFERROR(INDEX('[28]CN BC'!$M$10:$M$276,MATCH(B75,'[28]CN BC'!$H$10:$H$276,0)),"")</f>
        <v>0</v>
      </c>
      <c r="V75" s="1011" t="str">
        <f>VLOOKUP(B75,TH.T4!B72:AC402,28,FALSE)</f>
        <v>TSĐT</v>
      </c>
      <c r="W75" s="1012"/>
      <c r="X75" s="1012"/>
      <c r="Y75" s="1027"/>
      <c r="Z75" s="1012"/>
      <c r="AA75" s="1012"/>
      <c r="AB75" s="1012"/>
      <c r="AC75" s="1012"/>
      <c r="AD75" s="1012"/>
      <c r="AE75" s="1012"/>
    </row>
    <row r="76" spans="1:35" s="1028" customFormat="1" ht="30.75" customHeight="1">
      <c r="A76" s="1014">
        <f>_xlfn.AGGREGATE(4,7,A$24:A75)+1</f>
        <v>52</v>
      </c>
      <c r="B76" s="1015" t="s">
        <v>1524</v>
      </c>
      <c r="C76" s="1033" t="s">
        <v>1666</v>
      </c>
      <c r="D76" s="1047">
        <v>1603205182178</v>
      </c>
      <c r="E76" s="81" t="str">
        <f>VLOOKUP(B76,TH.Q2!B70:E401,4,FALSE)</f>
        <v>Nhân viên phòng TS - Đào tạo</v>
      </c>
      <c r="F76" s="1018">
        <v>3.66</v>
      </c>
      <c r="G76" s="1019"/>
      <c r="H76" s="1248">
        <f t="shared" si="0"/>
        <v>0</v>
      </c>
      <c r="I76" s="1020"/>
      <c r="J76" s="1020" t="str">
        <f>VLOOKUP(B76,'[27]Gui chi Quynh'!$B$11:$E$396,4,FALSE)</f>
        <v>A3</v>
      </c>
      <c r="K76" s="1020">
        <f t="shared" si="1"/>
        <v>0.6</v>
      </c>
      <c r="L76" s="1021">
        <v>20</v>
      </c>
      <c r="M76" s="1021">
        <f>VLOOKUP(B76,'[28]CN BC'!$H$10:$J$275,3,FALSE)</f>
        <v>22.5</v>
      </c>
      <c r="N76" s="1021">
        <f t="shared" si="2"/>
        <v>20</v>
      </c>
      <c r="O76" s="1022"/>
      <c r="P76" s="1023">
        <f t="shared" si="3"/>
        <v>5138640</v>
      </c>
      <c r="Q76" s="1477">
        <f t="shared" si="5"/>
        <v>2.1960000000000002</v>
      </c>
      <c r="R76" s="1429">
        <v>2340000</v>
      </c>
      <c r="S76" s="1478">
        <f t="shared" si="6"/>
        <v>5138640</v>
      </c>
      <c r="T76" s="1024">
        <f t="shared" si="4"/>
        <v>52</v>
      </c>
      <c r="U76" s="1025">
        <f>IFERROR(INDEX('[28]CN BC'!$M$10:$M$276,MATCH(B76,'[28]CN BC'!$H$10:$H$276,0)),"")</f>
        <v>0</v>
      </c>
      <c r="V76" s="1011" t="str">
        <f>VLOOKUP(B76,TH.T4!B73:AC403,28,FALSE)</f>
        <v>TSĐT</v>
      </c>
      <c r="W76" s="1012"/>
      <c r="X76" s="1012"/>
      <c r="Y76" s="1027"/>
    </row>
    <row r="77" spans="1:35" s="1028" customFormat="1" ht="30.75" customHeight="1">
      <c r="A77" s="1014">
        <f>_xlfn.AGGREGATE(4,7,A$24:A76)+1</f>
        <v>53</v>
      </c>
      <c r="B77" s="1043" t="s">
        <v>1860</v>
      </c>
      <c r="C77" s="1044" t="s">
        <v>1667</v>
      </c>
      <c r="D77" s="1045">
        <v>1603205351697</v>
      </c>
      <c r="E77" s="368" t="str">
        <f>VLOOKUP(B77,TH.Q2!B71:E402,4,FALSE)</f>
        <v>Nhân viên phòng TS - Đào tạo</v>
      </c>
      <c r="F77" s="1040">
        <v>3.66</v>
      </c>
      <c r="G77" s="1019"/>
      <c r="H77" s="1255">
        <f t="shared" si="0"/>
        <v>0</v>
      </c>
      <c r="I77" s="1020"/>
      <c r="J77" s="1020" t="str">
        <f>VLOOKUP(B77,'[27]Gui chi Quynh'!$B$11:$E$396,4,FALSE)</f>
        <v>A1</v>
      </c>
      <c r="K77" s="1020">
        <f t="shared" si="1"/>
        <v>0.8</v>
      </c>
      <c r="L77" s="1021">
        <v>20</v>
      </c>
      <c r="M77" s="1021">
        <f>VLOOKUP(B77,'[28]CN BC'!$H$10:$J$275,3,FALSE)</f>
        <v>23</v>
      </c>
      <c r="N77" s="1021">
        <f t="shared" si="2"/>
        <v>20</v>
      </c>
      <c r="O77" s="1035"/>
      <c r="P77" s="1023">
        <f t="shared" si="3"/>
        <v>6851520</v>
      </c>
      <c r="Q77" s="1477">
        <f t="shared" si="5"/>
        <v>2.9279999999999999</v>
      </c>
      <c r="R77" s="1429">
        <v>2340000</v>
      </c>
      <c r="S77" s="1478">
        <f t="shared" si="6"/>
        <v>6851520</v>
      </c>
      <c r="T77" s="1024">
        <f t="shared" si="4"/>
        <v>53</v>
      </c>
      <c r="U77" s="1025">
        <f>IFERROR(INDEX('[28]CN BC'!$M$10:$M$276,MATCH(B77,'[28]CN BC'!$H$10:$H$276,0)),"")</f>
        <v>0</v>
      </c>
      <c r="V77" s="1067" t="str">
        <f>VLOOKUP(B77,TH.T4!B74:AC404,28,FALSE)</f>
        <v>TSĐT</v>
      </c>
      <c r="W77" s="1105"/>
      <c r="Y77" s="1038"/>
    </row>
    <row r="78" spans="1:35" s="1028" customFormat="1" ht="30.75" customHeight="1">
      <c r="A78" s="1014">
        <f>_xlfn.AGGREGATE(4,7,A$24:A77)+1</f>
        <v>54</v>
      </c>
      <c r="B78" s="1015" t="s">
        <v>1484</v>
      </c>
      <c r="C78" s="1033" t="s">
        <v>1649</v>
      </c>
      <c r="D78" s="1045">
        <v>1603205357194</v>
      </c>
      <c r="E78" s="81" t="str">
        <f>VLOOKUP(B78,TH.Q2!B72:E403,4,FALSE)</f>
        <v>Nhân viên phòng Tuyển sinh - Đào tạo</v>
      </c>
      <c r="F78" s="1064">
        <v>3.33</v>
      </c>
      <c r="G78" s="1019"/>
      <c r="H78" s="1248">
        <f t="shared" si="0"/>
        <v>0</v>
      </c>
      <c r="I78" s="1020"/>
      <c r="J78" s="1020" t="str">
        <f>VLOOKUP(B78,'[27]Gui chi Quynh'!$B$11:$E$396,4,FALSE)</f>
        <v>A3</v>
      </c>
      <c r="K78" s="1020">
        <f t="shared" si="1"/>
        <v>0.6</v>
      </c>
      <c r="L78" s="1021">
        <v>20</v>
      </c>
      <c r="M78" s="1021">
        <f>VLOOKUP(B78,'[28]CN BC'!$H$10:$J$275,3,FALSE)</f>
        <v>23</v>
      </c>
      <c r="N78" s="1021">
        <f t="shared" si="2"/>
        <v>20</v>
      </c>
      <c r="O78" s="1022"/>
      <c r="P78" s="1023">
        <f t="shared" si="3"/>
        <v>4675320</v>
      </c>
      <c r="Q78" s="1477">
        <f t="shared" si="5"/>
        <v>1.998</v>
      </c>
      <c r="R78" s="1429">
        <v>2340000</v>
      </c>
      <c r="S78" s="1478">
        <f t="shared" si="6"/>
        <v>4675320</v>
      </c>
      <c r="T78" s="1024">
        <f t="shared" si="4"/>
        <v>54</v>
      </c>
      <c r="U78" s="1025">
        <f>IFERROR(INDEX('[28]CN BC'!$M$10:$M$276,MATCH(B78,'[28]CN BC'!$H$10:$H$276,0)),"")</f>
        <v>0</v>
      </c>
      <c r="V78" s="1011" t="str">
        <f>VLOOKUP(B78,TH.T4!B75:AC405,28,FALSE)</f>
        <v>KTĐBCL</v>
      </c>
      <c r="W78" s="1012"/>
      <c r="X78" s="1012"/>
      <c r="Y78" s="1027"/>
    </row>
    <row r="79" spans="1:35" s="1012" customFormat="1" ht="30.75" customHeight="1">
      <c r="A79" s="1014">
        <f>_xlfn.AGGREGATE(4,7,A$24:A78)+1</f>
        <v>55</v>
      </c>
      <c r="B79" s="1050" t="s">
        <v>1861</v>
      </c>
      <c r="C79" s="1029" t="s">
        <v>1668</v>
      </c>
      <c r="D79" s="1051" t="s">
        <v>1361</v>
      </c>
      <c r="E79" s="81" t="str">
        <f>VLOOKUP(B79,TH.Q2!B73:E404,4,FALSE)</f>
        <v>Trưởng phòng Khảo thí và ĐBCL</v>
      </c>
      <c r="F79" s="1052">
        <v>4.6500000000000004</v>
      </c>
      <c r="G79" s="1053"/>
      <c r="H79" s="1248">
        <f t="shared" si="0"/>
        <v>0</v>
      </c>
      <c r="I79" s="1020">
        <v>0.45</v>
      </c>
      <c r="J79" s="1020" t="str">
        <f>VLOOKUP(B79,'[27]Gui chi Quynh'!$B$11:$E$396,4,FALSE)</f>
        <v>A2</v>
      </c>
      <c r="K79" s="1020">
        <f t="shared" si="1"/>
        <v>0.7</v>
      </c>
      <c r="L79" s="1021">
        <v>20</v>
      </c>
      <c r="M79" s="1021">
        <f>VLOOKUP(B79,'[28]CN BC'!$H$10:$J$275,3,FALSE)</f>
        <v>22</v>
      </c>
      <c r="N79" s="1021">
        <f t="shared" si="2"/>
        <v>20</v>
      </c>
      <c r="O79" s="1022"/>
      <c r="P79" s="1023">
        <f t="shared" si="3"/>
        <v>8353800.0000000009</v>
      </c>
      <c r="Q79" s="1477">
        <f t="shared" si="5"/>
        <v>3.5700000000000003</v>
      </c>
      <c r="R79" s="1429">
        <v>2340000</v>
      </c>
      <c r="S79" s="1478">
        <f t="shared" si="6"/>
        <v>8353800.0000000009</v>
      </c>
      <c r="T79" s="1024">
        <f t="shared" si="4"/>
        <v>55</v>
      </c>
      <c r="U79" s="1025">
        <f>IFERROR(INDEX('[28]CN BC'!$M$10:$M$276,MATCH(B79,'[28]CN BC'!$H$10:$H$276,0)),"")</f>
        <v>0</v>
      </c>
      <c r="V79" s="1011" t="str">
        <f>VLOOKUP(B79,TH.T4!B76:AC406,28,FALSE)</f>
        <v>KTĐBCL</v>
      </c>
      <c r="Y79" s="1027"/>
    </row>
    <row r="80" spans="1:35" s="1012" customFormat="1" ht="30.75" customHeight="1">
      <c r="A80" s="1014">
        <f>_xlfn.AGGREGATE(4,7,A$24:A79)+1</f>
        <v>56</v>
      </c>
      <c r="B80" s="1050" t="s">
        <v>1853</v>
      </c>
      <c r="C80" s="1029" t="s">
        <v>1639</v>
      </c>
      <c r="D80" s="1051" t="s">
        <v>1271</v>
      </c>
      <c r="E80" s="81" t="str">
        <f>VLOOKUP(B80,TH.Q2!B74:E405,4,FALSE)</f>
        <v>Phó TP. Kế hoạch - Tài chính</v>
      </c>
      <c r="F80" s="1018">
        <v>4.32</v>
      </c>
      <c r="G80" s="1053"/>
      <c r="H80" s="1248">
        <f t="shared" si="0"/>
        <v>0</v>
      </c>
      <c r="I80" s="1054">
        <v>0.35</v>
      </c>
      <c r="J80" s="1020" t="str">
        <f>VLOOKUP(B80,'[27]Gui chi Quynh'!$B$11:$E$396,4,FALSE)</f>
        <v>A2</v>
      </c>
      <c r="K80" s="1020">
        <f t="shared" si="1"/>
        <v>0.7</v>
      </c>
      <c r="L80" s="1021">
        <v>20</v>
      </c>
      <c r="M80" s="1021">
        <f>VLOOKUP(B80,'[28]CN BC'!$H$10:$J$275,3,FALSE)</f>
        <v>24</v>
      </c>
      <c r="N80" s="1021">
        <f t="shared" si="2"/>
        <v>20</v>
      </c>
      <c r="O80" s="1022"/>
      <c r="P80" s="1023">
        <f t="shared" si="3"/>
        <v>7649459.9999999991</v>
      </c>
      <c r="Q80" s="1477">
        <f t="shared" si="5"/>
        <v>3.2689999999999997</v>
      </c>
      <c r="R80" s="1429">
        <v>2340000</v>
      </c>
      <c r="S80" s="1478">
        <f t="shared" si="6"/>
        <v>7649459.9999999991</v>
      </c>
      <c r="T80" s="1024">
        <f t="shared" si="4"/>
        <v>56</v>
      </c>
      <c r="U80" s="1025">
        <f>IFERROR(INDEX('[28]CN BC'!$M$10:$M$276,MATCH(B80,'[28]CN BC'!$H$10:$H$276,0)),"")</f>
        <v>0</v>
      </c>
      <c r="V80" s="1011" t="str">
        <f>VLOOKUP(B80,TH.T4!B77:AC407,28,FALSE)</f>
        <v>KTĐBCL</v>
      </c>
      <c r="W80" s="1011"/>
      <c r="Y80" s="1027"/>
    </row>
    <row r="81" spans="1:35" s="1028" customFormat="1" ht="30.75" customHeight="1">
      <c r="A81" s="1014">
        <f>_xlfn.AGGREGATE(4,7,A$24:A80)+1</f>
        <v>57</v>
      </c>
      <c r="B81" s="1015" t="s">
        <v>842</v>
      </c>
      <c r="C81" s="1033" t="s">
        <v>1671</v>
      </c>
      <c r="D81" s="1034" t="s">
        <v>396</v>
      </c>
      <c r="E81" s="81" t="str">
        <f>VLOOKUP(B81,TH.Q2!B76:E407,4,FALSE)</f>
        <v>Nhân viên phòng Khảo thí và ĐBCL</v>
      </c>
      <c r="F81" s="1018">
        <v>3.66</v>
      </c>
      <c r="G81" s="1019"/>
      <c r="H81" s="1248">
        <f t="shared" si="0"/>
        <v>0</v>
      </c>
      <c r="I81" s="1020"/>
      <c r="J81" s="1020" t="str">
        <f>VLOOKUP(B81,'[27]Gui chi Quynh'!$B$11:$E$396,4,FALSE)</f>
        <v>A3</v>
      </c>
      <c r="K81" s="1020">
        <f t="shared" si="1"/>
        <v>0.6</v>
      </c>
      <c r="L81" s="1021">
        <v>20</v>
      </c>
      <c r="M81" s="1021">
        <f>VLOOKUP(B81,'[28]CN BC'!$H$10:$J$275,3,FALSE)</f>
        <v>23</v>
      </c>
      <c r="N81" s="1021">
        <f t="shared" si="2"/>
        <v>20</v>
      </c>
      <c r="O81" s="1022"/>
      <c r="P81" s="1023">
        <f t="shared" si="3"/>
        <v>5138640</v>
      </c>
      <c r="Q81" s="1477">
        <f t="shared" si="5"/>
        <v>2.1960000000000002</v>
      </c>
      <c r="R81" s="1429">
        <v>2340000</v>
      </c>
      <c r="S81" s="1478">
        <f t="shared" si="6"/>
        <v>5138640</v>
      </c>
      <c r="T81" s="1024">
        <f t="shared" si="4"/>
        <v>57</v>
      </c>
      <c r="U81" s="1025">
        <f>IFERROR(INDEX('[28]CN BC'!$M$10:$M$276,MATCH(B81,'[28]CN BC'!$H$10:$H$276,0)),"")</f>
        <v>0</v>
      </c>
      <c r="V81" s="1011" t="str">
        <f>VLOOKUP(B81,TH.T4!B79:AC409,28,FALSE)</f>
        <v>KTĐBCL</v>
      </c>
      <c r="W81" s="1012"/>
      <c r="X81" s="1012"/>
      <c r="Y81" s="1027"/>
      <c r="Z81" s="1012"/>
      <c r="AA81" s="1012"/>
      <c r="AB81" s="1012"/>
      <c r="AC81" s="1012"/>
      <c r="AD81" s="1012"/>
      <c r="AE81" s="1012"/>
    </row>
    <row r="82" spans="1:35" s="1028" customFormat="1" ht="30.75" customHeight="1">
      <c r="A82" s="1014">
        <f>_xlfn.AGGREGATE(4,7,A$24:A81)+1</f>
        <v>58</v>
      </c>
      <c r="B82" s="1015" t="s">
        <v>1551</v>
      </c>
      <c r="C82" s="1029" t="s">
        <v>1672</v>
      </c>
      <c r="D82" s="1057">
        <v>1603205182756</v>
      </c>
      <c r="E82" s="81" t="str">
        <f>VLOOKUP(B82,TH.Q2!B77:E408,4,FALSE)</f>
        <v>Nhân viên phòng Khảo thí và ĐBCL</v>
      </c>
      <c r="F82" s="1018">
        <v>3.66</v>
      </c>
      <c r="G82" s="1019"/>
      <c r="H82" s="1248">
        <f t="shared" si="0"/>
        <v>0</v>
      </c>
      <c r="I82" s="1020"/>
      <c r="J82" s="1020" t="str">
        <f>VLOOKUP(B82,'[27]Gui chi Quynh'!$B$11:$E$396,4,FALSE)</f>
        <v>A2</v>
      </c>
      <c r="K82" s="1020">
        <f t="shared" si="1"/>
        <v>0.7</v>
      </c>
      <c r="L82" s="1021">
        <v>20</v>
      </c>
      <c r="M82" s="1021">
        <f>VLOOKUP(B82,'[28]CN BC'!$H$10:$J$275,3,FALSE)</f>
        <v>23</v>
      </c>
      <c r="N82" s="1021">
        <f t="shared" si="2"/>
        <v>20</v>
      </c>
      <c r="O82" s="1022"/>
      <c r="P82" s="1023">
        <f t="shared" si="3"/>
        <v>5995080</v>
      </c>
      <c r="Q82" s="1477">
        <f t="shared" si="5"/>
        <v>2.5619999999999998</v>
      </c>
      <c r="R82" s="1429">
        <v>2340000</v>
      </c>
      <c r="S82" s="1478">
        <f t="shared" si="6"/>
        <v>5995080</v>
      </c>
      <c r="T82" s="1024">
        <f t="shared" si="4"/>
        <v>58</v>
      </c>
      <c r="U82" s="1025">
        <f>IFERROR(INDEX('[28]CN BC'!$M$10:$M$276,MATCH(B82,'[28]CN BC'!$H$10:$H$276,0)),"")</f>
        <v>0</v>
      </c>
      <c r="V82" s="1011" t="str">
        <f>VLOOKUP(B82,TH.T4!B80:AC410,28,FALSE)</f>
        <v>KTĐBCL</v>
      </c>
      <c r="W82" s="1012"/>
      <c r="X82" s="1219"/>
      <c r="Y82" s="1027"/>
      <c r="Z82" s="1012"/>
      <c r="AA82" s="1012"/>
      <c r="AB82" s="1012"/>
      <c r="AC82" s="1012"/>
      <c r="AD82" s="1012"/>
      <c r="AE82" s="1012"/>
      <c r="AF82" s="1012"/>
      <c r="AG82" s="1012"/>
      <c r="AH82" s="1012"/>
      <c r="AI82" s="1012"/>
    </row>
    <row r="83" spans="1:35" s="1028" customFormat="1" ht="30.75" customHeight="1">
      <c r="A83" s="1014">
        <f>_xlfn.AGGREGATE(4,7,A$24:A82)+1</f>
        <v>59</v>
      </c>
      <c r="B83" s="1015" t="s">
        <v>1521</v>
      </c>
      <c r="C83" s="1029" t="s">
        <v>1673</v>
      </c>
      <c r="D83" s="1063">
        <v>1603205286752</v>
      </c>
      <c r="E83" s="81" t="str">
        <f>VLOOKUP(B83,TH.Q2!B78:E409,4,FALSE)</f>
        <v>Nhân viên phòng Khảo thí và ĐBCL</v>
      </c>
      <c r="F83" s="1040">
        <v>3.66</v>
      </c>
      <c r="G83" s="1019"/>
      <c r="H83" s="1248">
        <f t="shared" si="0"/>
        <v>0</v>
      </c>
      <c r="I83" s="1020"/>
      <c r="J83" s="1020" t="str">
        <f>VLOOKUP(B83,'[27]Gui chi Quynh'!$B$11:$E$396,4,FALSE)</f>
        <v>A1</v>
      </c>
      <c r="K83" s="1020">
        <f t="shared" si="1"/>
        <v>0.8</v>
      </c>
      <c r="L83" s="1021">
        <v>20</v>
      </c>
      <c r="M83" s="1021">
        <f>VLOOKUP(B83,'[28]CN BC'!$H$10:$J$275,3,FALSE)</f>
        <v>23</v>
      </c>
      <c r="N83" s="1021">
        <f t="shared" si="2"/>
        <v>20</v>
      </c>
      <c r="O83" s="1022"/>
      <c r="P83" s="1023">
        <f t="shared" si="3"/>
        <v>6851520</v>
      </c>
      <c r="Q83" s="1477">
        <f t="shared" si="5"/>
        <v>2.9279999999999999</v>
      </c>
      <c r="R83" s="1429">
        <v>2340000</v>
      </c>
      <c r="S83" s="1478">
        <f t="shared" si="6"/>
        <v>6851520</v>
      </c>
      <c r="T83" s="1024">
        <f t="shared" si="4"/>
        <v>59</v>
      </c>
      <c r="U83" s="1025">
        <f>IFERROR(INDEX('[28]CN BC'!$M$10:$M$276,MATCH(B83,'[28]CN BC'!$H$10:$H$276,0)),"")</f>
        <v>0</v>
      </c>
      <c r="V83" s="1011" t="str">
        <f>VLOOKUP(B83,TH.T4!B81:AC411,28,FALSE)</f>
        <v>KTĐBCL</v>
      </c>
      <c r="W83" s="1012"/>
      <c r="X83" s="1012"/>
      <c r="Y83" s="1065"/>
      <c r="Z83" s="1012"/>
      <c r="AA83" s="1012"/>
      <c r="AB83" s="1012"/>
      <c r="AC83" s="1012"/>
      <c r="AD83" s="1012"/>
      <c r="AE83" s="1012"/>
      <c r="AF83" s="1012"/>
      <c r="AG83" s="1012"/>
      <c r="AH83" s="1012"/>
      <c r="AI83" s="1012"/>
    </row>
    <row r="84" spans="1:35" s="1028" customFormat="1" ht="30.75" customHeight="1">
      <c r="A84" s="1014">
        <f>_xlfn.AGGREGATE(4,7,A$24:A83)+1</f>
        <v>60</v>
      </c>
      <c r="B84" s="1015" t="s">
        <v>1841</v>
      </c>
      <c r="C84" s="1033" t="s">
        <v>1956</v>
      </c>
      <c r="D84" s="1066" t="s">
        <v>1931</v>
      </c>
      <c r="E84" s="81" t="s">
        <v>2394</v>
      </c>
      <c r="F84" s="1040">
        <v>3</v>
      </c>
      <c r="G84" s="1019"/>
      <c r="H84" s="1248">
        <f t="shared" si="0"/>
        <v>0</v>
      </c>
      <c r="I84" s="1020">
        <v>0.35</v>
      </c>
      <c r="J84" s="1020" t="str">
        <f>VLOOKUP(B84,'[27]Gui chi Quynh'!$B$11:$E$396,4,FALSE)</f>
        <v>A1</v>
      </c>
      <c r="K84" s="1020">
        <f t="shared" si="1"/>
        <v>0.8</v>
      </c>
      <c r="L84" s="1021">
        <v>20</v>
      </c>
      <c r="M84" s="1021">
        <f>VLOOKUP(B84,'[28]CN BC'!$H$10:$J$275,3,FALSE)</f>
        <v>25</v>
      </c>
      <c r="N84" s="1021">
        <f t="shared" si="2"/>
        <v>20</v>
      </c>
      <c r="O84" s="1022"/>
      <c r="P84" s="1023">
        <f t="shared" si="3"/>
        <v>6271200</v>
      </c>
      <c r="Q84" s="1477">
        <f t="shared" si="5"/>
        <v>2.68</v>
      </c>
      <c r="R84" s="1429">
        <v>2340000</v>
      </c>
      <c r="S84" s="1478">
        <f t="shared" si="6"/>
        <v>6271200</v>
      </c>
      <c r="T84" s="1024">
        <f t="shared" si="4"/>
        <v>60</v>
      </c>
      <c r="U84" s="1025">
        <f>IFERROR(INDEX('[28]CN BC'!$M$10:$M$276,MATCH(B84,'[28]CN BC'!$H$10:$H$276,0)),"")</f>
        <v>0</v>
      </c>
      <c r="V84" s="1011" t="str">
        <f>VLOOKUP(B84,TH.T4!B82:AC412,28,FALSE)</f>
        <v>TTĐHDL</v>
      </c>
      <c r="W84" s="1012"/>
      <c r="X84" s="1012"/>
      <c r="Y84" s="1027"/>
      <c r="Z84" s="1012"/>
      <c r="AA84" s="1012"/>
      <c r="AB84" s="1012"/>
      <c r="AC84" s="1012"/>
      <c r="AD84" s="1012"/>
      <c r="AE84" s="1012"/>
    </row>
    <row r="85" spans="1:35" s="1012" customFormat="1" ht="30.75" customHeight="1">
      <c r="A85" s="1014">
        <f>_xlfn.AGGREGATE(4,7,A$24:A84)+1</f>
        <v>61</v>
      </c>
      <c r="B85" s="1050" t="s">
        <v>1863</v>
      </c>
      <c r="C85" s="1029" t="s">
        <v>1675</v>
      </c>
      <c r="D85" s="1051" t="s">
        <v>1357</v>
      </c>
      <c r="E85" s="81" t="str">
        <f>VLOOKUP(B85,TH.Q2!B80:E411,4,FALSE)</f>
        <v>Trưởng TT Điều hành và QLDL</v>
      </c>
      <c r="F85" s="1056">
        <v>3.66</v>
      </c>
      <c r="G85" s="1053"/>
      <c r="H85" s="1248">
        <f t="shared" si="0"/>
        <v>0</v>
      </c>
      <c r="I85" s="1054">
        <v>0.45</v>
      </c>
      <c r="J85" s="1020" t="str">
        <f>VLOOKUP(B85,'[27]Gui chi Quynh'!$B$11:$E$396,4,FALSE)</f>
        <v>A1</v>
      </c>
      <c r="K85" s="1020">
        <f t="shared" si="1"/>
        <v>0.8</v>
      </c>
      <c r="L85" s="1021">
        <v>20</v>
      </c>
      <c r="M85" s="1021">
        <f>VLOOKUP(B85,'[28]CN BC'!$H$10:$J$275,3,FALSE)</f>
        <v>26</v>
      </c>
      <c r="N85" s="1021">
        <f t="shared" si="2"/>
        <v>20</v>
      </c>
      <c r="O85" s="1022"/>
      <c r="P85" s="1023">
        <f t="shared" si="3"/>
        <v>7693920</v>
      </c>
      <c r="Q85" s="1477">
        <f t="shared" si="5"/>
        <v>3.2879999999999998</v>
      </c>
      <c r="R85" s="1429">
        <v>2340000</v>
      </c>
      <c r="S85" s="1478">
        <f t="shared" si="6"/>
        <v>7693920</v>
      </c>
      <c r="T85" s="1024">
        <f t="shared" si="4"/>
        <v>61</v>
      </c>
      <c r="U85" s="1025">
        <f>IFERROR(INDEX('[28]CN BC'!$M$10:$M$276,MATCH(B85,'[28]CN BC'!$H$10:$H$276,0)),"")</f>
        <v>0</v>
      </c>
      <c r="V85" s="1011" t="str">
        <f>VLOOKUP(B85,TH.T4!B83:AC413,28,FALSE)</f>
        <v>TTĐHDL</v>
      </c>
      <c r="Y85" s="1027"/>
    </row>
    <row r="86" spans="1:35" s="1028" customFormat="1" ht="30.75" customHeight="1">
      <c r="A86" s="1014">
        <f>_xlfn.AGGREGATE(4,7,A$24:A85)+1</f>
        <v>62</v>
      </c>
      <c r="B86" s="1015" t="s">
        <v>1470</v>
      </c>
      <c r="C86" s="1029" t="s">
        <v>1679</v>
      </c>
      <c r="D86" s="1045" t="s">
        <v>1438</v>
      </c>
      <c r="E86" s="81" t="str">
        <f>VLOOKUP(B86,TH.Q2!B81:E412,4,FALSE)</f>
        <v>NV Trung tâm ĐH và QLDL</v>
      </c>
      <c r="F86" s="1018">
        <v>3.66</v>
      </c>
      <c r="G86" s="1019"/>
      <c r="H86" s="1248">
        <f t="shared" si="0"/>
        <v>0</v>
      </c>
      <c r="I86" s="1020"/>
      <c r="J86" s="1020" t="str">
        <f>VLOOKUP(B86,'[27]Gui chi Quynh'!$B$11:$E$396,4,FALSE)</f>
        <v>A1</v>
      </c>
      <c r="K86" s="1020">
        <f t="shared" si="1"/>
        <v>0.8</v>
      </c>
      <c r="L86" s="1021">
        <v>20</v>
      </c>
      <c r="M86" s="1021">
        <f>VLOOKUP(B86,'[28]CN BC'!$H$10:$J$275,3,FALSE)</f>
        <v>24</v>
      </c>
      <c r="N86" s="1021">
        <f t="shared" si="2"/>
        <v>20</v>
      </c>
      <c r="O86" s="1022"/>
      <c r="P86" s="1023">
        <f t="shared" si="3"/>
        <v>6851520</v>
      </c>
      <c r="Q86" s="1477">
        <f t="shared" si="5"/>
        <v>2.9279999999999999</v>
      </c>
      <c r="R86" s="1429">
        <v>2340000</v>
      </c>
      <c r="S86" s="1478">
        <f t="shared" si="6"/>
        <v>6851520</v>
      </c>
      <c r="T86" s="1024">
        <f t="shared" si="4"/>
        <v>62</v>
      </c>
      <c r="U86" s="1025">
        <f>IFERROR(INDEX('[28]CN BC'!$M$10:$M$276,MATCH(B86,'[28]CN BC'!$H$10:$H$276,0)),"")</f>
        <v>0</v>
      </c>
      <c r="V86" s="1011" t="str">
        <f>VLOOKUP(B86,TH.T4!B84:AC414,28,FALSE)</f>
        <v>TTĐHDL</v>
      </c>
      <c r="W86" s="1011"/>
      <c r="X86" s="1012"/>
      <c r="Y86" s="1065"/>
      <c r="Z86" s="1012"/>
      <c r="AA86" s="1012"/>
      <c r="AB86" s="1012"/>
      <c r="AC86" s="1012"/>
      <c r="AD86" s="1012"/>
      <c r="AE86" s="1012"/>
      <c r="AF86" s="1012"/>
      <c r="AG86" s="1012"/>
      <c r="AH86" s="1012"/>
      <c r="AI86" s="1012"/>
    </row>
    <row r="87" spans="1:35" s="1028" customFormat="1" ht="30.75" customHeight="1">
      <c r="A87" s="1014">
        <f>_xlfn.AGGREGATE(4,7,A$24:A86)+1</f>
        <v>63</v>
      </c>
      <c r="B87" s="1015" t="s">
        <v>1466</v>
      </c>
      <c r="C87" s="1033" t="s">
        <v>1663</v>
      </c>
      <c r="D87" s="1045" t="s">
        <v>1579</v>
      </c>
      <c r="E87" s="81" t="str">
        <f>VLOOKUP(B87,TH.Q2!B82:E413,4,FALSE)</f>
        <v>Nhân viên TT Điều hành và QLDL</v>
      </c>
      <c r="F87" s="1018">
        <v>3.26</v>
      </c>
      <c r="G87" s="1019"/>
      <c r="H87" s="1248">
        <f t="shared" si="0"/>
        <v>0</v>
      </c>
      <c r="I87" s="1020"/>
      <c r="J87" s="1020" t="str">
        <f>VLOOKUP(B87,'[27]Gui chi Quynh'!$B$11:$E$396,4,FALSE)</f>
        <v>A1</v>
      </c>
      <c r="K87" s="1020">
        <f t="shared" si="1"/>
        <v>0.8</v>
      </c>
      <c r="L87" s="1021">
        <v>20</v>
      </c>
      <c r="M87" s="1021">
        <f>VLOOKUP(B87,'[28]CN BC'!$H$10:$J$275,3,FALSE)</f>
        <v>23</v>
      </c>
      <c r="N87" s="1021">
        <f t="shared" si="2"/>
        <v>20</v>
      </c>
      <c r="O87" s="1022"/>
      <c r="P87" s="1023">
        <f t="shared" si="3"/>
        <v>6102720</v>
      </c>
      <c r="Q87" s="1477">
        <f t="shared" si="5"/>
        <v>2.6080000000000001</v>
      </c>
      <c r="R87" s="1429">
        <v>2340000</v>
      </c>
      <c r="S87" s="1478">
        <f t="shared" si="6"/>
        <v>6102720</v>
      </c>
      <c r="T87" s="1024">
        <f t="shared" si="4"/>
        <v>63</v>
      </c>
      <c r="U87" s="1025">
        <f>IFERROR(INDEX('[28]CN BC'!$M$10:$M$276,MATCH(B87,'[28]CN BC'!$H$10:$H$276,0)),"")</f>
        <v>0</v>
      </c>
      <c r="V87" s="1011" t="str">
        <f>VLOOKUP(B87,TH.T4!B85:AC415,28,FALSE)</f>
        <v>TTĐHDL</v>
      </c>
      <c r="W87" s="1012"/>
      <c r="X87" s="1012"/>
      <c r="Y87" s="1027"/>
      <c r="Z87" s="1012"/>
      <c r="AA87" s="1012"/>
      <c r="AB87" s="1012"/>
      <c r="AC87" s="1012"/>
      <c r="AD87" s="1012"/>
      <c r="AE87" s="1012"/>
    </row>
    <row r="88" spans="1:35" s="1028" customFormat="1" ht="29.25" customHeight="1">
      <c r="A88" s="1014">
        <f>_xlfn.AGGREGATE(4,7,A$24:A87)+1</f>
        <v>64</v>
      </c>
      <c r="B88" s="1015" t="s">
        <v>1834</v>
      </c>
      <c r="C88" s="1033" t="s">
        <v>1967</v>
      </c>
      <c r="D88" s="1066">
        <v>1603215005599</v>
      </c>
      <c r="E88" s="81" t="str">
        <f>VLOOKUP(B88,TH.Q2!B83:E414,4,FALSE)</f>
        <v>Phụ trách TT Thư viện</v>
      </c>
      <c r="F88" s="1040">
        <v>3.66</v>
      </c>
      <c r="G88" s="1019"/>
      <c r="H88" s="1248">
        <f t="shared" si="0"/>
        <v>0</v>
      </c>
      <c r="I88" s="1020">
        <v>0.45</v>
      </c>
      <c r="J88" s="1020" t="str">
        <f>VLOOKUP(B88,'[27]Gui chi Quynh'!$B$11:$E$396,4,FALSE)</f>
        <v>A1</v>
      </c>
      <c r="K88" s="1020">
        <f t="shared" si="1"/>
        <v>0.8</v>
      </c>
      <c r="L88" s="1021">
        <v>20</v>
      </c>
      <c r="M88" s="1021">
        <f>VLOOKUP(B88,'[28]CN BC'!$H$10:$J$275,3,FALSE)</f>
        <v>19</v>
      </c>
      <c r="N88" s="1021">
        <f t="shared" si="2"/>
        <v>19</v>
      </c>
      <c r="O88" s="1022"/>
      <c r="P88" s="1023">
        <f t="shared" si="3"/>
        <v>7309224</v>
      </c>
      <c r="Q88" s="1477">
        <f t="shared" si="5"/>
        <v>3.1236000000000002</v>
      </c>
      <c r="R88" s="1429">
        <v>2340000</v>
      </c>
      <c r="S88" s="1478">
        <f t="shared" si="6"/>
        <v>7309224</v>
      </c>
      <c r="T88" s="1024">
        <f t="shared" si="4"/>
        <v>64</v>
      </c>
      <c r="U88" s="1025" t="str">
        <f>IFERROR(INDEX('[28]CN BC'!$M$10:$M$276,MATCH(B88,'[28]CN BC'!$H$10:$H$276,0)),"")</f>
        <v>Trừ 1 ngày nghỉ phép 19/11</v>
      </c>
      <c r="V88" s="1011" t="str">
        <f>VLOOKUP(B88,TH.T4!B86:AC416,28,FALSE)</f>
        <v>TTTV</v>
      </c>
      <c r="W88" s="1012"/>
      <c r="X88" s="1012"/>
      <c r="Y88" s="1027"/>
      <c r="Z88" s="1012"/>
      <c r="AA88" s="1012"/>
      <c r="AB88" s="1012"/>
      <c r="AC88" s="1012"/>
      <c r="AD88" s="1012"/>
      <c r="AE88" s="1012"/>
    </row>
    <row r="89" spans="1:35" s="1028" customFormat="1" ht="27" customHeight="1">
      <c r="A89" s="1014">
        <f>_xlfn.AGGREGATE(4,7,A$24:A88)+1</f>
        <v>65</v>
      </c>
      <c r="B89" s="1015" t="s">
        <v>1468</v>
      </c>
      <c r="C89" s="1033" t="s">
        <v>1676</v>
      </c>
      <c r="D89" s="1045" t="s">
        <v>1580</v>
      </c>
      <c r="E89" s="81" t="str">
        <f>VLOOKUP(B89,TH.Q2!B84:E415,4,FALSE)</f>
        <v>Nhân viên TT Thư viện</v>
      </c>
      <c r="F89" s="1040">
        <v>3.33</v>
      </c>
      <c r="G89" s="1019"/>
      <c r="H89" s="1248">
        <f t="shared" ref="H89:H153" si="7">ROUND(F89*G89,3)</f>
        <v>0</v>
      </c>
      <c r="I89" s="1020"/>
      <c r="J89" s="1020" t="str">
        <f>VLOOKUP(B89,'[27]Gui chi Quynh'!$B$11:$E$396,4,FALSE)</f>
        <v>A3</v>
      </c>
      <c r="K89" s="1020">
        <f t="shared" ref="K89:K153" si="8">IF(J89="A1",0.8,IF(J89="A2",0.7,IF(J89="A3",0.6,IF(J89="A4",0.5,IF(J89="B1",0.35,IF(J89="B2",0.25,IF(J89="C1",0.15,IF(J89="C2",0.1,0))))))))</f>
        <v>0.6</v>
      </c>
      <c r="L89" s="1021">
        <v>20</v>
      </c>
      <c r="M89" s="1021">
        <f>VLOOKUP(B89,'[28]CN BC'!$H$10:$J$275,3,FALSE)</f>
        <v>20</v>
      </c>
      <c r="N89" s="1021">
        <f t="shared" ref="N89:N152" si="9">IF(M89&gt;=L89,L89,IF(M89&lt;L89,M89))</f>
        <v>20</v>
      </c>
      <c r="O89" s="1022"/>
      <c r="P89" s="1023">
        <f t="shared" ref="P89:P152" si="10">(((F89+H89+I89)*$P$21/L89*N89)*K89)+O89</f>
        <v>4675320</v>
      </c>
      <c r="Q89" s="1477">
        <f t="shared" si="5"/>
        <v>1.998</v>
      </c>
      <c r="R89" s="1429">
        <v>2340000</v>
      </c>
      <c r="S89" s="1478">
        <f t="shared" si="6"/>
        <v>4675320</v>
      </c>
      <c r="T89" s="1024">
        <f t="shared" ref="T89:T115" si="11">A89</f>
        <v>65</v>
      </c>
      <c r="U89" s="1025">
        <f>IFERROR(INDEX('[28]CN BC'!$M$10:$M$276,MATCH(B89,'[28]CN BC'!$H$10:$H$276,0)),"")</f>
        <v>0</v>
      </c>
      <c r="V89" s="1011" t="str">
        <f>VLOOKUP(B89,TH.T4!B87:AC417,28,FALSE)</f>
        <v>TTTV</v>
      </c>
      <c r="W89" s="1012"/>
      <c r="X89" s="1012"/>
      <c r="Y89" s="1027"/>
      <c r="Z89" s="1012"/>
      <c r="AA89" s="1012"/>
      <c r="AB89" s="1012"/>
      <c r="AC89" s="1012"/>
      <c r="AD89" s="1012"/>
      <c r="AE89" s="1012"/>
    </row>
    <row r="90" spans="1:35" s="1028" customFormat="1" ht="27" customHeight="1">
      <c r="A90" s="1014">
        <f>_xlfn.AGGREGATE(4,7,A$24:A89)+1</f>
        <v>66</v>
      </c>
      <c r="B90" s="1015" t="s">
        <v>1469</v>
      </c>
      <c r="C90" s="1033" t="s">
        <v>1677</v>
      </c>
      <c r="D90" s="1057">
        <v>1603205185623</v>
      </c>
      <c r="E90" s="81" t="str">
        <f>VLOOKUP(B90,TH.Q2!B85:E416,4,FALSE)</f>
        <v>Nhân viên TT Thư viện</v>
      </c>
      <c r="F90" s="1040">
        <v>3.33</v>
      </c>
      <c r="G90" s="1019"/>
      <c r="H90" s="1248">
        <f t="shared" si="7"/>
        <v>0</v>
      </c>
      <c r="I90" s="1020"/>
      <c r="J90" s="1020" t="str">
        <f>VLOOKUP(B90,'[27]Gui chi Quynh'!$B$11:$E$396,4,FALSE)</f>
        <v>A3</v>
      </c>
      <c r="K90" s="1020">
        <f t="shared" si="8"/>
        <v>0.6</v>
      </c>
      <c r="L90" s="1021">
        <v>20</v>
      </c>
      <c r="M90" s="1021">
        <f>VLOOKUP(B90,'[28]CN BC'!$H$10:$J$275,3,FALSE)</f>
        <v>20</v>
      </c>
      <c r="N90" s="1021">
        <f t="shared" si="9"/>
        <v>20</v>
      </c>
      <c r="O90" s="1022"/>
      <c r="P90" s="1023">
        <f t="shared" si="10"/>
        <v>4675320</v>
      </c>
      <c r="Q90" s="1477">
        <f t="shared" ref="Q90:Q153" si="12">P90/R90</f>
        <v>1.998</v>
      </c>
      <c r="R90" s="1429">
        <v>2340000</v>
      </c>
      <c r="S90" s="1478">
        <f t="shared" ref="S90:S153" si="13">Q90*R90</f>
        <v>4675320</v>
      </c>
      <c r="T90" s="1024">
        <f t="shared" si="11"/>
        <v>66</v>
      </c>
      <c r="U90" s="1025">
        <f>IFERROR(INDEX('[28]CN BC'!$M$10:$M$276,MATCH(B90,'[28]CN BC'!$H$10:$H$276,0)),"")</f>
        <v>0</v>
      </c>
      <c r="V90" s="1011" t="str">
        <f>VLOOKUP(B90,TH.T4!B88:AC418,28,FALSE)</f>
        <v>TTTV</v>
      </c>
      <c r="W90" s="1012"/>
      <c r="X90" s="1012"/>
      <c r="Y90" s="1027"/>
      <c r="Z90" s="1012"/>
      <c r="AA90" s="1012"/>
      <c r="AB90" s="1012"/>
      <c r="AC90" s="1012"/>
      <c r="AD90" s="1012"/>
      <c r="AE90" s="1012"/>
    </row>
    <row r="91" spans="1:35" s="1028" customFormat="1" ht="27" customHeight="1">
      <c r="A91" s="1014">
        <f>_xlfn.AGGREGATE(4,7,A$24:A90)+1</f>
        <v>67</v>
      </c>
      <c r="B91" s="1015" t="s">
        <v>1864</v>
      </c>
      <c r="C91" s="1033" t="s">
        <v>1678</v>
      </c>
      <c r="D91" s="1034" t="s">
        <v>1402</v>
      </c>
      <c r="E91" s="368" t="str">
        <f>VLOOKUP(B91,TH.Q2!B86:E417,4,FALSE)</f>
        <v>Nhân viên TT Thư viện</v>
      </c>
      <c r="F91" s="1018">
        <v>4.9800000000000004</v>
      </c>
      <c r="G91" s="1019">
        <v>0.06</v>
      </c>
      <c r="H91" s="1255">
        <f t="shared" si="7"/>
        <v>0.29899999999999999</v>
      </c>
      <c r="I91" s="1020"/>
      <c r="J91" s="1020" t="str">
        <f>VLOOKUP(B91,'[27]Gui chi Quynh'!$B$11:$E$396,4,FALSE)</f>
        <v>A4</v>
      </c>
      <c r="K91" s="1020">
        <f t="shared" si="8"/>
        <v>0.5</v>
      </c>
      <c r="L91" s="1021">
        <v>20</v>
      </c>
      <c r="M91" s="1021">
        <f>VLOOKUP(B91,'[28]CN BC'!$H$10:$J$275,3,FALSE)</f>
        <v>20</v>
      </c>
      <c r="N91" s="1021">
        <f t="shared" si="9"/>
        <v>20</v>
      </c>
      <c r="O91" s="1035"/>
      <c r="P91" s="1023">
        <f t="shared" si="10"/>
        <v>6176430.0000000009</v>
      </c>
      <c r="Q91" s="1477">
        <f t="shared" si="12"/>
        <v>2.6395000000000004</v>
      </c>
      <c r="R91" s="1429">
        <v>2340000</v>
      </c>
      <c r="S91" s="1478">
        <f t="shared" si="13"/>
        <v>6176430.0000000009</v>
      </c>
      <c r="T91" s="1024">
        <f t="shared" si="11"/>
        <v>67</v>
      </c>
      <c r="U91" s="1025">
        <f>IFERROR(INDEX('[28]CN BC'!$M$10:$M$276,MATCH(B91,'[28]CN BC'!$H$10:$H$276,0)),"")</f>
        <v>0</v>
      </c>
      <c r="V91" s="1067" t="str">
        <f>VLOOKUP(B91,TH.T4!B89:AC419,28,FALSE)</f>
        <v>TTTV</v>
      </c>
      <c r="Y91" s="1038"/>
    </row>
    <row r="92" spans="1:35" s="1028" customFormat="1" ht="31.5" customHeight="1">
      <c r="A92" s="1014">
        <f>_xlfn.AGGREGATE(4,7,A$24:A91)+1</f>
        <v>68</v>
      </c>
      <c r="B92" s="1015" t="s">
        <v>1471</v>
      </c>
      <c r="C92" s="1033" t="s">
        <v>1680</v>
      </c>
      <c r="D92" s="1045" t="s">
        <v>1581</v>
      </c>
      <c r="E92" s="81" t="str">
        <f>VLOOKUP(B92,TH.Q2!B87:E418,4,FALSE)</f>
        <v>Trưởng phòng KHCN &amp; HTQT</v>
      </c>
      <c r="F92" s="1018">
        <v>4.9800000000000004</v>
      </c>
      <c r="G92" s="1019"/>
      <c r="H92" s="1248">
        <f t="shared" si="7"/>
        <v>0</v>
      </c>
      <c r="I92" s="1020">
        <v>0.45</v>
      </c>
      <c r="J92" s="1020" t="str">
        <f>VLOOKUP(B92,'[27]Gui chi Quynh'!$B$11:$E$396,4,FALSE)</f>
        <v>A1</v>
      </c>
      <c r="K92" s="1020">
        <f t="shared" si="8"/>
        <v>0.8</v>
      </c>
      <c r="L92" s="1021">
        <v>20</v>
      </c>
      <c r="M92" s="1021">
        <f>VLOOKUP(B92,'[28]CN BC'!$H$10:$J$275,3,FALSE)</f>
        <v>20</v>
      </c>
      <c r="N92" s="1021">
        <f t="shared" si="9"/>
        <v>20</v>
      </c>
      <c r="O92" s="1022"/>
      <c r="P92" s="1023">
        <f t="shared" si="10"/>
        <v>10164960.000000002</v>
      </c>
      <c r="Q92" s="1477">
        <f t="shared" si="12"/>
        <v>4.3440000000000012</v>
      </c>
      <c r="R92" s="1429">
        <v>2340000</v>
      </c>
      <c r="S92" s="1478">
        <f t="shared" si="13"/>
        <v>10164960.000000002</v>
      </c>
      <c r="T92" s="1024">
        <f t="shared" si="11"/>
        <v>68</v>
      </c>
      <c r="U92" s="1025">
        <f>IFERROR(INDEX('[28]CN BC'!$M$10:$M$276,MATCH(B92,'[28]CN BC'!$H$10:$H$276,0)),"")</f>
        <v>0</v>
      </c>
      <c r="V92" s="1011" t="str">
        <f>VLOOKUP(B92,TH.T4!B90:AC420,28,FALSE)</f>
        <v>QLKH</v>
      </c>
      <c r="Y92" s="1038"/>
    </row>
    <row r="93" spans="1:35" s="1028" customFormat="1" ht="31.5" customHeight="1">
      <c r="A93" s="1014">
        <f>_xlfn.AGGREGATE(4,7,A$24:A92)+1</f>
        <v>69</v>
      </c>
      <c r="B93" s="1043" t="s">
        <v>2009</v>
      </c>
      <c r="C93" s="1044"/>
      <c r="D93" s="1045"/>
      <c r="E93" s="81" t="str">
        <f>VLOOKUP(B93,TH.Q2!B88:E419,4,FALSE)</f>
        <v>NV Phòng KHCN &amp; HTQT</v>
      </c>
      <c r="F93" s="1040">
        <v>3.66</v>
      </c>
      <c r="G93" s="1019"/>
      <c r="H93" s="1248">
        <f t="shared" si="7"/>
        <v>0</v>
      </c>
      <c r="I93" s="1020"/>
      <c r="J93" s="1020" t="str">
        <f>VLOOKUP(B93,'[27]Gui chi Quynh'!$B$11:$E$396,4,FALSE)</f>
        <v>A2</v>
      </c>
      <c r="K93" s="1020">
        <f t="shared" si="8"/>
        <v>0.7</v>
      </c>
      <c r="L93" s="1021">
        <v>20</v>
      </c>
      <c r="M93" s="1021">
        <f>VLOOKUP(B93,'[28]CN BC'!$H$10:$J$275,3,FALSE)</f>
        <v>20</v>
      </c>
      <c r="N93" s="1021">
        <f t="shared" si="9"/>
        <v>20</v>
      </c>
      <c r="O93" s="1022"/>
      <c r="P93" s="1023">
        <f t="shared" si="10"/>
        <v>5995080</v>
      </c>
      <c r="Q93" s="1477">
        <f t="shared" si="12"/>
        <v>2.5619999999999998</v>
      </c>
      <c r="R93" s="1429">
        <v>2340000</v>
      </c>
      <c r="S93" s="1478">
        <f t="shared" si="13"/>
        <v>5995080</v>
      </c>
      <c r="T93" s="1024">
        <f t="shared" si="11"/>
        <v>69</v>
      </c>
      <c r="U93" s="1025">
        <f>IFERROR(INDEX('[28]CN BC'!$M$10:$M$276,MATCH(B93,'[28]CN BC'!$H$10:$H$276,0)),"")</f>
        <v>0</v>
      </c>
      <c r="V93" s="1011" t="str">
        <f>VLOOKUP(B93,TH.T4!B91:AC421,28,FALSE)</f>
        <v>QLKH</v>
      </c>
      <c r="Y93" s="1038"/>
    </row>
    <row r="94" spans="1:35" s="1028" customFormat="1" ht="31.5" customHeight="1">
      <c r="A94" s="1014">
        <f>_xlfn.AGGREGATE(4,7,A$24:A93)+1</f>
        <v>70</v>
      </c>
      <c r="B94" s="1043" t="s">
        <v>1830</v>
      </c>
      <c r="C94" s="1044" t="s">
        <v>1829</v>
      </c>
      <c r="D94" s="1068">
        <v>1603205354978</v>
      </c>
      <c r="E94" s="81" t="str">
        <f>VLOOKUP(B94,TH.Q2!B89:E420,4,FALSE)</f>
        <v>Giám đốc TT Đào tạo và Quản lý vật tư thiết bị</v>
      </c>
      <c r="F94" s="1040">
        <v>3</v>
      </c>
      <c r="G94" s="1019"/>
      <c r="H94" s="1248">
        <f t="shared" si="7"/>
        <v>0</v>
      </c>
      <c r="I94" s="1020">
        <v>0.45</v>
      </c>
      <c r="J94" s="1020" t="str">
        <f>VLOOKUP(B94,'[27]Gui chi Quynh'!$B$11:$E$396,4,FALSE)</f>
        <v>A1</v>
      </c>
      <c r="K94" s="1020">
        <f t="shared" si="8"/>
        <v>0.8</v>
      </c>
      <c r="L94" s="1021">
        <v>20</v>
      </c>
      <c r="M94" s="1021">
        <f>VLOOKUP(B94,'[28]CN BC'!$H$10:$J$275,3,FALSE)</f>
        <v>30</v>
      </c>
      <c r="N94" s="1021">
        <f t="shared" si="9"/>
        <v>20</v>
      </c>
      <c r="O94" s="1022"/>
      <c r="P94" s="1023">
        <f t="shared" si="10"/>
        <v>6458400</v>
      </c>
      <c r="Q94" s="1477">
        <f t="shared" si="12"/>
        <v>2.76</v>
      </c>
      <c r="R94" s="1429">
        <v>2340000</v>
      </c>
      <c r="S94" s="1478">
        <f t="shared" si="13"/>
        <v>6458399.9999999991</v>
      </c>
      <c r="T94" s="1069">
        <f t="shared" si="11"/>
        <v>70</v>
      </c>
      <c r="U94" s="1025">
        <f>IFERROR(INDEX('[28]CN BC'!$M$10:$M$276,MATCH(B94,'[28]CN BC'!$H$10:$H$276,0)),"")</f>
        <v>0</v>
      </c>
      <c r="V94" s="1011" t="str">
        <f>VLOOKUP(B94,TH.T4!B92:AC422,28,FALSE)</f>
        <v>TTĐT</v>
      </c>
      <c r="W94" s="1027"/>
      <c r="X94" s="1012"/>
      <c r="Y94" s="1012"/>
      <c r="Z94" s="1012"/>
      <c r="AA94" s="1012"/>
      <c r="AB94" s="1012"/>
      <c r="AC94" s="1012"/>
      <c r="AD94" s="1012"/>
      <c r="AE94" s="1012"/>
    </row>
    <row r="95" spans="1:35" s="1012" customFormat="1" ht="31.5" customHeight="1">
      <c r="A95" s="1014">
        <f>_xlfn.AGGREGATE(4,7,A$24:A94)+1</f>
        <v>71</v>
      </c>
      <c r="B95" s="1050" t="s">
        <v>2005</v>
      </c>
      <c r="C95" s="1070" t="s">
        <v>1826</v>
      </c>
      <c r="D95" s="1071" t="s">
        <v>12</v>
      </c>
      <c r="E95" s="81" t="str">
        <f>VLOOKUP(B95,TH.Q2!B90:E421,4,FALSE)</f>
        <v>TT Đào tạo và Quản lý vật tư thiết bị</v>
      </c>
      <c r="F95" s="1054">
        <v>3.34</v>
      </c>
      <c r="G95" s="1072"/>
      <c r="H95" s="1248">
        <f t="shared" si="7"/>
        <v>0</v>
      </c>
      <c r="I95" s="1072">
        <v>0</v>
      </c>
      <c r="J95" s="1020" t="str">
        <f>VLOOKUP(B95,'[27]Gui chi Quynh'!$B$11:$E$396,4,FALSE)</f>
        <v>A4</v>
      </c>
      <c r="K95" s="1020">
        <f t="shared" si="8"/>
        <v>0.5</v>
      </c>
      <c r="L95" s="1021">
        <v>20</v>
      </c>
      <c r="M95" s="1021">
        <f>VLOOKUP(B95,'[28]CN BC'!$H$10:$J$275,3,FALSE)</f>
        <v>26</v>
      </c>
      <c r="N95" s="1021">
        <f t="shared" si="9"/>
        <v>20</v>
      </c>
      <c r="O95" s="1022"/>
      <c r="P95" s="1023">
        <f t="shared" si="10"/>
        <v>3907800</v>
      </c>
      <c r="Q95" s="1477">
        <f t="shared" si="12"/>
        <v>1.67</v>
      </c>
      <c r="R95" s="1429">
        <v>2340000</v>
      </c>
      <c r="S95" s="1478">
        <f t="shared" si="13"/>
        <v>3907800</v>
      </c>
      <c r="T95" s="1073">
        <f t="shared" si="11"/>
        <v>71</v>
      </c>
      <c r="U95" s="1025">
        <f>IFERROR(INDEX('[28]CN BC'!$M$10:$M$276,MATCH(B95,'[28]CN BC'!$H$10:$H$276,0)),"")</f>
        <v>0</v>
      </c>
      <c r="V95" s="1011" t="str">
        <f>VLOOKUP(B95,TH.T4!B93:AC423,28,FALSE)</f>
        <v>TTĐT</v>
      </c>
    </row>
    <row r="96" spans="1:35" s="1028" customFormat="1" ht="31.5" customHeight="1">
      <c r="A96" s="1014">
        <f>_xlfn.AGGREGATE(4,7,A$24:A95)+1</f>
        <v>72</v>
      </c>
      <c r="B96" s="1043" t="s">
        <v>1607</v>
      </c>
      <c r="C96" s="1044" t="s">
        <v>1957</v>
      </c>
      <c r="D96" s="1059">
        <v>1603215003961</v>
      </c>
      <c r="E96" s="81" t="str">
        <f>VLOOKUP(B96,TH.Q2!B91:E422,4,FALSE)</f>
        <v>Trưởng khoa Xây dựng - Nhiệt lạnh</v>
      </c>
      <c r="F96" s="1040">
        <v>3.66</v>
      </c>
      <c r="G96" s="1019"/>
      <c r="H96" s="1248">
        <f t="shared" si="7"/>
        <v>0</v>
      </c>
      <c r="I96" s="1020">
        <v>0.45</v>
      </c>
      <c r="J96" s="1020" t="str">
        <f>VLOOKUP(B96,'[27]Gui chi Quynh'!$B$11:$E$396,4,FALSE)</f>
        <v>A2</v>
      </c>
      <c r="K96" s="1020">
        <f t="shared" si="8"/>
        <v>0.7</v>
      </c>
      <c r="L96" s="1021">
        <v>20</v>
      </c>
      <c r="M96" s="1021">
        <f>VLOOKUP(B96,'[28]CN BC'!$H$10:$J$275,3,FALSE)</f>
        <v>20</v>
      </c>
      <c r="N96" s="1021">
        <f t="shared" si="9"/>
        <v>20</v>
      </c>
      <c r="O96" s="1022"/>
      <c r="P96" s="1023">
        <f t="shared" si="10"/>
        <v>6732180</v>
      </c>
      <c r="Q96" s="1477">
        <f t="shared" si="12"/>
        <v>2.8769999999999998</v>
      </c>
      <c r="R96" s="1429">
        <v>2340000</v>
      </c>
      <c r="S96" s="1478">
        <f t="shared" si="13"/>
        <v>6732179.9999999991</v>
      </c>
      <c r="T96" s="1024">
        <f t="shared" si="11"/>
        <v>72</v>
      </c>
      <c r="U96" s="1025">
        <f>IFERROR(INDEX('[28]CN BC'!$M$10:$M$276,MATCH(B96,'[28]CN BC'!$H$10:$H$276,0)),"")</f>
        <v>0</v>
      </c>
      <c r="V96" s="1011" t="str">
        <f>VLOOKUP(B96,TH.T4!B94:AC424,28,FALSE)</f>
        <v>XD-NL</v>
      </c>
      <c r="Y96" s="1038"/>
    </row>
    <row r="97" spans="1:35" s="1028" customFormat="1" ht="31.5" customHeight="1">
      <c r="A97" s="1014">
        <f>_xlfn.AGGREGATE(4,7,A$24:A96)+1</f>
        <v>73</v>
      </c>
      <c r="B97" s="1015" t="s">
        <v>1924</v>
      </c>
      <c r="C97" s="1033" t="s">
        <v>1958</v>
      </c>
      <c r="D97" s="1066" t="s">
        <v>1935</v>
      </c>
      <c r="E97" s="81" t="str">
        <f>VLOOKUP(B97,TH.Q2!B92:E423,4,FALSE)</f>
        <v>Giảng viên khoa Xây dựng - Nhiệt lạnh</v>
      </c>
      <c r="F97" s="1040">
        <v>3</v>
      </c>
      <c r="G97" s="1019"/>
      <c r="H97" s="1248">
        <f t="shared" si="7"/>
        <v>0</v>
      </c>
      <c r="I97" s="1020"/>
      <c r="J97" s="1020" t="str">
        <f>VLOOKUP(B97,'[27]Gui chi Quynh'!$B$11:$E$396,4,FALSE)</f>
        <v>A4</v>
      </c>
      <c r="K97" s="1020">
        <f t="shared" si="8"/>
        <v>0.5</v>
      </c>
      <c r="L97" s="1021">
        <v>20</v>
      </c>
      <c r="M97" s="1021">
        <f>VLOOKUP(B97,'[28]CN BC'!$H$10:$J$275,3,FALSE)</f>
        <v>20</v>
      </c>
      <c r="N97" s="1021">
        <f t="shared" si="9"/>
        <v>20</v>
      </c>
      <c r="O97" s="1022"/>
      <c r="P97" s="1023">
        <f t="shared" si="10"/>
        <v>3510000</v>
      </c>
      <c r="Q97" s="1477">
        <f t="shared" si="12"/>
        <v>1.5</v>
      </c>
      <c r="R97" s="1429">
        <v>2340000</v>
      </c>
      <c r="S97" s="1478">
        <f t="shared" si="13"/>
        <v>3510000</v>
      </c>
      <c r="T97" s="1024">
        <f t="shared" si="11"/>
        <v>73</v>
      </c>
      <c r="U97" s="1025">
        <f>IFERROR(INDEX('[28]CN BC'!$M$10:$M$276,MATCH(B97,'[28]CN BC'!$H$10:$H$276,0)),"")</f>
        <v>0</v>
      </c>
      <c r="V97" s="1011" t="str">
        <f>VLOOKUP(B97,TH.T4!B95:AC425,28,FALSE)</f>
        <v>XD-NL</v>
      </c>
      <c r="Y97" s="1038"/>
    </row>
    <row r="98" spans="1:35" s="1028" customFormat="1" ht="31.5" customHeight="1">
      <c r="A98" s="1014">
        <f>_xlfn.AGGREGATE(4,7,A$24:A97)+1</f>
        <v>74</v>
      </c>
      <c r="B98" s="1015" t="s">
        <v>1944</v>
      </c>
      <c r="C98" s="1033" t="s">
        <v>1959</v>
      </c>
      <c r="D98" s="1059"/>
      <c r="E98" s="81" t="str">
        <f>VLOOKUP(B98,TH.Q2!B93:E424,4,FALSE)</f>
        <v>Giảng viên khoa Xây dựng - Nhiệt lạnh</v>
      </c>
      <c r="F98" s="1018">
        <v>2.34</v>
      </c>
      <c r="G98" s="1019"/>
      <c r="H98" s="1248">
        <f t="shared" si="7"/>
        <v>0</v>
      </c>
      <c r="I98" s="1020"/>
      <c r="J98" s="1020" t="str">
        <f>VLOOKUP(B98,'[27]Gui chi Quynh'!$B$11:$E$396,4,FALSE)</f>
        <v>A3</v>
      </c>
      <c r="K98" s="1020">
        <f t="shared" si="8"/>
        <v>0.6</v>
      </c>
      <c r="L98" s="1021">
        <v>20</v>
      </c>
      <c r="M98" s="1021">
        <f>VLOOKUP(B98,'[28]CN BC'!$H$10:$J$275,3,FALSE)</f>
        <v>20</v>
      </c>
      <c r="N98" s="1021">
        <f t="shared" si="9"/>
        <v>20</v>
      </c>
      <c r="O98" s="1022"/>
      <c r="P98" s="1023">
        <f t="shared" si="10"/>
        <v>3285360</v>
      </c>
      <c r="Q98" s="1477">
        <f t="shared" si="12"/>
        <v>1.4039999999999999</v>
      </c>
      <c r="R98" s="1429">
        <v>2340000</v>
      </c>
      <c r="S98" s="1478">
        <f t="shared" si="13"/>
        <v>3285360</v>
      </c>
      <c r="T98" s="1024">
        <f t="shared" si="11"/>
        <v>74</v>
      </c>
      <c r="U98" s="1025">
        <f>IFERROR(INDEX('[28]CN BC'!$M$10:$M$276,MATCH(B98,'[28]CN BC'!$H$10:$H$276,0)),"")</f>
        <v>0</v>
      </c>
      <c r="V98" s="1011" t="str">
        <f>VLOOKUP(B98,TH.T4!B96:AC426,28,FALSE)</f>
        <v>XD-NL</v>
      </c>
      <c r="Y98" s="1038"/>
    </row>
    <row r="99" spans="1:35" s="1028" customFormat="1" ht="25.5" customHeight="1">
      <c r="A99" s="1014">
        <f>_xlfn.AGGREGATE(4,7,A$24:A98)+1</f>
        <v>75</v>
      </c>
      <c r="B99" s="1015" t="s">
        <v>1472</v>
      </c>
      <c r="C99" s="1029" t="s">
        <v>1682</v>
      </c>
      <c r="D99" s="1045" t="s">
        <v>1582</v>
      </c>
      <c r="E99" s="81" t="str">
        <f>VLOOKUP(B99,TH.Q2!B94:E425,4,FALSE)</f>
        <v>Trưởng khoa Kinh tế</v>
      </c>
      <c r="F99" s="1040">
        <v>3.99</v>
      </c>
      <c r="G99" s="1019"/>
      <c r="H99" s="1248">
        <f t="shared" si="7"/>
        <v>0</v>
      </c>
      <c r="I99" s="1020">
        <v>0.45</v>
      </c>
      <c r="J99" s="1020" t="str">
        <f>VLOOKUP(B99,'[27]Gui chi Quynh'!$B$11:$E$396,4,FALSE)</f>
        <v>A2</v>
      </c>
      <c r="K99" s="1020">
        <f t="shared" si="8"/>
        <v>0.7</v>
      </c>
      <c r="L99" s="1021">
        <v>20</v>
      </c>
      <c r="M99" s="1021">
        <f>VLOOKUP(B99,'[28]CN BC'!$H$10:$J$275,3,FALSE)</f>
        <v>20</v>
      </c>
      <c r="N99" s="1021">
        <f t="shared" si="9"/>
        <v>20</v>
      </c>
      <c r="O99" s="1022"/>
      <c r="P99" s="1023">
        <f t="shared" si="10"/>
        <v>7272720</v>
      </c>
      <c r="Q99" s="1477">
        <f t="shared" si="12"/>
        <v>3.1080000000000001</v>
      </c>
      <c r="R99" s="1429">
        <v>2340000</v>
      </c>
      <c r="S99" s="1478">
        <f t="shared" si="13"/>
        <v>7272720</v>
      </c>
      <c r="T99" s="1024">
        <f t="shared" si="11"/>
        <v>75</v>
      </c>
      <c r="U99" s="1025">
        <f>IFERROR(INDEX('[28]CN BC'!$M$10:$M$276,MATCH(B99,'[28]CN BC'!$H$10:$H$276,0)),"")</f>
        <v>0</v>
      </c>
      <c r="V99" s="1011" t="str">
        <f>VLOOKUP(B99,TH.T4!B97:AC427,28,FALSE)</f>
        <v>KT</v>
      </c>
      <c r="W99" s="1012"/>
      <c r="X99" s="1012"/>
      <c r="Y99" s="1027"/>
      <c r="Z99" s="1012"/>
      <c r="AA99" s="1012"/>
      <c r="AB99" s="1012"/>
      <c r="AC99" s="1012"/>
      <c r="AD99" s="1012"/>
      <c r="AE99" s="1012"/>
      <c r="AF99" s="1012"/>
      <c r="AG99" s="1012"/>
      <c r="AH99" s="1012"/>
      <c r="AI99" s="1012"/>
    </row>
    <row r="100" spans="1:35" s="1028" customFormat="1" ht="25.15" customHeight="1">
      <c r="A100" s="1014">
        <f>_xlfn.AGGREGATE(4,7,A$24:A99)+1</f>
        <v>76</v>
      </c>
      <c r="B100" s="1015" t="s">
        <v>1566</v>
      </c>
      <c r="C100" s="1033" t="s">
        <v>1681</v>
      </c>
      <c r="D100" s="1074" t="s">
        <v>1567</v>
      </c>
      <c r="E100" s="81" t="str">
        <f>VLOOKUP(B100,TH.Q2!B95:E426,4,FALSE)</f>
        <v>Giảng viên khoa Kinh tế</v>
      </c>
      <c r="F100" s="1040">
        <v>3.33</v>
      </c>
      <c r="G100" s="1019"/>
      <c r="H100" s="1248">
        <f t="shared" si="7"/>
        <v>0</v>
      </c>
      <c r="I100" s="1020"/>
      <c r="J100" s="1020" t="str">
        <f>VLOOKUP(B100,'[27]Gui chi Quynh'!$B$11:$E$396,4,FALSE)</f>
        <v>A3</v>
      </c>
      <c r="K100" s="1020">
        <f t="shared" si="8"/>
        <v>0.6</v>
      </c>
      <c r="L100" s="1021">
        <v>20</v>
      </c>
      <c r="M100" s="1021">
        <f>VLOOKUP(B100,'[28]CN BC'!$H$10:$J$275,3,FALSE)</f>
        <v>20</v>
      </c>
      <c r="N100" s="1021">
        <f t="shared" si="9"/>
        <v>20</v>
      </c>
      <c r="O100" s="1022"/>
      <c r="P100" s="1023">
        <f t="shared" si="10"/>
        <v>4675320</v>
      </c>
      <c r="Q100" s="1477">
        <f t="shared" si="12"/>
        <v>1.998</v>
      </c>
      <c r="R100" s="1429">
        <v>2340000</v>
      </c>
      <c r="S100" s="1478">
        <f t="shared" si="13"/>
        <v>4675320</v>
      </c>
      <c r="T100" s="1024">
        <f t="shared" si="11"/>
        <v>76</v>
      </c>
      <c r="U100" s="1025">
        <f>IFERROR(INDEX('[28]CN BC'!$M$10:$M$276,MATCH(B100,'[28]CN BC'!$H$10:$H$276,0)),"")</f>
        <v>0</v>
      </c>
      <c r="V100" s="1011" t="str">
        <f>VLOOKUP(B100,TH.T4!B98:AC428,28,FALSE)</f>
        <v>KT</v>
      </c>
      <c r="W100" s="1012"/>
      <c r="X100" s="1012"/>
      <c r="Y100" s="1027"/>
    </row>
    <row r="101" spans="1:35" s="1028" customFormat="1" ht="25.15" customHeight="1">
      <c r="A101" s="1014">
        <f>_xlfn.AGGREGATE(4,7,A$24:A100)+1</f>
        <v>77</v>
      </c>
      <c r="B101" s="1015" t="s">
        <v>1831</v>
      </c>
      <c r="C101" s="1033" t="s">
        <v>1960</v>
      </c>
      <c r="D101" s="1076">
        <v>1603215005603</v>
      </c>
      <c r="E101" s="81" t="str">
        <f>VLOOKUP(B101,TH.Q2!B96:E427,4,FALSE)</f>
        <v>Giảng viên khoa 
Kinh tế</v>
      </c>
      <c r="F101" s="1040">
        <v>3</v>
      </c>
      <c r="G101" s="1019"/>
      <c r="H101" s="1248">
        <f t="shared" si="7"/>
        <v>0</v>
      </c>
      <c r="I101" s="1020"/>
      <c r="J101" s="1020" t="str">
        <f>VLOOKUP(B101,'[27]Gui chi Quynh'!$B$11:$E$396,4,FALSE)</f>
        <v>A3</v>
      </c>
      <c r="K101" s="1020">
        <f t="shared" si="8"/>
        <v>0.6</v>
      </c>
      <c r="L101" s="1021">
        <v>20</v>
      </c>
      <c r="M101" s="1021">
        <f>VLOOKUP(B101,'[28]CN BC'!$H$10:$J$275,3,FALSE)</f>
        <v>20</v>
      </c>
      <c r="N101" s="1021">
        <f t="shared" si="9"/>
        <v>20</v>
      </c>
      <c r="O101" s="1022"/>
      <c r="P101" s="1023">
        <f t="shared" si="10"/>
        <v>4212000</v>
      </c>
      <c r="Q101" s="1477">
        <f t="shared" si="12"/>
        <v>1.8</v>
      </c>
      <c r="R101" s="1429">
        <v>2340000</v>
      </c>
      <c r="S101" s="1478">
        <f t="shared" si="13"/>
        <v>4212000</v>
      </c>
      <c r="T101" s="1024">
        <f t="shared" si="11"/>
        <v>77</v>
      </c>
      <c r="U101" s="1025">
        <f>IFERROR(INDEX('[28]CN BC'!$M$10:$M$276,MATCH(B101,'[28]CN BC'!$H$10:$H$276,0)),"")</f>
        <v>0</v>
      </c>
      <c r="V101" s="1011" t="str">
        <f>VLOOKUP(B101,TH.T4!B99:AC429,28,FALSE)</f>
        <v>KT</v>
      </c>
      <c r="W101" s="1012"/>
      <c r="X101" s="1012"/>
      <c r="Y101" s="1027"/>
      <c r="Z101" s="1012"/>
      <c r="AA101" s="1012"/>
      <c r="AB101" s="1012"/>
      <c r="AC101" s="1012"/>
      <c r="AD101" s="1012"/>
      <c r="AE101" s="1012"/>
    </row>
    <row r="102" spans="1:35" s="1028" customFormat="1" ht="26.25" customHeight="1">
      <c r="A102" s="1014">
        <f>_xlfn.AGGREGATE(4,7,A$24:A101)+1</f>
        <v>78</v>
      </c>
      <c r="B102" s="1015" t="s">
        <v>1473</v>
      </c>
      <c r="C102" s="1033" t="s">
        <v>1683</v>
      </c>
      <c r="D102" s="1045" t="s">
        <v>1583</v>
      </c>
      <c r="E102" s="81" t="str">
        <f>VLOOKUP(B102,TH.Q2!B97:E428,4,FALSE)</f>
        <v>Phó Trưởng khoa Kinh tế</v>
      </c>
      <c r="F102" s="1040">
        <v>3.66</v>
      </c>
      <c r="G102" s="1019"/>
      <c r="H102" s="1248">
        <f t="shared" si="7"/>
        <v>0</v>
      </c>
      <c r="I102" s="1020">
        <v>0.35</v>
      </c>
      <c r="J102" s="1020" t="str">
        <f>VLOOKUP(B102,'[27]Gui chi Quynh'!$B$11:$E$396,4,FALSE)</f>
        <v>A2</v>
      </c>
      <c r="K102" s="1020">
        <f t="shared" si="8"/>
        <v>0.7</v>
      </c>
      <c r="L102" s="1021">
        <v>20</v>
      </c>
      <c r="M102" s="1021">
        <f>VLOOKUP(B102,'[28]CN BC'!$H$10:$J$275,3,FALSE)</f>
        <v>20</v>
      </c>
      <c r="N102" s="1021">
        <f t="shared" si="9"/>
        <v>20</v>
      </c>
      <c r="O102" s="1022"/>
      <c r="P102" s="1023">
        <f t="shared" si="10"/>
        <v>6568380</v>
      </c>
      <c r="Q102" s="1477">
        <f t="shared" si="12"/>
        <v>2.8069999999999999</v>
      </c>
      <c r="R102" s="1429">
        <v>2340000</v>
      </c>
      <c r="S102" s="1478">
        <f t="shared" si="13"/>
        <v>6568380</v>
      </c>
      <c r="T102" s="1024">
        <f t="shared" si="11"/>
        <v>78</v>
      </c>
      <c r="U102" s="1025">
        <f>IFERROR(INDEX('[28]CN BC'!$M$10:$M$276,MATCH(B102,'[28]CN BC'!$H$10:$H$276,0)),"")</f>
        <v>0</v>
      </c>
      <c r="V102" s="1011" t="str">
        <f>VLOOKUP(B102,TH.T4!B100:AC430,28,FALSE)</f>
        <v>KT</v>
      </c>
      <c r="Y102" s="1038"/>
    </row>
    <row r="103" spans="1:35" s="1028" customFormat="1" ht="26.25" customHeight="1">
      <c r="A103" s="1014">
        <f>_xlfn.AGGREGATE(4,7,A$24:A102)+1</f>
        <v>79</v>
      </c>
      <c r="B103" s="1077" t="s">
        <v>1928</v>
      </c>
      <c r="C103" s="1033" t="s">
        <v>1961</v>
      </c>
      <c r="D103" s="1059" t="s">
        <v>1934</v>
      </c>
      <c r="E103" s="81" t="str">
        <f>VLOOKUP(B103,TH.Q2!B98:E429,4,FALSE)</f>
        <v>Giảng viên khoa Du lịch - Khách sạn</v>
      </c>
      <c r="F103" s="1075">
        <v>2.34</v>
      </c>
      <c r="G103" s="1019"/>
      <c r="H103" s="1248">
        <f t="shared" si="7"/>
        <v>0</v>
      </c>
      <c r="I103" s="1020"/>
      <c r="J103" s="1020" t="str">
        <f>VLOOKUP(B103,'[27]Gui chi Quynh'!$B$11:$E$396,4,FALSE)</f>
        <v>A4</v>
      </c>
      <c r="K103" s="1020">
        <f t="shared" si="8"/>
        <v>0.5</v>
      </c>
      <c r="L103" s="1021">
        <v>20</v>
      </c>
      <c r="M103" s="1021">
        <f>VLOOKUP(B103,'[28]CN BC'!$H$10:$J$275,3,FALSE)</f>
        <v>20</v>
      </c>
      <c r="N103" s="1021">
        <f t="shared" si="9"/>
        <v>20</v>
      </c>
      <c r="O103" s="1022"/>
      <c r="P103" s="1023">
        <f t="shared" si="10"/>
        <v>2737800</v>
      </c>
      <c r="Q103" s="1477">
        <f t="shared" si="12"/>
        <v>1.17</v>
      </c>
      <c r="R103" s="1429">
        <v>2340000</v>
      </c>
      <c r="S103" s="1478">
        <f t="shared" si="13"/>
        <v>2737800</v>
      </c>
      <c r="T103" s="1024">
        <f t="shared" si="11"/>
        <v>79</v>
      </c>
      <c r="U103" s="1025">
        <f>IFERROR(INDEX('[28]CN BC'!$M$10:$M$276,MATCH(B103,'[28]CN BC'!$H$10:$H$276,0)),"")</f>
        <v>0</v>
      </c>
      <c r="V103" s="1011" t="str">
        <f>VLOOKUP(B103,TH.T4!B101:AC431,28,FALSE)</f>
        <v>KT</v>
      </c>
      <c r="Y103" s="1038"/>
    </row>
    <row r="104" spans="1:35" s="1028" customFormat="1" ht="32.25" customHeight="1">
      <c r="A104" s="1014">
        <f>_xlfn.AGGREGATE(4,7,A$24:A103)+1</f>
        <v>80</v>
      </c>
      <c r="B104" s="1015" t="s">
        <v>1474</v>
      </c>
      <c r="C104" s="1033" t="s">
        <v>1684</v>
      </c>
      <c r="D104" s="1045" t="s">
        <v>1584</v>
      </c>
      <c r="E104" s="81" t="str">
        <f>VLOOKUP(B104,TH.Q2!B99:E430,4,FALSE)</f>
        <v>Giảng viên khoa Kinh tế</v>
      </c>
      <c r="F104" s="1040">
        <v>3.33</v>
      </c>
      <c r="G104" s="1019"/>
      <c r="H104" s="1248">
        <f t="shared" si="7"/>
        <v>0</v>
      </c>
      <c r="I104" s="1020"/>
      <c r="J104" s="1020" t="str">
        <f>VLOOKUP(B104,'[27]Gui chi Quynh'!$B$11:$E$396,4,FALSE)</f>
        <v>A3</v>
      </c>
      <c r="K104" s="1020">
        <f t="shared" si="8"/>
        <v>0.6</v>
      </c>
      <c r="L104" s="1021">
        <v>20</v>
      </c>
      <c r="M104" s="1021">
        <f>VLOOKUP(B104,'[28]CN BC'!$H$10:$J$275,3,FALSE)</f>
        <v>20</v>
      </c>
      <c r="N104" s="1021">
        <f t="shared" si="9"/>
        <v>20</v>
      </c>
      <c r="O104" s="1022"/>
      <c r="P104" s="1023">
        <f t="shared" si="10"/>
        <v>4675320</v>
      </c>
      <c r="Q104" s="1477">
        <f t="shared" si="12"/>
        <v>1.998</v>
      </c>
      <c r="R104" s="1429">
        <v>2340000</v>
      </c>
      <c r="S104" s="1478">
        <f t="shared" si="13"/>
        <v>4675320</v>
      </c>
      <c r="T104" s="1024">
        <f t="shared" si="11"/>
        <v>80</v>
      </c>
      <c r="U104" s="1025">
        <f>IFERROR(INDEX('[28]CN BC'!$M$10:$M$276,MATCH(B104,'[28]CN BC'!$H$10:$H$276,0)),"")</f>
        <v>0</v>
      </c>
      <c r="V104" s="1011" t="str">
        <f>VLOOKUP(B104,TH.T4!B102:AC432,28,FALSE)</f>
        <v>KT</v>
      </c>
      <c r="Y104" s="1038"/>
    </row>
    <row r="105" spans="1:35" s="1028" customFormat="1" ht="28.5" customHeight="1">
      <c r="A105" s="1014">
        <f>_xlfn.AGGREGATE(4,7,A$24:A104)+1</f>
        <v>81</v>
      </c>
      <c r="B105" s="1015" t="s">
        <v>1571</v>
      </c>
      <c r="C105" s="1033" t="s">
        <v>1685</v>
      </c>
      <c r="D105" s="1074" t="s">
        <v>1572</v>
      </c>
      <c r="E105" s="81" t="str">
        <f>VLOOKUP(B105,TH.Q2!B100:E431,4,FALSE)</f>
        <v>Giảng viên khoa Kinh tế</v>
      </c>
      <c r="F105" s="1040">
        <v>3.33</v>
      </c>
      <c r="G105" s="1019"/>
      <c r="H105" s="1248">
        <f t="shared" si="7"/>
        <v>0</v>
      </c>
      <c r="I105" s="1020"/>
      <c r="J105" s="1020" t="str">
        <f>VLOOKUP(B105,'[27]Gui chi Quynh'!$B$11:$E$396,4,FALSE)</f>
        <v>A3</v>
      </c>
      <c r="K105" s="1020">
        <f t="shared" si="8"/>
        <v>0.6</v>
      </c>
      <c r="L105" s="1021">
        <v>20</v>
      </c>
      <c r="M105" s="1021">
        <f>VLOOKUP(B105,'[28]CN BC'!$H$10:$J$275,3,FALSE)</f>
        <v>20</v>
      </c>
      <c r="N105" s="1021">
        <f t="shared" si="9"/>
        <v>20</v>
      </c>
      <c r="O105" s="1022"/>
      <c r="P105" s="1023">
        <f t="shared" si="10"/>
        <v>4675320</v>
      </c>
      <c r="Q105" s="1477">
        <f t="shared" si="12"/>
        <v>1.998</v>
      </c>
      <c r="R105" s="1429">
        <v>2340000</v>
      </c>
      <c r="S105" s="1478">
        <f t="shared" si="13"/>
        <v>4675320</v>
      </c>
      <c r="T105" s="1024">
        <f t="shared" si="11"/>
        <v>81</v>
      </c>
      <c r="U105" s="1025">
        <f>IFERROR(INDEX('[28]CN BC'!$M$10:$M$276,MATCH(B105,'[28]CN BC'!$H$10:$H$276,0)),"")</f>
        <v>0</v>
      </c>
      <c r="V105" s="1011" t="str">
        <f>VLOOKUP(B105,TH.T4!B103:AC433,28,FALSE)</f>
        <v>KT</v>
      </c>
      <c r="W105" s="1012"/>
      <c r="X105" s="1012"/>
      <c r="Y105" s="1027"/>
      <c r="Z105" s="1012"/>
      <c r="AA105" s="1012"/>
      <c r="AB105" s="1012"/>
      <c r="AC105" s="1012"/>
      <c r="AD105" s="1012"/>
      <c r="AE105" s="1012"/>
    </row>
    <row r="106" spans="1:35" s="1028" customFormat="1" ht="28.5" customHeight="1">
      <c r="A106" s="1014">
        <f>_xlfn.AGGREGATE(4,7,A$24:A105)+1</f>
        <v>82</v>
      </c>
      <c r="B106" s="1015" t="s">
        <v>1475</v>
      </c>
      <c r="C106" s="1033" t="s">
        <v>1686</v>
      </c>
      <c r="D106" s="1045" t="s">
        <v>1585</v>
      </c>
      <c r="E106" s="81" t="str">
        <f>VLOOKUP(B106,TH.Q2!B101:E432,4,FALSE)</f>
        <v>Giảng viên khoa Kinh tế</v>
      </c>
      <c r="F106" s="1040">
        <v>3.66</v>
      </c>
      <c r="G106" s="1019"/>
      <c r="H106" s="1248">
        <f t="shared" si="7"/>
        <v>0</v>
      </c>
      <c r="I106" s="1020"/>
      <c r="J106" s="1020" t="str">
        <f>VLOOKUP(B106,'[27]Gui chi Quynh'!$B$11:$E$396,4,FALSE)</f>
        <v>A3</v>
      </c>
      <c r="K106" s="1020">
        <f t="shared" si="8"/>
        <v>0.6</v>
      </c>
      <c r="L106" s="1021">
        <v>20</v>
      </c>
      <c r="M106" s="1021">
        <f>VLOOKUP(B106,'[28]CN BC'!$H$10:$J$275,3,FALSE)</f>
        <v>20</v>
      </c>
      <c r="N106" s="1021">
        <f t="shared" si="9"/>
        <v>20</v>
      </c>
      <c r="O106" s="1022"/>
      <c r="P106" s="1023">
        <f t="shared" si="10"/>
        <v>5138640</v>
      </c>
      <c r="Q106" s="1477">
        <f t="shared" si="12"/>
        <v>2.1960000000000002</v>
      </c>
      <c r="R106" s="1429">
        <v>2340000</v>
      </c>
      <c r="S106" s="1478">
        <f t="shared" si="13"/>
        <v>5138640</v>
      </c>
      <c r="T106" s="1024">
        <f t="shared" si="11"/>
        <v>82</v>
      </c>
      <c r="U106" s="1025">
        <f>IFERROR(INDEX('[28]CN BC'!$M$10:$M$276,MATCH(B106,'[28]CN BC'!$H$10:$H$276,0)),"")</f>
        <v>0</v>
      </c>
      <c r="V106" s="1011" t="str">
        <f>VLOOKUP(B106,TH.T4!B104:AC434,28,FALSE)</f>
        <v>KT</v>
      </c>
      <c r="W106" s="1046"/>
      <c r="X106" s="1012"/>
      <c r="Y106" s="1027"/>
    </row>
    <row r="107" spans="1:35" s="1028" customFormat="1" ht="28.5" customHeight="1">
      <c r="A107" s="1014">
        <f>_xlfn.AGGREGATE(4,7,A$24:A106)+1</f>
        <v>83</v>
      </c>
      <c r="B107" s="1015" t="s">
        <v>1476</v>
      </c>
      <c r="C107" s="1033" t="s">
        <v>1687</v>
      </c>
      <c r="D107" s="1045" t="s">
        <v>1586</v>
      </c>
      <c r="E107" s="81" t="str">
        <f>VLOOKUP(B107,TH.Q2!B102:E433,4,FALSE)</f>
        <v>Giảng viên khoa Du lịch - Khách sạn</v>
      </c>
      <c r="F107" s="1040">
        <v>3</v>
      </c>
      <c r="G107" s="1019"/>
      <c r="H107" s="1248">
        <f t="shared" si="7"/>
        <v>0</v>
      </c>
      <c r="I107" s="1020"/>
      <c r="J107" s="1020" t="str">
        <f>VLOOKUP(B107,'[27]Gui chi Quynh'!$B$11:$E$396,4,FALSE)</f>
        <v>A4</v>
      </c>
      <c r="K107" s="1020">
        <f t="shared" si="8"/>
        <v>0.5</v>
      </c>
      <c r="L107" s="1021">
        <v>20</v>
      </c>
      <c r="M107" s="1021">
        <f>VLOOKUP(B107,'[28]CN BC'!$H$10:$J$275,3,FALSE)</f>
        <v>21</v>
      </c>
      <c r="N107" s="1021">
        <f t="shared" si="9"/>
        <v>20</v>
      </c>
      <c r="O107" s="1022"/>
      <c r="P107" s="1023">
        <f t="shared" si="10"/>
        <v>3510000</v>
      </c>
      <c r="Q107" s="1477">
        <f t="shared" si="12"/>
        <v>1.5</v>
      </c>
      <c r="R107" s="1429">
        <v>2340000</v>
      </c>
      <c r="S107" s="1478">
        <f t="shared" si="13"/>
        <v>3510000</v>
      </c>
      <c r="T107" s="1024">
        <f t="shared" si="11"/>
        <v>83</v>
      </c>
      <c r="U107" s="1025">
        <f>IFERROR(INDEX('[28]CN BC'!$M$10:$M$276,MATCH(B107,'[28]CN BC'!$H$10:$H$276,0)),"")</f>
        <v>0</v>
      </c>
      <c r="V107" s="1011" t="s">
        <v>2236</v>
      </c>
      <c r="W107" s="1012"/>
      <c r="X107" s="1012"/>
      <c r="Y107" s="1027"/>
      <c r="Z107" s="1012"/>
      <c r="AA107" s="1012"/>
      <c r="AB107" s="1012"/>
      <c r="AC107" s="1012"/>
      <c r="AD107" s="1012"/>
      <c r="AE107" s="1012"/>
    </row>
    <row r="108" spans="1:35" s="1028" customFormat="1" ht="28.5" customHeight="1">
      <c r="A108" s="1014">
        <f>_xlfn.AGGREGATE(4,7,A$24:A107)+1</f>
        <v>84</v>
      </c>
      <c r="B108" s="1015" t="s">
        <v>1477</v>
      </c>
      <c r="C108" s="1033" t="s">
        <v>1688</v>
      </c>
      <c r="D108" s="1045" t="s">
        <v>1587</v>
      </c>
      <c r="E108" s="81" t="str">
        <f>VLOOKUP(B108,TH.Q2!B103:E434,4,FALSE)</f>
        <v>Giảng viên khoa Du lịch - Khách sạn</v>
      </c>
      <c r="F108" s="1040">
        <v>3.66</v>
      </c>
      <c r="G108" s="1019"/>
      <c r="H108" s="1248">
        <f t="shared" si="7"/>
        <v>0</v>
      </c>
      <c r="I108" s="1020">
        <v>0.25</v>
      </c>
      <c r="J108" s="1020" t="str">
        <f>VLOOKUP(B108,'[27]Gui chi Quynh'!$B$11:$E$396,4,FALSE)</f>
        <v>A4</v>
      </c>
      <c r="K108" s="1020">
        <f t="shared" si="8"/>
        <v>0.5</v>
      </c>
      <c r="L108" s="1021">
        <v>20</v>
      </c>
      <c r="M108" s="1021">
        <f>VLOOKUP(B108,'[28]CN BC'!$H$10:$J$275,3,FALSE)</f>
        <v>21</v>
      </c>
      <c r="N108" s="1021">
        <f t="shared" si="9"/>
        <v>20</v>
      </c>
      <c r="O108" s="1022"/>
      <c r="P108" s="1023">
        <f t="shared" si="10"/>
        <v>4574700</v>
      </c>
      <c r="Q108" s="1477">
        <f t="shared" si="12"/>
        <v>1.9550000000000001</v>
      </c>
      <c r="R108" s="1429">
        <v>2340000</v>
      </c>
      <c r="S108" s="1478">
        <f t="shared" si="13"/>
        <v>4574700</v>
      </c>
      <c r="T108" s="1024">
        <f t="shared" si="11"/>
        <v>84</v>
      </c>
      <c r="U108" s="1025">
        <f>IFERROR(INDEX('[28]CN BC'!$M$10:$M$276,MATCH(B108,'[28]CN BC'!$H$10:$H$276,0)),"")</f>
        <v>0</v>
      </c>
      <c r="V108" s="1011" t="str">
        <f>VLOOKUP(B108,TH.T4!B106:AC436,28,FALSE)</f>
        <v>DLKS</v>
      </c>
      <c r="W108" s="1012"/>
      <c r="X108" s="1012"/>
      <c r="Y108" s="1027"/>
      <c r="Z108" s="1012"/>
      <c r="AA108" s="1012"/>
      <c r="AB108" s="1012"/>
      <c r="AC108" s="1012"/>
      <c r="AD108" s="1012"/>
      <c r="AE108" s="1012"/>
    </row>
    <row r="109" spans="1:35" s="1028" customFormat="1" ht="28.5" customHeight="1">
      <c r="A109" s="1014">
        <f>_xlfn.AGGREGATE(4,7,A$24:A108)+1</f>
        <v>85</v>
      </c>
      <c r="B109" s="1077" t="s">
        <v>1842</v>
      </c>
      <c r="C109" s="1033" t="s">
        <v>1962</v>
      </c>
      <c r="D109" s="1059" t="s">
        <v>1933</v>
      </c>
      <c r="E109" s="81" t="str">
        <f>VLOOKUP(B109,TH.Q2!B104:E435,4,FALSE)</f>
        <v>Giảng viên khoa Kinh tế</v>
      </c>
      <c r="F109" s="1040">
        <v>3</v>
      </c>
      <c r="G109" s="1019"/>
      <c r="H109" s="1248">
        <f t="shared" si="7"/>
        <v>0</v>
      </c>
      <c r="I109" s="1020"/>
      <c r="J109" s="1020" t="str">
        <f>VLOOKUP(B109,'[27]Gui chi Quynh'!$B$11:$E$396,4,FALSE)</f>
        <v>A2</v>
      </c>
      <c r="K109" s="1020">
        <f t="shared" si="8"/>
        <v>0.7</v>
      </c>
      <c r="L109" s="1021">
        <v>20</v>
      </c>
      <c r="M109" s="1021">
        <f>VLOOKUP(B109,'[28]CN BC'!$H$10:$J$275,3,FALSE)</f>
        <v>25</v>
      </c>
      <c r="N109" s="1021">
        <f t="shared" si="9"/>
        <v>20</v>
      </c>
      <c r="O109" s="1022"/>
      <c r="P109" s="1023">
        <f t="shared" si="10"/>
        <v>4914000</v>
      </c>
      <c r="Q109" s="1477">
        <f t="shared" si="12"/>
        <v>2.1</v>
      </c>
      <c r="R109" s="1429">
        <v>2340000</v>
      </c>
      <c r="S109" s="1478">
        <f t="shared" si="13"/>
        <v>4914000</v>
      </c>
      <c r="T109" s="1024">
        <f t="shared" si="11"/>
        <v>85</v>
      </c>
      <c r="U109" s="1025" t="str">
        <f>IFERROR(INDEX('[17]CN BC'!$M$10:$M$276,MATCH(B109,'[17]CN BC'!$H$10:$H$276,0)),"")</f>
        <v>Hỗ trợ công việc phòng KHTC</v>
      </c>
      <c r="V109" s="1011" t="str">
        <f>VLOOKUP(B109,TH.T4!B107:AC437,28,FALSE)</f>
        <v>KT</v>
      </c>
      <c r="W109" s="1012"/>
      <c r="X109" s="1012"/>
      <c r="Y109" s="1027"/>
      <c r="Z109" s="1012"/>
      <c r="AA109" s="1012"/>
      <c r="AB109" s="1012"/>
      <c r="AC109" s="1012"/>
      <c r="AD109" s="1012"/>
      <c r="AE109" s="1012"/>
    </row>
    <row r="110" spans="1:35" s="1028" customFormat="1" ht="28.5" customHeight="1">
      <c r="A110" s="1014">
        <f>_xlfn.AGGREGATE(4,7,A$24:A109)+1</f>
        <v>86</v>
      </c>
      <c r="B110" s="1077" t="s">
        <v>1946</v>
      </c>
      <c r="C110" s="1014" t="s">
        <v>1950</v>
      </c>
      <c r="D110" s="1059" t="s">
        <v>1951</v>
      </c>
      <c r="E110" s="81" t="str">
        <f>VLOOKUP(B110,TH.Q2!B105:E436,4,FALSE)</f>
        <v>Trưởng khoa Du lịch - Khách sạn</v>
      </c>
      <c r="F110" s="1075">
        <v>2.67</v>
      </c>
      <c r="G110" s="1019"/>
      <c r="H110" s="1248">
        <f t="shared" si="7"/>
        <v>0</v>
      </c>
      <c r="I110" s="1020">
        <v>0.45</v>
      </c>
      <c r="J110" s="1020" t="str">
        <f>VLOOKUP(B110,'[27]Gui chi Quynh'!$B$11:$E$396,4,FALSE)</f>
        <v>A1</v>
      </c>
      <c r="K110" s="1020">
        <f t="shared" si="8"/>
        <v>0.8</v>
      </c>
      <c r="L110" s="1021">
        <v>20</v>
      </c>
      <c r="M110" s="1021">
        <f>VLOOKUP(B110,'[28]CN BC'!$H$10:$J$275,3,FALSE)</f>
        <v>22</v>
      </c>
      <c r="N110" s="1021">
        <f t="shared" si="9"/>
        <v>20</v>
      </c>
      <c r="O110" s="1022"/>
      <c r="P110" s="1023">
        <f t="shared" si="10"/>
        <v>5840640</v>
      </c>
      <c r="Q110" s="1477">
        <f t="shared" si="12"/>
        <v>2.496</v>
      </c>
      <c r="R110" s="1429">
        <v>2340000</v>
      </c>
      <c r="S110" s="1478">
        <f t="shared" si="13"/>
        <v>5840640</v>
      </c>
      <c r="T110" s="1024">
        <f t="shared" si="11"/>
        <v>86</v>
      </c>
      <c r="U110" s="1025">
        <f>IFERROR(INDEX('[28]CN BC'!$M$10:$M$276,MATCH(B110,'[28]CN BC'!$H$10:$H$276,0)),"")</f>
        <v>0</v>
      </c>
      <c r="V110" s="1011" t="str">
        <f>VLOOKUP(B110,TH.T4!B108:AC438,28,FALSE)</f>
        <v>DLKS</v>
      </c>
      <c r="W110" s="1012"/>
      <c r="X110" s="1012"/>
      <c r="Y110" s="1027"/>
      <c r="Z110" s="1012"/>
      <c r="AA110" s="1012"/>
      <c r="AB110" s="1012"/>
      <c r="AC110" s="1012"/>
      <c r="AD110" s="1012"/>
      <c r="AE110" s="1012"/>
    </row>
    <row r="111" spans="1:35" s="1028" customFormat="1" ht="36.75" customHeight="1">
      <c r="A111" s="1078">
        <f>_xlfn.AGGREGATE(4,7,A$24:A110)+1</f>
        <v>87</v>
      </c>
      <c r="B111" s="1079" t="s">
        <v>1947</v>
      </c>
      <c r="C111" s="1078" t="s">
        <v>1952</v>
      </c>
      <c r="D111" s="1080" t="s">
        <v>1953</v>
      </c>
      <c r="E111" s="472" t="str">
        <f>VLOOKUP(B111,TH.Q2!B106:E437,4,FALSE)</f>
        <v>Giảng viên khoa Du lịch - Khách sạn</v>
      </c>
      <c r="F111" s="1081">
        <v>2.34</v>
      </c>
      <c r="G111" s="1082"/>
      <c r="H111" s="1253">
        <f t="shared" si="7"/>
        <v>0</v>
      </c>
      <c r="I111" s="1083"/>
      <c r="J111" s="1083" t="str">
        <f>VLOOKUP(B111,'[27]Gui chi Quynh'!$B$11:$E$396,4,FALSE)</f>
        <v>A DN</v>
      </c>
      <c r="K111" s="1083">
        <f t="shared" si="8"/>
        <v>0</v>
      </c>
      <c r="L111" s="1203">
        <v>20</v>
      </c>
      <c r="M111" s="1203">
        <f>VLOOKUP(B111,'[28]CN BC'!$H$10:$J$275,3,FALSE)</f>
        <v>0</v>
      </c>
      <c r="N111" s="1203">
        <f t="shared" si="9"/>
        <v>0</v>
      </c>
      <c r="O111" s="1084"/>
      <c r="P111" s="1204">
        <f t="shared" si="10"/>
        <v>0</v>
      </c>
      <c r="Q111" s="1481">
        <f t="shared" si="12"/>
        <v>0</v>
      </c>
      <c r="R111" s="1364">
        <v>2340000</v>
      </c>
      <c r="S111" s="1482">
        <f t="shared" si="13"/>
        <v>0</v>
      </c>
      <c r="T111" s="1085">
        <f t="shared" si="11"/>
        <v>87</v>
      </c>
      <c r="U111" s="1205" t="str">
        <f>IFERROR(INDEX('[17]CN BC'!$M$10:$M$276,MATCH(B111,'[17]CN BC'!$H$10:$H$276,0)),"")</f>
        <v>Đi du học nước ngoài từ 28/2/2023</v>
      </c>
      <c r="V111" s="1011" t="str">
        <f>VLOOKUP(B111,TH.T4!B109:AC439,28,FALSE)</f>
        <v>DLKS</v>
      </c>
      <c r="W111" s="1012"/>
      <c r="X111" s="1012"/>
      <c r="Y111" s="1027"/>
      <c r="Z111" s="1012"/>
      <c r="AA111" s="1012"/>
      <c r="AB111" s="1012"/>
      <c r="AC111" s="1012"/>
      <c r="AD111" s="1012"/>
      <c r="AE111" s="1012"/>
    </row>
    <row r="112" spans="1:35" s="1028" customFormat="1" ht="28.5" customHeight="1">
      <c r="A112" s="1014">
        <f>_xlfn.AGGREGATE(4,7,A$24:A111)+1</f>
        <v>88</v>
      </c>
      <c r="B112" s="1077" t="s">
        <v>1997</v>
      </c>
      <c r="C112" s="1014"/>
      <c r="D112" s="1059"/>
      <c r="E112" s="81" t="str">
        <f>VLOOKUP(B112,TH.Q2!B107:E438,4,FALSE)</f>
        <v>Giảng viên khoa Kinh tế</v>
      </c>
      <c r="F112" s="1075">
        <v>2.34</v>
      </c>
      <c r="G112" s="1019"/>
      <c r="H112" s="1248">
        <f t="shared" si="7"/>
        <v>0</v>
      </c>
      <c r="I112" s="1020"/>
      <c r="J112" s="1020" t="str">
        <f>VLOOKUP(B112,'[27]Gui chi Quynh'!$B$11:$E$396,4,FALSE)</f>
        <v>A2</v>
      </c>
      <c r="K112" s="1020">
        <f t="shared" si="8"/>
        <v>0.7</v>
      </c>
      <c r="L112" s="1021">
        <v>20</v>
      </c>
      <c r="M112" s="1021">
        <f>VLOOKUP(B112,'[28]CN BC'!$H$10:$J$275,3,FALSE)</f>
        <v>20</v>
      </c>
      <c r="N112" s="1021">
        <f t="shared" si="9"/>
        <v>20</v>
      </c>
      <c r="O112" s="1022"/>
      <c r="P112" s="1023">
        <f t="shared" si="10"/>
        <v>3832919.9999999995</v>
      </c>
      <c r="Q112" s="1477">
        <f t="shared" si="12"/>
        <v>1.6379999999999999</v>
      </c>
      <c r="R112" s="1429">
        <v>2340000</v>
      </c>
      <c r="S112" s="1478">
        <f t="shared" si="13"/>
        <v>3832920</v>
      </c>
      <c r="T112" s="1024">
        <f t="shared" si="11"/>
        <v>88</v>
      </c>
      <c r="U112" s="1025">
        <f>IFERROR(INDEX('[28]CN BC'!$M$10:$M$276,MATCH(B112,'[28]CN BC'!$H$10:$H$276,0)),"")</f>
        <v>0</v>
      </c>
      <c r="V112" s="1011" t="str">
        <f>VLOOKUP(B112,TH.T4!B110:AC440,28,FALSE)</f>
        <v>KT</v>
      </c>
      <c r="W112" s="1012"/>
      <c r="X112" s="1012"/>
      <c r="Y112" s="1038"/>
    </row>
    <row r="113" spans="1:35" s="1028" customFormat="1" ht="28.5" customHeight="1">
      <c r="A113" s="1014">
        <f>_xlfn.AGGREGATE(4,7,A$24:A112)+1</f>
        <v>89</v>
      </c>
      <c r="B113" s="1077" t="s">
        <v>1998</v>
      </c>
      <c r="C113" s="1014"/>
      <c r="D113" s="1059"/>
      <c r="E113" s="81" t="str">
        <f>VLOOKUP(B113,TH.Q2!B108:E439,4,FALSE)</f>
        <v>Giảng viên khoa Du lịch - Khách sạn</v>
      </c>
      <c r="F113" s="1040">
        <v>3.33</v>
      </c>
      <c r="G113" s="1019"/>
      <c r="H113" s="1248">
        <f t="shared" si="7"/>
        <v>0</v>
      </c>
      <c r="I113" s="1020"/>
      <c r="J113" s="1020" t="str">
        <f>VLOOKUP(B113,'[27]Gui chi Quynh'!$B$11:$E$396,4,FALSE)</f>
        <v>A2</v>
      </c>
      <c r="K113" s="1020">
        <f t="shared" si="8"/>
        <v>0.7</v>
      </c>
      <c r="L113" s="1021">
        <v>20</v>
      </c>
      <c r="M113" s="1021">
        <f>VLOOKUP(B113,'[28]CN BC'!$H$10:$J$275,3,FALSE)</f>
        <v>22</v>
      </c>
      <c r="N113" s="1021">
        <f t="shared" si="9"/>
        <v>20</v>
      </c>
      <c r="O113" s="1022"/>
      <c r="P113" s="1023">
        <f t="shared" si="10"/>
        <v>5454540</v>
      </c>
      <c r="Q113" s="1477">
        <f t="shared" si="12"/>
        <v>2.331</v>
      </c>
      <c r="R113" s="1429">
        <v>2340000</v>
      </c>
      <c r="S113" s="1478">
        <f t="shared" si="13"/>
        <v>5454540</v>
      </c>
      <c r="T113" s="1024">
        <f t="shared" si="11"/>
        <v>89</v>
      </c>
      <c r="U113" s="1025">
        <f>IFERROR(INDEX('[28]CN BC'!$M$10:$M$276,MATCH(B113,'[28]CN BC'!$H$10:$H$276,0)),"")</f>
        <v>0</v>
      </c>
      <c r="V113" s="1011" t="str">
        <f>VLOOKUP(B113,TH.T4!B111:AC441,28,FALSE)</f>
        <v>DLKS</v>
      </c>
      <c r="W113" s="1012"/>
      <c r="X113" s="1012"/>
      <c r="Y113" s="1038"/>
    </row>
    <row r="114" spans="1:35" s="1028" customFormat="1" ht="28.5" customHeight="1">
      <c r="A114" s="1014">
        <f>_xlfn.AGGREGATE(4,7,A$24:A113)+1</f>
        <v>90</v>
      </c>
      <c r="B114" s="1077" t="s">
        <v>1999</v>
      </c>
      <c r="C114" s="1014"/>
      <c r="D114" s="1059"/>
      <c r="E114" s="81" t="str">
        <f>VLOOKUP(B114,TH.Q2!B109:E440,4,FALSE)</f>
        <v>Giảng viên khoa Kinh tế</v>
      </c>
      <c r="F114" s="1040">
        <v>3.66</v>
      </c>
      <c r="G114" s="1019"/>
      <c r="H114" s="1248">
        <f t="shared" si="7"/>
        <v>0</v>
      </c>
      <c r="I114" s="1020"/>
      <c r="J114" s="1020" t="str">
        <f>VLOOKUP(B114,'[27]Gui chi Quynh'!$B$11:$E$396,4,FALSE)</f>
        <v>A4</v>
      </c>
      <c r="K114" s="1020">
        <f t="shared" si="8"/>
        <v>0.5</v>
      </c>
      <c r="L114" s="1021">
        <v>20</v>
      </c>
      <c r="M114" s="1021">
        <f>VLOOKUP(B114,'[28]CN BC'!$H$10:$J$275,3,FALSE)</f>
        <v>20</v>
      </c>
      <c r="N114" s="1021">
        <f t="shared" si="9"/>
        <v>20</v>
      </c>
      <c r="O114" s="1022"/>
      <c r="P114" s="1023">
        <f t="shared" si="10"/>
        <v>4282200</v>
      </c>
      <c r="Q114" s="1477">
        <f t="shared" si="12"/>
        <v>1.83</v>
      </c>
      <c r="R114" s="1429">
        <v>2340000</v>
      </c>
      <c r="S114" s="1478">
        <f t="shared" si="13"/>
        <v>4282200</v>
      </c>
      <c r="T114" s="1024">
        <f t="shared" si="11"/>
        <v>90</v>
      </c>
      <c r="U114" s="1025">
        <f>IFERROR(INDEX('[28]CN BC'!$M$10:$M$276,MATCH(B114,'[28]CN BC'!$H$10:$H$276,0)),"")</f>
        <v>0</v>
      </c>
      <c r="V114" s="1011" t="str">
        <f>VLOOKUP(B114,TH.T4!B112:AC442,28,FALSE)</f>
        <v>KT</v>
      </c>
      <c r="W114" s="1012"/>
      <c r="X114" s="1012"/>
      <c r="Y114" s="1038"/>
    </row>
    <row r="115" spans="1:35" s="1028" customFormat="1" ht="28.5" customHeight="1">
      <c r="A115" s="1014">
        <f>_xlfn.AGGREGATE(4,7,A$24:A114)+1</f>
        <v>91</v>
      </c>
      <c r="B115" s="1077" t="s">
        <v>2001</v>
      </c>
      <c r="C115" s="1014"/>
      <c r="D115" s="1059"/>
      <c r="E115" s="81" t="str">
        <f>VLOOKUP(B115,TH.Q2!B110:E441,4,FALSE)</f>
        <v>Giảng viên khoa Kinh tế</v>
      </c>
      <c r="F115" s="1040">
        <v>3</v>
      </c>
      <c r="G115" s="1019"/>
      <c r="H115" s="1248">
        <f t="shared" si="7"/>
        <v>0</v>
      </c>
      <c r="I115" s="1020"/>
      <c r="J115" s="1020" t="str">
        <f>VLOOKUP(B115,'[27]Gui chi Quynh'!$B$11:$E$396,4,FALSE)</f>
        <v>A3</v>
      </c>
      <c r="K115" s="1020">
        <f t="shared" si="8"/>
        <v>0.6</v>
      </c>
      <c r="L115" s="1021">
        <v>20</v>
      </c>
      <c r="M115" s="1021">
        <f>VLOOKUP(B115,'[28]CN BC'!$H$10:$J$275,3,FALSE)</f>
        <v>20</v>
      </c>
      <c r="N115" s="1021">
        <f t="shared" si="9"/>
        <v>20</v>
      </c>
      <c r="O115" s="1022"/>
      <c r="P115" s="1023">
        <f t="shared" si="10"/>
        <v>4212000</v>
      </c>
      <c r="Q115" s="1477">
        <f t="shared" si="12"/>
        <v>1.8</v>
      </c>
      <c r="R115" s="1429">
        <v>2340000</v>
      </c>
      <c r="S115" s="1478">
        <f t="shared" si="13"/>
        <v>4212000</v>
      </c>
      <c r="T115" s="1024">
        <f t="shared" si="11"/>
        <v>91</v>
      </c>
      <c r="U115" s="1025">
        <f>IFERROR(INDEX('[28]CN BC'!$M$10:$M$276,MATCH(B115,'[28]CN BC'!$H$10:$H$276,0)),"")</f>
        <v>0</v>
      </c>
      <c r="V115" s="1011" t="str">
        <f>VLOOKUP(B115,TH.T4!B113:AC443,28,FALSE)</f>
        <v>DLKS</v>
      </c>
      <c r="W115" s="1012"/>
      <c r="X115" s="1012"/>
      <c r="Y115" s="1038"/>
    </row>
    <row r="116" spans="1:35" s="1028" customFormat="1" ht="28.5" customHeight="1">
      <c r="A116" s="1014">
        <f>_xlfn.AGGREGATE(4,7,A$24:A115)+1</f>
        <v>92</v>
      </c>
      <c r="B116" s="1077" t="s">
        <v>2096</v>
      </c>
      <c r="C116" s="1014"/>
      <c r="D116" s="1059"/>
      <c r="E116" s="368" t="str">
        <f>VLOOKUP(B116,TH.Q2!B111:E442,4,FALSE)</f>
        <v>NV Kế toán</v>
      </c>
      <c r="F116" s="1040">
        <f>2.67*85%</f>
        <v>2.2694999999999999</v>
      </c>
      <c r="G116" s="1019"/>
      <c r="H116" s="1255">
        <f t="shared" si="7"/>
        <v>0</v>
      </c>
      <c r="I116" s="1020"/>
      <c r="J116" s="1020" t="str">
        <f>VLOOKUP(B116,'[27]Gui chi Quynh'!$B$11:$E$396,4,FALSE)</f>
        <v>A3</v>
      </c>
      <c r="K116" s="1020">
        <f t="shared" si="8"/>
        <v>0.6</v>
      </c>
      <c r="L116" s="1021">
        <v>20</v>
      </c>
      <c r="M116" s="1021">
        <f>VLOOKUP(B116,'[28]CN BC'!$H$10:$J$275,3,FALSE)</f>
        <v>24</v>
      </c>
      <c r="N116" s="1021">
        <f t="shared" si="9"/>
        <v>20</v>
      </c>
      <c r="O116" s="1035"/>
      <c r="P116" s="1023">
        <f t="shared" si="10"/>
        <v>3186378</v>
      </c>
      <c r="Q116" s="1477">
        <f t="shared" si="12"/>
        <v>1.3616999999999999</v>
      </c>
      <c r="R116" s="1429">
        <v>2340000</v>
      </c>
      <c r="S116" s="1478">
        <f t="shared" si="13"/>
        <v>3186378</v>
      </c>
      <c r="T116" s="1024"/>
      <c r="U116" s="1025" t="str">
        <f>IFERROR(INDEX('[16]CN BC'!$M$10:$M$276,MATCH(B116,'[16]CN BC'!$H$10:$H$276,0)),"")</f>
        <v>Hỗ trợ công việc phòng KHTC</v>
      </c>
      <c r="V116" s="1067"/>
      <c r="Y116" s="1038"/>
    </row>
    <row r="117" spans="1:35" s="1028" customFormat="1" ht="30.75" customHeight="1">
      <c r="A117" s="1014">
        <f>_xlfn.AGGREGATE(4,7,A$24:A116)+1</f>
        <v>93</v>
      </c>
      <c r="B117" s="1077" t="s">
        <v>2021</v>
      </c>
      <c r="C117" s="1014"/>
      <c r="D117" s="1059"/>
      <c r="E117" s="368" t="str">
        <f>VLOOKUP(B117,TH.Q2!B18:E349,4,FALSE)</f>
        <v>Giảng viên khoa Kinh tế</v>
      </c>
      <c r="F117" s="1040">
        <v>3.66</v>
      </c>
      <c r="G117" s="1019"/>
      <c r="H117" s="1255">
        <f t="shared" si="7"/>
        <v>0</v>
      </c>
      <c r="I117" s="1020"/>
      <c r="J117" s="1020" t="str">
        <f>VLOOKUP(B117,'[27]Gui chi Quynh'!$B$11:$E$396,4,FALSE)</f>
        <v>A4</v>
      </c>
      <c r="K117" s="1020">
        <f t="shared" si="8"/>
        <v>0.5</v>
      </c>
      <c r="L117" s="1021">
        <v>20</v>
      </c>
      <c r="M117" s="1021">
        <f>VLOOKUP(B117,'[28]CN BC'!$H$10:$J$275,3,FALSE)</f>
        <v>20</v>
      </c>
      <c r="N117" s="1021">
        <f t="shared" si="9"/>
        <v>20</v>
      </c>
      <c r="O117" s="1035"/>
      <c r="P117" s="1023">
        <f t="shared" si="10"/>
        <v>4282200</v>
      </c>
      <c r="Q117" s="1477">
        <f t="shared" si="12"/>
        <v>1.83</v>
      </c>
      <c r="R117" s="1429">
        <v>2340000</v>
      </c>
      <c r="S117" s="1478">
        <f t="shared" si="13"/>
        <v>4282200</v>
      </c>
      <c r="T117" s="1024">
        <f t="shared" ref="T117:T161" si="14">A117</f>
        <v>93</v>
      </c>
      <c r="U117" s="1470"/>
      <c r="V117" s="1067" t="str">
        <f>VLOOKUP(B117,TH.T4!B114:AC444,28,FALSE)</f>
        <v>KT</v>
      </c>
      <c r="Y117" s="1038"/>
    </row>
    <row r="118" spans="1:35" s="1028" customFormat="1" ht="33" customHeight="1">
      <c r="A118" s="1014">
        <f>_xlfn.AGGREGATE(4,7,A$24:A117)+1</f>
        <v>94</v>
      </c>
      <c r="B118" s="1015" t="s">
        <v>1478</v>
      </c>
      <c r="C118" s="1033" t="s">
        <v>1689</v>
      </c>
      <c r="D118" s="1034" t="s">
        <v>371</v>
      </c>
      <c r="E118" s="81" t="str">
        <f>VLOOKUP(B118,TH.Q2!B19:E350,4,FALSE)</f>
        <v>Giảng viên khoa May - Thời trang</v>
      </c>
      <c r="F118" s="1040">
        <v>3.66</v>
      </c>
      <c r="G118" s="1019"/>
      <c r="H118" s="1248">
        <f t="shared" si="7"/>
        <v>0</v>
      </c>
      <c r="I118" s="1020"/>
      <c r="J118" s="1020" t="str">
        <f>VLOOKUP(B118,'[27]Gui chi Quynh'!$B$11:$E$396,4,FALSE)</f>
        <v>A4</v>
      </c>
      <c r="K118" s="1020">
        <f t="shared" si="8"/>
        <v>0.5</v>
      </c>
      <c r="L118" s="1021">
        <v>20</v>
      </c>
      <c r="M118" s="1021">
        <f>VLOOKUP(B118,'[28]CN BC'!$H$10:$J$275,3,FALSE)</f>
        <v>20</v>
      </c>
      <c r="N118" s="1021">
        <f t="shared" si="9"/>
        <v>20</v>
      </c>
      <c r="O118" s="1022"/>
      <c r="P118" s="1023">
        <f t="shared" si="10"/>
        <v>4282200</v>
      </c>
      <c r="Q118" s="1477">
        <f t="shared" si="12"/>
        <v>1.83</v>
      </c>
      <c r="R118" s="1429">
        <v>2340000</v>
      </c>
      <c r="S118" s="1478">
        <f t="shared" si="13"/>
        <v>4282200</v>
      </c>
      <c r="T118" s="1024">
        <f t="shared" si="14"/>
        <v>94</v>
      </c>
      <c r="U118" s="1025">
        <f>IFERROR(INDEX('[28]CN BC'!$M$10:$M$276,MATCH(B118,'[28]CN BC'!$H$10:$H$276,0)),"")</f>
        <v>0</v>
      </c>
      <c r="V118" s="1011" t="str">
        <f>VLOOKUP(B118,TH.T4!B115:AC445,28,FALSE)</f>
        <v>M-TT</v>
      </c>
      <c r="W118" s="1012"/>
      <c r="X118" s="1012"/>
      <c r="Y118" s="1027"/>
      <c r="Z118" s="1012"/>
      <c r="AA118" s="1012"/>
      <c r="AB118" s="1012"/>
      <c r="AC118" s="1012"/>
      <c r="AD118" s="1012"/>
      <c r="AE118" s="1012"/>
    </row>
    <row r="119" spans="1:35" s="1028" customFormat="1" ht="33" customHeight="1">
      <c r="A119" s="1014">
        <f>_xlfn.AGGREGATE(4,7,A$24:A118)+1</f>
        <v>95</v>
      </c>
      <c r="B119" s="1050" t="s">
        <v>1479</v>
      </c>
      <c r="C119" s="1029" t="s">
        <v>1690</v>
      </c>
      <c r="D119" s="1051" t="s">
        <v>372</v>
      </c>
      <c r="E119" s="81" t="str">
        <f>VLOOKUP(B119,TH.Q2!B20:E351,4,FALSE)</f>
        <v>Giảng viên khoa May - Thời trang</v>
      </c>
      <c r="F119" s="1056">
        <v>3.66</v>
      </c>
      <c r="G119" s="1053"/>
      <c r="H119" s="1248">
        <f t="shared" si="7"/>
        <v>0</v>
      </c>
      <c r="I119" s="1054"/>
      <c r="J119" s="1020" t="str">
        <f>VLOOKUP(B119,'[27]Gui chi Quynh'!$B$11:$E$396,4,FALSE)</f>
        <v>A4</v>
      </c>
      <c r="K119" s="1020">
        <f t="shared" si="8"/>
        <v>0.5</v>
      </c>
      <c r="L119" s="1021">
        <v>20</v>
      </c>
      <c r="M119" s="1021">
        <f>VLOOKUP(B119,'[28]CN BC'!$H$10:$J$275,3,FALSE)</f>
        <v>20</v>
      </c>
      <c r="N119" s="1021">
        <f t="shared" si="9"/>
        <v>20</v>
      </c>
      <c r="O119" s="1022"/>
      <c r="P119" s="1023">
        <f t="shared" si="10"/>
        <v>4282200</v>
      </c>
      <c r="Q119" s="1477">
        <f t="shared" si="12"/>
        <v>1.83</v>
      </c>
      <c r="R119" s="1429">
        <v>2340000</v>
      </c>
      <c r="S119" s="1478">
        <f t="shared" si="13"/>
        <v>4282200</v>
      </c>
      <c r="T119" s="1024">
        <f t="shared" si="14"/>
        <v>95</v>
      </c>
      <c r="U119" s="1025">
        <f>IFERROR(INDEX('[28]CN BC'!$M$10:$M$276,MATCH(B119,'[28]CN BC'!$H$10:$H$276,0)),"")</f>
        <v>0</v>
      </c>
      <c r="V119" s="1011" t="str">
        <f>VLOOKUP(B119,TH.T4!B116:AC446,28,FALSE)</f>
        <v>M-TT</v>
      </c>
      <c r="W119" s="1012"/>
      <c r="X119" s="1012"/>
      <c r="Y119" s="1027"/>
      <c r="Z119" s="1012"/>
      <c r="AA119" s="1012"/>
      <c r="AB119" s="1012"/>
      <c r="AC119" s="1012"/>
      <c r="AD119" s="1012"/>
      <c r="AE119" s="1012"/>
      <c r="AF119" s="1012"/>
      <c r="AG119" s="1012"/>
      <c r="AH119" s="1012"/>
      <c r="AI119" s="1012"/>
    </row>
    <row r="120" spans="1:35" s="1028" customFormat="1" ht="33" customHeight="1">
      <c r="A120" s="1014">
        <f>_xlfn.AGGREGATE(4,7,A$24:A119)+1</f>
        <v>96</v>
      </c>
      <c r="B120" s="1015" t="s">
        <v>1480</v>
      </c>
      <c r="C120" s="1029" t="s">
        <v>1691</v>
      </c>
      <c r="D120" s="1045" t="s">
        <v>735</v>
      </c>
      <c r="E120" s="81" t="str">
        <f>VLOOKUP(B120,TH.Q2!B21:E352,4,FALSE)</f>
        <v>Phó Trưởng khoa May - Thời trang</v>
      </c>
      <c r="F120" s="1040">
        <v>3.33</v>
      </c>
      <c r="G120" s="1019"/>
      <c r="H120" s="1248">
        <f t="shared" si="7"/>
        <v>0</v>
      </c>
      <c r="I120" s="1020">
        <v>0.45</v>
      </c>
      <c r="J120" s="1020" t="str">
        <f>VLOOKUP(B120,'[27]Gui chi Quynh'!$B$11:$E$396,4,FALSE)</f>
        <v>A2</v>
      </c>
      <c r="K120" s="1020">
        <f t="shared" si="8"/>
        <v>0.7</v>
      </c>
      <c r="L120" s="1021">
        <v>20</v>
      </c>
      <c r="M120" s="1021">
        <f>VLOOKUP(B120,'[28]CN BC'!$H$10:$J$275,3,FALSE)</f>
        <v>20</v>
      </c>
      <c r="N120" s="1021">
        <f t="shared" si="9"/>
        <v>20</v>
      </c>
      <c r="O120" s="1022"/>
      <c r="P120" s="1023">
        <f t="shared" si="10"/>
        <v>6191640</v>
      </c>
      <c r="Q120" s="1477">
        <f t="shared" si="12"/>
        <v>2.6459999999999999</v>
      </c>
      <c r="R120" s="1429">
        <v>2340000</v>
      </c>
      <c r="S120" s="1478">
        <f t="shared" si="13"/>
        <v>6191640</v>
      </c>
      <c r="T120" s="1024">
        <f t="shared" si="14"/>
        <v>96</v>
      </c>
      <c r="U120" s="1025">
        <f>IFERROR(INDEX('[28]CN BC'!$M$10:$M$276,MATCH(B120,'[28]CN BC'!$H$10:$H$276,0)),"")</f>
        <v>0</v>
      </c>
      <c r="V120" s="1011" t="str">
        <f>VLOOKUP(B120,TH.T4!B117:AC447,28,FALSE)</f>
        <v>M-TT</v>
      </c>
      <c r="W120" s="1012"/>
      <c r="X120" s="1012"/>
      <c r="Y120" s="1027"/>
      <c r="Z120" s="1012"/>
      <c r="AA120" s="1012"/>
      <c r="AB120" s="1012"/>
      <c r="AC120" s="1012"/>
      <c r="AD120" s="1012"/>
      <c r="AE120" s="1012"/>
      <c r="AF120" s="1012"/>
      <c r="AG120" s="1012"/>
      <c r="AH120" s="1012"/>
      <c r="AI120" s="1012"/>
    </row>
    <row r="121" spans="1:35" s="1028" customFormat="1" ht="33" customHeight="1">
      <c r="A121" s="1014">
        <f>_xlfn.AGGREGATE(4,7,A$24:A120)+1</f>
        <v>97</v>
      </c>
      <c r="B121" s="1015" t="s">
        <v>1481</v>
      </c>
      <c r="C121" s="1033" t="s">
        <v>1692</v>
      </c>
      <c r="D121" s="1045">
        <v>1603205353742</v>
      </c>
      <c r="E121" s="81" t="str">
        <f>VLOOKUP(B121,TH.Q2!B22:E353,4,FALSE)</f>
        <v>Giảng viên khoa May - Thời trang</v>
      </c>
      <c r="F121" s="1040">
        <v>3.33</v>
      </c>
      <c r="G121" s="1019"/>
      <c r="H121" s="1248">
        <f t="shared" si="7"/>
        <v>0</v>
      </c>
      <c r="I121" s="1020"/>
      <c r="J121" s="1020" t="str">
        <f>VLOOKUP(B121,'[27]Gui chi Quynh'!$B$11:$E$396,4,FALSE)</f>
        <v>A3</v>
      </c>
      <c r="K121" s="1020">
        <f t="shared" si="8"/>
        <v>0.6</v>
      </c>
      <c r="L121" s="1021">
        <v>20</v>
      </c>
      <c r="M121" s="1021">
        <f>VLOOKUP(B121,'[28]CN BC'!$H$10:$J$275,3,FALSE)</f>
        <v>20</v>
      </c>
      <c r="N121" s="1021">
        <f t="shared" si="9"/>
        <v>20</v>
      </c>
      <c r="O121" s="1022"/>
      <c r="P121" s="1023">
        <f t="shared" si="10"/>
        <v>4675320</v>
      </c>
      <c r="Q121" s="1477">
        <f t="shared" si="12"/>
        <v>1.998</v>
      </c>
      <c r="R121" s="1429">
        <v>2340000</v>
      </c>
      <c r="S121" s="1478">
        <f t="shared" si="13"/>
        <v>4675320</v>
      </c>
      <c r="T121" s="1024">
        <f t="shared" si="14"/>
        <v>97</v>
      </c>
      <c r="U121" s="1025">
        <f>IFERROR(INDEX('[28]CN BC'!$M$10:$M$276,MATCH(B121,'[28]CN BC'!$H$10:$H$276,0)),"")</f>
        <v>0</v>
      </c>
      <c r="V121" s="1011" t="str">
        <f>VLOOKUP(B121,TH.T4!B118:AC448,28,FALSE)</f>
        <v>M-TT</v>
      </c>
      <c r="W121" s="1012"/>
      <c r="X121" s="1012"/>
      <c r="Y121" s="1027"/>
      <c r="Z121" s="1012"/>
      <c r="AA121" s="1012"/>
      <c r="AB121" s="1012"/>
      <c r="AC121" s="1012"/>
      <c r="AD121" s="1012"/>
      <c r="AE121" s="1012"/>
    </row>
    <row r="122" spans="1:35" s="1028" customFormat="1" ht="33" customHeight="1">
      <c r="A122" s="1014">
        <f>_xlfn.AGGREGATE(4,7,A$24:A121)+1</f>
        <v>98</v>
      </c>
      <c r="B122" s="1015" t="s">
        <v>1865</v>
      </c>
      <c r="C122" s="1029" t="s">
        <v>1693</v>
      </c>
      <c r="D122" s="1045">
        <v>1603205357136</v>
      </c>
      <c r="E122" s="81" t="str">
        <f>VLOOKUP(B122,TH.Q2!B23:E354,4,FALSE)</f>
        <v>Giảng viên khoa May - Thời trang</v>
      </c>
      <c r="F122" s="1040">
        <v>3.66</v>
      </c>
      <c r="G122" s="1019"/>
      <c r="H122" s="1248">
        <f t="shared" si="7"/>
        <v>0</v>
      </c>
      <c r="I122" s="1020"/>
      <c r="J122" s="1020" t="str">
        <f>VLOOKUP(B122,'[27]Gui chi Quynh'!$B$11:$E$396,4,FALSE)</f>
        <v>A4</v>
      </c>
      <c r="K122" s="1020">
        <f t="shared" si="8"/>
        <v>0.5</v>
      </c>
      <c r="L122" s="1021">
        <v>20</v>
      </c>
      <c r="M122" s="1021">
        <f>VLOOKUP(B122,'[28]CN BC'!$H$10:$J$275,3,FALSE)</f>
        <v>20</v>
      </c>
      <c r="N122" s="1021">
        <f t="shared" si="9"/>
        <v>20</v>
      </c>
      <c r="O122" s="1022"/>
      <c r="P122" s="1023">
        <f t="shared" si="10"/>
        <v>4282200</v>
      </c>
      <c r="Q122" s="1477">
        <f t="shared" si="12"/>
        <v>1.83</v>
      </c>
      <c r="R122" s="1429">
        <v>2340000</v>
      </c>
      <c r="S122" s="1478">
        <f t="shared" si="13"/>
        <v>4282200</v>
      </c>
      <c r="T122" s="1024">
        <f t="shared" si="14"/>
        <v>98</v>
      </c>
      <c r="U122" s="1025">
        <f>IFERROR(INDEX('[28]CN BC'!$M$10:$M$276,MATCH(B122,'[28]CN BC'!$H$10:$H$276,0)),"")</f>
        <v>0</v>
      </c>
      <c r="V122" s="1011" t="str">
        <f>VLOOKUP(B122,TH.T4!B119:AC449,28,FALSE)</f>
        <v>M-TT</v>
      </c>
      <c r="W122" s="1012"/>
      <c r="X122" s="1012"/>
      <c r="Y122" s="1027"/>
      <c r="Z122" s="1012"/>
      <c r="AA122" s="1012"/>
      <c r="AB122" s="1012"/>
      <c r="AC122" s="1012"/>
      <c r="AD122" s="1012"/>
      <c r="AE122" s="1012"/>
      <c r="AF122" s="1012"/>
      <c r="AG122" s="1012"/>
      <c r="AH122" s="1012"/>
      <c r="AI122" s="1012"/>
    </row>
    <row r="123" spans="1:35" s="1028" customFormat="1" ht="33" customHeight="1">
      <c r="A123" s="1078">
        <f>_xlfn.AGGREGATE(4,7,A$24:A122)+1</f>
        <v>99</v>
      </c>
      <c r="B123" s="1432" t="s">
        <v>1482</v>
      </c>
      <c r="C123" s="1433" t="s">
        <v>1694</v>
      </c>
      <c r="D123" s="1474" t="s">
        <v>1422</v>
      </c>
      <c r="E123" s="472" t="str">
        <f>VLOOKUP(B123,TH.Q2!B24:E355,4,FALSE)</f>
        <v>Giảng viên khoa May - Thời trang</v>
      </c>
      <c r="F123" s="1473">
        <v>3.33</v>
      </c>
      <c r="G123" s="1082"/>
      <c r="H123" s="1253">
        <f t="shared" si="7"/>
        <v>0</v>
      </c>
      <c r="I123" s="1083"/>
      <c r="J123" s="1083" t="str">
        <f>VLOOKUP(B123,'[27]Gui chi Quynh'!$B$11:$E$396,4,FALSE)</f>
        <v>A DN</v>
      </c>
      <c r="K123" s="1083">
        <f t="shared" si="8"/>
        <v>0</v>
      </c>
      <c r="L123" s="1203">
        <v>20</v>
      </c>
      <c r="M123" s="1203">
        <f>VLOOKUP(B123,'[28]CN BC'!$H$10:$J$275,3,FALSE)</f>
        <v>0</v>
      </c>
      <c r="N123" s="1203">
        <f t="shared" si="9"/>
        <v>0</v>
      </c>
      <c r="O123" s="1084"/>
      <c r="P123" s="1204">
        <f t="shared" si="10"/>
        <v>0</v>
      </c>
      <c r="Q123" s="1481">
        <f t="shared" si="12"/>
        <v>0</v>
      </c>
      <c r="R123" s="1364">
        <v>2340000</v>
      </c>
      <c r="S123" s="1482">
        <f t="shared" si="13"/>
        <v>0</v>
      </c>
      <c r="T123" s="1085">
        <f t="shared" si="14"/>
        <v>99</v>
      </c>
      <c r="U123" s="1205" t="str">
        <f>IFERROR(INDEX('[28]CN BC'!$M$10:$M$276,MATCH(B123,'[28]CN BC'!$H$10:$H$276,0)),"")</f>
        <v>Nghỉ hộ sản hưởng chế độ BHXH từ 28/10/2023</v>
      </c>
      <c r="V123" s="1011" t="str">
        <f>VLOOKUP(B123,TH.T4!B120:AC450,28,FALSE)</f>
        <v>M-TT</v>
      </c>
      <c r="W123" s="1012"/>
      <c r="X123" s="1012"/>
      <c r="Y123" s="1027"/>
      <c r="Z123" s="1012"/>
      <c r="AA123" s="1012"/>
      <c r="AB123" s="1012"/>
      <c r="AC123" s="1012"/>
      <c r="AD123" s="1012"/>
      <c r="AE123" s="1012"/>
      <c r="AF123" s="1012"/>
      <c r="AG123" s="1012"/>
      <c r="AH123" s="1012"/>
      <c r="AI123" s="1012"/>
    </row>
    <row r="124" spans="1:35" s="1028" customFormat="1" ht="33" customHeight="1">
      <c r="A124" s="1014">
        <f>_xlfn.AGGREGATE(4,7,A$24:A123)+1</f>
        <v>100</v>
      </c>
      <c r="B124" s="1015" t="s">
        <v>1483</v>
      </c>
      <c r="C124" s="1029" t="s">
        <v>1695</v>
      </c>
      <c r="D124" s="1030" t="s">
        <v>1432</v>
      </c>
      <c r="E124" s="81" t="str">
        <f>VLOOKUP(B124,TH.Q2!B25:E356,4,FALSE)</f>
        <v>Giảng viên khoa Du lịch - Khách sạn</v>
      </c>
      <c r="F124" s="1018">
        <v>4.9800000000000004</v>
      </c>
      <c r="G124" s="1019">
        <v>0.06</v>
      </c>
      <c r="H124" s="1255">
        <f t="shared" si="7"/>
        <v>0.29899999999999999</v>
      </c>
      <c r="I124" s="1020">
        <v>0.25</v>
      </c>
      <c r="J124" s="1020" t="str">
        <f>VLOOKUP(B124,'[27]Gui chi Quynh'!$B$11:$E$396,4,FALSE)</f>
        <v>A3</v>
      </c>
      <c r="K124" s="1020">
        <f t="shared" si="8"/>
        <v>0.6</v>
      </c>
      <c r="L124" s="1021">
        <v>20</v>
      </c>
      <c r="M124" s="1021">
        <f>VLOOKUP(B124,'[28]CN BC'!$H$10:$J$275,3,FALSE)</f>
        <v>22</v>
      </c>
      <c r="N124" s="1021">
        <f t="shared" si="9"/>
        <v>20</v>
      </c>
      <c r="O124" s="1022"/>
      <c r="P124" s="1023">
        <f t="shared" si="10"/>
        <v>7762716.0000000009</v>
      </c>
      <c r="Q124" s="1477">
        <f t="shared" si="12"/>
        <v>3.3174000000000006</v>
      </c>
      <c r="R124" s="1429">
        <v>2340000</v>
      </c>
      <c r="S124" s="1478">
        <f t="shared" si="13"/>
        <v>7762716.0000000009</v>
      </c>
      <c r="T124" s="1024">
        <f t="shared" si="14"/>
        <v>100</v>
      </c>
      <c r="U124" s="1025">
        <f>IFERROR(INDEX('[28]CN BC'!$M$10:$M$276,MATCH(B124,'[28]CN BC'!$H$10:$H$276,0)),"")</f>
        <v>0</v>
      </c>
      <c r="V124" s="1011" t="str">
        <f>VLOOKUP(B124,TH.T4!B121:AC451,28,FALSE)</f>
        <v>DLKS</v>
      </c>
      <c r="W124" s="1012"/>
      <c r="X124" s="1012"/>
      <c r="Y124" s="1027"/>
      <c r="Z124" s="1012"/>
      <c r="AA124" s="1012"/>
      <c r="AB124" s="1012"/>
      <c r="AC124" s="1012"/>
      <c r="AD124" s="1012"/>
      <c r="AE124" s="1012"/>
      <c r="AF124" s="1012"/>
      <c r="AG124" s="1012"/>
      <c r="AH124" s="1012"/>
      <c r="AI124" s="1012"/>
    </row>
    <row r="125" spans="1:35" s="1028" customFormat="1" ht="33" customHeight="1">
      <c r="A125" s="1014">
        <f>_xlfn.AGGREGATE(4,7,A$24:A124)+1</f>
        <v>101</v>
      </c>
      <c r="B125" s="1050" t="s">
        <v>1568</v>
      </c>
      <c r="C125" s="1029" t="s">
        <v>1696</v>
      </c>
      <c r="D125" s="1042" t="s">
        <v>1569</v>
      </c>
      <c r="E125" s="81" t="str">
        <f>VLOOKUP(B125,TH.Q2!B26:E357,4,FALSE)</f>
        <v>Giảng viên khoa May - Thời trang</v>
      </c>
      <c r="F125" s="1040">
        <v>3.33</v>
      </c>
      <c r="G125" s="1019"/>
      <c r="H125" s="1255">
        <f t="shared" si="7"/>
        <v>0</v>
      </c>
      <c r="I125" s="1020"/>
      <c r="J125" s="1020" t="str">
        <f>VLOOKUP(B125,'[27]Gui chi Quynh'!$B$11:$E$396,4,FALSE)</f>
        <v>A3</v>
      </c>
      <c r="K125" s="1020">
        <f t="shared" si="8"/>
        <v>0.6</v>
      </c>
      <c r="L125" s="1021">
        <v>20</v>
      </c>
      <c r="M125" s="1021">
        <f>VLOOKUP(B125,'[28]CN BC'!$H$10:$J$275,3,FALSE)</f>
        <v>20</v>
      </c>
      <c r="N125" s="1021">
        <f t="shared" si="9"/>
        <v>20</v>
      </c>
      <c r="O125" s="1022"/>
      <c r="P125" s="1023">
        <f t="shared" si="10"/>
        <v>4675320</v>
      </c>
      <c r="Q125" s="1477">
        <f t="shared" si="12"/>
        <v>1.998</v>
      </c>
      <c r="R125" s="1429">
        <v>2340000</v>
      </c>
      <c r="S125" s="1478">
        <f t="shared" si="13"/>
        <v>4675320</v>
      </c>
      <c r="T125" s="1024">
        <f t="shared" si="14"/>
        <v>101</v>
      </c>
      <c r="U125" s="1025">
        <f>IFERROR(INDEX('[28]CN BC'!$M$10:$M$276,MATCH(B125,'[28]CN BC'!$H$10:$H$276,0)),"")</f>
        <v>0</v>
      </c>
      <c r="V125" s="1011" t="str">
        <f>VLOOKUP(B125,TH.T4!B122:AC452,28,FALSE)</f>
        <v>M-TT</v>
      </c>
      <c r="W125" s="1012"/>
      <c r="X125" s="1012"/>
      <c r="Y125" s="1027"/>
      <c r="Z125" s="1012"/>
      <c r="AA125" s="1012"/>
      <c r="AB125" s="1012"/>
      <c r="AC125" s="1012"/>
      <c r="AD125" s="1012"/>
      <c r="AE125" s="1012"/>
      <c r="AF125" s="1012"/>
      <c r="AG125" s="1012"/>
      <c r="AH125" s="1012"/>
      <c r="AI125" s="1012"/>
    </row>
    <row r="126" spans="1:35" s="1028" customFormat="1" ht="33" customHeight="1">
      <c r="A126" s="1014">
        <f>_xlfn.AGGREGATE(4,7,A$24:A125)+1</f>
        <v>102</v>
      </c>
      <c r="B126" s="1015" t="s">
        <v>1832</v>
      </c>
      <c r="C126" s="1033" t="s">
        <v>1963</v>
      </c>
      <c r="D126" s="1086">
        <v>1603215005610</v>
      </c>
      <c r="E126" s="81" t="str">
        <f>VLOOKUP(B126,TH.Q2!B27:E358,4,FALSE)</f>
        <v>Giảng viên khoa May - Thời trang</v>
      </c>
      <c r="F126" s="1040">
        <v>3</v>
      </c>
      <c r="G126" s="1019"/>
      <c r="H126" s="1248">
        <f t="shared" si="7"/>
        <v>0</v>
      </c>
      <c r="I126" s="1020"/>
      <c r="J126" s="1020" t="str">
        <f>VLOOKUP(B126,'[27]Gui chi Quynh'!$B$11:$E$396,4,FALSE)</f>
        <v>A4</v>
      </c>
      <c r="K126" s="1020">
        <f t="shared" si="8"/>
        <v>0.5</v>
      </c>
      <c r="L126" s="1021">
        <v>20</v>
      </c>
      <c r="M126" s="1021">
        <f>VLOOKUP(B126,'[28]CN BC'!$H$10:$J$275,3,FALSE)</f>
        <v>20</v>
      </c>
      <c r="N126" s="1021">
        <f t="shared" si="9"/>
        <v>20</v>
      </c>
      <c r="O126" s="1022"/>
      <c r="P126" s="1023">
        <f t="shared" si="10"/>
        <v>3510000</v>
      </c>
      <c r="Q126" s="1477">
        <f t="shared" si="12"/>
        <v>1.5</v>
      </c>
      <c r="R126" s="1429">
        <v>2340000</v>
      </c>
      <c r="S126" s="1478">
        <f t="shared" si="13"/>
        <v>3510000</v>
      </c>
      <c r="T126" s="1024">
        <f t="shared" si="14"/>
        <v>102</v>
      </c>
      <c r="U126" s="1025">
        <f>IFERROR(INDEX('[28]CN BC'!$M$10:$M$276,MATCH(B126,'[28]CN BC'!$H$10:$H$276,0)),"")</f>
        <v>0</v>
      </c>
      <c r="V126" s="1011" t="str">
        <f>VLOOKUP(B126,TH.T4!B123:AC453,28,FALSE)</f>
        <v>M-TT</v>
      </c>
      <c r="W126" s="1012"/>
      <c r="X126" s="1012"/>
      <c r="Y126" s="1027"/>
      <c r="Z126" s="1012"/>
      <c r="AA126" s="1012"/>
      <c r="AB126" s="1012"/>
      <c r="AC126" s="1012"/>
      <c r="AD126" s="1012"/>
      <c r="AE126" s="1012"/>
    </row>
    <row r="127" spans="1:35" s="1012" customFormat="1" ht="27" customHeight="1">
      <c r="A127" s="1014">
        <f>_xlfn.AGGREGATE(4,7,A$24:A126)+1</f>
        <v>103</v>
      </c>
      <c r="B127" s="1050" t="s">
        <v>1555</v>
      </c>
      <c r="C127" s="1029" t="s">
        <v>1658</v>
      </c>
      <c r="D127" s="1051" t="s">
        <v>1278</v>
      </c>
      <c r="E127" s="81" t="str">
        <f>VLOOKUP(B127,TH.Q2!B28:E359,4,FALSE)</f>
        <v>Trưởng khoa KHCB</v>
      </c>
      <c r="F127" s="1052">
        <v>4.9800000000000004</v>
      </c>
      <c r="G127" s="1087"/>
      <c r="H127" s="1248">
        <f t="shared" si="7"/>
        <v>0</v>
      </c>
      <c r="I127" s="1088">
        <v>0.45</v>
      </c>
      <c r="J127" s="1020" t="str">
        <f>VLOOKUP(B127,'[27]Gui chi Quynh'!$B$11:$E$396,4,FALSE)</f>
        <v>A2</v>
      </c>
      <c r="K127" s="1020">
        <f t="shared" si="8"/>
        <v>0.7</v>
      </c>
      <c r="L127" s="1021">
        <v>20</v>
      </c>
      <c r="M127" s="1021">
        <f>VLOOKUP(B127,'[28]CN BC'!$H$10:$J$275,3,FALSE)</f>
        <v>21</v>
      </c>
      <c r="N127" s="1021">
        <f t="shared" si="9"/>
        <v>20</v>
      </c>
      <c r="O127" s="1022"/>
      <c r="P127" s="1023">
        <f t="shared" si="10"/>
        <v>8894340</v>
      </c>
      <c r="Q127" s="1477">
        <f t="shared" si="12"/>
        <v>3.8010000000000002</v>
      </c>
      <c r="R127" s="1429">
        <v>2340000</v>
      </c>
      <c r="S127" s="1478">
        <f t="shared" si="13"/>
        <v>8894340</v>
      </c>
      <c r="T127" s="1024">
        <f t="shared" si="14"/>
        <v>103</v>
      </c>
      <c r="U127" s="1025">
        <f>IFERROR(INDEX('[28]CN BC'!$M$10:$M$276,MATCH(B127,'[28]CN BC'!$H$10:$H$276,0)),"")</f>
        <v>0</v>
      </c>
      <c r="V127" s="1011" t="str">
        <f>VLOOKUP(B127,TH.T4!B124:AC454,28,FALSE)</f>
        <v>KHCB</v>
      </c>
      <c r="Y127" s="1027"/>
    </row>
    <row r="128" spans="1:35" s="1028" customFormat="1" ht="28.5" customHeight="1">
      <c r="A128" s="1014">
        <f>_xlfn.AGGREGATE(4,7,A$24:A127)+1</f>
        <v>104</v>
      </c>
      <c r="B128" s="1015" t="s">
        <v>1866</v>
      </c>
      <c r="C128" s="1033" t="s">
        <v>1697</v>
      </c>
      <c r="D128" s="1034" t="s">
        <v>1300</v>
      </c>
      <c r="E128" s="81" t="str">
        <f>VLOOKUP(B128,TH.Q2!B29:E360,4,FALSE)</f>
        <v>Giảng viên Khoa KHCB</v>
      </c>
      <c r="F128" s="1018">
        <v>4.9800000000000004</v>
      </c>
      <c r="G128" s="1019">
        <v>7.0000000000000007E-2</v>
      </c>
      <c r="H128" s="1248">
        <f t="shared" si="7"/>
        <v>0.34899999999999998</v>
      </c>
      <c r="I128" s="1020">
        <v>0.25</v>
      </c>
      <c r="J128" s="1020" t="str">
        <f>VLOOKUP(B128,'[27]Gui chi Quynh'!$B$11:$E$396,4,FALSE)</f>
        <v>A3</v>
      </c>
      <c r="K128" s="1020">
        <f t="shared" si="8"/>
        <v>0.6</v>
      </c>
      <c r="L128" s="1021">
        <v>20</v>
      </c>
      <c r="M128" s="1021">
        <f>VLOOKUP(B128,'[28]CN BC'!$H$10:$J$275,3,FALSE)</f>
        <v>21</v>
      </c>
      <c r="N128" s="1021">
        <f t="shared" si="9"/>
        <v>20</v>
      </c>
      <c r="O128" s="1022"/>
      <c r="P128" s="1023">
        <f t="shared" si="10"/>
        <v>7832916.0000000009</v>
      </c>
      <c r="Q128" s="1477">
        <f t="shared" si="12"/>
        <v>3.3474000000000004</v>
      </c>
      <c r="R128" s="1429">
        <v>2340000</v>
      </c>
      <c r="S128" s="1478">
        <f t="shared" si="13"/>
        <v>7832916.0000000009</v>
      </c>
      <c r="T128" s="1024">
        <f t="shared" si="14"/>
        <v>104</v>
      </c>
      <c r="U128" s="1025">
        <f>IFERROR(INDEX('[28]CN BC'!$M$10:$M$276,MATCH(B128,'[28]CN BC'!$H$10:$H$276,0)),"")</f>
        <v>0</v>
      </c>
      <c r="V128" s="1011" t="str">
        <f>VLOOKUP(B128,TH.T4!B125:AC455,28,FALSE)</f>
        <v>KHCB</v>
      </c>
      <c r="W128" s="1012"/>
      <c r="X128" s="1012"/>
      <c r="Y128" s="1038"/>
    </row>
    <row r="129" spans="1:35" s="1012" customFormat="1" ht="30" customHeight="1">
      <c r="A129" s="1014">
        <f>_xlfn.AGGREGATE(4,7,A$24:A128)+1</f>
        <v>105</v>
      </c>
      <c r="B129" s="1050" t="s">
        <v>1867</v>
      </c>
      <c r="C129" s="1029" t="s">
        <v>1698</v>
      </c>
      <c r="D129" s="1051" t="s">
        <v>1299</v>
      </c>
      <c r="E129" s="81" t="str">
        <f>VLOOKUP(B129,TH.Q2!B30:E361,4,FALSE)</f>
        <v>Giảng viên Khoa KHCB</v>
      </c>
      <c r="F129" s="1052">
        <v>4.32</v>
      </c>
      <c r="G129" s="1053"/>
      <c r="H129" s="1248">
        <f t="shared" si="7"/>
        <v>0</v>
      </c>
      <c r="I129" s="1054"/>
      <c r="J129" s="1020" t="str">
        <f>VLOOKUP(B129,'[27]Gui chi Quynh'!$B$11:$E$396,4,FALSE)</f>
        <v>A3</v>
      </c>
      <c r="K129" s="1020">
        <f t="shared" si="8"/>
        <v>0.6</v>
      </c>
      <c r="L129" s="1021">
        <v>20</v>
      </c>
      <c r="M129" s="1021">
        <f>VLOOKUP(B129,'[28]CN BC'!$H$10:$J$275,3,FALSE)</f>
        <v>22</v>
      </c>
      <c r="N129" s="1021">
        <f t="shared" si="9"/>
        <v>20</v>
      </c>
      <c r="O129" s="1022"/>
      <c r="P129" s="1023">
        <f t="shared" si="10"/>
        <v>6065280</v>
      </c>
      <c r="Q129" s="1477">
        <f t="shared" si="12"/>
        <v>2.5920000000000001</v>
      </c>
      <c r="R129" s="1429">
        <v>2340000</v>
      </c>
      <c r="S129" s="1478">
        <f t="shared" si="13"/>
        <v>6065280</v>
      </c>
      <c r="T129" s="1024">
        <f t="shared" si="14"/>
        <v>105</v>
      </c>
      <c r="U129" s="1025">
        <f>IFERROR(INDEX('[28]CN BC'!$M$10:$M$276,MATCH(B129,'[28]CN BC'!$H$10:$H$276,0)),"")</f>
        <v>0</v>
      </c>
      <c r="V129" s="1011" t="str">
        <f>VLOOKUP(B129,TH.T4!B126:AC456,28,FALSE)</f>
        <v>KHCB</v>
      </c>
      <c r="Y129" s="1027"/>
    </row>
    <row r="130" spans="1:35" s="1028" customFormat="1" ht="30" customHeight="1">
      <c r="A130" s="1014">
        <f>_xlfn.AGGREGATE(4,7,A$24:A129)+1</f>
        <v>106</v>
      </c>
      <c r="B130" s="1015" t="s">
        <v>1485</v>
      </c>
      <c r="C130" s="1033" t="s">
        <v>1699</v>
      </c>
      <c r="D130" s="1034" t="s">
        <v>373</v>
      </c>
      <c r="E130" s="368" t="str">
        <f>VLOOKUP(B130,TH.Q2!B31:E362,4,FALSE)</f>
        <v>Giảng viên khoa KHCB</v>
      </c>
      <c r="F130" s="1018">
        <v>4.32</v>
      </c>
      <c r="G130" s="1019"/>
      <c r="H130" s="1255">
        <f t="shared" si="7"/>
        <v>0</v>
      </c>
      <c r="I130" s="1020"/>
      <c r="J130" s="1020" t="str">
        <f>VLOOKUP(B130,'[27]Gui chi Quynh'!$B$11:$E$396,4,FALSE)</f>
        <v>A3</v>
      </c>
      <c r="K130" s="1020">
        <f t="shared" si="8"/>
        <v>0.6</v>
      </c>
      <c r="L130" s="1021">
        <v>20</v>
      </c>
      <c r="M130" s="1021">
        <f>VLOOKUP(B130,'[28]CN BC'!$H$10:$J$275,3,FALSE)</f>
        <v>21.5</v>
      </c>
      <c r="N130" s="1021">
        <f t="shared" si="9"/>
        <v>20</v>
      </c>
      <c r="O130" s="1035"/>
      <c r="P130" s="1023">
        <f t="shared" si="10"/>
        <v>6065280</v>
      </c>
      <c r="Q130" s="1477">
        <f t="shared" si="12"/>
        <v>2.5920000000000001</v>
      </c>
      <c r="R130" s="1429">
        <v>2340000</v>
      </c>
      <c r="S130" s="1478">
        <f t="shared" si="13"/>
        <v>6065280</v>
      </c>
      <c r="T130" s="1024">
        <f t="shared" si="14"/>
        <v>106</v>
      </c>
      <c r="U130" s="1025">
        <f>IFERROR(INDEX('[28]CN BC'!$M$10:$M$276,MATCH(B130,'[28]CN BC'!$H$10:$H$276,0)),"")</f>
        <v>0</v>
      </c>
      <c r="V130" s="1067" t="str">
        <f>VLOOKUP(B130,TH.T4!B127:AC457,28,FALSE)</f>
        <v>KHCB</v>
      </c>
      <c r="Y130" s="1038"/>
    </row>
    <row r="131" spans="1:35" s="1028" customFormat="1" ht="30" customHeight="1">
      <c r="A131" s="1014">
        <f>_xlfn.AGGREGATE(4,7,A$24:A130)+1</f>
        <v>107</v>
      </c>
      <c r="B131" s="1015" t="s">
        <v>1559</v>
      </c>
      <c r="C131" s="1029" t="s">
        <v>1647</v>
      </c>
      <c r="D131" s="1034" t="s">
        <v>406</v>
      </c>
      <c r="E131" s="81" t="str">
        <f>VLOOKUP(B131,TH.Q2!B32:E363,4,FALSE)</f>
        <v>Giảng viên khoa KHCB</v>
      </c>
      <c r="F131" s="1040">
        <v>3.66</v>
      </c>
      <c r="G131" s="1049"/>
      <c r="H131" s="1248">
        <f t="shared" si="7"/>
        <v>0</v>
      </c>
      <c r="I131" s="1020"/>
      <c r="J131" s="1020" t="str">
        <f>VLOOKUP(B131,'[27]Gui chi Quynh'!$B$11:$E$396,4,FALSE)</f>
        <v>A3</v>
      </c>
      <c r="K131" s="1020">
        <f t="shared" si="8"/>
        <v>0.6</v>
      </c>
      <c r="L131" s="1021">
        <v>20</v>
      </c>
      <c r="M131" s="1021">
        <f>VLOOKUP(B131,'[28]CN BC'!$H$10:$J$275,3,FALSE)</f>
        <v>21.5</v>
      </c>
      <c r="N131" s="1021">
        <f t="shared" si="9"/>
        <v>20</v>
      </c>
      <c r="O131" s="1022"/>
      <c r="P131" s="1023">
        <f t="shared" si="10"/>
        <v>5138640</v>
      </c>
      <c r="Q131" s="1477">
        <f t="shared" si="12"/>
        <v>2.1960000000000002</v>
      </c>
      <c r="R131" s="1429">
        <v>2340000</v>
      </c>
      <c r="S131" s="1478">
        <f t="shared" si="13"/>
        <v>5138640</v>
      </c>
      <c r="T131" s="1024">
        <f t="shared" si="14"/>
        <v>107</v>
      </c>
      <c r="U131" s="1025">
        <f>IFERROR(INDEX('[28]CN BC'!$M$10:$M$276,MATCH(B131,'[28]CN BC'!$H$10:$H$276,0)),"")</f>
        <v>0</v>
      </c>
      <c r="V131" s="1011" t="str">
        <f>VLOOKUP(B131,TH.T4!B128:AC458,28,FALSE)</f>
        <v>KHCB</v>
      </c>
      <c r="W131" s="1012"/>
      <c r="X131" s="1012"/>
      <c r="Y131" s="1027"/>
      <c r="Z131" s="1012"/>
      <c r="AA131" s="1012"/>
      <c r="AB131" s="1012"/>
      <c r="AC131" s="1012"/>
      <c r="AD131" s="1012"/>
      <c r="AE131" s="1012"/>
      <c r="AF131" s="1012"/>
      <c r="AG131" s="1012"/>
      <c r="AH131" s="1012"/>
      <c r="AI131" s="1012"/>
    </row>
    <row r="132" spans="1:35" s="1028" customFormat="1" ht="30" customHeight="1">
      <c r="A132" s="1014">
        <f>_xlfn.AGGREGATE(4,7,A$24:A131)+1</f>
        <v>108</v>
      </c>
      <c r="B132" s="1015" t="s">
        <v>1868</v>
      </c>
      <c r="C132" s="1033" t="s">
        <v>1700</v>
      </c>
      <c r="D132" s="1034" t="s">
        <v>1303</v>
      </c>
      <c r="E132" s="81" t="str">
        <f>VLOOKUP(B132,TH.Q2!B33:E364,4,FALSE)</f>
        <v>Giảng viên Khoa KHCB</v>
      </c>
      <c r="F132" s="1018">
        <v>4.6500000000000004</v>
      </c>
      <c r="G132" s="1019"/>
      <c r="H132" s="1248">
        <f t="shared" si="7"/>
        <v>0</v>
      </c>
      <c r="I132" s="1020"/>
      <c r="J132" s="1020" t="str">
        <f>VLOOKUP(B132,'[27]Gui chi Quynh'!$B$11:$E$396,4,FALSE)</f>
        <v>A3</v>
      </c>
      <c r="K132" s="1020">
        <f t="shared" si="8"/>
        <v>0.6</v>
      </c>
      <c r="L132" s="1021">
        <v>20</v>
      </c>
      <c r="M132" s="1021">
        <f>VLOOKUP(B132,'[28]CN BC'!$H$10:$J$275,3,FALSE)</f>
        <v>21</v>
      </c>
      <c r="N132" s="1021">
        <f t="shared" si="9"/>
        <v>20</v>
      </c>
      <c r="O132" s="1022"/>
      <c r="P132" s="1023">
        <f t="shared" si="10"/>
        <v>6528600</v>
      </c>
      <c r="Q132" s="1477">
        <f t="shared" si="12"/>
        <v>2.79</v>
      </c>
      <c r="R132" s="1429">
        <v>2340000</v>
      </c>
      <c r="S132" s="1478">
        <f t="shared" si="13"/>
        <v>6528600</v>
      </c>
      <c r="T132" s="1024">
        <f t="shared" si="14"/>
        <v>108</v>
      </c>
      <c r="U132" s="1025">
        <f>IFERROR(INDEX('[28]CN BC'!$M$10:$M$276,MATCH(B132,'[28]CN BC'!$H$10:$H$276,0)),"")</f>
        <v>0</v>
      </c>
      <c r="V132" s="1011" t="str">
        <f>VLOOKUP(B132,TH.T4!B129:AC459,28,FALSE)</f>
        <v>KHCB</v>
      </c>
      <c r="W132" s="1012"/>
      <c r="X132" s="1012"/>
      <c r="Y132" s="1027"/>
      <c r="Z132" s="1012"/>
      <c r="AA132" s="1012"/>
      <c r="AB132" s="1012"/>
      <c r="AC132" s="1012"/>
      <c r="AD132" s="1012"/>
      <c r="AE132" s="1012"/>
    </row>
    <row r="133" spans="1:35" s="1028" customFormat="1" ht="30" customHeight="1">
      <c r="A133" s="1014">
        <f>_xlfn.AGGREGATE(4,7,A$24:A132)+1</f>
        <v>109</v>
      </c>
      <c r="B133" s="1015" t="s">
        <v>1869</v>
      </c>
      <c r="C133" s="1029" t="s">
        <v>1701</v>
      </c>
      <c r="D133" s="1034" t="s">
        <v>1304</v>
      </c>
      <c r="E133" s="81" t="str">
        <f>VLOOKUP(B133,TH.Q2!B34:E365,4,FALSE)</f>
        <v>Giảng viên Khoa KHCB</v>
      </c>
      <c r="F133" s="1040">
        <v>4.32</v>
      </c>
      <c r="G133" s="1019"/>
      <c r="H133" s="1248">
        <f t="shared" si="7"/>
        <v>0</v>
      </c>
      <c r="I133" s="1020"/>
      <c r="J133" s="1020" t="str">
        <f>VLOOKUP(B133,'[27]Gui chi Quynh'!$B$11:$E$396,4,FALSE)</f>
        <v>A4</v>
      </c>
      <c r="K133" s="1020">
        <f t="shared" si="8"/>
        <v>0.5</v>
      </c>
      <c r="L133" s="1021">
        <v>20</v>
      </c>
      <c r="M133" s="1021">
        <f>VLOOKUP(B133,'[28]CN BC'!$H$10:$J$275,3,FALSE)</f>
        <v>21</v>
      </c>
      <c r="N133" s="1021">
        <f t="shared" si="9"/>
        <v>20</v>
      </c>
      <c r="O133" s="1022"/>
      <c r="P133" s="1023">
        <f t="shared" si="10"/>
        <v>5054400</v>
      </c>
      <c r="Q133" s="1477">
        <f t="shared" si="12"/>
        <v>2.16</v>
      </c>
      <c r="R133" s="1429">
        <v>2340000</v>
      </c>
      <c r="S133" s="1478">
        <f t="shared" si="13"/>
        <v>5054400</v>
      </c>
      <c r="T133" s="1024">
        <f t="shared" si="14"/>
        <v>109</v>
      </c>
      <c r="U133" s="1025">
        <f>IFERROR(INDEX('[28]CN BC'!$M$10:$M$276,MATCH(B133,'[28]CN BC'!$H$10:$H$276,0)),"")</f>
        <v>0</v>
      </c>
      <c r="V133" s="1011" t="str">
        <f>VLOOKUP(B133,TH.T4!B130:AC460,28,FALSE)</f>
        <v>KHCB</v>
      </c>
      <c r="W133" s="1012"/>
      <c r="X133" s="1012"/>
      <c r="Y133" s="1027"/>
      <c r="Z133" s="1012"/>
      <c r="AA133" s="1012"/>
      <c r="AB133" s="1012"/>
      <c r="AC133" s="1012"/>
      <c r="AD133" s="1012"/>
      <c r="AE133" s="1012"/>
      <c r="AF133" s="1012"/>
      <c r="AG133" s="1012"/>
      <c r="AH133" s="1012"/>
      <c r="AI133" s="1012"/>
    </row>
    <row r="134" spans="1:35" s="1028" customFormat="1" ht="30" customHeight="1">
      <c r="A134" s="1014">
        <f>_xlfn.AGGREGATE(4,7,A$24:A133)+1</f>
        <v>110</v>
      </c>
      <c r="B134" s="1015" t="s">
        <v>1870</v>
      </c>
      <c r="C134" s="1033" t="s">
        <v>1702</v>
      </c>
      <c r="D134" s="1034" t="s">
        <v>1306</v>
      </c>
      <c r="E134" s="368" t="str">
        <f>VLOOKUP(B134,TH.Q2!B35:E366,4,FALSE)</f>
        <v>Giảng viên Khoa KHCB</v>
      </c>
      <c r="F134" s="1018">
        <v>4.9800000000000004</v>
      </c>
      <c r="G134" s="1019">
        <v>0.09</v>
      </c>
      <c r="H134" s="1255">
        <f t="shared" si="7"/>
        <v>0.44800000000000001</v>
      </c>
      <c r="I134" s="1020"/>
      <c r="J134" s="1020" t="str">
        <f>VLOOKUP(B134,'[27]Gui chi Quynh'!$B$11:$E$396,4,FALSE)</f>
        <v>A4</v>
      </c>
      <c r="K134" s="1020">
        <f t="shared" si="8"/>
        <v>0.5</v>
      </c>
      <c r="L134" s="1021">
        <v>20</v>
      </c>
      <c r="M134" s="1021">
        <f>VLOOKUP(B134,'[28]CN BC'!$H$10:$J$275,3,FALSE)</f>
        <v>21</v>
      </c>
      <c r="N134" s="1021">
        <f t="shared" si="9"/>
        <v>20</v>
      </c>
      <c r="O134" s="1035"/>
      <c r="P134" s="1023">
        <f t="shared" si="10"/>
        <v>6350760.0000000009</v>
      </c>
      <c r="Q134" s="1477">
        <f t="shared" si="12"/>
        <v>2.7140000000000004</v>
      </c>
      <c r="R134" s="1429">
        <v>2340000</v>
      </c>
      <c r="S134" s="1478">
        <f t="shared" si="13"/>
        <v>6350760.0000000009</v>
      </c>
      <c r="T134" s="1024">
        <f t="shared" si="14"/>
        <v>110</v>
      </c>
      <c r="U134" s="1025">
        <f>IFERROR(INDEX('[28]CN BC'!$M$10:$M$276,MATCH(B134,'[28]CN BC'!$H$10:$H$276,0)),"")</f>
        <v>0</v>
      </c>
      <c r="V134" s="1067" t="str">
        <f>VLOOKUP(B134,TH.T4!B131:AC461,28,FALSE)</f>
        <v>KHCB</v>
      </c>
      <c r="Y134" s="1038"/>
    </row>
    <row r="135" spans="1:35" s="1028" customFormat="1" ht="26.25" customHeight="1">
      <c r="A135" s="1014">
        <f>_xlfn.AGGREGATE(4,7,A$24:A134)+1</f>
        <v>111</v>
      </c>
      <c r="B135" s="1015" t="s">
        <v>847</v>
      </c>
      <c r="C135" s="1033" t="s">
        <v>1703</v>
      </c>
      <c r="D135" s="1034" t="s">
        <v>1307</v>
      </c>
      <c r="E135" s="81" t="str">
        <f>VLOOKUP(B135,TH.Q2!B36:E367,4,FALSE)</f>
        <v>Giảng viên khoa KHCB</v>
      </c>
      <c r="F135" s="1040">
        <v>3.99</v>
      </c>
      <c r="G135" s="1019"/>
      <c r="H135" s="1248">
        <f t="shared" si="7"/>
        <v>0</v>
      </c>
      <c r="I135" s="1020"/>
      <c r="J135" s="1020" t="str">
        <f>VLOOKUP(B135,'[27]Gui chi Quynh'!$B$11:$E$396,4,FALSE)</f>
        <v>A4</v>
      </c>
      <c r="K135" s="1020">
        <f t="shared" si="8"/>
        <v>0.5</v>
      </c>
      <c r="L135" s="1021">
        <v>20</v>
      </c>
      <c r="M135" s="1021">
        <f>VLOOKUP(B135,'[28]CN BC'!$H$10:$J$275,3,FALSE)</f>
        <v>20</v>
      </c>
      <c r="N135" s="1021">
        <f t="shared" si="9"/>
        <v>20</v>
      </c>
      <c r="O135" s="1022"/>
      <c r="P135" s="1023">
        <f t="shared" si="10"/>
        <v>4668300</v>
      </c>
      <c r="Q135" s="1477">
        <f t="shared" si="12"/>
        <v>1.9950000000000001</v>
      </c>
      <c r="R135" s="1429">
        <v>2340000</v>
      </c>
      <c r="S135" s="1478">
        <f t="shared" si="13"/>
        <v>4668300</v>
      </c>
      <c r="T135" s="1089">
        <f t="shared" si="14"/>
        <v>111</v>
      </c>
      <c r="U135" s="1025">
        <f>IFERROR(INDEX('[28]CN BC'!$M$10:$M$276,MATCH(B135,'[28]CN BC'!$H$10:$H$276,0)),"")</f>
        <v>0</v>
      </c>
      <c r="V135" s="1011" t="str">
        <f>VLOOKUP(B135,TH.T4!B132:AC462,28,FALSE)</f>
        <v>KHCB</v>
      </c>
      <c r="Y135" s="1038"/>
    </row>
    <row r="136" spans="1:35" s="1028" customFormat="1" ht="30" customHeight="1">
      <c r="A136" s="1014">
        <f>_xlfn.AGGREGATE(4,7,A$24:A135)+1</f>
        <v>112</v>
      </c>
      <c r="B136" s="1015" t="s">
        <v>1486</v>
      </c>
      <c r="C136" s="1029" t="s">
        <v>1704</v>
      </c>
      <c r="D136" s="1045" t="s">
        <v>1588</v>
      </c>
      <c r="E136" s="81" t="str">
        <f>VLOOKUP(B136,TH.Q2!B37:E368,4,FALSE)</f>
        <v>Giảng viên khoa KHCB</v>
      </c>
      <c r="F136" s="1040">
        <v>3.66</v>
      </c>
      <c r="G136" s="1019"/>
      <c r="H136" s="1248">
        <f t="shared" si="7"/>
        <v>0</v>
      </c>
      <c r="I136" s="1020"/>
      <c r="J136" s="1020" t="str">
        <f>VLOOKUP(B136,'[27]Gui chi Quynh'!$B$11:$E$396,4,FALSE)</f>
        <v>A3</v>
      </c>
      <c r="K136" s="1020">
        <f t="shared" si="8"/>
        <v>0.6</v>
      </c>
      <c r="L136" s="1021">
        <v>20</v>
      </c>
      <c r="M136" s="1021">
        <f>VLOOKUP(B136,'[28]CN BC'!$H$10:$J$275,3,FALSE)</f>
        <v>21</v>
      </c>
      <c r="N136" s="1021">
        <f t="shared" si="9"/>
        <v>20</v>
      </c>
      <c r="O136" s="1022"/>
      <c r="P136" s="1023">
        <f t="shared" si="10"/>
        <v>5138640</v>
      </c>
      <c r="Q136" s="1477">
        <f t="shared" si="12"/>
        <v>2.1960000000000002</v>
      </c>
      <c r="R136" s="1429">
        <v>2340000</v>
      </c>
      <c r="S136" s="1478">
        <f t="shared" si="13"/>
        <v>5138640</v>
      </c>
      <c r="T136" s="1089">
        <f t="shared" si="14"/>
        <v>112</v>
      </c>
      <c r="U136" s="1025">
        <f>IFERROR(INDEX('[28]CN BC'!$M$10:$M$276,MATCH(B136,'[28]CN BC'!$H$10:$H$276,0)),"")</f>
        <v>0</v>
      </c>
      <c r="V136" s="1011" t="str">
        <f>VLOOKUP(B136,TH.T4!B133:AC463,28,FALSE)</f>
        <v>KHCB</v>
      </c>
      <c r="W136" s="1012"/>
      <c r="X136" s="1012"/>
      <c r="Y136" s="1027"/>
      <c r="Z136" s="1012"/>
      <c r="AA136" s="1012"/>
      <c r="AB136" s="1012"/>
      <c r="AC136" s="1012"/>
      <c r="AD136" s="1012"/>
      <c r="AE136" s="1012"/>
      <c r="AF136" s="1012"/>
      <c r="AG136" s="1012"/>
      <c r="AH136" s="1012"/>
      <c r="AI136" s="1012"/>
    </row>
    <row r="137" spans="1:35" s="1012" customFormat="1" ht="30" customHeight="1">
      <c r="A137" s="1014">
        <f>_xlfn.AGGREGATE(4,7,A$24:A136)+1</f>
        <v>113</v>
      </c>
      <c r="B137" s="1015" t="s">
        <v>1871</v>
      </c>
      <c r="C137" s="1033" t="s">
        <v>1705</v>
      </c>
      <c r="D137" s="1034" t="s">
        <v>1309</v>
      </c>
      <c r="E137" s="81" t="str">
        <f>VLOOKUP(B137,TH.Q2!B38:E369,4,FALSE)</f>
        <v>Phó TK Khoa KHCB</v>
      </c>
      <c r="F137" s="1018">
        <v>4.9800000000000004</v>
      </c>
      <c r="G137" s="1019"/>
      <c r="H137" s="1248">
        <f t="shared" si="7"/>
        <v>0</v>
      </c>
      <c r="I137" s="1020">
        <v>0.35</v>
      </c>
      <c r="J137" s="1020" t="str">
        <f>VLOOKUP(B137,'[27]Gui chi Quynh'!$B$11:$E$396,4,FALSE)</f>
        <v>A4</v>
      </c>
      <c r="K137" s="1020">
        <f t="shared" si="8"/>
        <v>0.5</v>
      </c>
      <c r="L137" s="1021">
        <v>20</v>
      </c>
      <c r="M137" s="1021">
        <f>VLOOKUP(B137,'[28]CN BC'!$H$10:$J$275,3,FALSE)</f>
        <v>21</v>
      </c>
      <c r="N137" s="1021">
        <f t="shared" si="9"/>
        <v>20</v>
      </c>
      <c r="O137" s="1022"/>
      <c r="P137" s="1023">
        <f t="shared" si="10"/>
        <v>6236100</v>
      </c>
      <c r="Q137" s="1477">
        <f t="shared" si="12"/>
        <v>2.665</v>
      </c>
      <c r="R137" s="1429">
        <v>2340000</v>
      </c>
      <c r="S137" s="1478">
        <f t="shared" si="13"/>
        <v>6236100</v>
      </c>
      <c r="T137" s="1089">
        <f t="shared" si="14"/>
        <v>113</v>
      </c>
      <c r="U137" s="1025">
        <f>IFERROR(INDEX('[28]CN BC'!$M$10:$M$276,MATCH(B137,'[28]CN BC'!$H$10:$H$276,0)),"")</f>
        <v>0</v>
      </c>
      <c r="V137" s="1011" t="str">
        <f>VLOOKUP(B137,TH.T4!B134:AC464,28,FALSE)</f>
        <v>KHCB</v>
      </c>
      <c r="Y137" s="1027"/>
    </row>
    <row r="138" spans="1:35" s="1028" customFormat="1" ht="30" customHeight="1">
      <c r="A138" s="1014">
        <f>_xlfn.AGGREGATE(4,7,A$24:A137)+1</f>
        <v>114</v>
      </c>
      <c r="B138" s="1015" t="s">
        <v>1872</v>
      </c>
      <c r="C138" s="1033" t="s">
        <v>1706</v>
      </c>
      <c r="D138" s="1034" t="s">
        <v>1311</v>
      </c>
      <c r="E138" s="368" t="str">
        <f>VLOOKUP(B138,TH.Q2!B39:E370,4,FALSE)</f>
        <v>Giảng viên Khoa KHCB</v>
      </c>
      <c r="F138" s="1018">
        <v>4.9800000000000004</v>
      </c>
      <c r="G138" s="1019">
        <v>0.06</v>
      </c>
      <c r="H138" s="1255">
        <f t="shared" si="7"/>
        <v>0.29899999999999999</v>
      </c>
      <c r="I138" s="1020"/>
      <c r="J138" s="1020" t="str">
        <f>VLOOKUP(B138,'[27]Gui chi Quynh'!$B$11:$E$396,4,FALSE)</f>
        <v>A4</v>
      </c>
      <c r="K138" s="1020">
        <f t="shared" si="8"/>
        <v>0.5</v>
      </c>
      <c r="L138" s="1021">
        <v>20</v>
      </c>
      <c r="M138" s="1021">
        <f>VLOOKUP(B138,'[28]CN BC'!$H$10:$J$275,3,FALSE)</f>
        <v>21</v>
      </c>
      <c r="N138" s="1021">
        <f t="shared" si="9"/>
        <v>20</v>
      </c>
      <c r="O138" s="1035"/>
      <c r="P138" s="1023">
        <f t="shared" si="10"/>
        <v>6176430.0000000009</v>
      </c>
      <c r="Q138" s="1477">
        <f t="shared" si="12"/>
        <v>2.6395000000000004</v>
      </c>
      <c r="R138" s="1429">
        <v>2340000</v>
      </c>
      <c r="S138" s="1478">
        <f t="shared" si="13"/>
        <v>6176430.0000000009</v>
      </c>
      <c r="T138" s="1089">
        <f t="shared" si="14"/>
        <v>114</v>
      </c>
      <c r="U138" s="1025">
        <f>IFERROR(INDEX('[28]CN BC'!$M$10:$M$276,MATCH(B138,'[28]CN BC'!$H$10:$H$276,0)),"")</f>
        <v>0</v>
      </c>
      <c r="V138" s="1067" t="str">
        <f>VLOOKUP(B138,TH.T4!B135:AC465,28,FALSE)</f>
        <v>KHCB</v>
      </c>
      <c r="Y138" s="1038"/>
    </row>
    <row r="139" spans="1:35" s="1028" customFormat="1" ht="32.25" customHeight="1">
      <c r="A139" s="1014">
        <f>_xlfn.AGGREGATE(4,7,A$24:A138)+1</f>
        <v>115</v>
      </c>
      <c r="B139" s="1015" t="s">
        <v>1487</v>
      </c>
      <c r="C139" s="1033" t="s">
        <v>1707</v>
      </c>
      <c r="D139" s="1034" t="s">
        <v>1312</v>
      </c>
      <c r="E139" s="81" t="str">
        <f>VLOOKUP(B139,TH.Q2!B40:E371,4,FALSE)</f>
        <v>Giảng viên khoa KHCB</v>
      </c>
      <c r="F139" s="1040">
        <v>3.99</v>
      </c>
      <c r="G139" s="1019"/>
      <c r="H139" s="1248">
        <f t="shared" si="7"/>
        <v>0</v>
      </c>
      <c r="I139" s="1020"/>
      <c r="J139" s="1020" t="str">
        <f>VLOOKUP(B139,'[27]Gui chi Quynh'!$B$11:$E$396,4,FALSE)</f>
        <v>A4</v>
      </c>
      <c r="K139" s="1020">
        <f t="shared" si="8"/>
        <v>0.5</v>
      </c>
      <c r="L139" s="1021">
        <v>20</v>
      </c>
      <c r="M139" s="1021">
        <f>VLOOKUP(B139,'[28]CN BC'!$H$10:$J$275,3,FALSE)</f>
        <v>21</v>
      </c>
      <c r="N139" s="1021">
        <f t="shared" si="9"/>
        <v>20</v>
      </c>
      <c r="O139" s="1022"/>
      <c r="P139" s="1023">
        <f t="shared" si="10"/>
        <v>4668300</v>
      </c>
      <c r="Q139" s="1477">
        <f t="shared" si="12"/>
        <v>1.9950000000000001</v>
      </c>
      <c r="R139" s="1429">
        <v>2340000</v>
      </c>
      <c r="S139" s="1478">
        <f t="shared" si="13"/>
        <v>4668300</v>
      </c>
      <c r="T139" s="1024">
        <f t="shared" si="14"/>
        <v>115</v>
      </c>
      <c r="U139" s="1025">
        <f>IFERROR(INDEX('[28]CN BC'!$M$10:$M$276,MATCH(B139,'[28]CN BC'!$H$10:$H$276,0)),"")</f>
        <v>0</v>
      </c>
      <c r="V139" s="1011" t="str">
        <f>VLOOKUP(B139,TH.T4!B136:AC466,28,FALSE)</f>
        <v>KHCB</v>
      </c>
      <c r="W139" s="1012"/>
      <c r="X139" s="1012"/>
      <c r="Y139" s="1038"/>
    </row>
    <row r="140" spans="1:35" s="1028" customFormat="1" ht="30" customHeight="1">
      <c r="A140" s="1014">
        <f>_xlfn.AGGREGATE(4,7,A$24:A139)+1</f>
        <v>116</v>
      </c>
      <c r="B140" s="1015" t="s">
        <v>1488</v>
      </c>
      <c r="C140" s="1033" t="s">
        <v>1708</v>
      </c>
      <c r="D140" s="1034" t="s">
        <v>374</v>
      </c>
      <c r="E140" s="81" t="str">
        <f>VLOOKUP(B140,TH.Q2!B41:E372,4,FALSE)</f>
        <v>Giảng viên khoa KHCB</v>
      </c>
      <c r="F140" s="1040">
        <v>3.66</v>
      </c>
      <c r="G140" s="1019"/>
      <c r="H140" s="1248">
        <f t="shared" si="7"/>
        <v>0</v>
      </c>
      <c r="I140" s="1020"/>
      <c r="J140" s="1020" t="str">
        <f>VLOOKUP(B140,'[27]Gui chi Quynh'!$B$11:$E$396,4,FALSE)</f>
        <v>A4</v>
      </c>
      <c r="K140" s="1020">
        <f t="shared" si="8"/>
        <v>0.5</v>
      </c>
      <c r="L140" s="1021">
        <v>20</v>
      </c>
      <c r="M140" s="1021">
        <f>VLOOKUP(B140,'[28]CN BC'!$H$10:$J$275,3,FALSE)</f>
        <v>21</v>
      </c>
      <c r="N140" s="1021">
        <f t="shared" si="9"/>
        <v>20</v>
      </c>
      <c r="O140" s="1022"/>
      <c r="P140" s="1023">
        <f t="shared" si="10"/>
        <v>4282200</v>
      </c>
      <c r="Q140" s="1477">
        <f t="shared" si="12"/>
        <v>1.83</v>
      </c>
      <c r="R140" s="1429">
        <v>2340000</v>
      </c>
      <c r="S140" s="1478">
        <f t="shared" si="13"/>
        <v>4282200</v>
      </c>
      <c r="T140" s="1024">
        <f t="shared" si="14"/>
        <v>116</v>
      </c>
      <c r="U140" s="1025">
        <f>IFERROR(INDEX('[28]CN BC'!$M$10:$M$276,MATCH(B140,'[28]CN BC'!$H$10:$H$276,0)),"")</f>
        <v>0</v>
      </c>
      <c r="V140" s="1011" t="str">
        <f>VLOOKUP(B140,TH.T4!B137:AC467,28,FALSE)</f>
        <v>KHCB</v>
      </c>
      <c r="W140" s="1012"/>
      <c r="X140" s="1012"/>
      <c r="Y140" s="1027"/>
      <c r="Z140" s="1012"/>
      <c r="AA140" s="1012"/>
      <c r="AB140" s="1012"/>
      <c r="AC140" s="1012"/>
      <c r="AD140" s="1012"/>
      <c r="AE140" s="1012"/>
    </row>
    <row r="141" spans="1:35" s="1028" customFormat="1" ht="30" customHeight="1">
      <c r="A141" s="1014">
        <f>_xlfn.AGGREGATE(4,7,A$24:A140)+1</f>
        <v>117</v>
      </c>
      <c r="B141" s="1015" t="s">
        <v>1489</v>
      </c>
      <c r="C141" s="1033" t="s">
        <v>1709</v>
      </c>
      <c r="D141" s="1030" t="s">
        <v>1424</v>
      </c>
      <c r="E141" s="81" t="str">
        <f>VLOOKUP(B141,TH.Q2!B42:E373,4,FALSE)</f>
        <v>Giảng viên khoa KHCB</v>
      </c>
      <c r="F141" s="1040">
        <v>3.33</v>
      </c>
      <c r="G141" s="1019"/>
      <c r="H141" s="1248">
        <f t="shared" si="7"/>
        <v>0</v>
      </c>
      <c r="I141" s="1020"/>
      <c r="J141" s="1020" t="str">
        <f>VLOOKUP(B141,'[27]Gui chi Quynh'!$B$11:$E$396,4,FALSE)</f>
        <v>A4</v>
      </c>
      <c r="K141" s="1020">
        <f t="shared" si="8"/>
        <v>0.5</v>
      </c>
      <c r="L141" s="1021">
        <v>20</v>
      </c>
      <c r="M141" s="1021">
        <f>VLOOKUP(B141,'[28]CN BC'!$H$10:$J$275,3,FALSE)</f>
        <v>21</v>
      </c>
      <c r="N141" s="1021">
        <f t="shared" si="9"/>
        <v>20</v>
      </c>
      <c r="O141" s="1022"/>
      <c r="P141" s="1023">
        <f t="shared" si="10"/>
        <v>3896100</v>
      </c>
      <c r="Q141" s="1477">
        <f t="shared" si="12"/>
        <v>1.665</v>
      </c>
      <c r="R141" s="1429">
        <v>2340000</v>
      </c>
      <c r="S141" s="1478">
        <f t="shared" si="13"/>
        <v>3896100</v>
      </c>
      <c r="T141" s="1024">
        <f t="shared" si="14"/>
        <v>117</v>
      </c>
      <c r="U141" s="1025">
        <f>IFERROR(INDEX('[28]CN BC'!$M$10:$M$276,MATCH(B141,'[28]CN BC'!$H$10:$H$276,0)),"")</f>
        <v>0</v>
      </c>
      <c r="V141" s="1011" t="str">
        <f>VLOOKUP(B141,TH.T4!B138:AC468,28,FALSE)</f>
        <v>KHCB</v>
      </c>
      <c r="W141" s="1012"/>
      <c r="X141" s="1012"/>
      <c r="Y141" s="1027"/>
      <c r="Z141" s="1012"/>
      <c r="AA141" s="1012"/>
      <c r="AB141" s="1012"/>
      <c r="AC141" s="1012"/>
      <c r="AD141" s="1012"/>
      <c r="AE141" s="1012"/>
    </row>
    <row r="142" spans="1:35" s="1028" customFormat="1" ht="27.75" customHeight="1">
      <c r="A142" s="1014">
        <f>_xlfn.AGGREGATE(4,7,A$24:A141)+1</f>
        <v>118</v>
      </c>
      <c r="B142" s="1015" t="s">
        <v>1490</v>
      </c>
      <c r="C142" s="1033" t="s">
        <v>1710</v>
      </c>
      <c r="D142" s="1030" t="s">
        <v>1425</v>
      </c>
      <c r="E142" s="81" t="str">
        <f>VLOOKUP(B142,TH.Q2!B43:E374,4,FALSE)</f>
        <v>Giảng viên khoa KHCB</v>
      </c>
      <c r="F142" s="1040">
        <v>3.33</v>
      </c>
      <c r="G142" s="1019"/>
      <c r="H142" s="1248">
        <f t="shared" si="7"/>
        <v>0</v>
      </c>
      <c r="I142" s="1020"/>
      <c r="J142" s="1020" t="str">
        <f>VLOOKUP(B142,'[27]Gui chi Quynh'!$B$11:$E$396,4,FALSE)</f>
        <v>A4</v>
      </c>
      <c r="K142" s="1020">
        <f t="shared" si="8"/>
        <v>0.5</v>
      </c>
      <c r="L142" s="1021">
        <v>20</v>
      </c>
      <c r="M142" s="1021">
        <f>VLOOKUP(B142,'[28]CN BC'!$H$10:$J$275,3,FALSE)</f>
        <v>21</v>
      </c>
      <c r="N142" s="1021">
        <f t="shared" si="9"/>
        <v>20</v>
      </c>
      <c r="O142" s="1022"/>
      <c r="P142" s="1023">
        <f t="shared" si="10"/>
        <v>3896100</v>
      </c>
      <c r="Q142" s="1477">
        <f t="shared" si="12"/>
        <v>1.665</v>
      </c>
      <c r="R142" s="1429">
        <v>2340000</v>
      </c>
      <c r="S142" s="1478">
        <f t="shared" si="13"/>
        <v>3896100</v>
      </c>
      <c r="T142" s="1024">
        <f t="shared" si="14"/>
        <v>118</v>
      </c>
      <c r="U142" s="1025">
        <f>IFERROR(INDEX('[28]CN BC'!$M$10:$M$276,MATCH(B142,'[28]CN BC'!$H$10:$H$276,0)),"")</f>
        <v>0</v>
      </c>
      <c r="V142" s="1067" t="str">
        <f>VLOOKUP(B142,TH.T4!B139:AC469,28,FALSE)</f>
        <v>KHCB</v>
      </c>
      <c r="Y142" s="1038"/>
    </row>
    <row r="143" spans="1:35" s="1028" customFormat="1" ht="30" customHeight="1">
      <c r="A143" s="1014">
        <f>_xlfn.AGGREGATE(4,7,A$24:A142)+1</f>
        <v>119</v>
      </c>
      <c r="B143" s="1015" t="s">
        <v>1873</v>
      </c>
      <c r="C143" s="1033" t="s">
        <v>1711</v>
      </c>
      <c r="D143" s="1034" t="s">
        <v>1322</v>
      </c>
      <c r="E143" s="368" t="str">
        <f>VLOOKUP(B143,TH.Q2!B44:E375,4,FALSE)</f>
        <v>Giảng viên Khoa KHCB</v>
      </c>
      <c r="F143" s="1040">
        <v>4.32</v>
      </c>
      <c r="G143" s="1019"/>
      <c r="H143" s="1255">
        <f t="shared" si="7"/>
        <v>0</v>
      </c>
      <c r="I143" s="1020">
        <f>0.25</f>
        <v>0.25</v>
      </c>
      <c r="J143" s="1020" t="str">
        <f>VLOOKUP(B143,'[27]Gui chi Quynh'!$B$11:$E$396,4,FALSE)</f>
        <v>A2</v>
      </c>
      <c r="K143" s="1020">
        <f t="shared" si="8"/>
        <v>0.7</v>
      </c>
      <c r="L143" s="1021">
        <v>20</v>
      </c>
      <c r="M143" s="1021">
        <f>VLOOKUP(B143,'[28]CN BC'!$H$10:$J$275,3,FALSE)</f>
        <v>20</v>
      </c>
      <c r="N143" s="1021">
        <f t="shared" si="9"/>
        <v>20</v>
      </c>
      <c r="O143" s="1035"/>
      <c r="P143" s="1023">
        <f t="shared" si="10"/>
        <v>7485659.9999999991</v>
      </c>
      <c r="Q143" s="1477">
        <f t="shared" si="12"/>
        <v>3.1989999999999994</v>
      </c>
      <c r="R143" s="1429">
        <v>2340000</v>
      </c>
      <c r="S143" s="1478">
        <f t="shared" si="13"/>
        <v>7485659.9999999981</v>
      </c>
      <c r="T143" s="1024">
        <f t="shared" si="14"/>
        <v>119</v>
      </c>
      <c r="U143" s="1025">
        <f>IFERROR(INDEX('[28]CN BC'!$M$10:$M$276,MATCH(B143,'[28]CN BC'!$H$10:$H$276,0)),"")</f>
        <v>0</v>
      </c>
      <c r="V143" s="1067" t="str">
        <f>VLOOKUP(B143,TH.T4!B140:AC470,28,FALSE)</f>
        <v>KHCB</v>
      </c>
      <c r="Y143" s="1038"/>
    </row>
    <row r="144" spans="1:35" s="1028" customFormat="1" ht="30" customHeight="1">
      <c r="A144" s="1014">
        <f>_xlfn.AGGREGATE(4,7,A$24:A143)+1</f>
        <v>120</v>
      </c>
      <c r="B144" s="1015" t="s">
        <v>1491</v>
      </c>
      <c r="C144" s="1033" t="s">
        <v>1712</v>
      </c>
      <c r="D144" s="1034" t="s">
        <v>1323</v>
      </c>
      <c r="E144" s="81" t="str">
        <f>VLOOKUP(B144,TH.Q2!B45:E376,4,FALSE)</f>
        <v>Giảng viên khoa KHCB</v>
      </c>
      <c r="F144" s="1040">
        <v>4.32</v>
      </c>
      <c r="G144" s="1019"/>
      <c r="H144" s="1248">
        <f t="shared" si="7"/>
        <v>0</v>
      </c>
      <c r="I144" s="1020"/>
      <c r="J144" s="1020" t="str">
        <f>VLOOKUP(B144,'[27]Gui chi Quynh'!$B$11:$E$396,4,FALSE)</f>
        <v>A3</v>
      </c>
      <c r="K144" s="1020">
        <f t="shared" si="8"/>
        <v>0.6</v>
      </c>
      <c r="L144" s="1021">
        <v>20</v>
      </c>
      <c r="M144" s="1021">
        <f>VLOOKUP(B144,'[28]CN BC'!$H$10:$J$275,3,FALSE)</f>
        <v>21</v>
      </c>
      <c r="N144" s="1021">
        <f t="shared" si="9"/>
        <v>20</v>
      </c>
      <c r="O144" s="1022"/>
      <c r="P144" s="1023">
        <f t="shared" si="10"/>
        <v>6065280</v>
      </c>
      <c r="Q144" s="1477">
        <f t="shared" si="12"/>
        <v>2.5920000000000001</v>
      </c>
      <c r="R144" s="1429">
        <v>2340000</v>
      </c>
      <c r="S144" s="1478">
        <f t="shared" si="13"/>
        <v>6065280</v>
      </c>
      <c r="T144" s="1024">
        <f t="shared" si="14"/>
        <v>120</v>
      </c>
      <c r="U144" s="1025">
        <f>IFERROR(INDEX('[28]CN BC'!$M$10:$M$276,MATCH(B144,'[28]CN BC'!$H$10:$H$276,0)),"")</f>
        <v>0</v>
      </c>
      <c r="V144" s="1011" t="str">
        <f>VLOOKUP(B144,TH.T4!B141:AC471,28,FALSE)</f>
        <v>KHCB</v>
      </c>
      <c r="W144" s="1012"/>
      <c r="X144" s="1012"/>
      <c r="Y144" s="1027"/>
      <c r="Z144" s="1012"/>
      <c r="AA144" s="1012"/>
      <c r="AB144" s="1012"/>
      <c r="AC144" s="1012"/>
      <c r="AD144" s="1012"/>
      <c r="AE144" s="1012"/>
    </row>
    <row r="145" spans="1:35" s="1028" customFormat="1" ht="30" customHeight="1">
      <c r="A145" s="1014">
        <f>_xlfn.AGGREGATE(4,7,A$24:A144)+1</f>
        <v>121</v>
      </c>
      <c r="B145" s="1015" t="s">
        <v>845</v>
      </c>
      <c r="C145" s="1033" t="s">
        <v>1713</v>
      </c>
      <c r="D145" s="1034" t="s">
        <v>1324</v>
      </c>
      <c r="E145" s="81" t="str">
        <f>VLOOKUP(B145,TH.Q2!B46:E377,4,FALSE)</f>
        <v>Giảng viên khoa KHCB</v>
      </c>
      <c r="F145" s="1040">
        <v>3.99</v>
      </c>
      <c r="G145" s="1019"/>
      <c r="H145" s="1248">
        <f t="shared" si="7"/>
        <v>0</v>
      </c>
      <c r="I145" s="1020"/>
      <c r="J145" s="1020" t="str">
        <f>VLOOKUP(B145,'[27]Gui chi Quynh'!$B$11:$E$396,4,FALSE)</f>
        <v>A1</v>
      </c>
      <c r="K145" s="1020">
        <f t="shared" si="8"/>
        <v>0.8</v>
      </c>
      <c r="L145" s="1021">
        <v>20</v>
      </c>
      <c r="M145" s="1021">
        <f>VLOOKUP(B145,'[28]CN BC'!$H$10:$J$275,3,FALSE)</f>
        <v>20</v>
      </c>
      <c r="N145" s="1021">
        <f t="shared" si="9"/>
        <v>20</v>
      </c>
      <c r="O145" s="1022"/>
      <c r="P145" s="1023">
        <f t="shared" si="10"/>
        <v>7469280</v>
      </c>
      <c r="Q145" s="1477">
        <f t="shared" si="12"/>
        <v>3.1920000000000002</v>
      </c>
      <c r="R145" s="1429">
        <v>2340000</v>
      </c>
      <c r="S145" s="1478">
        <f t="shared" si="13"/>
        <v>7469280</v>
      </c>
      <c r="T145" s="1024">
        <f t="shared" si="14"/>
        <v>121</v>
      </c>
      <c r="U145" s="1025">
        <f>IFERROR(INDEX('[28]CN BC'!$M$10:$M$276,MATCH(B145,'[28]CN BC'!$H$10:$H$276,0)),"")</f>
        <v>0</v>
      </c>
      <c r="V145" s="1011" t="str">
        <f>VLOOKUP(B145,TH.T4!B142:AC472,28,FALSE)</f>
        <v>KHCB</v>
      </c>
      <c r="W145" s="1012"/>
      <c r="X145" s="1012"/>
      <c r="Y145" s="1027"/>
      <c r="Z145" s="1012"/>
      <c r="AA145" s="1012"/>
      <c r="AB145" s="1012"/>
      <c r="AC145" s="1012"/>
      <c r="AD145" s="1012"/>
      <c r="AE145" s="1012"/>
    </row>
    <row r="146" spans="1:35" s="1028" customFormat="1" ht="31.5" customHeight="1">
      <c r="A146" s="1014">
        <f>_xlfn.AGGREGATE(4,7,A$24:A145)+1</f>
        <v>122</v>
      </c>
      <c r="B146" s="1015" t="s">
        <v>1492</v>
      </c>
      <c r="C146" s="1029" t="s">
        <v>1714</v>
      </c>
      <c r="D146" s="1090" t="s">
        <v>1938</v>
      </c>
      <c r="E146" s="81" t="str">
        <f>VLOOKUP(B146,TH.Q2!B47:E378,4,FALSE)</f>
        <v>Giảng viên khoa KHCB</v>
      </c>
      <c r="F146" s="1040">
        <v>3.99</v>
      </c>
      <c r="G146" s="1019"/>
      <c r="H146" s="1248">
        <f t="shared" si="7"/>
        <v>0</v>
      </c>
      <c r="I146" s="1020"/>
      <c r="J146" s="1020" t="str">
        <f>VLOOKUP(B146,'[27]Gui chi Quynh'!$B$11:$E$396,4,FALSE)</f>
        <v>A1</v>
      </c>
      <c r="K146" s="1020">
        <f t="shared" si="8"/>
        <v>0.8</v>
      </c>
      <c r="L146" s="1021">
        <v>20</v>
      </c>
      <c r="M146" s="1021">
        <f>VLOOKUP(B146,'[28]CN BC'!$H$10:$J$275,3,FALSE)</f>
        <v>21</v>
      </c>
      <c r="N146" s="1021">
        <f t="shared" si="9"/>
        <v>20</v>
      </c>
      <c r="O146" s="1022"/>
      <c r="P146" s="1023">
        <f t="shared" si="10"/>
        <v>7469280</v>
      </c>
      <c r="Q146" s="1477">
        <f t="shared" si="12"/>
        <v>3.1920000000000002</v>
      </c>
      <c r="R146" s="1429">
        <v>2340000</v>
      </c>
      <c r="S146" s="1478">
        <f t="shared" si="13"/>
        <v>7469280</v>
      </c>
      <c r="T146" s="1024">
        <f t="shared" si="14"/>
        <v>122</v>
      </c>
      <c r="U146" s="1025">
        <f>IFERROR(INDEX('[28]CN BC'!$M$10:$M$276,MATCH(B146,'[28]CN BC'!$H$10:$H$276,0)),"")</f>
        <v>0</v>
      </c>
      <c r="V146" s="1011" t="str">
        <f>VLOOKUP(B146,TH.T4!B143:AC473,28,FALSE)</f>
        <v>KHCB</v>
      </c>
      <c r="W146" s="1012"/>
      <c r="X146" s="1012"/>
      <c r="Y146" s="1027"/>
      <c r="Z146" s="1012"/>
      <c r="AA146" s="1012"/>
      <c r="AB146" s="1012"/>
      <c r="AC146" s="1012"/>
      <c r="AD146" s="1012"/>
      <c r="AE146" s="1012"/>
      <c r="AF146" s="1012"/>
      <c r="AG146" s="1012"/>
      <c r="AH146" s="1012"/>
      <c r="AI146" s="1012"/>
    </row>
    <row r="147" spans="1:35" s="1028" customFormat="1" ht="31.5" customHeight="1">
      <c r="A147" s="1014">
        <f>_xlfn.AGGREGATE(4,7,A$24:A146)+1</f>
        <v>123</v>
      </c>
      <c r="B147" s="1015" t="s">
        <v>1558</v>
      </c>
      <c r="C147" s="1033" t="s">
        <v>1715</v>
      </c>
      <c r="D147" s="1034" t="s">
        <v>21</v>
      </c>
      <c r="E147" s="81" t="str">
        <f>VLOOKUP(B147,TH.Q2!B48:E379,4,FALSE)</f>
        <v>Giảng viên khoa KHCB</v>
      </c>
      <c r="F147" s="1040">
        <v>4.32</v>
      </c>
      <c r="G147" s="1019"/>
      <c r="H147" s="1248">
        <f t="shared" si="7"/>
        <v>0</v>
      </c>
      <c r="I147" s="1020"/>
      <c r="J147" s="1020" t="str">
        <f>VLOOKUP(B147,'[27]Gui chi Quynh'!$B$11:$E$396,4,FALSE)</f>
        <v>A3</v>
      </c>
      <c r="K147" s="1020">
        <f t="shared" si="8"/>
        <v>0.6</v>
      </c>
      <c r="L147" s="1021">
        <v>20</v>
      </c>
      <c r="M147" s="1021">
        <f>VLOOKUP(B147,'[28]CN BC'!$H$10:$J$275,3,FALSE)</f>
        <v>21</v>
      </c>
      <c r="N147" s="1021">
        <f t="shared" si="9"/>
        <v>20</v>
      </c>
      <c r="O147" s="1022"/>
      <c r="P147" s="1023">
        <f t="shared" si="10"/>
        <v>6065280</v>
      </c>
      <c r="Q147" s="1477">
        <f t="shared" si="12"/>
        <v>2.5920000000000001</v>
      </c>
      <c r="R147" s="1429">
        <v>2340000</v>
      </c>
      <c r="S147" s="1478">
        <f t="shared" si="13"/>
        <v>6065280</v>
      </c>
      <c r="T147" s="1024">
        <f t="shared" si="14"/>
        <v>123</v>
      </c>
      <c r="U147" s="1025">
        <f>IFERROR(INDEX('[28]CN BC'!$M$10:$M$276,MATCH(B147,'[28]CN BC'!$H$10:$H$276,0)),"")</f>
        <v>0</v>
      </c>
      <c r="V147" s="1011" t="str">
        <f>VLOOKUP(B147,TH.T4!B144:AC474,28,FALSE)</f>
        <v>KHCB</v>
      </c>
      <c r="W147" s="1012"/>
      <c r="X147" s="1012"/>
      <c r="Y147" s="1027"/>
      <c r="Z147" s="1012"/>
      <c r="AA147" s="1012"/>
      <c r="AB147" s="1012"/>
      <c r="AC147" s="1012"/>
      <c r="AD147" s="1012"/>
      <c r="AE147" s="1012"/>
    </row>
    <row r="148" spans="1:35" s="1028" customFormat="1" ht="31.5" customHeight="1">
      <c r="A148" s="1014">
        <f>_xlfn.AGGREGATE(4,7,A$24:A147)+1</f>
        <v>124</v>
      </c>
      <c r="B148" s="1015" t="s">
        <v>1493</v>
      </c>
      <c r="C148" s="1033" t="s">
        <v>1716</v>
      </c>
      <c r="D148" s="1034" t="s">
        <v>1330</v>
      </c>
      <c r="E148" s="81" t="str">
        <f>VLOOKUP(B148,TH.Q2!B49:E380,4,FALSE)</f>
        <v>Giảng viên khoa Ngoại ngữ</v>
      </c>
      <c r="F148" s="1018">
        <v>4.6500000000000004</v>
      </c>
      <c r="G148" s="1019"/>
      <c r="H148" s="1248">
        <f t="shared" si="7"/>
        <v>0</v>
      </c>
      <c r="I148" s="1020"/>
      <c r="J148" s="1020" t="str">
        <f>VLOOKUP(B148,'[27]Gui chi Quynh'!$B$11:$E$396,4,FALSE)</f>
        <v>A3</v>
      </c>
      <c r="K148" s="1020">
        <f t="shared" si="8"/>
        <v>0.6</v>
      </c>
      <c r="L148" s="1021">
        <v>20</v>
      </c>
      <c r="M148" s="1021">
        <f>VLOOKUP(B148,'[28]CN BC'!$H$10:$J$275,3,FALSE)</f>
        <v>20</v>
      </c>
      <c r="N148" s="1021">
        <f t="shared" si="9"/>
        <v>20</v>
      </c>
      <c r="O148" s="1022"/>
      <c r="P148" s="1023">
        <f t="shared" si="10"/>
        <v>6528600</v>
      </c>
      <c r="Q148" s="1477">
        <f t="shared" si="12"/>
        <v>2.79</v>
      </c>
      <c r="R148" s="1429">
        <v>2340000</v>
      </c>
      <c r="S148" s="1478">
        <f t="shared" si="13"/>
        <v>6528600</v>
      </c>
      <c r="T148" s="1024">
        <f t="shared" si="14"/>
        <v>124</v>
      </c>
      <c r="U148" s="1025">
        <f>IFERROR(INDEX('[28]CN BC'!$M$10:$M$276,MATCH(B148,'[28]CN BC'!$H$10:$H$276,0)),"")</f>
        <v>0</v>
      </c>
      <c r="V148" s="1011" t="str">
        <f>VLOOKUP(B148,TH.T4!B145:AC475,28,FALSE)</f>
        <v>NN</v>
      </c>
      <c r="W148" s="1012"/>
      <c r="X148" s="1012"/>
      <c r="Y148" s="1027"/>
    </row>
    <row r="149" spans="1:35" s="1028" customFormat="1" ht="31.5" customHeight="1">
      <c r="A149" s="1014">
        <f>_xlfn.AGGREGATE(4,7,A$24:A148)+1</f>
        <v>125</v>
      </c>
      <c r="B149" s="1015" t="s">
        <v>1874</v>
      </c>
      <c r="C149" s="1033" t="s">
        <v>1717</v>
      </c>
      <c r="D149" s="1034" t="s">
        <v>1331</v>
      </c>
      <c r="E149" s="81" t="str">
        <f>VLOOKUP(B149,TH.Q2!B50:E381,4,FALSE)</f>
        <v>Giảng viên khoa Ngoại ngữ</v>
      </c>
      <c r="F149" s="1018">
        <v>4.6500000000000004</v>
      </c>
      <c r="G149" s="1019"/>
      <c r="H149" s="1248">
        <f t="shared" si="7"/>
        <v>0</v>
      </c>
      <c r="I149" s="1020"/>
      <c r="J149" s="1020" t="str">
        <f>VLOOKUP(B149,'[27]Gui chi Quynh'!$B$11:$E$396,4,FALSE)</f>
        <v>A3</v>
      </c>
      <c r="K149" s="1020">
        <f t="shared" si="8"/>
        <v>0.6</v>
      </c>
      <c r="L149" s="1021">
        <v>20</v>
      </c>
      <c r="M149" s="1021">
        <f>VLOOKUP(B149,'[28]CN BC'!$H$10:$J$275,3,FALSE)</f>
        <v>20</v>
      </c>
      <c r="N149" s="1021">
        <f t="shared" si="9"/>
        <v>20</v>
      </c>
      <c r="O149" s="1022"/>
      <c r="P149" s="1023">
        <f t="shared" si="10"/>
        <v>6528600</v>
      </c>
      <c r="Q149" s="1477">
        <f t="shared" si="12"/>
        <v>2.79</v>
      </c>
      <c r="R149" s="1429">
        <v>2340000</v>
      </c>
      <c r="S149" s="1478">
        <f t="shared" si="13"/>
        <v>6528600</v>
      </c>
      <c r="T149" s="1024">
        <f t="shared" si="14"/>
        <v>125</v>
      </c>
      <c r="U149" s="1025">
        <f>IFERROR(INDEX('[28]CN BC'!$M$10:$M$276,MATCH(B149,'[28]CN BC'!$H$10:$H$276,0)),"")</f>
        <v>0</v>
      </c>
      <c r="V149" s="1011" t="str">
        <f>VLOOKUP(B149,TH.T4!B146:AC476,28,FALSE)</f>
        <v>NN</v>
      </c>
      <c r="W149" s="1012"/>
      <c r="X149" s="1012"/>
      <c r="Y149" s="1027"/>
      <c r="Z149" s="1012"/>
      <c r="AA149" s="1012"/>
      <c r="AB149" s="1012"/>
      <c r="AC149" s="1012"/>
      <c r="AD149" s="1012"/>
      <c r="AE149" s="1012"/>
    </row>
    <row r="150" spans="1:35" s="1028" customFormat="1" ht="31.5" customHeight="1">
      <c r="A150" s="1014">
        <f>_xlfn.AGGREGATE(4,7,A$24:A149)+1</f>
        <v>126</v>
      </c>
      <c r="B150" s="1015" t="s">
        <v>1875</v>
      </c>
      <c r="C150" s="1033" t="s">
        <v>1718</v>
      </c>
      <c r="D150" s="1034" t="s">
        <v>1332</v>
      </c>
      <c r="E150" s="81" t="str">
        <f>VLOOKUP(B150,TH.Q2!B51:E382,4,FALSE)</f>
        <v>Giảng viên khoa Ngoại ngữ</v>
      </c>
      <c r="F150" s="1018">
        <v>4.6500000000000004</v>
      </c>
      <c r="G150" s="1019"/>
      <c r="H150" s="1248">
        <f t="shared" si="7"/>
        <v>0</v>
      </c>
      <c r="I150" s="1020"/>
      <c r="J150" s="1020" t="str">
        <f>VLOOKUP(B150,'[27]Gui chi Quynh'!$B$11:$E$396,4,FALSE)</f>
        <v>A4</v>
      </c>
      <c r="K150" s="1020">
        <f t="shared" si="8"/>
        <v>0.5</v>
      </c>
      <c r="L150" s="1021">
        <v>20</v>
      </c>
      <c r="M150" s="1021">
        <f>VLOOKUP(B150,'[28]CN BC'!$H$10:$J$275,3,FALSE)</f>
        <v>20</v>
      </c>
      <c r="N150" s="1021">
        <f t="shared" si="9"/>
        <v>20</v>
      </c>
      <c r="O150" s="1022"/>
      <c r="P150" s="1023">
        <f t="shared" si="10"/>
        <v>5440500</v>
      </c>
      <c r="Q150" s="1477">
        <f t="shared" si="12"/>
        <v>2.3250000000000002</v>
      </c>
      <c r="R150" s="1429">
        <v>2340000</v>
      </c>
      <c r="S150" s="1478">
        <f t="shared" si="13"/>
        <v>5440500</v>
      </c>
      <c r="T150" s="1024">
        <f t="shared" si="14"/>
        <v>126</v>
      </c>
      <c r="U150" s="1025">
        <f>IFERROR(INDEX('[28]CN BC'!$M$10:$M$276,MATCH(B150,'[28]CN BC'!$H$10:$H$276,0)),"")</f>
        <v>0</v>
      </c>
      <c r="V150" s="1011" t="str">
        <f>VLOOKUP(B150,TH.T4!B147:AC477,28,FALSE)</f>
        <v>NN</v>
      </c>
      <c r="W150" s="1012"/>
      <c r="X150" s="1012"/>
      <c r="Y150" s="1027"/>
    </row>
    <row r="151" spans="1:35" s="1028" customFormat="1" ht="31.5" customHeight="1">
      <c r="A151" s="1014">
        <f>_xlfn.AGGREGATE(4,7,A$24:A150)+1</f>
        <v>127</v>
      </c>
      <c r="B151" s="1015" t="s">
        <v>1494</v>
      </c>
      <c r="C151" s="1033" t="s">
        <v>1719</v>
      </c>
      <c r="D151" s="1034" t="s">
        <v>1333</v>
      </c>
      <c r="E151" s="81" t="str">
        <f>VLOOKUP(B151,TH.Q2!B52:E383,4,FALSE)</f>
        <v>Giảng viên khoa Ngoại ngữ</v>
      </c>
      <c r="F151" s="1040">
        <v>3.99</v>
      </c>
      <c r="G151" s="1019"/>
      <c r="H151" s="1248">
        <f t="shared" si="7"/>
        <v>0</v>
      </c>
      <c r="I151" s="1020"/>
      <c r="J151" s="1020" t="str">
        <f>VLOOKUP(B151,'[27]Gui chi Quynh'!$B$11:$E$396,4,FALSE)</f>
        <v>A3</v>
      </c>
      <c r="K151" s="1020">
        <f t="shared" si="8"/>
        <v>0.6</v>
      </c>
      <c r="L151" s="1021">
        <v>20</v>
      </c>
      <c r="M151" s="1021">
        <f>VLOOKUP(B151,'[28]CN BC'!$H$10:$J$275,3,FALSE)</f>
        <v>20</v>
      </c>
      <c r="N151" s="1021">
        <f t="shared" si="9"/>
        <v>20</v>
      </c>
      <c r="O151" s="1022"/>
      <c r="P151" s="1023">
        <f t="shared" si="10"/>
        <v>5601960</v>
      </c>
      <c r="Q151" s="1477">
        <f t="shared" si="12"/>
        <v>2.3940000000000001</v>
      </c>
      <c r="R151" s="1429">
        <v>2340000</v>
      </c>
      <c r="S151" s="1478">
        <f t="shared" si="13"/>
        <v>5601960</v>
      </c>
      <c r="T151" s="1024">
        <f t="shared" si="14"/>
        <v>127</v>
      </c>
      <c r="U151" s="1025">
        <f>IFERROR(INDEX('[28]CN BC'!$M$10:$M$276,MATCH(B151,'[28]CN BC'!$H$10:$H$276,0)),"")</f>
        <v>0</v>
      </c>
      <c r="V151" s="1011" t="str">
        <f>VLOOKUP(B151,TH.T4!B148:AC478,28,FALSE)</f>
        <v>NN</v>
      </c>
      <c r="W151" s="1012"/>
      <c r="X151" s="1012"/>
      <c r="Y151" s="1027"/>
      <c r="Z151" s="1012"/>
      <c r="AA151" s="1012"/>
      <c r="AB151" s="1012"/>
      <c r="AC151" s="1012"/>
      <c r="AD151" s="1012"/>
      <c r="AE151" s="1012"/>
    </row>
    <row r="152" spans="1:35" s="1028" customFormat="1" ht="31.5" customHeight="1">
      <c r="A152" s="1014">
        <f>_xlfn.AGGREGATE(4,7,A$24:A151)+1</f>
        <v>128</v>
      </c>
      <c r="B152" s="1015" t="s">
        <v>1495</v>
      </c>
      <c r="C152" s="1033" t="s">
        <v>1720</v>
      </c>
      <c r="D152" s="1034" t="s">
        <v>1335</v>
      </c>
      <c r="E152" s="81" t="str">
        <f>VLOOKUP(B152,TH.Q2!B53:E384,4,FALSE)</f>
        <v>Giảng viên khoa Ngoại ngữ</v>
      </c>
      <c r="F152" s="1018">
        <v>4.9800000000000004</v>
      </c>
      <c r="G152" s="1019"/>
      <c r="H152" s="1248">
        <f t="shared" si="7"/>
        <v>0</v>
      </c>
      <c r="I152" s="1020"/>
      <c r="J152" s="1020" t="str">
        <f>VLOOKUP(B152,'[27]Gui chi Quynh'!$B$11:$E$396,4,FALSE)</f>
        <v>A3</v>
      </c>
      <c r="K152" s="1020">
        <f t="shared" si="8"/>
        <v>0.6</v>
      </c>
      <c r="L152" s="1021">
        <v>20</v>
      </c>
      <c r="M152" s="1021">
        <f>VLOOKUP(B152,'[28]CN BC'!$H$10:$J$275,3,FALSE)</f>
        <v>20</v>
      </c>
      <c r="N152" s="1021">
        <f t="shared" si="9"/>
        <v>20</v>
      </c>
      <c r="O152" s="1022"/>
      <c r="P152" s="1023">
        <f t="shared" si="10"/>
        <v>6991920.0000000009</v>
      </c>
      <c r="Q152" s="1477">
        <f t="shared" si="12"/>
        <v>2.9880000000000004</v>
      </c>
      <c r="R152" s="1429">
        <v>2340000</v>
      </c>
      <c r="S152" s="1478">
        <f t="shared" si="13"/>
        <v>6991920.0000000009</v>
      </c>
      <c r="T152" s="1024">
        <f t="shared" si="14"/>
        <v>128</v>
      </c>
      <c r="U152" s="1025">
        <f>IFERROR(INDEX('[28]CN BC'!$M$10:$M$276,MATCH(B152,'[28]CN BC'!$H$10:$H$276,0)),"")</f>
        <v>0</v>
      </c>
      <c r="V152" s="1011" t="str">
        <f>VLOOKUP(B152,TH.T4!B149:AC479,28,FALSE)</f>
        <v>NN</v>
      </c>
      <c r="W152" s="1012"/>
      <c r="X152" s="1012"/>
      <c r="Y152" s="1027"/>
      <c r="Z152" s="1012"/>
      <c r="AA152" s="1012"/>
      <c r="AB152" s="1012"/>
      <c r="AC152" s="1012"/>
      <c r="AD152" s="1012"/>
      <c r="AE152" s="1012"/>
    </row>
    <row r="153" spans="1:35" s="1028" customFormat="1" ht="31.5" customHeight="1">
      <c r="A153" s="1014">
        <f>_xlfn.AGGREGATE(4,7,A$24:A152)+1</f>
        <v>129</v>
      </c>
      <c r="B153" s="1015" t="s">
        <v>1876</v>
      </c>
      <c r="C153" s="1033" t="s">
        <v>1721</v>
      </c>
      <c r="D153" s="1034" t="s">
        <v>504</v>
      </c>
      <c r="E153" s="81" t="str">
        <f>VLOOKUP(B153,TH.Q2!B54:E385,4,FALSE)</f>
        <v>Giảng viên khoa Ngoại ngữ</v>
      </c>
      <c r="F153" s="1040">
        <v>3.99</v>
      </c>
      <c r="G153" s="1019"/>
      <c r="H153" s="1248">
        <f t="shared" si="7"/>
        <v>0</v>
      </c>
      <c r="I153" s="1020"/>
      <c r="J153" s="1020" t="str">
        <f>VLOOKUP(B153,'[27]Gui chi Quynh'!$B$11:$E$396,4,FALSE)</f>
        <v>A3</v>
      </c>
      <c r="K153" s="1020">
        <f t="shared" si="8"/>
        <v>0.6</v>
      </c>
      <c r="L153" s="1021">
        <v>20</v>
      </c>
      <c r="M153" s="1021">
        <f>VLOOKUP(B153,'[28]CN BC'!$H$10:$J$275,3,FALSE)</f>
        <v>20</v>
      </c>
      <c r="N153" s="1021">
        <f t="shared" ref="N153:N216" si="15">IF(M153&gt;=L153,L153,IF(M153&lt;L153,M153))</f>
        <v>20</v>
      </c>
      <c r="O153" s="1022"/>
      <c r="P153" s="1023">
        <f t="shared" ref="P153:P216" si="16">(((F153+H153+I153)*$P$21/L153*N153)*K153)+O153</f>
        <v>5601960</v>
      </c>
      <c r="Q153" s="1477">
        <f t="shared" si="12"/>
        <v>2.3940000000000001</v>
      </c>
      <c r="R153" s="1429">
        <v>2340000</v>
      </c>
      <c r="S153" s="1478">
        <f t="shared" si="13"/>
        <v>5601960</v>
      </c>
      <c r="T153" s="1024">
        <f t="shared" si="14"/>
        <v>129</v>
      </c>
      <c r="U153" s="1025">
        <f>IFERROR(INDEX('[28]CN BC'!$M$10:$M$276,MATCH(B153,'[28]CN BC'!$H$10:$H$276,0)),"")</f>
        <v>0</v>
      </c>
      <c r="V153" s="1011" t="str">
        <f>VLOOKUP(B153,TH.T4!B150:AC480,28,FALSE)</f>
        <v>NN</v>
      </c>
      <c r="W153" s="1012"/>
      <c r="X153" s="1012"/>
      <c r="Y153" s="1027"/>
      <c r="Z153" s="1012"/>
      <c r="AA153" s="1012"/>
      <c r="AB153" s="1012"/>
      <c r="AC153" s="1012"/>
      <c r="AD153" s="1012"/>
      <c r="AE153" s="1012"/>
    </row>
    <row r="154" spans="1:35" s="1028" customFormat="1" ht="31.5" customHeight="1">
      <c r="A154" s="1014">
        <f>_xlfn.AGGREGATE(4,7,A$24:A153)+1</f>
        <v>130</v>
      </c>
      <c r="B154" s="1015" t="s">
        <v>1496</v>
      </c>
      <c r="C154" s="1033" t="s">
        <v>1722</v>
      </c>
      <c r="D154" s="1030" t="s">
        <v>1589</v>
      </c>
      <c r="E154" s="81" t="str">
        <f>VLOOKUP(B154,TH.Q2!B55:E386,4,FALSE)</f>
        <v>Giảng viên khoa Ngoại ngữ</v>
      </c>
      <c r="F154" s="1040">
        <v>3.33</v>
      </c>
      <c r="G154" s="1019"/>
      <c r="H154" s="1248">
        <f t="shared" ref="H154:H217" si="17">ROUND(F154*G154,3)</f>
        <v>0</v>
      </c>
      <c r="I154" s="1020">
        <v>0.45</v>
      </c>
      <c r="J154" s="1020" t="str">
        <f>VLOOKUP(B154,'[27]Gui chi Quynh'!$B$11:$E$396,4,FALSE)</f>
        <v>A2</v>
      </c>
      <c r="K154" s="1020">
        <f t="shared" ref="K154:K217" si="18">IF(J154="A1",0.8,IF(J154="A2",0.7,IF(J154="A3",0.6,IF(J154="A4",0.5,IF(J154="B1",0.35,IF(J154="B2",0.25,IF(J154="C1",0.15,IF(J154="C2",0.1,0))))))))</f>
        <v>0.7</v>
      </c>
      <c r="L154" s="1021">
        <v>20</v>
      </c>
      <c r="M154" s="1021">
        <f>VLOOKUP(B154,'[28]CN BC'!$H$10:$J$275,3,FALSE)</f>
        <v>20</v>
      </c>
      <c r="N154" s="1021">
        <f t="shared" si="15"/>
        <v>20</v>
      </c>
      <c r="O154" s="1022"/>
      <c r="P154" s="1023">
        <f t="shared" si="16"/>
        <v>6191640</v>
      </c>
      <c r="Q154" s="1477">
        <f t="shared" ref="Q154:Q217" si="19">P154/R154</f>
        <v>2.6459999999999999</v>
      </c>
      <c r="R154" s="1429">
        <v>2340000</v>
      </c>
      <c r="S154" s="1478">
        <f t="shared" ref="S154:S217" si="20">Q154*R154</f>
        <v>6191640</v>
      </c>
      <c r="T154" s="1024">
        <f t="shared" si="14"/>
        <v>130</v>
      </c>
      <c r="U154" s="1025">
        <f>IFERROR(INDEX('[28]CN BC'!$M$10:$M$276,MATCH(B154,'[28]CN BC'!$H$10:$H$276,0)),"")</f>
        <v>0</v>
      </c>
      <c r="V154" s="1011" t="str">
        <f>VLOOKUP(B154,TH.T4!B151:AC481,28,FALSE)</f>
        <v>NN</v>
      </c>
      <c r="W154" s="1012"/>
      <c r="X154" s="1012"/>
      <c r="Y154" s="1027"/>
      <c r="Z154" s="1012"/>
      <c r="AA154" s="1012"/>
      <c r="AB154" s="1012"/>
      <c r="AC154" s="1012"/>
      <c r="AD154" s="1012"/>
      <c r="AE154" s="1012"/>
    </row>
    <row r="155" spans="1:35" s="1028" customFormat="1" ht="31.5" customHeight="1">
      <c r="A155" s="1014">
        <f>_xlfn.AGGREGATE(4,7,A$24:A154)+1</f>
        <v>131</v>
      </c>
      <c r="B155" s="1015" t="s">
        <v>1497</v>
      </c>
      <c r="C155" s="1033" t="s">
        <v>1723</v>
      </c>
      <c r="D155" s="1030" t="s">
        <v>1590</v>
      </c>
      <c r="E155" s="81" t="str">
        <f>VLOOKUP(B155,TH.Q2!B56:E387,4,FALSE)</f>
        <v>Giảng viên khoa Ngoại ngữ</v>
      </c>
      <c r="F155" s="1040">
        <v>3</v>
      </c>
      <c r="G155" s="1019"/>
      <c r="H155" s="1248">
        <f t="shared" si="17"/>
        <v>0</v>
      </c>
      <c r="I155" s="1020"/>
      <c r="J155" s="1020" t="str">
        <f>VLOOKUP(B155,'[27]Gui chi Quynh'!$B$11:$E$396,4,FALSE)</f>
        <v>A4</v>
      </c>
      <c r="K155" s="1020">
        <f t="shared" si="18"/>
        <v>0.5</v>
      </c>
      <c r="L155" s="1021">
        <v>20</v>
      </c>
      <c r="M155" s="1021">
        <f>VLOOKUP(B155,'[28]CN BC'!$H$10:$J$275,3,FALSE)</f>
        <v>20</v>
      </c>
      <c r="N155" s="1021">
        <f t="shared" si="15"/>
        <v>20</v>
      </c>
      <c r="O155" s="1022"/>
      <c r="P155" s="1023">
        <f t="shared" si="16"/>
        <v>3510000</v>
      </c>
      <c r="Q155" s="1477">
        <f t="shared" si="19"/>
        <v>1.5</v>
      </c>
      <c r="R155" s="1429">
        <v>2340000</v>
      </c>
      <c r="S155" s="1478">
        <f t="shared" si="20"/>
        <v>3510000</v>
      </c>
      <c r="T155" s="1024">
        <f t="shared" si="14"/>
        <v>131</v>
      </c>
      <c r="U155" s="1025">
        <f>IFERROR(INDEX('[28]CN BC'!$M$10:$M$276,MATCH(B155,'[28]CN BC'!$H$10:$H$276,0)),"")</f>
        <v>0</v>
      </c>
      <c r="V155" s="1011" t="str">
        <f>VLOOKUP(B155,TH.T4!B152:AC482,28,FALSE)</f>
        <v>NN</v>
      </c>
      <c r="W155" s="1012"/>
      <c r="X155" s="1012"/>
      <c r="Y155" s="1027"/>
      <c r="Z155" s="1012"/>
      <c r="AA155" s="1012"/>
      <c r="AB155" s="1012"/>
      <c r="AC155" s="1012"/>
      <c r="AD155" s="1012"/>
      <c r="AE155" s="1012"/>
    </row>
    <row r="156" spans="1:35" s="1028" customFormat="1" ht="31.5" customHeight="1">
      <c r="A156" s="1014">
        <f>_xlfn.AGGREGATE(4,7,A$24:A155)+1</f>
        <v>132</v>
      </c>
      <c r="B156" s="1015" t="s">
        <v>1929</v>
      </c>
      <c r="C156" s="1033" t="s">
        <v>1964</v>
      </c>
      <c r="D156" s="1066" t="s">
        <v>1932</v>
      </c>
      <c r="E156" s="81" t="str">
        <f>VLOOKUP(B156,TH.Q2!B57:E388,4,FALSE)</f>
        <v>Giảng viên khoa Ngoại ngữ</v>
      </c>
      <c r="F156" s="1018">
        <v>2.67</v>
      </c>
      <c r="G156" s="1019"/>
      <c r="H156" s="1248">
        <f t="shared" si="17"/>
        <v>0</v>
      </c>
      <c r="I156" s="1020"/>
      <c r="J156" s="1020" t="str">
        <f>VLOOKUP(B156,'[27]Gui chi Quynh'!$B$11:$E$396,4,FALSE)</f>
        <v>A4</v>
      </c>
      <c r="K156" s="1020">
        <f t="shared" si="18"/>
        <v>0.5</v>
      </c>
      <c r="L156" s="1021">
        <v>20</v>
      </c>
      <c r="M156" s="1021">
        <f>VLOOKUP(B156,'[28]CN BC'!$H$10:$J$275,3,FALSE)</f>
        <v>20</v>
      </c>
      <c r="N156" s="1021">
        <f t="shared" si="15"/>
        <v>20</v>
      </c>
      <c r="O156" s="1022"/>
      <c r="P156" s="1023">
        <f t="shared" si="16"/>
        <v>3123900</v>
      </c>
      <c r="Q156" s="1477">
        <f t="shared" si="19"/>
        <v>1.335</v>
      </c>
      <c r="R156" s="1429">
        <v>2340000</v>
      </c>
      <c r="S156" s="1478">
        <f t="shared" si="20"/>
        <v>3123900</v>
      </c>
      <c r="T156" s="1024">
        <f t="shared" si="14"/>
        <v>132</v>
      </c>
      <c r="U156" s="1025">
        <f>IFERROR(INDEX('[28]CN BC'!$M$10:$M$276,MATCH(B156,'[28]CN BC'!$H$10:$H$276,0)),"")</f>
        <v>0</v>
      </c>
      <c r="V156" s="1011" t="str">
        <f>VLOOKUP(B156,TH.T4!B153:AC483,28,FALSE)</f>
        <v>NN</v>
      </c>
      <c r="W156" s="1012"/>
      <c r="X156" s="1012"/>
      <c r="Y156" s="1027"/>
      <c r="Z156" s="1012"/>
      <c r="AA156" s="1012"/>
      <c r="AB156" s="1012"/>
      <c r="AC156" s="1012"/>
      <c r="AD156" s="1012"/>
      <c r="AE156" s="1012"/>
    </row>
    <row r="157" spans="1:35" s="1028" customFormat="1" ht="28.5" customHeight="1">
      <c r="A157" s="1014">
        <f>_xlfn.AGGREGATE(4,7,A$24:A156)+1</f>
        <v>133</v>
      </c>
      <c r="B157" s="1015" t="s">
        <v>1498</v>
      </c>
      <c r="C157" s="1033" t="s">
        <v>1724</v>
      </c>
      <c r="D157" s="1030" t="s">
        <v>1591</v>
      </c>
      <c r="E157" s="81" t="str">
        <f>VLOOKUP(B157,TH.Q2!B58:E389,4,FALSE)</f>
        <v>Giảng viên khoa Ngoại ngữ</v>
      </c>
      <c r="F157" s="1040">
        <v>3</v>
      </c>
      <c r="G157" s="1019"/>
      <c r="H157" s="1248">
        <f t="shared" si="17"/>
        <v>0</v>
      </c>
      <c r="I157" s="1020"/>
      <c r="J157" s="1020" t="str">
        <f>VLOOKUP(B157,'[27]Gui chi Quynh'!$B$11:$E$396,4,FALSE)</f>
        <v>A3</v>
      </c>
      <c r="K157" s="1020">
        <f t="shared" si="18"/>
        <v>0.6</v>
      </c>
      <c r="L157" s="1021">
        <v>20</v>
      </c>
      <c r="M157" s="1021">
        <f>VLOOKUP(B157,'[28]CN BC'!$H$10:$J$275,3,FALSE)</f>
        <v>20</v>
      </c>
      <c r="N157" s="1021">
        <f t="shared" si="15"/>
        <v>20</v>
      </c>
      <c r="O157" s="1022"/>
      <c r="P157" s="1023">
        <f t="shared" si="16"/>
        <v>4212000</v>
      </c>
      <c r="Q157" s="1477">
        <f t="shared" si="19"/>
        <v>1.8</v>
      </c>
      <c r="R157" s="1429">
        <v>2340000</v>
      </c>
      <c r="S157" s="1478">
        <f t="shared" si="20"/>
        <v>4212000</v>
      </c>
      <c r="T157" s="1024">
        <f t="shared" si="14"/>
        <v>133</v>
      </c>
      <c r="U157" s="1025">
        <f>IFERROR(INDEX('[28]CN BC'!$M$10:$M$276,MATCH(B157,'[28]CN BC'!$H$10:$H$276,0)),"")</f>
        <v>0</v>
      </c>
      <c r="V157" s="1011" t="str">
        <f>VLOOKUP(B157,TH.T4!B154:AC484,28,FALSE)</f>
        <v>NN</v>
      </c>
      <c r="W157" s="1012"/>
      <c r="X157" s="1012"/>
      <c r="Y157" s="1038"/>
    </row>
    <row r="158" spans="1:35" s="1028" customFormat="1" ht="43.5" customHeight="1">
      <c r="A158" s="1014">
        <f>_xlfn.AGGREGATE(4,7,A$24:A157)+1</f>
        <v>134</v>
      </c>
      <c r="B158" s="1015" t="s">
        <v>1925</v>
      </c>
      <c r="C158" s="1033" t="s">
        <v>1965</v>
      </c>
      <c r="D158" s="1091" t="s">
        <v>1930</v>
      </c>
      <c r="E158" s="81" t="str">
        <f>VLOOKUP(B158,TH.Q2!B59:E390,4,FALSE)</f>
        <v>Giảng viên khoa Ngoại ngữ</v>
      </c>
      <c r="F158" s="1018">
        <v>2.67</v>
      </c>
      <c r="G158" s="1019"/>
      <c r="H158" s="1248">
        <f t="shared" si="17"/>
        <v>0</v>
      </c>
      <c r="I158" s="1020"/>
      <c r="J158" s="1020" t="str">
        <f>VLOOKUP(B158,'[27]Gui chi Quynh'!$B$11:$E$396,4,FALSE)</f>
        <v>A3</v>
      </c>
      <c r="K158" s="1020">
        <f t="shared" si="18"/>
        <v>0.6</v>
      </c>
      <c r="L158" s="1021">
        <v>20</v>
      </c>
      <c r="M158" s="1021">
        <f>VLOOKUP(B158,'[28]CN BC'!$H$10:$J$275,3,FALSE)</f>
        <v>20</v>
      </c>
      <c r="N158" s="1021">
        <f t="shared" si="15"/>
        <v>20</v>
      </c>
      <c r="O158" s="1022"/>
      <c r="P158" s="1023">
        <f t="shared" si="16"/>
        <v>3748680</v>
      </c>
      <c r="Q158" s="1477">
        <f t="shared" si="19"/>
        <v>1.6020000000000001</v>
      </c>
      <c r="R158" s="1429">
        <v>2340000</v>
      </c>
      <c r="S158" s="1478">
        <f t="shared" si="20"/>
        <v>3748680</v>
      </c>
      <c r="T158" s="1024">
        <f t="shared" si="14"/>
        <v>134</v>
      </c>
      <c r="U158" s="1025">
        <f>IFERROR(INDEX('[28]CN BC'!$M$10:$M$276,MATCH(B158,'[28]CN BC'!$H$10:$H$276,0)),"")</f>
        <v>0</v>
      </c>
      <c r="V158" s="1011" t="str">
        <f>VLOOKUP(B158,TH.T4!B155:AC485,28,FALSE)</f>
        <v>NN</v>
      </c>
      <c r="W158" s="1012"/>
      <c r="X158" s="1012"/>
      <c r="Y158" s="1038"/>
    </row>
    <row r="159" spans="1:35" s="1028" customFormat="1" ht="30.75" customHeight="1">
      <c r="A159" s="1014">
        <f>_xlfn.AGGREGATE(4,7,A$24:A158)+1</f>
        <v>135</v>
      </c>
      <c r="B159" s="1015" t="s">
        <v>2018</v>
      </c>
      <c r="C159" s="1033"/>
      <c r="D159" s="1091"/>
      <c r="E159" s="368" t="str">
        <f>VLOOKUP(B159,TH.Q2!B60:E391,4,FALSE)</f>
        <v>Giảng viên khoa Ngoại ngữ</v>
      </c>
      <c r="F159" s="1018">
        <v>1.9890000000000001</v>
      </c>
      <c r="G159" s="1019"/>
      <c r="H159" s="1255">
        <f t="shared" si="17"/>
        <v>0</v>
      </c>
      <c r="I159" s="1020"/>
      <c r="J159" s="1020" t="str">
        <f>VLOOKUP(B159,'[27]Gui chi Quynh'!$B$11:$E$396,4,FALSE)</f>
        <v>A3</v>
      </c>
      <c r="K159" s="1020">
        <f t="shared" si="18"/>
        <v>0.6</v>
      </c>
      <c r="L159" s="1021">
        <v>20</v>
      </c>
      <c r="M159" s="1021">
        <f>VLOOKUP(B159,'[28]CN BC'!$H$10:$J$275,3,FALSE)</f>
        <v>20</v>
      </c>
      <c r="N159" s="1021">
        <f t="shared" si="15"/>
        <v>20</v>
      </c>
      <c r="O159" s="1035"/>
      <c r="P159" s="1023">
        <f t="shared" si="16"/>
        <v>2792556</v>
      </c>
      <c r="Q159" s="1477">
        <f t="shared" si="19"/>
        <v>1.1934</v>
      </c>
      <c r="R159" s="1429">
        <v>2340000</v>
      </c>
      <c r="S159" s="1478">
        <f t="shared" si="20"/>
        <v>2792556</v>
      </c>
      <c r="T159" s="1024">
        <f t="shared" si="14"/>
        <v>135</v>
      </c>
      <c r="U159" s="1025">
        <f>IFERROR(INDEX('[28]CN BC'!$M$10:$M$276,MATCH(B159,'[28]CN BC'!$H$10:$H$276,0)),"")</f>
        <v>0</v>
      </c>
      <c r="V159" s="1067" t="str">
        <f>VLOOKUP(B159,TH.T4!B156:AC486,28,FALSE)</f>
        <v>NN</v>
      </c>
      <c r="Y159" s="1038"/>
    </row>
    <row r="160" spans="1:35" s="1028" customFormat="1" ht="30.75" customHeight="1">
      <c r="A160" s="1014">
        <f>_xlfn.AGGREGATE(4,7,A$24:A159)+1</f>
        <v>136</v>
      </c>
      <c r="B160" s="1015" t="s">
        <v>2024</v>
      </c>
      <c r="C160" s="1033"/>
      <c r="D160" s="1091"/>
      <c r="E160" s="81" t="str">
        <f>VLOOKUP(B160,TH.Q2!B61:E392,4,FALSE)</f>
        <v>Giảng viên khoa Ngoại ngữ</v>
      </c>
      <c r="F160" s="1018">
        <v>1.9890000000000001</v>
      </c>
      <c r="G160" s="1019"/>
      <c r="H160" s="1248">
        <f t="shared" si="17"/>
        <v>0</v>
      </c>
      <c r="I160" s="1020"/>
      <c r="J160" s="1020" t="str">
        <f>VLOOKUP(B160,'[27]Gui chi Quynh'!$B$11:$E$396,4,FALSE)</f>
        <v>A3</v>
      </c>
      <c r="K160" s="1020">
        <f t="shared" si="18"/>
        <v>0.6</v>
      </c>
      <c r="L160" s="1021">
        <v>20</v>
      </c>
      <c r="M160" s="1021">
        <f>VLOOKUP(B160,'[28]CN BC'!$H$10:$J$275,3,FALSE)</f>
        <v>20</v>
      </c>
      <c r="N160" s="1021">
        <f t="shared" si="15"/>
        <v>20</v>
      </c>
      <c r="O160" s="1022"/>
      <c r="P160" s="1023">
        <f t="shared" si="16"/>
        <v>2792556</v>
      </c>
      <c r="Q160" s="1477">
        <f t="shared" si="19"/>
        <v>1.1934</v>
      </c>
      <c r="R160" s="1429">
        <v>2340000</v>
      </c>
      <c r="S160" s="1478">
        <f t="shared" si="20"/>
        <v>2792556</v>
      </c>
      <c r="T160" s="1024">
        <f t="shared" si="14"/>
        <v>136</v>
      </c>
      <c r="U160" s="1025">
        <f>IFERROR(INDEX('[28]CN BC'!$M$10:$M$276,MATCH(B160,'[28]CN BC'!$H$10:$H$276,0)),"")</f>
        <v>0</v>
      </c>
      <c r="V160" s="1011" t="str">
        <f>VLOOKUP(B160,TH.T4!B157:AC487,28,FALSE)</f>
        <v>NN</v>
      </c>
      <c r="Y160" s="1038"/>
    </row>
    <row r="161" spans="1:31" s="1028" customFormat="1" ht="30.75" customHeight="1">
      <c r="A161" s="1014">
        <f>_xlfn.AGGREGATE(4,7,A$24:A160)+1</f>
        <v>137</v>
      </c>
      <c r="B161" s="1015" t="s">
        <v>2006</v>
      </c>
      <c r="C161" s="1033"/>
      <c r="D161" s="1091"/>
      <c r="E161" s="81" t="str">
        <f>VLOOKUP(B161,TH.Q2!B62:E393,4,FALSE)</f>
        <v>Giảng viên khoa Ngoại ngữ</v>
      </c>
      <c r="F161" s="1018">
        <v>2.34</v>
      </c>
      <c r="G161" s="1019"/>
      <c r="H161" s="1248">
        <f t="shared" si="17"/>
        <v>0</v>
      </c>
      <c r="I161" s="1020"/>
      <c r="J161" s="1020" t="str">
        <f>VLOOKUP(B161,'[27]Gui chi Quynh'!$B$11:$E$396,4,FALSE)</f>
        <v>A4</v>
      </c>
      <c r="K161" s="1020">
        <f t="shared" si="18"/>
        <v>0.5</v>
      </c>
      <c r="L161" s="1021">
        <v>20</v>
      </c>
      <c r="M161" s="1021">
        <f>VLOOKUP(B161,'[28]CN BC'!$H$10:$J$275,3,FALSE)</f>
        <v>10</v>
      </c>
      <c r="N161" s="1021">
        <f t="shared" si="15"/>
        <v>10</v>
      </c>
      <c r="O161" s="1022"/>
      <c r="P161" s="1023">
        <f t="shared" si="16"/>
        <v>1368900</v>
      </c>
      <c r="Q161" s="1477">
        <f t="shared" si="19"/>
        <v>0.58499999999999996</v>
      </c>
      <c r="R161" s="1429">
        <v>2340000</v>
      </c>
      <c r="S161" s="1478">
        <f t="shared" si="20"/>
        <v>1368900</v>
      </c>
      <c r="T161" s="1024">
        <f t="shared" si="14"/>
        <v>137</v>
      </c>
      <c r="U161" s="1025" t="str">
        <f>IFERROR(INDEX('[28]CN BC'!$M$10:$M$276,MATCH(B161,'[28]CN BC'!$H$10:$H$276,0)),"")</f>
        <v>Nghỉ hộ sản hưởng chế độ BHXH từ 18/11/2024</v>
      </c>
      <c r="V161" s="1011" t="str">
        <f>VLOOKUP(B161,TH.T4!B158:AC488,28,FALSE)</f>
        <v>NN</v>
      </c>
      <c r="Y161" s="1038"/>
    </row>
    <row r="162" spans="1:31" s="1028" customFormat="1" ht="27.75" customHeight="1">
      <c r="A162" s="1014">
        <f>_xlfn.AGGREGATE(4,7,A$24:A161)+1</f>
        <v>138</v>
      </c>
      <c r="B162" s="1015" t="s">
        <v>2345</v>
      </c>
      <c r="C162" s="1033"/>
      <c r="D162" s="1091"/>
      <c r="E162" s="368" t="str">
        <f>VLOOKUP(B162,TH.Q2!B63:E394,4,FALSE)</f>
        <v>Giảng viên khoa Ngoại ngữ</v>
      </c>
      <c r="F162" s="1018">
        <v>1.9890000000000001</v>
      </c>
      <c r="G162" s="1019"/>
      <c r="H162" s="1248">
        <f t="shared" si="17"/>
        <v>0</v>
      </c>
      <c r="I162" s="1020"/>
      <c r="J162" s="1020" t="str">
        <f>VLOOKUP(B162,'[27]Gui chi Quynh'!$B$11:$E$396,4,FALSE)</f>
        <v>A4</v>
      </c>
      <c r="K162" s="1020">
        <f t="shared" si="18"/>
        <v>0.5</v>
      </c>
      <c r="L162" s="1021">
        <v>20</v>
      </c>
      <c r="M162" s="1021">
        <f>VLOOKUP(B162,'[28]CN BC'!$H$10:$J$275,3,FALSE)</f>
        <v>20</v>
      </c>
      <c r="N162" s="1021">
        <f t="shared" si="15"/>
        <v>20</v>
      </c>
      <c r="O162" s="1035"/>
      <c r="P162" s="1023">
        <f>(((F162+H163+I162)*$P$21/L162*N162)*K162)+O162</f>
        <v>2327130</v>
      </c>
      <c r="Q162" s="1477">
        <f t="shared" si="19"/>
        <v>0.99450000000000005</v>
      </c>
      <c r="R162" s="1429">
        <v>2340000</v>
      </c>
      <c r="S162" s="1478">
        <f t="shared" si="20"/>
        <v>2327130</v>
      </c>
      <c r="T162" s="1024"/>
      <c r="U162" s="1025">
        <f>IFERROR(INDEX('[28]CN BC'!$M$10:$M$276,MATCH(B162,'[28]CN BC'!$H$10:$H$276,0)),"")</f>
        <v>0</v>
      </c>
      <c r="V162" s="1067"/>
      <c r="Y162" s="1038"/>
    </row>
    <row r="163" spans="1:31" s="1028" customFormat="1" ht="30.75" customHeight="1">
      <c r="A163" s="1014">
        <f>_xlfn.AGGREGATE(4,7,A$24:A162)+1</f>
        <v>139</v>
      </c>
      <c r="B163" s="1015" t="s">
        <v>2393</v>
      </c>
      <c r="C163" s="1033"/>
      <c r="D163" s="1091"/>
      <c r="E163" s="368" t="s">
        <v>2374</v>
      </c>
      <c r="F163" s="1018">
        <v>1.9890000000000001</v>
      </c>
      <c r="G163" s="1019"/>
      <c r="H163" s="1255">
        <f t="shared" si="17"/>
        <v>0</v>
      </c>
      <c r="I163" s="1020"/>
      <c r="J163" s="1020" t="str">
        <f>VLOOKUP(B163,'[27]Gui chi Quynh'!$B$11:$E$396,4,FALSE)</f>
        <v>A3</v>
      </c>
      <c r="K163" s="1020">
        <f t="shared" si="18"/>
        <v>0.6</v>
      </c>
      <c r="L163" s="1021">
        <v>20</v>
      </c>
      <c r="M163" s="1021">
        <f>VLOOKUP(B163,'[28]CN BC'!$H$10:$J$275,3,FALSE)</f>
        <v>20</v>
      </c>
      <c r="N163" s="1021">
        <f t="shared" si="15"/>
        <v>20</v>
      </c>
      <c r="O163" s="1035"/>
      <c r="P163" s="1023">
        <f>(((F163+H164+I163)*$P$21/L163*N163)*K163)+O163</f>
        <v>2792556</v>
      </c>
      <c r="Q163" s="1477">
        <f t="shared" si="19"/>
        <v>1.1934</v>
      </c>
      <c r="R163" s="1429">
        <v>2340000</v>
      </c>
      <c r="S163" s="1478">
        <f t="shared" si="20"/>
        <v>2792556</v>
      </c>
      <c r="T163" s="1024"/>
      <c r="U163" s="1470">
        <f>IFERROR(INDEX('[28]CN BC'!$M$10:$M$276,MATCH(B163,'[28]CN BC'!$H$10:$H$276,0)),"")</f>
        <v>0</v>
      </c>
      <c r="V163" s="1067"/>
      <c r="Y163" s="1038"/>
    </row>
    <row r="164" spans="1:31" s="1028" customFormat="1" ht="30" customHeight="1">
      <c r="A164" s="1014">
        <f>_xlfn.AGGREGATE(4,7,A$24:A163)+1</f>
        <v>140</v>
      </c>
      <c r="B164" s="1015" t="s">
        <v>1499</v>
      </c>
      <c r="C164" s="1033" t="s">
        <v>1725</v>
      </c>
      <c r="D164" s="1034" t="s">
        <v>378</v>
      </c>
      <c r="E164" s="81" t="str">
        <f>VLOOKUP(B164,TH.Q2!B64:E395,4,FALSE)</f>
        <v>Phó Trưởng khoa LLCT</v>
      </c>
      <c r="F164" s="1040">
        <v>3.99</v>
      </c>
      <c r="G164" s="1100"/>
      <c r="H164" s="1248">
        <f t="shared" si="17"/>
        <v>0</v>
      </c>
      <c r="I164" s="1020">
        <v>0.35</v>
      </c>
      <c r="J164" s="1020" t="str">
        <f>VLOOKUP(B164,'[27]Gui chi Quynh'!$B$11:$E$396,4,FALSE)</f>
        <v>A4</v>
      </c>
      <c r="K164" s="1020">
        <f t="shared" si="18"/>
        <v>0.5</v>
      </c>
      <c r="L164" s="1021">
        <v>20</v>
      </c>
      <c r="M164" s="1021">
        <f>VLOOKUP(B164,'[28]CN BC'!$H$10:$J$275,3,FALSE)</f>
        <v>21</v>
      </c>
      <c r="N164" s="1021">
        <f t="shared" si="15"/>
        <v>20</v>
      </c>
      <c r="O164" s="1022"/>
      <c r="P164" s="1023">
        <f t="shared" si="16"/>
        <v>5077800</v>
      </c>
      <c r="Q164" s="1477">
        <f t="shared" si="19"/>
        <v>2.17</v>
      </c>
      <c r="R164" s="1429">
        <v>2340000</v>
      </c>
      <c r="S164" s="1478">
        <f t="shared" si="20"/>
        <v>5077800</v>
      </c>
      <c r="T164" s="1024">
        <f t="shared" ref="T164:T227" si="21">A164</f>
        <v>140</v>
      </c>
      <c r="U164" s="1025">
        <f>IFERROR(INDEX('[28]CN BC'!$M$10:$M$276,MATCH(B164,'[28]CN BC'!$H$10:$H$276,0)),"")</f>
        <v>0</v>
      </c>
      <c r="V164" s="1011" t="str">
        <f>VLOOKUP(B164,TH.T4!B159:AC489,28,FALSE)</f>
        <v>LLCT</v>
      </c>
      <c r="W164" s="1012"/>
      <c r="X164" s="1012"/>
      <c r="Y164" s="1038"/>
    </row>
    <row r="165" spans="1:31" s="1028" customFormat="1" ht="28.5" customHeight="1">
      <c r="A165" s="1014">
        <f>_xlfn.AGGREGATE(4,7,A$24:A164)+1</f>
        <v>141</v>
      </c>
      <c r="B165" s="1015" t="s">
        <v>843</v>
      </c>
      <c r="C165" s="1033" t="s">
        <v>1726</v>
      </c>
      <c r="D165" s="1034" t="s">
        <v>1316</v>
      </c>
      <c r="E165" s="368" t="str">
        <f>VLOOKUP(B165,TH.Q2!B65:E396,4,FALSE)</f>
        <v>Phó Trưởng khoa LLCT</v>
      </c>
      <c r="F165" s="1040">
        <v>4.32</v>
      </c>
      <c r="G165" s="1019"/>
      <c r="H165" s="1255">
        <f t="shared" si="17"/>
        <v>0</v>
      </c>
      <c r="I165" s="1020">
        <v>0.45</v>
      </c>
      <c r="J165" s="1020" t="str">
        <f>VLOOKUP(B165,'[27]Gui chi Quynh'!$B$11:$E$396,4,FALSE)</f>
        <v>A2</v>
      </c>
      <c r="K165" s="1020">
        <f t="shared" si="18"/>
        <v>0.7</v>
      </c>
      <c r="L165" s="1021">
        <v>20</v>
      </c>
      <c r="M165" s="1021">
        <f>VLOOKUP(B165,'[28]CN BC'!$H$10:$J$275,3,FALSE)</f>
        <v>21</v>
      </c>
      <c r="N165" s="1021">
        <f t="shared" si="15"/>
        <v>20</v>
      </c>
      <c r="O165" s="1035"/>
      <c r="P165" s="1023">
        <f t="shared" si="16"/>
        <v>7813260.0000000009</v>
      </c>
      <c r="Q165" s="1477">
        <f t="shared" si="19"/>
        <v>3.3390000000000004</v>
      </c>
      <c r="R165" s="1429">
        <v>2340000</v>
      </c>
      <c r="S165" s="1478">
        <f t="shared" si="20"/>
        <v>7813260.0000000009</v>
      </c>
      <c r="T165" s="1024">
        <f t="shared" si="21"/>
        <v>141</v>
      </c>
      <c r="U165" s="1025">
        <f>IFERROR(INDEX('[28]CN BC'!$M$10:$M$276,MATCH(B165,'[28]CN BC'!$H$10:$H$276,0)),"")</f>
        <v>0</v>
      </c>
      <c r="V165" s="1067" t="str">
        <f>VLOOKUP(B165,TH.T4!B160:AC490,28,FALSE)</f>
        <v>LLCT</v>
      </c>
      <c r="Y165" s="1038"/>
    </row>
    <row r="166" spans="1:31" s="1028" customFormat="1" ht="28.5" customHeight="1">
      <c r="A166" s="1014">
        <f>_xlfn.AGGREGATE(4,7,A$24:A165)+1</f>
        <v>142</v>
      </c>
      <c r="B166" s="1015" t="s">
        <v>846</v>
      </c>
      <c r="C166" s="1033" t="s">
        <v>1727</v>
      </c>
      <c r="D166" s="1034" t="s">
        <v>1317</v>
      </c>
      <c r="E166" s="368" t="str">
        <f>VLOOKUP(B166,TH.Q2!B66:E397,4,FALSE)</f>
        <v>Trưởng BM khoa LLCT</v>
      </c>
      <c r="F166" s="1040">
        <v>4.32</v>
      </c>
      <c r="G166" s="1019"/>
      <c r="H166" s="1255">
        <f t="shared" si="17"/>
        <v>0</v>
      </c>
      <c r="I166" s="1020">
        <v>0.25</v>
      </c>
      <c r="J166" s="1020" t="str">
        <f>VLOOKUP(B166,'[27]Gui chi Quynh'!$B$11:$E$396,4,FALSE)</f>
        <v>A3</v>
      </c>
      <c r="K166" s="1020">
        <f t="shared" si="18"/>
        <v>0.6</v>
      </c>
      <c r="L166" s="1021">
        <v>20</v>
      </c>
      <c r="M166" s="1021">
        <f>VLOOKUP(B166,'[28]CN BC'!$H$10:$J$275,3,FALSE)</f>
        <v>21</v>
      </c>
      <c r="N166" s="1021">
        <f t="shared" si="15"/>
        <v>20</v>
      </c>
      <c r="O166" s="1035"/>
      <c r="P166" s="1023">
        <f t="shared" si="16"/>
        <v>6416280</v>
      </c>
      <c r="Q166" s="1477">
        <f t="shared" si="19"/>
        <v>2.742</v>
      </c>
      <c r="R166" s="1429">
        <v>2340000</v>
      </c>
      <c r="S166" s="1478">
        <f t="shared" si="20"/>
        <v>6416280</v>
      </c>
      <c r="T166" s="1024">
        <f t="shared" si="21"/>
        <v>142</v>
      </c>
      <c r="U166" s="1025">
        <f>IFERROR(INDEX('[28]CN BC'!$M$10:$M$276,MATCH(B166,'[28]CN BC'!$H$10:$H$276,0)),"")</f>
        <v>0</v>
      </c>
      <c r="V166" s="1067" t="str">
        <f>VLOOKUP(B166,TH.T4!B161:AC491,28,FALSE)</f>
        <v>LLCT</v>
      </c>
      <c r="Y166" s="1038"/>
    </row>
    <row r="167" spans="1:31" s="1028" customFormat="1" ht="33" customHeight="1">
      <c r="A167" s="1014">
        <f>_xlfn.AGGREGATE(4,7,A$24:A166)+1</f>
        <v>143</v>
      </c>
      <c r="B167" s="1015" t="s">
        <v>1500</v>
      </c>
      <c r="C167" s="1033" t="s">
        <v>1728</v>
      </c>
      <c r="D167" s="1034" t="s">
        <v>377</v>
      </c>
      <c r="E167" s="81" t="str">
        <f>VLOOKUP(B167,TH.Q2!B67:E398,4,FALSE)</f>
        <v>Giảng viên khoa LLCT</v>
      </c>
      <c r="F167" s="1040">
        <v>3.99</v>
      </c>
      <c r="G167" s="1019"/>
      <c r="H167" s="1248">
        <f t="shared" si="17"/>
        <v>0</v>
      </c>
      <c r="I167" s="1020"/>
      <c r="J167" s="1020" t="str">
        <f>VLOOKUP(B167,'[27]Gui chi Quynh'!$B$11:$E$396,4,FALSE)</f>
        <v>A3</v>
      </c>
      <c r="K167" s="1020">
        <f t="shared" si="18"/>
        <v>0.6</v>
      </c>
      <c r="L167" s="1021">
        <v>20</v>
      </c>
      <c r="M167" s="1021">
        <f>VLOOKUP(B167,'[28]CN BC'!$H$10:$J$275,3,FALSE)</f>
        <v>21</v>
      </c>
      <c r="N167" s="1021">
        <f t="shared" si="15"/>
        <v>20</v>
      </c>
      <c r="O167" s="1022"/>
      <c r="P167" s="1023">
        <f t="shared" si="16"/>
        <v>5601960</v>
      </c>
      <c r="Q167" s="1477">
        <f t="shared" si="19"/>
        <v>2.3940000000000001</v>
      </c>
      <c r="R167" s="1429">
        <v>2340000</v>
      </c>
      <c r="S167" s="1478">
        <f t="shared" si="20"/>
        <v>5601960</v>
      </c>
      <c r="T167" s="1024">
        <f t="shared" si="21"/>
        <v>143</v>
      </c>
      <c r="U167" s="1025">
        <f>IFERROR(INDEX('[28]CN BC'!$M$10:$M$276,MATCH(B167,'[28]CN BC'!$H$10:$H$276,0)),"")</f>
        <v>0</v>
      </c>
      <c r="V167" s="1011" t="str">
        <f>VLOOKUP(B167,TH.T4!B162:AC492,28,FALSE)</f>
        <v>LLCT</v>
      </c>
      <c r="Y167" s="1038"/>
    </row>
    <row r="168" spans="1:31" s="1028" customFormat="1" ht="30.75" customHeight="1">
      <c r="A168" s="1014">
        <f>_xlfn.AGGREGATE(4,7,A$24:A167)+1</f>
        <v>144</v>
      </c>
      <c r="B168" s="1015" t="s">
        <v>1877</v>
      </c>
      <c r="C168" s="1033" t="s">
        <v>1729</v>
      </c>
      <c r="D168" s="1034" t="s">
        <v>1320</v>
      </c>
      <c r="E168" s="81" t="str">
        <f>VLOOKUP(B168,TH.Q2!B68:E399,4,FALSE)</f>
        <v>Giảng viên khoa LLCT</v>
      </c>
      <c r="F168" s="1018">
        <v>4.6500000000000004</v>
      </c>
      <c r="G168" s="1019"/>
      <c r="H168" s="1248">
        <f t="shared" si="17"/>
        <v>0</v>
      </c>
      <c r="I168" s="1020"/>
      <c r="J168" s="1020" t="str">
        <f>VLOOKUP(B168,'[27]Gui chi Quynh'!$B$11:$E$396,4,FALSE)</f>
        <v>A3</v>
      </c>
      <c r="K168" s="1020">
        <f t="shared" si="18"/>
        <v>0.6</v>
      </c>
      <c r="L168" s="1021">
        <v>20</v>
      </c>
      <c r="M168" s="1021">
        <f>VLOOKUP(B168,'[28]CN BC'!$H$10:$J$275,3,FALSE)</f>
        <v>21</v>
      </c>
      <c r="N168" s="1021">
        <f t="shared" si="15"/>
        <v>20</v>
      </c>
      <c r="O168" s="1022"/>
      <c r="P168" s="1023">
        <f t="shared" si="16"/>
        <v>6528600</v>
      </c>
      <c r="Q168" s="1477">
        <f t="shared" si="19"/>
        <v>2.79</v>
      </c>
      <c r="R168" s="1429">
        <v>2340000</v>
      </c>
      <c r="S168" s="1478">
        <f t="shared" si="20"/>
        <v>6528600</v>
      </c>
      <c r="T168" s="1024">
        <f t="shared" si="21"/>
        <v>144</v>
      </c>
      <c r="U168" s="1025">
        <f>IFERROR(INDEX('[28]CN BC'!$M$10:$M$276,MATCH(B168,'[28]CN BC'!$H$10:$H$276,0)),"")</f>
        <v>0</v>
      </c>
      <c r="V168" s="1011" t="str">
        <f>VLOOKUP(B168,TH.T4!B163:AC493,28,FALSE)</f>
        <v>LLCT</v>
      </c>
      <c r="Y168" s="1038"/>
    </row>
    <row r="169" spans="1:31" s="1028" customFormat="1" ht="28.5" customHeight="1">
      <c r="A169" s="1014">
        <f>_xlfn.AGGREGATE(4,7,A$24:A168)+1</f>
        <v>145</v>
      </c>
      <c r="B169" s="1015" t="s">
        <v>1501</v>
      </c>
      <c r="C169" s="1033" t="s">
        <v>1730</v>
      </c>
      <c r="D169" s="1030" t="s">
        <v>314</v>
      </c>
      <c r="E169" s="368" t="str">
        <f>VLOOKUP(B169,TH.Q2!B69:E400,4,FALSE)</f>
        <v>Giảng viên khoa LLCT</v>
      </c>
      <c r="F169" s="1040">
        <v>3.99</v>
      </c>
      <c r="G169" s="1019"/>
      <c r="H169" s="1255">
        <f t="shared" si="17"/>
        <v>0</v>
      </c>
      <c r="I169" s="1020"/>
      <c r="J169" s="1020" t="str">
        <f>VLOOKUP(B169,'[27]Gui chi Quynh'!$B$11:$E$396,4,FALSE)</f>
        <v>A4</v>
      </c>
      <c r="K169" s="1020">
        <f t="shared" si="18"/>
        <v>0.5</v>
      </c>
      <c r="L169" s="1021">
        <v>20</v>
      </c>
      <c r="M169" s="1021">
        <f>VLOOKUP(B169,'[28]CN BC'!$H$10:$J$275,3,FALSE)</f>
        <v>20</v>
      </c>
      <c r="N169" s="1021">
        <f t="shared" si="15"/>
        <v>20</v>
      </c>
      <c r="O169" s="1035"/>
      <c r="P169" s="1023">
        <f t="shared" si="16"/>
        <v>4668300</v>
      </c>
      <c r="Q169" s="1477">
        <f t="shared" si="19"/>
        <v>1.9950000000000001</v>
      </c>
      <c r="R169" s="1429">
        <v>2340000</v>
      </c>
      <c r="S169" s="1478">
        <f t="shared" si="20"/>
        <v>4668300</v>
      </c>
      <c r="T169" s="1024">
        <f t="shared" si="21"/>
        <v>145</v>
      </c>
      <c r="U169" s="1025">
        <f>IFERROR(INDEX('[28]CN BC'!$M$10:$M$276,MATCH(B169,'[28]CN BC'!$H$10:$H$276,0)),"")</f>
        <v>0</v>
      </c>
      <c r="V169" s="1067" t="str">
        <f>VLOOKUP(B169,TH.T4!B164:AC494,28,FALSE)</f>
        <v>LLCT</v>
      </c>
      <c r="Y169" s="1038"/>
    </row>
    <row r="170" spans="1:31" s="1028" customFormat="1" ht="28.5" customHeight="1">
      <c r="A170" s="1014">
        <f>_xlfn.AGGREGATE(4,7,A$24:A169)+1</f>
        <v>146</v>
      </c>
      <c r="B170" s="1015" t="s">
        <v>1878</v>
      </c>
      <c r="C170" s="1033" t="s">
        <v>1731</v>
      </c>
      <c r="D170" s="1034" t="s">
        <v>1314</v>
      </c>
      <c r="E170" s="368" t="str">
        <f>VLOOKUP(B170,TH.Q2!B70:E401,4,FALSE)</f>
        <v>Giảng viên khoa LLCT</v>
      </c>
      <c r="F170" s="1018">
        <v>4.6500000000000004</v>
      </c>
      <c r="G170" s="1019"/>
      <c r="H170" s="1255">
        <f t="shared" si="17"/>
        <v>0</v>
      </c>
      <c r="I170" s="1020"/>
      <c r="J170" s="1020" t="str">
        <f>VLOOKUP(B170,'[27]Gui chi Quynh'!$B$11:$E$396,4,FALSE)</f>
        <v>A4</v>
      </c>
      <c r="K170" s="1020">
        <f t="shared" si="18"/>
        <v>0.5</v>
      </c>
      <c r="L170" s="1021">
        <v>20</v>
      </c>
      <c r="M170" s="1021">
        <f>VLOOKUP(B170,'[28]CN BC'!$H$10:$J$275,3,FALSE)</f>
        <v>20</v>
      </c>
      <c r="N170" s="1021">
        <f t="shared" si="15"/>
        <v>20</v>
      </c>
      <c r="O170" s="1035"/>
      <c r="P170" s="1023">
        <f t="shared" si="16"/>
        <v>5440500</v>
      </c>
      <c r="Q170" s="1477">
        <f t="shared" si="19"/>
        <v>2.3250000000000002</v>
      </c>
      <c r="R170" s="1429">
        <v>2340000</v>
      </c>
      <c r="S170" s="1478">
        <f t="shared" si="20"/>
        <v>5440500</v>
      </c>
      <c r="T170" s="1024">
        <f t="shared" si="21"/>
        <v>146</v>
      </c>
      <c r="U170" s="1025">
        <f>IFERROR(INDEX('[28]CN BC'!$M$10:$M$276,MATCH(B170,'[28]CN BC'!$H$10:$H$276,0)),"")</f>
        <v>0</v>
      </c>
      <c r="V170" s="1067" t="str">
        <f>VLOOKUP(B170,TH.T4!B165:AC495,28,FALSE)</f>
        <v>LLCT</v>
      </c>
      <c r="Y170" s="1038"/>
    </row>
    <row r="171" spans="1:31" s="1028" customFormat="1" ht="28.5" customHeight="1">
      <c r="A171" s="1014">
        <f>_xlfn.AGGREGATE(4,7,A$24:A170)+1</f>
        <v>147</v>
      </c>
      <c r="B171" s="1015" t="s">
        <v>1879</v>
      </c>
      <c r="C171" s="1033" t="s">
        <v>1732</v>
      </c>
      <c r="D171" s="1034" t="s">
        <v>1315</v>
      </c>
      <c r="E171" s="81" t="str">
        <f>VLOOKUP(B171,TH.Q2!B71:E402,4,FALSE)</f>
        <v>Giảng viên khoa LLCT</v>
      </c>
      <c r="F171" s="1040">
        <v>4.32</v>
      </c>
      <c r="G171" s="1019"/>
      <c r="H171" s="1248">
        <f t="shared" si="17"/>
        <v>0</v>
      </c>
      <c r="I171" s="1020"/>
      <c r="J171" s="1020" t="str">
        <f>VLOOKUP(B171,'[27]Gui chi Quynh'!$B$11:$E$396,4,FALSE)</f>
        <v>A3</v>
      </c>
      <c r="K171" s="1020">
        <f t="shared" si="18"/>
        <v>0.6</v>
      </c>
      <c r="L171" s="1021">
        <v>20</v>
      </c>
      <c r="M171" s="1021">
        <f>VLOOKUP(B171,'[28]CN BC'!$H$10:$J$275,3,FALSE)</f>
        <v>21</v>
      </c>
      <c r="N171" s="1021">
        <f t="shared" si="15"/>
        <v>20</v>
      </c>
      <c r="O171" s="1022"/>
      <c r="P171" s="1023">
        <f t="shared" si="16"/>
        <v>6065280</v>
      </c>
      <c r="Q171" s="1477">
        <f t="shared" si="19"/>
        <v>2.5920000000000001</v>
      </c>
      <c r="R171" s="1429">
        <v>2340000</v>
      </c>
      <c r="S171" s="1478">
        <f t="shared" si="20"/>
        <v>6065280</v>
      </c>
      <c r="T171" s="1024">
        <f t="shared" si="21"/>
        <v>147</v>
      </c>
      <c r="U171" s="1025">
        <f>IFERROR(INDEX('[28]CN BC'!$M$10:$M$276,MATCH(B171,'[28]CN BC'!$H$10:$H$276,0)),"")</f>
        <v>0</v>
      </c>
      <c r="V171" s="1011" t="str">
        <f>VLOOKUP(B171,TH.T4!B166:AC496,28,FALSE)</f>
        <v>LLCT</v>
      </c>
      <c r="W171" s="1012"/>
      <c r="X171" s="1012"/>
      <c r="Y171" s="1027"/>
      <c r="Z171" s="1012"/>
      <c r="AA171" s="1012"/>
      <c r="AB171" s="1012"/>
      <c r="AC171" s="1012"/>
      <c r="AD171" s="1012"/>
      <c r="AE171" s="1012"/>
    </row>
    <row r="172" spans="1:31" s="1028" customFormat="1" ht="28.5" customHeight="1">
      <c r="A172" s="1014">
        <f>_xlfn.AGGREGATE(4,7,A$24:A171)+1</f>
        <v>148</v>
      </c>
      <c r="B172" s="1015" t="s">
        <v>1502</v>
      </c>
      <c r="C172" s="1033" t="s">
        <v>1733</v>
      </c>
      <c r="D172" s="1034" t="s">
        <v>1318</v>
      </c>
      <c r="E172" s="368" t="str">
        <f>VLOOKUP(B172,TH.Q2!B72:E403,4,FALSE)</f>
        <v>Giảng viên khoa LLCT</v>
      </c>
      <c r="F172" s="1040">
        <v>3.99</v>
      </c>
      <c r="G172" s="1019"/>
      <c r="H172" s="1255">
        <f t="shared" si="17"/>
        <v>0</v>
      </c>
      <c r="I172" s="1020"/>
      <c r="J172" s="1020" t="str">
        <f>VLOOKUP(B172,'[27]Gui chi Quynh'!$B$11:$E$396,4,FALSE)</f>
        <v>A2</v>
      </c>
      <c r="K172" s="1020">
        <f t="shared" si="18"/>
        <v>0.7</v>
      </c>
      <c r="L172" s="1021">
        <v>20</v>
      </c>
      <c r="M172" s="1021">
        <f>VLOOKUP(B172,'[28]CN BC'!$H$10:$J$275,3,FALSE)</f>
        <v>21</v>
      </c>
      <c r="N172" s="1021">
        <f t="shared" si="15"/>
        <v>20</v>
      </c>
      <c r="O172" s="1035"/>
      <c r="P172" s="1023">
        <f t="shared" si="16"/>
        <v>6535620</v>
      </c>
      <c r="Q172" s="1477">
        <f t="shared" si="19"/>
        <v>2.7930000000000001</v>
      </c>
      <c r="R172" s="1429">
        <v>2340000</v>
      </c>
      <c r="S172" s="1478">
        <f t="shared" si="20"/>
        <v>6535620</v>
      </c>
      <c r="T172" s="1024">
        <f t="shared" si="21"/>
        <v>148</v>
      </c>
      <c r="U172" s="1025">
        <f>IFERROR(INDEX('[28]CN BC'!$M$10:$M$276,MATCH(B172,'[28]CN BC'!$H$10:$H$276,0)),"")</f>
        <v>0</v>
      </c>
      <c r="V172" s="1067" t="str">
        <f>VLOOKUP(B172,TH.T4!B167:AC497,28,FALSE)</f>
        <v>LLCT</v>
      </c>
      <c r="Y172" s="1038"/>
    </row>
    <row r="173" spans="1:31" s="1028" customFormat="1" ht="28.5" customHeight="1">
      <c r="A173" s="1014">
        <f>_xlfn.AGGREGATE(4,7,A$24:A172)+1</f>
        <v>149</v>
      </c>
      <c r="B173" s="1015" t="s">
        <v>1880</v>
      </c>
      <c r="C173" s="1033" t="s">
        <v>1734</v>
      </c>
      <c r="D173" s="1034" t="s">
        <v>375</v>
      </c>
      <c r="E173" s="368" t="str">
        <f>VLOOKUP(B173,TH.Q2!B73:E404,4,FALSE)</f>
        <v>Giảng viên khoa LLCT</v>
      </c>
      <c r="F173" s="1040">
        <v>3.99</v>
      </c>
      <c r="G173" s="1019"/>
      <c r="H173" s="1255">
        <f t="shared" si="17"/>
        <v>0</v>
      </c>
      <c r="I173" s="1020"/>
      <c r="J173" s="1020" t="str">
        <f>VLOOKUP(B173,'[27]Gui chi Quynh'!$B$11:$E$396,4,FALSE)</f>
        <v>A4</v>
      </c>
      <c r="K173" s="1020">
        <f t="shared" si="18"/>
        <v>0.5</v>
      </c>
      <c r="L173" s="1021">
        <v>20</v>
      </c>
      <c r="M173" s="1021">
        <f>VLOOKUP(B173,'[28]CN BC'!$H$10:$J$275,3,FALSE)</f>
        <v>21</v>
      </c>
      <c r="N173" s="1021">
        <f t="shared" si="15"/>
        <v>20</v>
      </c>
      <c r="O173" s="1035"/>
      <c r="P173" s="1023">
        <f t="shared" si="16"/>
        <v>4668300</v>
      </c>
      <c r="Q173" s="1477">
        <f t="shared" si="19"/>
        <v>1.9950000000000001</v>
      </c>
      <c r="R173" s="1429">
        <v>2340000</v>
      </c>
      <c r="S173" s="1478">
        <f t="shared" si="20"/>
        <v>4668300</v>
      </c>
      <c r="T173" s="1024">
        <f t="shared" si="21"/>
        <v>149</v>
      </c>
      <c r="U173" s="1025">
        <f>IFERROR(INDEX('[28]CN BC'!$M$10:$M$276,MATCH(B173,'[28]CN BC'!$H$10:$H$276,0)),"")</f>
        <v>0</v>
      </c>
      <c r="V173" s="1067" t="str">
        <f>VLOOKUP(B173,TH.T4!B168:AC498,28,FALSE)</f>
        <v>LLCT</v>
      </c>
      <c r="Y173" s="1038"/>
    </row>
    <row r="174" spans="1:31" s="1028" customFormat="1" ht="28.5" customHeight="1">
      <c r="A174" s="1014">
        <f>_xlfn.AGGREGATE(4,7,A$24:A173)+1</f>
        <v>150</v>
      </c>
      <c r="B174" s="1015" t="s">
        <v>1503</v>
      </c>
      <c r="C174" s="1033" t="s">
        <v>1735</v>
      </c>
      <c r="D174" s="1034" t="s">
        <v>376</v>
      </c>
      <c r="E174" s="368" t="str">
        <f>VLOOKUP(B174,TH.Q2!B74:E405,4,FALSE)</f>
        <v>Giảng viên khoa LLCT</v>
      </c>
      <c r="F174" s="1040">
        <v>3.99</v>
      </c>
      <c r="G174" s="1019"/>
      <c r="H174" s="1255">
        <f t="shared" si="17"/>
        <v>0</v>
      </c>
      <c r="I174" s="1020"/>
      <c r="J174" s="1020" t="str">
        <f>VLOOKUP(B174,'[27]Gui chi Quynh'!$B$11:$E$396,4,FALSE)</f>
        <v>A4</v>
      </c>
      <c r="K174" s="1020">
        <f t="shared" si="18"/>
        <v>0.5</v>
      </c>
      <c r="L174" s="1021">
        <v>20</v>
      </c>
      <c r="M174" s="1021">
        <f>VLOOKUP(B174,'[28]CN BC'!$H$10:$J$275,3,FALSE)</f>
        <v>21</v>
      </c>
      <c r="N174" s="1021">
        <f t="shared" si="15"/>
        <v>20</v>
      </c>
      <c r="O174" s="1035"/>
      <c r="P174" s="1023">
        <f t="shared" si="16"/>
        <v>4668300</v>
      </c>
      <c r="Q174" s="1477">
        <f t="shared" si="19"/>
        <v>1.9950000000000001</v>
      </c>
      <c r="R174" s="1429">
        <v>2340000</v>
      </c>
      <c r="S174" s="1478">
        <f t="shared" si="20"/>
        <v>4668300</v>
      </c>
      <c r="T174" s="1024">
        <f t="shared" si="21"/>
        <v>150</v>
      </c>
      <c r="U174" s="1025">
        <f>IFERROR(INDEX('[28]CN BC'!$M$10:$M$276,MATCH(B174,'[28]CN BC'!$H$10:$H$276,0)),"")</f>
        <v>0</v>
      </c>
      <c r="V174" s="1067" t="str">
        <f>VLOOKUP(B174,TH.T4!B169:AC499,28,FALSE)</f>
        <v>LLCT</v>
      </c>
      <c r="Y174" s="1038"/>
    </row>
    <row r="175" spans="1:31" s="1028" customFormat="1" ht="26.25" customHeight="1">
      <c r="A175" s="1014">
        <f>_xlfn.AGGREGATE(4,7,A$24:A174)+1</f>
        <v>151</v>
      </c>
      <c r="B175" s="1015" t="s">
        <v>1504</v>
      </c>
      <c r="C175" s="1033" t="s">
        <v>1736</v>
      </c>
      <c r="D175" s="1033" t="s">
        <v>503</v>
      </c>
      <c r="E175" s="81" t="str">
        <f>VLOOKUP(B175,TH.Q2!B75:E406,4,FALSE)</f>
        <v>Giảng viên khoa LLCT</v>
      </c>
      <c r="F175" s="1040">
        <v>4.32</v>
      </c>
      <c r="G175" s="1019"/>
      <c r="H175" s="1248">
        <f t="shared" si="17"/>
        <v>0</v>
      </c>
      <c r="I175" s="1020"/>
      <c r="J175" s="1020" t="str">
        <f>VLOOKUP(B175,'[27]Gui chi Quynh'!$B$11:$E$396,4,FALSE)</f>
        <v>A3</v>
      </c>
      <c r="K175" s="1020">
        <f t="shared" si="18"/>
        <v>0.6</v>
      </c>
      <c r="L175" s="1021">
        <v>20</v>
      </c>
      <c r="M175" s="1021">
        <f>VLOOKUP(B175,'[28]CN BC'!$H$10:$J$275,3,FALSE)</f>
        <v>21</v>
      </c>
      <c r="N175" s="1021">
        <f t="shared" si="15"/>
        <v>20</v>
      </c>
      <c r="O175" s="1022"/>
      <c r="P175" s="1023">
        <f t="shared" si="16"/>
        <v>6065280</v>
      </c>
      <c r="Q175" s="1477">
        <f t="shared" si="19"/>
        <v>2.5920000000000001</v>
      </c>
      <c r="R175" s="1429">
        <v>2340000</v>
      </c>
      <c r="S175" s="1478">
        <f t="shared" si="20"/>
        <v>6065280</v>
      </c>
      <c r="T175" s="1024">
        <f t="shared" si="21"/>
        <v>151</v>
      </c>
      <c r="U175" s="1025">
        <f>IFERROR(INDEX('[28]CN BC'!$M$10:$M$276,MATCH(B175,'[28]CN BC'!$H$10:$H$276,0)),"")</f>
        <v>0</v>
      </c>
      <c r="V175" s="1011" t="str">
        <f>VLOOKUP(B175,TH.T4!B170:AC500,28,FALSE)</f>
        <v>LLCT</v>
      </c>
      <c r="W175" s="1012"/>
      <c r="X175" s="1012"/>
      <c r="Y175" s="1027"/>
      <c r="Z175" s="1012"/>
      <c r="AA175" s="1012"/>
      <c r="AB175" s="1012"/>
      <c r="AC175" s="1012"/>
      <c r="AD175" s="1012"/>
      <c r="AE175" s="1012"/>
    </row>
    <row r="176" spans="1:31" s="1028" customFormat="1" ht="27" customHeight="1">
      <c r="A176" s="1014">
        <f>_xlfn.AGGREGATE(4,7,A$24:A175)+1</f>
        <v>152</v>
      </c>
      <c r="B176" s="1015" t="s">
        <v>1505</v>
      </c>
      <c r="C176" s="1033" t="s">
        <v>1737</v>
      </c>
      <c r="D176" s="1030" t="s">
        <v>1592</v>
      </c>
      <c r="E176" s="368" t="str">
        <f>VLOOKUP(B176,TH.Q2!B76:E407,4,FALSE)</f>
        <v>Giảng viên khoa LLCT</v>
      </c>
      <c r="F176" s="1040">
        <v>3.66</v>
      </c>
      <c r="G176" s="1019"/>
      <c r="H176" s="1255">
        <f t="shared" si="17"/>
        <v>0</v>
      </c>
      <c r="I176" s="1020"/>
      <c r="J176" s="1020" t="str">
        <f>VLOOKUP(B176,'[27]Gui chi Quynh'!$B$11:$E$396,4,FALSE)</f>
        <v>A1</v>
      </c>
      <c r="K176" s="1020">
        <f t="shared" si="18"/>
        <v>0.8</v>
      </c>
      <c r="L176" s="1021">
        <v>20</v>
      </c>
      <c r="M176" s="1021">
        <f>VLOOKUP(B176,'[28]CN BC'!$H$10:$J$275,3,FALSE)</f>
        <v>21</v>
      </c>
      <c r="N176" s="1021">
        <f t="shared" si="15"/>
        <v>20</v>
      </c>
      <c r="O176" s="1035"/>
      <c r="P176" s="1023">
        <f t="shared" si="16"/>
        <v>6851520</v>
      </c>
      <c r="Q176" s="1477">
        <f t="shared" si="19"/>
        <v>2.9279999999999999</v>
      </c>
      <c r="R176" s="1429">
        <v>2340000</v>
      </c>
      <c r="S176" s="1478">
        <f t="shared" si="20"/>
        <v>6851520</v>
      </c>
      <c r="T176" s="1024">
        <f t="shared" si="21"/>
        <v>152</v>
      </c>
      <c r="U176" s="1025">
        <f>IFERROR(INDEX('[28]CN BC'!$M$10:$M$276,MATCH(B176,'[28]CN BC'!$H$10:$H$276,0)),"")</f>
        <v>0</v>
      </c>
      <c r="V176" s="1067" t="str">
        <f>VLOOKUP(B176,TH.T4!B171:AC501,28,FALSE)</f>
        <v>LLCT</v>
      </c>
      <c r="Y176" s="1038"/>
    </row>
    <row r="177" spans="1:35" s="1028" customFormat="1" ht="28.15" customHeight="1">
      <c r="A177" s="1014">
        <f>_xlfn.AGGREGATE(4,7,A$24:A176)+1</f>
        <v>153</v>
      </c>
      <c r="B177" s="1015" t="s">
        <v>1881</v>
      </c>
      <c r="C177" s="1033" t="s">
        <v>1738</v>
      </c>
      <c r="D177" s="1034" t="s">
        <v>379</v>
      </c>
      <c r="E177" s="81" t="str">
        <f>VLOOKUP(B177,TH.Q2!B77:E408,4,FALSE)</f>
        <v>Giảng viên khoa LLCT</v>
      </c>
      <c r="F177" s="1040">
        <v>3.66</v>
      </c>
      <c r="G177" s="1019"/>
      <c r="H177" s="1248">
        <f t="shared" si="17"/>
        <v>0</v>
      </c>
      <c r="I177" s="1020"/>
      <c r="J177" s="1020" t="str">
        <f>VLOOKUP(B177,'[27]Gui chi Quynh'!$B$11:$E$396,4,FALSE)</f>
        <v>A3</v>
      </c>
      <c r="K177" s="1020">
        <f t="shared" si="18"/>
        <v>0.6</v>
      </c>
      <c r="L177" s="1021">
        <v>20</v>
      </c>
      <c r="M177" s="1021">
        <f>VLOOKUP(B177,'[28]CN BC'!$H$10:$J$275,3,FALSE)</f>
        <v>20</v>
      </c>
      <c r="N177" s="1021">
        <f t="shared" si="15"/>
        <v>20</v>
      </c>
      <c r="O177" s="1022"/>
      <c r="P177" s="1023">
        <f t="shared" si="16"/>
        <v>5138640</v>
      </c>
      <c r="Q177" s="1477">
        <f t="shared" si="19"/>
        <v>2.1960000000000002</v>
      </c>
      <c r="R177" s="1429">
        <v>2340000</v>
      </c>
      <c r="S177" s="1478">
        <f t="shared" si="20"/>
        <v>5138640</v>
      </c>
      <c r="T177" s="1024">
        <f t="shared" si="21"/>
        <v>153</v>
      </c>
      <c r="U177" s="1025">
        <f>IFERROR(INDEX('[28]CN BC'!$M$10:$M$276,MATCH(B177,'[28]CN BC'!$H$10:$H$276,0)),"")</f>
        <v>0</v>
      </c>
      <c r="V177" s="1011" t="str">
        <f>VLOOKUP(B177,TH.T4!B172:AC502,28,FALSE)</f>
        <v>LLCT</v>
      </c>
      <c r="W177" s="1012"/>
      <c r="X177" s="1012"/>
      <c r="Y177" s="1027"/>
      <c r="Z177" s="1012"/>
      <c r="AA177" s="1012"/>
      <c r="AB177" s="1012"/>
      <c r="AC177" s="1012"/>
      <c r="AD177" s="1012"/>
      <c r="AE177" s="1012"/>
    </row>
    <row r="178" spans="1:35" s="1028" customFormat="1" ht="27.75" customHeight="1">
      <c r="A178" s="1014">
        <f>_xlfn.AGGREGATE(4,7,A$24:A177)+1</f>
        <v>154</v>
      </c>
      <c r="B178" s="1101" t="s">
        <v>1506</v>
      </c>
      <c r="C178" s="1033" t="s">
        <v>1739</v>
      </c>
      <c r="D178" s="1030" t="s">
        <v>1427</v>
      </c>
      <c r="E178" s="81" t="str">
        <f>VLOOKUP(B178,TH.Q2!B78:E409,4,FALSE)</f>
        <v>Giảng viên khoa LLCT</v>
      </c>
      <c r="F178" s="1040">
        <v>3.33</v>
      </c>
      <c r="G178" s="1019"/>
      <c r="H178" s="1248">
        <f t="shared" si="17"/>
        <v>0</v>
      </c>
      <c r="I178" s="1020"/>
      <c r="J178" s="1020" t="str">
        <f>VLOOKUP(B178,'[27]Gui chi Quynh'!$B$11:$E$396,4,FALSE)</f>
        <v>A4</v>
      </c>
      <c r="K178" s="1020">
        <f t="shared" si="18"/>
        <v>0.5</v>
      </c>
      <c r="L178" s="1021">
        <v>20</v>
      </c>
      <c r="M178" s="1021">
        <f>VLOOKUP(B178,'[28]CN BC'!$H$10:$J$275,3,FALSE)</f>
        <v>20</v>
      </c>
      <c r="N178" s="1021">
        <f t="shared" si="15"/>
        <v>20</v>
      </c>
      <c r="O178" s="1022"/>
      <c r="P178" s="1023">
        <f t="shared" si="16"/>
        <v>3896100</v>
      </c>
      <c r="Q178" s="1477">
        <f t="shared" si="19"/>
        <v>1.665</v>
      </c>
      <c r="R178" s="1429">
        <v>2340000</v>
      </c>
      <c r="S178" s="1478">
        <f t="shared" si="20"/>
        <v>3896100</v>
      </c>
      <c r="T178" s="1024">
        <f t="shared" si="21"/>
        <v>154</v>
      </c>
      <c r="U178" s="1025">
        <f>IFERROR(INDEX('[28]CN BC'!$M$10:$M$276,MATCH(B178,'[28]CN BC'!$H$10:$H$276,0)),"")</f>
        <v>0</v>
      </c>
      <c r="V178" s="1011" t="str">
        <f>VLOOKUP(B178,TH.T4!B173:AC503,28,FALSE)</f>
        <v>LLCT</v>
      </c>
      <c r="W178" s="1012"/>
      <c r="X178" s="1012"/>
      <c r="Y178" s="1027"/>
    </row>
    <row r="179" spans="1:35" s="1028" customFormat="1" ht="27" customHeight="1">
      <c r="A179" s="1014">
        <f>_xlfn.AGGREGATE(4,7,A$24:A178)+1</f>
        <v>155</v>
      </c>
      <c r="B179" s="1015" t="s">
        <v>1882</v>
      </c>
      <c r="C179" s="1033" t="s">
        <v>1741</v>
      </c>
      <c r="D179" s="1034" t="s">
        <v>1341</v>
      </c>
      <c r="E179" s="81" t="str">
        <f>VLOOKUP(B179,TH.Q2!B79:E410,4,FALSE)</f>
        <v>Giảng viên khoa CNTT</v>
      </c>
      <c r="F179" s="1040">
        <v>4.32</v>
      </c>
      <c r="G179" s="1019"/>
      <c r="H179" s="1248">
        <f t="shared" si="17"/>
        <v>0</v>
      </c>
      <c r="I179" s="1020"/>
      <c r="J179" s="1020" t="str">
        <f>VLOOKUP(B179,'[27]Gui chi Quynh'!$B$11:$E$396,4,FALSE)</f>
        <v>A4</v>
      </c>
      <c r="K179" s="1020">
        <f t="shared" si="18"/>
        <v>0.5</v>
      </c>
      <c r="L179" s="1021">
        <v>20</v>
      </c>
      <c r="M179" s="1021">
        <f>VLOOKUP(B179,'[28]CN BC'!$H$10:$J$275,3,FALSE)</f>
        <v>20</v>
      </c>
      <c r="N179" s="1021">
        <f t="shared" si="15"/>
        <v>20</v>
      </c>
      <c r="O179" s="1022"/>
      <c r="P179" s="1023">
        <f t="shared" si="16"/>
        <v>5054400</v>
      </c>
      <c r="Q179" s="1477">
        <f t="shared" si="19"/>
        <v>2.16</v>
      </c>
      <c r="R179" s="1429">
        <v>2340000</v>
      </c>
      <c r="S179" s="1478">
        <f t="shared" si="20"/>
        <v>5054400</v>
      </c>
      <c r="T179" s="1024">
        <f t="shared" si="21"/>
        <v>155</v>
      </c>
      <c r="U179" s="1025">
        <f>IFERROR(INDEX('[28]CN BC'!$M$10:$M$276,MATCH(B179,'[28]CN BC'!$H$10:$H$276,0)),"")</f>
        <v>0</v>
      </c>
      <c r="V179" s="1011" t="str">
        <f>VLOOKUP(B179,TH.T4!B174:AC504,28,FALSE)</f>
        <v>CNTT</v>
      </c>
      <c r="W179" s="1012"/>
      <c r="X179" s="1012"/>
      <c r="Y179" s="1027"/>
    </row>
    <row r="180" spans="1:35" s="1012" customFormat="1" ht="28.5" customHeight="1">
      <c r="A180" s="1014">
        <f>_xlfn.AGGREGATE(4,7,A$24:A179)+1</f>
        <v>156</v>
      </c>
      <c r="B180" s="1050" t="s">
        <v>1508</v>
      </c>
      <c r="C180" s="1029" t="s">
        <v>1742</v>
      </c>
      <c r="D180" s="1051" t="s">
        <v>1342</v>
      </c>
      <c r="E180" s="81" t="str">
        <f>VLOOKUP(B180,TH.Q2!B80:E411,4,FALSE)</f>
        <v>Giảng viên khoa CNTT</v>
      </c>
      <c r="F180" s="1056">
        <v>3.99</v>
      </c>
      <c r="G180" s="1053"/>
      <c r="H180" s="1248">
        <f t="shared" si="17"/>
        <v>0</v>
      </c>
      <c r="I180" s="1054"/>
      <c r="J180" s="1020" t="str">
        <f>VLOOKUP(B180,'[27]Gui chi Quynh'!$B$11:$E$396,4,FALSE)</f>
        <v>A3</v>
      </c>
      <c r="K180" s="1020">
        <f t="shared" si="18"/>
        <v>0.6</v>
      </c>
      <c r="L180" s="1021">
        <v>20</v>
      </c>
      <c r="M180" s="1021">
        <f>VLOOKUP(B180,'[28]CN BC'!$H$10:$J$275,3,FALSE)</f>
        <v>20</v>
      </c>
      <c r="N180" s="1021">
        <f t="shared" si="15"/>
        <v>20</v>
      </c>
      <c r="O180" s="1022"/>
      <c r="P180" s="1023">
        <f t="shared" si="16"/>
        <v>5601960</v>
      </c>
      <c r="Q180" s="1477">
        <f t="shared" si="19"/>
        <v>2.3940000000000001</v>
      </c>
      <c r="R180" s="1429">
        <v>2340000</v>
      </c>
      <c r="S180" s="1478">
        <f t="shared" si="20"/>
        <v>5601960</v>
      </c>
      <c r="T180" s="1024">
        <f t="shared" si="21"/>
        <v>156</v>
      </c>
      <c r="U180" s="1025">
        <f>IFERROR(INDEX('[28]CN BC'!$M$10:$M$276,MATCH(B180,'[28]CN BC'!$H$10:$H$276,0)),"")</f>
        <v>0</v>
      </c>
      <c r="V180" s="1011" t="str">
        <f>VLOOKUP(B180,TH.T4!B175:AC505,28,FALSE)</f>
        <v>CNTT</v>
      </c>
      <c r="Y180" s="1027"/>
    </row>
    <row r="181" spans="1:35" s="1012" customFormat="1" ht="26.25" customHeight="1">
      <c r="A181" s="1014">
        <f>_xlfn.AGGREGATE(4,7,A$24:A180)+1</f>
        <v>157</v>
      </c>
      <c r="B181" s="1050" t="s">
        <v>1509</v>
      </c>
      <c r="C181" s="1029" t="s">
        <v>1743</v>
      </c>
      <c r="D181" s="1051" t="s">
        <v>1344</v>
      </c>
      <c r="E181" s="81" t="str">
        <f>VLOOKUP(B181,TH.Q2!B81:E412,4,FALSE)</f>
        <v>Giảng viên khoa CNTT</v>
      </c>
      <c r="F181" s="1052">
        <v>3.99</v>
      </c>
      <c r="G181" s="1053"/>
      <c r="H181" s="1248">
        <f t="shared" si="17"/>
        <v>0</v>
      </c>
      <c r="I181" s="1054"/>
      <c r="J181" s="1020" t="str">
        <f>VLOOKUP(B181,'[27]Gui chi Quynh'!$B$11:$E$396,4,FALSE)</f>
        <v>A3</v>
      </c>
      <c r="K181" s="1020">
        <f t="shared" si="18"/>
        <v>0.6</v>
      </c>
      <c r="L181" s="1021">
        <v>20</v>
      </c>
      <c r="M181" s="1021">
        <f>VLOOKUP(B181,'[28]CN BC'!$H$10:$J$275,3,FALSE)</f>
        <v>20</v>
      </c>
      <c r="N181" s="1021">
        <f t="shared" si="15"/>
        <v>20</v>
      </c>
      <c r="O181" s="1022"/>
      <c r="P181" s="1023">
        <f t="shared" si="16"/>
        <v>5601960</v>
      </c>
      <c r="Q181" s="1477">
        <f t="shared" si="19"/>
        <v>2.3940000000000001</v>
      </c>
      <c r="R181" s="1429">
        <v>2340000</v>
      </c>
      <c r="S181" s="1478">
        <f t="shared" si="20"/>
        <v>5601960</v>
      </c>
      <c r="T181" s="1024">
        <f t="shared" si="21"/>
        <v>157</v>
      </c>
      <c r="U181" s="1025">
        <f>IFERROR(INDEX('[28]CN BC'!$M$10:$M$276,MATCH(B181,'[28]CN BC'!$H$10:$H$276,0)),"")</f>
        <v>0</v>
      </c>
      <c r="V181" s="1011" t="str">
        <f>VLOOKUP(B181,TH.T4!B176:AC506,28,FALSE)</f>
        <v>CNTT</v>
      </c>
      <c r="Y181" s="1027"/>
    </row>
    <row r="182" spans="1:35" s="1028" customFormat="1" ht="27" customHeight="1">
      <c r="A182" s="1014">
        <f>_xlfn.AGGREGATE(4,7,A$24:A181)+1</f>
        <v>158</v>
      </c>
      <c r="B182" s="1101" t="s">
        <v>1511</v>
      </c>
      <c r="C182" s="1033" t="s">
        <v>1745</v>
      </c>
      <c r="D182" s="1034" t="s">
        <v>1349</v>
      </c>
      <c r="E182" s="81" t="str">
        <f>VLOOKUP(B182,TH.Q2!B83:E414,4,FALSE)</f>
        <v>Giảng viên khoa CNTT</v>
      </c>
      <c r="F182" s="1040">
        <v>3.99</v>
      </c>
      <c r="G182" s="1019"/>
      <c r="H182" s="1248">
        <f t="shared" si="17"/>
        <v>0</v>
      </c>
      <c r="I182" s="1020"/>
      <c r="J182" s="1020" t="str">
        <f>VLOOKUP(B182,'[27]Gui chi Quynh'!$B$11:$E$396,4,FALSE)</f>
        <v>A3</v>
      </c>
      <c r="K182" s="1020">
        <f t="shared" si="18"/>
        <v>0.6</v>
      </c>
      <c r="L182" s="1021">
        <v>20</v>
      </c>
      <c r="M182" s="1021">
        <f>VLOOKUP(B182,'[28]CN BC'!$H$10:$J$275,3,FALSE)</f>
        <v>20</v>
      </c>
      <c r="N182" s="1021">
        <f t="shared" si="15"/>
        <v>20</v>
      </c>
      <c r="O182" s="1022"/>
      <c r="P182" s="1023">
        <f t="shared" si="16"/>
        <v>5601960</v>
      </c>
      <c r="Q182" s="1477">
        <f t="shared" si="19"/>
        <v>2.3940000000000001</v>
      </c>
      <c r="R182" s="1429">
        <v>2340000</v>
      </c>
      <c r="S182" s="1478">
        <f t="shared" si="20"/>
        <v>5601960</v>
      </c>
      <c r="T182" s="1024">
        <f t="shared" si="21"/>
        <v>158</v>
      </c>
      <c r="U182" s="1025">
        <f>IFERROR(INDEX('[28]CN BC'!$M$10:$M$276,MATCH(B182,'[28]CN BC'!$H$10:$H$276,0)),"")</f>
        <v>0</v>
      </c>
      <c r="V182" s="1011" t="str">
        <f>VLOOKUP(B182,TH.T4!B178:AC508,28,FALSE)</f>
        <v>CNTT</v>
      </c>
      <c r="W182" s="1012"/>
      <c r="X182" s="1012"/>
      <c r="Y182" s="1027"/>
      <c r="Z182" s="1012"/>
      <c r="AA182" s="1012"/>
      <c r="AB182" s="1012"/>
      <c r="AC182" s="1012"/>
      <c r="AD182" s="1012"/>
      <c r="AE182" s="1012"/>
    </row>
    <row r="183" spans="1:35" s="1028" customFormat="1" ht="30.75" customHeight="1">
      <c r="A183" s="1014">
        <f>_xlfn.AGGREGATE(4,7,A$24:A182)+1</f>
        <v>159</v>
      </c>
      <c r="B183" s="1015" t="s">
        <v>1512</v>
      </c>
      <c r="C183" s="1033" t="s">
        <v>1746</v>
      </c>
      <c r="D183" s="1034" t="s">
        <v>1350</v>
      </c>
      <c r="E183" s="368" t="str">
        <f>VLOOKUP(B183,TH.Q2!B84:E415,4,FALSE)</f>
        <v>Giảng viên khoa CNTT</v>
      </c>
      <c r="F183" s="1040">
        <v>3.99</v>
      </c>
      <c r="G183" s="1019"/>
      <c r="H183" s="1255">
        <f t="shared" si="17"/>
        <v>0</v>
      </c>
      <c r="I183" s="1020"/>
      <c r="J183" s="1020" t="str">
        <f>VLOOKUP(B183,'[27]Gui chi Quynh'!$B$11:$E$396,4,FALSE)</f>
        <v>A4</v>
      </c>
      <c r="K183" s="1020">
        <f t="shared" si="18"/>
        <v>0.5</v>
      </c>
      <c r="L183" s="1021">
        <v>20</v>
      </c>
      <c r="M183" s="1021">
        <f>VLOOKUP(B183,'[28]CN BC'!$H$10:$J$275,3,FALSE)</f>
        <v>20</v>
      </c>
      <c r="N183" s="1021">
        <f t="shared" si="15"/>
        <v>20</v>
      </c>
      <c r="O183" s="1035"/>
      <c r="P183" s="1023">
        <f t="shared" si="16"/>
        <v>4668300</v>
      </c>
      <c r="Q183" s="1477">
        <f t="shared" si="19"/>
        <v>1.9950000000000001</v>
      </c>
      <c r="R183" s="1429">
        <v>2340000</v>
      </c>
      <c r="S183" s="1478">
        <f t="shared" si="20"/>
        <v>4668300</v>
      </c>
      <c r="T183" s="1024">
        <f t="shared" si="21"/>
        <v>159</v>
      </c>
      <c r="U183" s="1025">
        <f>IFERROR(INDEX('[28]CN BC'!$M$10:$M$276,MATCH(B183,'[28]CN BC'!$H$10:$H$276,0)),"")</f>
        <v>0</v>
      </c>
      <c r="V183" s="1067" t="str">
        <f>VLOOKUP(B183,TH.T4!B179:AC509,28,FALSE)</f>
        <v>CNTT</v>
      </c>
      <c r="Y183" s="1038"/>
    </row>
    <row r="184" spans="1:35" s="1012" customFormat="1" ht="27" customHeight="1">
      <c r="A184" s="1014">
        <f>_xlfn.AGGREGATE(4,7,A$24:A183)+1</f>
        <v>160</v>
      </c>
      <c r="B184" s="1050" t="s">
        <v>1513</v>
      </c>
      <c r="C184" s="1029" t="s">
        <v>1747</v>
      </c>
      <c r="D184" s="1051" t="s">
        <v>1353</v>
      </c>
      <c r="E184" s="81" t="str">
        <f>VLOOKUP(B184,TH.Q2!B85:E416,4,FALSE)</f>
        <v>Trưởng BM khoa CNTT</v>
      </c>
      <c r="F184" s="1040">
        <v>3.99</v>
      </c>
      <c r="G184" s="1019"/>
      <c r="H184" s="1255">
        <f t="shared" si="17"/>
        <v>0</v>
      </c>
      <c r="I184" s="1020">
        <v>0.45</v>
      </c>
      <c r="J184" s="1020" t="str">
        <f>VLOOKUP(B184,'[27]Gui chi Quynh'!$B$11:$E$396,4,FALSE)</f>
        <v>A2</v>
      </c>
      <c r="K184" s="1020">
        <f t="shared" si="18"/>
        <v>0.7</v>
      </c>
      <c r="L184" s="1021">
        <v>20</v>
      </c>
      <c r="M184" s="1021">
        <f>VLOOKUP(B184,'[28]CN BC'!$H$10:$J$275,3,FALSE)</f>
        <v>20</v>
      </c>
      <c r="N184" s="1021">
        <f t="shared" si="15"/>
        <v>20</v>
      </c>
      <c r="O184" s="1022"/>
      <c r="P184" s="1023">
        <f t="shared" si="16"/>
        <v>7272720</v>
      </c>
      <c r="Q184" s="1477">
        <f t="shared" si="19"/>
        <v>3.1080000000000001</v>
      </c>
      <c r="R184" s="1429">
        <v>2340000</v>
      </c>
      <c r="S184" s="1478">
        <f t="shared" si="20"/>
        <v>7272720</v>
      </c>
      <c r="T184" s="1024">
        <f t="shared" si="21"/>
        <v>160</v>
      </c>
      <c r="U184" s="1025">
        <f>IFERROR(INDEX('[28]CN BC'!$M$10:$M$276,MATCH(B184,'[28]CN BC'!$H$10:$H$276,0)),"")</f>
        <v>0</v>
      </c>
      <c r="V184" s="1011" t="str">
        <f>VLOOKUP(B184,TH.T4!B180:AC510,28,FALSE)</f>
        <v>CNTT</v>
      </c>
      <c r="Y184" s="1027"/>
    </row>
    <row r="185" spans="1:35" s="1028" customFormat="1" ht="30" customHeight="1">
      <c r="A185" s="1014">
        <f>_xlfn.AGGREGATE(4,7,A$24:A184)+1</f>
        <v>161</v>
      </c>
      <c r="B185" s="1015" t="s">
        <v>1514</v>
      </c>
      <c r="C185" s="1033" t="s">
        <v>1748</v>
      </c>
      <c r="D185" s="1034" t="s">
        <v>1354</v>
      </c>
      <c r="E185" s="368" t="str">
        <f>VLOOKUP(B185,TH.Q2!B86:E417,4,FALSE)</f>
        <v>Giảng viên khoa CNTT</v>
      </c>
      <c r="F185" s="1040">
        <v>3.99</v>
      </c>
      <c r="G185" s="1019"/>
      <c r="H185" s="1255">
        <f t="shared" si="17"/>
        <v>0</v>
      </c>
      <c r="I185" s="1020"/>
      <c r="J185" s="1020" t="str">
        <f>VLOOKUP(B185,'[27]Gui chi Quynh'!$B$11:$E$396,4,FALSE)</f>
        <v>A3</v>
      </c>
      <c r="K185" s="1020">
        <f t="shared" si="18"/>
        <v>0.6</v>
      </c>
      <c r="L185" s="1021">
        <v>20</v>
      </c>
      <c r="M185" s="1021">
        <f>VLOOKUP(B185,'[28]CN BC'!$H$10:$J$275,3,FALSE)</f>
        <v>20</v>
      </c>
      <c r="N185" s="1021">
        <f t="shared" si="15"/>
        <v>20</v>
      </c>
      <c r="O185" s="1035"/>
      <c r="P185" s="1023">
        <f t="shared" si="16"/>
        <v>5601960</v>
      </c>
      <c r="Q185" s="1477">
        <f t="shared" si="19"/>
        <v>2.3940000000000001</v>
      </c>
      <c r="R185" s="1429">
        <v>2340000</v>
      </c>
      <c r="S185" s="1478">
        <f t="shared" si="20"/>
        <v>5601960</v>
      </c>
      <c r="T185" s="1024">
        <f t="shared" si="21"/>
        <v>161</v>
      </c>
      <c r="U185" s="1025">
        <f>IFERROR(INDEX('[28]CN BC'!$M$10:$M$276,MATCH(B185,'[28]CN BC'!$H$10:$H$276,0)),"")</f>
        <v>0</v>
      </c>
      <c r="V185" s="1067" t="str">
        <f>VLOOKUP(B185,TH.T4!B181:AC511,28,FALSE)</f>
        <v>CNTT</v>
      </c>
      <c r="Y185" s="1038"/>
    </row>
    <row r="186" spans="1:35" s="1028" customFormat="1" ht="24.75" customHeight="1">
      <c r="A186" s="1014">
        <f>_xlfn.AGGREGATE(4,7,A$24:A185)+1</f>
        <v>162</v>
      </c>
      <c r="B186" s="1015" t="s">
        <v>1515</v>
      </c>
      <c r="C186" s="1033" t="s">
        <v>1749</v>
      </c>
      <c r="D186" s="1034" t="s">
        <v>1355</v>
      </c>
      <c r="E186" s="368" t="str">
        <f>VLOOKUP(B186,TH.Q2!B87:E418,4,FALSE)</f>
        <v>Giảng viên khoa CNTT</v>
      </c>
      <c r="F186" s="1040">
        <v>3.99</v>
      </c>
      <c r="G186" s="1019"/>
      <c r="H186" s="1255">
        <f t="shared" si="17"/>
        <v>0</v>
      </c>
      <c r="I186" s="1020"/>
      <c r="J186" s="1020" t="str">
        <f>VLOOKUP(B186,'[27]Gui chi Quynh'!$B$11:$E$396,4,FALSE)</f>
        <v>A3</v>
      </c>
      <c r="K186" s="1020">
        <f t="shared" si="18"/>
        <v>0.6</v>
      </c>
      <c r="L186" s="1021">
        <v>20</v>
      </c>
      <c r="M186" s="1021">
        <f>VLOOKUP(B186,'[28]CN BC'!$H$10:$J$275,3,FALSE)</f>
        <v>20</v>
      </c>
      <c r="N186" s="1021">
        <f t="shared" si="15"/>
        <v>20</v>
      </c>
      <c r="O186" s="1035"/>
      <c r="P186" s="1023">
        <f t="shared" si="16"/>
        <v>5601960</v>
      </c>
      <c r="Q186" s="1477">
        <f t="shared" si="19"/>
        <v>2.3940000000000001</v>
      </c>
      <c r="R186" s="1429">
        <v>2340000</v>
      </c>
      <c r="S186" s="1478">
        <f t="shared" si="20"/>
        <v>5601960</v>
      </c>
      <c r="T186" s="1024">
        <f t="shared" si="21"/>
        <v>162</v>
      </c>
      <c r="U186" s="1025">
        <f>IFERROR(INDEX('[28]CN BC'!$M$10:$M$276,MATCH(B186,'[28]CN BC'!$H$10:$H$276,0)),"")</f>
        <v>0</v>
      </c>
      <c r="V186" s="1067" t="str">
        <f>VLOOKUP(B186,TH.T4!B182:AC512,28,FALSE)</f>
        <v>CNTT</v>
      </c>
      <c r="Y186" s="1038"/>
    </row>
    <row r="187" spans="1:35" s="1012" customFormat="1" ht="24.75" customHeight="1">
      <c r="A187" s="1014">
        <f>_xlfn.AGGREGATE(4,7,A$24:A186)+1</f>
        <v>163</v>
      </c>
      <c r="B187" s="1050" t="s">
        <v>1516</v>
      </c>
      <c r="C187" s="1029" t="s">
        <v>1750</v>
      </c>
      <c r="D187" s="1051" t="s">
        <v>1356</v>
      </c>
      <c r="E187" s="81" t="str">
        <f>VLOOKUP(B187,TH.Q2!B88:E419,4,FALSE)</f>
        <v>Giảng viên khoa CNTT</v>
      </c>
      <c r="F187" s="1040">
        <v>3.99</v>
      </c>
      <c r="G187" s="1053"/>
      <c r="H187" s="1248">
        <f t="shared" si="17"/>
        <v>0</v>
      </c>
      <c r="I187" s="1054"/>
      <c r="J187" s="1020" t="str">
        <f>VLOOKUP(B187,'[27]Gui chi Quynh'!$B$11:$E$396,4,FALSE)</f>
        <v>A3</v>
      </c>
      <c r="K187" s="1020">
        <f t="shared" si="18"/>
        <v>0.6</v>
      </c>
      <c r="L187" s="1021">
        <v>20</v>
      </c>
      <c r="M187" s="1021">
        <f>VLOOKUP(B187,'[28]CN BC'!$H$10:$J$275,3,FALSE)</f>
        <v>20</v>
      </c>
      <c r="N187" s="1021">
        <f t="shared" si="15"/>
        <v>20</v>
      </c>
      <c r="O187" s="1022"/>
      <c r="P187" s="1023">
        <f t="shared" si="16"/>
        <v>5601960</v>
      </c>
      <c r="Q187" s="1477">
        <f t="shared" si="19"/>
        <v>2.3940000000000001</v>
      </c>
      <c r="R187" s="1429">
        <v>2340000</v>
      </c>
      <c r="S187" s="1478">
        <f t="shared" si="20"/>
        <v>5601960</v>
      </c>
      <c r="T187" s="1024">
        <f t="shared" si="21"/>
        <v>163</v>
      </c>
      <c r="U187" s="1025">
        <f>IFERROR(INDEX('[28]CN BC'!$M$10:$M$276,MATCH(B187,'[28]CN BC'!$H$10:$H$276,0)),"")</f>
        <v>0</v>
      </c>
      <c r="V187" s="1011" t="str">
        <f>VLOOKUP(B187,TH.T4!B183:AC513,28,FALSE)</f>
        <v>CNTT</v>
      </c>
      <c r="Y187" s="1027"/>
    </row>
    <row r="188" spans="1:35" s="1012" customFormat="1" ht="26.25" customHeight="1">
      <c r="A188" s="1014">
        <f>_xlfn.AGGREGATE(4,7,A$24:A187)+1</f>
        <v>164</v>
      </c>
      <c r="B188" s="1050" t="s">
        <v>1883</v>
      </c>
      <c r="C188" s="1029" t="s">
        <v>1751</v>
      </c>
      <c r="D188" s="1051" t="s">
        <v>381</v>
      </c>
      <c r="E188" s="81" t="str">
        <f>VLOOKUP(B188,TH.Q2!B89:E420,4,FALSE)</f>
        <v>Phó Trưởng khoa CNTT</v>
      </c>
      <c r="F188" s="1056">
        <v>3.99</v>
      </c>
      <c r="G188" s="1053"/>
      <c r="H188" s="1248">
        <f t="shared" si="17"/>
        <v>0</v>
      </c>
      <c r="I188" s="1054">
        <v>0.35</v>
      </c>
      <c r="J188" s="1020" t="str">
        <f>VLOOKUP(B188,'[27]Gui chi Quynh'!$B$11:$E$396,4,FALSE)</f>
        <v>A3</v>
      </c>
      <c r="K188" s="1020">
        <f t="shared" si="18"/>
        <v>0.6</v>
      </c>
      <c r="L188" s="1021">
        <v>20</v>
      </c>
      <c r="M188" s="1021">
        <f>VLOOKUP(B188,'[28]CN BC'!$H$10:$J$275,3,FALSE)</f>
        <v>20</v>
      </c>
      <c r="N188" s="1021">
        <f t="shared" si="15"/>
        <v>20</v>
      </c>
      <c r="O188" s="1022"/>
      <c r="P188" s="1023">
        <f t="shared" si="16"/>
        <v>6093360</v>
      </c>
      <c r="Q188" s="1477">
        <f t="shared" si="19"/>
        <v>2.6040000000000001</v>
      </c>
      <c r="R188" s="1429">
        <v>2340000</v>
      </c>
      <c r="S188" s="1478">
        <f t="shared" si="20"/>
        <v>6093360</v>
      </c>
      <c r="T188" s="1024">
        <f t="shared" si="21"/>
        <v>164</v>
      </c>
      <c r="U188" s="1025">
        <f>IFERROR(INDEX('[28]CN BC'!$M$10:$M$276,MATCH(B188,'[28]CN BC'!$H$10:$H$276,0)),"")</f>
        <v>0</v>
      </c>
      <c r="V188" s="1011" t="str">
        <f>VLOOKUP(B188,TH.T4!B184:AC514,28,FALSE)</f>
        <v>CNTT</v>
      </c>
      <c r="Y188" s="1027"/>
    </row>
    <row r="189" spans="1:35" s="1028" customFormat="1" ht="23.25" customHeight="1">
      <c r="A189" s="1014">
        <f>_xlfn.AGGREGATE(4,7,A$24:A188)+1</f>
        <v>165</v>
      </c>
      <c r="B189" s="1015" t="s">
        <v>1833</v>
      </c>
      <c r="C189" s="1033" t="s">
        <v>1966</v>
      </c>
      <c r="D189" s="1103">
        <v>1603215005649</v>
      </c>
      <c r="E189" s="81" t="str">
        <f>VLOOKUP(B189,TH.Q2!B90:E421,4,FALSE)</f>
        <v>Giảng viên khoa CNTT</v>
      </c>
      <c r="F189" s="1040">
        <v>3.66</v>
      </c>
      <c r="G189" s="1019"/>
      <c r="H189" s="1248">
        <f t="shared" si="17"/>
        <v>0</v>
      </c>
      <c r="I189" s="1020"/>
      <c r="J189" s="1020" t="str">
        <f>VLOOKUP(B189,'[27]Gui chi Quynh'!$B$11:$E$396,4,FALSE)</f>
        <v>A3</v>
      </c>
      <c r="K189" s="1020">
        <f t="shared" si="18"/>
        <v>0.6</v>
      </c>
      <c r="L189" s="1021">
        <v>20</v>
      </c>
      <c r="M189" s="1021">
        <f>VLOOKUP(B189,'[28]CN BC'!$H$10:$J$275,3,FALSE)</f>
        <v>20</v>
      </c>
      <c r="N189" s="1021">
        <f t="shared" si="15"/>
        <v>20</v>
      </c>
      <c r="O189" s="1022"/>
      <c r="P189" s="1023">
        <f t="shared" si="16"/>
        <v>5138640</v>
      </c>
      <c r="Q189" s="1477">
        <f t="shared" si="19"/>
        <v>2.1960000000000002</v>
      </c>
      <c r="R189" s="1429">
        <v>2340000</v>
      </c>
      <c r="S189" s="1478">
        <f t="shared" si="20"/>
        <v>5138640</v>
      </c>
      <c r="T189" s="1024">
        <f t="shared" si="21"/>
        <v>165</v>
      </c>
      <c r="U189" s="1025">
        <f>IFERROR(INDEX('[28]CN BC'!$M$10:$M$276,MATCH(B189,'[28]CN BC'!$H$10:$H$276,0)),"")</f>
        <v>0</v>
      </c>
      <c r="V189" s="1011" t="str">
        <f>VLOOKUP(B189,TH.T4!B185:AC515,28,FALSE)</f>
        <v>CNTT</v>
      </c>
      <c r="W189" s="1012"/>
      <c r="X189" s="1012"/>
      <c r="Y189" s="1027"/>
    </row>
    <row r="190" spans="1:35" s="1028" customFormat="1" ht="29.25" customHeight="1">
      <c r="A190" s="1014">
        <f>_xlfn.AGGREGATE(4,7,A$24:A189)+1</f>
        <v>166</v>
      </c>
      <c r="B190" s="1015" t="s">
        <v>1884</v>
      </c>
      <c r="C190" s="1029" t="s">
        <v>1752</v>
      </c>
      <c r="D190" s="1034" t="s">
        <v>1345</v>
      </c>
      <c r="E190" s="81" t="str">
        <f>VLOOKUP(B190,TH.Q2!B91:E422,4,FALSE)</f>
        <v>Giảng viên khoa CNTT</v>
      </c>
      <c r="F190" s="1040">
        <v>4.32</v>
      </c>
      <c r="G190" s="1019"/>
      <c r="H190" s="1248">
        <f t="shared" si="17"/>
        <v>0</v>
      </c>
      <c r="I190" s="1020">
        <v>0.25</v>
      </c>
      <c r="J190" s="1020" t="str">
        <f>VLOOKUP(B190,'[27]Gui chi Quynh'!$B$11:$E$396,4,FALSE)</f>
        <v>A3</v>
      </c>
      <c r="K190" s="1020">
        <f t="shared" si="18"/>
        <v>0.6</v>
      </c>
      <c r="L190" s="1021">
        <v>20</v>
      </c>
      <c r="M190" s="1021">
        <f>VLOOKUP(B190,'[28]CN BC'!$H$10:$J$275,3,FALSE)</f>
        <v>20</v>
      </c>
      <c r="N190" s="1021">
        <f t="shared" si="15"/>
        <v>20</v>
      </c>
      <c r="O190" s="1022"/>
      <c r="P190" s="1023">
        <f t="shared" si="16"/>
        <v>6416280</v>
      </c>
      <c r="Q190" s="1477">
        <f t="shared" si="19"/>
        <v>2.742</v>
      </c>
      <c r="R190" s="1429">
        <v>2340000</v>
      </c>
      <c r="S190" s="1478">
        <f t="shared" si="20"/>
        <v>6416280</v>
      </c>
      <c r="T190" s="1024">
        <f t="shared" si="21"/>
        <v>166</v>
      </c>
      <c r="U190" s="1025">
        <f>IFERROR(INDEX('[28]CN BC'!$M$10:$M$276,MATCH(B190,'[28]CN BC'!$H$10:$H$276,0)),"")</f>
        <v>0</v>
      </c>
      <c r="V190" s="1011" t="str">
        <f>VLOOKUP(B190,TH.T4!B186:AC516,28,FALSE)</f>
        <v>CNTT</v>
      </c>
      <c r="W190" s="1012"/>
      <c r="X190" s="1012"/>
      <c r="Y190" s="1027"/>
      <c r="Z190" s="1012"/>
      <c r="AA190" s="1012"/>
      <c r="AB190" s="1012"/>
      <c r="AC190" s="1012"/>
      <c r="AD190" s="1012"/>
      <c r="AE190" s="1012"/>
      <c r="AF190" s="1012"/>
      <c r="AG190" s="1012"/>
      <c r="AH190" s="1012"/>
      <c r="AI190" s="1012"/>
    </row>
    <row r="191" spans="1:35" s="1028" customFormat="1" ht="29.25" customHeight="1">
      <c r="A191" s="1014">
        <f>_xlfn.AGGREGATE(4,7,A$24:A190)+1</f>
        <v>167</v>
      </c>
      <c r="B191" s="1015" t="s">
        <v>1517</v>
      </c>
      <c r="C191" s="1033" t="s">
        <v>1753</v>
      </c>
      <c r="D191" s="1045">
        <v>1603205286594</v>
      </c>
      <c r="E191" s="368" t="str">
        <f>VLOOKUP(B191,TH.Q2!B92:E423,4,FALSE)</f>
        <v>Giảng viên khoa CNTT</v>
      </c>
      <c r="F191" s="1040">
        <v>3.66</v>
      </c>
      <c r="G191" s="1019"/>
      <c r="H191" s="1255">
        <f t="shared" si="17"/>
        <v>0</v>
      </c>
      <c r="I191" s="1020"/>
      <c r="J191" s="1020" t="str">
        <f>VLOOKUP(B191,'[27]Gui chi Quynh'!$B$11:$E$396,4,FALSE)</f>
        <v>A4</v>
      </c>
      <c r="K191" s="1020">
        <f t="shared" si="18"/>
        <v>0.5</v>
      </c>
      <c r="L191" s="1021">
        <v>20</v>
      </c>
      <c r="M191" s="1021">
        <f>VLOOKUP(B191,'[28]CN BC'!$H$10:$J$275,3,FALSE)</f>
        <v>20</v>
      </c>
      <c r="N191" s="1021">
        <f t="shared" si="15"/>
        <v>20</v>
      </c>
      <c r="O191" s="1035"/>
      <c r="P191" s="1023">
        <f t="shared" si="16"/>
        <v>4282200</v>
      </c>
      <c r="Q191" s="1477">
        <f t="shared" si="19"/>
        <v>1.83</v>
      </c>
      <c r="R191" s="1429">
        <v>2340000</v>
      </c>
      <c r="S191" s="1478">
        <f t="shared" si="20"/>
        <v>4282200</v>
      </c>
      <c r="T191" s="1024">
        <f t="shared" si="21"/>
        <v>167</v>
      </c>
      <c r="U191" s="1025">
        <f>IFERROR(INDEX('[28]CN BC'!$M$10:$M$276,MATCH(B191,'[28]CN BC'!$H$10:$H$276,0)),"")</f>
        <v>0</v>
      </c>
      <c r="V191" s="1067" t="str">
        <f>VLOOKUP(B191,TH.T4!B187:AC517,28,FALSE)</f>
        <v>CNTT</v>
      </c>
      <c r="Y191" s="1038"/>
    </row>
    <row r="192" spans="1:35" s="1028" customFormat="1" ht="28.5" customHeight="1">
      <c r="A192" s="1014">
        <f>_xlfn.AGGREGATE(4,7,A$24:A191)+1</f>
        <v>168</v>
      </c>
      <c r="B192" s="1015" t="s">
        <v>1518</v>
      </c>
      <c r="C192" s="1033" t="s">
        <v>1754</v>
      </c>
      <c r="D192" s="1034" t="s">
        <v>1346</v>
      </c>
      <c r="E192" s="368" t="str">
        <f>VLOOKUP(B192,TH.Q2!B93:E424,4,FALSE)</f>
        <v>Giảng viên khoa CNTT</v>
      </c>
      <c r="F192" s="1018">
        <v>4.32</v>
      </c>
      <c r="G192" s="1019"/>
      <c r="H192" s="1255">
        <f t="shared" si="17"/>
        <v>0</v>
      </c>
      <c r="I192" s="1020"/>
      <c r="J192" s="1020" t="str">
        <f>VLOOKUP(B192,'[27]Gui chi Quynh'!$B$11:$E$396,4,FALSE)</f>
        <v>A4</v>
      </c>
      <c r="K192" s="1020">
        <f t="shared" si="18"/>
        <v>0.5</v>
      </c>
      <c r="L192" s="1021">
        <v>20</v>
      </c>
      <c r="M192" s="1021">
        <f>VLOOKUP(B192,'[28]CN BC'!$H$10:$J$275,3,FALSE)</f>
        <v>20</v>
      </c>
      <c r="N192" s="1021">
        <f t="shared" si="15"/>
        <v>20</v>
      </c>
      <c r="O192" s="1035"/>
      <c r="P192" s="1023">
        <f t="shared" si="16"/>
        <v>5054400</v>
      </c>
      <c r="Q192" s="1477">
        <f t="shared" si="19"/>
        <v>2.16</v>
      </c>
      <c r="R192" s="1429">
        <v>2340000</v>
      </c>
      <c r="S192" s="1478">
        <f t="shared" si="20"/>
        <v>5054400</v>
      </c>
      <c r="T192" s="1024">
        <f t="shared" si="21"/>
        <v>168</v>
      </c>
      <c r="U192" s="1025">
        <f>IFERROR(INDEX('[28]CN BC'!$M$10:$M$276,MATCH(B192,'[28]CN BC'!$H$10:$H$276,0)),"")</f>
        <v>0</v>
      </c>
      <c r="V192" s="1067" t="str">
        <f>VLOOKUP(B192,TH.T4!B188:AC518,28,FALSE)</f>
        <v>CNTT</v>
      </c>
      <c r="Y192" s="1038"/>
    </row>
    <row r="193" spans="1:31" s="1028" customFormat="1" ht="28.5" customHeight="1">
      <c r="A193" s="1014">
        <f>_xlfn.AGGREGATE(4,7,A$24:A192)+1</f>
        <v>169</v>
      </c>
      <c r="B193" s="1015" t="s">
        <v>1519</v>
      </c>
      <c r="C193" s="1033" t="s">
        <v>1755</v>
      </c>
      <c r="D193" s="1034" t="s">
        <v>771</v>
      </c>
      <c r="E193" s="368" t="str">
        <f>VLOOKUP(B193,TH.Q2!B94:E425,4,FALSE)</f>
        <v>Giảng viên khoa CNTT</v>
      </c>
      <c r="F193" s="1040">
        <v>3.99</v>
      </c>
      <c r="G193" s="1019"/>
      <c r="H193" s="1255">
        <f t="shared" si="17"/>
        <v>0</v>
      </c>
      <c r="I193" s="1020"/>
      <c r="J193" s="1020" t="str">
        <f>VLOOKUP(B193,'[27]Gui chi Quynh'!$B$11:$E$396,4,FALSE)</f>
        <v>A3</v>
      </c>
      <c r="K193" s="1020">
        <f t="shared" si="18"/>
        <v>0.6</v>
      </c>
      <c r="L193" s="1021">
        <v>20</v>
      </c>
      <c r="M193" s="1021">
        <f>VLOOKUP(B193,'[28]CN BC'!$H$10:$J$275,3,FALSE)</f>
        <v>20</v>
      </c>
      <c r="N193" s="1021">
        <f t="shared" si="15"/>
        <v>20</v>
      </c>
      <c r="O193" s="1035"/>
      <c r="P193" s="1023">
        <f t="shared" si="16"/>
        <v>5601960</v>
      </c>
      <c r="Q193" s="1477">
        <f t="shared" si="19"/>
        <v>2.3940000000000001</v>
      </c>
      <c r="R193" s="1429">
        <v>2340000</v>
      </c>
      <c r="S193" s="1478">
        <f t="shared" si="20"/>
        <v>5601960</v>
      </c>
      <c r="T193" s="1024">
        <f t="shared" si="21"/>
        <v>169</v>
      </c>
      <c r="U193" s="1025">
        <f>IFERROR(INDEX('[28]CN BC'!$M$10:$M$276,MATCH(B193,'[28]CN BC'!$H$10:$H$276,0)),"")</f>
        <v>0</v>
      </c>
      <c r="V193" s="1067" t="str">
        <f>VLOOKUP(B193,TH.T4!B189:AC519,28,FALSE)</f>
        <v>CNTT</v>
      </c>
      <c r="Y193" s="1038"/>
    </row>
    <row r="194" spans="1:31" s="1028" customFormat="1" ht="25.5" customHeight="1">
      <c r="A194" s="1014">
        <f>_xlfn.AGGREGATE(4,7,A$24:A193)+1</f>
        <v>170</v>
      </c>
      <c r="B194" s="1015" t="s">
        <v>1520</v>
      </c>
      <c r="C194" s="1033" t="s">
        <v>1756</v>
      </c>
      <c r="D194" s="1104" t="s">
        <v>1593</v>
      </c>
      <c r="E194" s="81" t="str">
        <f>VLOOKUP(B194,TH.Q2!B95:E426,4,FALSE)</f>
        <v>Giảng viên khoa CNTT</v>
      </c>
      <c r="F194" s="1040">
        <v>3.99</v>
      </c>
      <c r="G194" s="1019"/>
      <c r="H194" s="1248">
        <f t="shared" si="17"/>
        <v>0</v>
      </c>
      <c r="I194" s="1020">
        <v>0.25</v>
      </c>
      <c r="J194" s="1020" t="str">
        <f>VLOOKUP(B194,'[27]Gui chi Quynh'!$B$11:$E$396,4,FALSE)</f>
        <v>A3</v>
      </c>
      <c r="K194" s="1020">
        <f t="shared" si="18"/>
        <v>0.6</v>
      </c>
      <c r="L194" s="1021">
        <v>20</v>
      </c>
      <c r="M194" s="1021">
        <f>VLOOKUP(B194,'[28]CN BC'!$H$10:$J$275,3,FALSE)</f>
        <v>20</v>
      </c>
      <c r="N194" s="1021">
        <f t="shared" si="15"/>
        <v>20</v>
      </c>
      <c r="O194" s="1022"/>
      <c r="P194" s="1023">
        <f t="shared" si="16"/>
        <v>5952960</v>
      </c>
      <c r="Q194" s="1477">
        <f t="shared" si="19"/>
        <v>2.544</v>
      </c>
      <c r="R194" s="1429">
        <v>2340000</v>
      </c>
      <c r="S194" s="1478">
        <f t="shared" si="20"/>
        <v>5952960</v>
      </c>
      <c r="T194" s="1024">
        <f t="shared" si="21"/>
        <v>170</v>
      </c>
      <c r="U194" s="1025">
        <f>IFERROR(INDEX('[28]CN BC'!$M$10:$M$276,MATCH(B194,'[28]CN BC'!$H$10:$H$276,0)),"")</f>
        <v>0</v>
      </c>
      <c r="V194" s="1011" t="str">
        <f>VLOOKUP(B194,TH.T4!B190:AC520,28,FALSE)</f>
        <v>CNTT</v>
      </c>
      <c r="Y194" s="1038"/>
    </row>
    <row r="195" spans="1:31" s="1028" customFormat="1" ht="28.5" customHeight="1">
      <c r="A195" s="1014">
        <f>_xlfn.AGGREGATE(4,7,A$24:A194)+1</f>
        <v>171</v>
      </c>
      <c r="B195" s="1015" t="s">
        <v>1467</v>
      </c>
      <c r="C195" s="1033" t="s">
        <v>1674</v>
      </c>
      <c r="D195" s="1034" t="s">
        <v>1343</v>
      </c>
      <c r="E195" s="81" t="str">
        <f>VLOOKUP(B195,TH.Q2!B96:E427,4,FALSE)</f>
        <v>Giảng viên khoa CNTT</v>
      </c>
      <c r="F195" s="1018">
        <v>4.32</v>
      </c>
      <c r="G195" s="1019"/>
      <c r="H195" s="1248">
        <f t="shared" si="17"/>
        <v>0</v>
      </c>
      <c r="I195" s="1020"/>
      <c r="J195" s="1020" t="str">
        <f>VLOOKUP(B195,'[27]Gui chi Quynh'!$B$11:$E$396,4,FALSE)</f>
        <v>A3</v>
      </c>
      <c r="K195" s="1020">
        <f t="shared" si="18"/>
        <v>0.6</v>
      </c>
      <c r="L195" s="1021">
        <v>20</v>
      </c>
      <c r="M195" s="1021">
        <f>VLOOKUP(B195,'[28]CN BC'!$H$10:$J$275,3,FALSE)</f>
        <v>20</v>
      </c>
      <c r="N195" s="1021">
        <f t="shared" si="15"/>
        <v>20</v>
      </c>
      <c r="O195" s="1022"/>
      <c r="P195" s="1023">
        <f t="shared" si="16"/>
        <v>6065280</v>
      </c>
      <c r="Q195" s="1477">
        <f t="shared" si="19"/>
        <v>2.5920000000000001</v>
      </c>
      <c r="R195" s="1429">
        <v>2340000</v>
      </c>
      <c r="S195" s="1478">
        <f t="shared" si="20"/>
        <v>6065280</v>
      </c>
      <c r="T195" s="1024">
        <f t="shared" si="21"/>
        <v>171</v>
      </c>
      <c r="U195" s="1025">
        <f>IFERROR(INDEX('[28]CN BC'!$M$10:$M$276,MATCH(B195,'[28]CN BC'!$H$10:$H$276,0)),"")</f>
        <v>0</v>
      </c>
      <c r="V195" s="1011" t="str">
        <f>VLOOKUP(B195,TH.T4!B191:AC521,28,FALSE)</f>
        <v>CNTT</v>
      </c>
      <c r="W195" s="1012"/>
      <c r="X195" s="1012"/>
      <c r="Y195" s="1027">
        <f>3.68*1490000*1.4</f>
        <v>7676479.9999999991</v>
      </c>
      <c r="Z195" s="1012"/>
      <c r="AA195" s="1012"/>
      <c r="AB195" s="1012"/>
      <c r="AC195" s="1012"/>
      <c r="AD195" s="1012"/>
      <c r="AE195" s="1012"/>
    </row>
    <row r="196" spans="1:31" s="1028" customFormat="1" ht="28.5" customHeight="1">
      <c r="A196" s="1014">
        <f>_xlfn.AGGREGATE(4,7,A$24:A195)+1</f>
        <v>172</v>
      </c>
      <c r="B196" s="1015" t="s">
        <v>2011</v>
      </c>
      <c r="C196" s="1033"/>
      <c r="D196" s="1034"/>
      <c r="E196" s="81" t="str">
        <f>VLOOKUP(B196,TH.Q2!B97:E428,4,FALSE)</f>
        <v>Giảng viên khoa CNTT</v>
      </c>
      <c r="F196" s="1018">
        <v>2.67</v>
      </c>
      <c r="G196" s="1019"/>
      <c r="H196" s="1248">
        <f t="shared" si="17"/>
        <v>0</v>
      </c>
      <c r="I196" s="1020"/>
      <c r="J196" s="1020" t="str">
        <f>VLOOKUP(B196,'[27]Gui chi Quynh'!$B$11:$E$396,4,FALSE)</f>
        <v>A3</v>
      </c>
      <c r="K196" s="1020">
        <f t="shared" si="18"/>
        <v>0.6</v>
      </c>
      <c r="L196" s="1021">
        <v>20</v>
      </c>
      <c r="M196" s="1021">
        <f>VLOOKUP(B196,'[28]CN BC'!$H$10:$J$275,3,FALSE)</f>
        <v>20</v>
      </c>
      <c r="N196" s="1021">
        <f t="shared" si="15"/>
        <v>20</v>
      </c>
      <c r="O196" s="1022"/>
      <c r="P196" s="1023">
        <f t="shared" si="16"/>
        <v>3748680</v>
      </c>
      <c r="Q196" s="1477">
        <f t="shared" si="19"/>
        <v>1.6020000000000001</v>
      </c>
      <c r="R196" s="1429">
        <v>2340000</v>
      </c>
      <c r="S196" s="1478">
        <f t="shared" si="20"/>
        <v>3748680</v>
      </c>
      <c r="T196" s="1024">
        <f t="shared" si="21"/>
        <v>172</v>
      </c>
      <c r="U196" s="1025">
        <f>IFERROR(INDEX('[28]CN BC'!$M$10:$M$276,MATCH(B196,'[28]CN BC'!$H$10:$H$276,0)),"")</f>
        <v>0</v>
      </c>
      <c r="V196" s="1011" t="str">
        <f>VLOOKUP(B196,TH.T4!B192:AC522,28,FALSE)</f>
        <v>CNTT</v>
      </c>
      <c r="Y196" s="1038"/>
    </row>
    <row r="197" spans="1:31" s="1028" customFormat="1" ht="28.5" customHeight="1">
      <c r="A197" s="1014">
        <f>_xlfn.AGGREGATE(4,7,A$24:A196)+1</f>
        <v>173</v>
      </c>
      <c r="B197" s="1432" t="s">
        <v>2017</v>
      </c>
      <c r="C197" s="1433"/>
      <c r="D197" s="1469"/>
      <c r="E197" s="472" t="str">
        <f>VLOOKUP(B197,TH.Q2!B98:E429,4,FALSE)</f>
        <v>Giảng viên khoa CNTT</v>
      </c>
      <c r="F197" s="1435">
        <v>2.34</v>
      </c>
      <c r="G197" s="1082"/>
      <c r="H197" s="1253">
        <f t="shared" si="17"/>
        <v>0</v>
      </c>
      <c r="I197" s="1083"/>
      <c r="J197" s="1020" t="str">
        <f>VLOOKUP(B197,'[27]Gui chi Quynh'!$B$11:$E$396,4,FALSE)</f>
        <v>A3</v>
      </c>
      <c r="K197" s="1083">
        <f t="shared" si="18"/>
        <v>0.6</v>
      </c>
      <c r="L197" s="1021">
        <v>20</v>
      </c>
      <c r="M197" s="1021">
        <f>VLOOKUP(B197,'[28]CN BC'!$H$10:$J$275,3,FALSE)</f>
        <v>20</v>
      </c>
      <c r="N197" s="1203">
        <f t="shared" si="15"/>
        <v>20</v>
      </c>
      <c r="O197" s="1471">
        <f>(0.35*2)*2340000*0.6</f>
        <v>982800</v>
      </c>
      <c r="P197" s="1204">
        <f t="shared" si="16"/>
        <v>4268160</v>
      </c>
      <c r="Q197" s="1477">
        <f t="shared" si="19"/>
        <v>1.8240000000000001</v>
      </c>
      <c r="R197" s="1429">
        <v>2340000</v>
      </c>
      <c r="S197" s="1478">
        <f t="shared" si="20"/>
        <v>4268160</v>
      </c>
      <c r="T197" s="1085">
        <f t="shared" si="21"/>
        <v>173</v>
      </c>
      <c r="U197" s="1205" t="s">
        <v>2406</v>
      </c>
      <c r="V197" s="1011" t="str">
        <f>VLOOKUP(B197,TH.T4!B193:AC523,28,FALSE)</f>
        <v>CNTT</v>
      </c>
      <c r="Y197" s="1038"/>
    </row>
    <row r="198" spans="1:31" s="1028" customFormat="1" ht="28.5" customHeight="1">
      <c r="A198" s="1014">
        <f>_xlfn.AGGREGATE(4,7,A$24:A197)+1</f>
        <v>174</v>
      </c>
      <c r="B198" s="1015" t="s">
        <v>1885</v>
      </c>
      <c r="C198" s="1033" t="s">
        <v>1757</v>
      </c>
      <c r="D198" s="1034" t="s">
        <v>1368</v>
      </c>
      <c r="E198" s="81" t="str">
        <f>VLOOKUP(B198,TH.Q2!B99:E430,4,FALSE)</f>
        <v>Trưởng khoa Cơ khí</v>
      </c>
      <c r="F198" s="1018">
        <v>4.6500000000000004</v>
      </c>
      <c r="G198" s="1019"/>
      <c r="H198" s="1248">
        <f t="shared" si="17"/>
        <v>0</v>
      </c>
      <c r="I198" s="1020">
        <v>0.45</v>
      </c>
      <c r="J198" s="1020" t="str">
        <f>VLOOKUP(B198,'[27]Gui chi Quynh'!$B$11:$E$396,4,FALSE)</f>
        <v>A2</v>
      </c>
      <c r="K198" s="1020">
        <f t="shared" si="18"/>
        <v>0.7</v>
      </c>
      <c r="L198" s="1021">
        <v>20</v>
      </c>
      <c r="M198" s="1021">
        <f>VLOOKUP(B198,'[28]CN BC'!$H$10:$J$275,3,FALSE)</f>
        <v>25</v>
      </c>
      <c r="N198" s="1021">
        <f t="shared" si="15"/>
        <v>20</v>
      </c>
      <c r="O198" s="1022"/>
      <c r="P198" s="1023">
        <f t="shared" si="16"/>
        <v>8353800.0000000009</v>
      </c>
      <c r="Q198" s="1477">
        <f t="shared" si="19"/>
        <v>3.5700000000000003</v>
      </c>
      <c r="R198" s="1429">
        <v>2340000</v>
      </c>
      <c r="S198" s="1478">
        <f t="shared" si="20"/>
        <v>8353800.0000000009</v>
      </c>
      <c r="T198" s="1024">
        <f t="shared" si="21"/>
        <v>174</v>
      </c>
      <c r="U198" s="1025">
        <f>IFERROR(INDEX('[28]CN BC'!$M$10:$M$276,MATCH(B198,'[28]CN BC'!$H$10:$H$276,0)),"")</f>
        <v>0</v>
      </c>
      <c r="V198" s="1011" t="str">
        <f>VLOOKUP(B198,TH.T4!B194:AC524,28,FALSE)</f>
        <v>CK</v>
      </c>
      <c r="W198" s="1012"/>
      <c r="X198" s="1012"/>
      <c r="Y198" s="1027"/>
      <c r="Z198" s="1012"/>
      <c r="AA198" s="1012"/>
      <c r="AB198" s="1012"/>
      <c r="AC198" s="1012"/>
      <c r="AD198" s="1012"/>
      <c r="AE198" s="1012"/>
    </row>
    <row r="199" spans="1:31" s="1012" customFormat="1" ht="26.25" customHeight="1">
      <c r="A199" s="1014">
        <f>_xlfn.AGGREGATE(4,7,A$24:A198)+1</f>
        <v>175</v>
      </c>
      <c r="B199" s="1050" t="s">
        <v>1886</v>
      </c>
      <c r="C199" s="1029" t="s">
        <v>1758</v>
      </c>
      <c r="D199" s="1051" t="s">
        <v>1363</v>
      </c>
      <c r="E199" s="81" t="str">
        <f>VLOOKUP(B199,TH.Q2!B100:E431,4,FALSE)</f>
        <v>Giảng viên khoa Cơ khí</v>
      </c>
      <c r="F199" s="1052">
        <v>4.9800000000000004</v>
      </c>
      <c r="G199" s="1053">
        <v>7.0000000000000007E-2</v>
      </c>
      <c r="H199" s="1248">
        <f t="shared" si="17"/>
        <v>0.34899999999999998</v>
      </c>
      <c r="I199" s="1054"/>
      <c r="J199" s="1020" t="str">
        <f>VLOOKUP(B199,'[27]Gui chi Quynh'!$B$11:$E$396,4,FALSE)</f>
        <v>A3</v>
      </c>
      <c r="K199" s="1020">
        <f t="shared" si="18"/>
        <v>0.6</v>
      </c>
      <c r="L199" s="1021">
        <v>20</v>
      </c>
      <c r="M199" s="1021">
        <f>VLOOKUP(B199,'[28]CN BC'!$H$10:$J$275,3,FALSE)</f>
        <v>22</v>
      </c>
      <c r="N199" s="1021">
        <f t="shared" si="15"/>
        <v>20</v>
      </c>
      <c r="O199" s="1022"/>
      <c r="P199" s="1023">
        <f t="shared" si="16"/>
        <v>7481916.0000000009</v>
      </c>
      <c r="Q199" s="1477">
        <f t="shared" si="19"/>
        <v>3.1974000000000005</v>
      </c>
      <c r="R199" s="1429">
        <v>2340000</v>
      </c>
      <c r="S199" s="1478">
        <f t="shared" si="20"/>
        <v>7481916.0000000009</v>
      </c>
      <c r="T199" s="1024">
        <f t="shared" si="21"/>
        <v>175</v>
      </c>
      <c r="U199" s="1025" t="str">
        <f>IFERROR(INDEX('[28]CN BC'!$M$10:$M$276,MATCH(B199,'[28]CN BC'!$H$10:$H$276,0)),"")</f>
        <v>Cộng 1 ngày tham gia ẩm thực 3 miền 17/11</v>
      </c>
      <c r="V199" s="1011" t="str">
        <f>VLOOKUP(B199,TH.T4!B195:AC525,28,FALSE)</f>
        <v>CK</v>
      </c>
      <c r="Y199" s="1027"/>
    </row>
    <row r="200" spans="1:31" s="1028" customFormat="1" ht="31.5" customHeight="1">
      <c r="A200" s="1014">
        <f>_xlfn.AGGREGATE(4,7,A$24:A199)+1</f>
        <v>176</v>
      </c>
      <c r="B200" s="1015" t="s">
        <v>1887</v>
      </c>
      <c r="C200" s="1033" t="s">
        <v>1759</v>
      </c>
      <c r="D200" s="1034" t="s">
        <v>1364</v>
      </c>
      <c r="E200" s="368" t="str">
        <f>VLOOKUP(B200,TH.Q2!B101:E432,4,FALSE)</f>
        <v>Giảng viên khoa Cơ khí</v>
      </c>
      <c r="F200" s="1018">
        <v>4.9800000000000004</v>
      </c>
      <c r="G200" s="1019">
        <v>0.08</v>
      </c>
      <c r="H200" s="1255">
        <f t="shared" si="17"/>
        <v>0.39800000000000002</v>
      </c>
      <c r="I200" s="1020"/>
      <c r="J200" s="1020" t="str">
        <f>VLOOKUP(B200,'[27]Gui chi Quynh'!$B$11:$E$396,4,FALSE)</f>
        <v>A1</v>
      </c>
      <c r="K200" s="1020">
        <f t="shared" si="18"/>
        <v>0.8</v>
      </c>
      <c r="L200" s="1021">
        <v>20</v>
      </c>
      <c r="M200" s="1021">
        <f>VLOOKUP(B200,'[28]CN BC'!$H$10:$J$275,3,FALSE)</f>
        <v>20</v>
      </c>
      <c r="N200" s="1021">
        <f t="shared" si="15"/>
        <v>20</v>
      </c>
      <c r="O200" s="1035"/>
      <c r="P200" s="1023">
        <f t="shared" si="16"/>
        <v>10067616</v>
      </c>
      <c r="Q200" s="1477">
        <f t="shared" si="19"/>
        <v>4.3023999999999996</v>
      </c>
      <c r="R200" s="1429">
        <v>2340000</v>
      </c>
      <c r="S200" s="1478">
        <f t="shared" si="20"/>
        <v>10067615.999999998</v>
      </c>
      <c r="T200" s="1024">
        <f t="shared" si="21"/>
        <v>176</v>
      </c>
      <c r="U200" s="1025">
        <f>IFERROR(INDEX('[28]CN BC'!$M$10:$M$276,MATCH(B200,'[28]CN BC'!$H$10:$H$276,0)),"")</f>
        <v>0</v>
      </c>
      <c r="V200" s="1067" t="str">
        <f>VLOOKUP(B200,TH.T4!B196:AC526,28,FALSE)</f>
        <v>CK</v>
      </c>
      <c r="Y200" s="1038"/>
    </row>
    <row r="201" spans="1:31" s="1028" customFormat="1" ht="25.5" customHeight="1">
      <c r="A201" s="1014">
        <f>_xlfn.AGGREGATE(4,7,A$24:A200)+1</f>
        <v>177</v>
      </c>
      <c r="B201" s="1015" t="s">
        <v>1888</v>
      </c>
      <c r="C201" s="1033" t="s">
        <v>1760</v>
      </c>
      <c r="D201" s="1034" t="s">
        <v>1369</v>
      </c>
      <c r="E201" s="81" t="str">
        <f>VLOOKUP(B201,TH.Q2!B102:E433,4,FALSE)</f>
        <v>Giảng viên khoa Cơ khí</v>
      </c>
      <c r="F201" s="1018">
        <v>4.32</v>
      </c>
      <c r="G201" s="1019"/>
      <c r="H201" s="1248">
        <f t="shared" si="17"/>
        <v>0</v>
      </c>
      <c r="I201" s="1020"/>
      <c r="J201" s="1020" t="str">
        <f>VLOOKUP(B201,'[27]Gui chi Quynh'!$B$11:$E$396,4,FALSE)</f>
        <v>A4</v>
      </c>
      <c r="K201" s="1020">
        <f t="shared" si="18"/>
        <v>0.5</v>
      </c>
      <c r="L201" s="1021">
        <v>20</v>
      </c>
      <c r="M201" s="1021">
        <f>VLOOKUP(B201,'[28]CN BC'!$H$10:$J$275,3,FALSE)</f>
        <v>20</v>
      </c>
      <c r="N201" s="1021">
        <f t="shared" si="15"/>
        <v>20</v>
      </c>
      <c r="O201" s="1022"/>
      <c r="P201" s="1023">
        <f t="shared" si="16"/>
        <v>5054400</v>
      </c>
      <c r="Q201" s="1477">
        <f t="shared" si="19"/>
        <v>2.16</v>
      </c>
      <c r="R201" s="1429">
        <v>2340000</v>
      </c>
      <c r="S201" s="1478">
        <f t="shared" si="20"/>
        <v>5054400</v>
      </c>
      <c r="T201" s="1024">
        <f t="shared" si="21"/>
        <v>177</v>
      </c>
      <c r="U201" s="1025">
        <f>IFERROR(INDEX('[28]CN BC'!$M$10:$M$276,MATCH(B201,'[28]CN BC'!$H$10:$H$276,0)),"")</f>
        <v>0</v>
      </c>
      <c r="V201" s="1011" t="str">
        <f>VLOOKUP(B201,TH.T4!B197:AC527,28,FALSE)</f>
        <v>CK</v>
      </c>
      <c r="W201" s="1012"/>
      <c r="X201" s="1012"/>
      <c r="Y201" s="1027"/>
      <c r="Z201" s="1012"/>
      <c r="AA201" s="1012"/>
      <c r="AB201" s="1012"/>
      <c r="AC201" s="1012"/>
      <c r="AD201" s="1012"/>
      <c r="AE201" s="1012"/>
    </row>
    <row r="202" spans="1:31" s="1028" customFormat="1" ht="25.5" customHeight="1">
      <c r="A202" s="1014">
        <f>_xlfn.AGGREGATE(4,7,A$24:A201)+1</f>
        <v>178</v>
      </c>
      <c r="B202" s="1015" t="s">
        <v>1889</v>
      </c>
      <c r="C202" s="1033" t="s">
        <v>1761</v>
      </c>
      <c r="D202" s="1034" t="s">
        <v>42</v>
      </c>
      <c r="E202" s="81" t="str">
        <f>VLOOKUP(B202,TH.Q2!B103:E434,4,FALSE)</f>
        <v>Giảng viên khoa Cơ khí</v>
      </c>
      <c r="F202" s="1018">
        <v>4.9800000000000004</v>
      </c>
      <c r="G202" s="1019">
        <v>0.16</v>
      </c>
      <c r="H202" s="1248">
        <f t="shared" si="17"/>
        <v>0.79700000000000004</v>
      </c>
      <c r="I202" s="1020"/>
      <c r="J202" s="1020" t="str">
        <f>VLOOKUP(B202,'[27]Gui chi Quynh'!$B$11:$E$396,4,FALSE)</f>
        <v>A4</v>
      </c>
      <c r="K202" s="1020">
        <f t="shared" si="18"/>
        <v>0.5</v>
      </c>
      <c r="L202" s="1021">
        <v>20</v>
      </c>
      <c r="M202" s="1021">
        <f>VLOOKUP(B202,'[28]CN BC'!$H$10:$J$275,3,FALSE)</f>
        <v>20</v>
      </c>
      <c r="N202" s="1021">
        <f t="shared" si="15"/>
        <v>20</v>
      </c>
      <c r="O202" s="1022"/>
      <c r="P202" s="1023">
        <f t="shared" si="16"/>
        <v>6759090</v>
      </c>
      <c r="Q202" s="1477">
        <f t="shared" si="19"/>
        <v>2.8885000000000001</v>
      </c>
      <c r="R202" s="1429">
        <v>2340000</v>
      </c>
      <c r="S202" s="1478">
        <f t="shared" si="20"/>
        <v>6759090</v>
      </c>
      <c r="T202" s="1024">
        <f t="shared" si="21"/>
        <v>178</v>
      </c>
      <c r="U202" s="1025">
        <f>IFERROR(INDEX('[28]CN BC'!$M$10:$M$276,MATCH(B202,'[28]CN BC'!$H$10:$H$276,0)),"")</f>
        <v>0</v>
      </c>
      <c r="V202" s="1011" t="str">
        <f>VLOOKUP(B202,TH.T4!B198:AC528,28,FALSE)</f>
        <v>CK</v>
      </c>
      <c r="W202" s="1012"/>
      <c r="X202" s="1012"/>
      <c r="Y202" s="1027"/>
      <c r="Z202" s="1012"/>
      <c r="AA202" s="1012"/>
      <c r="AB202" s="1012"/>
      <c r="AC202" s="1012"/>
      <c r="AD202" s="1012"/>
      <c r="AE202" s="1012"/>
    </row>
    <row r="203" spans="1:31" s="1028" customFormat="1" ht="25.5" customHeight="1">
      <c r="A203" s="1014">
        <f>_xlfn.AGGREGATE(4,7,A$24:A202)+1</f>
        <v>179</v>
      </c>
      <c r="B203" s="1015" t="s">
        <v>1890</v>
      </c>
      <c r="C203" s="1033" t="s">
        <v>1762</v>
      </c>
      <c r="D203" s="1034" t="s">
        <v>1367</v>
      </c>
      <c r="E203" s="81" t="str">
        <f>VLOOKUP(B203,TH.Q2!B104:E435,4,FALSE)</f>
        <v>Giảng viên khoa Cơ khí</v>
      </c>
      <c r="F203" s="1018">
        <v>4.6500000000000004</v>
      </c>
      <c r="G203" s="1019"/>
      <c r="H203" s="1248">
        <f t="shared" si="17"/>
        <v>0</v>
      </c>
      <c r="I203" s="1020">
        <f>0.25</f>
        <v>0.25</v>
      </c>
      <c r="J203" s="1020" t="str">
        <f>VLOOKUP(B203,'[27]Gui chi Quynh'!$B$11:$E$396,4,FALSE)</f>
        <v>A2</v>
      </c>
      <c r="K203" s="1020">
        <f t="shared" si="18"/>
        <v>0.7</v>
      </c>
      <c r="L203" s="1021">
        <v>20</v>
      </c>
      <c r="M203" s="1021">
        <f>VLOOKUP(B203,'[28]CN BC'!$H$10:$J$275,3,FALSE)</f>
        <v>20</v>
      </c>
      <c r="N203" s="1021">
        <f t="shared" si="15"/>
        <v>20</v>
      </c>
      <c r="O203" s="1022"/>
      <c r="P203" s="1023">
        <f t="shared" si="16"/>
        <v>8026199.9999999991</v>
      </c>
      <c r="Q203" s="1477">
        <f t="shared" si="19"/>
        <v>3.4299999999999997</v>
      </c>
      <c r="R203" s="1429">
        <v>2340000</v>
      </c>
      <c r="S203" s="1478">
        <f t="shared" si="20"/>
        <v>8026199.9999999991</v>
      </c>
      <c r="T203" s="1024">
        <f t="shared" si="21"/>
        <v>179</v>
      </c>
      <c r="U203" s="1025">
        <f>IFERROR(INDEX('[28]CN BC'!$M$10:$M$276,MATCH(B203,'[28]CN BC'!$H$10:$H$276,0)),"")</f>
        <v>0</v>
      </c>
      <c r="V203" s="1011" t="str">
        <f>VLOOKUP(B203,TH.T4!B199:AC529,28,FALSE)</f>
        <v>CK</v>
      </c>
      <c r="W203" s="1012"/>
      <c r="X203" s="1012"/>
      <c r="Y203" s="1027"/>
      <c r="Z203" s="1012"/>
      <c r="AA203" s="1012"/>
      <c r="AB203" s="1012"/>
      <c r="AC203" s="1012"/>
      <c r="AD203" s="1012"/>
      <c r="AE203" s="1012"/>
    </row>
    <row r="204" spans="1:31" s="1028" customFormat="1" ht="25.5" customHeight="1">
      <c r="A204" s="1014">
        <f>_xlfn.AGGREGATE(4,7,A$24:A203)+1</f>
        <v>180</v>
      </c>
      <c r="B204" s="1015" t="s">
        <v>1891</v>
      </c>
      <c r="C204" s="1033" t="s">
        <v>1763</v>
      </c>
      <c r="D204" s="1034" t="s">
        <v>1377</v>
      </c>
      <c r="E204" s="368" t="str">
        <f>VLOOKUP(B204,TH.Q2!B105:E436,4,FALSE)</f>
        <v>Giảng viên khoa Cơ khí</v>
      </c>
      <c r="F204" s="1018">
        <v>4.9800000000000004</v>
      </c>
      <c r="G204" s="1019">
        <v>7.0000000000000007E-2</v>
      </c>
      <c r="H204" s="1255">
        <f t="shared" si="17"/>
        <v>0.34899999999999998</v>
      </c>
      <c r="I204" s="1020">
        <v>0.25</v>
      </c>
      <c r="J204" s="1020" t="str">
        <f>VLOOKUP(B204,'[27]Gui chi Quynh'!$B$11:$E$396,4,FALSE)</f>
        <v>A3</v>
      </c>
      <c r="K204" s="1020">
        <f t="shared" si="18"/>
        <v>0.6</v>
      </c>
      <c r="L204" s="1021">
        <v>20</v>
      </c>
      <c r="M204" s="1021">
        <f>VLOOKUP(B204,'[28]CN BC'!$H$10:$J$275,3,FALSE)</f>
        <v>20</v>
      </c>
      <c r="N204" s="1021">
        <f t="shared" si="15"/>
        <v>20</v>
      </c>
      <c r="O204" s="1035"/>
      <c r="P204" s="1023">
        <f t="shared" si="16"/>
        <v>7832916.0000000009</v>
      </c>
      <c r="Q204" s="1477">
        <f t="shared" si="19"/>
        <v>3.3474000000000004</v>
      </c>
      <c r="R204" s="1429">
        <v>2340000</v>
      </c>
      <c r="S204" s="1478">
        <f t="shared" si="20"/>
        <v>7832916.0000000009</v>
      </c>
      <c r="T204" s="1024">
        <f t="shared" si="21"/>
        <v>180</v>
      </c>
      <c r="U204" s="1025">
        <f>IFERROR(INDEX('[28]CN BC'!$M$10:$M$276,MATCH(B204,'[28]CN BC'!$H$10:$H$276,0)),"")</f>
        <v>0</v>
      </c>
      <c r="V204" s="1067" t="str">
        <f>VLOOKUP(B204,TH.T4!B200:AC530,28,FALSE)</f>
        <v>CK</v>
      </c>
      <c r="Y204" s="1038"/>
    </row>
    <row r="205" spans="1:31" s="1028" customFormat="1" ht="25.5" customHeight="1">
      <c r="A205" s="1014">
        <f>_xlfn.AGGREGATE(4,7,A$24:A204)+1</f>
        <v>181</v>
      </c>
      <c r="B205" s="1015" t="s">
        <v>1525</v>
      </c>
      <c r="C205" s="1033" t="s">
        <v>1764</v>
      </c>
      <c r="D205" s="1034" t="s">
        <v>1372</v>
      </c>
      <c r="E205" s="81" t="str">
        <f>VLOOKUP(B205,TH.Q2!B106:E437,4,FALSE)</f>
        <v>Giảng viên khoa Cơ khí</v>
      </c>
      <c r="F205" s="1040">
        <v>3.99</v>
      </c>
      <c r="G205" s="1019"/>
      <c r="H205" s="1248">
        <f t="shared" si="17"/>
        <v>0</v>
      </c>
      <c r="I205" s="1020"/>
      <c r="J205" s="1020" t="str">
        <f>VLOOKUP(B205,'[27]Gui chi Quynh'!$B$11:$E$396,4,FALSE)</f>
        <v>A4</v>
      </c>
      <c r="K205" s="1020">
        <f t="shared" si="18"/>
        <v>0.5</v>
      </c>
      <c r="L205" s="1021">
        <v>20</v>
      </c>
      <c r="M205" s="1021">
        <f>VLOOKUP(B205,'[28]CN BC'!$H$10:$J$275,3,FALSE)</f>
        <v>20</v>
      </c>
      <c r="N205" s="1021">
        <f t="shared" si="15"/>
        <v>20</v>
      </c>
      <c r="O205" s="1022"/>
      <c r="P205" s="1023">
        <f t="shared" si="16"/>
        <v>4668300</v>
      </c>
      <c r="Q205" s="1477">
        <f t="shared" si="19"/>
        <v>1.9950000000000001</v>
      </c>
      <c r="R205" s="1429">
        <v>2340000</v>
      </c>
      <c r="S205" s="1478">
        <f t="shared" si="20"/>
        <v>4668300</v>
      </c>
      <c r="T205" s="1024">
        <f t="shared" si="21"/>
        <v>181</v>
      </c>
      <c r="U205" s="1025">
        <f>IFERROR(INDEX('[28]CN BC'!$M$10:$M$276,MATCH(B205,'[28]CN BC'!$H$10:$H$276,0)),"")</f>
        <v>0</v>
      </c>
      <c r="V205" s="1011" t="str">
        <f>VLOOKUP(B205,TH.T4!B201:AC531,28,FALSE)</f>
        <v>CK</v>
      </c>
      <c r="W205" s="1046"/>
      <c r="X205" s="1012"/>
      <c r="Y205" s="1027"/>
      <c r="Z205" s="1012"/>
      <c r="AA205" s="1012"/>
      <c r="AB205" s="1012"/>
      <c r="AC205" s="1012"/>
      <c r="AD205" s="1012"/>
      <c r="AE205" s="1012"/>
    </row>
    <row r="206" spans="1:31" s="1028" customFormat="1" ht="25.5" customHeight="1">
      <c r="A206" s="1014">
        <f>_xlfn.AGGREGATE(4,7,A$24:A205)+1</f>
        <v>182</v>
      </c>
      <c r="B206" s="1015" t="s">
        <v>1892</v>
      </c>
      <c r="C206" s="1033" t="s">
        <v>1765</v>
      </c>
      <c r="D206" s="1034" t="s">
        <v>1374</v>
      </c>
      <c r="E206" s="368" t="str">
        <f>VLOOKUP(B206,TH.Q2!B107:E438,4,FALSE)</f>
        <v>Giảng viên khoa Cơ khí</v>
      </c>
      <c r="F206" s="1018">
        <v>4.9800000000000004</v>
      </c>
      <c r="G206" s="1019">
        <v>0.06</v>
      </c>
      <c r="H206" s="1255">
        <f t="shared" si="17"/>
        <v>0.29899999999999999</v>
      </c>
      <c r="I206" s="1020"/>
      <c r="J206" s="1020" t="str">
        <f>VLOOKUP(B206,'[27]Gui chi Quynh'!$B$11:$E$396,4,FALSE)</f>
        <v>A4</v>
      </c>
      <c r="K206" s="1020">
        <f t="shared" si="18"/>
        <v>0.5</v>
      </c>
      <c r="L206" s="1021">
        <v>20</v>
      </c>
      <c r="M206" s="1021">
        <f>VLOOKUP(B206,'[28]CN BC'!$H$10:$J$275,3,FALSE)</f>
        <v>20</v>
      </c>
      <c r="N206" s="1021">
        <f t="shared" si="15"/>
        <v>20</v>
      </c>
      <c r="O206" s="1035"/>
      <c r="P206" s="1023">
        <f t="shared" si="16"/>
        <v>6176430.0000000009</v>
      </c>
      <c r="Q206" s="1477">
        <f t="shared" si="19"/>
        <v>2.6395000000000004</v>
      </c>
      <c r="R206" s="1429">
        <v>2340000</v>
      </c>
      <c r="S206" s="1478">
        <f t="shared" si="20"/>
        <v>6176430.0000000009</v>
      </c>
      <c r="T206" s="1024">
        <f t="shared" si="21"/>
        <v>182</v>
      </c>
      <c r="U206" s="1025">
        <f>IFERROR(INDEX('[28]CN BC'!$M$10:$M$276,MATCH(B206,'[28]CN BC'!$H$10:$H$276,0)),"")</f>
        <v>0</v>
      </c>
      <c r="V206" s="1067" t="str">
        <f>VLOOKUP(B206,TH.T4!B202:AC532,28,FALSE)</f>
        <v>CK</v>
      </c>
      <c r="Y206" s="1038"/>
    </row>
    <row r="207" spans="1:31" s="1028" customFormat="1" ht="25.5" customHeight="1">
      <c r="A207" s="1014">
        <f>_xlfn.AGGREGATE(4,7,A$24:A206)+1</f>
        <v>183</v>
      </c>
      <c r="B207" s="1015" t="s">
        <v>1526</v>
      </c>
      <c r="C207" s="1033" t="s">
        <v>1766</v>
      </c>
      <c r="D207" s="1066" t="s">
        <v>1939</v>
      </c>
      <c r="E207" s="368" t="str">
        <f>VLOOKUP(B207,TH.Q2!B108:E439,4,FALSE)</f>
        <v>Phó Trưởng khoa Cơ khí</v>
      </c>
      <c r="F207" s="1040">
        <v>3.99</v>
      </c>
      <c r="G207" s="1019"/>
      <c r="H207" s="1255">
        <f t="shared" si="17"/>
        <v>0</v>
      </c>
      <c r="I207" s="1020">
        <v>0.35</v>
      </c>
      <c r="J207" s="1020" t="str">
        <f>VLOOKUP(B207,'[27]Gui chi Quynh'!$B$11:$E$396,4,FALSE)</f>
        <v>A2</v>
      </c>
      <c r="K207" s="1020">
        <f t="shared" si="18"/>
        <v>0.7</v>
      </c>
      <c r="L207" s="1021">
        <v>20</v>
      </c>
      <c r="M207" s="1021">
        <f>VLOOKUP(B207,'[28]CN BC'!$H$10:$J$275,3,FALSE)</f>
        <v>20</v>
      </c>
      <c r="N207" s="1021">
        <f t="shared" si="15"/>
        <v>20</v>
      </c>
      <c r="O207" s="1035"/>
      <c r="P207" s="1023">
        <f t="shared" si="16"/>
        <v>7108920</v>
      </c>
      <c r="Q207" s="1477">
        <f t="shared" si="19"/>
        <v>3.0379999999999998</v>
      </c>
      <c r="R207" s="1429">
        <v>2340000</v>
      </c>
      <c r="S207" s="1478">
        <f t="shared" si="20"/>
        <v>7108920</v>
      </c>
      <c r="T207" s="1024">
        <f t="shared" si="21"/>
        <v>183</v>
      </c>
      <c r="U207" s="1025">
        <f>IFERROR(INDEX('[28]CN BC'!$M$10:$M$276,MATCH(B207,'[28]CN BC'!$H$10:$H$276,0)),"")</f>
        <v>0</v>
      </c>
      <c r="V207" s="1067" t="str">
        <f>VLOOKUP(B207,TH.T4!B203:AC533,28,FALSE)</f>
        <v>CK</v>
      </c>
      <c r="Y207" s="1038"/>
    </row>
    <row r="208" spans="1:31" s="1028" customFormat="1" ht="26.25" customHeight="1">
      <c r="A208" s="1014">
        <f>_xlfn.AGGREGATE(4,7,A$24:A207)+1</f>
        <v>184</v>
      </c>
      <c r="B208" s="1015" t="s">
        <v>1527</v>
      </c>
      <c r="C208" s="1033" t="s">
        <v>1767</v>
      </c>
      <c r="D208" s="1034" t="s">
        <v>1379</v>
      </c>
      <c r="E208" s="368" t="str">
        <f>VLOOKUP(B208,TH.Q2!B109:E440,4,FALSE)</f>
        <v>Giảng viên khoa Cơ khí</v>
      </c>
      <c r="F208" s="1040">
        <v>3.99</v>
      </c>
      <c r="G208" s="1019"/>
      <c r="H208" s="1255">
        <f t="shared" si="17"/>
        <v>0</v>
      </c>
      <c r="I208" s="1020"/>
      <c r="J208" s="1020" t="str">
        <f>VLOOKUP(B208,'[27]Gui chi Quynh'!$B$11:$E$396,4,FALSE)</f>
        <v>A4</v>
      </c>
      <c r="K208" s="1020">
        <f t="shared" si="18"/>
        <v>0.5</v>
      </c>
      <c r="L208" s="1021">
        <v>20</v>
      </c>
      <c r="M208" s="1021">
        <f>VLOOKUP(B208,'[28]CN BC'!$H$10:$J$275,3,FALSE)</f>
        <v>20</v>
      </c>
      <c r="N208" s="1021">
        <f t="shared" si="15"/>
        <v>20</v>
      </c>
      <c r="O208" s="1035"/>
      <c r="P208" s="1023">
        <f t="shared" si="16"/>
        <v>4668300</v>
      </c>
      <c r="Q208" s="1477">
        <f t="shared" si="19"/>
        <v>1.9950000000000001</v>
      </c>
      <c r="R208" s="1429">
        <v>2340000</v>
      </c>
      <c r="S208" s="1478">
        <f t="shared" si="20"/>
        <v>4668300</v>
      </c>
      <c r="T208" s="1024">
        <f t="shared" si="21"/>
        <v>184</v>
      </c>
      <c r="U208" s="1025">
        <f>IFERROR(INDEX('[28]CN BC'!$M$10:$M$276,MATCH(B208,'[28]CN BC'!$H$10:$H$276,0)),"")</f>
        <v>0</v>
      </c>
      <c r="V208" s="1067" t="str">
        <f>VLOOKUP(B208,TH.T4!B204:AC534,28,FALSE)</f>
        <v>CK</v>
      </c>
      <c r="Y208" s="1038"/>
    </row>
    <row r="209" spans="1:35" s="1028" customFormat="1" ht="27.75" customHeight="1">
      <c r="A209" s="1014">
        <f>_xlfn.AGGREGATE(4,7,A$24:A208)+1</f>
        <v>185</v>
      </c>
      <c r="B209" s="1015" t="s">
        <v>1893</v>
      </c>
      <c r="C209" s="1033" t="s">
        <v>1768</v>
      </c>
      <c r="D209" s="1034" t="s">
        <v>387</v>
      </c>
      <c r="E209" s="81" t="str">
        <f>VLOOKUP(B209,TH.Q2!B110:E441,4,FALSE)</f>
        <v>Giảng viên khoa Cơ khí</v>
      </c>
      <c r="F209" s="1040">
        <v>3.66</v>
      </c>
      <c r="G209" s="1019"/>
      <c r="H209" s="1248">
        <f t="shared" si="17"/>
        <v>0</v>
      </c>
      <c r="I209" s="1020"/>
      <c r="J209" s="1020" t="str">
        <f>VLOOKUP(B209,'[27]Gui chi Quynh'!$B$11:$E$396,4,FALSE)</f>
        <v>A3</v>
      </c>
      <c r="K209" s="1020">
        <f t="shared" si="18"/>
        <v>0.6</v>
      </c>
      <c r="L209" s="1021">
        <v>20</v>
      </c>
      <c r="M209" s="1021">
        <f>VLOOKUP(B209,'[28]CN BC'!$H$10:$J$275,3,FALSE)</f>
        <v>20</v>
      </c>
      <c r="N209" s="1021">
        <f t="shared" si="15"/>
        <v>20</v>
      </c>
      <c r="O209" s="1022"/>
      <c r="P209" s="1023">
        <f t="shared" si="16"/>
        <v>5138640</v>
      </c>
      <c r="Q209" s="1477">
        <f t="shared" si="19"/>
        <v>2.1960000000000002</v>
      </c>
      <c r="R209" s="1429">
        <v>2340000</v>
      </c>
      <c r="S209" s="1478">
        <f t="shared" si="20"/>
        <v>5138640</v>
      </c>
      <c r="T209" s="1024">
        <f t="shared" si="21"/>
        <v>185</v>
      </c>
      <c r="U209" s="1025">
        <f>IFERROR(INDEX('[28]CN BC'!$M$10:$M$276,MATCH(B209,'[28]CN BC'!$H$10:$H$276,0)),"")</f>
        <v>0</v>
      </c>
      <c r="V209" s="1011" t="str">
        <f>VLOOKUP(B209,TH.T4!B205:AC535,28,FALSE)</f>
        <v>CK</v>
      </c>
      <c r="W209" s="1012"/>
      <c r="X209" s="1012"/>
      <c r="Y209" s="1027"/>
      <c r="Z209" s="1012"/>
      <c r="AA209" s="1012"/>
      <c r="AB209" s="1012"/>
      <c r="AC209" s="1012"/>
      <c r="AD209" s="1012"/>
      <c r="AE209" s="1012"/>
    </row>
    <row r="210" spans="1:35" s="1028" customFormat="1" ht="27.75" customHeight="1">
      <c r="A210" s="1014">
        <f>_xlfn.AGGREGATE(4,7,A$24:A209)+1</f>
        <v>186</v>
      </c>
      <c r="B210" s="1015" t="s">
        <v>1894</v>
      </c>
      <c r="C210" s="1033" t="s">
        <v>1769</v>
      </c>
      <c r="D210" s="1034" t="s">
        <v>388</v>
      </c>
      <c r="E210" s="81" t="str">
        <f>VLOOKUP(B210,TH.Q2!B111:E442,4,FALSE)</f>
        <v>Giảng viên khoa Cơ khí</v>
      </c>
      <c r="F210" s="1040">
        <v>3.66</v>
      </c>
      <c r="G210" s="1019"/>
      <c r="H210" s="1248">
        <f t="shared" si="17"/>
        <v>0</v>
      </c>
      <c r="I210" s="1020"/>
      <c r="J210" s="1020" t="str">
        <f>VLOOKUP(B210,'[27]Gui chi Quynh'!$B$11:$E$396,4,FALSE)</f>
        <v>A4</v>
      </c>
      <c r="K210" s="1020">
        <f t="shared" si="18"/>
        <v>0.5</v>
      </c>
      <c r="L210" s="1021">
        <v>20</v>
      </c>
      <c r="M210" s="1021">
        <f>VLOOKUP(B210,'[28]CN BC'!$H$10:$J$275,3,FALSE)</f>
        <v>20</v>
      </c>
      <c r="N210" s="1021">
        <f t="shared" si="15"/>
        <v>20</v>
      </c>
      <c r="O210" s="1022"/>
      <c r="P210" s="1023">
        <f t="shared" si="16"/>
        <v>4282200</v>
      </c>
      <c r="Q210" s="1477">
        <f t="shared" si="19"/>
        <v>1.83</v>
      </c>
      <c r="R210" s="1429">
        <v>2340000</v>
      </c>
      <c r="S210" s="1478">
        <f t="shared" si="20"/>
        <v>4282200</v>
      </c>
      <c r="T210" s="1024">
        <f t="shared" si="21"/>
        <v>186</v>
      </c>
      <c r="U210" s="1025">
        <f>IFERROR(INDEX('[28]CN BC'!$M$10:$M$276,MATCH(B210,'[28]CN BC'!$H$10:$H$276,0)),"")</f>
        <v>0</v>
      </c>
      <c r="V210" s="1011" t="str">
        <f>VLOOKUP(B210,TH.T4!B206:AC536,28,FALSE)</f>
        <v>CK</v>
      </c>
      <c r="W210" s="1012"/>
      <c r="X210" s="1012"/>
      <c r="Y210" s="1027"/>
      <c r="Z210" s="1012"/>
      <c r="AA210" s="1012"/>
      <c r="AB210" s="1012"/>
      <c r="AC210" s="1012"/>
      <c r="AD210" s="1012"/>
      <c r="AE210" s="1012"/>
    </row>
    <row r="211" spans="1:35" s="1028" customFormat="1" ht="32.25" customHeight="1">
      <c r="A211" s="1014">
        <f>_xlfn.AGGREGATE(4,7,A$24:A210)+1</f>
        <v>187</v>
      </c>
      <c r="B211" s="1015" t="s">
        <v>2023</v>
      </c>
      <c r="C211" s="1033" t="s">
        <v>1770</v>
      </c>
      <c r="D211" s="1034" t="s">
        <v>386</v>
      </c>
      <c r="E211" s="81" t="str">
        <f>VLOOKUP(B211,TH.Q2!B112:E443,4,FALSE)</f>
        <v>Giảng viên khoa Cơ khí</v>
      </c>
      <c r="F211" s="1040">
        <v>3.66</v>
      </c>
      <c r="G211" s="1019"/>
      <c r="H211" s="1248">
        <f t="shared" si="17"/>
        <v>0</v>
      </c>
      <c r="I211" s="1020"/>
      <c r="J211" s="1020" t="str">
        <f>VLOOKUP(B211,'[27]Gui chi Quynh'!$B$11:$E$396,4,FALSE)</f>
        <v>A4</v>
      </c>
      <c r="K211" s="1020">
        <f t="shared" si="18"/>
        <v>0.5</v>
      </c>
      <c r="L211" s="1021">
        <v>20</v>
      </c>
      <c r="M211" s="1021">
        <f>VLOOKUP(B211,'[28]CN BC'!$H$10:$J$275,3,FALSE)</f>
        <v>21</v>
      </c>
      <c r="N211" s="1021">
        <f t="shared" si="15"/>
        <v>20</v>
      </c>
      <c r="O211" s="1022"/>
      <c r="P211" s="1023">
        <f t="shared" si="16"/>
        <v>4282200</v>
      </c>
      <c r="Q211" s="1477">
        <f t="shared" si="19"/>
        <v>1.83</v>
      </c>
      <c r="R211" s="1429">
        <v>2340000</v>
      </c>
      <c r="S211" s="1478">
        <f t="shared" si="20"/>
        <v>4282200</v>
      </c>
      <c r="T211" s="1024">
        <f t="shared" si="21"/>
        <v>187</v>
      </c>
      <c r="U211" s="1025">
        <f>IFERROR(INDEX('[28]CN BC'!$M$10:$M$276,MATCH(B211,'[28]CN BC'!$H$10:$H$276,0)),"")</f>
        <v>0</v>
      </c>
      <c r="V211" s="1011" t="str">
        <f>VLOOKUP(B211,TH.T4!B207:AC537,28,FALSE)</f>
        <v>CK</v>
      </c>
      <c r="Y211" s="1038"/>
    </row>
    <row r="212" spans="1:35" s="1028" customFormat="1" ht="27.75" customHeight="1">
      <c r="A212" s="1014">
        <f>_xlfn.AGGREGATE(4,7,A$24:A211)+1</f>
        <v>188</v>
      </c>
      <c r="B212" s="1015" t="s">
        <v>1528</v>
      </c>
      <c r="C212" s="1029" t="s">
        <v>1771</v>
      </c>
      <c r="D212" s="1034" t="s">
        <v>456</v>
      </c>
      <c r="E212" s="81" t="str">
        <f>VLOOKUP(B212,TH.Q2!B113:E444,4,FALSE)</f>
        <v>Giảng viên khoa Cơ khí</v>
      </c>
      <c r="F212" s="1040">
        <v>3.66</v>
      </c>
      <c r="G212" s="1019"/>
      <c r="H212" s="1248">
        <f t="shared" si="17"/>
        <v>0</v>
      </c>
      <c r="I212" s="1020"/>
      <c r="J212" s="1020" t="str">
        <f>VLOOKUP(B212,'[27]Gui chi Quynh'!$B$11:$E$396,4,FALSE)</f>
        <v>A4</v>
      </c>
      <c r="K212" s="1020">
        <f t="shared" si="18"/>
        <v>0.5</v>
      </c>
      <c r="L212" s="1021">
        <v>20</v>
      </c>
      <c r="M212" s="1021">
        <f>VLOOKUP(B212,'[28]CN BC'!$H$10:$J$275,3,FALSE)</f>
        <v>21</v>
      </c>
      <c r="N212" s="1021">
        <f t="shared" si="15"/>
        <v>20</v>
      </c>
      <c r="O212" s="1022"/>
      <c r="P212" s="1023">
        <f t="shared" si="16"/>
        <v>4282200</v>
      </c>
      <c r="Q212" s="1477">
        <f t="shared" si="19"/>
        <v>1.83</v>
      </c>
      <c r="R212" s="1429">
        <v>2340000</v>
      </c>
      <c r="S212" s="1478">
        <f t="shared" si="20"/>
        <v>4282200</v>
      </c>
      <c r="T212" s="1024">
        <f t="shared" si="21"/>
        <v>188</v>
      </c>
      <c r="U212" s="1025">
        <f>IFERROR(INDEX('[28]CN BC'!$M$10:$M$276,MATCH(B212,'[28]CN BC'!$H$10:$H$276,0)),"")</f>
        <v>0</v>
      </c>
      <c r="V212" s="1011" t="str">
        <f>VLOOKUP(B212,TH.T4!B208:AC538,28,FALSE)</f>
        <v>CK</v>
      </c>
      <c r="W212" s="1012"/>
      <c r="X212" s="1012"/>
      <c r="Y212" s="1027"/>
      <c r="Z212" s="1012"/>
      <c r="AA212" s="1012"/>
      <c r="AB212" s="1012"/>
      <c r="AC212" s="1012"/>
      <c r="AD212" s="1012"/>
      <c r="AE212" s="1012"/>
      <c r="AF212" s="1012"/>
      <c r="AG212" s="1012"/>
      <c r="AH212" s="1012"/>
      <c r="AI212" s="1012"/>
    </row>
    <row r="213" spans="1:35" s="1028" customFormat="1" ht="30" customHeight="1">
      <c r="A213" s="1014">
        <f>_xlfn.AGGREGATE(4,7,A$24:A212)+1</f>
        <v>189</v>
      </c>
      <c r="B213" s="1015" t="s">
        <v>1529</v>
      </c>
      <c r="C213" s="1033" t="s">
        <v>1772</v>
      </c>
      <c r="D213" s="1034" t="s">
        <v>743</v>
      </c>
      <c r="E213" s="368" t="str">
        <f>VLOOKUP(B213,TH.Q2!B114:E445,4,FALSE)</f>
        <v>Giảng viên - Trưởng BM khoa Cơ khí</v>
      </c>
      <c r="F213" s="1040">
        <v>3.66</v>
      </c>
      <c r="G213" s="1019"/>
      <c r="H213" s="1255">
        <f t="shared" si="17"/>
        <v>0</v>
      </c>
      <c r="I213" s="1020">
        <v>0.25</v>
      </c>
      <c r="J213" s="1020" t="str">
        <f>VLOOKUP(B213,'[27]Gui chi Quynh'!$B$11:$E$396,4,FALSE)</f>
        <v>A2</v>
      </c>
      <c r="K213" s="1020">
        <f t="shared" si="18"/>
        <v>0.7</v>
      </c>
      <c r="L213" s="1021">
        <v>20</v>
      </c>
      <c r="M213" s="1021">
        <f>VLOOKUP(B213,'[28]CN BC'!$H$10:$J$275,3,FALSE)</f>
        <v>20</v>
      </c>
      <c r="N213" s="1021">
        <f t="shared" si="15"/>
        <v>20</v>
      </c>
      <c r="O213" s="1035"/>
      <c r="P213" s="1023">
        <f t="shared" si="16"/>
        <v>6404580</v>
      </c>
      <c r="Q213" s="1477">
        <f t="shared" si="19"/>
        <v>2.7370000000000001</v>
      </c>
      <c r="R213" s="1429">
        <v>2340000</v>
      </c>
      <c r="S213" s="1478">
        <f t="shared" si="20"/>
        <v>6404580</v>
      </c>
      <c r="T213" s="1024">
        <f t="shared" si="21"/>
        <v>189</v>
      </c>
      <c r="U213" s="1025">
        <f>IFERROR(INDEX('[28]CN BC'!$M$10:$M$276,MATCH(B213,'[28]CN BC'!$H$10:$H$276,0)),"")</f>
        <v>0</v>
      </c>
      <c r="V213" s="1067" t="str">
        <f>VLOOKUP(B213,TH.T4!B209:AC539,28,FALSE)</f>
        <v>CK</v>
      </c>
      <c r="Y213" s="1038"/>
    </row>
    <row r="214" spans="1:35" s="1028" customFormat="1" ht="51.75" customHeight="1">
      <c r="A214" s="1092">
        <f>_xlfn.AGGREGATE(4,7,A$24:A213)+1</f>
        <v>190</v>
      </c>
      <c r="B214" s="1093" t="s">
        <v>1530</v>
      </c>
      <c r="C214" s="1094" t="s">
        <v>1773</v>
      </c>
      <c r="D214" s="1475">
        <v>1603205357641</v>
      </c>
      <c r="E214" s="554" t="str">
        <f>VLOOKUP(B214,TH.Q2!B115:E446,4,FALSE)</f>
        <v>Giảng viên khoa Cơ khí</v>
      </c>
      <c r="F214" s="1224">
        <v>3.66</v>
      </c>
      <c r="G214" s="1096"/>
      <c r="H214" s="1250">
        <f t="shared" si="17"/>
        <v>0</v>
      </c>
      <c r="I214" s="1097"/>
      <c r="J214" s="1097" t="str">
        <f>VLOOKUP(B214,'[27]Gui chi Quynh'!$B$11:$E$396,4,FALSE)</f>
        <v>B1</v>
      </c>
      <c r="K214" s="1097">
        <f t="shared" si="18"/>
        <v>0.35</v>
      </c>
      <c r="L214" s="1213">
        <v>20</v>
      </c>
      <c r="M214" s="1213">
        <f>VLOOKUP(B214,'[28]CN BC'!$H$10:$J$275,3,FALSE)</f>
        <v>20</v>
      </c>
      <c r="N214" s="1213">
        <f t="shared" si="15"/>
        <v>20</v>
      </c>
      <c r="O214" s="1098"/>
      <c r="P214" s="1214">
        <f t="shared" si="16"/>
        <v>2997540</v>
      </c>
      <c r="Q214" s="1479">
        <f t="shared" si="19"/>
        <v>1.2809999999999999</v>
      </c>
      <c r="R214" s="1225">
        <v>2340000</v>
      </c>
      <c r="S214" s="1480">
        <f t="shared" si="20"/>
        <v>2997540</v>
      </c>
      <c r="T214" s="1099">
        <f t="shared" si="21"/>
        <v>190</v>
      </c>
      <c r="U214" s="1476" t="s">
        <v>2409</v>
      </c>
      <c r="V214" s="1011" t="str">
        <f>VLOOKUP(B214,TH.T4!B210:AC540,28,FALSE)</f>
        <v>CK</v>
      </c>
      <c r="W214" s="1105"/>
      <c r="Y214" s="1038"/>
    </row>
    <row r="215" spans="1:35" s="1028" customFormat="1" ht="25.9" customHeight="1">
      <c r="A215" s="1014">
        <f>_xlfn.AGGREGATE(4,7,A$24:A214)+1</f>
        <v>191</v>
      </c>
      <c r="B215" s="1015" t="s">
        <v>1531</v>
      </c>
      <c r="C215" s="1029" t="s">
        <v>1774</v>
      </c>
      <c r="D215" s="1057">
        <v>1603205357120</v>
      </c>
      <c r="E215" s="81" t="str">
        <f>VLOOKUP(B215,TH.Q2!B116:E447,4,FALSE)</f>
        <v>Giảng viên khoa Cơ khí</v>
      </c>
      <c r="F215" s="1040">
        <v>3.33</v>
      </c>
      <c r="G215" s="1019"/>
      <c r="H215" s="1248">
        <f t="shared" si="17"/>
        <v>0</v>
      </c>
      <c r="I215" s="1020"/>
      <c r="J215" s="1020" t="str">
        <f>VLOOKUP(B215,'[27]Gui chi Quynh'!$B$11:$E$396,4,FALSE)</f>
        <v>A2</v>
      </c>
      <c r="K215" s="1020">
        <f t="shared" si="18"/>
        <v>0.7</v>
      </c>
      <c r="L215" s="1021">
        <v>20</v>
      </c>
      <c r="M215" s="1021">
        <f>VLOOKUP(B215,'[28]CN BC'!$H$10:$J$275,3,FALSE)</f>
        <v>21</v>
      </c>
      <c r="N215" s="1021">
        <f t="shared" si="15"/>
        <v>20</v>
      </c>
      <c r="O215" s="1022"/>
      <c r="P215" s="1023">
        <f t="shared" si="16"/>
        <v>5454540</v>
      </c>
      <c r="Q215" s="1477">
        <f t="shared" si="19"/>
        <v>2.331</v>
      </c>
      <c r="R215" s="1429">
        <v>2340000</v>
      </c>
      <c r="S215" s="1478">
        <f t="shared" si="20"/>
        <v>5454540</v>
      </c>
      <c r="T215" s="1024">
        <f t="shared" si="21"/>
        <v>191</v>
      </c>
      <c r="U215" s="1025">
        <f>IFERROR(INDEX('[28]CN BC'!$M$10:$M$276,MATCH(B215,'[28]CN BC'!$H$10:$H$276,0)),"")</f>
        <v>0</v>
      </c>
      <c r="V215" s="1011" t="str">
        <f>VLOOKUP(B215,TH.T4!B211:AC541,28,FALSE)</f>
        <v>CK</v>
      </c>
      <c r="W215" s="1012"/>
      <c r="X215" s="1012"/>
      <c r="Y215" s="1027"/>
      <c r="Z215" s="1012"/>
      <c r="AA215" s="1012"/>
      <c r="AB215" s="1012"/>
      <c r="AC215" s="1012"/>
      <c r="AD215" s="1012"/>
      <c r="AE215" s="1012"/>
      <c r="AF215" s="1012"/>
      <c r="AG215" s="1012"/>
      <c r="AH215" s="1012"/>
      <c r="AI215" s="1012"/>
    </row>
    <row r="216" spans="1:35" s="1028" customFormat="1" ht="32.25" customHeight="1">
      <c r="A216" s="1014">
        <f>_xlfn.AGGREGATE(4,7,A$24:A215)+1</f>
        <v>192</v>
      </c>
      <c r="B216" s="1015" t="s">
        <v>1895</v>
      </c>
      <c r="C216" s="1033" t="s">
        <v>1775</v>
      </c>
      <c r="D216" s="1034" t="s">
        <v>1261</v>
      </c>
      <c r="E216" s="368" t="str">
        <f>VLOOKUP(B216,TH.Q2!B117:E448,4,FALSE)</f>
        <v>Giảng viên khoa Cơ khí</v>
      </c>
      <c r="F216" s="1018">
        <v>4.9800000000000004</v>
      </c>
      <c r="G216" s="1019">
        <v>0.08</v>
      </c>
      <c r="H216" s="1255">
        <f t="shared" si="17"/>
        <v>0.39800000000000002</v>
      </c>
      <c r="I216" s="1020"/>
      <c r="J216" s="1020" t="str">
        <f>VLOOKUP(B216,'[27]Gui chi Quynh'!$B$11:$E$396,4,FALSE)</f>
        <v>A3</v>
      </c>
      <c r="K216" s="1020">
        <f t="shared" si="18"/>
        <v>0.6</v>
      </c>
      <c r="L216" s="1021">
        <v>20</v>
      </c>
      <c r="M216" s="1021">
        <f>VLOOKUP(B216,'[28]CN BC'!$H$10:$J$275,3,FALSE)</f>
        <v>21</v>
      </c>
      <c r="N216" s="1021">
        <f t="shared" si="15"/>
        <v>20</v>
      </c>
      <c r="O216" s="1035"/>
      <c r="P216" s="1023">
        <f t="shared" si="16"/>
        <v>7550712</v>
      </c>
      <c r="Q216" s="1477">
        <f t="shared" si="19"/>
        <v>3.2267999999999999</v>
      </c>
      <c r="R216" s="1429">
        <v>2340000</v>
      </c>
      <c r="S216" s="1478">
        <f t="shared" si="20"/>
        <v>7550712</v>
      </c>
      <c r="T216" s="1024">
        <f t="shared" si="21"/>
        <v>192</v>
      </c>
      <c r="U216" s="1025">
        <f>IFERROR(INDEX('[28]CN BC'!$M$10:$M$276,MATCH(B216,'[28]CN BC'!$H$10:$H$276,0)),"")</f>
        <v>0</v>
      </c>
      <c r="V216" s="1067" t="str">
        <f>VLOOKUP(B216,TH.T4!B212:AC542,28,FALSE)</f>
        <v>CK</v>
      </c>
      <c r="W216" s="1430"/>
      <c r="Y216" s="1038"/>
    </row>
    <row r="217" spans="1:35" s="1028" customFormat="1" ht="29.25" customHeight="1">
      <c r="A217" s="1014">
        <f>_xlfn.AGGREGATE(4,7,A$24:A216)+1</f>
        <v>193</v>
      </c>
      <c r="B217" s="1015" t="s">
        <v>1532</v>
      </c>
      <c r="C217" s="1029" t="s">
        <v>1777</v>
      </c>
      <c r="D217" s="1030" t="s">
        <v>1594</v>
      </c>
      <c r="E217" s="81" t="str">
        <f>VLOOKUP(B217,TH.Q2!B119:E450,4,FALSE)</f>
        <v>Giảng viên khoa Cơ khí</v>
      </c>
      <c r="F217" s="1040">
        <v>3.33</v>
      </c>
      <c r="G217" s="1019"/>
      <c r="H217" s="1248">
        <f t="shared" si="17"/>
        <v>0</v>
      </c>
      <c r="I217" s="1020"/>
      <c r="J217" s="1020" t="str">
        <f>VLOOKUP(B217,'[27]Gui chi Quynh'!$B$11:$E$396,4,FALSE)</f>
        <v>A3</v>
      </c>
      <c r="K217" s="1020">
        <f t="shared" si="18"/>
        <v>0.6</v>
      </c>
      <c r="L217" s="1021">
        <v>20</v>
      </c>
      <c r="M217" s="1021">
        <f>VLOOKUP(B217,'[28]CN BC'!$H$10:$J$275,3,FALSE)</f>
        <v>21</v>
      </c>
      <c r="N217" s="1021">
        <f t="shared" ref="N217:N280" si="22">IF(M217&gt;=L217,L217,IF(M217&lt;L217,M217))</f>
        <v>20</v>
      </c>
      <c r="O217" s="1022"/>
      <c r="P217" s="1023">
        <f t="shared" ref="P217:P280" si="23">(((F217+H217+I217)*$P$21/L217*N217)*K217)+O217</f>
        <v>4675320</v>
      </c>
      <c r="Q217" s="1477">
        <f t="shared" si="19"/>
        <v>1.998</v>
      </c>
      <c r="R217" s="1429">
        <v>2340000</v>
      </c>
      <c r="S217" s="1478">
        <f t="shared" si="20"/>
        <v>4675320</v>
      </c>
      <c r="T217" s="1024">
        <f t="shared" si="21"/>
        <v>193</v>
      </c>
      <c r="U217" s="1025">
        <f>IFERROR(INDEX('[28]CN BC'!$M$10:$M$276,MATCH(B217,'[28]CN BC'!$H$10:$H$276,0)),"")</f>
        <v>0</v>
      </c>
      <c r="V217" s="1011" t="str">
        <f>VLOOKUP(B217,TH.T4!B214:AC544,28,FALSE)</f>
        <v>CK</v>
      </c>
      <c r="W217" s="1012"/>
      <c r="X217" s="1012"/>
      <c r="Y217" s="1027"/>
      <c r="Z217" s="1012"/>
      <c r="AA217" s="1012"/>
      <c r="AB217" s="1012"/>
      <c r="AC217" s="1012"/>
      <c r="AD217" s="1012"/>
      <c r="AE217" s="1012"/>
      <c r="AF217" s="1012"/>
      <c r="AG217" s="1012"/>
      <c r="AH217" s="1012"/>
      <c r="AI217" s="1012"/>
    </row>
    <row r="218" spans="1:35" s="1028" customFormat="1" ht="25.5" customHeight="1">
      <c r="A218" s="1014">
        <f>_xlfn.AGGREGATE(4,7,A$24:A217)+1</f>
        <v>194</v>
      </c>
      <c r="B218" s="1015" t="s">
        <v>1608</v>
      </c>
      <c r="C218" s="1107" t="s">
        <v>1968</v>
      </c>
      <c r="D218" s="1039">
        <v>1603215003955</v>
      </c>
      <c r="E218" s="81" t="str">
        <f>VLOOKUP(B218,TH.Q2!B120:E451,4,FALSE)</f>
        <v>Giảng viên khoa Cơ khí</v>
      </c>
      <c r="F218" s="1040">
        <v>3</v>
      </c>
      <c r="G218" s="1049"/>
      <c r="H218" s="1248">
        <f t="shared" ref="H218:H281" si="24">ROUND(F218*G218,3)</f>
        <v>0</v>
      </c>
      <c r="I218" s="1020"/>
      <c r="J218" s="1020" t="str">
        <f>VLOOKUP(B218,'[27]Gui chi Quynh'!$B$11:$E$396,4,FALSE)</f>
        <v>A3</v>
      </c>
      <c r="K218" s="1020">
        <f t="shared" ref="K218:K281" si="25">IF(J218="A1",0.8,IF(J218="A2",0.7,IF(J218="A3",0.6,IF(J218="A4",0.5,IF(J218="B1",0.35,IF(J218="B2",0.25,IF(J218="C1",0.15,IF(J218="C2",0.1,0))))))))</f>
        <v>0.6</v>
      </c>
      <c r="L218" s="1021">
        <v>20</v>
      </c>
      <c r="M218" s="1021">
        <f>VLOOKUP(B218,'[28]CN BC'!$H$10:$J$275,3,FALSE)</f>
        <v>21</v>
      </c>
      <c r="N218" s="1021">
        <f t="shared" si="22"/>
        <v>20</v>
      </c>
      <c r="O218" s="1022"/>
      <c r="P218" s="1023">
        <f t="shared" si="23"/>
        <v>4212000</v>
      </c>
      <c r="Q218" s="1477">
        <f t="shared" ref="Q218:Q281" si="26">P218/R218</f>
        <v>1.8</v>
      </c>
      <c r="R218" s="1429">
        <v>2340000</v>
      </c>
      <c r="S218" s="1478">
        <f t="shared" ref="S218:S281" si="27">Q218*R218</f>
        <v>4212000</v>
      </c>
      <c r="T218" s="1024">
        <f t="shared" si="21"/>
        <v>194</v>
      </c>
      <c r="U218" s="1025">
        <f>IFERROR(INDEX('[28]CN BC'!$M$10:$M$276,MATCH(B218,'[28]CN BC'!$H$10:$H$276,0)),"")</f>
        <v>0</v>
      </c>
      <c r="V218" s="1011" t="str">
        <f>VLOOKUP(B218,TH.T4!B215:AC545,28,FALSE)</f>
        <v>CK</v>
      </c>
      <c r="W218" s="1012"/>
      <c r="X218" s="1012"/>
      <c r="Y218" s="1027"/>
      <c r="Z218" s="1012"/>
      <c r="AA218" s="1012"/>
      <c r="AB218" s="1012"/>
      <c r="AC218" s="1012"/>
      <c r="AD218" s="1012"/>
      <c r="AE218" s="1012"/>
    </row>
    <row r="219" spans="1:35" s="1028" customFormat="1" ht="24.75" customHeight="1">
      <c r="A219" s="1014">
        <f>_xlfn.AGGREGATE(4,7,A$24:A218)+1</f>
        <v>195</v>
      </c>
      <c r="B219" s="1015" t="s">
        <v>1835</v>
      </c>
      <c r="C219" s="1033" t="s">
        <v>1970</v>
      </c>
      <c r="D219" s="1108" t="s">
        <v>1969</v>
      </c>
      <c r="E219" s="81" t="str">
        <f>VLOOKUP(B219,TH.Q2!B121:E452,4,FALSE)</f>
        <v>Giảng viên khoa Cơ khí</v>
      </c>
      <c r="F219" s="1040">
        <v>3</v>
      </c>
      <c r="G219" s="1049"/>
      <c r="H219" s="1248">
        <f t="shared" si="24"/>
        <v>0</v>
      </c>
      <c r="I219" s="1020"/>
      <c r="J219" s="1020" t="str">
        <f>VLOOKUP(B219,'[27]Gui chi Quynh'!$B$11:$E$396,4,FALSE)</f>
        <v>A3</v>
      </c>
      <c r="K219" s="1020">
        <f t="shared" si="25"/>
        <v>0.6</v>
      </c>
      <c r="L219" s="1021">
        <v>20</v>
      </c>
      <c r="M219" s="1021">
        <f>VLOOKUP(B219,'[28]CN BC'!$H$10:$J$275,3,FALSE)</f>
        <v>20</v>
      </c>
      <c r="N219" s="1021">
        <f t="shared" si="22"/>
        <v>20</v>
      </c>
      <c r="O219" s="1022"/>
      <c r="P219" s="1023">
        <f t="shared" si="23"/>
        <v>4212000</v>
      </c>
      <c r="Q219" s="1477">
        <f t="shared" si="26"/>
        <v>1.8</v>
      </c>
      <c r="R219" s="1429">
        <v>2340000</v>
      </c>
      <c r="S219" s="1478">
        <f t="shared" si="27"/>
        <v>4212000</v>
      </c>
      <c r="T219" s="1024">
        <f t="shared" si="21"/>
        <v>195</v>
      </c>
      <c r="U219" s="1025">
        <f>IFERROR(INDEX('[28]CN BC'!$M$10:$M$276,MATCH(B219,'[28]CN BC'!$H$10:$H$276,0)),"")</f>
        <v>0</v>
      </c>
      <c r="V219" s="1011" t="str">
        <f>VLOOKUP(B219,TH.T4!B216:AC546,28,FALSE)</f>
        <v>CK</v>
      </c>
      <c r="W219" s="1012"/>
      <c r="X219" s="1012"/>
      <c r="Y219" s="1027"/>
      <c r="Z219" s="1012"/>
      <c r="AA219" s="1012"/>
      <c r="AB219" s="1012"/>
      <c r="AC219" s="1012"/>
      <c r="AD219" s="1012"/>
      <c r="AE219" s="1012"/>
    </row>
    <row r="220" spans="1:35" s="1028" customFormat="1" ht="29.25" customHeight="1">
      <c r="A220" s="1014">
        <f>_xlfn.AGGREGATE(4,7,A$24:A219)+1</f>
        <v>196</v>
      </c>
      <c r="B220" s="1015" t="s">
        <v>1897</v>
      </c>
      <c r="C220" s="1033" t="s">
        <v>1670</v>
      </c>
      <c r="D220" s="1034" t="s">
        <v>1286</v>
      </c>
      <c r="E220" s="81" t="str">
        <f>VLOOKUP(B220,TH.Q2!B122:E453,4,FALSE)</f>
        <v>Giảng viên khoa Cơ khí</v>
      </c>
      <c r="F220" s="1018">
        <v>4.9800000000000004</v>
      </c>
      <c r="G220" s="1019">
        <v>0.12</v>
      </c>
      <c r="H220" s="1248">
        <f t="shared" si="24"/>
        <v>0.59799999999999998</v>
      </c>
      <c r="I220" s="1020"/>
      <c r="J220" s="1020" t="str">
        <f>VLOOKUP(B220,'[27]Gui chi Quynh'!$B$11:$E$396,4,FALSE)</f>
        <v>A4</v>
      </c>
      <c r="K220" s="1020">
        <f t="shared" si="25"/>
        <v>0.5</v>
      </c>
      <c r="L220" s="1021">
        <v>20</v>
      </c>
      <c r="M220" s="1021">
        <f>VLOOKUP(B220,'[28]CN BC'!$H$10:$J$275,3,FALSE)</f>
        <v>20</v>
      </c>
      <c r="N220" s="1021">
        <f t="shared" si="22"/>
        <v>20</v>
      </c>
      <c r="O220" s="1022"/>
      <c r="P220" s="1023">
        <f t="shared" si="23"/>
        <v>6526260</v>
      </c>
      <c r="Q220" s="1477">
        <f t="shared" si="26"/>
        <v>2.7890000000000001</v>
      </c>
      <c r="R220" s="1429">
        <v>2340000</v>
      </c>
      <c r="S220" s="1478">
        <f t="shared" si="27"/>
        <v>6526260</v>
      </c>
      <c r="T220" s="1024">
        <f t="shared" si="21"/>
        <v>196</v>
      </c>
      <c r="U220" s="1025">
        <f>IFERROR(INDEX('[28]CN BC'!$M$10:$M$276,MATCH(B220,'[28]CN BC'!$H$10:$H$276,0)),"")</f>
        <v>0</v>
      </c>
      <c r="V220" s="1011" t="str">
        <f>VLOOKUP(B220,TH.T4!B217:AC547,28,FALSE)</f>
        <v>CK</v>
      </c>
      <c r="Y220" s="1038"/>
    </row>
    <row r="221" spans="1:35" s="1028" customFormat="1" ht="25.5" customHeight="1">
      <c r="A221" s="1014">
        <f>_xlfn.AGGREGATE(4,7,A$24:A220)+1</f>
        <v>197</v>
      </c>
      <c r="B221" s="1015" t="s">
        <v>1840</v>
      </c>
      <c r="C221" s="1033" t="s">
        <v>1971</v>
      </c>
      <c r="D221" s="1039">
        <v>1603205596180</v>
      </c>
      <c r="E221" s="81" t="str">
        <f>VLOOKUP(B221,TH.Q2!B123:E454,4,FALSE)</f>
        <v>Giảng viên khoa Cơ khí</v>
      </c>
      <c r="F221" s="1018">
        <v>2.67</v>
      </c>
      <c r="G221" s="1019"/>
      <c r="H221" s="1248">
        <f t="shared" si="24"/>
        <v>0</v>
      </c>
      <c r="I221" s="1020"/>
      <c r="J221" s="1020" t="str">
        <f>VLOOKUP(B221,'[27]Gui chi Quynh'!$B$11:$E$396,4,FALSE)</f>
        <v>A3</v>
      </c>
      <c r="K221" s="1020">
        <f t="shared" si="25"/>
        <v>0.6</v>
      </c>
      <c r="L221" s="1021">
        <v>20</v>
      </c>
      <c r="M221" s="1021">
        <f>VLOOKUP(B221,'[28]CN BC'!$H$10:$J$275,3,FALSE)</f>
        <v>20</v>
      </c>
      <c r="N221" s="1021">
        <f t="shared" si="22"/>
        <v>20</v>
      </c>
      <c r="O221" s="1022"/>
      <c r="P221" s="1023">
        <f t="shared" si="23"/>
        <v>3748680</v>
      </c>
      <c r="Q221" s="1477">
        <f t="shared" si="26"/>
        <v>1.6020000000000001</v>
      </c>
      <c r="R221" s="1429">
        <v>2340000</v>
      </c>
      <c r="S221" s="1478">
        <f t="shared" si="27"/>
        <v>3748680</v>
      </c>
      <c r="T221" s="1024">
        <f t="shared" si="21"/>
        <v>197</v>
      </c>
      <c r="U221" s="1025">
        <f>IFERROR(INDEX('[28]CN BC'!$M$10:$M$276,MATCH(B221,'[28]CN BC'!$H$10:$H$276,0)),"")</f>
        <v>0</v>
      </c>
      <c r="V221" s="1011" t="str">
        <f>VLOOKUP(B221,TH.T4!B218:AC548,28,FALSE)</f>
        <v>CK</v>
      </c>
      <c r="W221" s="1012"/>
      <c r="X221" s="1012"/>
      <c r="Y221" s="1027"/>
      <c r="Z221" s="1012"/>
      <c r="AA221" s="1012"/>
      <c r="AB221" s="1012"/>
      <c r="AC221" s="1012"/>
      <c r="AD221" s="1012"/>
      <c r="AE221" s="1012"/>
    </row>
    <row r="222" spans="1:35" s="1028" customFormat="1" ht="24.75" customHeight="1">
      <c r="A222" s="1014">
        <f>_xlfn.AGGREGATE(4,7,A$24:A221)+1</f>
        <v>198</v>
      </c>
      <c r="B222" s="1015" t="s">
        <v>1943</v>
      </c>
      <c r="C222" s="1033" t="s">
        <v>1972</v>
      </c>
      <c r="D222" s="1034"/>
      <c r="E222" s="81" t="str">
        <f>VLOOKUP(B222,TH.Q2!B124:E455,4,FALSE)</f>
        <v>Giảng viên khoa Cơ khí</v>
      </c>
      <c r="F222" s="1040">
        <v>3</v>
      </c>
      <c r="G222" s="1019"/>
      <c r="H222" s="1248">
        <f t="shared" si="24"/>
        <v>0</v>
      </c>
      <c r="I222" s="1020"/>
      <c r="J222" s="1020" t="str">
        <f>VLOOKUP(B222,'[27]Gui chi Quynh'!$B$11:$E$396,4,FALSE)</f>
        <v>A3</v>
      </c>
      <c r="K222" s="1020">
        <f t="shared" si="25"/>
        <v>0.6</v>
      </c>
      <c r="L222" s="1021">
        <v>20</v>
      </c>
      <c r="M222" s="1021">
        <f>VLOOKUP(B222,'[28]CN BC'!$H$10:$J$275,3,FALSE)</f>
        <v>21</v>
      </c>
      <c r="N222" s="1021">
        <f t="shared" si="22"/>
        <v>20</v>
      </c>
      <c r="O222" s="1022"/>
      <c r="P222" s="1023">
        <f t="shared" si="23"/>
        <v>4212000</v>
      </c>
      <c r="Q222" s="1477">
        <f t="shared" si="26"/>
        <v>1.8</v>
      </c>
      <c r="R222" s="1429">
        <v>2340000</v>
      </c>
      <c r="S222" s="1478">
        <f t="shared" si="27"/>
        <v>4212000</v>
      </c>
      <c r="T222" s="1024">
        <f t="shared" si="21"/>
        <v>198</v>
      </c>
      <c r="U222" s="1025">
        <f>IFERROR(INDEX('[28]CN BC'!$M$10:$M$276,MATCH(B222,'[28]CN BC'!$H$10:$H$276,0)),"")</f>
        <v>0</v>
      </c>
      <c r="V222" s="1011" t="str">
        <f>VLOOKUP(B222,TH.T4!B219:AC549,28,FALSE)</f>
        <v>CK</v>
      </c>
      <c r="W222" s="1012"/>
      <c r="X222" s="1012"/>
      <c r="Y222" s="1038"/>
    </row>
    <row r="223" spans="1:35" s="1028" customFormat="1" ht="26.25" customHeight="1">
      <c r="A223" s="1014">
        <f>_xlfn.AGGREGATE(4,7,A$24:A222)+1</f>
        <v>199</v>
      </c>
      <c r="B223" s="1015" t="s">
        <v>1994</v>
      </c>
      <c r="C223" s="1033"/>
      <c r="D223" s="1034"/>
      <c r="E223" s="81" t="str">
        <f>VLOOKUP(B223,TH.Q2!B125:E456,4,FALSE)</f>
        <v>Giảng viên khoa Cơ khí</v>
      </c>
      <c r="F223" s="1018">
        <v>4.32</v>
      </c>
      <c r="G223" s="1019"/>
      <c r="H223" s="1248">
        <f t="shared" si="24"/>
        <v>0</v>
      </c>
      <c r="I223" s="1020"/>
      <c r="J223" s="1020" t="str">
        <f>VLOOKUP(B223,'[27]Gui chi Quynh'!$B$11:$E$396,4,FALSE)</f>
        <v>A4</v>
      </c>
      <c r="K223" s="1020">
        <f t="shared" si="25"/>
        <v>0.5</v>
      </c>
      <c r="L223" s="1021">
        <v>20</v>
      </c>
      <c r="M223" s="1021">
        <f>VLOOKUP(B223,'[28]CN BC'!$H$10:$J$275,3,FALSE)</f>
        <v>21</v>
      </c>
      <c r="N223" s="1021">
        <f t="shared" si="22"/>
        <v>20</v>
      </c>
      <c r="O223" s="1022"/>
      <c r="P223" s="1023">
        <f t="shared" si="23"/>
        <v>5054400</v>
      </c>
      <c r="Q223" s="1477">
        <f t="shared" si="26"/>
        <v>2.16</v>
      </c>
      <c r="R223" s="1429">
        <v>2340000</v>
      </c>
      <c r="S223" s="1478">
        <f t="shared" si="27"/>
        <v>5054400</v>
      </c>
      <c r="T223" s="1024">
        <f t="shared" si="21"/>
        <v>199</v>
      </c>
      <c r="U223" s="1025">
        <f>IFERROR(INDEX('[28]CN BC'!$M$10:$M$276,MATCH(B223,'[28]CN BC'!$H$10:$H$276,0)),"")</f>
        <v>0</v>
      </c>
      <c r="V223" s="1011" t="str">
        <f>VLOOKUP(B223,TH.T4!B220:AC550,28,FALSE)</f>
        <v>CK</v>
      </c>
      <c r="W223" s="1012"/>
      <c r="X223" s="1012"/>
      <c r="Y223" s="1027"/>
      <c r="Z223" s="1012"/>
      <c r="AA223" s="1012"/>
      <c r="AB223" s="1012"/>
      <c r="AC223" s="1012"/>
      <c r="AD223" s="1012"/>
      <c r="AE223" s="1012"/>
    </row>
    <row r="224" spans="1:35" s="1028" customFormat="1" ht="25.5" customHeight="1">
      <c r="A224" s="1014">
        <f>_xlfn.AGGREGATE(4,7,A$24:A223)+1</f>
        <v>200</v>
      </c>
      <c r="B224" s="1015" t="s">
        <v>2000</v>
      </c>
      <c r="C224" s="1033"/>
      <c r="D224" s="1034"/>
      <c r="E224" s="81" t="str">
        <f>VLOOKUP(B224,TH.Q2!B126:E457,4,FALSE)</f>
        <v>Giảng viên khoa Cơ khí</v>
      </c>
      <c r="F224" s="1018">
        <v>2.67</v>
      </c>
      <c r="G224" s="1019"/>
      <c r="H224" s="1248">
        <f t="shared" si="24"/>
        <v>0</v>
      </c>
      <c r="I224" s="1020"/>
      <c r="J224" s="1020" t="str">
        <f>VLOOKUP(B224,'[27]Gui chi Quynh'!$B$11:$E$396,4,FALSE)</f>
        <v>A3</v>
      </c>
      <c r="K224" s="1020">
        <f t="shared" si="25"/>
        <v>0.6</v>
      </c>
      <c r="L224" s="1021">
        <v>20</v>
      </c>
      <c r="M224" s="1021">
        <f>VLOOKUP(B224,'[28]CN BC'!$H$10:$J$275,3,FALSE)</f>
        <v>21</v>
      </c>
      <c r="N224" s="1021">
        <f t="shared" si="22"/>
        <v>20</v>
      </c>
      <c r="O224" s="1022"/>
      <c r="P224" s="1023">
        <f t="shared" si="23"/>
        <v>3748680</v>
      </c>
      <c r="Q224" s="1477">
        <f t="shared" si="26"/>
        <v>1.6020000000000001</v>
      </c>
      <c r="R224" s="1429">
        <v>2340000</v>
      </c>
      <c r="S224" s="1478">
        <f t="shared" si="27"/>
        <v>3748680</v>
      </c>
      <c r="T224" s="1024">
        <f t="shared" si="21"/>
        <v>200</v>
      </c>
      <c r="U224" s="1025">
        <f>IFERROR(INDEX('[28]CN BC'!$M$10:$M$276,MATCH(B224,'[28]CN BC'!$H$10:$H$276,0)),"")</f>
        <v>0</v>
      </c>
      <c r="V224" s="1011" t="str">
        <f>VLOOKUP(B224,TH.T4!B221:AC551,28,FALSE)</f>
        <v>CK</v>
      </c>
      <c r="W224" s="1012"/>
      <c r="X224" s="1012"/>
      <c r="Y224" s="1038"/>
    </row>
    <row r="225" spans="1:35" s="1028" customFormat="1" ht="27" customHeight="1">
      <c r="A225" s="1014">
        <f>_xlfn.AGGREGATE(4,7,A$24:A224)+1</f>
        <v>201</v>
      </c>
      <c r="B225" s="1015" t="s">
        <v>1855</v>
      </c>
      <c r="C225" s="1033" t="s">
        <v>1651</v>
      </c>
      <c r="D225" s="1034" t="s">
        <v>1292</v>
      </c>
      <c r="E225" s="81" t="str">
        <f>VLOOKUP(B225,TH.Q2!B127:E458,4,FALSE)</f>
        <v>Giảng viên khoa Cơ khí</v>
      </c>
      <c r="F225" s="1018">
        <v>4.9800000000000004</v>
      </c>
      <c r="G225" s="1019">
        <v>7.0000000000000007E-2</v>
      </c>
      <c r="H225" s="1248">
        <f t="shared" si="24"/>
        <v>0.34899999999999998</v>
      </c>
      <c r="I225" s="1020">
        <v>0.35</v>
      </c>
      <c r="J225" s="1020" t="str">
        <f>VLOOKUP(B225,'[27]Gui chi Quynh'!$B$11:$E$396,4,FALSE)</f>
        <v>A3</v>
      </c>
      <c r="K225" s="1020">
        <f t="shared" si="25"/>
        <v>0.6</v>
      </c>
      <c r="L225" s="1021">
        <v>20</v>
      </c>
      <c r="M225" s="1021">
        <f>VLOOKUP(B225,'[28]CN BC'!$H$10:$J$275,3,FALSE)</f>
        <v>20</v>
      </c>
      <c r="N225" s="1021">
        <f t="shared" si="22"/>
        <v>20</v>
      </c>
      <c r="O225" s="1022"/>
      <c r="P225" s="1023">
        <f t="shared" si="23"/>
        <v>7973316</v>
      </c>
      <c r="Q225" s="1477">
        <f t="shared" si="26"/>
        <v>3.4074</v>
      </c>
      <c r="R225" s="1429">
        <v>2340000</v>
      </c>
      <c r="S225" s="1478">
        <f t="shared" si="27"/>
        <v>7973316</v>
      </c>
      <c r="T225" s="1024">
        <f t="shared" si="21"/>
        <v>201</v>
      </c>
      <c r="U225" s="1025">
        <f>IFERROR(INDEX('[28]CN BC'!$M$10:$M$276,MATCH(B225,'[28]CN BC'!$H$10:$H$276,0)),"")</f>
        <v>0</v>
      </c>
      <c r="V225" s="1011" t="str">
        <f>VLOOKUP(B225,TH.T4!B222:AC552,28,FALSE)</f>
        <v>CK</v>
      </c>
      <c r="W225" s="1012"/>
      <c r="X225" s="1012"/>
      <c r="Y225" s="1027"/>
    </row>
    <row r="226" spans="1:35" s="1012" customFormat="1" ht="33.75" customHeight="1">
      <c r="A226" s="1014">
        <f>_xlfn.AGGREGATE(4,7,A$24:A225)+1</f>
        <v>202</v>
      </c>
      <c r="B226" s="1050" t="s">
        <v>1898</v>
      </c>
      <c r="C226" s="1029" t="s">
        <v>1781</v>
      </c>
      <c r="D226" s="1051" t="s">
        <v>1386</v>
      </c>
      <c r="E226" s="81" t="str">
        <f>VLOOKUP(B226,TH.Q2!B128:E459,4,FALSE)</f>
        <v>Trưởng khoa Điện - Điện tử</v>
      </c>
      <c r="F226" s="1052">
        <v>4.6500000000000004</v>
      </c>
      <c r="G226" s="1053"/>
      <c r="H226" s="1248">
        <f t="shared" si="24"/>
        <v>0</v>
      </c>
      <c r="I226" s="1020">
        <v>0.45</v>
      </c>
      <c r="J226" s="1020" t="str">
        <f>VLOOKUP(B226,'[27]Gui chi Quynh'!$B$11:$E$396,4,FALSE)</f>
        <v>A1</v>
      </c>
      <c r="K226" s="1020">
        <f t="shared" si="25"/>
        <v>0.8</v>
      </c>
      <c r="L226" s="1021">
        <v>20</v>
      </c>
      <c r="M226" s="1021">
        <f>VLOOKUP(B226,'[28]CN BC'!$H$10:$J$275,3,FALSE)</f>
        <v>20</v>
      </c>
      <c r="N226" s="1021">
        <f t="shared" si="22"/>
        <v>20</v>
      </c>
      <c r="O226" s="1022"/>
      <c r="P226" s="1023">
        <f t="shared" si="23"/>
        <v>9547200.0000000019</v>
      </c>
      <c r="Q226" s="1477">
        <f t="shared" si="26"/>
        <v>4.080000000000001</v>
      </c>
      <c r="R226" s="1429">
        <v>2340000</v>
      </c>
      <c r="S226" s="1478">
        <f t="shared" si="27"/>
        <v>9547200.0000000019</v>
      </c>
      <c r="T226" s="1024">
        <f t="shared" si="21"/>
        <v>202</v>
      </c>
      <c r="U226" s="1025">
        <f>IFERROR(INDEX('[28]CN BC'!$M$10:$M$276,MATCH(B226,'[28]CN BC'!$H$10:$H$276,0)),"")</f>
        <v>0</v>
      </c>
      <c r="V226" s="1011" t="str">
        <f>VLOOKUP(B226,TH.T4!B223:AC553,28,FALSE)</f>
        <v>Đ-ĐT</v>
      </c>
      <c r="Y226" s="1027"/>
    </row>
    <row r="227" spans="1:35" s="1028" customFormat="1" ht="33.75" customHeight="1">
      <c r="A227" s="1014">
        <f>_xlfn.AGGREGATE(4,7,A$24:A226)+1</f>
        <v>203</v>
      </c>
      <c r="B227" s="1015" t="s">
        <v>526</v>
      </c>
      <c r="C227" s="1029" t="s">
        <v>1646</v>
      </c>
      <c r="D227" s="1034" t="s">
        <v>1398</v>
      </c>
      <c r="E227" s="81" t="str">
        <f>VLOOKUP(B227,TH.Q2!B129:E460,4,FALSE)</f>
        <v>Phó Trưởng khoa Điện - Điện tử</v>
      </c>
      <c r="F227" s="1018">
        <v>4.9800000000000004</v>
      </c>
      <c r="G227" s="1019">
        <v>0.17</v>
      </c>
      <c r="H227" s="1248">
        <f t="shared" si="24"/>
        <v>0.84699999999999998</v>
      </c>
      <c r="I227" s="1020">
        <f>0.35</f>
        <v>0.35</v>
      </c>
      <c r="J227" s="1020" t="str">
        <f>VLOOKUP(B227,'[27]Gui chi Quynh'!$B$11:$E$396,4,FALSE)</f>
        <v>A1</v>
      </c>
      <c r="K227" s="1020">
        <f t="shared" si="25"/>
        <v>0.8</v>
      </c>
      <c r="L227" s="1021">
        <v>20</v>
      </c>
      <c r="M227" s="1021">
        <f>VLOOKUP(B227,'[28]CN BC'!$H$10:$J$275,3,FALSE)</f>
        <v>20</v>
      </c>
      <c r="N227" s="1021">
        <f t="shared" si="22"/>
        <v>20</v>
      </c>
      <c r="O227" s="1022"/>
      <c r="P227" s="1023">
        <f t="shared" si="23"/>
        <v>11563344</v>
      </c>
      <c r="Q227" s="1477">
        <f t="shared" si="26"/>
        <v>4.9416000000000002</v>
      </c>
      <c r="R227" s="1429">
        <v>2340000</v>
      </c>
      <c r="S227" s="1478">
        <f t="shared" si="27"/>
        <v>11563344</v>
      </c>
      <c r="T227" s="1024">
        <f t="shared" si="21"/>
        <v>203</v>
      </c>
      <c r="U227" s="1025">
        <f>IFERROR(INDEX('[28]CN BC'!$M$10:$M$276,MATCH(B227,'[28]CN BC'!$H$10:$H$276,0)),"")</f>
        <v>0</v>
      </c>
      <c r="V227" s="1011" t="str">
        <f>VLOOKUP(B227,TH.T4!B224:AC554,28,FALSE)</f>
        <v>Đ-ĐT</v>
      </c>
      <c r="W227" s="1012"/>
      <c r="X227" s="1012"/>
      <c r="Y227" s="1027"/>
      <c r="Z227" s="1012"/>
      <c r="AA227" s="1012"/>
      <c r="AB227" s="1012"/>
      <c r="AC227" s="1012"/>
      <c r="AD227" s="1012"/>
      <c r="AE227" s="1012"/>
      <c r="AF227" s="1012"/>
      <c r="AG227" s="1012"/>
      <c r="AH227" s="1012"/>
      <c r="AI227" s="1012"/>
    </row>
    <row r="228" spans="1:35" s="1028" customFormat="1" ht="33.75" customHeight="1">
      <c r="A228" s="1014">
        <f>_xlfn.AGGREGATE(4,7,A$24:A227)+1</f>
        <v>204</v>
      </c>
      <c r="B228" s="1015" t="s">
        <v>1899</v>
      </c>
      <c r="C228" s="1033" t="s">
        <v>1778</v>
      </c>
      <c r="D228" s="1034" t="s">
        <v>1381</v>
      </c>
      <c r="E228" s="368" t="str">
        <f>VLOOKUP(B228,TH.Q2!B130:E461,4,FALSE)</f>
        <v>Giảng viên khoa Điện - Điện tử</v>
      </c>
      <c r="F228" s="1018">
        <v>4.9800000000000004</v>
      </c>
      <c r="G228" s="1019">
        <v>7.0000000000000007E-2</v>
      </c>
      <c r="H228" s="1255">
        <f t="shared" si="24"/>
        <v>0.34899999999999998</v>
      </c>
      <c r="I228" s="1020"/>
      <c r="J228" s="1020" t="str">
        <f>VLOOKUP(B228,'[27]Gui chi Quynh'!$B$11:$E$396,4,FALSE)</f>
        <v>A3</v>
      </c>
      <c r="K228" s="1020">
        <f t="shared" si="25"/>
        <v>0.6</v>
      </c>
      <c r="L228" s="1021">
        <v>20</v>
      </c>
      <c r="M228" s="1021">
        <f>VLOOKUP(B228,'[28]CN BC'!$H$10:$J$275,3,FALSE)</f>
        <v>20</v>
      </c>
      <c r="N228" s="1021">
        <f t="shared" si="22"/>
        <v>20</v>
      </c>
      <c r="O228" s="1035"/>
      <c r="P228" s="1023">
        <f t="shared" si="23"/>
        <v>7481916.0000000009</v>
      </c>
      <c r="Q228" s="1477">
        <f t="shared" si="26"/>
        <v>3.1974000000000005</v>
      </c>
      <c r="R228" s="1429">
        <v>2340000</v>
      </c>
      <c r="S228" s="1478">
        <f t="shared" si="27"/>
        <v>7481916.0000000009</v>
      </c>
      <c r="T228" s="1024">
        <f t="shared" ref="T228:T291" si="28">A228</f>
        <v>204</v>
      </c>
      <c r="U228" s="1025">
        <f>IFERROR(INDEX('[28]CN BC'!$M$10:$M$276,MATCH(B228,'[28]CN BC'!$H$10:$H$276,0)),"")</f>
        <v>0</v>
      </c>
      <c r="V228" s="1067" t="str">
        <f>VLOOKUP(B228,TH.T4!B225:AC555,28,FALSE)</f>
        <v>Đ-ĐT</v>
      </c>
      <c r="Y228" s="1038"/>
    </row>
    <row r="229" spans="1:35" s="1028" customFormat="1" ht="33.75" customHeight="1">
      <c r="A229" s="1014">
        <f>_xlfn.AGGREGATE(4,7,A$24:A228)+1</f>
        <v>205</v>
      </c>
      <c r="B229" s="1015" t="s">
        <v>461</v>
      </c>
      <c r="C229" s="1033" t="s">
        <v>1779</v>
      </c>
      <c r="D229" s="1034" t="s">
        <v>1384</v>
      </c>
      <c r="E229" s="368" t="str">
        <f>VLOOKUP(B229,TH.Q2!B131:E462,4,FALSE)</f>
        <v>Giảng viên khoa Điện - Điện tử</v>
      </c>
      <c r="F229" s="1018">
        <v>4.9800000000000004</v>
      </c>
      <c r="G229" s="1019">
        <v>7.0000000000000007E-2</v>
      </c>
      <c r="H229" s="1255">
        <f t="shared" si="24"/>
        <v>0.34899999999999998</v>
      </c>
      <c r="I229" s="1020"/>
      <c r="J229" s="1020" t="str">
        <f>VLOOKUP(B229,'[27]Gui chi Quynh'!$B$11:$E$396,4,FALSE)</f>
        <v>A3</v>
      </c>
      <c r="K229" s="1020">
        <f t="shared" si="25"/>
        <v>0.6</v>
      </c>
      <c r="L229" s="1021">
        <v>20</v>
      </c>
      <c r="M229" s="1021">
        <f>VLOOKUP(B229,'[28]CN BC'!$H$10:$J$275,3,FALSE)</f>
        <v>20</v>
      </c>
      <c r="N229" s="1021">
        <f t="shared" si="22"/>
        <v>20</v>
      </c>
      <c r="O229" s="1035"/>
      <c r="P229" s="1023">
        <f t="shared" si="23"/>
        <v>7481916.0000000009</v>
      </c>
      <c r="Q229" s="1477">
        <f t="shared" si="26"/>
        <v>3.1974000000000005</v>
      </c>
      <c r="R229" s="1429">
        <v>2340000</v>
      </c>
      <c r="S229" s="1478">
        <f t="shared" si="27"/>
        <v>7481916.0000000009</v>
      </c>
      <c r="T229" s="1024">
        <f t="shared" si="28"/>
        <v>205</v>
      </c>
      <c r="U229" s="1025">
        <f>IFERROR(INDEX('[28]CN BC'!$M$10:$M$276,MATCH(B229,'[28]CN BC'!$H$10:$H$276,0)),"")</f>
        <v>0</v>
      </c>
      <c r="V229" s="1067" t="str">
        <f>VLOOKUP(B229,TH.T4!B226:AC556,28,FALSE)</f>
        <v>Đ-ĐT</v>
      </c>
      <c r="Y229" s="1038"/>
    </row>
    <row r="230" spans="1:35" s="1028" customFormat="1" ht="33.75" customHeight="1">
      <c r="A230" s="1014">
        <f>_xlfn.AGGREGATE(4,7,A$24:A229)+1</f>
        <v>206</v>
      </c>
      <c r="B230" s="1015" t="s">
        <v>1900</v>
      </c>
      <c r="C230" s="1033" t="s">
        <v>1780</v>
      </c>
      <c r="D230" s="1034" t="s">
        <v>1385</v>
      </c>
      <c r="E230" s="368" t="str">
        <f>VLOOKUP(B230,TH.Q2!B132:E463,4,FALSE)</f>
        <v>Giảng viên khoa Điện - Điện tử</v>
      </c>
      <c r="F230" s="1018">
        <v>4.9800000000000004</v>
      </c>
      <c r="G230" s="1019"/>
      <c r="H230" s="1255">
        <f t="shared" si="24"/>
        <v>0</v>
      </c>
      <c r="I230" s="1020"/>
      <c r="J230" s="1020" t="str">
        <f>VLOOKUP(B230,'[27]Gui chi Quynh'!$B$11:$E$396,4,FALSE)</f>
        <v>A3</v>
      </c>
      <c r="K230" s="1020">
        <f t="shared" si="25"/>
        <v>0.6</v>
      </c>
      <c r="L230" s="1021">
        <v>20</v>
      </c>
      <c r="M230" s="1021">
        <f>VLOOKUP(B230,'[28]CN BC'!$H$10:$J$275,3,FALSE)</f>
        <v>20</v>
      </c>
      <c r="N230" s="1021">
        <f t="shared" si="22"/>
        <v>20</v>
      </c>
      <c r="O230" s="1035"/>
      <c r="P230" s="1023">
        <f t="shared" si="23"/>
        <v>6991920.0000000009</v>
      </c>
      <c r="Q230" s="1477">
        <f t="shared" si="26"/>
        <v>2.9880000000000004</v>
      </c>
      <c r="R230" s="1429">
        <v>2340000</v>
      </c>
      <c r="S230" s="1478">
        <f t="shared" si="27"/>
        <v>6991920.0000000009</v>
      </c>
      <c r="T230" s="1024">
        <f t="shared" si="28"/>
        <v>206</v>
      </c>
      <c r="U230" s="1025">
        <f>IFERROR(INDEX('[28]CN BC'!$M$10:$M$276,MATCH(B230,'[28]CN BC'!$H$10:$H$276,0)),"")</f>
        <v>0</v>
      </c>
      <c r="V230" s="1067" t="str">
        <f>VLOOKUP(B230,TH.T4!B227:AC557,28,FALSE)</f>
        <v>Đ-ĐT</v>
      </c>
      <c r="Y230" s="1038"/>
    </row>
    <row r="231" spans="1:35" s="1028" customFormat="1" ht="33.75" customHeight="1">
      <c r="A231" s="1014">
        <f>_xlfn.AGGREGATE(4,7,A$24:A230)+1</f>
        <v>207</v>
      </c>
      <c r="B231" s="1015" t="s">
        <v>1901</v>
      </c>
      <c r="C231" s="1033" t="s">
        <v>1782</v>
      </c>
      <c r="D231" s="1034" t="s">
        <v>1387</v>
      </c>
      <c r="E231" s="368" t="str">
        <f>VLOOKUP(B231,TH.Q2!B133:E464,4,FALSE)</f>
        <v>Giảng viên khoa Điện - Điện tử</v>
      </c>
      <c r="F231" s="1018">
        <v>4.32</v>
      </c>
      <c r="G231" s="1019"/>
      <c r="H231" s="1255">
        <f t="shared" si="24"/>
        <v>0</v>
      </c>
      <c r="I231" s="1020"/>
      <c r="J231" s="1020" t="str">
        <f>VLOOKUP(B231,'[27]Gui chi Quynh'!$B$11:$E$396,4,FALSE)</f>
        <v>A3</v>
      </c>
      <c r="K231" s="1020">
        <f t="shared" si="25"/>
        <v>0.6</v>
      </c>
      <c r="L231" s="1021">
        <v>20</v>
      </c>
      <c r="M231" s="1021">
        <f>VLOOKUP(B231,'[28]CN BC'!$H$10:$J$275,3,FALSE)</f>
        <v>20</v>
      </c>
      <c r="N231" s="1021">
        <f t="shared" si="22"/>
        <v>20</v>
      </c>
      <c r="O231" s="1035"/>
      <c r="P231" s="1023">
        <f t="shared" si="23"/>
        <v>6065280</v>
      </c>
      <c r="Q231" s="1477">
        <f t="shared" si="26"/>
        <v>2.5920000000000001</v>
      </c>
      <c r="R231" s="1429">
        <v>2340000</v>
      </c>
      <c r="S231" s="1478">
        <f t="shared" si="27"/>
        <v>6065280</v>
      </c>
      <c r="T231" s="1024">
        <f t="shared" si="28"/>
        <v>207</v>
      </c>
      <c r="U231" s="1025">
        <f>IFERROR(INDEX('[28]CN BC'!$M$10:$M$276,MATCH(B231,'[28]CN BC'!$H$10:$H$276,0)),"")</f>
        <v>0</v>
      </c>
      <c r="V231" s="1067" t="str">
        <f>VLOOKUP(B231,TH.T4!B228:AC558,28,FALSE)</f>
        <v>Đ-ĐT</v>
      </c>
      <c r="Y231" s="1038"/>
    </row>
    <row r="232" spans="1:35" s="1028" customFormat="1" ht="33.75" customHeight="1">
      <c r="A232" s="1014">
        <f>_xlfn.AGGREGATE(4,7,A$24:A231)+1</f>
        <v>208</v>
      </c>
      <c r="B232" s="1015" t="s">
        <v>1534</v>
      </c>
      <c r="C232" s="1033" t="s">
        <v>1783</v>
      </c>
      <c r="D232" s="1034" t="s">
        <v>1388</v>
      </c>
      <c r="E232" s="368" t="str">
        <f>VLOOKUP(B232,TH.Q2!B134:E465,4,FALSE)</f>
        <v>Giảng viên khoa
Điện - Điện tử</v>
      </c>
      <c r="F232" s="1018">
        <v>4.6500000000000004</v>
      </c>
      <c r="G232" s="1019"/>
      <c r="H232" s="1255">
        <f t="shared" si="24"/>
        <v>0</v>
      </c>
      <c r="I232" s="1020"/>
      <c r="J232" s="1020" t="str">
        <f>VLOOKUP(B232,'[27]Gui chi Quynh'!$B$11:$E$396,4,FALSE)</f>
        <v>A3</v>
      </c>
      <c r="K232" s="1020">
        <f t="shared" si="25"/>
        <v>0.6</v>
      </c>
      <c r="L232" s="1021">
        <v>20</v>
      </c>
      <c r="M232" s="1021">
        <f>VLOOKUP(B232,'[28]CN BC'!$H$10:$J$275,3,FALSE)</f>
        <v>20</v>
      </c>
      <c r="N232" s="1021">
        <f t="shared" si="22"/>
        <v>20</v>
      </c>
      <c r="O232" s="1035"/>
      <c r="P232" s="1023">
        <f t="shared" si="23"/>
        <v>6528600</v>
      </c>
      <c r="Q232" s="1477">
        <f t="shared" si="26"/>
        <v>2.79</v>
      </c>
      <c r="R232" s="1429">
        <v>2340000</v>
      </c>
      <c r="S232" s="1478">
        <f t="shared" si="27"/>
        <v>6528600</v>
      </c>
      <c r="T232" s="1024">
        <f t="shared" si="28"/>
        <v>208</v>
      </c>
      <c r="U232" s="1025">
        <f>IFERROR(INDEX('[28]CN BC'!$M$10:$M$276,MATCH(B232,'[28]CN BC'!$H$10:$H$276,0)),"")</f>
        <v>0</v>
      </c>
      <c r="V232" s="1067" t="str">
        <f>VLOOKUP(B232,TH.T4!B229:AC559,28,FALSE)</f>
        <v>Đ-ĐT</v>
      </c>
      <c r="Y232" s="1038"/>
    </row>
    <row r="233" spans="1:35" s="1028" customFormat="1" ht="33.75" customHeight="1">
      <c r="A233" s="1014">
        <f>_xlfn.AGGREGATE(4,7,A$24:A232)+1</f>
        <v>209</v>
      </c>
      <c r="B233" s="1015" t="s">
        <v>1535</v>
      </c>
      <c r="C233" s="1033" t="s">
        <v>1784</v>
      </c>
      <c r="D233" s="1030" t="s">
        <v>1595</v>
      </c>
      <c r="E233" s="368" t="str">
        <f>VLOOKUP(B233,TH.Q2!B135:E466,4,FALSE)</f>
        <v>Trưởng BM Cơ điện tử và Tự động hóa</v>
      </c>
      <c r="F233" s="1040">
        <v>3.66</v>
      </c>
      <c r="G233" s="1019"/>
      <c r="H233" s="1255">
        <f t="shared" si="24"/>
        <v>0</v>
      </c>
      <c r="I233" s="1020">
        <v>0.25</v>
      </c>
      <c r="J233" s="1020" t="str">
        <f>VLOOKUP(B233,'[27]Gui chi Quynh'!$B$11:$E$396,4,FALSE)</f>
        <v>A1</v>
      </c>
      <c r="K233" s="1020">
        <f t="shared" si="25"/>
        <v>0.8</v>
      </c>
      <c r="L233" s="1021">
        <v>20</v>
      </c>
      <c r="M233" s="1021">
        <f>VLOOKUP(B233,'[28]CN BC'!$H$10:$J$275,3,FALSE)</f>
        <v>20</v>
      </c>
      <c r="N233" s="1021">
        <f t="shared" si="22"/>
        <v>20</v>
      </c>
      <c r="O233" s="1035"/>
      <c r="P233" s="1023">
        <f t="shared" si="23"/>
        <v>7319520</v>
      </c>
      <c r="Q233" s="1477">
        <f t="shared" si="26"/>
        <v>3.1280000000000001</v>
      </c>
      <c r="R233" s="1429">
        <v>2340000</v>
      </c>
      <c r="S233" s="1478">
        <f t="shared" si="27"/>
        <v>7319520</v>
      </c>
      <c r="T233" s="1024">
        <f t="shared" si="28"/>
        <v>209</v>
      </c>
      <c r="U233" s="1025">
        <f>IFERROR(INDEX('[28]CN BC'!$M$10:$M$276,MATCH(B233,'[28]CN BC'!$H$10:$H$276,0)),"")</f>
        <v>0</v>
      </c>
      <c r="V233" s="1067" t="str">
        <f>VLOOKUP(B233,TH.T4!B230:AC560,28,FALSE)</f>
        <v>Đ-ĐT</v>
      </c>
      <c r="Y233" s="1038"/>
    </row>
    <row r="234" spans="1:35" s="1028" customFormat="1" ht="33.75" customHeight="1">
      <c r="A234" s="1014">
        <f>_xlfn.AGGREGATE(4,7,A$24:A233)+1</f>
        <v>210</v>
      </c>
      <c r="B234" s="1101" t="s">
        <v>1903</v>
      </c>
      <c r="C234" s="1033" t="s">
        <v>1786</v>
      </c>
      <c r="D234" s="1034" t="s">
        <v>1392</v>
      </c>
      <c r="E234" s="81" t="str">
        <f>VLOOKUP(B234,TH.Q2!B136:E467,4,FALSE)</f>
        <v>Giảng viên khoa Điện - Điện tử</v>
      </c>
      <c r="F234" s="1040">
        <v>4.32</v>
      </c>
      <c r="G234" s="1019"/>
      <c r="H234" s="1248">
        <f t="shared" si="24"/>
        <v>0</v>
      </c>
      <c r="I234" s="1020"/>
      <c r="J234" s="1020" t="str">
        <f>VLOOKUP(B234,'[27]Gui chi Quynh'!$B$11:$E$396,4,FALSE)</f>
        <v>A3</v>
      </c>
      <c r="K234" s="1020">
        <f t="shared" si="25"/>
        <v>0.6</v>
      </c>
      <c r="L234" s="1021">
        <v>20</v>
      </c>
      <c r="M234" s="1021">
        <f>VLOOKUP(B234,'[28]CN BC'!$H$10:$J$275,3,FALSE)</f>
        <v>20</v>
      </c>
      <c r="N234" s="1021">
        <f t="shared" si="22"/>
        <v>20</v>
      </c>
      <c r="O234" s="1022"/>
      <c r="P234" s="1023">
        <f t="shared" si="23"/>
        <v>6065280</v>
      </c>
      <c r="Q234" s="1477">
        <f t="shared" si="26"/>
        <v>2.5920000000000001</v>
      </c>
      <c r="R234" s="1429">
        <v>2340000</v>
      </c>
      <c r="S234" s="1478">
        <f t="shared" si="27"/>
        <v>6065280</v>
      </c>
      <c r="T234" s="1024">
        <f t="shared" si="28"/>
        <v>210</v>
      </c>
      <c r="U234" s="1025">
        <f>IFERROR(INDEX('[28]CN BC'!$M$10:$M$276,MATCH(B234,'[28]CN BC'!$H$10:$H$276,0)),"")</f>
        <v>0</v>
      </c>
      <c r="V234" s="1011" t="str">
        <f>VLOOKUP(B234,TH.T4!B231:AC561,28,FALSE)</f>
        <v>Đ-ĐT</v>
      </c>
      <c r="W234" s="1046"/>
      <c r="X234" s="1012"/>
      <c r="Y234" s="1027"/>
      <c r="Z234" s="1012"/>
      <c r="AA234" s="1012"/>
      <c r="AB234" s="1012"/>
      <c r="AC234" s="1012"/>
      <c r="AD234" s="1012"/>
      <c r="AE234" s="1012"/>
    </row>
    <row r="235" spans="1:35" s="1028" customFormat="1" ht="33.75" customHeight="1">
      <c r="A235" s="1014">
        <f>_xlfn.AGGREGATE(4,7,A$24:A234)+1</f>
        <v>211</v>
      </c>
      <c r="B235" s="1015" t="s">
        <v>1904</v>
      </c>
      <c r="C235" s="1029" t="s">
        <v>1787</v>
      </c>
      <c r="D235" s="1034" t="s">
        <v>1396</v>
      </c>
      <c r="E235" s="81" t="str">
        <f>VLOOKUP(B235,TH.Q2!B137:E468,4,FALSE)</f>
        <v>Giảng viên khoa Điện - Điện tử</v>
      </c>
      <c r="F235" s="1018">
        <v>4.6500000000000004</v>
      </c>
      <c r="G235" s="1019"/>
      <c r="H235" s="1248">
        <f t="shared" si="24"/>
        <v>0</v>
      </c>
      <c r="I235" s="1020"/>
      <c r="J235" s="1020" t="str">
        <f>VLOOKUP(B235,'[27]Gui chi Quynh'!$B$11:$E$396,4,FALSE)</f>
        <v>A3</v>
      </c>
      <c r="K235" s="1020">
        <f t="shared" si="25"/>
        <v>0.6</v>
      </c>
      <c r="L235" s="1021">
        <v>20</v>
      </c>
      <c r="M235" s="1021">
        <f>VLOOKUP(B235,'[28]CN BC'!$H$10:$J$275,3,FALSE)</f>
        <v>20</v>
      </c>
      <c r="N235" s="1021">
        <f t="shared" si="22"/>
        <v>20</v>
      </c>
      <c r="O235" s="1022"/>
      <c r="P235" s="1023">
        <f t="shared" si="23"/>
        <v>6528600</v>
      </c>
      <c r="Q235" s="1477">
        <f t="shared" si="26"/>
        <v>2.79</v>
      </c>
      <c r="R235" s="1429">
        <v>2340000</v>
      </c>
      <c r="S235" s="1478">
        <f t="shared" si="27"/>
        <v>6528600</v>
      </c>
      <c r="T235" s="1024">
        <f t="shared" si="28"/>
        <v>211</v>
      </c>
      <c r="U235" s="1025">
        <f>IFERROR(INDEX('[28]CN BC'!$M$10:$M$276,MATCH(B235,'[28]CN BC'!$H$10:$H$276,0)),"")</f>
        <v>0</v>
      </c>
      <c r="V235" s="1011" t="str">
        <f>VLOOKUP(B235,TH.T4!B232:AC562,28,FALSE)</f>
        <v>Đ-ĐT</v>
      </c>
      <c r="W235" s="1012"/>
      <c r="X235" s="1012"/>
      <c r="Y235" s="1027"/>
      <c r="Z235" s="1012"/>
      <c r="AA235" s="1012"/>
      <c r="AB235" s="1012"/>
      <c r="AC235" s="1012"/>
      <c r="AD235" s="1012"/>
      <c r="AE235" s="1012"/>
      <c r="AF235" s="1012"/>
      <c r="AG235" s="1012"/>
      <c r="AH235" s="1012"/>
      <c r="AI235" s="1012"/>
    </row>
    <row r="236" spans="1:35" s="1028" customFormat="1" ht="33.75" customHeight="1">
      <c r="A236" s="1014">
        <f>_xlfn.AGGREGATE(4,7,A$24:A235)+1</f>
        <v>212</v>
      </c>
      <c r="B236" s="1015" t="s">
        <v>1536</v>
      </c>
      <c r="C236" s="1033" t="s">
        <v>1788</v>
      </c>
      <c r="D236" s="1034" t="s">
        <v>389</v>
      </c>
      <c r="E236" s="81" t="str">
        <f>VLOOKUP(B236,TH.Q2!B138:E469,4,FALSE)</f>
        <v>Giảng viên khoa
Điện - Điện tử</v>
      </c>
      <c r="F236" s="1040">
        <v>3.66</v>
      </c>
      <c r="G236" s="1019"/>
      <c r="H236" s="1248">
        <f t="shared" si="24"/>
        <v>0</v>
      </c>
      <c r="I236" s="1020"/>
      <c r="J236" s="1020" t="str">
        <f>VLOOKUP(B236,'[27]Gui chi Quynh'!$B$11:$E$396,4,FALSE)</f>
        <v>A3</v>
      </c>
      <c r="K236" s="1020">
        <f t="shared" si="25"/>
        <v>0.6</v>
      </c>
      <c r="L236" s="1021">
        <v>20</v>
      </c>
      <c r="M236" s="1021">
        <f>VLOOKUP(B236,'[28]CN BC'!$H$10:$J$275,3,FALSE)</f>
        <v>20</v>
      </c>
      <c r="N236" s="1021">
        <f t="shared" si="22"/>
        <v>20</v>
      </c>
      <c r="O236" s="1022"/>
      <c r="P236" s="1023">
        <f t="shared" si="23"/>
        <v>5138640</v>
      </c>
      <c r="Q236" s="1477">
        <f t="shared" si="26"/>
        <v>2.1960000000000002</v>
      </c>
      <c r="R236" s="1429">
        <v>2340000</v>
      </c>
      <c r="S236" s="1478">
        <f t="shared" si="27"/>
        <v>5138640</v>
      </c>
      <c r="T236" s="1024">
        <f t="shared" si="28"/>
        <v>212</v>
      </c>
      <c r="U236" s="1025">
        <f>IFERROR(INDEX('[28]CN BC'!$M$10:$M$276,MATCH(B236,'[28]CN BC'!$H$10:$H$276,0)),"")</f>
        <v>0</v>
      </c>
      <c r="V236" s="1011" t="str">
        <f>VLOOKUP(B236,TH.T4!B233:AC563,28,FALSE)</f>
        <v>Đ-ĐT</v>
      </c>
      <c r="W236" s="1012"/>
      <c r="X236" s="1012"/>
      <c r="Y236" s="1027"/>
      <c r="Z236" s="1012"/>
      <c r="AA236" s="1012"/>
      <c r="AB236" s="1012"/>
      <c r="AC236" s="1012"/>
      <c r="AD236" s="1012"/>
      <c r="AE236" s="1012"/>
    </row>
    <row r="237" spans="1:35" s="1028" customFormat="1" ht="33.75" customHeight="1">
      <c r="A237" s="1014">
        <f>_xlfn.AGGREGATE(4,7,A$24:A236)+1</f>
        <v>213</v>
      </c>
      <c r="B237" s="1015" t="s">
        <v>1537</v>
      </c>
      <c r="C237" s="1033" t="s">
        <v>1789</v>
      </c>
      <c r="D237" s="1034" t="s">
        <v>1334</v>
      </c>
      <c r="E237" s="368" t="str">
        <f>VLOOKUP(B237,TH.Q2!B139:E470,4,FALSE)</f>
        <v>Giảng viên khoa
Điện - Điện tử</v>
      </c>
      <c r="F237" s="1040">
        <v>4.32</v>
      </c>
      <c r="G237" s="1019"/>
      <c r="H237" s="1255">
        <f t="shared" si="24"/>
        <v>0</v>
      </c>
      <c r="I237" s="1020"/>
      <c r="J237" s="1020" t="str">
        <f>VLOOKUP(B237,'[27]Gui chi Quynh'!$B$11:$E$396,4,FALSE)</f>
        <v>A3</v>
      </c>
      <c r="K237" s="1020">
        <f t="shared" si="25"/>
        <v>0.6</v>
      </c>
      <c r="L237" s="1021">
        <v>20</v>
      </c>
      <c r="M237" s="1021">
        <f>VLOOKUP(B237,'[28]CN BC'!$H$10:$J$275,3,FALSE)</f>
        <v>20</v>
      </c>
      <c r="N237" s="1021">
        <f t="shared" si="22"/>
        <v>20</v>
      </c>
      <c r="O237" s="1035"/>
      <c r="P237" s="1023">
        <f t="shared" si="23"/>
        <v>6065280</v>
      </c>
      <c r="Q237" s="1477">
        <f t="shared" si="26"/>
        <v>2.5920000000000001</v>
      </c>
      <c r="R237" s="1429">
        <v>2340000</v>
      </c>
      <c r="S237" s="1478">
        <f t="shared" si="27"/>
        <v>6065280</v>
      </c>
      <c r="T237" s="1024">
        <f t="shared" si="28"/>
        <v>213</v>
      </c>
      <c r="U237" s="1025">
        <f>IFERROR(INDEX('[28]CN BC'!$M$10:$M$276,MATCH(B237,'[28]CN BC'!$H$10:$H$276,0)),"")</f>
        <v>0</v>
      </c>
      <c r="V237" s="1067" t="str">
        <f>VLOOKUP(B237,TH.T4!B234:AC564,28,FALSE)</f>
        <v>Đ-ĐT</v>
      </c>
      <c r="Y237" s="1038"/>
    </row>
    <row r="238" spans="1:35" s="1028" customFormat="1" ht="33.75" customHeight="1">
      <c r="A238" s="1014">
        <f>_xlfn.AGGREGATE(4,7,A$24:A237)+1</f>
        <v>214</v>
      </c>
      <c r="B238" s="1015" t="s">
        <v>1905</v>
      </c>
      <c r="C238" s="1029" t="s">
        <v>1790</v>
      </c>
      <c r="D238" s="1047" t="s">
        <v>463</v>
      </c>
      <c r="E238" s="81" t="str">
        <f>VLOOKUP(B238,TH.Q2!B140:E471,4,FALSE)</f>
        <v>Giảng viên khoa Điện - Điện tử</v>
      </c>
      <c r="F238" s="1040">
        <v>3.66</v>
      </c>
      <c r="G238" s="1019"/>
      <c r="H238" s="1248">
        <f t="shared" si="24"/>
        <v>0</v>
      </c>
      <c r="I238" s="1020"/>
      <c r="J238" s="1020" t="str">
        <f>VLOOKUP(B238,'[27]Gui chi Quynh'!$B$11:$E$396,4,FALSE)</f>
        <v>A3</v>
      </c>
      <c r="K238" s="1020">
        <f t="shared" si="25"/>
        <v>0.6</v>
      </c>
      <c r="L238" s="1021">
        <v>20</v>
      </c>
      <c r="M238" s="1021">
        <f>VLOOKUP(B238,'[28]CN BC'!$H$10:$J$275,3,FALSE)</f>
        <v>20</v>
      </c>
      <c r="N238" s="1021">
        <f t="shared" si="22"/>
        <v>20</v>
      </c>
      <c r="O238" s="1022"/>
      <c r="P238" s="1023">
        <f t="shared" si="23"/>
        <v>5138640</v>
      </c>
      <c r="Q238" s="1477">
        <f t="shared" si="26"/>
        <v>2.1960000000000002</v>
      </c>
      <c r="R238" s="1429">
        <v>2340000</v>
      </c>
      <c r="S238" s="1478">
        <f t="shared" si="27"/>
        <v>5138640</v>
      </c>
      <c r="T238" s="1024">
        <f t="shared" si="28"/>
        <v>214</v>
      </c>
      <c r="U238" s="1025">
        <f>IFERROR(INDEX('[28]CN BC'!$M$10:$M$276,MATCH(B238,'[28]CN BC'!$H$10:$H$276,0)),"")</f>
        <v>0</v>
      </c>
      <c r="V238" s="1011" t="str">
        <f>VLOOKUP(B238,TH.T4!B235:AC565,28,FALSE)</f>
        <v>Đ-ĐT</v>
      </c>
      <c r="W238" s="1012"/>
      <c r="X238" s="1012"/>
      <c r="Y238" s="1027"/>
      <c r="Z238" s="1012"/>
      <c r="AA238" s="1012"/>
      <c r="AB238" s="1012"/>
      <c r="AC238" s="1012"/>
      <c r="AD238" s="1012"/>
      <c r="AE238" s="1012"/>
      <c r="AF238" s="1012"/>
      <c r="AG238" s="1012"/>
      <c r="AH238" s="1012"/>
      <c r="AI238" s="1012"/>
    </row>
    <row r="239" spans="1:35" s="1028" customFormat="1" ht="33.75" customHeight="1">
      <c r="A239" s="1014">
        <f>_xlfn.AGGREGATE(4,7,A$24:A238)+1</f>
        <v>215</v>
      </c>
      <c r="B239" s="1015" t="s">
        <v>1538</v>
      </c>
      <c r="C239" s="1029" t="s">
        <v>1791</v>
      </c>
      <c r="D239" s="1047" t="s">
        <v>510</v>
      </c>
      <c r="E239" s="81" t="str">
        <f>VLOOKUP(B239,TH.Q2!B141:E472,4,FALSE)</f>
        <v>Giảng viên khoa
Điện - Điện tử</v>
      </c>
      <c r="F239" s="1040">
        <v>3.66</v>
      </c>
      <c r="G239" s="1019"/>
      <c r="H239" s="1248">
        <f t="shared" si="24"/>
        <v>0</v>
      </c>
      <c r="I239" s="1020"/>
      <c r="J239" s="1020" t="str">
        <f>VLOOKUP(B239,'[27]Gui chi Quynh'!$B$11:$E$396,4,FALSE)</f>
        <v>A1</v>
      </c>
      <c r="K239" s="1020">
        <f t="shared" si="25"/>
        <v>0.8</v>
      </c>
      <c r="L239" s="1021">
        <v>20</v>
      </c>
      <c r="M239" s="1021">
        <f>VLOOKUP(B239,'[28]CN BC'!$H$10:$J$275,3,FALSE)</f>
        <v>20</v>
      </c>
      <c r="N239" s="1021">
        <f t="shared" si="22"/>
        <v>20</v>
      </c>
      <c r="O239" s="1022"/>
      <c r="P239" s="1023">
        <f t="shared" si="23"/>
        <v>6851520</v>
      </c>
      <c r="Q239" s="1477">
        <f t="shared" si="26"/>
        <v>2.9279999999999999</v>
      </c>
      <c r="R239" s="1429">
        <v>2340000</v>
      </c>
      <c r="S239" s="1478">
        <f t="shared" si="27"/>
        <v>6851520</v>
      </c>
      <c r="T239" s="1024">
        <f t="shared" si="28"/>
        <v>215</v>
      </c>
      <c r="U239" s="1025">
        <f>IFERROR(INDEX('[28]CN BC'!$M$10:$M$276,MATCH(B239,'[28]CN BC'!$H$10:$H$276,0)),"")</f>
        <v>0</v>
      </c>
      <c r="V239" s="1011" t="str">
        <f>VLOOKUP(B239,TH.T4!B236:AC566,28,FALSE)</f>
        <v>Đ-ĐT</v>
      </c>
      <c r="W239" s="1012"/>
      <c r="X239" s="1012"/>
      <c r="Y239" s="1027"/>
      <c r="Z239" s="1012"/>
      <c r="AA239" s="1012"/>
      <c r="AB239" s="1012"/>
      <c r="AC239" s="1012"/>
      <c r="AD239" s="1012"/>
      <c r="AE239" s="1012"/>
      <c r="AF239" s="1012"/>
      <c r="AG239" s="1012"/>
      <c r="AH239" s="1012"/>
      <c r="AI239" s="1012"/>
    </row>
    <row r="240" spans="1:35" s="1028" customFormat="1" ht="33.75" customHeight="1">
      <c r="A240" s="1014">
        <f>_xlfn.AGGREGATE(4,7,A$24:A239)+1</f>
        <v>216</v>
      </c>
      <c r="B240" s="1015" t="s">
        <v>1906</v>
      </c>
      <c r="C240" s="1033" t="s">
        <v>1792</v>
      </c>
      <c r="D240" s="1034" t="s">
        <v>1399</v>
      </c>
      <c r="E240" s="81" t="str">
        <f>VLOOKUP(B240,TH.Q2!B142:E473,4,FALSE)</f>
        <v>Giảng viên khoa Điện - Điện tử</v>
      </c>
      <c r="F240" s="1018">
        <v>4.9800000000000004</v>
      </c>
      <c r="G240" s="1019">
        <v>0.09</v>
      </c>
      <c r="H240" s="1248">
        <f t="shared" si="24"/>
        <v>0.44800000000000001</v>
      </c>
      <c r="I240" s="1020">
        <v>0.35</v>
      </c>
      <c r="J240" s="1020" t="str">
        <f>VLOOKUP(B240,'[27]Gui chi Quynh'!$B$11:$E$396,4,FALSE)</f>
        <v>A1</v>
      </c>
      <c r="K240" s="1020">
        <f t="shared" si="25"/>
        <v>0.8</v>
      </c>
      <c r="L240" s="1021">
        <v>20</v>
      </c>
      <c r="M240" s="1021">
        <f>VLOOKUP(B240,'[28]CN BC'!$H$10:$J$275,3,FALSE)</f>
        <v>20</v>
      </c>
      <c r="N240" s="1021">
        <f t="shared" si="22"/>
        <v>20</v>
      </c>
      <c r="O240" s="1022"/>
      <c r="P240" s="1023">
        <f t="shared" si="23"/>
        <v>10816416.000000002</v>
      </c>
      <c r="Q240" s="1477">
        <f t="shared" si="26"/>
        <v>4.6224000000000007</v>
      </c>
      <c r="R240" s="1429">
        <v>2340000</v>
      </c>
      <c r="S240" s="1478">
        <f t="shared" si="27"/>
        <v>10816416.000000002</v>
      </c>
      <c r="T240" s="1024">
        <f t="shared" si="28"/>
        <v>216</v>
      </c>
      <c r="U240" s="1025">
        <f>IFERROR(INDEX('[28]CN BC'!$M$10:$M$276,MATCH(B240,'[28]CN BC'!$H$10:$H$276,0)),"")</f>
        <v>0</v>
      </c>
      <c r="V240" s="1011" t="str">
        <f>VLOOKUP(B240,TH.T4!B237:AC567,28,FALSE)</f>
        <v>Đ-ĐT</v>
      </c>
      <c r="W240" s="1012"/>
      <c r="X240" s="1012"/>
      <c r="Y240" s="1027"/>
      <c r="Z240" s="1012"/>
      <c r="AA240" s="1012"/>
      <c r="AB240" s="1012"/>
      <c r="AC240" s="1012"/>
      <c r="AD240" s="1012"/>
      <c r="AE240" s="1012"/>
    </row>
    <row r="241" spans="1:35" s="1028" customFormat="1" ht="33.75" customHeight="1">
      <c r="A241" s="1014">
        <f>_xlfn.AGGREGATE(4,7,A$24:A240)+1</f>
        <v>217</v>
      </c>
      <c r="B241" s="1015" t="s">
        <v>1907</v>
      </c>
      <c r="C241" s="1033" t="s">
        <v>1793</v>
      </c>
      <c r="D241" s="1034" t="s">
        <v>1400</v>
      </c>
      <c r="E241" s="81" t="str">
        <f>VLOOKUP(B241,TH.Q2!B143:E474,4,FALSE)</f>
        <v>Giảng viên khoa Điện - Điện tử</v>
      </c>
      <c r="F241" s="1018">
        <v>4.9800000000000004</v>
      </c>
      <c r="G241" s="1019">
        <v>0.12</v>
      </c>
      <c r="H241" s="1248">
        <f t="shared" si="24"/>
        <v>0.59799999999999998</v>
      </c>
      <c r="I241" s="1020"/>
      <c r="J241" s="1020" t="str">
        <f>VLOOKUP(B241,'[27]Gui chi Quynh'!$B$11:$E$396,4,FALSE)</f>
        <v>A4</v>
      </c>
      <c r="K241" s="1020">
        <f t="shared" si="25"/>
        <v>0.5</v>
      </c>
      <c r="L241" s="1021">
        <v>20</v>
      </c>
      <c r="M241" s="1021">
        <f>VLOOKUP(B241,'[28]CN BC'!$H$10:$J$275,3,FALSE)</f>
        <v>20</v>
      </c>
      <c r="N241" s="1021">
        <f t="shared" si="22"/>
        <v>20</v>
      </c>
      <c r="O241" s="1022"/>
      <c r="P241" s="1023">
        <f t="shared" si="23"/>
        <v>6526260</v>
      </c>
      <c r="Q241" s="1477">
        <f t="shared" si="26"/>
        <v>2.7890000000000001</v>
      </c>
      <c r="R241" s="1429">
        <v>2340000</v>
      </c>
      <c r="S241" s="1478">
        <f t="shared" si="27"/>
        <v>6526260</v>
      </c>
      <c r="T241" s="1024">
        <f t="shared" si="28"/>
        <v>217</v>
      </c>
      <c r="U241" s="1025">
        <f>IFERROR(INDEX('[28]CN BC'!$M$10:$M$276,MATCH(B241,'[28]CN BC'!$H$10:$H$276,0)),"")</f>
        <v>0</v>
      </c>
      <c r="V241" s="1011" t="str">
        <f>VLOOKUP(B241,TH.T4!B238:AC568,28,FALSE)</f>
        <v>Đ-ĐT</v>
      </c>
      <c r="W241" s="1012"/>
      <c r="X241" s="1012"/>
      <c r="Y241" s="1027"/>
    </row>
    <row r="242" spans="1:35" s="1028" customFormat="1" ht="33.75" customHeight="1">
      <c r="A242" s="1014">
        <f>_xlfn.AGGREGATE(4,7,A$24:A241)+1</f>
        <v>218</v>
      </c>
      <c r="B242" s="1015" t="s">
        <v>1908</v>
      </c>
      <c r="C242" s="1033" t="s">
        <v>1794</v>
      </c>
      <c r="D242" s="1034" t="s">
        <v>1401</v>
      </c>
      <c r="E242" s="81" t="str">
        <f>VLOOKUP(B242,TH.Q2!B144:E475,4,FALSE)</f>
        <v>Giảng viên khoa Điện - Điện tử</v>
      </c>
      <c r="F242" s="1018">
        <v>4.9800000000000004</v>
      </c>
      <c r="G242" s="1019">
        <v>0.09</v>
      </c>
      <c r="H242" s="1248">
        <f t="shared" si="24"/>
        <v>0.44800000000000001</v>
      </c>
      <c r="I242" s="1020"/>
      <c r="J242" s="1020" t="str">
        <f>VLOOKUP(B242,'[27]Gui chi Quynh'!$B$11:$E$396,4,FALSE)</f>
        <v>A3</v>
      </c>
      <c r="K242" s="1020">
        <f t="shared" si="25"/>
        <v>0.6</v>
      </c>
      <c r="L242" s="1021">
        <v>20</v>
      </c>
      <c r="M242" s="1021">
        <f>VLOOKUP(B242,'[28]CN BC'!$H$10:$J$275,3,FALSE)</f>
        <v>20</v>
      </c>
      <c r="N242" s="1021">
        <f t="shared" si="22"/>
        <v>20</v>
      </c>
      <c r="O242" s="1022"/>
      <c r="P242" s="1023">
        <f t="shared" si="23"/>
        <v>7620912.0000000009</v>
      </c>
      <c r="Q242" s="1477">
        <f t="shared" si="26"/>
        <v>3.2568000000000006</v>
      </c>
      <c r="R242" s="1429">
        <v>2340000</v>
      </c>
      <c r="S242" s="1478">
        <f t="shared" si="27"/>
        <v>7620912.0000000009</v>
      </c>
      <c r="T242" s="1024">
        <f t="shared" si="28"/>
        <v>218</v>
      </c>
      <c r="U242" s="1025">
        <f>IFERROR(INDEX('[28]CN BC'!$M$10:$M$276,MATCH(B242,'[28]CN BC'!$H$10:$H$276,0)),"")</f>
        <v>0</v>
      </c>
      <c r="V242" s="1011" t="str">
        <f>VLOOKUP(B242,TH.T4!B239:AC569,28,FALSE)</f>
        <v>Đ-ĐT</v>
      </c>
      <c r="W242" s="1012"/>
      <c r="X242" s="1012"/>
      <c r="Y242" s="1027"/>
      <c r="Z242" s="1012"/>
      <c r="AA242" s="1012"/>
      <c r="AB242" s="1012"/>
      <c r="AC242" s="1012"/>
      <c r="AD242" s="1012"/>
      <c r="AE242" s="1012"/>
    </row>
    <row r="243" spans="1:35" s="1028" customFormat="1" ht="33.75" customHeight="1">
      <c r="A243" s="1014">
        <f>_xlfn.AGGREGATE(4,7,A$24:A242)+1</f>
        <v>219</v>
      </c>
      <c r="B243" s="1015" t="s">
        <v>1909</v>
      </c>
      <c r="C243" s="1033" t="s">
        <v>1795</v>
      </c>
      <c r="D243" s="1034" t="s">
        <v>1404</v>
      </c>
      <c r="E243" s="368" t="str">
        <f>VLOOKUP(B243,TH.Q2!B145:E476,4,FALSE)</f>
        <v>Giảng viên khoa Điện - Điện tử</v>
      </c>
      <c r="F243" s="1018">
        <v>4.6500000000000004</v>
      </c>
      <c r="G243" s="1431"/>
      <c r="H243" s="1255">
        <f t="shared" si="24"/>
        <v>0</v>
      </c>
      <c r="I243" s="1020"/>
      <c r="J243" s="1020" t="str">
        <f>VLOOKUP(B243,'[27]Gui chi Quynh'!$B$11:$E$396,4,FALSE)</f>
        <v>A4</v>
      </c>
      <c r="K243" s="1020">
        <f t="shared" si="25"/>
        <v>0.5</v>
      </c>
      <c r="L243" s="1021">
        <v>20</v>
      </c>
      <c r="M243" s="1021">
        <f>VLOOKUP(B243,'[28]CN BC'!$H$10:$J$275,3,FALSE)</f>
        <v>20</v>
      </c>
      <c r="N243" s="1021">
        <f t="shared" si="22"/>
        <v>20</v>
      </c>
      <c r="O243" s="1035"/>
      <c r="P243" s="1023">
        <f t="shared" si="23"/>
        <v>5440500</v>
      </c>
      <c r="Q243" s="1477">
        <f t="shared" si="26"/>
        <v>2.3250000000000002</v>
      </c>
      <c r="R243" s="1429">
        <v>2340000</v>
      </c>
      <c r="S243" s="1478">
        <f t="shared" si="27"/>
        <v>5440500</v>
      </c>
      <c r="T243" s="1024">
        <f t="shared" si="28"/>
        <v>219</v>
      </c>
      <c r="U243" s="1025">
        <f>IFERROR(INDEX('[28]CN BC'!$M$10:$M$276,MATCH(B243,'[28]CN BC'!$H$10:$H$276,0)),"")</f>
        <v>0</v>
      </c>
      <c r="V243" s="1067" t="str">
        <f>VLOOKUP(B243,TH.T4!B240:AC570,28,FALSE)</f>
        <v>Đ-ĐT</v>
      </c>
      <c r="Y243" s="1038"/>
    </row>
    <row r="244" spans="1:35" s="1028" customFormat="1" ht="33.75" customHeight="1">
      <c r="A244" s="1014">
        <f>_xlfn.AGGREGATE(4,7,A$24:A243)+1</f>
        <v>220</v>
      </c>
      <c r="B244" s="1015" t="s">
        <v>1539</v>
      </c>
      <c r="C244" s="1033" t="s">
        <v>1796</v>
      </c>
      <c r="D244" s="1034" t="s">
        <v>1405</v>
      </c>
      <c r="E244" s="368" t="str">
        <f>VLOOKUP(B244,TH.Q2!B146:E477,4,FALSE)</f>
        <v>Giảng viên khoa
Điện - Điện tử</v>
      </c>
      <c r="F244" s="1018">
        <v>4.6500000000000004</v>
      </c>
      <c r="G244" s="1019"/>
      <c r="H244" s="1255">
        <f t="shared" si="24"/>
        <v>0</v>
      </c>
      <c r="I244" s="1020"/>
      <c r="J244" s="1020" t="str">
        <f>VLOOKUP(B244,'[27]Gui chi Quynh'!$B$11:$E$396,4,FALSE)</f>
        <v>A3</v>
      </c>
      <c r="K244" s="1020">
        <f t="shared" si="25"/>
        <v>0.6</v>
      </c>
      <c r="L244" s="1021">
        <v>20</v>
      </c>
      <c r="M244" s="1021">
        <f>VLOOKUP(B244,'[28]CN BC'!$H$10:$J$275,3,FALSE)</f>
        <v>20</v>
      </c>
      <c r="N244" s="1021">
        <f t="shared" si="22"/>
        <v>20</v>
      </c>
      <c r="O244" s="1035"/>
      <c r="P244" s="1023">
        <f t="shared" si="23"/>
        <v>6528600</v>
      </c>
      <c r="Q244" s="1477">
        <f t="shared" si="26"/>
        <v>2.79</v>
      </c>
      <c r="R244" s="1429">
        <v>2340000</v>
      </c>
      <c r="S244" s="1478">
        <f t="shared" si="27"/>
        <v>6528600</v>
      </c>
      <c r="T244" s="1024">
        <f t="shared" si="28"/>
        <v>220</v>
      </c>
      <c r="U244" s="1025">
        <f>IFERROR(INDEX('[28]CN BC'!$M$10:$M$276,MATCH(B244,'[28]CN BC'!$H$10:$H$276,0)),"")</f>
        <v>0</v>
      </c>
      <c r="V244" s="1067" t="str">
        <f>VLOOKUP(B244,TH.T4!B241:AC571,28,FALSE)</f>
        <v>Đ-ĐT</v>
      </c>
      <c r="Y244" s="1038"/>
    </row>
    <row r="245" spans="1:35" s="1028" customFormat="1" ht="33.75" customHeight="1">
      <c r="A245" s="1014">
        <f>_xlfn.AGGREGATE(4,7,A$24:A244)+1</f>
        <v>221</v>
      </c>
      <c r="B245" s="1015" t="s">
        <v>1910</v>
      </c>
      <c r="C245" s="1029" t="s">
        <v>1797</v>
      </c>
      <c r="D245" s="1034" t="s">
        <v>1406</v>
      </c>
      <c r="E245" s="81" t="str">
        <f>VLOOKUP(B245,TH.Q2!B147:E478,4,FALSE)</f>
        <v>Giảng viên khoa Điện - Điện tử</v>
      </c>
      <c r="F245" s="1018">
        <v>4.6500000000000004</v>
      </c>
      <c r="G245" s="1019"/>
      <c r="H245" s="1248">
        <f t="shared" si="24"/>
        <v>0</v>
      </c>
      <c r="I245" s="1020"/>
      <c r="J245" s="1020" t="str">
        <f>VLOOKUP(B245,'[27]Gui chi Quynh'!$B$11:$E$396,4,FALSE)</f>
        <v>A3</v>
      </c>
      <c r="K245" s="1020">
        <f t="shared" si="25"/>
        <v>0.6</v>
      </c>
      <c r="L245" s="1021">
        <v>20</v>
      </c>
      <c r="M245" s="1021">
        <f>VLOOKUP(B245,'[28]CN BC'!$H$10:$J$275,3,FALSE)</f>
        <v>20</v>
      </c>
      <c r="N245" s="1021">
        <f t="shared" si="22"/>
        <v>20</v>
      </c>
      <c r="O245" s="1022"/>
      <c r="P245" s="1023">
        <f t="shared" si="23"/>
        <v>6528600</v>
      </c>
      <c r="Q245" s="1477">
        <f t="shared" si="26"/>
        <v>2.79</v>
      </c>
      <c r="R245" s="1429">
        <v>2340000</v>
      </c>
      <c r="S245" s="1478">
        <f t="shared" si="27"/>
        <v>6528600</v>
      </c>
      <c r="T245" s="1024">
        <f t="shared" si="28"/>
        <v>221</v>
      </c>
      <c r="U245" s="1025">
        <f>IFERROR(INDEX('[28]CN BC'!$M$10:$M$276,MATCH(B245,'[28]CN BC'!$H$10:$H$276,0)),"")</f>
        <v>0</v>
      </c>
      <c r="V245" s="1011" t="str">
        <f>VLOOKUP(B245,TH.T4!B242:AC572,28,FALSE)</f>
        <v>Đ-ĐT</v>
      </c>
      <c r="W245" s="1012"/>
      <c r="X245" s="1012"/>
      <c r="Y245" s="1027"/>
      <c r="Z245" s="1012"/>
      <c r="AA245" s="1012"/>
      <c r="AB245" s="1012"/>
      <c r="AC245" s="1012"/>
      <c r="AD245" s="1012"/>
      <c r="AE245" s="1012"/>
      <c r="AF245" s="1012"/>
      <c r="AG245" s="1012"/>
      <c r="AH245" s="1012"/>
      <c r="AI245" s="1012"/>
    </row>
    <row r="246" spans="1:35" s="1028" customFormat="1" ht="33.75" customHeight="1">
      <c r="A246" s="1014">
        <f>_xlfn.AGGREGATE(4,7,A$24:A245)+1</f>
        <v>222</v>
      </c>
      <c r="B246" s="1015" t="s">
        <v>1911</v>
      </c>
      <c r="C246" s="1033" t="s">
        <v>1798</v>
      </c>
      <c r="D246" s="1034" t="s">
        <v>1407</v>
      </c>
      <c r="E246" s="81" t="str">
        <f>VLOOKUP(B246,TH.Q2!B148:E479,4,FALSE)</f>
        <v>Giảng viên khoa Điện - Điện tử</v>
      </c>
      <c r="F246" s="1018">
        <v>4.6500000000000004</v>
      </c>
      <c r="G246" s="1019"/>
      <c r="H246" s="1248">
        <f t="shared" si="24"/>
        <v>0</v>
      </c>
      <c r="I246" s="1020"/>
      <c r="J246" s="1020" t="str">
        <f>VLOOKUP(B246,'[27]Gui chi Quynh'!$B$11:$E$396,4,FALSE)</f>
        <v>A3</v>
      </c>
      <c r="K246" s="1020">
        <f t="shared" si="25"/>
        <v>0.6</v>
      </c>
      <c r="L246" s="1021">
        <v>20</v>
      </c>
      <c r="M246" s="1021">
        <f>VLOOKUP(B246,'[28]CN BC'!$H$10:$J$275,3,FALSE)</f>
        <v>20</v>
      </c>
      <c r="N246" s="1021">
        <f t="shared" si="22"/>
        <v>20</v>
      </c>
      <c r="O246" s="1022"/>
      <c r="P246" s="1023">
        <f t="shared" si="23"/>
        <v>6528600</v>
      </c>
      <c r="Q246" s="1477">
        <f t="shared" si="26"/>
        <v>2.79</v>
      </c>
      <c r="R246" s="1429">
        <v>2340000</v>
      </c>
      <c r="S246" s="1478">
        <f t="shared" si="27"/>
        <v>6528600</v>
      </c>
      <c r="T246" s="1024">
        <f t="shared" si="28"/>
        <v>222</v>
      </c>
      <c r="U246" s="1025">
        <f>IFERROR(INDEX('[28]CN BC'!$M$10:$M$276,MATCH(B246,'[28]CN BC'!$H$10:$H$276,0)),"")</f>
        <v>0</v>
      </c>
      <c r="V246" s="1011" t="str">
        <f>VLOOKUP(B246,TH.T4!B243:AC573,28,FALSE)</f>
        <v>Đ-ĐT</v>
      </c>
      <c r="W246" s="1012"/>
      <c r="X246" s="1012"/>
      <c r="Y246" s="1027"/>
      <c r="Z246" s="1012"/>
      <c r="AA246" s="1012"/>
      <c r="AB246" s="1012"/>
      <c r="AC246" s="1012"/>
      <c r="AD246" s="1012"/>
      <c r="AE246" s="1012"/>
    </row>
    <row r="247" spans="1:35" s="1012" customFormat="1" ht="33.75" customHeight="1">
      <c r="A247" s="1014">
        <f>_xlfn.AGGREGATE(4,7,A$24:A246)+1</f>
        <v>223</v>
      </c>
      <c r="B247" s="1050" t="s">
        <v>1912</v>
      </c>
      <c r="C247" s="1029" t="s">
        <v>1799</v>
      </c>
      <c r="D247" s="1051" t="s">
        <v>1409</v>
      </c>
      <c r="E247" s="81" t="str">
        <f>VLOOKUP(B247,TH.Q2!B149:E480,4,FALSE)</f>
        <v>Giảng viên khoa Điện - Điện tử</v>
      </c>
      <c r="F247" s="1052">
        <v>4.6500000000000004</v>
      </c>
      <c r="G247" s="1053"/>
      <c r="H247" s="1248">
        <f t="shared" si="24"/>
        <v>0</v>
      </c>
      <c r="I247" s="1054"/>
      <c r="J247" s="1020" t="str">
        <f>VLOOKUP(B247,'[27]Gui chi Quynh'!$B$11:$E$396,4,FALSE)</f>
        <v>A3</v>
      </c>
      <c r="K247" s="1020">
        <f t="shared" si="25"/>
        <v>0.6</v>
      </c>
      <c r="L247" s="1021">
        <v>20</v>
      </c>
      <c r="M247" s="1021">
        <f>VLOOKUP(B247,'[28]CN BC'!$H$10:$J$275,3,FALSE)</f>
        <v>20</v>
      </c>
      <c r="N247" s="1021">
        <f t="shared" si="22"/>
        <v>20</v>
      </c>
      <c r="O247" s="1022"/>
      <c r="P247" s="1023">
        <f t="shared" si="23"/>
        <v>6528600</v>
      </c>
      <c r="Q247" s="1477">
        <f t="shared" si="26"/>
        <v>2.79</v>
      </c>
      <c r="R247" s="1429">
        <v>2340000</v>
      </c>
      <c r="S247" s="1478">
        <f t="shared" si="27"/>
        <v>6528600</v>
      </c>
      <c r="T247" s="1024">
        <f t="shared" si="28"/>
        <v>223</v>
      </c>
      <c r="U247" s="1025">
        <f>IFERROR(INDEX('[28]CN BC'!$M$10:$M$276,MATCH(B247,'[28]CN BC'!$H$10:$H$276,0)),"")</f>
        <v>0</v>
      </c>
      <c r="V247" s="1011" t="str">
        <f>VLOOKUP(B247,TH.T4!B244:AC574,28,FALSE)</f>
        <v>Đ-ĐT</v>
      </c>
      <c r="Y247" s="1027"/>
    </row>
    <row r="248" spans="1:35" s="1012" customFormat="1" ht="33.75" customHeight="1">
      <c r="A248" s="1014">
        <f>_xlfn.AGGREGATE(4,7,A$24:A247)+1</f>
        <v>224</v>
      </c>
      <c r="B248" s="1050" t="s">
        <v>1913</v>
      </c>
      <c r="C248" s="1029" t="s">
        <v>1800</v>
      </c>
      <c r="D248" s="1051" t="s">
        <v>1410</v>
      </c>
      <c r="E248" s="81" t="str">
        <f>VLOOKUP(B248,TH.Q2!B150:E481,4,FALSE)</f>
        <v>Giảng viên khoa Điện - Điện tử</v>
      </c>
      <c r="F248" s="1052">
        <v>4.6500000000000004</v>
      </c>
      <c r="G248" s="1053"/>
      <c r="H248" s="1248">
        <f t="shared" si="24"/>
        <v>0</v>
      </c>
      <c r="I248" s="1054"/>
      <c r="J248" s="1020" t="str">
        <f>VLOOKUP(B248,'[27]Gui chi Quynh'!$B$11:$E$396,4,FALSE)</f>
        <v>A3</v>
      </c>
      <c r="K248" s="1020">
        <f t="shared" si="25"/>
        <v>0.6</v>
      </c>
      <c r="L248" s="1021">
        <v>20</v>
      </c>
      <c r="M248" s="1021">
        <f>VLOOKUP(B248,'[28]CN BC'!$H$10:$J$275,3,FALSE)</f>
        <v>20</v>
      </c>
      <c r="N248" s="1021">
        <f t="shared" si="22"/>
        <v>20</v>
      </c>
      <c r="O248" s="1022"/>
      <c r="P248" s="1023">
        <f t="shared" si="23"/>
        <v>6528600</v>
      </c>
      <c r="Q248" s="1477">
        <f t="shared" si="26"/>
        <v>2.79</v>
      </c>
      <c r="R248" s="1429">
        <v>2340000</v>
      </c>
      <c r="S248" s="1478">
        <f t="shared" si="27"/>
        <v>6528600</v>
      </c>
      <c r="T248" s="1024">
        <f t="shared" si="28"/>
        <v>224</v>
      </c>
      <c r="U248" s="1025">
        <f>IFERROR(INDEX('[28]CN BC'!$M$10:$M$276,MATCH(B248,'[28]CN BC'!$H$10:$H$276,0)),"")</f>
        <v>0</v>
      </c>
      <c r="V248" s="1011" t="str">
        <f>VLOOKUP(B248,TH.T4!B245:AC575,28,FALSE)</f>
        <v>Đ-ĐT</v>
      </c>
      <c r="Y248" s="1027"/>
    </row>
    <row r="249" spans="1:35" s="1012" customFormat="1" ht="33.75" customHeight="1">
      <c r="A249" s="1014">
        <f>_xlfn.AGGREGATE(4,7,A$24:A248)+1</f>
        <v>225</v>
      </c>
      <c r="B249" s="1050" t="s">
        <v>1540</v>
      </c>
      <c r="C249" s="1029" t="s">
        <v>1801</v>
      </c>
      <c r="D249" s="1051" t="s">
        <v>1412</v>
      </c>
      <c r="E249" s="81" t="str">
        <f>VLOOKUP(B249,TH.Q2!B151:E482,4,FALSE)</f>
        <v>Giảng viên khoa
Điện - Điện tử</v>
      </c>
      <c r="F249" s="1052">
        <v>3.99</v>
      </c>
      <c r="G249" s="1053"/>
      <c r="H249" s="1248">
        <f t="shared" si="24"/>
        <v>0</v>
      </c>
      <c r="I249" s="1054"/>
      <c r="J249" s="1020" t="str">
        <f>VLOOKUP(B249,'[27]Gui chi Quynh'!$B$11:$E$396,4,FALSE)</f>
        <v>A3</v>
      </c>
      <c r="K249" s="1020">
        <f t="shared" si="25"/>
        <v>0.6</v>
      </c>
      <c r="L249" s="1021">
        <v>20</v>
      </c>
      <c r="M249" s="1021">
        <f>VLOOKUP(B249,'[28]CN BC'!$H$10:$J$275,3,FALSE)</f>
        <v>20</v>
      </c>
      <c r="N249" s="1021">
        <f t="shared" si="22"/>
        <v>20</v>
      </c>
      <c r="O249" s="1022"/>
      <c r="P249" s="1023">
        <f t="shared" si="23"/>
        <v>5601960</v>
      </c>
      <c r="Q249" s="1477">
        <f t="shared" si="26"/>
        <v>2.3940000000000001</v>
      </c>
      <c r="R249" s="1429">
        <v>2340000</v>
      </c>
      <c r="S249" s="1478">
        <f t="shared" si="27"/>
        <v>5601960</v>
      </c>
      <c r="T249" s="1024">
        <f t="shared" si="28"/>
        <v>225</v>
      </c>
      <c r="U249" s="1025">
        <f>IFERROR(INDEX('[28]CN BC'!$M$10:$M$276,MATCH(B249,'[28]CN BC'!$H$10:$H$276,0)),"")</f>
        <v>0</v>
      </c>
      <c r="V249" s="1011" t="str">
        <f>VLOOKUP(B249,TH.T4!B246:AC576,28,FALSE)</f>
        <v>Đ-ĐT</v>
      </c>
      <c r="Y249" s="1027"/>
    </row>
    <row r="250" spans="1:35" s="1028" customFormat="1" ht="33.75" customHeight="1">
      <c r="A250" s="1014">
        <f>_xlfn.AGGREGATE(4,7,A$24:A249)+1</f>
        <v>226</v>
      </c>
      <c r="B250" s="1015" t="s">
        <v>1609</v>
      </c>
      <c r="C250" s="1033" t="s">
        <v>1973</v>
      </c>
      <c r="D250" s="1045" t="s">
        <v>1611</v>
      </c>
      <c r="E250" s="81" t="str">
        <f>VLOOKUP(B250,TH.Q2!B152:E483,4,FALSE)</f>
        <v>Giảng viên khoa
Điện - Điện tử</v>
      </c>
      <c r="F250" s="1040">
        <v>3.33</v>
      </c>
      <c r="G250" s="1019"/>
      <c r="H250" s="1248">
        <f t="shared" si="24"/>
        <v>0</v>
      </c>
      <c r="I250" s="1020"/>
      <c r="J250" s="1020" t="str">
        <f>VLOOKUP(B250,'[27]Gui chi Quynh'!$B$11:$E$396,4,FALSE)</f>
        <v>A1</v>
      </c>
      <c r="K250" s="1020">
        <f t="shared" si="25"/>
        <v>0.8</v>
      </c>
      <c r="L250" s="1021">
        <v>20</v>
      </c>
      <c r="M250" s="1021">
        <f>VLOOKUP(B250,'[28]CN BC'!$H$10:$J$275,3,FALSE)</f>
        <v>20</v>
      </c>
      <c r="N250" s="1021">
        <f t="shared" si="22"/>
        <v>20</v>
      </c>
      <c r="O250" s="1022"/>
      <c r="P250" s="1023">
        <f t="shared" si="23"/>
        <v>6233760</v>
      </c>
      <c r="Q250" s="1477">
        <f t="shared" si="26"/>
        <v>2.6640000000000001</v>
      </c>
      <c r="R250" s="1429">
        <v>2340000</v>
      </c>
      <c r="S250" s="1478">
        <f t="shared" si="27"/>
        <v>6233760</v>
      </c>
      <c r="T250" s="1024">
        <f t="shared" si="28"/>
        <v>226</v>
      </c>
      <c r="U250" s="1025">
        <f>IFERROR(INDEX('[28]CN BC'!$M$10:$M$276,MATCH(B250,'[28]CN BC'!$H$10:$H$276,0)),"")</f>
        <v>0</v>
      </c>
      <c r="V250" s="1011" t="str">
        <f>VLOOKUP(B250,TH.T4!B247:AC577,28,FALSE)</f>
        <v>Đ-ĐT</v>
      </c>
      <c r="W250" s="1012"/>
      <c r="X250" s="1012"/>
      <c r="Y250" s="1027"/>
      <c r="Z250" s="1012"/>
      <c r="AA250" s="1012"/>
      <c r="AB250" s="1012"/>
      <c r="AC250" s="1012"/>
      <c r="AD250" s="1012"/>
      <c r="AE250" s="1012"/>
    </row>
    <row r="251" spans="1:35" s="1028" customFormat="1" ht="33.75" customHeight="1">
      <c r="A251" s="1014">
        <f>_xlfn.AGGREGATE(4,7,A$24:A250)+1</f>
        <v>227</v>
      </c>
      <c r="B251" s="1015" t="s">
        <v>1610</v>
      </c>
      <c r="C251" s="1033" t="s">
        <v>1974</v>
      </c>
      <c r="D251" s="1045" t="s">
        <v>1612</v>
      </c>
      <c r="E251" s="81" t="str">
        <f>VLOOKUP(B251,TH.Q2!B153:E484,4,FALSE)</f>
        <v>Giảng viên khoa
Điện - Điện tử</v>
      </c>
      <c r="F251" s="1018">
        <v>2.67</v>
      </c>
      <c r="G251" s="1019"/>
      <c r="H251" s="1248">
        <f t="shared" si="24"/>
        <v>0</v>
      </c>
      <c r="I251" s="1020">
        <v>0.25</v>
      </c>
      <c r="J251" s="1020" t="str">
        <f>VLOOKUP(B251,'[27]Gui chi Quynh'!$B$11:$E$396,4,FALSE)</f>
        <v>A1</v>
      </c>
      <c r="K251" s="1020">
        <f t="shared" si="25"/>
        <v>0.8</v>
      </c>
      <c r="L251" s="1021">
        <v>20</v>
      </c>
      <c r="M251" s="1021">
        <f>VLOOKUP(B251,'[28]CN BC'!$H$10:$J$275,3,FALSE)</f>
        <v>20</v>
      </c>
      <c r="N251" s="1021">
        <f t="shared" si="22"/>
        <v>20</v>
      </c>
      <c r="O251" s="1022"/>
      <c r="P251" s="1023">
        <f t="shared" si="23"/>
        <v>5466240</v>
      </c>
      <c r="Q251" s="1477">
        <f t="shared" si="26"/>
        <v>2.3359999999999999</v>
      </c>
      <c r="R251" s="1429">
        <v>2340000</v>
      </c>
      <c r="S251" s="1478">
        <f t="shared" si="27"/>
        <v>5466240</v>
      </c>
      <c r="T251" s="1024">
        <f t="shared" si="28"/>
        <v>227</v>
      </c>
      <c r="U251" s="1025">
        <f>IFERROR(INDEX('[28]CN BC'!$M$10:$M$276,MATCH(B251,'[28]CN BC'!$H$10:$H$276,0)),"")</f>
        <v>0</v>
      </c>
      <c r="V251" s="1011" t="str">
        <f>VLOOKUP(B251,TH.T4!B248:AC578,28,FALSE)</f>
        <v>Đ-ĐT</v>
      </c>
      <c r="W251" s="1012"/>
      <c r="X251" s="1012"/>
      <c r="Y251" s="1027"/>
      <c r="Z251" s="1012"/>
      <c r="AA251" s="1012"/>
      <c r="AB251" s="1012"/>
      <c r="AC251" s="1012"/>
      <c r="AD251" s="1012"/>
      <c r="AE251" s="1012"/>
    </row>
    <row r="252" spans="1:35" s="1028" customFormat="1" ht="33.75" customHeight="1">
      <c r="A252" s="1014">
        <f>_xlfn.AGGREGATE(4,7,A$24:A251)+1</f>
        <v>228</v>
      </c>
      <c r="B252" s="1101" t="s">
        <v>1838</v>
      </c>
      <c r="C252" s="1033" t="s">
        <v>1975</v>
      </c>
      <c r="D252" s="1039">
        <v>1603205590132</v>
      </c>
      <c r="E252" s="81" t="str">
        <f>VLOOKUP(B252,TH.Q2!B154:E485,4,FALSE)</f>
        <v>Giảng viên khoa
Điện - Điện tử</v>
      </c>
      <c r="F252" s="1018">
        <v>2.67</v>
      </c>
      <c r="G252" s="1019"/>
      <c r="H252" s="1248">
        <f t="shared" si="24"/>
        <v>0</v>
      </c>
      <c r="I252" s="1020">
        <v>0.25</v>
      </c>
      <c r="J252" s="1020" t="str">
        <f>VLOOKUP(B252,'[27]Gui chi Quynh'!$B$11:$E$396,4,FALSE)</f>
        <v>A1</v>
      </c>
      <c r="K252" s="1020">
        <f t="shared" si="25"/>
        <v>0.8</v>
      </c>
      <c r="L252" s="1021">
        <v>20</v>
      </c>
      <c r="M252" s="1021">
        <f>VLOOKUP(B252,'[28]CN BC'!$H$10:$J$275,3,FALSE)</f>
        <v>20</v>
      </c>
      <c r="N252" s="1021">
        <f t="shared" si="22"/>
        <v>20</v>
      </c>
      <c r="O252" s="1022"/>
      <c r="P252" s="1023">
        <f t="shared" si="23"/>
        <v>5466240</v>
      </c>
      <c r="Q252" s="1477">
        <f t="shared" si="26"/>
        <v>2.3359999999999999</v>
      </c>
      <c r="R252" s="1429">
        <v>2340000</v>
      </c>
      <c r="S252" s="1478">
        <f t="shared" si="27"/>
        <v>5466240</v>
      </c>
      <c r="T252" s="1024">
        <f t="shared" si="28"/>
        <v>228</v>
      </c>
      <c r="U252" s="1025">
        <f>IFERROR(INDEX('[28]CN BC'!$M$10:$M$276,MATCH(B252,'[28]CN BC'!$H$10:$H$276,0)),"")</f>
        <v>0</v>
      </c>
      <c r="V252" s="1011" t="str">
        <f>VLOOKUP(B252,TH.T4!B249:AC579,28,FALSE)</f>
        <v>Đ-ĐT</v>
      </c>
      <c r="W252" s="1012"/>
      <c r="X252" s="1012"/>
      <c r="Y252" s="1027"/>
      <c r="Z252" s="1012"/>
      <c r="AA252" s="1012"/>
      <c r="AB252" s="1012"/>
      <c r="AC252" s="1012"/>
      <c r="AD252" s="1012"/>
      <c r="AE252" s="1012"/>
    </row>
    <row r="253" spans="1:35" s="1028" customFormat="1" ht="33.75" customHeight="1">
      <c r="A253" s="1014">
        <f>_xlfn.AGGREGATE(4,7,A$24:A252)+1</f>
        <v>229</v>
      </c>
      <c r="B253" s="1101" t="s">
        <v>1993</v>
      </c>
      <c r="C253" s="1033"/>
      <c r="D253" s="1103"/>
      <c r="E253" s="81" t="str">
        <f>VLOOKUP(B253,TH.Q2!B155:E486,4,FALSE)</f>
        <v>Giảng viên khoa Điện - Điện tử</v>
      </c>
      <c r="F253" s="1018">
        <v>3.99</v>
      </c>
      <c r="G253" s="1019"/>
      <c r="H253" s="1248">
        <f t="shared" si="24"/>
        <v>0</v>
      </c>
      <c r="I253" s="1020"/>
      <c r="J253" s="1020" t="str">
        <f>VLOOKUP(B253,'[27]Gui chi Quynh'!$B$11:$E$396,4,FALSE)</f>
        <v>A3</v>
      </c>
      <c r="K253" s="1020">
        <f t="shared" si="25"/>
        <v>0.6</v>
      </c>
      <c r="L253" s="1021">
        <v>20</v>
      </c>
      <c r="M253" s="1021">
        <f>VLOOKUP(B253,'[28]CN BC'!$H$10:$J$275,3,FALSE)</f>
        <v>20</v>
      </c>
      <c r="N253" s="1021">
        <f t="shared" si="22"/>
        <v>20</v>
      </c>
      <c r="O253" s="1022"/>
      <c r="P253" s="1023">
        <f t="shared" si="23"/>
        <v>5601960</v>
      </c>
      <c r="Q253" s="1477">
        <f t="shared" si="26"/>
        <v>2.3940000000000001</v>
      </c>
      <c r="R253" s="1429">
        <v>2340000</v>
      </c>
      <c r="S253" s="1478">
        <f t="shared" si="27"/>
        <v>5601960</v>
      </c>
      <c r="T253" s="1024">
        <f t="shared" si="28"/>
        <v>229</v>
      </c>
      <c r="U253" s="1025">
        <f>IFERROR(INDEX('[28]CN BC'!$M$10:$M$276,MATCH(B253,'[28]CN BC'!$H$10:$H$276,0)),"")</f>
        <v>0</v>
      </c>
      <c r="V253" s="1011" t="str">
        <f>VLOOKUP(B253,TH.T4!B250:AC580,28,FALSE)</f>
        <v>Đ-ĐT</v>
      </c>
      <c r="W253" s="1012"/>
      <c r="X253" s="1012"/>
      <c r="Y253" s="1027"/>
      <c r="Z253" s="1012"/>
      <c r="AA253" s="1012"/>
      <c r="AB253" s="1012"/>
      <c r="AC253" s="1012"/>
      <c r="AD253" s="1012"/>
      <c r="AE253" s="1012"/>
    </row>
    <row r="254" spans="1:35" s="1028" customFormat="1" ht="33.75" customHeight="1">
      <c r="A254" s="1014">
        <f>_xlfn.AGGREGATE(4,7,A$24:A253)+1</f>
        <v>230</v>
      </c>
      <c r="B254" s="1101" t="s">
        <v>2002</v>
      </c>
      <c r="C254" s="1033"/>
      <c r="D254" s="1103"/>
      <c r="E254" s="81" t="str">
        <f>VLOOKUP(B254,TH.Q2!B156:E487,4,FALSE)</f>
        <v>Giảng viên khoa Điện - Điện tử</v>
      </c>
      <c r="F254" s="1018">
        <v>2.67</v>
      </c>
      <c r="G254" s="1019"/>
      <c r="H254" s="1248">
        <f t="shared" si="24"/>
        <v>0</v>
      </c>
      <c r="I254" s="1020"/>
      <c r="J254" s="1020" t="str">
        <f>VLOOKUP(B254,'[27]Gui chi Quynh'!$B$11:$E$396,4,FALSE)</f>
        <v>A3</v>
      </c>
      <c r="K254" s="1020">
        <f t="shared" si="25"/>
        <v>0.6</v>
      </c>
      <c r="L254" s="1021">
        <v>20</v>
      </c>
      <c r="M254" s="1021">
        <f>VLOOKUP(B254,'[28]CN BC'!$H$10:$J$275,3,FALSE)</f>
        <v>20</v>
      </c>
      <c r="N254" s="1021">
        <f t="shared" si="22"/>
        <v>20</v>
      </c>
      <c r="O254" s="1022"/>
      <c r="P254" s="1023">
        <f t="shared" si="23"/>
        <v>3748680</v>
      </c>
      <c r="Q254" s="1477">
        <f t="shared" si="26"/>
        <v>1.6020000000000001</v>
      </c>
      <c r="R254" s="1429">
        <v>2340000</v>
      </c>
      <c r="S254" s="1478">
        <f t="shared" si="27"/>
        <v>3748680</v>
      </c>
      <c r="T254" s="1024">
        <f t="shared" si="28"/>
        <v>230</v>
      </c>
      <c r="U254" s="1025">
        <f>IFERROR(INDEX('[28]CN BC'!$M$10:$M$276,MATCH(B254,'[28]CN BC'!$H$10:$H$276,0)),"")</f>
        <v>0</v>
      </c>
      <c r="V254" s="1011" t="str">
        <f>VLOOKUP(B254,TH.T4!B251:AC581,28,FALSE)</f>
        <v>Đ-ĐT</v>
      </c>
      <c r="Y254" s="1038"/>
    </row>
    <row r="255" spans="1:35" s="1028" customFormat="1" ht="33.75" customHeight="1">
      <c r="A255" s="1014">
        <f>_xlfn.AGGREGATE(4,7,A$24:A254)+1</f>
        <v>231</v>
      </c>
      <c r="B255" s="1101" t="s">
        <v>2004</v>
      </c>
      <c r="C255" s="1033"/>
      <c r="D255" s="1103"/>
      <c r="E255" s="81" t="str">
        <f>VLOOKUP(B255,TH.Q2!B157:E488,4,FALSE)</f>
        <v>Giảng viên khoa Điện - Điện tử</v>
      </c>
      <c r="F255" s="1018">
        <v>2.34</v>
      </c>
      <c r="G255" s="1019"/>
      <c r="H255" s="1248">
        <f t="shared" si="24"/>
        <v>0</v>
      </c>
      <c r="I255" s="1020"/>
      <c r="J255" s="1020" t="str">
        <f>VLOOKUP(B255,'[27]Gui chi Quynh'!$B$11:$E$396,4,FALSE)</f>
        <v>A3</v>
      </c>
      <c r="K255" s="1020">
        <f t="shared" si="25"/>
        <v>0.6</v>
      </c>
      <c r="L255" s="1021">
        <v>20</v>
      </c>
      <c r="M255" s="1021">
        <f>VLOOKUP(B255,'[28]CN BC'!$H$10:$J$275,3,FALSE)</f>
        <v>20</v>
      </c>
      <c r="N255" s="1021">
        <f t="shared" si="22"/>
        <v>20</v>
      </c>
      <c r="O255" s="1022"/>
      <c r="P255" s="1023">
        <f t="shared" si="23"/>
        <v>3285360</v>
      </c>
      <c r="Q255" s="1477">
        <f t="shared" si="26"/>
        <v>1.4039999999999999</v>
      </c>
      <c r="R255" s="1429">
        <v>2340000</v>
      </c>
      <c r="S255" s="1478">
        <f t="shared" si="27"/>
        <v>3285360</v>
      </c>
      <c r="T255" s="1024">
        <f t="shared" si="28"/>
        <v>231</v>
      </c>
      <c r="U255" s="1025">
        <f>IFERROR(INDEX('[28]CN BC'!$M$10:$M$276,MATCH(B255,'[28]CN BC'!$H$10:$H$276,0)),"")</f>
        <v>0</v>
      </c>
      <c r="V255" s="1011" t="str">
        <f>VLOOKUP(B255,TH.T4!B252:AC582,28,FALSE)</f>
        <v>Đ-ĐT</v>
      </c>
      <c r="Y255" s="1038"/>
    </row>
    <row r="256" spans="1:35" s="1028" customFormat="1" ht="33.75" customHeight="1">
      <c r="A256" s="1014">
        <f>_xlfn.AGGREGATE(4,7,A$24:A255)+1</f>
        <v>232</v>
      </c>
      <c r="B256" s="1015" t="s">
        <v>1914</v>
      </c>
      <c r="C256" s="1033" t="s">
        <v>1803</v>
      </c>
      <c r="D256" s="1034" t="s">
        <v>0</v>
      </c>
      <c r="E256" s="81" t="str">
        <f>VLOOKUP(B256,TH.Q2!B158:E489,4,FALSE)</f>
        <v>Trưởng khoa Động lực</v>
      </c>
      <c r="F256" s="1018">
        <v>4.6500000000000004</v>
      </c>
      <c r="G256" s="1019"/>
      <c r="H256" s="1248">
        <f t="shared" si="24"/>
        <v>0</v>
      </c>
      <c r="I256" s="1020">
        <v>0.45</v>
      </c>
      <c r="J256" s="1020" t="str">
        <f>VLOOKUP(B256,'[27]Gui chi Quynh'!$B$11:$E$396,4,FALSE)</f>
        <v>A1</v>
      </c>
      <c r="K256" s="1020">
        <f t="shared" si="25"/>
        <v>0.8</v>
      </c>
      <c r="L256" s="1021">
        <v>20</v>
      </c>
      <c r="M256" s="1021">
        <f>VLOOKUP(B256,'[28]CN BC'!$H$10:$J$275,3,FALSE)</f>
        <v>20</v>
      </c>
      <c r="N256" s="1021">
        <f t="shared" si="22"/>
        <v>20</v>
      </c>
      <c r="O256" s="1022"/>
      <c r="P256" s="1023">
        <f t="shared" si="23"/>
        <v>9547200.0000000019</v>
      </c>
      <c r="Q256" s="1477">
        <f t="shared" si="26"/>
        <v>4.080000000000001</v>
      </c>
      <c r="R256" s="1429">
        <v>2340000</v>
      </c>
      <c r="S256" s="1478">
        <f t="shared" si="27"/>
        <v>9547200.0000000019</v>
      </c>
      <c r="T256" s="1024">
        <f t="shared" si="28"/>
        <v>232</v>
      </c>
      <c r="U256" s="1025">
        <f>IFERROR(INDEX('[28]CN BC'!$M$10:$M$276,MATCH(B256,'[28]CN BC'!$H$10:$H$276,0)),"")</f>
        <v>0</v>
      </c>
      <c r="V256" s="1011" t="str">
        <f>VLOOKUP(B256,TH.T4!B253:AC583,28,FALSE)</f>
        <v>ĐL</v>
      </c>
      <c r="W256" s="1046"/>
      <c r="X256" s="1012"/>
      <c r="Y256" s="1027"/>
      <c r="Z256" s="1012"/>
      <c r="AA256" s="1012"/>
      <c r="AB256" s="1012"/>
      <c r="AC256" s="1012"/>
      <c r="AD256" s="1012"/>
      <c r="AE256" s="1012"/>
    </row>
    <row r="257" spans="1:31" s="1028" customFormat="1" ht="33.75" customHeight="1">
      <c r="A257" s="1014">
        <f>_xlfn.AGGREGATE(4,7,A$24:A256)+1</f>
        <v>233</v>
      </c>
      <c r="B257" s="1015" t="s">
        <v>1915</v>
      </c>
      <c r="C257" s="1033" t="s">
        <v>1804</v>
      </c>
      <c r="D257" s="1034" t="s">
        <v>1420</v>
      </c>
      <c r="E257" s="81" t="str">
        <f>VLOOKUP(B257,TH.Q2!B159:E490,4,FALSE)</f>
        <v>Phó Trưởng khoa
 Động lực</v>
      </c>
      <c r="F257" s="1018">
        <v>4.9800000000000004</v>
      </c>
      <c r="G257" s="1019"/>
      <c r="H257" s="1248">
        <f t="shared" si="24"/>
        <v>0</v>
      </c>
      <c r="I257" s="1020">
        <v>0.35</v>
      </c>
      <c r="J257" s="1020" t="str">
        <f>VLOOKUP(B257,'[27]Gui chi Quynh'!$B$11:$E$396,4,FALSE)</f>
        <v>A2</v>
      </c>
      <c r="K257" s="1020">
        <f t="shared" si="25"/>
        <v>0.7</v>
      </c>
      <c r="L257" s="1021">
        <v>20</v>
      </c>
      <c r="M257" s="1021">
        <f>VLOOKUP(B257,'[28]CN BC'!$H$10:$J$275,3,FALSE)</f>
        <v>20</v>
      </c>
      <c r="N257" s="1021">
        <f t="shared" si="22"/>
        <v>20</v>
      </c>
      <c r="O257" s="1022"/>
      <c r="P257" s="1023">
        <f t="shared" si="23"/>
        <v>8730540</v>
      </c>
      <c r="Q257" s="1477">
        <f t="shared" si="26"/>
        <v>3.7309999999999999</v>
      </c>
      <c r="R257" s="1429">
        <v>2340000</v>
      </c>
      <c r="S257" s="1478">
        <f t="shared" si="27"/>
        <v>8730540</v>
      </c>
      <c r="T257" s="1024">
        <f t="shared" si="28"/>
        <v>233</v>
      </c>
      <c r="U257" s="1025">
        <f>IFERROR(INDEX('[28]CN BC'!$M$10:$M$276,MATCH(B257,'[28]CN BC'!$H$10:$H$276,0)),"")</f>
        <v>0</v>
      </c>
      <c r="V257" s="1011" t="str">
        <f>VLOOKUP(B257,TH.T4!B254:AC584,28,FALSE)</f>
        <v>ĐL</v>
      </c>
      <c r="W257" s="1012"/>
      <c r="X257" s="1012"/>
      <c r="Y257" s="1027"/>
      <c r="Z257" s="1012"/>
      <c r="AA257" s="1012"/>
      <c r="AB257" s="1012"/>
      <c r="AC257" s="1012"/>
      <c r="AD257" s="1012"/>
      <c r="AE257" s="1012"/>
    </row>
    <row r="258" spans="1:31" s="1028" customFormat="1" ht="33.75" customHeight="1">
      <c r="A258" s="1014">
        <f>_xlfn.AGGREGATE(4,7,A$24:A257)+1</f>
        <v>234</v>
      </c>
      <c r="B258" s="1015" t="s">
        <v>1916</v>
      </c>
      <c r="C258" s="1033" t="s">
        <v>1805</v>
      </c>
      <c r="D258" s="1034" t="s">
        <v>1</v>
      </c>
      <c r="E258" s="81" t="str">
        <f>VLOOKUP(B258,TH.Q2!B160:E491,4,FALSE)</f>
        <v>Giảng viên khoa Động lực</v>
      </c>
      <c r="F258" s="1018">
        <v>4.32</v>
      </c>
      <c r="G258" s="1019"/>
      <c r="H258" s="1248">
        <f t="shared" si="24"/>
        <v>0</v>
      </c>
      <c r="I258" s="1020">
        <v>0.25</v>
      </c>
      <c r="J258" s="1020" t="str">
        <f>VLOOKUP(B258,'[27]Gui chi Quynh'!$B$11:$E$396,4,FALSE)</f>
        <v>A4</v>
      </c>
      <c r="K258" s="1020">
        <f t="shared" si="25"/>
        <v>0.5</v>
      </c>
      <c r="L258" s="1021">
        <v>20</v>
      </c>
      <c r="M258" s="1021">
        <f>VLOOKUP(B258,'[28]CN BC'!$H$10:$J$275,3,FALSE)</f>
        <v>20</v>
      </c>
      <c r="N258" s="1021">
        <f t="shared" si="22"/>
        <v>20</v>
      </c>
      <c r="O258" s="1022"/>
      <c r="P258" s="1023">
        <f t="shared" si="23"/>
        <v>5346900</v>
      </c>
      <c r="Q258" s="1477">
        <f t="shared" si="26"/>
        <v>2.2850000000000001</v>
      </c>
      <c r="R258" s="1429">
        <v>2340000</v>
      </c>
      <c r="S258" s="1478">
        <f t="shared" si="27"/>
        <v>5346900</v>
      </c>
      <c r="T258" s="1024">
        <f t="shared" si="28"/>
        <v>234</v>
      </c>
      <c r="U258" s="1025">
        <f>IFERROR(INDEX('[28]CN BC'!$M$10:$M$276,MATCH(B258,'[28]CN BC'!$H$10:$H$276,0)),"")</f>
        <v>0</v>
      </c>
      <c r="V258" s="1011" t="str">
        <f>VLOOKUP(B258,TH.T4!B255:AC585,28,FALSE)</f>
        <v>ĐL</v>
      </c>
      <c r="W258" s="1012"/>
      <c r="X258" s="1012"/>
      <c r="Y258" s="1027"/>
      <c r="Z258" s="1012"/>
      <c r="AA258" s="1012"/>
      <c r="AB258" s="1012"/>
      <c r="AC258" s="1012"/>
      <c r="AD258" s="1012"/>
      <c r="AE258" s="1012"/>
    </row>
    <row r="259" spans="1:31" s="1028" customFormat="1" ht="33.75" customHeight="1">
      <c r="A259" s="1014">
        <f>_xlfn.AGGREGATE(4,7,A$24:A258)+1</f>
        <v>235</v>
      </c>
      <c r="B259" s="1015" t="s">
        <v>1542</v>
      </c>
      <c r="C259" s="1033" t="s">
        <v>1806</v>
      </c>
      <c r="D259" s="1034" t="s">
        <v>3</v>
      </c>
      <c r="E259" s="368" t="s">
        <v>2414</v>
      </c>
      <c r="F259" s="1040">
        <v>4.32</v>
      </c>
      <c r="G259" s="1019"/>
      <c r="H259" s="1255">
        <f t="shared" si="24"/>
        <v>0</v>
      </c>
      <c r="I259" s="1020"/>
      <c r="J259" s="1020" t="str">
        <f>VLOOKUP(B259,'[27]Gui chi Quynh'!$B$11:$E$396,4,FALSE)</f>
        <v>A4</v>
      </c>
      <c r="K259" s="1020">
        <f t="shared" si="25"/>
        <v>0.5</v>
      </c>
      <c r="L259" s="1021">
        <v>20</v>
      </c>
      <c r="M259" s="1021">
        <f>VLOOKUP(B259,'[28]CN BC'!$H$10:$J$275,3,FALSE)</f>
        <v>20</v>
      </c>
      <c r="N259" s="1021">
        <f t="shared" si="22"/>
        <v>20</v>
      </c>
      <c r="O259" s="1035"/>
      <c r="P259" s="1023">
        <f t="shared" si="23"/>
        <v>5054400</v>
      </c>
      <c r="Q259" s="1477">
        <f t="shared" si="26"/>
        <v>2.16</v>
      </c>
      <c r="R259" s="1429">
        <v>2340000</v>
      </c>
      <c r="S259" s="1478">
        <f t="shared" si="27"/>
        <v>5054400</v>
      </c>
      <c r="T259" s="1024">
        <f t="shared" si="28"/>
        <v>235</v>
      </c>
      <c r="U259" s="1025">
        <f>IFERROR(INDEX('[28]CN BC'!$M$10:$M$276,MATCH(B259,'[28]CN BC'!$H$10:$H$276,0)),"")</f>
        <v>0</v>
      </c>
      <c r="V259" s="1067" t="str">
        <f>VLOOKUP(B259,TH.T4!B256:AC586,28,FALSE)</f>
        <v>ĐL</v>
      </c>
      <c r="Y259" s="1038"/>
    </row>
    <row r="260" spans="1:31" s="1028" customFormat="1" ht="33.75" customHeight="1">
      <c r="A260" s="1014">
        <f>_xlfn.AGGREGATE(4,7,A$24:A259)+1</f>
        <v>236</v>
      </c>
      <c r="B260" s="1015" t="s">
        <v>1543</v>
      </c>
      <c r="C260" s="1033" t="s">
        <v>1807</v>
      </c>
      <c r="D260" s="1034" t="s">
        <v>4</v>
      </c>
      <c r="E260" s="81" t="str">
        <f>VLOOKUP(B260,TH.Q2!B162:E493,4,FALSE)</f>
        <v>Giảng viên - Trưởng BM khoa Động lực</v>
      </c>
      <c r="F260" s="1040">
        <v>3.99</v>
      </c>
      <c r="G260" s="1019"/>
      <c r="H260" s="1248">
        <f t="shared" si="24"/>
        <v>0</v>
      </c>
      <c r="I260" s="1020">
        <v>0.25</v>
      </c>
      <c r="J260" s="1020" t="str">
        <f>VLOOKUP(B260,'[27]Gui chi Quynh'!$B$11:$E$396,4,FALSE)</f>
        <v>A3</v>
      </c>
      <c r="K260" s="1020">
        <f t="shared" si="25"/>
        <v>0.6</v>
      </c>
      <c r="L260" s="1021">
        <v>20</v>
      </c>
      <c r="M260" s="1021">
        <f>VLOOKUP(B260,'[28]CN BC'!$H$10:$J$275,3,FALSE)</f>
        <v>20</v>
      </c>
      <c r="N260" s="1021">
        <f t="shared" si="22"/>
        <v>20</v>
      </c>
      <c r="O260" s="1022"/>
      <c r="P260" s="1023">
        <f t="shared" si="23"/>
        <v>5952960</v>
      </c>
      <c r="Q260" s="1477">
        <f t="shared" si="26"/>
        <v>2.544</v>
      </c>
      <c r="R260" s="1429">
        <v>2340000</v>
      </c>
      <c r="S260" s="1478">
        <f t="shared" si="27"/>
        <v>5952960</v>
      </c>
      <c r="T260" s="1024">
        <f t="shared" si="28"/>
        <v>236</v>
      </c>
      <c r="U260" s="1025">
        <f>IFERROR(INDEX('[28]CN BC'!$M$10:$M$276,MATCH(B260,'[28]CN BC'!$H$10:$H$276,0)),"")</f>
        <v>0</v>
      </c>
      <c r="V260" s="1011" t="str">
        <f>VLOOKUP(B260,TH.T4!B257:AC587,28,FALSE)</f>
        <v>ĐL</v>
      </c>
      <c r="W260" s="1012"/>
      <c r="X260" s="1012"/>
      <c r="Y260" s="1027"/>
      <c r="Z260" s="1012"/>
      <c r="AA260" s="1012"/>
      <c r="AB260" s="1012"/>
      <c r="AC260" s="1012"/>
      <c r="AD260" s="1012"/>
      <c r="AE260" s="1012"/>
    </row>
    <row r="261" spans="1:31" s="1028" customFormat="1" ht="27.75" customHeight="1">
      <c r="A261" s="1014">
        <f>_xlfn.AGGREGATE(4,7,A$24:A260)+1</f>
        <v>237</v>
      </c>
      <c r="B261" s="1015" t="s">
        <v>1544</v>
      </c>
      <c r="C261" s="1033" t="s">
        <v>1808</v>
      </c>
      <c r="D261" s="1034" t="s">
        <v>5</v>
      </c>
      <c r="E261" s="368" t="str">
        <f>VLOOKUP(B261,TH.Q2!B163:E494,4,FALSE)</f>
        <v>Giảng viên khoa Động lực</v>
      </c>
      <c r="F261" s="1040">
        <v>3.99</v>
      </c>
      <c r="G261" s="1019"/>
      <c r="H261" s="1255">
        <f t="shared" si="24"/>
        <v>0</v>
      </c>
      <c r="I261" s="1020"/>
      <c r="J261" s="1020" t="str">
        <f>VLOOKUP(B261,'[27]Gui chi Quynh'!$B$11:$E$396,4,FALSE)</f>
        <v>A4</v>
      </c>
      <c r="K261" s="1020">
        <f t="shared" si="25"/>
        <v>0.5</v>
      </c>
      <c r="L261" s="1021">
        <v>20</v>
      </c>
      <c r="M261" s="1021">
        <f>VLOOKUP(B261,'[28]CN BC'!$H$10:$J$275,3,FALSE)</f>
        <v>20</v>
      </c>
      <c r="N261" s="1021">
        <f t="shared" si="22"/>
        <v>20</v>
      </c>
      <c r="O261" s="1035"/>
      <c r="P261" s="1023">
        <f t="shared" si="23"/>
        <v>4668300</v>
      </c>
      <c r="Q261" s="1477">
        <f t="shared" si="26"/>
        <v>1.9950000000000001</v>
      </c>
      <c r="R261" s="1429">
        <v>2340000</v>
      </c>
      <c r="S261" s="1478">
        <f t="shared" si="27"/>
        <v>4668300</v>
      </c>
      <c r="T261" s="1024">
        <f t="shared" si="28"/>
        <v>237</v>
      </c>
      <c r="U261" s="1025">
        <f>IFERROR(INDEX('[28]CN BC'!$M$10:$M$276,MATCH(B261,'[28]CN BC'!$H$10:$H$276,0)),"")</f>
        <v>0</v>
      </c>
      <c r="V261" s="1067" t="str">
        <f>VLOOKUP(B261,TH.T4!B258:AC588,28,FALSE)</f>
        <v>ĐL</v>
      </c>
      <c r="Y261" s="1038"/>
    </row>
    <row r="262" spans="1:31" s="1028" customFormat="1" ht="27.75" customHeight="1">
      <c r="A262" s="1014">
        <f>_xlfn.AGGREGATE(4,7,A$24:A261)+1</f>
        <v>238</v>
      </c>
      <c r="B262" s="1015" t="s">
        <v>1917</v>
      </c>
      <c r="C262" s="1033" t="s">
        <v>1809</v>
      </c>
      <c r="D262" s="1034" t="s">
        <v>394</v>
      </c>
      <c r="E262" s="368" t="str">
        <f>VLOOKUP(B262,TH.Q2!B164:E495,4,FALSE)</f>
        <v>Giảng viên khoa Động lực</v>
      </c>
      <c r="F262" s="1040">
        <v>3.99</v>
      </c>
      <c r="G262" s="1019"/>
      <c r="H262" s="1255">
        <f t="shared" si="24"/>
        <v>0</v>
      </c>
      <c r="I262" s="1020"/>
      <c r="J262" s="1020" t="str">
        <f>VLOOKUP(B262,'[27]Gui chi Quynh'!$B$11:$E$396,4,FALSE)</f>
        <v>A4</v>
      </c>
      <c r="K262" s="1020">
        <f t="shared" si="25"/>
        <v>0.5</v>
      </c>
      <c r="L262" s="1021">
        <v>20</v>
      </c>
      <c r="M262" s="1021">
        <f>VLOOKUP(B262,'[28]CN BC'!$H$10:$J$275,3,FALSE)</f>
        <v>20</v>
      </c>
      <c r="N262" s="1021">
        <f t="shared" si="22"/>
        <v>20</v>
      </c>
      <c r="O262" s="1035"/>
      <c r="P262" s="1023">
        <f t="shared" si="23"/>
        <v>4668300</v>
      </c>
      <c r="Q262" s="1477">
        <f t="shared" si="26"/>
        <v>1.9950000000000001</v>
      </c>
      <c r="R262" s="1429">
        <v>2340000</v>
      </c>
      <c r="S262" s="1478">
        <f t="shared" si="27"/>
        <v>4668300</v>
      </c>
      <c r="T262" s="1024">
        <f t="shared" si="28"/>
        <v>238</v>
      </c>
      <c r="U262" s="1025">
        <f>IFERROR(INDEX('[28]CN BC'!$M$10:$M$276,MATCH(B262,'[28]CN BC'!$H$10:$H$276,0)),"")</f>
        <v>0</v>
      </c>
      <c r="V262" s="1067" t="str">
        <f>VLOOKUP(B262,TH.T4!B259:AC589,28,FALSE)</f>
        <v>ĐL</v>
      </c>
      <c r="Y262" s="1038"/>
    </row>
    <row r="263" spans="1:31" s="1028" customFormat="1" ht="27.75" customHeight="1">
      <c r="A263" s="1014">
        <f>_xlfn.AGGREGATE(4,7,A$24:A262)+1</f>
        <v>239</v>
      </c>
      <c r="B263" s="1101" t="s">
        <v>1918</v>
      </c>
      <c r="C263" s="1033" t="s">
        <v>1810</v>
      </c>
      <c r="D263" s="1034" t="s">
        <v>393</v>
      </c>
      <c r="E263" s="368" t="str">
        <f>VLOOKUP(B263,TH.Q2!B165:E496,4,FALSE)</f>
        <v>Giảng viên khoa Động lực</v>
      </c>
      <c r="F263" s="1040">
        <v>3.99</v>
      </c>
      <c r="G263" s="1019"/>
      <c r="H263" s="1255">
        <f t="shared" si="24"/>
        <v>0</v>
      </c>
      <c r="I263" s="1020"/>
      <c r="J263" s="1020" t="str">
        <f>VLOOKUP(B263,'[27]Gui chi Quynh'!$B$11:$E$396,4,FALSE)</f>
        <v>A4</v>
      </c>
      <c r="K263" s="1020">
        <f t="shared" si="25"/>
        <v>0.5</v>
      </c>
      <c r="L263" s="1021">
        <v>20</v>
      </c>
      <c r="M263" s="1021">
        <f>VLOOKUP(B263,'[28]CN BC'!$H$10:$J$275,3,FALSE)</f>
        <v>20</v>
      </c>
      <c r="N263" s="1021">
        <f t="shared" si="22"/>
        <v>20</v>
      </c>
      <c r="O263" s="1035"/>
      <c r="P263" s="1023">
        <f t="shared" si="23"/>
        <v>4668300</v>
      </c>
      <c r="Q263" s="1477">
        <f t="shared" si="26"/>
        <v>1.9950000000000001</v>
      </c>
      <c r="R263" s="1429">
        <v>2340000</v>
      </c>
      <c r="S263" s="1478">
        <f t="shared" si="27"/>
        <v>4668300</v>
      </c>
      <c r="T263" s="1024">
        <f t="shared" si="28"/>
        <v>239</v>
      </c>
      <c r="U263" s="1025">
        <f>IFERROR(INDEX('[28]CN BC'!$M$10:$M$276,MATCH(B263,'[28]CN BC'!$H$10:$H$276,0)),"")</f>
        <v>0</v>
      </c>
      <c r="V263" s="1067" t="str">
        <f>VLOOKUP(B263,TH.T4!B260:AC590,28,FALSE)</f>
        <v>ĐL</v>
      </c>
      <c r="Y263" s="1038"/>
    </row>
    <row r="264" spans="1:31" s="1028" customFormat="1" ht="27.75" customHeight="1">
      <c r="A264" s="1014">
        <f>_xlfn.AGGREGATE(4,7,A$24:A263)+1</f>
        <v>240</v>
      </c>
      <c r="B264" s="1015" t="s">
        <v>1545</v>
      </c>
      <c r="C264" s="1033" t="s">
        <v>1811</v>
      </c>
      <c r="D264" s="1034" t="s">
        <v>395</v>
      </c>
      <c r="E264" s="368" t="str">
        <f>VLOOKUP(B264,TH.Q2!B166:E497,4,FALSE)</f>
        <v>Giảng viên khoa Động lực</v>
      </c>
      <c r="F264" s="1040">
        <v>3.99</v>
      </c>
      <c r="G264" s="1019"/>
      <c r="H264" s="1255">
        <f t="shared" si="24"/>
        <v>0</v>
      </c>
      <c r="I264" s="1020"/>
      <c r="J264" s="1020" t="str">
        <f>VLOOKUP(B264,'[27]Gui chi Quynh'!$B$11:$E$396,4,FALSE)</f>
        <v>A4</v>
      </c>
      <c r="K264" s="1020">
        <f t="shared" si="25"/>
        <v>0.5</v>
      </c>
      <c r="L264" s="1021">
        <v>20</v>
      </c>
      <c r="M264" s="1021">
        <f>VLOOKUP(B264,'[28]CN BC'!$H$10:$J$275,3,FALSE)</f>
        <v>20</v>
      </c>
      <c r="N264" s="1021">
        <f t="shared" si="22"/>
        <v>20</v>
      </c>
      <c r="O264" s="1035"/>
      <c r="P264" s="1023">
        <f t="shared" si="23"/>
        <v>4668300</v>
      </c>
      <c r="Q264" s="1477">
        <f t="shared" si="26"/>
        <v>1.9950000000000001</v>
      </c>
      <c r="R264" s="1429">
        <v>2340000</v>
      </c>
      <c r="S264" s="1478">
        <f t="shared" si="27"/>
        <v>4668300</v>
      </c>
      <c r="T264" s="1024">
        <f t="shared" si="28"/>
        <v>240</v>
      </c>
      <c r="U264" s="1025">
        <f>IFERROR(INDEX('[28]CN BC'!$M$10:$M$276,MATCH(B264,'[28]CN BC'!$H$10:$H$276,0)),"")</f>
        <v>0</v>
      </c>
      <c r="V264" s="1067" t="str">
        <f>VLOOKUP(B264,TH.T4!B261:AC591,28,FALSE)</f>
        <v>ĐL</v>
      </c>
      <c r="Y264" s="1038"/>
    </row>
    <row r="265" spans="1:31" s="1028" customFormat="1" ht="27.75" customHeight="1">
      <c r="A265" s="1014">
        <f>_xlfn.AGGREGATE(4,7,A$24:A264)+1</f>
        <v>241</v>
      </c>
      <c r="B265" s="1015" t="s">
        <v>1546</v>
      </c>
      <c r="C265" s="1033" t="s">
        <v>1812</v>
      </c>
      <c r="D265" s="1034" t="s">
        <v>473</v>
      </c>
      <c r="E265" s="81" t="str">
        <f>VLOOKUP(B265,TH.Q2!B167:E498,4,FALSE)</f>
        <v>Giảng viên khoa Động lực</v>
      </c>
      <c r="F265" s="1040">
        <v>3.66</v>
      </c>
      <c r="G265" s="1019"/>
      <c r="H265" s="1248">
        <f t="shared" si="24"/>
        <v>0</v>
      </c>
      <c r="I265" s="1020"/>
      <c r="J265" s="1020" t="str">
        <f>VLOOKUP(B265,'[27]Gui chi Quynh'!$B$11:$E$396,4,FALSE)</f>
        <v>A4</v>
      </c>
      <c r="K265" s="1020">
        <f t="shared" si="25"/>
        <v>0.5</v>
      </c>
      <c r="L265" s="1021">
        <v>20</v>
      </c>
      <c r="M265" s="1021">
        <f>VLOOKUP(B265,'[28]CN BC'!$H$10:$J$275,3,FALSE)</f>
        <v>20</v>
      </c>
      <c r="N265" s="1021">
        <f t="shared" si="22"/>
        <v>20</v>
      </c>
      <c r="O265" s="1022"/>
      <c r="P265" s="1023">
        <f t="shared" si="23"/>
        <v>4282200</v>
      </c>
      <c r="Q265" s="1477">
        <f t="shared" si="26"/>
        <v>1.83</v>
      </c>
      <c r="R265" s="1429">
        <v>2340000</v>
      </c>
      <c r="S265" s="1478">
        <f t="shared" si="27"/>
        <v>4282200</v>
      </c>
      <c r="T265" s="1024">
        <f t="shared" si="28"/>
        <v>241</v>
      </c>
      <c r="U265" s="1025">
        <f>IFERROR(INDEX('[28]CN BC'!$M$10:$M$276,MATCH(B265,'[28]CN BC'!$H$10:$H$276,0)),"")</f>
        <v>0</v>
      </c>
      <c r="V265" s="1011" t="str">
        <f>VLOOKUP(B265,TH.T4!B262:AC592,28,FALSE)</f>
        <v>ĐL</v>
      </c>
      <c r="W265" s="1046"/>
      <c r="X265" s="1012"/>
      <c r="Y265" s="1027"/>
      <c r="Z265" s="1012"/>
      <c r="AA265" s="1012"/>
      <c r="AB265" s="1012"/>
      <c r="AC265" s="1012"/>
      <c r="AD265" s="1012"/>
      <c r="AE265" s="1012"/>
    </row>
    <row r="266" spans="1:31" s="1028" customFormat="1" ht="27.75" customHeight="1">
      <c r="A266" s="1014">
        <f>_xlfn.AGGREGATE(4,7,A$24:A265)+1</f>
        <v>242</v>
      </c>
      <c r="B266" s="1015" t="s">
        <v>1547</v>
      </c>
      <c r="C266" s="1033" t="s">
        <v>1813</v>
      </c>
      <c r="D266" s="1104" t="s">
        <v>490</v>
      </c>
      <c r="E266" s="81" t="str">
        <f>VLOOKUP(B266,TH.Q2!B168:E499,4,FALSE)</f>
        <v>Giảng viên khoa Động lực</v>
      </c>
      <c r="F266" s="1040">
        <v>3.66</v>
      </c>
      <c r="G266" s="1019"/>
      <c r="H266" s="1248">
        <f t="shared" si="24"/>
        <v>0</v>
      </c>
      <c r="I266" s="1020"/>
      <c r="J266" s="1020" t="str">
        <f>VLOOKUP(B266,'[27]Gui chi Quynh'!$B$11:$E$396,4,FALSE)</f>
        <v>A4</v>
      </c>
      <c r="K266" s="1020">
        <f t="shared" si="25"/>
        <v>0.5</v>
      </c>
      <c r="L266" s="1021">
        <v>20</v>
      </c>
      <c r="M266" s="1021">
        <f>VLOOKUP(B266,'[28]CN BC'!$H$10:$J$275,3,FALSE)</f>
        <v>20</v>
      </c>
      <c r="N266" s="1021">
        <f t="shared" si="22"/>
        <v>20</v>
      </c>
      <c r="O266" s="1022"/>
      <c r="P266" s="1023">
        <f t="shared" si="23"/>
        <v>4282200</v>
      </c>
      <c r="Q266" s="1477">
        <f t="shared" si="26"/>
        <v>1.83</v>
      </c>
      <c r="R266" s="1429">
        <v>2340000</v>
      </c>
      <c r="S266" s="1478">
        <f t="shared" si="27"/>
        <v>4282200</v>
      </c>
      <c r="T266" s="1024">
        <f t="shared" si="28"/>
        <v>242</v>
      </c>
      <c r="U266" s="1025">
        <f>IFERROR(INDEX('[28]CN BC'!$M$10:$M$276,MATCH(B266,'[28]CN BC'!$H$10:$H$276,0)),"")</f>
        <v>0</v>
      </c>
      <c r="V266" s="1011" t="str">
        <f>VLOOKUP(B266,TH.T4!B263:AC593,28,FALSE)</f>
        <v>ĐL</v>
      </c>
      <c r="W266" s="1012"/>
      <c r="X266" s="1012"/>
      <c r="Y266" s="1027"/>
      <c r="Z266" s="1012"/>
      <c r="AA266" s="1012"/>
      <c r="AB266" s="1012"/>
      <c r="AC266" s="1012"/>
      <c r="AD266" s="1012"/>
      <c r="AE266" s="1012"/>
    </row>
    <row r="267" spans="1:31" s="1028" customFormat="1" ht="27.75" customHeight="1">
      <c r="A267" s="1014">
        <f>_xlfn.AGGREGATE(4,7,A$24:A266)+1</f>
        <v>243</v>
      </c>
      <c r="B267" s="1015" t="s">
        <v>1919</v>
      </c>
      <c r="C267" s="1033" t="s">
        <v>1814</v>
      </c>
      <c r="D267" s="1034" t="s">
        <v>750</v>
      </c>
      <c r="E267" s="81" t="str">
        <f>VLOOKUP(B267,TH.Q2!B169:E500,4,FALSE)</f>
        <v>Giảng viên khoa Động lực</v>
      </c>
      <c r="F267" s="1040">
        <v>3.66</v>
      </c>
      <c r="G267" s="1019"/>
      <c r="H267" s="1248">
        <f t="shared" si="24"/>
        <v>0</v>
      </c>
      <c r="I267" s="1020"/>
      <c r="J267" s="1020" t="str">
        <f>VLOOKUP(B267,'[27]Gui chi Quynh'!$B$11:$E$396,4,FALSE)</f>
        <v>A3</v>
      </c>
      <c r="K267" s="1020">
        <f t="shared" si="25"/>
        <v>0.6</v>
      </c>
      <c r="L267" s="1021">
        <v>20</v>
      </c>
      <c r="M267" s="1021">
        <f>VLOOKUP(B267,'[28]CN BC'!$H$10:$J$275,3,FALSE)</f>
        <v>20</v>
      </c>
      <c r="N267" s="1021">
        <f t="shared" si="22"/>
        <v>20</v>
      </c>
      <c r="O267" s="1022"/>
      <c r="P267" s="1023">
        <f t="shared" si="23"/>
        <v>5138640</v>
      </c>
      <c r="Q267" s="1477">
        <f t="shared" si="26"/>
        <v>2.1960000000000002</v>
      </c>
      <c r="R267" s="1429">
        <v>2340000</v>
      </c>
      <c r="S267" s="1478">
        <f t="shared" si="27"/>
        <v>5138640</v>
      </c>
      <c r="T267" s="1024">
        <f t="shared" si="28"/>
        <v>243</v>
      </c>
      <c r="U267" s="1025">
        <f>IFERROR(INDEX('[28]CN BC'!$M$10:$M$276,MATCH(B267,'[28]CN BC'!$H$10:$H$276,0)),"")</f>
        <v>0</v>
      </c>
      <c r="V267" s="1011" t="str">
        <f>VLOOKUP(B267,TH.T4!B264:AC594,28,FALSE)</f>
        <v>ĐL</v>
      </c>
      <c r="W267" s="1012"/>
      <c r="X267" s="1012"/>
      <c r="Y267" s="1027"/>
      <c r="Z267" s="1012"/>
      <c r="AA267" s="1012"/>
      <c r="AB267" s="1012"/>
      <c r="AC267" s="1012"/>
      <c r="AD267" s="1012"/>
      <c r="AE267" s="1012"/>
    </row>
    <row r="268" spans="1:31" s="1028" customFormat="1" ht="27.75" customHeight="1">
      <c r="A268" s="1014">
        <f>_xlfn.AGGREGATE(4,7,A$24:A267)+1</f>
        <v>244</v>
      </c>
      <c r="B268" s="1015" t="s">
        <v>1548</v>
      </c>
      <c r="C268" s="1033" t="s">
        <v>1815</v>
      </c>
      <c r="D268" s="1034" t="s">
        <v>752</v>
      </c>
      <c r="E268" s="81" t="str">
        <f>VLOOKUP(B268,TH.Q2!B170:E501,4,FALSE)</f>
        <v>Giảng viên khoa Động lực</v>
      </c>
      <c r="F268" s="1040">
        <v>3.66</v>
      </c>
      <c r="G268" s="1019"/>
      <c r="H268" s="1248">
        <f t="shared" si="24"/>
        <v>0</v>
      </c>
      <c r="I268" s="1020"/>
      <c r="J268" s="1020" t="str">
        <f>VLOOKUP(B268,'[27]Gui chi Quynh'!$B$11:$E$396,4,FALSE)</f>
        <v>A4</v>
      </c>
      <c r="K268" s="1020">
        <f t="shared" si="25"/>
        <v>0.5</v>
      </c>
      <c r="L268" s="1021">
        <v>20</v>
      </c>
      <c r="M268" s="1021">
        <f>VLOOKUP(B268,'[28]CN BC'!$H$10:$J$275,3,FALSE)</f>
        <v>20</v>
      </c>
      <c r="N268" s="1021">
        <f t="shared" si="22"/>
        <v>20</v>
      </c>
      <c r="O268" s="1022"/>
      <c r="P268" s="1023">
        <f t="shared" si="23"/>
        <v>4282200</v>
      </c>
      <c r="Q268" s="1477">
        <f t="shared" si="26"/>
        <v>1.83</v>
      </c>
      <c r="R268" s="1429">
        <v>2340000</v>
      </c>
      <c r="S268" s="1478">
        <f t="shared" si="27"/>
        <v>4282200</v>
      </c>
      <c r="T268" s="1024">
        <f t="shared" si="28"/>
        <v>244</v>
      </c>
      <c r="U268" s="1025">
        <f>IFERROR(INDEX('[28]CN BC'!$M$10:$M$276,MATCH(B268,'[28]CN BC'!$H$10:$H$276,0)),"")</f>
        <v>0</v>
      </c>
      <c r="V268" s="1011" t="str">
        <f>VLOOKUP(B268,TH.T4!B265:AC595,28,FALSE)</f>
        <v>ĐL</v>
      </c>
      <c r="Y268" s="1038"/>
    </row>
    <row r="269" spans="1:31" s="1028" customFormat="1" ht="27.75" customHeight="1">
      <c r="A269" s="1014">
        <f>_xlfn.AGGREGATE(4,7,A$24:A268)+1</f>
        <v>245</v>
      </c>
      <c r="B269" s="1015" t="s">
        <v>1549</v>
      </c>
      <c r="C269" s="1033" t="s">
        <v>1816</v>
      </c>
      <c r="D269" s="1030" t="s">
        <v>1429</v>
      </c>
      <c r="E269" s="368" t="str">
        <f>VLOOKUP(B269,TH.Q2!B171:E502,4,FALSE)</f>
        <v>Giảng viên khoa Động lực</v>
      </c>
      <c r="F269" s="1109">
        <v>3.66</v>
      </c>
      <c r="G269" s="1019"/>
      <c r="H269" s="1255">
        <f t="shared" si="24"/>
        <v>0</v>
      </c>
      <c r="I269" s="1020">
        <v>0.25</v>
      </c>
      <c r="J269" s="1020" t="str">
        <f>VLOOKUP(B269,'[27]Gui chi Quynh'!$B$11:$E$396,4,FALSE)</f>
        <v>A4</v>
      </c>
      <c r="K269" s="1020">
        <f t="shared" si="25"/>
        <v>0.5</v>
      </c>
      <c r="L269" s="1021">
        <v>20</v>
      </c>
      <c r="M269" s="1021">
        <f>VLOOKUP(B269,'[28]CN BC'!$H$10:$J$275,3,FALSE)</f>
        <v>20</v>
      </c>
      <c r="N269" s="1021">
        <f t="shared" si="22"/>
        <v>20</v>
      </c>
      <c r="O269" s="1035"/>
      <c r="P269" s="1023">
        <f t="shared" si="23"/>
        <v>4574700</v>
      </c>
      <c r="Q269" s="1477">
        <f t="shared" si="26"/>
        <v>1.9550000000000001</v>
      </c>
      <c r="R269" s="1429">
        <v>2340000</v>
      </c>
      <c r="S269" s="1478">
        <f t="shared" si="27"/>
        <v>4574700</v>
      </c>
      <c r="T269" s="1024">
        <f t="shared" si="28"/>
        <v>245</v>
      </c>
      <c r="U269" s="1025">
        <f>IFERROR(INDEX('[28]CN BC'!$M$10:$M$276,MATCH(B269,'[28]CN BC'!$H$10:$H$276,0)),"")</f>
        <v>0</v>
      </c>
      <c r="V269" s="1067" t="str">
        <f>VLOOKUP(B269,TH.T4!B266:AC596,28,FALSE)</f>
        <v>ĐL</v>
      </c>
      <c r="Y269" s="1038"/>
    </row>
    <row r="270" spans="1:31" s="1028" customFormat="1" ht="27.75" customHeight="1">
      <c r="A270" s="1014">
        <f>_xlfn.AGGREGATE(4,7,A$24:A269)+1</f>
        <v>246</v>
      </c>
      <c r="B270" s="1015" t="s">
        <v>1550</v>
      </c>
      <c r="C270" s="1033" t="s">
        <v>1817</v>
      </c>
      <c r="D270" s="1030" t="s">
        <v>1430</v>
      </c>
      <c r="E270" s="368" t="str">
        <f>VLOOKUP(B270,TH.Q2!B172:E503,4,FALSE)</f>
        <v>Giảng viên khoa Động lực</v>
      </c>
      <c r="F270" s="1109">
        <v>3.66</v>
      </c>
      <c r="G270" s="1019"/>
      <c r="H270" s="1255">
        <f t="shared" si="24"/>
        <v>0</v>
      </c>
      <c r="I270" s="1020"/>
      <c r="J270" s="1020" t="str">
        <f>VLOOKUP(B270,'[27]Gui chi Quynh'!$B$11:$E$396,4,FALSE)</f>
        <v>A3</v>
      </c>
      <c r="K270" s="1020">
        <f t="shared" si="25"/>
        <v>0.6</v>
      </c>
      <c r="L270" s="1021">
        <v>20</v>
      </c>
      <c r="M270" s="1021">
        <f>VLOOKUP(B270,'[28]CN BC'!$H$10:$J$275,3,FALSE)</f>
        <v>20</v>
      </c>
      <c r="N270" s="1021">
        <f t="shared" si="22"/>
        <v>20</v>
      </c>
      <c r="O270" s="1035"/>
      <c r="P270" s="1023">
        <f t="shared" si="23"/>
        <v>5138640</v>
      </c>
      <c r="Q270" s="1477">
        <f t="shared" si="26"/>
        <v>2.1960000000000002</v>
      </c>
      <c r="R270" s="1429">
        <v>2340000</v>
      </c>
      <c r="S270" s="1478">
        <f t="shared" si="27"/>
        <v>5138640</v>
      </c>
      <c r="T270" s="1024">
        <f t="shared" si="28"/>
        <v>246</v>
      </c>
      <c r="U270" s="1025">
        <f>IFERROR(INDEX('[28]CN BC'!$M$10:$M$276,MATCH(B270,'[28]CN BC'!$H$10:$H$276,0)),"")</f>
        <v>0</v>
      </c>
      <c r="V270" s="1067" t="str">
        <f>VLOOKUP(B270,TH.T4!B267:AC597,28,FALSE)</f>
        <v>ĐL</v>
      </c>
      <c r="W270" s="1105"/>
      <c r="Y270" s="1038"/>
    </row>
    <row r="271" spans="1:31" s="1028" customFormat="1" ht="27.75" customHeight="1">
      <c r="A271" s="1014">
        <f>_xlfn.AGGREGATE(4,7,A$24:A270)+1</f>
        <v>247</v>
      </c>
      <c r="B271" s="1015" t="s">
        <v>1836</v>
      </c>
      <c r="C271" s="1033" t="s">
        <v>1976</v>
      </c>
      <c r="D271" s="1076" t="s">
        <v>1977</v>
      </c>
      <c r="E271" s="81" t="str">
        <f>VLOOKUP(B271,TH.Q2!B173:E504,4,FALSE)</f>
        <v>Giảng viên khoa Động lực</v>
      </c>
      <c r="F271" s="1109">
        <v>3</v>
      </c>
      <c r="G271" s="1019"/>
      <c r="H271" s="1248">
        <f t="shared" si="24"/>
        <v>0</v>
      </c>
      <c r="I271" s="1020"/>
      <c r="J271" s="1020" t="str">
        <f>VLOOKUP(B271,'[27]Gui chi Quynh'!$B$11:$E$396,4,FALSE)</f>
        <v>A4</v>
      </c>
      <c r="K271" s="1020">
        <f t="shared" si="25"/>
        <v>0.5</v>
      </c>
      <c r="L271" s="1021">
        <v>20</v>
      </c>
      <c r="M271" s="1021">
        <f>VLOOKUP(B271,'[28]CN BC'!$H$10:$J$275,3,FALSE)</f>
        <v>20</v>
      </c>
      <c r="N271" s="1021">
        <f t="shared" si="22"/>
        <v>20</v>
      </c>
      <c r="O271" s="1022"/>
      <c r="P271" s="1023">
        <f t="shared" si="23"/>
        <v>3510000</v>
      </c>
      <c r="Q271" s="1477">
        <f t="shared" si="26"/>
        <v>1.5</v>
      </c>
      <c r="R271" s="1429">
        <v>2340000</v>
      </c>
      <c r="S271" s="1478">
        <f t="shared" si="27"/>
        <v>3510000</v>
      </c>
      <c r="T271" s="1024">
        <f t="shared" si="28"/>
        <v>247</v>
      </c>
      <c r="U271" s="1025">
        <f>IFERROR(INDEX('[28]CN BC'!$M$10:$M$276,MATCH(B271,'[28]CN BC'!$H$10:$H$276,0)),"")</f>
        <v>0</v>
      </c>
      <c r="V271" s="1011" t="str">
        <f>VLOOKUP(B271,TH.T4!B268:AC598,28,FALSE)</f>
        <v>ĐL</v>
      </c>
      <c r="W271" s="1046"/>
      <c r="X271" s="1012"/>
      <c r="Y271" s="1027"/>
      <c r="Z271" s="1012"/>
      <c r="AA271" s="1012"/>
      <c r="AB271" s="1012"/>
      <c r="AC271" s="1012"/>
      <c r="AD271" s="1012"/>
      <c r="AE271" s="1012"/>
    </row>
    <row r="272" spans="1:31" s="1028" customFormat="1" ht="27.75" customHeight="1">
      <c r="A272" s="1014">
        <f>_xlfn.AGGREGATE(4,7,A$24:A271)+1</f>
        <v>248</v>
      </c>
      <c r="B272" s="1015" t="s">
        <v>1837</v>
      </c>
      <c r="C272" s="1033" t="s">
        <v>1978</v>
      </c>
      <c r="D272" s="1076" t="s">
        <v>1979</v>
      </c>
      <c r="E272" s="81" t="str">
        <f>VLOOKUP(B272,TH.Q2!B174:E505,4,FALSE)</f>
        <v>Giảng viên khoa Động lực</v>
      </c>
      <c r="F272" s="1104">
        <v>2.67</v>
      </c>
      <c r="G272" s="1019"/>
      <c r="H272" s="1248">
        <f t="shared" si="24"/>
        <v>0</v>
      </c>
      <c r="I272" s="1020"/>
      <c r="J272" s="1020" t="str">
        <f>VLOOKUP(B272,'[27]Gui chi Quynh'!$B$11:$E$396,4,FALSE)</f>
        <v>A4</v>
      </c>
      <c r="K272" s="1020">
        <f t="shared" si="25"/>
        <v>0.5</v>
      </c>
      <c r="L272" s="1021">
        <v>20</v>
      </c>
      <c r="M272" s="1021">
        <f>VLOOKUP(B272,'[28]CN BC'!$H$10:$J$275,3,FALSE)</f>
        <v>20</v>
      </c>
      <c r="N272" s="1021">
        <f t="shared" si="22"/>
        <v>20</v>
      </c>
      <c r="O272" s="1022"/>
      <c r="P272" s="1023">
        <f t="shared" si="23"/>
        <v>3123900</v>
      </c>
      <c r="Q272" s="1477">
        <f t="shared" si="26"/>
        <v>1.335</v>
      </c>
      <c r="R272" s="1429">
        <v>2340000</v>
      </c>
      <c r="S272" s="1478">
        <f t="shared" si="27"/>
        <v>3123900</v>
      </c>
      <c r="T272" s="1024">
        <f t="shared" si="28"/>
        <v>248</v>
      </c>
      <c r="U272" s="1025">
        <f>IFERROR(INDEX('[28]CN BC'!$M$10:$M$276,MATCH(B272,'[28]CN BC'!$H$10:$H$276,0)),"")</f>
        <v>0</v>
      </c>
      <c r="V272" s="1011" t="str">
        <f>VLOOKUP(B272,TH.T4!B269:AC599,28,FALSE)</f>
        <v>ĐL</v>
      </c>
      <c r="W272" s="1046"/>
      <c r="X272" s="1012"/>
      <c r="Y272" s="1027"/>
      <c r="Z272" s="1012"/>
      <c r="AA272" s="1012"/>
      <c r="AB272" s="1012"/>
      <c r="AC272" s="1012"/>
      <c r="AD272" s="1012"/>
      <c r="AE272" s="1012"/>
    </row>
    <row r="273" spans="1:35" s="1028" customFormat="1" ht="27.75" customHeight="1">
      <c r="A273" s="1014">
        <f>_xlfn.AGGREGATE(4,7,A$24:A272)+1</f>
        <v>249</v>
      </c>
      <c r="B273" s="1101" t="s">
        <v>1839</v>
      </c>
      <c r="C273" s="1033" t="s">
        <v>1980</v>
      </c>
      <c r="D273" s="1076" t="s">
        <v>1981</v>
      </c>
      <c r="E273" s="81" t="str">
        <f>VLOOKUP(B273,TH.Q2!B175:E506,4,FALSE)</f>
        <v>Giảng viên khoa Động lực</v>
      </c>
      <c r="F273" s="1109">
        <v>3</v>
      </c>
      <c r="G273" s="1019"/>
      <c r="H273" s="1248">
        <f t="shared" si="24"/>
        <v>0</v>
      </c>
      <c r="I273" s="1020"/>
      <c r="J273" s="1020" t="str">
        <f>VLOOKUP(B273,'[27]Gui chi Quynh'!$B$11:$E$396,4,FALSE)</f>
        <v>A4</v>
      </c>
      <c r="K273" s="1020">
        <f t="shared" si="25"/>
        <v>0.5</v>
      </c>
      <c r="L273" s="1021">
        <v>20</v>
      </c>
      <c r="M273" s="1021">
        <f>VLOOKUP(B273,'[28]CN BC'!$H$10:$J$275,3,FALSE)</f>
        <v>20</v>
      </c>
      <c r="N273" s="1021">
        <f t="shared" si="22"/>
        <v>20</v>
      </c>
      <c r="O273" s="1022"/>
      <c r="P273" s="1023">
        <f t="shared" si="23"/>
        <v>3510000</v>
      </c>
      <c r="Q273" s="1477">
        <f t="shared" si="26"/>
        <v>1.5</v>
      </c>
      <c r="R273" s="1429">
        <v>2340000</v>
      </c>
      <c r="S273" s="1478">
        <f t="shared" si="27"/>
        <v>3510000</v>
      </c>
      <c r="T273" s="1024">
        <f t="shared" si="28"/>
        <v>249</v>
      </c>
      <c r="U273" s="1025">
        <f>IFERROR(INDEX('[28]CN BC'!$M$10:$M$276,MATCH(B273,'[28]CN BC'!$H$10:$H$276,0)),"")</f>
        <v>0</v>
      </c>
      <c r="V273" s="1011" t="str">
        <f>VLOOKUP(B273,TH.T4!B270:AC600,28,FALSE)</f>
        <v>ĐL</v>
      </c>
      <c r="W273" s="1046"/>
      <c r="X273" s="1012"/>
      <c r="Y273" s="1027"/>
      <c r="Z273" s="1012"/>
      <c r="AA273" s="1012"/>
      <c r="AB273" s="1012"/>
      <c r="AC273" s="1012"/>
      <c r="AD273" s="1012"/>
      <c r="AE273" s="1012"/>
    </row>
    <row r="274" spans="1:35" s="1028" customFormat="1" ht="27.75" customHeight="1">
      <c r="A274" s="1014">
        <f>_xlfn.AGGREGATE(4,7,A$24:A273)+1</f>
        <v>250</v>
      </c>
      <c r="B274" s="1101" t="s">
        <v>1844</v>
      </c>
      <c r="C274" s="1033" t="s">
        <v>1982</v>
      </c>
      <c r="D274" s="1076" t="s">
        <v>1983</v>
      </c>
      <c r="E274" s="81" t="str">
        <f>VLOOKUP(B274,TH.Q2!B176:E507,4,FALSE)</f>
        <v>Giảng viên khoa Động lực</v>
      </c>
      <c r="F274" s="1109">
        <v>3.66</v>
      </c>
      <c r="G274" s="1019"/>
      <c r="H274" s="1248">
        <f t="shared" si="24"/>
        <v>0</v>
      </c>
      <c r="I274" s="1020"/>
      <c r="J274" s="1020" t="str">
        <f>VLOOKUP(B274,'[27]Gui chi Quynh'!$B$11:$E$396,4,FALSE)</f>
        <v>A3</v>
      </c>
      <c r="K274" s="1020">
        <f t="shared" si="25"/>
        <v>0.6</v>
      </c>
      <c r="L274" s="1021">
        <v>20</v>
      </c>
      <c r="M274" s="1021">
        <f>VLOOKUP(B274,'[28]CN BC'!$H$10:$J$275,3,FALSE)</f>
        <v>21</v>
      </c>
      <c r="N274" s="1021">
        <f t="shared" si="22"/>
        <v>20</v>
      </c>
      <c r="O274" s="1022"/>
      <c r="P274" s="1023">
        <f t="shared" si="23"/>
        <v>5138640</v>
      </c>
      <c r="Q274" s="1477">
        <f t="shared" si="26"/>
        <v>2.1960000000000002</v>
      </c>
      <c r="R274" s="1429">
        <v>2340000</v>
      </c>
      <c r="S274" s="1478">
        <f t="shared" si="27"/>
        <v>5138640</v>
      </c>
      <c r="T274" s="1024">
        <f t="shared" si="28"/>
        <v>250</v>
      </c>
      <c r="U274" s="1025" t="str">
        <f>IFERROR(INDEX('[28]CN BC'!$M$10:$M$276,MATCH(B274,'[28]CN BC'!$H$10:$H$276,0)),"")</f>
        <v>Cộng 1 ngày tham gia ẩm thực 3 miền 17/11</v>
      </c>
      <c r="V274" s="1011" t="str">
        <f>VLOOKUP(B274,TH.T4!B271:AC601,28,FALSE)</f>
        <v>ĐL</v>
      </c>
      <c r="W274" s="1046"/>
      <c r="X274" s="1012"/>
      <c r="Y274" s="1027"/>
      <c r="Z274" s="1012"/>
      <c r="AA274" s="1012"/>
      <c r="AB274" s="1012"/>
      <c r="AC274" s="1012"/>
      <c r="AD274" s="1012"/>
      <c r="AE274" s="1012"/>
    </row>
    <row r="275" spans="1:35" s="1028" customFormat="1" ht="27.75" customHeight="1">
      <c r="A275" s="1014">
        <f>_xlfn.AGGREGATE(4,7,A$24:A274)+1</f>
        <v>251</v>
      </c>
      <c r="B275" s="1101" t="s">
        <v>1926</v>
      </c>
      <c r="C275" s="1033" t="s">
        <v>1984</v>
      </c>
      <c r="D275" s="1108" t="s">
        <v>1985</v>
      </c>
      <c r="E275" s="81" t="str">
        <f>VLOOKUP(B275,TH.Q2!B177:E508,4,FALSE)</f>
        <v>Giảng viên khoa Động lực</v>
      </c>
      <c r="F275" s="1110">
        <v>2.67</v>
      </c>
      <c r="G275" s="1019"/>
      <c r="H275" s="1248">
        <f t="shared" si="24"/>
        <v>0</v>
      </c>
      <c r="I275" s="1020"/>
      <c r="J275" s="1020" t="str">
        <f>VLOOKUP(B275,'[27]Gui chi Quynh'!$B$11:$E$396,4,FALSE)</f>
        <v>A4</v>
      </c>
      <c r="K275" s="1020">
        <f t="shared" si="25"/>
        <v>0.5</v>
      </c>
      <c r="L275" s="1021">
        <v>20</v>
      </c>
      <c r="M275" s="1021">
        <f>VLOOKUP(B275,'[28]CN BC'!$H$10:$J$275,3,FALSE)</f>
        <v>20</v>
      </c>
      <c r="N275" s="1021">
        <f t="shared" si="22"/>
        <v>20</v>
      </c>
      <c r="O275" s="1022"/>
      <c r="P275" s="1023">
        <f t="shared" si="23"/>
        <v>3123900</v>
      </c>
      <c r="Q275" s="1477">
        <f t="shared" si="26"/>
        <v>1.335</v>
      </c>
      <c r="R275" s="1429">
        <v>2340000</v>
      </c>
      <c r="S275" s="1478">
        <f t="shared" si="27"/>
        <v>3123900</v>
      </c>
      <c r="T275" s="1024">
        <f t="shared" si="28"/>
        <v>251</v>
      </c>
      <c r="U275" s="1025">
        <f>IFERROR(INDEX('[28]CN BC'!$M$10:$M$276,MATCH(B275,'[28]CN BC'!$H$10:$H$276,0)),"")</f>
        <v>0</v>
      </c>
      <c r="V275" s="1011" t="str">
        <f>VLOOKUP(B275,TH.T4!B272:AC602,28,FALSE)</f>
        <v>ĐL</v>
      </c>
      <c r="W275" s="1046"/>
      <c r="X275" s="1012"/>
      <c r="Y275" s="1027"/>
      <c r="Z275" s="1012"/>
      <c r="AA275" s="1012"/>
      <c r="AB275" s="1012"/>
      <c r="AC275" s="1012"/>
      <c r="AD275" s="1012"/>
      <c r="AE275" s="1012"/>
    </row>
    <row r="276" spans="1:35" s="1028" customFormat="1" ht="27.75" customHeight="1">
      <c r="A276" s="1014">
        <f>_xlfn.AGGREGATE(4,7,A$24:A275)+1</f>
        <v>252</v>
      </c>
      <c r="B276" s="1101" t="s">
        <v>1941</v>
      </c>
      <c r="C276" s="1033" t="s">
        <v>1989</v>
      </c>
      <c r="D276" s="1108" t="s">
        <v>1988</v>
      </c>
      <c r="E276" s="81" t="str">
        <f>VLOOKUP(B276,TH.Q2!B178:E509,4,FALSE)</f>
        <v>Giảng viên khoa Động lực</v>
      </c>
      <c r="F276" s="1110">
        <v>2.34</v>
      </c>
      <c r="G276" s="1019"/>
      <c r="H276" s="1248">
        <f t="shared" si="24"/>
        <v>0</v>
      </c>
      <c r="I276" s="1020"/>
      <c r="J276" s="1020" t="str">
        <f>VLOOKUP(B276,'[27]Gui chi Quynh'!$B$11:$E$396,4,FALSE)</f>
        <v>A4</v>
      </c>
      <c r="K276" s="1020">
        <f t="shared" si="25"/>
        <v>0.5</v>
      </c>
      <c r="L276" s="1021">
        <v>20</v>
      </c>
      <c r="M276" s="1021">
        <f>VLOOKUP(B276,'[28]CN BC'!$H$10:$J$275,3,FALSE)</f>
        <v>20</v>
      </c>
      <c r="N276" s="1021">
        <f t="shared" si="22"/>
        <v>20</v>
      </c>
      <c r="O276" s="1022"/>
      <c r="P276" s="1023">
        <f t="shared" si="23"/>
        <v>2737800</v>
      </c>
      <c r="Q276" s="1477">
        <f t="shared" si="26"/>
        <v>1.17</v>
      </c>
      <c r="R276" s="1429">
        <v>2340000</v>
      </c>
      <c r="S276" s="1478">
        <f t="shared" si="27"/>
        <v>2737800</v>
      </c>
      <c r="T276" s="1024">
        <f t="shared" si="28"/>
        <v>252</v>
      </c>
      <c r="U276" s="1025">
        <f>IFERROR(INDEX('[28]CN BC'!$M$10:$M$276,MATCH(B276,'[28]CN BC'!$H$10:$H$276,0)),"")</f>
        <v>0</v>
      </c>
      <c r="V276" s="1011" t="str">
        <f>VLOOKUP(B276,TH.T4!B274:AC604,28,FALSE)</f>
        <v>ĐL</v>
      </c>
      <c r="W276" s="1046"/>
      <c r="X276" s="1012"/>
      <c r="Y276" s="1027"/>
      <c r="Z276" s="1012"/>
      <c r="AA276" s="1012"/>
      <c r="AB276" s="1012"/>
      <c r="AC276" s="1012"/>
      <c r="AD276" s="1012"/>
      <c r="AE276" s="1012"/>
    </row>
    <row r="277" spans="1:35" s="1028" customFormat="1" ht="27.75" customHeight="1">
      <c r="A277" s="1014">
        <f>_xlfn.AGGREGATE(4,7,A$24:A276)+1</f>
        <v>253</v>
      </c>
      <c r="B277" s="1101" t="s">
        <v>1945</v>
      </c>
      <c r="C277" s="1014" t="s">
        <v>1948</v>
      </c>
      <c r="D277" s="1030" t="s">
        <v>1949</v>
      </c>
      <c r="E277" s="81" t="str">
        <f>VLOOKUP(B277,TH.Q2!B180:E511,4,FALSE)</f>
        <v>Giảng viên khoa Động lực</v>
      </c>
      <c r="F277" s="1110">
        <v>3.66</v>
      </c>
      <c r="G277" s="1019"/>
      <c r="H277" s="1248">
        <f t="shared" si="24"/>
        <v>0</v>
      </c>
      <c r="I277" s="1020"/>
      <c r="J277" s="1020" t="str">
        <f>VLOOKUP(B277,'[27]Gui chi Quynh'!$B$11:$E$396,4,FALSE)</f>
        <v>A4</v>
      </c>
      <c r="K277" s="1020">
        <f t="shared" si="25"/>
        <v>0.5</v>
      </c>
      <c r="L277" s="1021">
        <v>20</v>
      </c>
      <c r="M277" s="1021">
        <f>VLOOKUP(B277,'[28]CN BC'!$H$10:$J$275,3,FALSE)</f>
        <v>20</v>
      </c>
      <c r="N277" s="1021">
        <f t="shared" si="22"/>
        <v>20</v>
      </c>
      <c r="O277" s="1022"/>
      <c r="P277" s="1023">
        <f t="shared" si="23"/>
        <v>4282200</v>
      </c>
      <c r="Q277" s="1477">
        <f t="shared" si="26"/>
        <v>1.83</v>
      </c>
      <c r="R277" s="1429">
        <v>2340000</v>
      </c>
      <c r="S277" s="1478">
        <f t="shared" si="27"/>
        <v>4282200</v>
      </c>
      <c r="T277" s="1024">
        <f t="shared" si="28"/>
        <v>253</v>
      </c>
      <c r="U277" s="1025">
        <f>IFERROR(INDEX('[28]CN BC'!$M$10:$M$276,MATCH(B277,'[28]CN BC'!$H$10:$H$276,0)),"")</f>
        <v>0</v>
      </c>
      <c r="V277" s="1011" t="str">
        <f>VLOOKUP(B277,TH.T4!B276:AC606,28,FALSE)</f>
        <v>ĐL</v>
      </c>
      <c r="W277" s="1046"/>
      <c r="X277" s="1012"/>
      <c r="Y277" s="1038"/>
    </row>
    <row r="278" spans="1:35" s="1028" customFormat="1" ht="27.75" customHeight="1">
      <c r="A278" s="1014">
        <f>_xlfn.AGGREGATE(4,7,A$24:A277)+1</f>
        <v>254</v>
      </c>
      <c r="B278" s="1101" t="s">
        <v>2003</v>
      </c>
      <c r="C278" s="1014"/>
      <c r="D278" s="1030"/>
      <c r="E278" s="81" t="str">
        <f>VLOOKUP(B278,TH.Q2!B181:E512,4,FALSE)</f>
        <v>Giảng viên khoa Động lực</v>
      </c>
      <c r="F278" s="1109">
        <v>3.33</v>
      </c>
      <c r="G278" s="1019"/>
      <c r="H278" s="1248">
        <f t="shared" si="24"/>
        <v>0</v>
      </c>
      <c r="I278" s="1020"/>
      <c r="J278" s="1020" t="str">
        <f>VLOOKUP(B278,'[27]Gui chi Quynh'!$B$11:$E$396,4,FALSE)</f>
        <v>A4</v>
      </c>
      <c r="K278" s="1020">
        <f t="shared" si="25"/>
        <v>0.5</v>
      </c>
      <c r="L278" s="1021">
        <v>20</v>
      </c>
      <c r="M278" s="1021">
        <f>VLOOKUP(B278,'[28]CN BC'!$H$10:$J$275,3,FALSE)</f>
        <v>20</v>
      </c>
      <c r="N278" s="1021">
        <f t="shared" si="22"/>
        <v>20</v>
      </c>
      <c r="O278" s="1022"/>
      <c r="P278" s="1023">
        <f t="shared" si="23"/>
        <v>3896100</v>
      </c>
      <c r="Q278" s="1477">
        <f t="shared" si="26"/>
        <v>1.665</v>
      </c>
      <c r="R278" s="1429">
        <v>2340000</v>
      </c>
      <c r="S278" s="1478">
        <f t="shared" si="27"/>
        <v>3896100</v>
      </c>
      <c r="T278" s="1024">
        <f t="shared" si="28"/>
        <v>254</v>
      </c>
      <c r="U278" s="1025">
        <f>IFERROR(INDEX('[28]CN BC'!$M$10:$M$276,MATCH(B278,'[28]CN BC'!$H$10:$H$276,0)),"")</f>
        <v>0</v>
      </c>
      <c r="V278" s="1011" t="str">
        <f>VLOOKUP(B278,TH.T4!B277:AC607,28,FALSE)</f>
        <v>ĐL</v>
      </c>
      <c r="W278" s="1046"/>
      <c r="X278" s="1012"/>
      <c r="Y278" s="1038"/>
    </row>
    <row r="279" spans="1:35" s="1028" customFormat="1" ht="27.75" customHeight="1">
      <c r="A279" s="1014">
        <f>_xlfn.AGGREGATE(4,7,A$24:A278)+1</f>
        <v>255</v>
      </c>
      <c r="B279" s="1101" t="s">
        <v>2010</v>
      </c>
      <c r="C279" s="1014"/>
      <c r="D279" s="1030"/>
      <c r="E279" s="81" t="str">
        <f>VLOOKUP(B279,TH.Q2!B182:E513,4,FALSE)</f>
        <v>Giảng viên khoa Động lực</v>
      </c>
      <c r="F279" s="1109">
        <v>2.34</v>
      </c>
      <c r="G279" s="1019"/>
      <c r="H279" s="1248">
        <f t="shared" si="24"/>
        <v>0</v>
      </c>
      <c r="I279" s="1020"/>
      <c r="J279" s="1020" t="str">
        <f>VLOOKUP(B279,'[27]Gui chi Quynh'!$B$11:$E$396,4,FALSE)</f>
        <v>A4</v>
      </c>
      <c r="K279" s="1020">
        <f t="shared" si="25"/>
        <v>0.5</v>
      </c>
      <c r="L279" s="1021">
        <v>20</v>
      </c>
      <c r="M279" s="1021">
        <f>VLOOKUP(B279,'[28]CN BC'!$H$10:$J$275,3,FALSE)</f>
        <v>20</v>
      </c>
      <c r="N279" s="1021">
        <f t="shared" si="22"/>
        <v>20</v>
      </c>
      <c r="O279" s="1022"/>
      <c r="P279" s="1023">
        <f t="shared" si="23"/>
        <v>2737800</v>
      </c>
      <c r="Q279" s="1477">
        <f t="shared" si="26"/>
        <v>1.17</v>
      </c>
      <c r="R279" s="1429">
        <v>2340000</v>
      </c>
      <c r="S279" s="1478">
        <f t="shared" si="27"/>
        <v>2737800</v>
      </c>
      <c r="T279" s="1024">
        <f t="shared" si="28"/>
        <v>255</v>
      </c>
      <c r="U279" s="1025">
        <f>IFERROR(INDEX('[28]CN BC'!$M$10:$M$276,MATCH(B279,'[28]CN BC'!$H$10:$H$276,0)),"")</f>
        <v>0</v>
      </c>
      <c r="V279" s="1011" t="str">
        <f>VLOOKUP(B279,TH.T4!B278:AC608,28,FALSE)</f>
        <v>ĐL</v>
      </c>
      <c r="W279" s="1105"/>
      <c r="Y279" s="1038"/>
    </row>
    <row r="280" spans="1:35" s="1028" customFormat="1" ht="34.5" customHeight="1">
      <c r="A280" s="1014">
        <f>_xlfn.AGGREGATE(4,7,A$24:A279)+1</f>
        <v>256</v>
      </c>
      <c r="B280" s="1015" t="s">
        <v>1554</v>
      </c>
      <c r="C280" s="1033" t="s">
        <v>1818</v>
      </c>
      <c r="D280" s="1074" t="s">
        <v>1570</v>
      </c>
      <c r="E280" s="81" t="str">
        <f>VLOOKUP(B280,TH.Q2!B183:E514,4,FALSE)</f>
        <v>Giảng viên khoa Xây dựng - Nhiệt lạnh</v>
      </c>
      <c r="F280" s="1040">
        <v>3.66</v>
      </c>
      <c r="G280" s="1019"/>
      <c r="H280" s="1255">
        <f t="shared" si="24"/>
        <v>0</v>
      </c>
      <c r="I280" s="1020">
        <v>0.45</v>
      </c>
      <c r="J280" s="1020" t="str">
        <f>VLOOKUP(B280,'[27]Gui chi Quynh'!$B$11:$E$396,4,FALSE)</f>
        <v>A3</v>
      </c>
      <c r="K280" s="1020">
        <f t="shared" si="25"/>
        <v>0.6</v>
      </c>
      <c r="L280" s="1021">
        <v>20</v>
      </c>
      <c r="M280" s="1021">
        <f>VLOOKUP(B280,'[28]CN BC'!$H$10:$J$275,3,FALSE)</f>
        <v>20</v>
      </c>
      <c r="N280" s="1021">
        <f t="shared" si="22"/>
        <v>20</v>
      </c>
      <c r="O280" s="1022"/>
      <c r="P280" s="1023">
        <f t="shared" si="23"/>
        <v>5770440</v>
      </c>
      <c r="Q280" s="1477">
        <f t="shared" si="26"/>
        <v>2.4660000000000002</v>
      </c>
      <c r="R280" s="1429">
        <v>2340000</v>
      </c>
      <c r="S280" s="1478">
        <f t="shared" si="27"/>
        <v>5770440</v>
      </c>
      <c r="T280" s="1024">
        <f t="shared" si="28"/>
        <v>256</v>
      </c>
      <c r="U280" s="1025">
        <f>IFERROR(INDEX('[28]CN BC'!$M$10:$M$276,MATCH(B280,'[28]CN BC'!$H$10:$H$276,0)),"")</f>
        <v>0</v>
      </c>
      <c r="V280" s="1011" t="str">
        <f>VLOOKUP(B280,TH.T4!B279:AC609,28,FALSE)</f>
        <v>XD-NL</v>
      </c>
      <c r="W280" s="1012"/>
      <c r="X280" s="1012"/>
      <c r="Y280" s="1027"/>
      <c r="Z280" s="1012"/>
      <c r="AA280" s="1012"/>
      <c r="AB280" s="1012"/>
      <c r="AC280" s="1012"/>
      <c r="AD280" s="1012"/>
      <c r="AE280" s="1012"/>
    </row>
    <row r="281" spans="1:35" s="1028" customFormat="1" ht="34.5" customHeight="1">
      <c r="A281" s="1014">
        <f>_xlfn.AGGREGATE(4,7,A$24:A280)+1</f>
        <v>257</v>
      </c>
      <c r="B281" s="1015" t="s">
        <v>1920</v>
      </c>
      <c r="C281" s="1033" t="s">
        <v>1819</v>
      </c>
      <c r="D281" s="1034" t="s">
        <v>1414</v>
      </c>
      <c r="E281" s="81" t="str">
        <f>VLOOKUP(B281,TH.Q2!B184:E515,4,FALSE)</f>
        <v>Giảng viên khoa Xây dựng - Nhiệt lạnh</v>
      </c>
      <c r="F281" s="1018">
        <v>4.6500000000000004</v>
      </c>
      <c r="G281" s="1019"/>
      <c r="H281" s="1255">
        <f t="shared" si="24"/>
        <v>0</v>
      </c>
      <c r="I281" s="1020">
        <v>0.25</v>
      </c>
      <c r="J281" s="1020" t="str">
        <f>VLOOKUP(B281,'[27]Gui chi Quynh'!$B$11:$E$396,4,FALSE)</f>
        <v>A3</v>
      </c>
      <c r="K281" s="1020">
        <f t="shared" si="25"/>
        <v>0.6</v>
      </c>
      <c r="L281" s="1021">
        <v>20</v>
      </c>
      <c r="M281" s="1021">
        <f>VLOOKUP(B281,'[28]CN BC'!$H$10:$J$275,3,FALSE)</f>
        <v>20</v>
      </c>
      <c r="N281" s="1021">
        <f t="shared" ref="N281:N288" si="29">IF(M281&gt;=L281,L281,IF(M281&lt;L281,M281))</f>
        <v>20</v>
      </c>
      <c r="O281" s="1022"/>
      <c r="P281" s="1023">
        <f t="shared" ref="P281:P288" si="30">(((F281+H281+I281)*$P$21/L281*N281)*K281)+O281</f>
        <v>6879600</v>
      </c>
      <c r="Q281" s="1477">
        <f t="shared" si="26"/>
        <v>2.94</v>
      </c>
      <c r="R281" s="1429">
        <v>2340000</v>
      </c>
      <c r="S281" s="1478">
        <f t="shared" si="27"/>
        <v>6879600</v>
      </c>
      <c r="T281" s="1024">
        <f t="shared" si="28"/>
        <v>257</v>
      </c>
      <c r="U281" s="1025">
        <f>IFERROR(INDEX('[28]CN BC'!$M$10:$M$276,MATCH(B281,'[28]CN BC'!$H$10:$H$276,0)),"")</f>
        <v>0</v>
      </c>
      <c r="V281" s="1011" t="str">
        <f>VLOOKUP(B281,TH.T4!B280:AC610,28,FALSE)</f>
        <v>XD-NL</v>
      </c>
      <c r="W281" s="1012"/>
      <c r="X281" s="1012"/>
      <c r="Y281" s="1027"/>
      <c r="Z281" s="1012"/>
      <c r="AA281" s="1012"/>
      <c r="AB281" s="1012"/>
      <c r="AC281" s="1012"/>
      <c r="AD281" s="1012"/>
      <c r="AE281" s="1012"/>
    </row>
    <row r="282" spans="1:35" s="1028" customFormat="1" ht="34.5" customHeight="1">
      <c r="A282" s="1014">
        <f>_xlfn.AGGREGATE(4,7,A$24:A281)+1</f>
        <v>258</v>
      </c>
      <c r="B282" s="1015" t="s">
        <v>1921</v>
      </c>
      <c r="C282" s="1029" t="s">
        <v>1820</v>
      </c>
      <c r="D282" s="1034" t="s">
        <v>1415</v>
      </c>
      <c r="E282" s="81" t="str">
        <f>VLOOKUP(B282,TH.Q2!B185:E516,4,FALSE)</f>
        <v>Giảng viên khoa Xây dựng - Nhiệt lạnh</v>
      </c>
      <c r="F282" s="1018">
        <v>4.6500000000000004</v>
      </c>
      <c r="G282" s="1019"/>
      <c r="H282" s="1255">
        <f t="shared" ref="H282:H288" si="31">ROUND(F282*G282,3)</f>
        <v>0</v>
      </c>
      <c r="I282" s="1020">
        <v>0.25</v>
      </c>
      <c r="J282" s="1020" t="str">
        <f>VLOOKUP(B282,'[27]Gui chi Quynh'!$B$11:$E$396,4,FALSE)</f>
        <v>A3</v>
      </c>
      <c r="K282" s="1020">
        <f t="shared" ref="K282:K288" si="32">IF(J282="A1",0.8,IF(J282="A2",0.7,IF(J282="A3",0.6,IF(J282="A4",0.5,IF(J282="B1",0.35,IF(J282="B2",0.25,IF(J282="C1",0.15,IF(J282="C2",0.1,0))))))))</f>
        <v>0.6</v>
      </c>
      <c r="L282" s="1021">
        <v>20</v>
      </c>
      <c r="M282" s="1021">
        <f>VLOOKUP(B282,'[28]CN BC'!$H$10:$J$275,3,FALSE)</f>
        <v>20</v>
      </c>
      <c r="N282" s="1021">
        <f t="shared" si="29"/>
        <v>20</v>
      </c>
      <c r="O282" s="1022"/>
      <c r="P282" s="1023">
        <f t="shared" si="30"/>
        <v>6879600</v>
      </c>
      <c r="Q282" s="1477">
        <f t="shared" ref="Q282:Q345" si="33">P282/R282</f>
        <v>2.94</v>
      </c>
      <c r="R282" s="1429">
        <v>2340000</v>
      </c>
      <c r="S282" s="1478">
        <f t="shared" ref="S282:S345" si="34">Q282*R282</f>
        <v>6879600</v>
      </c>
      <c r="T282" s="1024">
        <f t="shared" si="28"/>
        <v>258</v>
      </c>
      <c r="U282" s="1025">
        <f>IFERROR(INDEX('[28]CN BC'!$M$10:$M$276,MATCH(B282,'[28]CN BC'!$H$10:$H$276,0)),"")</f>
        <v>0</v>
      </c>
      <c r="V282" s="1011" t="str">
        <f>VLOOKUP(B282,TH.T4!B281:AC611,28,FALSE)</f>
        <v>XD-NL</v>
      </c>
      <c r="W282" s="1012"/>
      <c r="X282" s="1012"/>
      <c r="Y282" s="1027"/>
      <c r="Z282" s="1012"/>
      <c r="AA282" s="1012"/>
      <c r="AB282" s="1012"/>
      <c r="AC282" s="1012"/>
      <c r="AD282" s="1012"/>
      <c r="AE282" s="1012"/>
      <c r="AF282" s="1012"/>
      <c r="AG282" s="1012"/>
      <c r="AH282" s="1012"/>
      <c r="AI282" s="1012"/>
    </row>
    <row r="283" spans="1:35" s="1028" customFormat="1" ht="34.5" customHeight="1">
      <c r="A283" s="1014">
        <f>_xlfn.AGGREGATE(4,7,A$24:A282)+1</f>
        <v>259</v>
      </c>
      <c r="B283" s="1015" t="s">
        <v>1922</v>
      </c>
      <c r="C283" s="1033" t="s">
        <v>1821</v>
      </c>
      <c r="D283" s="1034" t="s">
        <v>392</v>
      </c>
      <c r="E283" s="81" t="str">
        <f>VLOOKUP(B283,TH.Q2!B186:E517,4,FALSE)</f>
        <v>Giảng viên khoa Xây dựng - Nhiệt lạnh</v>
      </c>
      <c r="F283" s="1040">
        <v>3.66</v>
      </c>
      <c r="G283" s="1019"/>
      <c r="H283" s="1248">
        <f t="shared" si="31"/>
        <v>0</v>
      </c>
      <c r="I283" s="1020"/>
      <c r="J283" s="1020" t="str">
        <f>VLOOKUP(B283,'[27]Gui chi Quynh'!$B$11:$E$396,4,FALSE)</f>
        <v>A3</v>
      </c>
      <c r="K283" s="1020">
        <f t="shared" si="32"/>
        <v>0.6</v>
      </c>
      <c r="L283" s="1021">
        <v>20</v>
      </c>
      <c r="M283" s="1021">
        <f>VLOOKUP(B283,'[28]CN BC'!$H$10:$J$275,3,FALSE)</f>
        <v>20</v>
      </c>
      <c r="N283" s="1021">
        <f t="shared" si="29"/>
        <v>20</v>
      </c>
      <c r="O283" s="1022"/>
      <c r="P283" s="1023">
        <f t="shared" si="30"/>
        <v>5138640</v>
      </c>
      <c r="Q283" s="1477">
        <f t="shared" si="33"/>
        <v>2.1960000000000002</v>
      </c>
      <c r="R283" s="1429">
        <v>2340000</v>
      </c>
      <c r="S283" s="1478">
        <f t="shared" si="34"/>
        <v>5138640</v>
      </c>
      <c r="T283" s="1024">
        <f t="shared" si="28"/>
        <v>259</v>
      </c>
      <c r="U283" s="1025">
        <f>IFERROR(INDEX('[28]CN BC'!$M$10:$M$276,MATCH(B283,'[28]CN BC'!$H$10:$H$276,0)),"")</f>
        <v>0</v>
      </c>
      <c r="V283" s="1011" t="str">
        <f>VLOOKUP(B283,TH.T4!B282:AC612,28,FALSE)</f>
        <v>XD-NL</v>
      </c>
      <c r="Y283" s="1038"/>
    </row>
    <row r="284" spans="1:35" s="1028" customFormat="1" ht="34.5" customHeight="1">
      <c r="A284" s="1014">
        <f>_xlfn.AGGREGATE(4,7,A$24:A283)+1</f>
        <v>260</v>
      </c>
      <c r="B284" s="1015" t="s">
        <v>1923</v>
      </c>
      <c r="C284" s="1033" t="s">
        <v>1822</v>
      </c>
      <c r="D284" s="1047" t="s">
        <v>511</v>
      </c>
      <c r="E284" s="81" t="str">
        <f>VLOOKUP(B284,TH.Q2!B187:E518,4,FALSE)</f>
        <v>Giảng viên khoa Xây dựng - Nhiệt lạnh</v>
      </c>
      <c r="F284" s="1040">
        <v>3.66</v>
      </c>
      <c r="G284" s="1019"/>
      <c r="H284" s="1248">
        <f t="shared" si="31"/>
        <v>0</v>
      </c>
      <c r="I284" s="1020"/>
      <c r="J284" s="1020" t="str">
        <f>VLOOKUP(B284,'[27]Gui chi Quynh'!$B$11:$E$396,4,FALSE)</f>
        <v>A3</v>
      </c>
      <c r="K284" s="1020">
        <f t="shared" si="32"/>
        <v>0.6</v>
      </c>
      <c r="L284" s="1021">
        <v>20</v>
      </c>
      <c r="M284" s="1021">
        <f>VLOOKUP(B284,'[28]CN BC'!$H$10:$J$275,3,FALSE)</f>
        <v>20</v>
      </c>
      <c r="N284" s="1021">
        <f t="shared" si="29"/>
        <v>20</v>
      </c>
      <c r="O284" s="1022"/>
      <c r="P284" s="1023">
        <f t="shared" si="30"/>
        <v>5138640</v>
      </c>
      <c r="Q284" s="1477">
        <f t="shared" si="33"/>
        <v>2.1960000000000002</v>
      </c>
      <c r="R284" s="1429">
        <v>2340000</v>
      </c>
      <c r="S284" s="1478">
        <f t="shared" si="34"/>
        <v>5138640</v>
      </c>
      <c r="T284" s="1024">
        <f t="shared" si="28"/>
        <v>260</v>
      </c>
      <c r="U284" s="1025">
        <f>IFERROR(INDEX('[28]CN BC'!$M$10:$M$276,MATCH(B284,'[28]CN BC'!$H$10:$H$276,0)),"")</f>
        <v>0</v>
      </c>
      <c r="V284" s="1011" t="str">
        <f>VLOOKUP(B284,TH.T4!B283:AC613,28,FALSE)</f>
        <v>XD-NL</v>
      </c>
      <c r="W284" s="1012"/>
      <c r="X284" s="1012"/>
      <c r="Y284" s="1038"/>
    </row>
    <row r="285" spans="1:35" s="1028" customFormat="1" ht="34.5" customHeight="1">
      <c r="A285" s="1014">
        <f>_xlfn.AGGREGATE(4,7,A$24:A284)+1</f>
        <v>261</v>
      </c>
      <c r="B285" s="1015" t="s">
        <v>1552</v>
      </c>
      <c r="C285" s="1033" t="s">
        <v>1823</v>
      </c>
      <c r="D285" s="1034" t="s">
        <v>1418</v>
      </c>
      <c r="E285" s="81" t="str">
        <f>VLOOKUP(B285,TH.Q2!B188:E519,4,FALSE)</f>
        <v>Giảng viên khoa Xây dựng - Nhiệt lạnh</v>
      </c>
      <c r="F285" s="1018">
        <v>4.32</v>
      </c>
      <c r="G285" s="1019"/>
      <c r="H285" s="1248">
        <f t="shared" si="31"/>
        <v>0</v>
      </c>
      <c r="I285" s="1020"/>
      <c r="J285" s="1020" t="str">
        <f>VLOOKUP(B285,'[27]Gui chi Quynh'!$B$11:$E$396,4,FALSE)</f>
        <v>A4</v>
      </c>
      <c r="K285" s="1020">
        <f t="shared" si="32"/>
        <v>0.5</v>
      </c>
      <c r="L285" s="1021">
        <v>20</v>
      </c>
      <c r="M285" s="1021">
        <f>VLOOKUP(B285,'[28]CN BC'!$H$10:$J$275,3,FALSE)</f>
        <v>20</v>
      </c>
      <c r="N285" s="1021">
        <f t="shared" si="29"/>
        <v>20</v>
      </c>
      <c r="O285" s="1022"/>
      <c r="P285" s="1023">
        <f t="shared" si="30"/>
        <v>5054400</v>
      </c>
      <c r="Q285" s="1477">
        <f t="shared" si="33"/>
        <v>2.16</v>
      </c>
      <c r="R285" s="1429">
        <v>2340000</v>
      </c>
      <c r="S285" s="1478">
        <f t="shared" si="34"/>
        <v>5054400</v>
      </c>
      <c r="T285" s="1024">
        <f t="shared" si="28"/>
        <v>261</v>
      </c>
      <c r="U285" s="1025">
        <f>IFERROR(INDEX('[28]CN BC'!$M$10:$M$276,MATCH(B285,'[28]CN BC'!$H$10:$H$276,0)),"")</f>
        <v>0</v>
      </c>
      <c r="V285" s="1011" t="str">
        <f>VLOOKUP(B285,TH.T4!B284:AC614,28,FALSE)</f>
        <v>XD-NL</v>
      </c>
      <c r="W285" s="1012"/>
      <c r="X285" s="1012"/>
      <c r="Y285" s="1038"/>
    </row>
    <row r="286" spans="1:35" s="1028" customFormat="1" ht="34.5" customHeight="1">
      <c r="A286" s="1014">
        <f>_xlfn.AGGREGATE(4,7,A$24:A285)+1</f>
        <v>262</v>
      </c>
      <c r="B286" s="1015" t="s">
        <v>1940</v>
      </c>
      <c r="C286" s="1033" t="s">
        <v>1991</v>
      </c>
      <c r="D286" s="1034" t="s">
        <v>1992</v>
      </c>
      <c r="E286" s="81" t="str">
        <f>VLOOKUP(B286,TH.Q2!B189:E520,4,FALSE)</f>
        <v>Giảng viên khoa Xây dựng - Nhiệt lạnh</v>
      </c>
      <c r="F286" s="1040">
        <v>3.33</v>
      </c>
      <c r="G286" s="1019"/>
      <c r="H286" s="1248">
        <f t="shared" si="31"/>
        <v>0</v>
      </c>
      <c r="I286" s="1020"/>
      <c r="J286" s="1020" t="str">
        <f>VLOOKUP(B286,'[27]Gui chi Quynh'!$B$11:$E$396,4,FALSE)</f>
        <v>A2</v>
      </c>
      <c r="K286" s="1020">
        <f t="shared" si="32"/>
        <v>0.7</v>
      </c>
      <c r="L286" s="1021">
        <v>20</v>
      </c>
      <c r="M286" s="1021">
        <f>VLOOKUP(B286,'[28]CN BC'!$H$10:$J$275,3,FALSE)</f>
        <v>20</v>
      </c>
      <c r="N286" s="1021">
        <f t="shared" si="29"/>
        <v>20</v>
      </c>
      <c r="O286" s="1022"/>
      <c r="P286" s="1023">
        <f t="shared" si="30"/>
        <v>5454540</v>
      </c>
      <c r="Q286" s="1477">
        <f t="shared" si="33"/>
        <v>2.331</v>
      </c>
      <c r="R286" s="1429">
        <v>2340000</v>
      </c>
      <c r="S286" s="1478">
        <f t="shared" si="34"/>
        <v>5454540</v>
      </c>
      <c r="T286" s="1024">
        <f t="shared" si="28"/>
        <v>262</v>
      </c>
      <c r="U286" s="1025">
        <f>IFERROR(INDEX('[28]CN BC'!$M$10:$M$276,MATCH(B286,'[28]CN BC'!$H$10:$H$276,0)),"")</f>
        <v>0</v>
      </c>
      <c r="V286" s="1011" t="str">
        <f>VLOOKUP(B286,TH.T4!B285:AC615,28,FALSE)</f>
        <v>XD-NL</v>
      </c>
      <c r="W286" s="1012"/>
      <c r="X286" s="1012"/>
      <c r="Y286" s="1027"/>
      <c r="Z286" s="1012"/>
      <c r="AA286" s="1012"/>
      <c r="AB286" s="1012"/>
      <c r="AC286" s="1012"/>
      <c r="AD286" s="1012"/>
      <c r="AE286" s="1012"/>
    </row>
    <row r="287" spans="1:35" s="1012" customFormat="1" ht="34.5" customHeight="1">
      <c r="A287" s="1014">
        <f>_xlfn.AGGREGATE(4,7,A$24:A286)+1</f>
        <v>263</v>
      </c>
      <c r="B287" s="1050" t="s">
        <v>1553</v>
      </c>
      <c r="C287" s="1029" t="s">
        <v>1824</v>
      </c>
      <c r="D287" s="1111">
        <v>1603205246186</v>
      </c>
      <c r="E287" s="81" t="str">
        <f>VLOOKUP(B287,TH.Q2!B190:E521,4,FALSE)</f>
        <v>Giảng viên khoa Xây dựng - Nhiệt lạnh</v>
      </c>
      <c r="F287" s="1018">
        <v>4.9800000000000004</v>
      </c>
      <c r="G287" s="1019">
        <v>0.05</v>
      </c>
      <c r="H287" s="1248">
        <f t="shared" si="31"/>
        <v>0.249</v>
      </c>
      <c r="I287" s="1020"/>
      <c r="J287" s="1020" t="str">
        <f>VLOOKUP(B287,'[27]Gui chi Quynh'!$B$11:$E$396,4,FALSE)</f>
        <v>A3</v>
      </c>
      <c r="K287" s="1020">
        <f t="shared" si="32"/>
        <v>0.6</v>
      </c>
      <c r="L287" s="1021">
        <v>20</v>
      </c>
      <c r="M287" s="1021">
        <f>VLOOKUP(B287,'[28]CN BC'!$H$10:$J$275,3,FALSE)</f>
        <v>20</v>
      </c>
      <c r="N287" s="1021">
        <f t="shared" si="29"/>
        <v>20</v>
      </c>
      <c r="O287" s="1022"/>
      <c r="P287" s="1023">
        <f t="shared" si="30"/>
        <v>7341516</v>
      </c>
      <c r="Q287" s="1477">
        <f t="shared" si="33"/>
        <v>3.1374</v>
      </c>
      <c r="R287" s="1429">
        <v>2340000</v>
      </c>
      <c r="S287" s="1478">
        <f t="shared" si="34"/>
        <v>7341516</v>
      </c>
      <c r="T287" s="1024">
        <f t="shared" si="28"/>
        <v>263</v>
      </c>
      <c r="U287" s="1025">
        <f>IFERROR(INDEX('[28]CN BC'!$M$10:$M$276,MATCH(B287,'[28]CN BC'!$H$10:$H$276,0)),"")</f>
        <v>0</v>
      </c>
      <c r="V287" s="1011" t="str">
        <f>VLOOKUP(B287,TH.T4!B286:AC616,28,FALSE)</f>
        <v>XD-NL</v>
      </c>
      <c r="W287" s="1468"/>
      <c r="Y287" s="1027"/>
    </row>
    <row r="288" spans="1:35" s="1028" customFormat="1" ht="34.5" customHeight="1">
      <c r="A288" s="1014">
        <f>_xlfn.AGGREGATE(4,7,A$24:A287)+1</f>
        <v>264</v>
      </c>
      <c r="B288" s="1015" t="s">
        <v>1560</v>
      </c>
      <c r="C288" s="1112" t="s">
        <v>1825</v>
      </c>
      <c r="D288" s="1113">
        <v>1603215002692</v>
      </c>
      <c r="E288" s="81" t="str">
        <f>VLOOKUP(B288,TH.Q2!B191:E522,4,FALSE)</f>
        <v>Phó Trưởng khoa Xây dựng - Nhiệt lạnh</v>
      </c>
      <c r="F288" s="1211">
        <v>3.33</v>
      </c>
      <c r="G288" s="1209"/>
      <c r="H288" s="1257">
        <f t="shared" si="31"/>
        <v>0</v>
      </c>
      <c r="I288" s="1020">
        <v>0.35</v>
      </c>
      <c r="J288" s="1020" t="str">
        <f>VLOOKUP(B288,'[27]Gui chi Quynh'!$B$11:$E$396,4,FALSE)</f>
        <v>A2</v>
      </c>
      <c r="K288" s="1020">
        <f t="shared" si="32"/>
        <v>0.7</v>
      </c>
      <c r="L288" s="1021">
        <v>20</v>
      </c>
      <c r="M288" s="1021">
        <f>VLOOKUP(B288,'[28]CN BC'!$H$10:$J$275,3,FALSE)</f>
        <v>20</v>
      </c>
      <c r="N288" s="1021">
        <f t="shared" si="29"/>
        <v>20</v>
      </c>
      <c r="O288" s="1022"/>
      <c r="P288" s="1023">
        <f t="shared" si="30"/>
        <v>6027840</v>
      </c>
      <c r="Q288" s="1477">
        <f t="shared" si="33"/>
        <v>2.5760000000000001</v>
      </c>
      <c r="R288" s="1429">
        <v>2340000</v>
      </c>
      <c r="S288" s="1478">
        <f t="shared" si="34"/>
        <v>6027840</v>
      </c>
      <c r="T288" s="1024">
        <f t="shared" si="28"/>
        <v>264</v>
      </c>
      <c r="U288" s="1025">
        <f>IFERROR(INDEX('[28]CN BC'!$M$10:$M$276,MATCH(B288,'[28]CN BC'!$H$10:$H$276,0)),"")</f>
        <v>0</v>
      </c>
      <c r="V288" s="1011" t="str">
        <f>VLOOKUP(B288,TH.T4!B287:AC617,28,FALSE)</f>
        <v>XD-NL</v>
      </c>
      <c r="W288" s="1012"/>
      <c r="X288" s="1012"/>
      <c r="Y288" s="1027"/>
      <c r="Z288" s="1012"/>
      <c r="AA288" s="1012"/>
      <c r="AB288" s="1012"/>
      <c r="AC288" s="1012"/>
      <c r="AD288" s="1012"/>
      <c r="AE288" s="1012"/>
      <c r="AF288" s="1012"/>
      <c r="AG288" s="1012"/>
      <c r="AH288" s="1012"/>
      <c r="AI288" s="1012"/>
    </row>
    <row r="289" spans="1:35" s="1028" customFormat="1" ht="33" customHeight="1">
      <c r="A289" s="1014">
        <f>_xlfn.AGGREGATE(4,7,A$24:A288)+1</f>
        <v>265</v>
      </c>
      <c r="B289" s="1330" t="s">
        <v>2029</v>
      </c>
      <c r="C289" s="1349"/>
      <c r="D289" s="1350"/>
      <c r="E289" s="81" t="str">
        <f>VLOOKUP(B289,TH.Q2!B192:E523,4,FALSE)</f>
        <v xml:space="preserve">NV Bảo vệ </v>
      </c>
      <c r="F289" s="1355"/>
      <c r="G289" s="1352"/>
      <c r="H289" s="1356"/>
      <c r="I289" s="1357"/>
      <c r="J289" s="1357"/>
      <c r="K289" s="1357"/>
      <c r="L289" s="1358"/>
      <c r="M289" s="1358"/>
      <c r="N289" s="1358"/>
      <c r="O289" s="1359"/>
      <c r="P289" s="1360">
        <v>3077835</v>
      </c>
      <c r="Q289" s="1477">
        <f t="shared" si="33"/>
        <v>1.3153141025641026</v>
      </c>
      <c r="R289" s="1429">
        <v>2340000</v>
      </c>
      <c r="S289" s="1478">
        <f t="shared" si="34"/>
        <v>3077835</v>
      </c>
      <c r="T289" s="1024">
        <f t="shared" si="28"/>
        <v>265</v>
      </c>
      <c r="U289" s="1025">
        <f>VLOOKUP(B289,'[28]CN HĐ'!$H$10:$M$73,6,FALSE)</f>
        <v>0</v>
      </c>
      <c r="V289" s="1011"/>
      <c r="W289" s="1012"/>
      <c r="X289" s="1012"/>
      <c r="Y289" s="1027"/>
      <c r="Z289" s="1012"/>
      <c r="AA289" s="1012"/>
      <c r="AB289" s="1012"/>
      <c r="AC289" s="1012"/>
      <c r="AD289" s="1012"/>
      <c r="AE289" s="1012"/>
      <c r="AF289" s="1012"/>
      <c r="AG289" s="1012"/>
      <c r="AH289" s="1012"/>
      <c r="AI289" s="1012"/>
    </row>
    <row r="290" spans="1:35" s="1028" customFormat="1" ht="33" customHeight="1">
      <c r="A290" s="1014">
        <f>_xlfn.AGGREGATE(4,7,A$24:A289)+1</f>
        <v>266</v>
      </c>
      <c r="B290" s="1330" t="s">
        <v>2035</v>
      </c>
      <c r="C290" s="1349"/>
      <c r="D290" s="1350"/>
      <c r="E290" s="81" t="str">
        <f>VLOOKUP(B290,TH.Q2!B193:E524,4,FALSE)</f>
        <v>NV Bảo vệ</v>
      </c>
      <c r="F290" s="1355"/>
      <c r="G290" s="1352"/>
      <c r="H290" s="1356"/>
      <c r="I290" s="1357"/>
      <c r="J290" s="1357"/>
      <c r="K290" s="1357"/>
      <c r="L290" s="1358"/>
      <c r="M290" s="1358"/>
      <c r="N290" s="1358"/>
      <c r="O290" s="1359"/>
      <c r="P290" s="1360">
        <v>2296728</v>
      </c>
      <c r="Q290" s="1477">
        <f t="shared" si="33"/>
        <v>0.9815076923076923</v>
      </c>
      <c r="R290" s="1429">
        <v>2340000</v>
      </c>
      <c r="S290" s="1478">
        <f t="shared" si="34"/>
        <v>2296728</v>
      </c>
      <c r="T290" s="1024">
        <f t="shared" si="28"/>
        <v>266</v>
      </c>
      <c r="U290" s="1025" t="str">
        <f>VLOOKUP(B290,'[28]CN HĐ'!$H$10:$M$73,6,FALSE)</f>
        <v>Trừ 1 ngày nghỉ phép 7/11</v>
      </c>
      <c r="V290" s="1011"/>
      <c r="W290" s="1012"/>
      <c r="X290" s="1012"/>
      <c r="Y290" s="1027"/>
      <c r="Z290" s="1012"/>
      <c r="AA290" s="1012"/>
      <c r="AB290" s="1012"/>
      <c r="AC290" s="1012"/>
      <c r="AD290" s="1012"/>
      <c r="AE290" s="1012"/>
      <c r="AF290" s="1012"/>
      <c r="AG290" s="1012"/>
      <c r="AH290" s="1012"/>
      <c r="AI290" s="1012"/>
    </row>
    <row r="291" spans="1:35" s="1028" customFormat="1" ht="33" customHeight="1">
      <c r="A291" s="1014">
        <f>_xlfn.AGGREGATE(4,7,A$24:A290)+1</f>
        <v>267</v>
      </c>
      <c r="B291" s="1330" t="s">
        <v>2037</v>
      </c>
      <c r="C291" s="1349"/>
      <c r="D291" s="1350"/>
      <c r="E291" s="81" t="str">
        <f>VLOOKUP(B291,TH.Q2!B194:E525,4,FALSE)</f>
        <v>NV Bảo vệ</v>
      </c>
      <c r="F291" s="1355"/>
      <c r="G291" s="1352"/>
      <c r="H291" s="1356"/>
      <c r="I291" s="1357"/>
      <c r="J291" s="1357"/>
      <c r="K291" s="1357"/>
      <c r="L291" s="1358"/>
      <c r="M291" s="1358"/>
      <c r="N291" s="1358"/>
      <c r="O291" s="1359"/>
      <c r="P291" s="1360">
        <v>5519488</v>
      </c>
      <c r="Q291" s="1477">
        <f t="shared" si="33"/>
        <v>2.3587555555555557</v>
      </c>
      <c r="R291" s="1429">
        <v>2340000</v>
      </c>
      <c r="S291" s="1478">
        <f t="shared" si="34"/>
        <v>5519488</v>
      </c>
      <c r="T291" s="1024">
        <f t="shared" si="28"/>
        <v>267</v>
      </c>
      <c r="U291" s="1025">
        <f>VLOOKUP(B291,'[28]CN HĐ'!$H$10:$M$73,6,FALSE)</f>
        <v>0</v>
      </c>
      <c r="V291" s="1011"/>
      <c r="W291" s="1012"/>
      <c r="X291" s="1012"/>
      <c r="Y291" s="1027"/>
      <c r="Z291" s="1012"/>
      <c r="AA291" s="1012"/>
      <c r="AB291" s="1012"/>
      <c r="AC291" s="1012"/>
      <c r="AD291" s="1012"/>
      <c r="AE291" s="1012"/>
      <c r="AF291" s="1012"/>
      <c r="AG291" s="1012"/>
      <c r="AH291" s="1012"/>
      <c r="AI291" s="1012"/>
    </row>
    <row r="292" spans="1:35" s="1028" customFormat="1" ht="33" customHeight="1">
      <c r="A292" s="1014">
        <f>_xlfn.AGGREGATE(4,7,A$24:A291)+1</f>
        <v>268</v>
      </c>
      <c r="B292" s="1330" t="s">
        <v>2039</v>
      </c>
      <c r="C292" s="1349"/>
      <c r="D292" s="1350"/>
      <c r="E292" s="81" t="str">
        <f>VLOOKUP(B292,TH.Q2!B195:E526,4,FALSE)</f>
        <v xml:space="preserve">NV Bảo vệ </v>
      </c>
      <c r="F292" s="1355"/>
      <c r="G292" s="1352"/>
      <c r="H292" s="1356"/>
      <c r="I292" s="1357"/>
      <c r="J292" s="1357"/>
      <c r="K292" s="1357"/>
      <c r="L292" s="1358"/>
      <c r="M292" s="1358"/>
      <c r="N292" s="1358"/>
      <c r="O292" s="1359"/>
      <c r="P292" s="1360">
        <v>3231727</v>
      </c>
      <c r="Q292" s="1477">
        <f t="shared" si="33"/>
        <v>1.3810799145299146</v>
      </c>
      <c r="R292" s="1429">
        <v>2340000</v>
      </c>
      <c r="S292" s="1478">
        <f t="shared" si="34"/>
        <v>3231727.0000000005</v>
      </c>
      <c r="T292" s="1024">
        <f t="shared" ref="T292:T352" si="35">A292</f>
        <v>268</v>
      </c>
      <c r="U292" s="1025">
        <f>VLOOKUP(B292,'[28]CN HĐ'!$H$10:$M$73,6,FALSE)</f>
        <v>0</v>
      </c>
      <c r="V292" s="1011"/>
      <c r="W292" s="1012"/>
      <c r="X292" s="1012"/>
      <c r="Y292" s="1027"/>
      <c r="Z292" s="1012"/>
      <c r="AA292" s="1012"/>
      <c r="AB292" s="1012"/>
      <c r="AC292" s="1012"/>
      <c r="AD292" s="1012"/>
      <c r="AE292" s="1012"/>
      <c r="AF292" s="1012"/>
      <c r="AG292" s="1012"/>
      <c r="AH292" s="1012"/>
      <c r="AI292" s="1012"/>
    </row>
    <row r="293" spans="1:35" s="1028" customFormat="1" ht="33" customHeight="1">
      <c r="A293" s="1014">
        <f>_xlfn.AGGREGATE(4,7,A$24:A292)+1</f>
        <v>269</v>
      </c>
      <c r="B293" s="1330" t="s">
        <v>2041</v>
      </c>
      <c r="C293" s="1349"/>
      <c r="D293" s="1350"/>
      <c r="E293" s="81" t="str">
        <f>VLOOKUP(B293,TH.Q2!B196:E527,4,FALSE)</f>
        <v>Nhân viên bảo vệ</v>
      </c>
      <c r="F293" s="1355"/>
      <c r="G293" s="1352"/>
      <c r="H293" s="1356"/>
      <c r="I293" s="1357"/>
      <c r="J293" s="1357"/>
      <c r="K293" s="1357"/>
      <c r="L293" s="1358"/>
      <c r="M293" s="1358"/>
      <c r="N293" s="1358"/>
      <c r="O293" s="1359"/>
      <c r="P293" s="1360">
        <v>5071207</v>
      </c>
      <c r="Q293" s="1477">
        <f t="shared" si="33"/>
        <v>2.1671824786324785</v>
      </c>
      <c r="R293" s="1429">
        <v>2340000</v>
      </c>
      <c r="S293" s="1478">
        <f t="shared" si="34"/>
        <v>5071207</v>
      </c>
      <c r="T293" s="1024">
        <f t="shared" si="35"/>
        <v>269</v>
      </c>
      <c r="U293" s="1025">
        <f>VLOOKUP(B293,'[28]CN HĐ'!$H$10:$M$73,6,FALSE)</f>
        <v>0</v>
      </c>
      <c r="V293" s="1011"/>
      <c r="W293" s="1012"/>
      <c r="X293" s="1012"/>
      <c r="Y293" s="1027"/>
      <c r="Z293" s="1012"/>
      <c r="AA293" s="1012"/>
      <c r="AB293" s="1012"/>
      <c r="AC293" s="1012"/>
      <c r="AD293" s="1012"/>
      <c r="AE293" s="1012"/>
      <c r="AF293" s="1012"/>
      <c r="AG293" s="1012"/>
      <c r="AH293" s="1012"/>
      <c r="AI293" s="1012"/>
    </row>
    <row r="294" spans="1:35" s="1028" customFormat="1" ht="33" customHeight="1">
      <c r="A294" s="1014">
        <f>_xlfn.AGGREGATE(4,7,A$24:A293)+1</f>
        <v>270</v>
      </c>
      <c r="B294" s="1330" t="s">
        <v>2043</v>
      </c>
      <c r="C294" s="1349"/>
      <c r="D294" s="1350"/>
      <c r="E294" s="81" t="str">
        <f>VLOOKUP(B294,TH.Q2!B197:E528,4,FALSE)</f>
        <v xml:space="preserve">NV Bảo vệ </v>
      </c>
      <c r="F294" s="1355"/>
      <c r="G294" s="1352"/>
      <c r="H294" s="1356"/>
      <c r="I294" s="1357"/>
      <c r="J294" s="1357"/>
      <c r="K294" s="1357"/>
      <c r="L294" s="1358"/>
      <c r="M294" s="1358"/>
      <c r="N294" s="1358"/>
      <c r="O294" s="1359"/>
      <c r="P294" s="1360">
        <v>3958865</v>
      </c>
      <c r="Q294" s="1477">
        <f t="shared" si="33"/>
        <v>1.6918226495726496</v>
      </c>
      <c r="R294" s="1429">
        <v>2340000</v>
      </c>
      <c r="S294" s="1478">
        <f t="shared" si="34"/>
        <v>3958865</v>
      </c>
      <c r="T294" s="1024">
        <f t="shared" si="35"/>
        <v>270</v>
      </c>
      <c r="U294" s="1025">
        <f>VLOOKUP(B294,'[28]CN HĐ'!$H$10:$M$73,6,FALSE)</f>
        <v>0</v>
      </c>
      <c r="V294" s="1011"/>
      <c r="W294" s="1012"/>
      <c r="X294" s="1012"/>
      <c r="Y294" s="1027"/>
      <c r="Z294" s="1012"/>
      <c r="AA294" s="1012"/>
      <c r="AB294" s="1012"/>
      <c r="AC294" s="1012"/>
      <c r="AD294" s="1012"/>
      <c r="AE294" s="1012"/>
      <c r="AF294" s="1012"/>
      <c r="AG294" s="1012"/>
      <c r="AH294" s="1012"/>
      <c r="AI294" s="1012"/>
    </row>
    <row r="295" spans="1:35" s="1028" customFormat="1" ht="33" customHeight="1">
      <c r="A295" s="1014">
        <f>_xlfn.AGGREGATE(4,7,A$24:A294)+1</f>
        <v>271</v>
      </c>
      <c r="B295" s="1330" t="s">
        <v>2046</v>
      </c>
      <c r="C295" s="1349"/>
      <c r="D295" s="1350"/>
      <c r="E295" s="81" t="str">
        <f>VLOOKUP(B295,TH.Q2!B198:E529,4,FALSE)</f>
        <v>NV Bảo vệ</v>
      </c>
      <c r="F295" s="1355"/>
      <c r="G295" s="1352"/>
      <c r="H295" s="1356"/>
      <c r="I295" s="1357"/>
      <c r="J295" s="1357"/>
      <c r="K295" s="1357"/>
      <c r="L295" s="1358"/>
      <c r="M295" s="1358"/>
      <c r="N295" s="1358"/>
      <c r="O295" s="1359"/>
      <c r="P295" s="1360">
        <v>2658750</v>
      </c>
      <c r="Q295" s="1477">
        <f t="shared" si="33"/>
        <v>1.1362179487179487</v>
      </c>
      <c r="R295" s="1429">
        <v>2340000</v>
      </c>
      <c r="S295" s="1478">
        <f t="shared" si="34"/>
        <v>2658750</v>
      </c>
      <c r="T295" s="1024">
        <f t="shared" si="35"/>
        <v>271</v>
      </c>
      <c r="U295" s="1025">
        <f>VLOOKUP(B295,'[28]CN HĐ'!$H$10:$M$73,6,FALSE)</f>
        <v>0</v>
      </c>
      <c r="V295" s="1011"/>
      <c r="W295" s="1012"/>
      <c r="X295" s="1012"/>
      <c r="Y295" s="1027"/>
      <c r="Z295" s="1012"/>
      <c r="AA295" s="1012"/>
      <c r="AB295" s="1012"/>
      <c r="AC295" s="1012"/>
      <c r="AD295" s="1012"/>
      <c r="AE295" s="1012"/>
      <c r="AF295" s="1012"/>
      <c r="AG295" s="1012"/>
      <c r="AH295" s="1012"/>
      <c r="AI295" s="1012"/>
    </row>
    <row r="296" spans="1:35" s="1028" customFormat="1" ht="33" customHeight="1">
      <c r="A296" s="1014">
        <f>_xlfn.AGGREGATE(4,7,A$24:A295)+1</f>
        <v>272</v>
      </c>
      <c r="B296" s="1330" t="s">
        <v>2049</v>
      </c>
      <c r="C296" s="1349"/>
      <c r="D296" s="1350"/>
      <c r="E296" s="81" t="str">
        <f>VLOOKUP(B296,TH.Q2!B199:E530,4,FALSE)</f>
        <v>NV Bảo vệ</v>
      </c>
      <c r="F296" s="1355"/>
      <c r="G296" s="1352"/>
      <c r="H296" s="1356"/>
      <c r="I296" s="1357"/>
      <c r="J296" s="1357"/>
      <c r="K296" s="1357"/>
      <c r="L296" s="1358"/>
      <c r="M296" s="1358"/>
      <c r="N296" s="1358"/>
      <c r="O296" s="1359"/>
      <c r="P296" s="1360">
        <v>2658750</v>
      </c>
      <c r="Q296" s="1477">
        <f t="shared" si="33"/>
        <v>1.1362179487179487</v>
      </c>
      <c r="R296" s="1429">
        <v>2340000</v>
      </c>
      <c r="S296" s="1478">
        <f t="shared" si="34"/>
        <v>2658750</v>
      </c>
      <c r="T296" s="1024">
        <f t="shared" si="35"/>
        <v>272</v>
      </c>
      <c r="U296" s="1025">
        <f>VLOOKUP(B296,'[28]CN HĐ'!$H$10:$M$73,6,FALSE)</f>
        <v>0</v>
      </c>
      <c r="V296" s="1011"/>
      <c r="W296" s="1012"/>
      <c r="X296" s="1012"/>
      <c r="Y296" s="1027"/>
      <c r="Z296" s="1012"/>
      <c r="AA296" s="1012"/>
      <c r="AB296" s="1012"/>
      <c r="AC296" s="1012"/>
      <c r="AD296" s="1012"/>
      <c r="AE296" s="1012"/>
      <c r="AF296" s="1012"/>
      <c r="AG296" s="1012"/>
      <c r="AH296" s="1012"/>
      <c r="AI296" s="1012"/>
    </row>
    <row r="297" spans="1:35" s="1028" customFormat="1" ht="33" customHeight="1">
      <c r="A297" s="1014">
        <f>_xlfn.AGGREGATE(4,7,A$24:A296)+1</f>
        <v>273</v>
      </c>
      <c r="B297" s="1330" t="s">
        <v>2052</v>
      </c>
      <c r="C297" s="1349"/>
      <c r="D297" s="1350"/>
      <c r="E297" s="81" t="str">
        <f>VLOOKUP(B297,TH.Q2!B200:E531,4,FALSE)</f>
        <v>NV Bảo vệ</v>
      </c>
      <c r="F297" s="1355"/>
      <c r="G297" s="1352"/>
      <c r="H297" s="1356"/>
      <c r="I297" s="1357"/>
      <c r="J297" s="1357"/>
      <c r="K297" s="1357"/>
      <c r="L297" s="1358"/>
      <c r="M297" s="1358"/>
      <c r="N297" s="1358"/>
      <c r="O297" s="1359"/>
      <c r="P297" s="1360">
        <v>4739446</v>
      </c>
      <c r="Q297" s="1477">
        <f t="shared" si="33"/>
        <v>2.0254042735042734</v>
      </c>
      <c r="R297" s="1429">
        <v>2340000</v>
      </c>
      <c r="S297" s="1478">
        <f t="shared" si="34"/>
        <v>4739446</v>
      </c>
      <c r="T297" s="1024">
        <f t="shared" si="35"/>
        <v>273</v>
      </c>
      <c r="U297" s="1025">
        <f>VLOOKUP(B297,'[28]CN HĐ'!$H$10:$M$73,6,FALSE)</f>
        <v>0</v>
      </c>
      <c r="V297" s="1011"/>
      <c r="W297" s="1012"/>
      <c r="X297" s="1012"/>
      <c r="Y297" s="1027"/>
      <c r="Z297" s="1012"/>
      <c r="AA297" s="1012"/>
      <c r="AB297" s="1012"/>
      <c r="AC297" s="1012"/>
      <c r="AD297" s="1012"/>
      <c r="AE297" s="1012"/>
      <c r="AF297" s="1012"/>
      <c r="AG297" s="1012"/>
      <c r="AH297" s="1012"/>
      <c r="AI297" s="1012"/>
    </row>
    <row r="298" spans="1:35" s="1028" customFormat="1" ht="33" customHeight="1">
      <c r="A298" s="1014">
        <f>_xlfn.AGGREGATE(4,7,A$24:A297)+1</f>
        <v>274</v>
      </c>
      <c r="B298" s="1330" t="s">
        <v>2053</v>
      </c>
      <c r="C298" s="1349"/>
      <c r="D298" s="1350"/>
      <c r="E298" s="81" t="str">
        <f>VLOOKUP(B298,TH.Q2!B201:E532,4,FALSE)</f>
        <v>NV Bảo vệ</v>
      </c>
      <c r="F298" s="1355"/>
      <c r="G298" s="1352"/>
      <c r="H298" s="1356"/>
      <c r="I298" s="1357"/>
      <c r="J298" s="1357"/>
      <c r="K298" s="1357"/>
      <c r="L298" s="1358"/>
      <c r="M298" s="1358"/>
      <c r="N298" s="1358"/>
      <c r="O298" s="1359"/>
      <c r="P298" s="1360">
        <v>2083200</v>
      </c>
      <c r="Q298" s="1477">
        <f t="shared" si="33"/>
        <v>0.89025641025641022</v>
      </c>
      <c r="R298" s="1429">
        <v>2340000</v>
      </c>
      <c r="S298" s="1478">
        <f t="shared" si="34"/>
        <v>2083200</v>
      </c>
      <c r="T298" s="1024">
        <f t="shared" si="35"/>
        <v>274</v>
      </c>
      <c r="U298" s="1025">
        <f>VLOOKUP(B298,'[28]CN HĐ'!$H$10:$M$73,6,FALSE)</f>
        <v>0</v>
      </c>
      <c r="V298" s="1011"/>
      <c r="W298" s="1012"/>
      <c r="X298" s="1012"/>
      <c r="Y298" s="1027"/>
      <c r="Z298" s="1012"/>
      <c r="AA298" s="1012"/>
      <c r="AB298" s="1012"/>
      <c r="AC298" s="1012"/>
      <c r="AD298" s="1012"/>
      <c r="AE298" s="1012"/>
      <c r="AF298" s="1012"/>
      <c r="AG298" s="1012"/>
      <c r="AH298" s="1012"/>
      <c r="AI298" s="1012"/>
    </row>
    <row r="299" spans="1:35" s="1028" customFormat="1" ht="33" customHeight="1">
      <c r="A299" s="1014">
        <f>_xlfn.AGGREGATE(4,7,A$24:A298)+1</f>
        <v>275</v>
      </c>
      <c r="B299" s="1330" t="s">
        <v>2054</v>
      </c>
      <c r="C299" s="1349"/>
      <c r="D299" s="1350"/>
      <c r="E299" s="81" t="str">
        <f>VLOOKUP(B299,TH.Q2!B202:E533,4,FALSE)</f>
        <v>NV Lái xe</v>
      </c>
      <c r="F299" s="1355"/>
      <c r="G299" s="1352"/>
      <c r="H299" s="1356"/>
      <c r="I299" s="1357"/>
      <c r="J299" s="1357"/>
      <c r="K299" s="1357"/>
      <c r="L299" s="1358"/>
      <c r="M299" s="1358"/>
      <c r="N299" s="1358"/>
      <c r="O299" s="1359"/>
      <c r="P299" s="1360">
        <v>5324581</v>
      </c>
      <c r="Q299" s="1477">
        <f t="shared" si="33"/>
        <v>2.2754619658119659</v>
      </c>
      <c r="R299" s="1429">
        <v>2340000</v>
      </c>
      <c r="S299" s="1478">
        <f t="shared" si="34"/>
        <v>5324581</v>
      </c>
      <c r="T299" s="1024">
        <f t="shared" si="35"/>
        <v>275</v>
      </c>
      <c r="U299" s="1025">
        <f>VLOOKUP(B299,'[28]CN HĐ'!$H$10:$M$73,6,FALSE)</f>
        <v>0</v>
      </c>
      <c r="V299" s="1011"/>
      <c r="W299" s="1012"/>
      <c r="X299" s="1012"/>
      <c r="Y299" s="1027"/>
      <c r="Z299" s="1012"/>
      <c r="AA299" s="1012"/>
      <c r="AB299" s="1012"/>
      <c r="AC299" s="1012"/>
      <c r="AD299" s="1012"/>
      <c r="AE299" s="1012"/>
      <c r="AF299" s="1012"/>
      <c r="AG299" s="1012"/>
      <c r="AH299" s="1012"/>
      <c r="AI299" s="1012"/>
    </row>
    <row r="300" spans="1:35" s="1028" customFormat="1" ht="33" customHeight="1">
      <c r="A300" s="1014">
        <f>_xlfn.AGGREGATE(4,7,A$24:A299)+1</f>
        <v>276</v>
      </c>
      <c r="B300" s="1330" t="s">
        <v>2055</v>
      </c>
      <c r="C300" s="1349"/>
      <c r="D300" s="1350"/>
      <c r="E300" s="81" t="str">
        <f>VLOOKUP(B300,TH.Q2!B203:E534,4,FALSE)</f>
        <v>NV Phuc vụ Phòng TC - HC - TH</v>
      </c>
      <c r="F300" s="1355"/>
      <c r="G300" s="1352"/>
      <c r="H300" s="1356"/>
      <c r="I300" s="1357"/>
      <c r="J300" s="1357"/>
      <c r="K300" s="1357"/>
      <c r="L300" s="1358"/>
      <c r="M300" s="1358"/>
      <c r="N300" s="1358"/>
      <c r="O300" s="1359"/>
      <c r="P300" s="1360">
        <v>2813492</v>
      </c>
      <c r="Q300" s="1477">
        <f t="shared" si="33"/>
        <v>1.2023470085470085</v>
      </c>
      <c r="R300" s="1429">
        <v>2340000</v>
      </c>
      <c r="S300" s="1478">
        <f t="shared" si="34"/>
        <v>2813492</v>
      </c>
      <c r="T300" s="1024">
        <f t="shared" si="35"/>
        <v>276</v>
      </c>
      <c r="U300" s="1025">
        <f>VLOOKUP(B300,'[28]CN HĐ'!$H$10:$M$73,6,FALSE)</f>
        <v>0</v>
      </c>
      <c r="V300" s="1011"/>
      <c r="W300" s="1012"/>
      <c r="X300" s="1012"/>
      <c r="Y300" s="1027"/>
      <c r="Z300" s="1012"/>
      <c r="AA300" s="1012"/>
      <c r="AB300" s="1012"/>
      <c r="AC300" s="1012"/>
      <c r="AD300" s="1012"/>
      <c r="AE300" s="1012"/>
      <c r="AF300" s="1012"/>
      <c r="AG300" s="1012"/>
      <c r="AH300" s="1012"/>
      <c r="AI300" s="1012"/>
    </row>
    <row r="301" spans="1:35" s="1028" customFormat="1" ht="33" customHeight="1">
      <c r="A301" s="1014">
        <f>_xlfn.AGGREGATE(4,7,A$24:A300)+1</f>
        <v>277</v>
      </c>
      <c r="B301" s="1330" t="s">
        <v>2056</v>
      </c>
      <c r="C301" s="1349"/>
      <c r="D301" s="1350"/>
      <c r="E301" s="81" t="str">
        <f>VLOOKUP(B301,TH.Q2!B204:E535,4,FALSE)</f>
        <v>Nhân viên phòng Thanh tra GD - Công tác SV</v>
      </c>
      <c r="F301" s="1355"/>
      <c r="G301" s="1352"/>
      <c r="H301" s="1356"/>
      <c r="I301" s="1357"/>
      <c r="J301" s="1357"/>
      <c r="K301" s="1357"/>
      <c r="L301" s="1358"/>
      <c r="M301" s="1358"/>
      <c r="N301" s="1358"/>
      <c r="O301" s="1359"/>
      <c r="P301" s="1360">
        <v>4739446</v>
      </c>
      <c r="Q301" s="1477">
        <f t="shared" si="33"/>
        <v>2.0254042735042734</v>
      </c>
      <c r="R301" s="1429">
        <v>2340000</v>
      </c>
      <c r="S301" s="1478">
        <f t="shared" si="34"/>
        <v>4739446</v>
      </c>
      <c r="T301" s="1024">
        <f t="shared" si="35"/>
        <v>277</v>
      </c>
      <c r="U301" s="1025">
        <f>VLOOKUP(B301,'[28]CN HĐ'!$H$10:$M$73,6,FALSE)</f>
        <v>0</v>
      </c>
      <c r="V301" s="1011"/>
      <c r="W301" s="1012"/>
      <c r="X301" s="1012"/>
      <c r="Y301" s="1027"/>
      <c r="Z301" s="1012"/>
      <c r="AA301" s="1012"/>
      <c r="AB301" s="1012"/>
      <c r="AC301" s="1012"/>
      <c r="AD301" s="1012"/>
      <c r="AE301" s="1012"/>
      <c r="AF301" s="1012"/>
      <c r="AG301" s="1012"/>
      <c r="AH301" s="1012"/>
      <c r="AI301" s="1012"/>
    </row>
    <row r="302" spans="1:35" s="1028" customFormat="1" ht="33" customHeight="1">
      <c r="A302" s="1014">
        <f>_xlfn.AGGREGATE(4,7,A$24:A301)+1</f>
        <v>278</v>
      </c>
      <c r="B302" s="1330" t="s">
        <v>2057</v>
      </c>
      <c r="C302" s="1349"/>
      <c r="D302" s="1350"/>
      <c r="E302" s="81" t="str">
        <f>VLOOKUP(B302,TH.Q2!B205:E536,4,FALSE)</f>
        <v>NV Phòng Tổ chức - Hành chính - Tổng hợp</v>
      </c>
      <c r="F302" s="1355"/>
      <c r="G302" s="1352"/>
      <c r="H302" s="1356"/>
      <c r="I302" s="1357"/>
      <c r="J302" s="1357"/>
      <c r="K302" s="1357"/>
      <c r="L302" s="1358"/>
      <c r="M302" s="1358"/>
      <c r="N302" s="1358"/>
      <c r="O302" s="1359"/>
      <c r="P302" s="1360">
        <v>7204758.7200000007</v>
      </c>
      <c r="Q302" s="1477">
        <f t="shared" si="33"/>
        <v>3.0789567179487181</v>
      </c>
      <c r="R302" s="1429">
        <v>2340000</v>
      </c>
      <c r="S302" s="1478">
        <f t="shared" si="34"/>
        <v>7204758.7200000007</v>
      </c>
      <c r="T302" s="1024">
        <f t="shared" si="35"/>
        <v>278</v>
      </c>
      <c r="U302" s="1025" t="str">
        <f>VLOOKUP(B302,'[28]CN HĐ'!$H$10:$M$73,6,FALSE)</f>
        <v>Trừ 2 ngày nghỉ phép 25+26/11</v>
      </c>
      <c r="V302" s="1011"/>
      <c r="W302" s="1012"/>
      <c r="X302" s="1012"/>
      <c r="Y302" s="1027"/>
      <c r="Z302" s="1012"/>
      <c r="AA302" s="1012"/>
      <c r="AB302" s="1012"/>
      <c r="AC302" s="1012"/>
      <c r="AD302" s="1012"/>
      <c r="AE302" s="1012"/>
      <c r="AF302" s="1012"/>
      <c r="AG302" s="1012"/>
      <c r="AH302" s="1012"/>
      <c r="AI302" s="1012"/>
    </row>
    <row r="303" spans="1:35" s="1028" customFormat="1" ht="33" customHeight="1">
      <c r="A303" s="1014">
        <f>_xlfn.AGGREGATE(4,7,A$24:A302)+1</f>
        <v>279</v>
      </c>
      <c r="B303" s="1330" t="s">
        <v>2059</v>
      </c>
      <c r="C303" s="1349"/>
      <c r="D303" s="1350"/>
      <c r="E303" s="81" t="str">
        <f>VLOOKUP(B303,TH.Q2!B206:E537,4,FALSE)</f>
        <v>Nhân viên bảo vệ</v>
      </c>
      <c r="F303" s="1355"/>
      <c r="G303" s="1352"/>
      <c r="H303" s="1356"/>
      <c r="I303" s="1357"/>
      <c r="J303" s="1357"/>
      <c r="K303" s="1357"/>
      <c r="L303" s="1358"/>
      <c r="M303" s="1358"/>
      <c r="N303" s="1358"/>
      <c r="O303" s="1359"/>
      <c r="P303" s="1360">
        <v>2083200</v>
      </c>
      <c r="Q303" s="1477">
        <f t="shared" si="33"/>
        <v>0.89025641025641022</v>
      </c>
      <c r="R303" s="1429">
        <v>2340000</v>
      </c>
      <c r="S303" s="1478">
        <f t="shared" si="34"/>
        <v>2083200</v>
      </c>
      <c r="T303" s="1024">
        <f t="shared" si="35"/>
        <v>279</v>
      </c>
      <c r="U303" s="1025" t="str">
        <f>VLOOKUP(B303,'[28]CN HĐ'!$H$10:$M$73,6,FALSE)</f>
        <v>Trừ 1 ngày nghỉ phép 8/11</v>
      </c>
      <c r="V303" s="1011"/>
      <c r="W303" s="1012"/>
      <c r="X303" s="1012"/>
      <c r="Y303" s="1027"/>
      <c r="Z303" s="1012"/>
      <c r="AA303" s="1012"/>
      <c r="AB303" s="1012"/>
      <c r="AC303" s="1012"/>
      <c r="AD303" s="1012"/>
      <c r="AE303" s="1012"/>
      <c r="AF303" s="1012"/>
      <c r="AG303" s="1012"/>
      <c r="AH303" s="1012"/>
      <c r="AI303" s="1012"/>
    </row>
    <row r="304" spans="1:35" s="1028" customFormat="1" ht="33" customHeight="1">
      <c r="A304" s="1014">
        <f>_xlfn.AGGREGATE(4,7,A$24:A303)+1</f>
        <v>280</v>
      </c>
      <c r="B304" s="1330" t="s">
        <v>2060</v>
      </c>
      <c r="C304" s="1349"/>
      <c r="D304" s="1350"/>
      <c r="E304" s="81" t="str">
        <f>VLOOKUP(B304,TH.Q2!B207:E538,4,FALSE)</f>
        <v>NV Phòng Tổ chức - Hành chính - Tổng hợp</v>
      </c>
      <c r="F304" s="1355"/>
      <c r="G304" s="1352"/>
      <c r="H304" s="1356"/>
      <c r="I304" s="1357"/>
      <c r="J304" s="1357"/>
      <c r="K304" s="1357"/>
      <c r="L304" s="1358"/>
      <c r="M304" s="1358"/>
      <c r="N304" s="1358"/>
      <c r="O304" s="1359"/>
      <c r="P304" s="1360">
        <v>6647317.9999999991</v>
      </c>
      <c r="Q304" s="1477">
        <f t="shared" si="33"/>
        <v>2.8407341880341876</v>
      </c>
      <c r="R304" s="1429">
        <v>2340000</v>
      </c>
      <c r="S304" s="1478">
        <f t="shared" si="34"/>
        <v>6647317.9999999991</v>
      </c>
      <c r="T304" s="1024">
        <f t="shared" si="35"/>
        <v>280</v>
      </c>
      <c r="U304" s="1025">
        <f>VLOOKUP(B304,'[28]CN HĐ'!$H$10:$M$73,6,FALSE)</f>
        <v>0</v>
      </c>
      <c r="V304" s="1011"/>
      <c r="W304" s="1012"/>
      <c r="X304" s="1012"/>
      <c r="Y304" s="1027"/>
      <c r="Z304" s="1012"/>
      <c r="AA304" s="1012"/>
      <c r="AB304" s="1012"/>
      <c r="AC304" s="1012"/>
      <c r="AD304" s="1012"/>
      <c r="AE304" s="1012"/>
      <c r="AF304" s="1012"/>
      <c r="AG304" s="1012"/>
      <c r="AH304" s="1012"/>
      <c r="AI304" s="1012"/>
    </row>
    <row r="305" spans="1:35" s="1028" customFormat="1" ht="33" customHeight="1">
      <c r="A305" s="1092">
        <f>_xlfn.AGGREGATE(4,7,A$24:A304)+1</f>
        <v>281</v>
      </c>
      <c r="B305" s="1342" t="s">
        <v>2062</v>
      </c>
      <c r="C305" s="1388"/>
      <c r="D305" s="1389"/>
      <c r="E305" s="554" t="str">
        <f>VLOOKUP(B305,TH.Q2!B208:E539,4,FALSE)</f>
        <v>NV P. QT 
Dịch vụ</v>
      </c>
      <c r="F305" s="1394"/>
      <c r="G305" s="1391"/>
      <c r="H305" s="1395"/>
      <c r="I305" s="1396"/>
      <c r="J305" s="1396"/>
      <c r="K305" s="1396"/>
      <c r="L305" s="1397"/>
      <c r="M305" s="1397"/>
      <c r="N305" s="1397"/>
      <c r="O305" s="1398"/>
      <c r="P305" s="1399">
        <v>0</v>
      </c>
      <c r="Q305" s="1479">
        <f t="shared" si="33"/>
        <v>0</v>
      </c>
      <c r="R305" s="1225">
        <v>2340000</v>
      </c>
      <c r="S305" s="1480">
        <f t="shared" si="34"/>
        <v>0</v>
      </c>
      <c r="T305" s="1024">
        <f t="shared" si="35"/>
        <v>281</v>
      </c>
      <c r="U305" s="1215" t="str">
        <f>VLOOKUP(B305,'[28]CN HĐ'!$H$10:$M$73,6,FALSE)</f>
        <v>Nghỉ hộ sản hưởng chế độ BHXH từ 01/8/24</v>
      </c>
      <c r="V305" s="1011"/>
      <c r="W305" s="1012"/>
      <c r="X305" s="1012"/>
      <c r="Y305" s="1027"/>
      <c r="Z305" s="1012"/>
      <c r="AA305" s="1012"/>
      <c r="AB305" s="1012"/>
      <c r="AC305" s="1012"/>
      <c r="AD305" s="1012"/>
      <c r="AE305" s="1012"/>
      <c r="AF305" s="1012"/>
      <c r="AG305" s="1012"/>
      <c r="AH305" s="1012"/>
      <c r="AI305" s="1012"/>
    </row>
    <row r="306" spans="1:35" s="1028" customFormat="1" ht="33" customHeight="1">
      <c r="A306" s="1014">
        <f>_xlfn.AGGREGATE(4,7,A$24:A305)+1</f>
        <v>282</v>
      </c>
      <c r="B306" s="1330" t="s">
        <v>2065</v>
      </c>
      <c r="C306" s="1349"/>
      <c r="D306" s="1350"/>
      <c r="E306" s="81" t="str">
        <f>VLOOKUP(B306,TH.Q2!B209:E540,4,FALSE)</f>
        <v>NV Phòng Quản trị - Dịch vụ</v>
      </c>
      <c r="F306" s="1355"/>
      <c r="G306" s="1352"/>
      <c r="H306" s="1356"/>
      <c r="I306" s="1357"/>
      <c r="J306" s="1357"/>
      <c r="K306" s="1357"/>
      <c r="L306" s="1358"/>
      <c r="M306" s="1358"/>
      <c r="N306" s="1358"/>
      <c r="O306" s="1359"/>
      <c r="P306" s="1360">
        <v>7044421.0000000009</v>
      </c>
      <c r="Q306" s="1477">
        <f t="shared" si="33"/>
        <v>3.0104363247863253</v>
      </c>
      <c r="R306" s="1429">
        <v>2340000</v>
      </c>
      <c r="S306" s="1478">
        <f t="shared" si="34"/>
        <v>7044421.0000000009</v>
      </c>
      <c r="T306" s="1024">
        <f t="shared" si="35"/>
        <v>282</v>
      </c>
      <c r="U306" s="1025">
        <f>VLOOKUP(B306,'[28]CN HĐ'!$H$10:$M$73,6,FALSE)</f>
        <v>0</v>
      </c>
      <c r="V306" s="1011"/>
      <c r="W306" s="1012"/>
      <c r="X306" s="1012"/>
      <c r="Y306" s="1027"/>
      <c r="Z306" s="1012"/>
      <c r="AA306" s="1012"/>
      <c r="AB306" s="1012"/>
      <c r="AC306" s="1012"/>
      <c r="AD306" s="1012"/>
      <c r="AE306" s="1012"/>
      <c r="AF306" s="1012"/>
      <c r="AG306" s="1012"/>
      <c r="AH306" s="1012"/>
      <c r="AI306" s="1012"/>
    </row>
    <row r="307" spans="1:35" s="1028" customFormat="1" ht="33" customHeight="1">
      <c r="A307" s="1014">
        <f>_xlfn.AGGREGATE(4,7,A$24:A306)+1</f>
        <v>283</v>
      </c>
      <c r="B307" s="1330" t="s">
        <v>2067</v>
      </c>
      <c r="C307" s="1349"/>
      <c r="D307" s="1350"/>
      <c r="E307" s="81" t="str">
        <f>VLOOKUP(B307,TH.Q2!B210:E541,4,FALSE)</f>
        <v>NV bảo trì</v>
      </c>
      <c r="F307" s="1355"/>
      <c r="G307" s="1352"/>
      <c r="H307" s="1356"/>
      <c r="I307" s="1357"/>
      <c r="J307" s="1357"/>
      <c r="K307" s="1357"/>
      <c r="L307" s="1358"/>
      <c r="M307" s="1358"/>
      <c r="N307" s="1358"/>
      <c r="O307" s="1359"/>
      <c r="P307" s="1360">
        <v>7755205</v>
      </c>
      <c r="Q307" s="1477">
        <f t="shared" si="33"/>
        <v>3.3141901709401709</v>
      </c>
      <c r="R307" s="1429">
        <v>2340000</v>
      </c>
      <c r="S307" s="1478">
        <f t="shared" si="34"/>
        <v>7755205</v>
      </c>
      <c r="T307" s="1024">
        <f t="shared" si="35"/>
        <v>283</v>
      </c>
      <c r="U307" s="1025">
        <f>VLOOKUP(B307,'[28]CN HĐ'!$H$10:$M$73,6,FALSE)</f>
        <v>0</v>
      </c>
      <c r="V307" s="1011"/>
      <c r="W307" s="1012"/>
      <c r="X307" s="1012"/>
      <c r="Y307" s="1027"/>
      <c r="Z307" s="1012"/>
      <c r="AA307" s="1012"/>
      <c r="AB307" s="1012"/>
      <c r="AC307" s="1012"/>
      <c r="AD307" s="1012"/>
      <c r="AE307" s="1012"/>
      <c r="AF307" s="1012"/>
      <c r="AG307" s="1012"/>
      <c r="AH307" s="1012"/>
      <c r="AI307" s="1012"/>
    </row>
    <row r="308" spans="1:35" s="1028" customFormat="1" ht="33" customHeight="1">
      <c r="A308" s="1014">
        <f>_xlfn.AGGREGATE(4,7,A$24:A307)+1</f>
        <v>284</v>
      </c>
      <c r="B308" s="1330" t="s">
        <v>2069</v>
      </c>
      <c r="C308" s="1349"/>
      <c r="D308" s="1350"/>
      <c r="E308" s="81" t="str">
        <f>VLOOKUP(B308,TH.Q2!B211:E542,4,FALSE)</f>
        <v>NV P. QT 
Dịch vụ</v>
      </c>
      <c r="F308" s="1355"/>
      <c r="G308" s="1352"/>
      <c r="H308" s="1356"/>
      <c r="I308" s="1357"/>
      <c r="J308" s="1357"/>
      <c r="K308" s="1357"/>
      <c r="L308" s="1358"/>
      <c r="M308" s="1358"/>
      <c r="N308" s="1358"/>
      <c r="O308" s="1359"/>
      <c r="P308" s="1360">
        <v>6085236</v>
      </c>
      <c r="Q308" s="1477">
        <f t="shared" si="33"/>
        <v>2.6005282051282053</v>
      </c>
      <c r="R308" s="1429">
        <v>2340000</v>
      </c>
      <c r="S308" s="1478">
        <f t="shared" si="34"/>
        <v>6085236</v>
      </c>
      <c r="T308" s="1024">
        <f t="shared" si="35"/>
        <v>284</v>
      </c>
      <c r="U308" s="1025">
        <f>VLOOKUP(B308,'[28]CN HĐ'!$H$10:$M$73,6,FALSE)</f>
        <v>0</v>
      </c>
      <c r="V308" s="1011"/>
      <c r="W308" s="1012"/>
      <c r="X308" s="1012"/>
      <c r="Y308" s="1027"/>
      <c r="Z308" s="1012"/>
      <c r="AA308" s="1012"/>
      <c r="AB308" s="1012"/>
      <c r="AC308" s="1012"/>
      <c r="AD308" s="1012"/>
      <c r="AE308" s="1012"/>
      <c r="AF308" s="1012"/>
      <c r="AG308" s="1012"/>
      <c r="AH308" s="1012"/>
      <c r="AI308" s="1012"/>
    </row>
    <row r="309" spans="1:35" s="1028" customFormat="1" ht="33" customHeight="1">
      <c r="A309" s="1014">
        <f>_xlfn.AGGREGATE(4,7,A$24:A308)+1</f>
        <v>285</v>
      </c>
      <c r="B309" s="1330" t="s">
        <v>2073</v>
      </c>
      <c r="C309" s="1349"/>
      <c r="D309" s="1350"/>
      <c r="E309" s="81" t="str">
        <f>VLOOKUP(B309,TH.Q2!B212:E543,4,FALSE)</f>
        <v>NV P. QT 
Dịch vụ</v>
      </c>
      <c r="F309" s="1355"/>
      <c r="G309" s="1352"/>
      <c r="H309" s="1356"/>
      <c r="I309" s="1357"/>
      <c r="J309" s="1357"/>
      <c r="K309" s="1357"/>
      <c r="L309" s="1358"/>
      <c r="M309" s="1358"/>
      <c r="N309" s="1358"/>
      <c r="O309" s="1359"/>
      <c r="P309" s="1360">
        <v>5031729</v>
      </c>
      <c r="Q309" s="1477">
        <f t="shared" si="33"/>
        <v>2.1503115384615383</v>
      </c>
      <c r="R309" s="1429">
        <v>2340000</v>
      </c>
      <c r="S309" s="1478">
        <f t="shared" si="34"/>
        <v>5031729</v>
      </c>
      <c r="T309" s="1024">
        <f t="shared" si="35"/>
        <v>285</v>
      </c>
      <c r="U309" s="1025">
        <f>VLOOKUP(B309,'[28]CN HĐ'!$H$10:$M$73,6,FALSE)</f>
        <v>0</v>
      </c>
      <c r="V309" s="1011"/>
      <c r="W309" s="1012"/>
      <c r="X309" s="1012"/>
      <c r="Y309" s="1027"/>
      <c r="Z309" s="1012"/>
      <c r="AA309" s="1012"/>
      <c r="AB309" s="1012"/>
      <c r="AC309" s="1012"/>
      <c r="AD309" s="1012"/>
      <c r="AE309" s="1012"/>
      <c r="AF309" s="1012"/>
      <c r="AG309" s="1012"/>
      <c r="AH309" s="1012"/>
      <c r="AI309" s="1012"/>
    </row>
    <row r="310" spans="1:35" s="1028" customFormat="1" ht="33" customHeight="1">
      <c r="A310" s="1014">
        <f>_xlfn.AGGREGATE(4,7,A$24:A309)+1</f>
        <v>286</v>
      </c>
      <c r="B310" s="1330" t="s">
        <v>2075</v>
      </c>
      <c r="C310" s="1349"/>
      <c r="D310" s="1350"/>
      <c r="E310" s="81" t="str">
        <f>VLOOKUP(B310,TH.Q2!B213:E544,4,FALSE)</f>
        <v>NV Phục vụ</v>
      </c>
      <c r="F310" s="1355"/>
      <c r="G310" s="1352"/>
      <c r="H310" s="1356"/>
      <c r="I310" s="1357"/>
      <c r="J310" s="1357"/>
      <c r="K310" s="1357"/>
      <c r="L310" s="1358"/>
      <c r="M310" s="1358"/>
      <c r="N310" s="1358"/>
      <c r="O310" s="1359"/>
      <c r="P310" s="1360">
        <v>4156808.9999999995</v>
      </c>
      <c r="Q310" s="1477">
        <f t="shared" si="33"/>
        <v>1.7764141025641023</v>
      </c>
      <c r="R310" s="1429">
        <v>2340000</v>
      </c>
      <c r="S310" s="1478">
        <f t="shared" si="34"/>
        <v>4156808.9999999991</v>
      </c>
      <c r="T310" s="1024">
        <f t="shared" si="35"/>
        <v>286</v>
      </c>
      <c r="U310" s="1025">
        <f>VLOOKUP(B310,'[28]CN HĐ'!$H$10:$M$73,6,FALSE)</f>
        <v>0</v>
      </c>
      <c r="V310" s="1011"/>
      <c r="W310" s="1012"/>
      <c r="X310" s="1012"/>
      <c r="Y310" s="1027"/>
      <c r="Z310" s="1012"/>
      <c r="AA310" s="1012"/>
      <c r="AB310" s="1012"/>
      <c r="AC310" s="1012"/>
      <c r="AD310" s="1012"/>
      <c r="AE310" s="1012"/>
      <c r="AF310" s="1012"/>
      <c r="AG310" s="1012"/>
      <c r="AH310" s="1012"/>
      <c r="AI310" s="1012"/>
    </row>
    <row r="311" spans="1:35" s="1028" customFormat="1" ht="33" customHeight="1">
      <c r="A311" s="1014">
        <f>_xlfn.AGGREGATE(4,7,A$24:A310)+1</f>
        <v>287</v>
      </c>
      <c r="B311" s="1330" t="s">
        <v>2077</v>
      </c>
      <c r="C311" s="1349"/>
      <c r="D311" s="1350"/>
      <c r="E311" s="81" t="str">
        <f>VLOOKUP(B311,TH.Q2!B214:E545,4,FALSE)</f>
        <v>NV Phục vụ</v>
      </c>
      <c r="F311" s="1355"/>
      <c r="G311" s="1352"/>
      <c r="H311" s="1356"/>
      <c r="I311" s="1357"/>
      <c r="J311" s="1357"/>
      <c r="K311" s="1357"/>
      <c r="L311" s="1358"/>
      <c r="M311" s="1358"/>
      <c r="N311" s="1358"/>
      <c r="O311" s="1359"/>
      <c r="P311" s="1360">
        <v>2679516</v>
      </c>
      <c r="Q311" s="1477">
        <f t="shared" si="33"/>
        <v>1.1450923076923076</v>
      </c>
      <c r="R311" s="1429">
        <v>2340000</v>
      </c>
      <c r="S311" s="1478">
        <f t="shared" si="34"/>
        <v>2679516</v>
      </c>
      <c r="T311" s="1024">
        <f t="shared" si="35"/>
        <v>287</v>
      </c>
      <c r="U311" s="1025">
        <f>VLOOKUP(B311,'[28]CN HĐ'!$H$10:$M$73,6,FALSE)</f>
        <v>0</v>
      </c>
      <c r="V311" s="1011"/>
      <c r="W311" s="1012"/>
      <c r="X311" s="1012"/>
      <c r="Y311" s="1027"/>
      <c r="Z311" s="1012"/>
      <c r="AA311" s="1012"/>
      <c r="AB311" s="1012"/>
      <c r="AC311" s="1012"/>
      <c r="AD311" s="1012"/>
      <c r="AE311" s="1012"/>
      <c r="AF311" s="1012"/>
      <c r="AG311" s="1012"/>
      <c r="AH311" s="1012"/>
      <c r="AI311" s="1012"/>
    </row>
    <row r="312" spans="1:35" s="1028" customFormat="1" ht="33" customHeight="1">
      <c r="A312" s="1014">
        <f>_xlfn.AGGREGATE(4,7,A$24:A311)+1</f>
        <v>288</v>
      </c>
      <c r="B312" s="1330" t="s">
        <v>2080</v>
      </c>
      <c r="C312" s="1349"/>
      <c r="D312" s="1350"/>
      <c r="E312" s="81" t="str">
        <f>VLOOKUP(B312,TH.Q2!B215:E546,4,FALSE)</f>
        <v>NV Phục vụ</v>
      </c>
      <c r="F312" s="1355"/>
      <c r="G312" s="1352"/>
      <c r="H312" s="1356"/>
      <c r="I312" s="1357"/>
      <c r="J312" s="1357"/>
      <c r="K312" s="1357"/>
      <c r="L312" s="1358"/>
      <c r="M312" s="1358"/>
      <c r="N312" s="1358"/>
      <c r="O312" s="1359"/>
      <c r="P312" s="1360">
        <v>2679516</v>
      </c>
      <c r="Q312" s="1477">
        <f t="shared" si="33"/>
        <v>1.1450923076923076</v>
      </c>
      <c r="R312" s="1429">
        <v>2340000</v>
      </c>
      <c r="S312" s="1478">
        <f t="shared" si="34"/>
        <v>2679516</v>
      </c>
      <c r="T312" s="1024">
        <f t="shared" si="35"/>
        <v>288</v>
      </c>
      <c r="U312" s="1025">
        <f>VLOOKUP(B312,'[28]CN HĐ'!$H$10:$M$73,6,FALSE)</f>
        <v>0</v>
      </c>
      <c r="V312" s="1011"/>
      <c r="W312" s="1012"/>
      <c r="X312" s="1012"/>
      <c r="Y312" s="1027"/>
      <c r="Z312" s="1012"/>
      <c r="AA312" s="1012"/>
      <c r="AB312" s="1012"/>
      <c r="AC312" s="1012"/>
      <c r="AD312" s="1012"/>
      <c r="AE312" s="1012"/>
      <c r="AF312" s="1012"/>
      <c r="AG312" s="1012"/>
      <c r="AH312" s="1012"/>
      <c r="AI312" s="1012"/>
    </row>
    <row r="313" spans="1:35" s="1028" customFormat="1" ht="33" customHeight="1">
      <c r="A313" s="1014">
        <f>_xlfn.AGGREGATE(4,7,A$24:A312)+1</f>
        <v>289</v>
      </c>
      <c r="B313" s="1330" t="s">
        <v>2082</v>
      </c>
      <c r="C313" s="1349"/>
      <c r="D313" s="1350"/>
      <c r="E313" s="81" t="str">
        <f>VLOOKUP(B313,TH.Q2!B216:E547,4,FALSE)</f>
        <v>NV Phục vụ</v>
      </c>
      <c r="F313" s="1355"/>
      <c r="G313" s="1352"/>
      <c r="H313" s="1356"/>
      <c r="I313" s="1357"/>
      <c r="J313" s="1357"/>
      <c r="K313" s="1357"/>
      <c r="L313" s="1358"/>
      <c r="M313" s="1358"/>
      <c r="N313" s="1358"/>
      <c r="O313" s="1359"/>
      <c r="P313" s="1360">
        <v>2679516</v>
      </c>
      <c r="Q313" s="1477">
        <f t="shared" si="33"/>
        <v>1.1450923076923076</v>
      </c>
      <c r="R313" s="1429">
        <v>2340000</v>
      </c>
      <c r="S313" s="1478">
        <f t="shared" si="34"/>
        <v>2679516</v>
      </c>
      <c r="T313" s="1024">
        <f t="shared" si="35"/>
        <v>289</v>
      </c>
      <c r="U313" s="1025">
        <f>VLOOKUP(B313,'[28]CN HĐ'!$H$10:$M$73,6,FALSE)</f>
        <v>0</v>
      </c>
      <c r="V313" s="1011"/>
      <c r="W313" s="1012"/>
      <c r="X313" s="1012"/>
      <c r="Y313" s="1027"/>
      <c r="Z313" s="1012"/>
      <c r="AA313" s="1012"/>
      <c r="AB313" s="1012"/>
      <c r="AC313" s="1012"/>
      <c r="AD313" s="1012"/>
      <c r="AE313" s="1012"/>
      <c r="AF313" s="1012"/>
      <c r="AG313" s="1012"/>
      <c r="AH313" s="1012"/>
      <c r="AI313" s="1012"/>
    </row>
    <row r="314" spans="1:35" s="1028" customFormat="1" ht="33" customHeight="1">
      <c r="A314" s="1014">
        <f>_xlfn.AGGREGATE(4,7,A$24:A313)+1</f>
        <v>290</v>
      </c>
      <c r="B314" s="1330" t="s">
        <v>2084</v>
      </c>
      <c r="C314" s="1349"/>
      <c r="D314" s="1350"/>
      <c r="E314" s="81" t="str">
        <f>VLOOKUP(B314,TH.Q2!B217:E548,4,FALSE)</f>
        <v>NV Phục vụ</v>
      </c>
      <c r="F314" s="1355"/>
      <c r="G314" s="1352"/>
      <c r="H314" s="1356"/>
      <c r="I314" s="1357"/>
      <c r="J314" s="1357"/>
      <c r="K314" s="1357"/>
      <c r="L314" s="1358"/>
      <c r="M314" s="1358"/>
      <c r="N314" s="1358"/>
      <c r="O314" s="1359"/>
      <c r="P314" s="1360">
        <v>2679516</v>
      </c>
      <c r="Q314" s="1477">
        <f t="shared" si="33"/>
        <v>1.1450923076923076</v>
      </c>
      <c r="R314" s="1429">
        <v>2340000</v>
      </c>
      <c r="S314" s="1478">
        <f t="shared" si="34"/>
        <v>2679516</v>
      </c>
      <c r="T314" s="1024">
        <f t="shared" si="35"/>
        <v>290</v>
      </c>
      <c r="U314" s="1025">
        <f>VLOOKUP(B314,'[28]CN HĐ'!$H$10:$M$73,6,FALSE)</f>
        <v>0</v>
      </c>
      <c r="V314" s="1011"/>
      <c r="W314" s="1012"/>
      <c r="X314" s="1012"/>
      <c r="Y314" s="1027"/>
      <c r="Z314" s="1012"/>
      <c r="AA314" s="1012"/>
      <c r="AB314" s="1012"/>
      <c r="AC314" s="1012"/>
      <c r="AD314" s="1012"/>
      <c r="AE314" s="1012"/>
      <c r="AF314" s="1012"/>
      <c r="AG314" s="1012"/>
      <c r="AH314" s="1012"/>
      <c r="AI314" s="1012"/>
    </row>
    <row r="315" spans="1:35" s="1028" customFormat="1" ht="33" customHeight="1">
      <c r="A315" s="1014">
        <f>_xlfn.AGGREGATE(4,7,A$24:A314)+1</f>
        <v>291</v>
      </c>
      <c r="B315" s="1330" t="s">
        <v>2086</v>
      </c>
      <c r="C315" s="1349"/>
      <c r="D315" s="1350"/>
      <c r="E315" s="81" t="str">
        <f>VLOOKUP(B315,TH.Q2!B218:E549,4,FALSE)</f>
        <v>Nhân viên phòng Quản trị - Dịch vụ</v>
      </c>
      <c r="F315" s="1355"/>
      <c r="G315" s="1352"/>
      <c r="H315" s="1356"/>
      <c r="I315" s="1357"/>
      <c r="J315" s="1357"/>
      <c r="K315" s="1357"/>
      <c r="L315" s="1358"/>
      <c r="M315" s="1358"/>
      <c r="N315" s="1358"/>
      <c r="O315" s="1359"/>
      <c r="P315" s="1360">
        <v>2187360</v>
      </c>
      <c r="Q315" s="1477">
        <f t="shared" si="33"/>
        <v>0.9347692307692308</v>
      </c>
      <c r="R315" s="1429">
        <v>2340000</v>
      </c>
      <c r="S315" s="1478">
        <f t="shared" si="34"/>
        <v>2187360</v>
      </c>
      <c r="T315" s="1024">
        <f t="shared" si="35"/>
        <v>291</v>
      </c>
      <c r="U315" s="1025">
        <f>VLOOKUP(B315,'[28]CN HĐ'!$H$10:$M$73,6,FALSE)</f>
        <v>0</v>
      </c>
      <c r="V315" s="1011"/>
      <c r="W315" s="1012"/>
      <c r="X315" s="1012"/>
      <c r="Y315" s="1027"/>
      <c r="Z315" s="1012"/>
      <c r="AA315" s="1012"/>
      <c r="AB315" s="1012"/>
      <c r="AC315" s="1012"/>
      <c r="AD315" s="1012"/>
      <c r="AE315" s="1012"/>
      <c r="AF315" s="1012"/>
      <c r="AG315" s="1012"/>
      <c r="AH315" s="1012"/>
      <c r="AI315" s="1012"/>
    </row>
    <row r="316" spans="1:35" s="1028" customFormat="1" ht="33" customHeight="1">
      <c r="A316" s="1014">
        <f>_xlfn.AGGREGATE(4,7,A$24:A315)+1</f>
        <v>292</v>
      </c>
      <c r="B316" s="1330" t="s">
        <v>2087</v>
      </c>
      <c r="C316" s="1349"/>
      <c r="D316" s="1350"/>
      <c r="E316" s="81" t="str">
        <f>VLOOKUP(B316,TH.Q2!B219:E550,4,FALSE)</f>
        <v>Nhân viên phòng Quản trị - Dịch vụ</v>
      </c>
      <c r="F316" s="1355"/>
      <c r="G316" s="1352"/>
      <c r="H316" s="1356"/>
      <c r="I316" s="1357"/>
      <c r="J316" s="1357"/>
      <c r="K316" s="1357"/>
      <c r="L316" s="1358"/>
      <c r="M316" s="1358"/>
      <c r="N316" s="1358"/>
      <c r="O316" s="1359"/>
      <c r="P316" s="1360">
        <v>2187360</v>
      </c>
      <c r="Q316" s="1477">
        <f t="shared" si="33"/>
        <v>0.9347692307692308</v>
      </c>
      <c r="R316" s="1429">
        <v>2340000</v>
      </c>
      <c r="S316" s="1478">
        <f t="shared" si="34"/>
        <v>2187360</v>
      </c>
      <c r="T316" s="1024">
        <f t="shared" si="35"/>
        <v>292</v>
      </c>
      <c r="U316" s="1025">
        <f>VLOOKUP(B316,'[28]CN HĐ'!$H$10:$M$73,6,FALSE)</f>
        <v>0</v>
      </c>
      <c r="V316" s="1011"/>
      <c r="W316" s="1012"/>
      <c r="X316" s="1012"/>
      <c r="Y316" s="1027"/>
      <c r="Z316" s="1012"/>
      <c r="AA316" s="1012"/>
      <c r="AB316" s="1012"/>
      <c r="AC316" s="1012"/>
      <c r="AD316" s="1012"/>
      <c r="AE316" s="1012"/>
      <c r="AF316" s="1012"/>
      <c r="AG316" s="1012"/>
      <c r="AH316" s="1012"/>
      <c r="AI316" s="1012"/>
    </row>
    <row r="317" spans="1:35" s="1028" customFormat="1" ht="33" customHeight="1">
      <c r="A317" s="1014">
        <f>_xlfn.AGGREGATE(4,7,A$24:A316)+1</f>
        <v>293</v>
      </c>
      <c r="B317" s="1330" t="s">
        <v>2245</v>
      </c>
      <c r="C317" s="1349"/>
      <c r="D317" s="1350"/>
      <c r="E317" s="81" t="str">
        <f>VLOOKUP(B317,TH.Q2!B220:E551,4,FALSE)</f>
        <v>Nhân viên phòng Quản trị - Dịch vụ</v>
      </c>
      <c r="F317" s="1355"/>
      <c r="G317" s="1352"/>
      <c r="H317" s="1356"/>
      <c r="I317" s="1357"/>
      <c r="J317" s="1357"/>
      <c r="K317" s="1357"/>
      <c r="L317" s="1358"/>
      <c r="M317" s="1358"/>
      <c r="N317" s="1358"/>
      <c r="O317" s="1359"/>
      <c r="P317" s="1360">
        <v>5519488</v>
      </c>
      <c r="Q317" s="1477">
        <f t="shared" si="33"/>
        <v>2.3587555555555557</v>
      </c>
      <c r="R317" s="1429">
        <v>2340000</v>
      </c>
      <c r="S317" s="1478">
        <f t="shared" si="34"/>
        <v>5519488</v>
      </c>
      <c r="T317" s="1024">
        <f t="shared" si="35"/>
        <v>293</v>
      </c>
      <c r="U317" s="1025">
        <f>VLOOKUP(B317,'[28]CN HĐ'!$H$10:$M$73,6,FALSE)</f>
        <v>0</v>
      </c>
      <c r="V317" s="1011"/>
      <c r="W317" s="1012"/>
      <c r="X317" s="1012"/>
      <c r="Y317" s="1027"/>
      <c r="Z317" s="1012"/>
      <c r="AA317" s="1012"/>
      <c r="AB317" s="1012"/>
      <c r="AC317" s="1012"/>
      <c r="AD317" s="1012"/>
      <c r="AE317" s="1012"/>
      <c r="AF317" s="1012"/>
      <c r="AG317" s="1012"/>
      <c r="AH317" s="1012"/>
      <c r="AI317" s="1012"/>
    </row>
    <row r="318" spans="1:35" s="1028" customFormat="1" ht="33" customHeight="1">
      <c r="A318" s="1014">
        <f>_xlfn.AGGREGATE(4,7,A$24:A317)+1</f>
        <v>294</v>
      </c>
      <c r="B318" s="1330" t="s">
        <v>2253</v>
      </c>
      <c r="C318" s="1349"/>
      <c r="D318" s="1350"/>
      <c r="E318" s="81" t="str">
        <f>VLOOKUP(B318,TH.Q2!B221:E552,4,FALSE)</f>
        <v>Nhân viên phòng Quản trị - Dịch vụ</v>
      </c>
      <c r="F318" s="1355"/>
      <c r="G318" s="1352"/>
      <c r="H318" s="1356"/>
      <c r="I318" s="1357"/>
      <c r="J318" s="1357"/>
      <c r="K318" s="1357"/>
      <c r="L318" s="1358"/>
      <c r="M318" s="1358"/>
      <c r="N318" s="1358"/>
      <c r="O318" s="1359"/>
      <c r="P318" s="1360">
        <v>3449680.0000000005</v>
      </c>
      <c r="Q318" s="1477">
        <f t="shared" si="33"/>
        <v>1.4742222222222223</v>
      </c>
      <c r="R318" s="1429">
        <v>2340000</v>
      </c>
      <c r="S318" s="1478">
        <f t="shared" si="34"/>
        <v>3449680.0000000005</v>
      </c>
      <c r="T318" s="1024">
        <f t="shared" si="35"/>
        <v>294</v>
      </c>
      <c r="U318" s="1025">
        <f>VLOOKUP(B318,'[28]CN HĐ'!$H$10:$M$73,6,FALSE)</f>
        <v>0</v>
      </c>
      <c r="V318" s="1011"/>
      <c r="W318" s="1012"/>
      <c r="X318" s="1012"/>
      <c r="Y318" s="1027"/>
      <c r="Z318" s="1012"/>
      <c r="AA318" s="1012"/>
      <c r="AB318" s="1012"/>
      <c r="AC318" s="1012"/>
      <c r="AD318" s="1012"/>
      <c r="AE318" s="1012"/>
      <c r="AF318" s="1012"/>
      <c r="AG318" s="1012"/>
      <c r="AH318" s="1012"/>
      <c r="AI318" s="1012"/>
    </row>
    <row r="319" spans="1:35" s="1028" customFormat="1" ht="33" customHeight="1">
      <c r="A319" s="1014">
        <f>_xlfn.AGGREGATE(4,7,A$24:A318)+1</f>
        <v>295</v>
      </c>
      <c r="B319" s="1330" t="s">
        <v>2088</v>
      </c>
      <c r="C319" s="1349"/>
      <c r="D319" s="1350"/>
      <c r="E319" s="81" t="str">
        <f>VLOOKUP(B319,TH.Q2!B222:E553,4,FALSE)</f>
        <v>Nhân viên phòng Quản trị - Dịch vụ</v>
      </c>
      <c r="F319" s="1355"/>
      <c r="G319" s="1352"/>
      <c r="H319" s="1356"/>
      <c r="I319" s="1357"/>
      <c r="J319" s="1357"/>
      <c r="K319" s="1357"/>
      <c r="L319" s="1358"/>
      <c r="M319" s="1358"/>
      <c r="N319" s="1358"/>
      <c r="O319" s="1359"/>
      <c r="P319" s="1360">
        <v>2777600</v>
      </c>
      <c r="Q319" s="1477">
        <f t="shared" si="33"/>
        <v>1.187008547008547</v>
      </c>
      <c r="R319" s="1429">
        <v>2340000</v>
      </c>
      <c r="S319" s="1478">
        <f t="shared" si="34"/>
        <v>2777600</v>
      </c>
      <c r="T319" s="1024">
        <f t="shared" si="35"/>
        <v>295</v>
      </c>
      <c r="U319" s="1025">
        <f>VLOOKUP(B319,'[28]CN HĐ'!$H$10:$M$73,6,FALSE)</f>
        <v>0</v>
      </c>
      <c r="V319" s="1011"/>
      <c r="W319" s="1012"/>
      <c r="X319" s="1012"/>
      <c r="Y319" s="1027"/>
      <c r="Z319" s="1012"/>
      <c r="AA319" s="1012"/>
      <c r="AB319" s="1012"/>
      <c r="AC319" s="1012"/>
      <c r="AD319" s="1012"/>
      <c r="AE319" s="1012"/>
      <c r="AF319" s="1012"/>
      <c r="AG319" s="1012"/>
      <c r="AH319" s="1012"/>
      <c r="AI319" s="1012"/>
    </row>
    <row r="320" spans="1:35" s="1028" customFormat="1" ht="33" customHeight="1">
      <c r="A320" s="1014">
        <f>_xlfn.AGGREGATE(4,7,A$24:A319)+1</f>
        <v>296</v>
      </c>
      <c r="B320" s="1330" t="s">
        <v>2089</v>
      </c>
      <c r="C320" s="1349"/>
      <c r="D320" s="1350"/>
      <c r="E320" s="81" t="str">
        <f>VLOOKUP(B320,TH.Q2!B223:E554,4,FALSE)</f>
        <v>Nhân viên Y tế</v>
      </c>
      <c r="F320" s="1355"/>
      <c r="G320" s="1352"/>
      <c r="H320" s="1356"/>
      <c r="I320" s="1357"/>
      <c r="J320" s="1357"/>
      <c r="K320" s="1357"/>
      <c r="L320" s="1358"/>
      <c r="M320" s="1358"/>
      <c r="N320" s="1358"/>
      <c r="O320" s="1359"/>
      <c r="P320" s="1360">
        <v>5824855</v>
      </c>
      <c r="Q320" s="1477">
        <f t="shared" si="33"/>
        <v>2.4892542735042733</v>
      </c>
      <c r="R320" s="1429">
        <v>2340000</v>
      </c>
      <c r="S320" s="1478">
        <f t="shared" si="34"/>
        <v>5824855</v>
      </c>
      <c r="T320" s="1024">
        <f t="shared" si="35"/>
        <v>296</v>
      </c>
      <c r="U320" s="1025">
        <f>VLOOKUP(B320,'[28]CN HĐ'!$H$10:$M$73,6,FALSE)</f>
        <v>0</v>
      </c>
      <c r="V320" s="1011"/>
      <c r="W320" s="1012"/>
      <c r="X320" s="1012"/>
      <c r="Y320" s="1027"/>
      <c r="Z320" s="1012"/>
      <c r="AA320" s="1012"/>
      <c r="AB320" s="1012"/>
      <c r="AC320" s="1012"/>
      <c r="AD320" s="1012"/>
      <c r="AE320" s="1012"/>
      <c r="AF320" s="1012"/>
      <c r="AG320" s="1012"/>
      <c r="AH320" s="1012"/>
      <c r="AI320" s="1012"/>
    </row>
    <row r="321" spans="1:35" s="1028" customFormat="1" ht="33" customHeight="1">
      <c r="A321" s="1014">
        <f>_xlfn.AGGREGATE(4,7,A$24:A320)+1</f>
        <v>297</v>
      </c>
      <c r="B321" s="1330" t="s">
        <v>2091</v>
      </c>
      <c r="C321" s="1349"/>
      <c r="D321" s="1350"/>
      <c r="E321" s="81" t="str">
        <f>VLOOKUP(B321,TH.Q2!B224:E555,4,FALSE)</f>
        <v>Nhân viên Ký túc xá</v>
      </c>
      <c r="F321" s="1355"/>
      <c r="G321" s="1352"/>
      <c r="H321" s="1356"/>
      <c r="I321" s="1357"/>
      <c r="J321" s="1357"/>
      <c r="K321" s="1357"/>
      <c r="L321" s="1358"/>
      <c r="M321" s="1358"/>
      <c r="N321" s="1358"/>
      <c r="O321" s="1359"/>
      <c r="P321" s="1360">
        <v>2187360</v>
      </c>
      <c r="Q321" s="1477">
        <f t="shared" si="33"/>
        <v>0.9347692307692308</v>
      </c>
      <c r="R321" s="1429">
        <v>2340000</v>
      </c>
      <c r="S321" s="1478">
        <f t="shared" si="34"/>
        <v>2187360</v>
      </c>
      <c r="T321" s="1024">
        <f t="shared" si="35"/>
        <v>297</v>
      </c>
      <c r="U321" s="1025">
        <f>VLOOKUP(B321,'[28]CN HĐ'!$H$10:$M$73,6,FALSE)</f>
        <v>0</v>
      </c>
      <c r="V321" s="1011"/>
      <c r="W321" s="1012"/>
      <c r="X321" s="1012"/>
      <c r="Y321" s="1027"/>
      <c r="Z321" s="1012"/>
      <c r="AA321" s="1012"/>
      <c r="AB321" s="1012"/>
      <c r="AC321" s="1012"/>
      <c r="AD321" s="1012"/>
      <c r="AE321" s="1012"/>
      <c r="AF321" s="1012"/>
      <c r="AG321" s="1012"/>
      <c r="AH321" s="1012"/>
      <c r="AI321" s="1012"/>
    </row>
    <row r="322" spans="1:35" s="1028" customFormat="1" ht="33" customHeight="1">
      <c r="A322" s="1014">
        <f>_xlfn.AGGREGATE(4,7,A$24:A321)+1</f>
        <v>298</v>
      </c>
      <c r="B322" s="1344" t="s">
        <v>2092</v>
      </c>
      <c r="C322" s="1349"/>
      <c r="D322" s="1350"/>
      <c r="E322" s="81" t="str">
        <f>VLOOKUP(B322,TH.Q2!B225:E556,4,FALSE)</f>
        <v>Nhân viên</v>
      </c>
      <c r="F322" s="1355"/>
      <c r="G322" s="1352"/>
      <c r="H322" s="1356"/>
      <c r="I322" s="1357"/>
      <c r="J322" s="1357"/>
      <c r="K322" s="1357"/>
      <c r="L322" s="1358"/>
      <c r="M322" s="1358"/>
      <c r="N322" s="1358"/>
      <c r="O322" s="1359"/>
      <c r="P322" s="1360">
        <v>13922657.999999998</v>
      </c>
      <c r="Q322" s="1477">
        <f t="shared" si="33"/>
        <v>5.9498538461538457</v>
      </c>
      <c r="R322" s="1429">
        <v>2340000</v>
      </c>
      <c r="S322" s="1478">
        <f t="shared" si="34"/>
        <v>13922657.999999998</v>
      </c>
      <c r="T322" s="1024">
        <f t="shared" si="35"/>
        <v>298</v>
      </c>
      <c r="U322" s="1025">
        <f>VLOOKUP(B322,'[28]CN HĐ'!$H$10:$M$73,6,FALSE)</f>
        <v>0</v>
      </c>
      <c r="V322" s="1011"/>
      <c r="W322" s="1012"/>
      <c r="X322" s="1012"/>
      <c r="Y322" s="1027"/>
      <c r="Z322" s="1012"/>
      <c r="AA322" s="1012"/>
      <c r="AB322" s="1012"/>
      <c r="AC322" s="1012"/>
      <c r="AD322" s="1012"/>
      <c r="AE322" s="1012"/>
      <c r="AF322" s="1012"/>
      <c r="AG322" s="1012"/>
      <c r="AH322" s="1012"/>
      <c r="AI322" s="1012"/>
    </row>
    <row r="323" spans="1:35" s="1028" customFormat="1" ht="33" customHeight="1">
      <c r="A323" s="1014">
        <f>_xlfn.AGGREGATE(4,7,A$24:A322)+1</f>
        <v>299</v>
      </c>
      <c r="B323" s="1330" t="s">
        <v>2094</v>
      </c>
      <c r="C323" s="1349"/>
      <c r="D323" s="1350"/>
      <c r="E323" s="81" t="str">
        <f>VLOOKUP(B323,TH.Q2!B226:E557,4,FALSE)</f>
        <v>NV Kế toán</v>
      </c>
      <c r="F323" s="1355"/>
      <c r="G323" s="1352"/>
      <c r="H323" s="1356"/>
      <c r="I323" s="1357"/>
      <c r="J323" s="1357"/>
      <c r="K323" s="1357"/>
      <c r="L323" s="1358"/>
      <c r="M323" s="1358"/>
      <c r="N323" s="1358"/>
      <c r="O323" s="1359"/>
      <c r="P323" s="1360">
        <v>7247855</v>
      </c>
      <c r="Q323" s="1477">
        <f t="shared" si="33"/>
        <v>3.0973739316239315</v>
      </c>
      <c r="R323" s="1429">
        <v>2340000</v>
      </c>
      <c r="S323" s="1478">
        <f t="shared" si="34"/>
        <v>7247855</v>
      </c>
      <c r="T323" s="1024">
        <f t="shared" si="35"/>
        <v>299</v>
      </c>
      <c r="U323" s="1025">
        <f>VLOOKUP(B323,'[28]CN HĐ'!$H$10:$M$73,6,FALSE)</f>
        <v>0</v>
      </c>
      <c r="V323" s="1011"/>
      <c r="W323" s="1012"/>
      <c r="X323" s="1012"/>
      <c r="Y323" s="1027"/>
      <c r="Z323" s="1012"/>
      <c r="AA323" s="1012"/>
      <c r="AB323" s="1012"/>
      <c r="AC323" s="1012"/>
      <c r="AD323" s="1012"/>
      <c r="AE323" s="1012"/>
      <c r="AF323" s="1012"/>
      <c r="AG323" s="1012"/>
      <c r="AH323" s="1012"/>
      <c r="AI323" s="1012"/>
    </row>
    <row r="324" spans="1:35" s="1028" customFormat="1" ht="33" customHeight="1">
      <c r="A324" s="1014">
        <f>_xlfn.AGGREGATE(4,7,A$24:A323)+1</f>
        <v>300</v>
      </c>
      <c r="B324" s="1330" t="s">
        <v>2098</v>
      </c>
      <c r="C324" s="1349"/>
      <c r="D324" s="1350"/>
      <c r="E324" s="81" t="str">
        <f>VLOOKUP(B324,TH.Q2!B227:E558,4,FALSE)</f>
        <v>NV Kế toán</v>
      </c>
      <c r="F324" s="1355"/>
      <c r="G324" s="1352"/>
      <c r="H324" s="1356"/>
      <c r="I324" s="1357"/>
      <c r="J324" s="1357"/>
      <c r="K324" s="1357"/>
      <c r="L324" s="1358"/>
      <c r="M324" s="1358"/>
      <c r="N324" s="1358"/>
      <c r="O324" s="1359"/>
      <c r="P324" s="1360">
        <v>5529354</v>
      </c>
      <c r="Q324" s="1477">
        <f t="shared" si="33"/>
        <v>2.362971794871795</v>
      </c>
      <c r="R324" s="1429">
        <v>2340000</v>
      </c>
      <c r="S324" s="1478">
        <f t="shared" si="34"/>
        <v>5529354</v>
      </c>
      <c r="T324" s="1024">
        <f t="shared" si="35"/>
        <v>300</v>
      </c>
      <c r="U324" s="1025">
        <f>VLOOKUP(B324,'[28]CN HĐ'!$H$10:$M$73,6,FALSE)</f>
        <v>0</v>
      </c>
      <c r="V324" s="1011"/>
      <c r="W324" s="1012"/>
      <c r="X324" s="1012"/>
      <c r="Y324" s="1027"/>
      <c r="Z324" s="1012"/>
      <c r="AA324" s="1012"/>
      <c r="AB324" s="1012"/>
      <c r="AC324" s="1012"/>
      <c r="AD324" s="1012"/>
      <c r="AE324" s="1012"/>
      <c r="AF324" s="1012"/>
      <c r="AG324" s="1012"/>
      <c r="AH324" s="1012"/>
      <c r="AI324" s="1012"/>
    </row>
    <row r="325" spans="1:35" s="1028" customFormat="1" ht="33" customHeight="1">
      <c r="A325" s="1014">
        <f>_xlfn.AGGREGATE(4,7,A$24:A324)+1</f>
        <v>301</v>
      </c>
      <c r="B325" s="1330" t="s">
        <v>2099</v>
      </c>
      <c r="C325" s="1349"/>
      <c r="D325" s="1350"/>
      <c r="E325" s="81" t="str">
        <f>VLOOKUP(B325,TH.Q2!B228:E559,4,FALSE)</f>
        <v>NV Kế toán</v>
      </c>
      <c r="F325" s="1355"/>
      <c r="G325" s="1352"/>
      <c r="H325" s="1356"/>
      <c r="I325" s="1357"/>
      <c r="J325" s="1357"/>
      <c r="K325" s="1357"/>
      <c r="L325" s="1358"/>
      <c r="M325" s="1358"/>
      <c r="N325" s="1358"/>
      <c r="O325" s="1359"/>
      <c r="P325" s="1360">
        <v>5167621</v>
      </c>
      <c r="Q325" s="1477">
        <f t="shared" si="33"/>
        <v>2.2083850427350429</v>
      </c>
      <c r="R325" s="1429">
        <v>2340000</v>
      </c>
      <c r="S325" s="1478">
        <f t="shared" si="34"/>
        <v>5167621</v>
      </c>
      <c r="T325" s="1024">
        <f t="shared" si="35"/>
        <v>301</v>
      </c>
      <c r="U325" s="1025">
        <f>VLOOKUP(B325,'[28]CN HĐ'!$H$10:$M$73,6,FALSE)</f>
        <v>0</v>
      </c>
      <c r="V325" s="1011"/>
      <c r="W325" s="1012"/>
      <c r="X325" s="1012"/>
      <c r="Y325" s="1027"/>
      <c r="Z325" s="1012"/>
      <c r="AA325" s="1012"/>
      <c r="AB325" s="1012"/>
      <c r="AC325" s="1012"/>
      <c r="AD325" s="1012"/>
      <c r="AE325" s="1012"/>
      <c r="AF325" s="1012"/>
      <c r="AG325" s="1012"/>
      <c r="AH325" s="1012"/>
      <c r="AI325" s="1012"/>
    </row>
    <row r="326" spans="1:35" s="1028" customFormat="1" ht="33" customHeight="1">
      <c r="A326" s="1014">
        <f>_xlfn.AGGREGATE(4,7,A$24:A325)+1</f>
        <v>302</v>
      </c>
      <c r="B326" s="1330" t="s">
        <v>2100</v>
      </c>
      <c r="C326" s="1349"/>
      <c r="D326" s="1350"/>
      <c r="E326" s="81" t="str">
        <f>VLOOKUP(B326,TH.Q2!B229:E560,4,FALSE)</f>
        <v>Nhân viên</v>
      </c>
      <c r="F326" s="1355"/>
      <c r="G326" s="1352"/>
      <c r="H326" s="1356"/>
      <c r="I326" s="1357"/>
      <c r="J326" s="1357"/>
      <c r="K326" s="1357"/>
      <c r="L326" s="1358"/>
      <c r="M326" s="1358"/>
      <c r="N326" s="1358"/>
      <c r="O326" s="1359"/>
      <c r="P326" s="1360">
        <v>7112631</v>
      </c>
      <c r="Q326" s="1477">
        <f t="shared" si="33"/>
        <v>3.0395858974358974</v>
      </c>
      <c r="R326" s="1429">
        <v>2340000</v>
      </c>
      <c r="S326" s="1478">
        <f t="shared" si="34"/>
        <v>7112631</v>
      </c>
      <c r="T326" s="1024">
        <f t="shared" si="35"/>
        <v>302</v>
      </c>
      <c r="U326" s="1025">
        <f>VLOOKUP(B326,'[28]CN HĐ'!$H$10:$M$73,6,FALSE)</f>
        <v>0</v>
      </c>
      <c r="V326" s="1011"/>
      <c r="W326" s="1012"/>
      <c r="X326" s="1012"/>
      <c r="Y326" s="1027"/>
      <c r="Z326" s="1012"/>
      <c r="AA326" s="1012"/>
      <c r="AB326" s="1012"/>
      <c r="AC326" s="1012"/>
      <c r="AD326" s="1012"/>
      <c r="AE326" s="1012"/>
      <c r="AF326" s="1012"/>
      <c r="AG326" s="1012"/>
      <c r="AH326" s="1012"/>
      <c r="AI326" s="1012"/>
    </row>
    <row r="327" spans="1:35" s="1028" customFormat="1" ht="33" customHeight="1">
      <c r="A327" s="1014">
        <f>_xlfn.AGGREGATE(4,7,A$24:A326)+1</f>
        <v>303</v>
      </c>
      <c r="B327" s="1330" t="s">
        <v>2102</v>
      </c>
      <c r="C327" s="1349"/>
      <c r="D327" s="1350"/>
      <c r="E327" s="81" t="str">
        <f>VLOOKUP(B327,TH.Q2!B230:E561,4,FALSE)</f>
        <v>NV Phòng Quản trị - Dịch vụ</v>
      </c>
      <c r="F327" s="1355"/>
      <c r="G327" s="1352"/>
      <c r="H327" s="1356"/>
      <c r="I327" s="1357"/>
      <c r="J327" s="1357"/>
      <c r="K327" s="1357"/>
      <c r="L327" s="1358"/>
      <c r="M327" s="1358"/>
      <c r="N327" s="1358"/>
      <c r="O327" s="1359"/>
      <c r="P327" s="1360">
        <v>5031729</v>
      </c>
      <c r="Q327" s="1477">
        <f t="shared" si="33"/>
        <v>2.1503115384615383</v>
      </c>
      <c r="R327" s="1429">
        <v>2340000</v>
      </c>
      <c r="S327" s="1478">
        <f t="shared" si="34"/>
        <v>5031729</v>
      </c>
      <c r="T327" s="1024">
        <f t="shared" si="35"/>
        <v>303</v>
      </c>
      <c r="U327" s="1025">
        <f>VLOOKUP(B327,'[28]CN HĐ'!$H$10:$M$73,6,FALSE)</f>
        <v>0</v>
      </c>
      <c r="V327" s="1011"/>
      <c r="W327" s="1012"/>
      <c r="X327" s="1012"/>
      <c r="Y327" s="1027"/>
      <c r="Z327" s="1012"/>
      <c r="AA327" s="1012"/>
      <c r="AB327" s="1012"/>
      <c r="AC327" s="1012"/>
      <c r="AD327" s="1012"/>
      <c r="AE327" s="1012"/>
      <c r="AF327" s="1012"/>
      <c r="AG327" s="1012"/>
      <c r="AH327" s="1012"/>
      <c r="AI327" s="1012"/>
    </row>
    <row r="328" spans="1:35" s="1028" customFormat="1" ht="33" customHeight="1">
      <c r="A328" s="1014">
        <f>_xlfn.AGGREGATE(4,7,A$24:A327)+1</f>
        <v>304</v>
      </c>
      <c r="B328" s="1330" t="s">
        <v>2106</v>
      </c>
      <c r="C328" s="1349"/>
      <c r="D328" s="1350"/>
      <c r="E328" s="81" t="str">
        <f>VLOOKUP(B328,TH.Q2!B231:E562,4,FALSE)</f>
        <v>Nhân viên phòng Thanh tra GD - Quan hệ DN</v>
      </c>
      <c r="F328" s="1355"/>
      <c r="G328" s="1352"/>
      <c r="H328" s="1356"/>
      <c r="I328" s="1357"/>
      <c r="J328" s="1357"/>
      <c r="K328" s="1357"/>
      <c r="L328" s="1358"/>
      <c r="M328" s="1358"/>
      <c r="N328" s="1358"/>
      <c r="O328" s="1359"/>
      <c r="P328" s="1360">
        <v>5870351</v>
      </c>
      <c r="Q328" s="1477">
        <f t="shared" si="33"/>
        <v>2.5086970085470086</v>
      </c>
      <c r="R328" s="1429">
        <v>2340000</v>
      </c>
      <c r="S328" s="1478">
        <f t="shared" si="34"/>
        <v>5870351</v>
      </c>
      <c r="T328" s="1024">
        <f t="shared" si="35"/>
        <v>304</v>
      </c>
      <c r="U328" s="1025">
        <f>VLOOKUP(B328,'[28]CN HĐ'!$H$10:$M$73,6,FALSE)</f>
        <v>0</v>
      </c>
      <c r="V328" s="1011"/>
      <c r="W328" s="1012"/>
      <c r="X328" s="1012"/>
      <c r="Y328" s="1027"/>
      <c r="Z328" s="1012"/>
      <c r="AA328" s="1012"/>
      <c r="AB328" s="1012"/>
      <c r="AC328" s="1012"/>
      <c r="AD328" s="1012"/>
      <c r="AE328" s="1012"/>
      <c r="AF328" s="1012"/>
      <c r="AG328" s="1012"/>
      <c r="AH328" s="1012"/>
      <c r="AI328" s="1012"/>
    </row>
    <row r="329" spans="1:35" s="1028" customFormat="1" ht="33" customHeight="1">
      <c r="A329" s="1014">
        <f>_xlfn.AGGREGATE(4,7,A$24:A328)+1</f>
        <v>305</v>
      </c>
      <c r="B329" s="1330" t="s">
        <v>2108</v>
      </c>
      <c r="C329" s="1349"/>
      <c r="D329" s="1350"/>
      <c r="E329" s="81" t="str">
        <f>VLOOKUP(B329,TH.Q2!B232:E563,4,FALSE)</f>
        <v>Nhân viên phòng Thanh tra GD - Quan hệ DN</v>
      </c>
      <c r="F329" s="1355"/>
      <c r="G329" s="1352"/>
      <c r="H329" s="1356"/>
      <c r="I329" s="1357"/>
      <c r="J329" s="1357"/>
      <c r="K329" s="1357"/>
      <c r="L329" s="1358"/>
      <c r="M329" s="1358"/>
      <c r="N329" s="1358"/>
      <c r="O329" s="1359"/>
      <c r="P329" s="1360">
        <v>6319262</v>
      </c>
      <c r="Q329" s="1477">
        <f t="shared" si="33"/>
        <v>2.7005393162393161</v>
      </c>
      <c r="R329" s="1429">
        <v>2340000</v>
      </c>
      <c r="S329" s="1478">
        <f t="shared" si="34"/>
        <v>6319262</v>
      </c>
      <c r="T329" s="1024">
        <f t="shared" si="35"/>
        <v>305</v>
      </c>
      <c r="U329" s="1025">
        <f>VLOOKUP(B329,'[28]CN HĐ'!$H$10:$M$73,6,FALSE)</f>
        <v>0</v>
      </c>
      <c r="V329" s="1011"/>
      <c r="W329" s="1012"/>
      <c r="X329" s="1012"/>
      <c r="Y329" s="1027"/>
      <c r="Z329" s="1012"/>
      <c r="AA329" s="1012"/>
      <c r="AB329" s="1012"/>
      <c r="AC329" s="1012"/>
      <c r="AD329" s="1012"/>
      <c r="AE329" s="1012"/>
      <c r="AF329" s="1012"/>
      <c r="AG329" s="1012"/>
      <c r="AH329" s="1012"/>
      <c r="AI329" s="1012"/>
    </row>
    <row r="330" spans="1:35" s="1028" customFormat="1" ht="33" customHeight="1">
      <c r="A330" s="1014">
        <f>_xlfn.AGGREGATE(4,7,A$24:A329)+1</f>
        <v>306</v>
      </c>
      <c r="B330" s="1330" t="s">
        <v>2109</v>
      </c>
      <c r="C330" s="1349"/>
      <c r="D330" s="1350"/>
      <c r="E330" s="81" t="str">
        <f>VLOOKUP(B330,TH.Q2!B233:E564,4,FALSE)</f>
        <v>Nhân viên phòng Thanh tra GD - Quan hệ DN</v>
      </c>
      <c r="F330" s="1355"/>
      <c r="G330" s="1352"/>
      <c r="H330" s="1356"/>
      <c r="I330" s="1357"/>
      <c r="J330" s="1357"/>
      <c r="K330" s="1357"/>
      <c r="L330" s="1358"/>
      <c r="M330" s="1358"/>
      <c r="N330" s="1358"/>
      <c r="O330" s="1359"/>
      <c r="P330" s="1360">
        <v>4346597</v>
      </c>
      <c r="Q330" s="1477">
        <f t="shared" si="33"/>
        <v>1.8575200854700855</v>
      </c>
      <c r="R330" s="1429">
        <v>2340000</v>
      </c>
      <c r="S330" s="1478">
        <f t="shared" si="34"/>
        <v>4346597</v>
      </c>
      <c r="T330" s="1024">
        <f t="shared" si="35"/>
        <v>306</v>
      </c>
      <c r="U330" s="1025" t="str">
        <f>VLOOKUP(B330,'[28]CN HĐ'!$H$10:$M$73,6,FALSE)</f>
        <v>Trừ 1 ngày nghỉ phép 16/11</v>
      </c>
      <c r="V330" s="1011"/>
      <c r="W330" s="1012"/>
      <c r="X330" s="1012"/>
      <c r="Y330" s="1027"/>
      <c r="Z330" s="1012"/>
      <c r="AA330" s="1012"/>
      <c r="AB330" s="1012"/>
      <c r="AC330" s="1012"/>
      <c r="AD330" s="1012"/>
      <c r="AE330" s="1012"/>
      <c r="AF330" s="1012"/>
      <c r="AG330" s="1012"/>
      <c r="AH330" s="1012"/>
      <c r="AI330" s="1012"/>
    </row>
    <row r="331" spans="1:35" s="1028" customFormat="1" ht="33" customHeight="1">
      <c r="A331" s="1014">
        <f>_xlfn.AGGREGATE(4,7,A$24:A330)+1</f>
        <v>307</v>
      </c>
      <c r="B331" s="1330" t="s">
        <v>2110</v>
      </c>
      <c r="C331" s="1349"/>
      <c r="D331" s="1350"/>
      <c r="E331" s="81" t="str">
        <f>VLOOKUP(B331,TH.Q2!B234:E565,4,FALSE)</f>
        <v>Nhân viên phòng Quản trị - Dịch vụ</v>
      </c>
      <c r="F331" s="1355"/>
      <c r="G331" s="1352"/>
      <c r="H331" s="1356"/>
      <c r="I331" s="1357"/>
      <c r="J331" s="1357"/>
      <c r="K331" s="1357"/>
      <c r="L331" s="1358"/>
      <c r="M331" s="1358"/>
      <c r="N331" s="1358"/>
      <c r="O331" s="1359"/>
      <c r="P331" s="1360">
        <v>5590810</v>
      </c>
      <c r="Q331" s="1477">
        <f t="shared" si="33"/>
        <v>2.3892350427350428</v>
      </c>
      <c r="R331" s="1429">
        <v>2340000</v>
      </c>
      <c r="S331" s="1478">
        <f t="shared" si="34"/>
        <v>5590810</v>
      </c>
      <c r="T331" s="1024">
        <f t="shared" si="35"/>
        <v>307</v>
      </c>
      <c r="U331" s="1025">
        <f>VLOOKUP(B331,'[28]CN HĐ'!$H$10:$M$73,6,FALSE)</f>
        <v>0</v>
      </c>
      <c r="V331" s="1011"/>
      <c r="W331" s="1012"/>
      <c r="X331" s="1012"/>
      <c r="Y331" s="1027"/>
      <c r="Z331" s="1012"/>
      <c r="AA331" s="1012"/>
      <c r="AB331" s="1012"/>
      <c r="AC331" s="1012"/>
      <c r="AD331" s="1012"/>
      <c r="AE331" s="1012"/>
      <c r="AF331" s="1012"/>
      <c r="AG331" s="1012"/>
      <c r="AH331" s="1012"/>
      <c r="AI331" s="1012"/>
    </row>
    <row r="332" spans="1:35" s="1028" customFormat="1" ht="33" customHeight="1">
      <c r="A332" s="1014">
        <f>_xlfn.AGGREGATE(4,7,A$24:A331)+1</f>
        <v>308</v>
      </c>
      <c r="B332" s="1330" t="s">
        <v>2113</v>
      </c>
      <c r="C332" s="1349"/>
      <c r="D332" s="1350"/>
      <c r="E332" s="81" t="str">
        <f>VLOOKUP(B332,TH.Q2!B235:E566,4,FALSE)</f>
        <v>Nhân viên phòng Thanh tra GD - Quan hệ DN</v>
      </c>
      <c r="F332" s="1355"/>
      <c r="G332" s="1352"/>
      <c r="H332" s="1356"/>
      <c r="I332" s="1357"/>
      <c r="J332" s="1357"/>
      <c r="K332" s="1357"/>
      <c r="L332" s="1358"/>
      <c r="M332" s="1358"/>
      <c r="N332" s="1358"/>
      <c r="O332" s="1359"/>
      <c r="P332" s="1360">
        <v>5529354</v>
      </c>
      <c r="Q332" s="1477">
        <f t="shared" si="33"/>
        <v>2.362971794871795</v>
      </c>
      <c r="R332" s="1429">
        <v>2340000</v>
      </c>
      <c r="S332" s="1478">
        <f t="shared" si="34"/>
        <v>5529354</v>
      </c>
      <c r="T332" s="1024">
        <f t="shared" si="35"/>
        <v>308</v>
      </c>
      <c r="U332" s="1025" t="str">
        <f>VLOOKUP(B332,'[28]CN HĐ'!$H$10:$M$73,6,FALSE)</f>
        <v>Trừ 2 ngày nghỉ phép 18+25/11</v>
      </c>
      <c r="V332" s="1011"/>
      <c r="W332" s="1012"/>
      <c r="X332" s="1012"/>
      <c r="Y332" s="1027"/>
      <c r="Z332" s="1012"/>
      <c r="AA332" s="1012"/>
      <c r="AB332" s="1012"/>
      <c r="AC332" s="1012"/>
      <c r="AD332" s="1012"/>
      <c r="AE332" s="1012"/>
      <c r="AF332" s="1012"/>
      <c r="AG332" s="1012"/>
      <c r="AH332" s="1012"/>
      <c r="AI332" s="1012"/>
    </row>
    <row r="333" spans="1:35" s="1028" customFormat="1" ht="33" customHeight="1">
      <c r="A333" s="1014">
        <f>_xlfn.AGGREGATE(4,7,A$24:A332)+1</f>
        <v>309</v>
      </c>
      <c r="B333" s="1330" t="s">
        <v>2114</v>
      </c>
      <c r="C333" s="1349"/>
      <c r="D333" s="1350"/>
      <c r="E333" s="81" t="str">
        <f>VLOOKUP(B333,TH.Q2!B236:E567,4,FALSE)</f>
        <v>Nhân viên phòng KHCN &amp; HTQT</v>
      </c>
      <c r="F333" s="1355"/>
      <c r="G333" s="1352"/>
      <c r="H333" s="1356"/>
      <c r="I333" s="1357"/>
      <c r="J333" s="1357"/>
      <c r="K333" s="1357"/>
      <c r="L333" s="1358"/>
      <c r="M333" s="1358"/>
      <c r="N333" s="1358"/>
      <c r="O333" s="1359"/>
      <c r="P333" s="1360">
        <v>8283263</v>
      </c>
      <c r="Q333" s="1477">
        <f t="shared" si="33"/>
        <v>3.539855982905983</v>
      </c>
      <c r="R333" s="1429">
        <v>2340000</v>
      </c>
      <c r="S333" s="1478">
        <f t="shared" si="34"/>
        <v>8283263</v>
      </c>
      <c r="T333" s="1024">
        <f t="shared" si="35"/>
        <v>309</v>
      </c>
      <c r="U333" s="1025">
        <f>VLOOKUP(B333,'[28]CN HĐ'!$H$10:$M$73,6,FALSE)</f>
        <v>0</v>
      </c>
      <c r="V333" s="1011"/>
      <c r="W333" s="1012"/>
      <c r="X333" s="1012"/>
      <c r="Y333" s="1027"/>
      <c r="Z333" s="1012"/>
      <c r="AA333" s="1012"/>
      <c r="AB333" s="1012"/>
      <c r="AC333" s="1012"/>
      <c r="AD333" s="1012"/>
      <c r="AE333" s="1012"/>
      <c r="AF333" s="1012"/>
      <c r="AG333" s="1012"/>
      <c r="AH333" s="1012"/>
      <c r="AI333" s="1012"/>
    </row>
    <row r="334" spans="1:35" s="1028" customFormat="1" ht="33" customHeight="1">
      <c r="A334" s="1014">
        <f>_xlfn.AGGREGATE(4,7,A$24:A333)+1</f>
        <v>310</v>
      </c>
      <c r="B334" s="1330" t="s">
        <v>2117</v>
      </c>
      <c r="C334" s="1349"/>
      <c r="D334" s="1350"/>
      <c r="E334" s="81" t="str">
        <f>VLOOKUP(B334,TH.Q2!B237:E568,4,FALSE)</f>
        <v>Nhân viên phòng KHCN &amp; HTQT</v>
      </c>
      <c r="F334" s="1355"/>
      <c r="G334" s="1352"/>
      <c r="H334" s="1356"/>
      <c r="I334" s="1357"/>
      <c r="J334" s="1357"/>
      <c r="K334" s="1357"/>
      <c r="L334" s="1358"/>
      <c r="M334" s="1358"/>
      <c r="N334" s="1358"/>
      <c r="O334" s="1359"/>
      <c r="P334" s="1360">
        <v>4739446</v>
      </c>
      <c r="Q334" s="1477">
        <f t="shared" si="33"/>
        <v>2.0254042735042734</v>
      </c>
      <c r="R334" s="1429">
        <v>2340000</v>
      </c>
      <c r="S334" s="1478">
        <f t="shared" si="34"/>
        <v>4739446</v>
      </c>
      <c r="T334" s="1024">
        <f t="shared" si="35"/>
        <v>310</v>
      </c>
      <c r="U334" s="1025">
        <f>VLOOKUP(B334,'[28]CN HĐ'!$H$10:$M$73,6,FALSE)</f>
        <v>0</v>
      </c>
      <c r="V334" s="1011"/>
      <c r="W334" s="1012"/>
      <c r="X334" s="1012"/>
      <c r="Y334" s="1027"/>
      <c r="Z334" s="1012"/>
      <c r="AA334" s="1012"/>
      <c r="AB334" s="1012"/>
      <c r="AC334" s="1012"/>
      <c r="AD334" s="1012"/>
      <c r="AE334" s="1012"/>
      <c r="AF334" s="1012"/>
      <c r="AG334" s="1012"/>
      <c r="AH334" s="1012"/>
      <c r="AI334" s="1012"/>
    </row>
    <row r="335" spans="1:35" s="1028" customFormat="1" ht="33" customHeight="1">
      <c r="A335" s="1014">
        <f>_xlfn.AGGREGATE(4,7,A$24:A334)+1</f>
        <v>311</v>
      </c>
      <c r="B335" s="1330" t="s">
        <v>2119</v>
      </c>
      <c r="C335" s="1349"/>
      <c r="D335" s="1350"/>
      <c r="E335" s="81" t="str">
        <f>VLOOKUP(B335,TH.Q2!B238:E569,4,FALSE)</f>
        <v>Nhân viên phòng Thanh tra GD - Quan hệ DN</v>
      </c>
      <c r="F335" s="1355"/>
      <c r="G335" s="1352"/>
      <c r="H335" s="1356"/>
      <c r="I335" s="1357"/>
      <c r="J335" s="1357"/>
      <c r="K335" s="1357"/>
      <c r="L335" s="1358"/>
      <c r="M335" s="1358"/>
      <c r="N335" s="1358"/>
      <c r="O335" s="1359"/>
      <c r="P335" s="1360">
        <v>5529354</v>
      </c>
      <c r="Q335" s="1477">
        <f t="shared" si="33"/>
        <v>2.362971794871795</v>
      </c>
      <c r="R335" s="1429">
        <v>2340000</v>
      </c>
      <c r="S335" s="1478">
        <f t="shared" si="34"/>
        <v>5529354</v>
      </c>
      <c r="T335" s="1024">
        <f t="shared" si="35"/>
        <v>311</v>
      </c>
      <c r="U335" s="1025">
        <f>VLOOKUP(B335,'[28]CN HĐ'!$H$10:$M$73,6,FALSE)</f>
        <v>0</v>
      </c>
      <c r="V335" s="1011"/>
      <c r="W335" s="1012"/>
      <c r="X335" s="1012"/>
      <c r="Y335" s="1027"/>
      <c r="Z335" s="1012"/>
      <c r="AA335" s="1012"/>
      <c r="AB335" s="1012"/>
      <c r="AC335" s="1012"/>
      <c r="AD335" s="1012"/>
      <c r="AE335" s="1012"/>
      <c r="AF335" s="1012"/>
      <c r="AG335" s="1012"/>
      <c r="AH335" s="1012"/>
      <c r="AI335" s="1012"/>
    </row>
    <row r="336" spans="1:35" s="1028" customFormat="1" ht="33" customHeight="1">
      <c r="A336" s="1014">
        <f>_xlfn.AGGREGATE(4,7,A$24:A335)+1</f>
        <v>312</v>
      </c>
      <c r="B336" s="1330" t="s">
        <v>2123</v>
      </c>
      <c r="C336" s="1349"/>
      <c r="D336" s="1350"/>
      <c r="E336" s="81" t="str">
        <f>VLOOKUP(B336,TH.Q2!B239:E570,4,FALSE)</f>
        <v>Nhân viên phòng Thanh tra GD - Quan hệ DN</v>
      </c>
      <c r="F336" s="1355"/>
      <c r="G336" s="1352"/>
      <c r="H336" s="1356"/>
      <c r="I336" s="1357"/>
      <c r="J336" s="1357"/>
      <c r="K336" s="1357"/>
      <c r="L336" s="1358"/>
      <c r="M336" s="1358"/>
      <c r="N336" s="1358"/>
      <c r="O336" s="1359"/>
      <c r="P336" s="1360">
        <v>5283316</v>
      </c>
      <c r="Q336" s="1477">
        <f t="shared" si="33"/>
        <v>2.2578273504273505</v>
      </c>
      <c r="R336" s="1429">
        <v>2340000</v>
      </c>
      <c r="S336" s="1478">
        <f t="shared" si="34"/>
        <v>5283316</v>
      </c>
      <c r="T336" s="1024">
        <f t="shared" si="35"/>
        <v>312</v>
      </c>
      <c r="U336" s="1025">
        <f>VLOOKUP(B336,'[28]CN HĐ'!$H$10:$M$73,6,FALSE)</f>
        <v>0</v>
      </c>
      <c r="V336" s="1011"/>
      <c r="W336" s="1012"/>
      <c r="X336" s="1012"/>
      <c r="Y336" s="1027"/>
      <c r="Z336" s="1012"/>
      <c r="AA336" s="1012"/>
      <c r="AB336" s="1012"/>
      <c r="AC336" s="1012"/>
      <c r="AD336" s="1012"/>
      <c r="AE336" s="1012"/>
      <c r="AF336" s="1012"/>
      <c r="AG336" s="1012"/>
      <c r="AH336" s="1012"/>
      <c r="AI336" s="1012"/>
    </row>
    <row r="337" spans="1:35" s="1028" customFormat="1" ht="33" customHeight="1">
      <c r="A337" s="1014">
        <f>_xlfn.AGGREGATE(4,7,A$24:A336)+1</f>
        <v>313</v>
      </c>
      <c r="B337" s="1330" t="s">
        <v>2125</v>
      </c>
      <c r="C337" s="1349"/>
      <c r="D337" s="1350"/>
      <c r="E337" s="81" t="str">
        <f>VLOOKUP(B337,TH.Q2!B240:E571,4,FALSE)</f>
        <v>NV Phòng Tuyển sinh - Đào tạo</v>
      </c>
      <c r="F337" s="1355"/>
      <c r="G337" s="1352"/>
      <c r="H337" s="1356"/>
      <c r="I337" s="1357"/>
      <c r="J337" s="1357"/>
      <c r="K337" s="1357"/>
      <c r="L337" s="1358"/>
      <c r="M337" s="1358"/>
      <c r="N337" s="1358"/>
      <c r="O337" s="1359"/>
      <c r="P337" s="1360">
        <v>5426192</v>
      </c>
      <c r="Q337" s="1477">
        <f t="shared" si="33"/>
        <v>2.31888547008547</v>
      </c>
      <c r="R337" s="1429">
        <v>2340000</v>
      </c>
      <c r="S337" s="1478">
        <f t="shared" si="34"/>
        <v>5426192</v>
      </c>
      <c r="T337" s="1024">
        <f t="shared" si="35"/>
        <v>313</v>
      </c>
      <c r="U337" s="1025">
        <f>VLOOKUP(B337,'[28]CN HĐ'!$H$10:$M$73,6,FALSE)</f>
        <v>0</v>
      </c>
      <c r="V337" s="1011"/>
      <c r="W337" s="1012"/>
      <c r="X337" s="1012"/>
      <c r="Y337" s="1027"/>
      <c r="Z337" s="1012"/>
      <c r="AA337" s="1012"/>
      <c r="AB337" s="1012"/>
      <c r="AC337" s="1012"/>
      <c r="AD337" s="1012"/>
      <c r="AE337" s="1012"/>
      <c r="AF337" s="1012"/>
      <c r="AG337" s="1012"/>
      <c r="AH337" s="1012"/>
      <c r="AI337" s="1012"/>
    </row>
    <row r="338" spans="1:35" s="1028" customFormat="1" ht="33" customHeight="1">
      <c r="A338" s="1014">
        <f>_xlfn.AGGREGATE(4,7,A$24:A337)+1</f>
        <v>314</v>
      </c>
      <c r="B338" s="1330" t="s">
        <v>2128</v>
      </c>
      <c r="C338" s="1349"/>
      <c r="D338" s="1350"/>
      <c r="E338" s="81" t="str">
        <f>VLOOKUP(B338,TH.Q2!B241:E572,4,FALSE)</f>
        <v>NV phòng TS - Đào tạo</v>
      </c>
      <c r="F338" s="1355"/>
      <c r="G338" s="1352"/>
      <c r="H338" s="1356"/>
      <c r="I338" s="1357"/>
      <c r="J338" s="1357"/>
      <c r="K338" s="1357"/>
      <c r="L338" s="1358"/>
      <c r="M338" s="1358"/>
      <c r="N338" s="1358"/>
      <c r="O338" s="1359"/>
      <c r="P338" s="1360">
        <v>5529354</v>
      </c>
      <c r="Q338" s="1477">
        <f t="shared" si="33"/>
        <v>2.362971794871795</v>
      </c>
      <c r="R338" s="1429">
        <v>2340000</v>
      </c>
      <c r="S338" s="1478">
        <f t="shared" si="34"/>
        <v>5529354</v>
      </c>
      <c r="T338" s="1024">
        <f t="shared" si="35"/>
        <v>314</v>
      </c>
      <c r="U338" s="1025">
        <f>VLOOKUP(B338,'[28]CN HĐ'!$H$10:$M$73,6,FALSE)</f>
        <v>0</v>
      </c>
      <c r="V338" s="1011"/>
      <c r="W338" s="1012"/>
      <c r="X338" s="1012"/>
      <c r="Y338" s="1027"/>
      <c r="Z338" s="1012"/>
      <c r="AA338" s="1012"/>
      <c r="AB338" s="1012"/>
      <c r="AC338" s="1012"/>
      <c r="AD338" s="1012"/>
      <c r="AE338" s="1012"/>
      <c r="AF338" s="1012"/>
      <c r="AG338" s="1012"/>
      <c r="AH338" s="1012"/>
      <c r="AI338" s="1012"/>
    </row>
    <row r="339" spans="1:35" s="1028" customFormat="1" ht="33" customHeight="1">
      <c r="A339" s="1014">
        <f>_xlfn.AGGREGATE(4,7,A$24:A338)+1</f>
        <v>315</v>
      </c>
      <c r="B339" s="1330" t="s">
        <v>2131</v>
      </c>
      <c r="C339" s="1349"/>
      <c r="D339" s="1350"/>
      <c r="E339" s="81" t="str">
        <f>VLOOKUP(B339,TH.Q2!B242:E573,4,FALSE)</f>
        <v>NV phòng TS - Đào tạo</v>
      </c>
      <c r="F339" s="1355"/>
      <c r="G339" s="1352"/>
      <c r="H339" s="1356"/>
      <c r="I339" s="1357"/>
      <c r="J339" s="1357"/>
      <c r="K339" s="1357"/>
      <c r="L339" s="1358"/>
      <c r="M339" s="1358"/>
      <c r="N339" s="1358"/>
      <c r="O339" s="1359"/>
      <c r="P339" s="1360">
        <v>7247855</v>
      </c>
      <c r="Q339" s="1477">
        <f t="shared" si="33"/>
        <v>3.0973739316239315</v>
      </c>
      <c r="R339" s="1429">
        <v>2340000</v>
      </c>
      <c r="S339" s="1478">
        <f t="shared" si="34"/>
        <v>7247855</v>
      </c>
      <c r="T339" s="1024">
        <f t="shared" si="35"/>
        <v>315</v>
      </c>
      <c r="U339" s="1025">
        <f>VLOOKUP(B339,'[28]CN HĐ'!$H$10:$M$73,6,FALSE)</f>
        <v>0</v>
      </c>
      <c r="V339" s="1011"/>
      <c r="W339" s="1012"/>
      <c r="X339" s="1012"/>
      <c r="Y339" s="1027"/>
      <c r="Z339" s="1012"/>
      <c r="AA339" s="1012"/>
      <c r="AB339" s="1012"/>
      <c r="AC339" s="1012"/>
      <c r="AD339" s="1012"/>
      <c r="AE339" s="1012"/>
      <c r="AF339" s="1012"/>
      <c r="AG339" s="1012"/>
      <c r="AH339" s="1012"/>
      <c r="AI339" s="1012"/>
    </row>
    <row r="340" spans="1:35" s="1028" customFormat="1" ht="33" customHeight="1">
      <c r="A340" s="1014">
        <f>_xlfn.AGGREGATE(4,7,A$24:A339)+1</f>
        <v>316</v>
      </c>
      <c r="B340" s="1330" t="s">
        <v>2134</v>
      </c>
      <c r="C340" s="1349"/>
      <c r="D340" s="1350"/>
      <c r="E340" s="81" t="str">
        <f>VLOOKUP(B340,TH.Q2!B243:E574,4,FALSE)</f>
        <v>NV phòng TS - Đào tạo</v>
      </c>
      <c r="F340" s="1355"/>
      <c r="G340" s="1352"/>
      <c r="H340" s="1356"/>
      <c r="I340" s="1357"/>
      <c r="J340" s="1357"/>
      <c r="K340" s="1357"/>
      <c r="L340" s="1358"/>
      <c r="M340" s="1358"/>
      <c r="N340" s="1358"/>
      <c r="O340" s="1359"/>
      <c r="P340" s="1360">
        <v>7755205</v>
      </c>
      <c r="Q340" s="1477">
        <f t="shared" si="33"/>
        <v>3.3141901709401709</v>
      </c>
      <c r="R340" s="1429">
        <v>2340000</v>
      </c>
      <c r="S340" s="1478">
        <f t="shared" si="34"/>
        <v>7755205</v>
      </c>
      <c r="T340" s="1024">
        <f t="shared" si="35"/>
        <v>316</v>
      </c>
      <c r="U340" s="1025">
        <f>VLOOKUP(B340,'[28]CN HĐ'!$H$10:$M$73,6,FALSE)</f>
        <v>0</v>
      </c>
      <c r="V340" s="1011"/>
      <c r="W340" s="1012"/>
      <c r="X340" s="1012"/>
      <c r="Y340" s="1027"/>
      <c r="Z340" s="1012"/>
      <c r="AA340" s="1012"/>
      <c r="AB340" s="1012"/>
      <c r="AC340" s="1012"/>
      <c r="AD340" s="1012"/>
      <c r="AE340" s="1012"/>
      <c r="AF340" s="1012"/>
      <c r="AG340" s="1012"/>
      <c r="AH340" s="1012"/>
      <c r="AI340" s="1012"/>
    </row>
    <row r="341" spans="1:35" s="1028" customFormat="1" ht="33" customHeight="1">
      <c r="A341" s="1014">
        <f>_xlfn.AGGREGATE(4,7,A$24:A340)+1</f>
        <v>317</v>
      </c>
      <c r="B341" s="1330" t="s">
        <v>2137</v>
      </c>
      <c r="C341" s="1349"/>
      <c r="D341" s="1350"/>
      <c r="E341" s="81" t="str">
        <f>VLOOKUP(B341,TH.Q2!B244:E575,4,FALSE)</f>
        <v>NV phòng TS - Đào tạo</v>
      </c>
      <c r="F341" s="1355"/>
      <c r="G341" s="1352"/>
      <c r="H341" s="1356"/>
      <c r="I341" s="1357"/>
      <c r="J341" s="1357"/>
      <c r="K341" s="1357"/>
      <c r="L341" s="1358"/>
      <c r="M341" s="1358"/>
      <c r="N341" s="1358"/>
      <c r="O341" s="1359"/>
      <c r="P341" s="1360">
        <v>5167621</v>
      </c>
      <c r="Q341" s="1477">
        <f t="shared" si="33"/>
        <v>2.2083850427350429</v>
      </c>
      <c r="R341" s="1429">
        <v>2340000</v>
      </c>
      <c r="S341" s="1478">
        <f t="shared" si="34"/>
        <v>5167621</v>
      </c>
      <c r="T341" s="1024">
        <f t="shared" si="35"/>
        <v>317</v>
      </c>
      <c r="U341" s="1025" t="str">
        <f>VLOOKUP(B341,'[28]CN HĐ'!$H$10:$M$73,6,FALSE)</f>
        <v>Trừ 1 ngày nghỉ phép 23/11</v>
      </c>
      <c r="V341" s="1011"/>
      <c r="W341" s="1012"/>
      <c r="X341" s="1012"/>
      <c r="Y341" s="1027"/>
      <c r="Z341" s="1012"/>
      <c r="AA341" s="1012"/>
      <c r="AB341" s="1012"/>
      <c r="AC341" s="1012"/>
      <c r="AD341" s="1012"/>
      <c r="AE341" s="1012"/>
      <c r="AF341" s="1012"/>
      <c r="AG341" s="1012"/>
      <c r="AH341" s="1012"/>
      <c r="AI341" s="1012"/>
    </row>
    <row r="342" spans="1:35" s="1028" customFormat="1" ht="33" customHeight="1">
      <c r="A342" s="1014">
        <f>_xlfn.AGGREGATE(4,7,A$24:A341)+1</f>
        <v>318</v>
      </c>
      <c r="B342" s="1330" t="s">
        <v>2353</v>
      </c>
      <c r="C342" s="1349"/>
      <c r="D342" s="1350"/>
      <c r="E342" s="81" t="str">
        <f>VLOOKUP(B342,TH.Q2!B245:E576,4,FALSE)</f>
        <v>NV Phòng Tuyển sinh - Đào tạo</v>
      </c>
      <c r="F342" s="1355"/>
      <c r="G342" s="1352"/>
      <c r="H342" s="1356"/>
      <c r="I342" s="1357"/>
      <c r="J342" s="1357"/>
      <c r="K342" s="1357"/>
      <c r="L342" s="1358"/>
      <c r="M342" s="1358"/>
      <c r="N342" s="1358"/>
      <c r="O342" s="1359"/>
      <c r="P342" s="1360">
        <v>4139616.0000000005</v>
      </c>
      <c r="Q342" s="1477">
        <f t="shared" si="33"/>
        <v>1.7690666666666668</v>
      </c>
      <c r="R342" s="1429">
        <v>2340000</v>
      </c>
      <c r="S342" s="1478">
        <f t="shared" si="34"/>
        <v>4139616.0000000005</v>
      </c>
      <c r="T342" s="1024">
        <f t="shared" si="35"/>
        <v>318</v>
      </c>
      <c r="U342" s="1025">
        <f>VLOOKUP(B342,'[28]CN HĐ'!$H$10:$M$73,6,FALSE)</f>
        <v>0</v>
      </c>
      <c r="V342" s="1011"/>
      <c r="W342" s="1012"/>
      <c r="X342" s="1012"/>
      <c r="Y342" s="1027"/>
      <c r="Z342" s="1012"/>
      <c r="AA342" s="1012"/>
      <c r="AB342" s="1012"/>
      <c r="AC342" s="1012"/>
      <c r="AD342" s="1012"/>
      <c r="AE342" s="1012"/>
      <c r="AF342" s="1012"/>
      <c r="AG342" s="1012"/>
      <c r="AH342" s="1012"/>
      <c r="AI342" s="1012"/>
    </row>
    <row r="343" spans="1:35" s="1028" customFormat="1" ht="33" customHeight="1">
      <c r="A343" s="1014">
        <f>_xlfn.AGGREGATE(4,7,A$24:A342)+1</f>
        <v>319</v>
      </c>
      <c r="B343" s="1330" t="s">
        <v>2138</v>
      </c>
      <c r="C343" s="1349"/>
      <c r="D343" s="1350"/>
      <c r="E343" s="81" t="str">
        <f>VLOOKUP(B343,TH.Q2!B246:E577,4,FALSE)</f>
        <v>NV TT Điều hành và QLDL</v>
      </c>
      <c r="F343" s="1355"/>
      <c r="G343" s="1352"/>
      <c r="H343" s="1356"/>
      <c r="I343" s="1357"/>
      <c r="J343" s="1357"/>
      <c r="K343" s="1357"/>
      <c r="L343" s="1358"/>
      <c r="M343" s="1358"/>
      <c r="N343" s="1358"/>
      <c r="O343" s="1359"/>
      <c r="P343" s="1360">
        <v>1607709.5999999999</v>
      </c>
      <c r="Q343" s="1477">
        <f t="shared" si="33"/>
        <v>0.68705538461538451</v>
      </c>
      <c r="R343" s="1429">
        <v>2340000</v>
      </c>
      <c r="S343" s="1478">
        <f t="shared" si="34"/>
        <v>1607709.5999999999</v>
      </c>
      <c r="T343" s="1024">
        <f t="shared" si="35"/>
        <v>319</v>
      </c>
      <c r="U343" s="1025" t="str">
        <f>VLOOKUP(B343,'[28]CN HĐ'!$H$10:$M$73,6,FALSE)</f>
        <v>Trừ 5 ngày nghỉ phép 8+11+13+23+26/11</v>
      </c>
      <c r="V343" s="1011"/>
      <c r="W343" s="1012"/>
      <c r="X343" s="1012"/>
      <c r="Y343" s="1027"/>
      <c r="Z343" s="1012"/>
      <c r="AA343" s="1012"/>
      <c r="AB343" s="1012"/>
      <c r="AC343" s="1012"/>
      <c r="AD343" s="1012"/>
      <c r="AE343" s="1012"/>
      <c r="AF343" s="1012"/>
      <c r="AG343" s="1012"/>
      <c r="AH343" s="1012"/>
      <c r="AI343" s="1012"/>
    </row>
    <row r="344" spans="1:35" s="1028" customFormat="1" ht="33" customHeight="1">
      <c r="A344" s="1014">
        <f>_xlfn.AGGREGATE(4,7,A$24:A343)+1</f>
        <v>320</v>
      </c>
      <c r="B344" s="1330" t="s">
        <v>2142</v>
      </c>
      <c r="C344" s="1349"/>
      <c r="D344" s="1350"/>
      <c r="E344" s="81" t="str">
        <f>VLOOKUP(B344,TH.Q2!B247:E578,4,FALSE)</f>
        <v>NV TT Điều hành và QLDL</v>
      </c>
      <c r="F344" s="1355"/>
      <c r="G344" s="1352"/>
      <c r="H344" s="1356"/>
      <c r="I344" s="1357"/>
      <c r="J344" s="1357"/>
      <c r="K344" s="1357"/>
      <c r="L344" s="1358"/>
      <c r="M344" s="1358"/>
      <c r="N344" s="1358"/>
      <c r="O344" s="1359"/>
      <c r="P344" s="1360">
        <v>5795462</v>
      </c>
      <c r="Q344" s="1477">
        <f t="shared" si="33"/>
        <v>2.4766931623931625</v>
      </c>
      <c r="R344" s="1429">
        <v>2340000</v>
      </c>
      <c r="S344" s="1478">
        <f t="shared" si="34"/>
        <v>5795462</v>
      </c>
      <c r="T344" s="1024">
        <f t="shared" si="35"/>
        <v>320</v>
      </c>
      <c r="U344" s="1025">
        <f>VLOOKUP(B344,'[28]CN HĐ'!$H$10:$M$73,6,FALSE)</f>
        <v>0</v>
      </c>
      <c r="V344" s="1011"/>
      <c r="W344" s="1012"/>
      <c r="X344" s="1012"/>
      <c r="Y344" s="1027"/>
      <c r="Z344" s="1012"/>
      <c r="AA344" s="1012"/>
      <c r="AB344" s="1012"/>
      <c r="AC344" s="1012"/>
      <c r="AD344" s="1012"/>
      <c r="AE344" s="1012"/>
      <c r="AF344" s="1012"/>
      <c r="AG344" s="1012"/>
      <c r="AH344" s="1012"/>
      <c r="AI344" s="1012"/>
    </row>
    <row r="345" spans="1:35" s="1028" customFormat="1" ht="33" customHeight="1">
      <c r="A345" s="1014">
        <f>_xlfn.AGGREGATE(4,7,A$24:A344)+1</f>
        <v>321</v>
      </c>
      <c r="B345" s="1330" t="s">
        <v>2143</v>
      </c>
      <c r="C345" s="1349"/>
      <c r="D345" s="1350"/>
      <c r="E345" s="81" t="str">
        <f>VLOOKUP(B345,TH.Q2!B248:E579,4,FALSE)</f>
        <v>NV TT Điều hành và QLDL</v>
      </c>
      <c r="F345" s="1355"/>
      <c r="G345" s="1352"/>
      <c r="H345" s="1356"/>
      <c r="I345" s="1357"/>
      <c r="J345" s="1357"/>
      <c r="K345" s="1357"/>
      <c r="L345" s="1358"/>
      <c r="M345" s="1358"/>
      <c r="N345" s="1358"/>
      <c r="O345" s="1359"/>
      <c r="P345" s="1360">
        <v>3449680.0000000005</v>
      </c>
      <c r="Q345" s="1477">
        <f t="shared" si="33"/>
        <v>1.4742222222222223</v>
      </c>
      <c r="R345" s="1429">
        <v>2340000</v>
      </c>
      <c r="S345" s="1478">
        <f t="shared" si="34"/>
        <v>3449680.0000000005</v>
      </c>
      <c r="T345" s="1024">
        <f t="shared" si="35"/>
        <v>321</v>
      </c>
      <c r="U345" s="1025">
        <f>VLOOKUP(B345,'[28]CN HĐ'!$H$10:$M$73,6,FALSE)</f>
        <v>0</v>
      </c>
      <c r="V345" s="1011"/>
      <c r="W345" s="1012"/>
      <c r="X345" s="1012"/>
      <c r="Y345" s="1027"/>
      <c r="Z345" s="1012"/>
      <c r="AA345" s="1012"/>
      <c r="AB345" s="1012"/>
      <c r="AC345" s="1012"/>
      <c r="AD345" s="1012"/>
      <c r="AE345" s="1012"/>
      <c r="AF345" s="1012"/>
      <c r="AG345" s="1012"/>
      <c r="AH345" s="1012"/>
      <c r="AI345" s="1012"/>
    </row>
    <row r="346" spans="1:35" s="1028" customFormat="1" ht="33" customHeight="1">
      <c r="A346" s="1092">
        <f>_xlfn.AGGREGATE(4,7,A$24:A345)+1</f>
        <v>322</v>
      </c>
      <c r="B346" s="1342" t="s">
        <v>2144</v>
      </c>
      <c r="C346" s="1388"/>
      <c r="D346" s="1389"/>
      <c r="E346" s="554" t="str">
        <f>VLOOKUP(B346,TH.Q2!B249:E580,4,FALSE)</f>
        <v>NV phòng Khảo thí và ĐBCL</v>
      </c>
      <c r="F346" s="1394"/>
      <c r="G346" s="1391"/>
      <c r="H346" s="1395"/>
      <c r="I346" s="1396"/>
      <c r="J346" s="1396"/>
      <c r="K346" s="1396"/>
      <c r="L346" s="1397"/>
      <c r="M346" s="1397"/>
      <c r="N346" s="1397"/>
      <c r="O346" s="1398"/>
      <c r="P346" s="1399">
        <v>0</v>
      </c>
      <c r="Q346" s="1479">
        <f t="shared" ref="Q346:Q352" si="36">P346/R346</f>
        <v>0</v>
      </c>
      <c r="R346" s="1225">
        <v>2340000</v>
      </c>
      <c r="S346" s="1480">
        <f t="shared" ref="S346:S352" si="37">Q346*R346</f>
        <v>0</v>
      </c>
      <c r="T346" s="1024">
        <f t="shared" si="35"/>
        <v>322</v>
      </c>
      <c r="U346" s="1215" t="str">
        <f>VLOOKUP(B346,'[28]CN HĐ'!$H$10:$M$73,6,FALSE)</f>
        <v>Nghỉ hộ sản hưởng chế độ BHXH từ 09/9/2024</v>
      </c>
      <c r="V346" s="1011"/>
      <c r="W346" s="1012"/>
      <c r="X346" s="1012"/>
      <c r="Y346" s="1027"/>
      <c r="Z346" s="1012"/>
      <c r="AA346" s="1012"/>
      <c r="AB346" s="1012"/>
      <c r="AC346" s="1012"/>
      <c r="AD346" s="1012"/>
      <c r="AE346" s="1012"/>
      <c r="AF346" s="1012"/>
      <c r="AG346" s="1012"/>
      <c r="AH346" s="1012"/>
      <c r="AI346" s="1012"/>
    </row>
    <row r="347" spans="1:35" s="1028" customFormat="1" ht="33" customHeight="1">
      <c r="A347" s="1014">
        <f>_xlfn.AGGREGATE(4,7,A$24:A346)+1</f>
        <v>323</v>
      </c>
      <c r="B347" s="1330" t="s">
        <v>2147</v>
      </c>
      <c r="C347" s="1349"/>
      <c r="D347" s="1350"/>
      <c r="E347" s="81" t="str">
        <f>VLOOKUP(B347,TH.Q2!B250:E581,4,FALSE)</f>
        <v>Khoa Động lực</v>
      </c>
      <c r="F347" s="1355"/>
      <c r="G347" s="1352"/>
      <c r="H347" s="1356"/>
      <c r="I347" s="1357"/>
      <c r="J347" s="1357"/>
      <c r="K347" s="1357"/>
      <c r="L347" s="1358"/>
      <c r="M347" s="1358"/>
      <c r="N347" s="1358"/>
      <c r="O347" s="1359"/>
      <c r="P347" s="1360">
        <v>8713279</v>
      </c>
      <c r="Q347" s="1477">
        <f t="shared" si="36"/>
        <v>3.7236235042735042</v>
      </c>
      <c r="R347" s="1429">
        <v>2340000</v>
      </c>
      <c r="S347" s="1478">
        <f t="shared" si="37"/>
        <v>8713279</v>
      </c>
      <c r="T347" s="1024">
        <f t="shared" si="35"/>
        <v>323</v>
      </c>
      <c r="U347" s="1025">
        <f>VLOOKUP(B347,'[28]CN HĐ'!$H$10:$M$73,6,FALSE)</f>
        <v>0</v>
      </c>
      <c r="V347" s="1011"/>
      <c r="W347" s="1012"/>
      <c r="X347" s="1012"/>
      <c r="Y347" s="1027"/>
      <c r="Z347" s="1012"/>
      <c r="AA347" s="1012"/>
      <c r="AB347" s="1012"/>
      <c r="AC347" s="1012"/>
      <c r="AD347" s="1012"/>
      <c r="AE347" s="1012"/>
      <c r="AF347" s="1012"/>
      <c r="AG347" s="1012"/>
      <c r="AH347" s="1012"/>
      <c r="AI347" s="1012"/>
    </row>
    <row r="348" spans="1:35" s="1028" customFormat="1" ht="33" customHeight="1">
      <c r="A348" s="1014">
        <f>_xlfn.AGGREGATE(4,7,A$24:A347)+1</f>
        <v>324</v>
      </c>
      <c r="B348" s="1330" t="s">
        <v>2149</v>
      </c>
      <c r="C348" s="1349"/>
      <c r="D348" s="1350"/>
      <c r="E348" s="81" t="str">
        <f>VLOOKUP(B348,TH.Q2!B251:E582,4,FALSE)</f>
        <v>NV - TT Đào tạo và Quản lý vật tư thiết bị</v>
      </c>
      <c r="F348" s="1355"/>
      <c r="G348" s="1352"/>
      <c r="H348" s="1356"/>
      <c r="I348" s="1357"/>
      <c r="J348" s="1357"/>
      <c r="K348" s="1357"/>
      <c r="L348" s="1358"/>
      <c r="M348" s="1358"/>
      <c r="N348" s="1358"/>
      <c r="O348" s="1359"/>
      <c r="P348" s="1360">
        <v>4193108</v>
      </c>
      <c r="Q348" s="1477">
        <f t="shared" si="36"/>
        <v>1.7919264957264958</v>
      </c>
      <c r="R348" s="1429">
        <v>2340000</v>
      </c>
      <c r="S348" s="1478">
        <f t="shared" si="37"/>
        <v>4193108</v>
      </c>
      <c r="T348" s="1024">
        <f t="shared" si="35"/>
        <v>324</v>
      </c>
      <c r="U348" s="1025">
        <f>VLOOKUP(B348,'[28]CN HĐ'!$H$10:$M$73,6,FALSE)</f>
        <v>0</v>
      </c>
      <c r="V348" s="1011"/>
      <c r="W348" s="1012"/>
      <c r="X348" s="1012"/>
      <c r="Y348" s="1027"/>
      <c r="Z348" s="1012"/>
      <c r="AA348" s="1012"/>
      <c r="AB348" s="1012"/>
      <c r="AC348" s="1012"/>
      <c r="AD348" s="1012"/>
      <c r="AE348" s="1012"/>
      <c r="AF348" s="1012"/>
      <c r="AG348" s="1012"/>
      <c r="AH348" s="1012"/>
      <c r="AI348" s="1012"/>
    </row>
    <row r="349" spans="1:35" s="1028" customFormat="1" ht="33" customHeight="1">
      <c r="A349" s="1014">
        <f>_xlfn.AGGREGATE(4,7,A$24:A348)+1</f>
        <v>325</v>
      </c>
      <c r="B349" s="1330" t="s">
        <v>2151</v>
      </c>
      <c r="C349" s="1349"/>
      <c r="D349" s="1350"/>
      <c r="E349" s="81" t="str">
        <f>VLOOKUP(B349,TH.Q2!B252:E583,4,FALSE)</f>
        <v>NV - TT Đào tạo và Quản lý vật tư thiết bị</v>
      </c>
      <c r="F349" s="1355"/>
      <c r="G349" s="1352"/>
      <c r="H349" s="1356"/>
      <c r="I349" s="1357"/>
      <c r="J349" s="1357"/>
      <c r="K349" s="1357"/>
      <c r="L349" s="1358"/>
      <c r="M349" s="1358"/>
      <c r="N349" s="1358"/>
      <c r="O349" s="1359"/>
      <c r="P349" s="1360">
        <v>2430400</v>
      </c>
      <c r="Q349" s="1477">
        <f t="shared" si="36"/>
        <v>1.0386324786324785</v>
      </c>
      <c r="R349" s="1429">
        <v>2340000</v>
      </c>
      <c r="S349" s="1478">
        <f t="shared" si="37"/>
        <v>2430400</v>
      </c>
      <c r="T349" s="1024">
        <f t="shared" si="35"/>
        <v>325</v>
      </c>
      <c r="U349" s="1025">
        <f>VLOOKUP(B349,'[28]CN HĐ'!$H$10:$M$73,6,FALSE)</f>
        <v>0</v>
      </c>
      <c r="V349" s="1011"/>
      <c r="W349" s="1012"/>
      <c r="X349" s="1012"/>
      <c r="Y349" s="1027"/>
      <c r="Z349" s="1012"/>
      <c r="AA349" s="1012"/>
      <c r="AB349" s="1012"/>
      <c r="AC349" s="1012"/>
      <c r="AD349" s="1012"/>
      <c r="AE349" s="1012"/>
      <c r="AF349" s="1012"/>
      <c r="AG349" s="1012"/>
      <c r="AH349" s="1012"/>
      <c r="AI349" s="1012"/>
    </row>
    <row r="350" spans="1:35" s="1028" customFormat="1" ht="33" customHeight="1">
      <c r="A350" s="1014">
        <f>_xlfn.AGGREGATE(4,7,A$24:A349)+1</f>
        <v>326</v>
      </c>
      <c r="B350" s="1330" t="s">
        <v>2152</v>
      </c>
      <c r="C350" s="1349"/>
      <c r="D350" s="1350"/>
      <c r="E350" s="81" t="str">
        <f>VLOOKUP(B350,TH.Q2!B253:E584,4,FALSE)</f>
        <v xml:space="preserve">NV Thư viện  </v>
      </c>
      <c r="F350" s="1355"/>
      <c r="G350" s="1352"/>
      <c r="H350" s="1356"/>
      <c r="I350" s="1357"/>
      <c r="J350" s="1357"/>
      <c r="K350" s="1357"/>
      <c r="L350" s="1358"/>
      <c r="M350" s="1358"/>
      <c r="N350" s="1358"/>
      <c r="O350" s="1359"/>
      <c r="P350" s="1360">
        <v>5317668.16</v>
      </c>
      <c r="Q350" s="1477">
        <f t="shared" si="36"/>
        <v>2.2725077606837609</v>
      </c>
      <c r="R350" s="1429">
        <v>2340000</v>
      </c>
      <c r="S350" s="1478">
        <f t="shared" si="37"/>
        <v>5317668.16</v>
      </c>
      <c r="T350" s="1024">
        <f t="shared" si="35"/>
        <v>326</v>
      </c>
      <c r="U350" s="1025">
        <f>VLOOKUP(B350,'[28]CN HĐ'!$H$10:$M$73,6,FALSE)</f>
        <v>0</v>
      </c>
      <c r="V350" s="1011"/>
      <c r="W350" s="1012"/>
      <c r="X350" s="1012"/>
      <c r="Y350" s="1027"/>
      <c r="Z350" s="1012"/>
      <c r="AA350" s="1012"/>
      <c r="AB350" s="1012"/>
      <c r="AC350" s="1012"/>
      <c r="AD350" s="1012"/>
      <c r="AE350" s="1012"/>
      <c r="AF350" s="1012"/>
      <c r="AG350" s="1012"/>
      <c r="AH350" s="1012"/>
      <c r="AI350" s="1012"/>
    </row>
    <row r="351" spans="1:35" s="1028" customFormat="1" ht="33" customHeight="1">
      <c r="A351" s="1014">
        <f>_xlfn.AGGREGATE(4,7,A$24:A350)+1</f>
        <v>327</v>
      </c>
      <c r="B351" s="1330" t="s">
        <v>2155</v>
      </c>
      <c r="C351" s="1349"/>
      <c r="D351" s="1350"/>
      <c r="E351" s="81" t="str">
        <f>VLOOKUP(B351,TH.Q2!B254:E585,4,FALSE)</f>
        <v xml:space="preserve">NV Thư viện  </v>
      </c>
      <c r="F351" s="1355"/>
      <c r="G351" s="1352"/>
      <c r="H351" s="1356"/>
      <c r="I351" s="1357"/>
      <c r="J351" s="1357"/>
      <c r="K351" s="1357"/>
      <c r="L351" s="1358"/>
      <c r="M351" s="1358"/>
      <c r="N351" s="1358"/>
      <c r="O351" s="1359"/>
      <c r="P351" s="1360">
        <v>4198812.84</v>
      </c>
      <c r="Q351" s="1477">
        <f t="shared" si="36"/>
        <v>1.7943644615384615</v>
      </c>
      <c r="R351" s="1429">
        <v>2340000</v>
      </c>
      <c r="S351" s="1478">
        <f t="shared" si="37"/>
        <v>4198812.84</v>
      </c>
      <c r="T351" s="1024">
        <f t="shared" si="35"/>
        <v>327</v>
      </c>
      <c r="U351" s="1025" t="str">
        <f>VLOOKUP(B351,'[28]CN HĐ'!$H$10:$M$73,6,FALSE)</f>
        <v>Trừ 2 ngày nghỉ phép 12+26/11</v>
      </c>
      <c r="V351" s="1011"/>
      <c r="W351" s="1012"/>
      <c r="X351" s="1012"/>
      <c r="Y351" s="1027"/>
      <c r="Z351" s="1012"/>
      <c r="AA351" s="1012"/>
      <c r="AB351" s="1012"/>
      <c r="AC351" s="1012"/>
      <c r="AD351" s="1012"/>
      <c r="AE351" s="1012"/>
      <c r="AF351" s="1012"/>
      <c r="AG351" s="1012"/>
      <c r="AH351" s="1012"/>
      <c r="AI351" s="1012"/>
    </row>
    <row r="352" spans="1:35" s="1028" customFormat="1" ht="33" customHeight="1">
      <c r="A352" s="1014">
        <f>_xlfn.AGGREGATE(4,7,A$24:A351)+1</f>
        <v>328</v>
      </c>
      <c r="B352" s="1330" t="s">
        <v>2156</v>
      </c>
      <c r="C352" s="1349"/>
      <c r="D352" s="1350"/>
      <c r="E352" s="81" t="str">
        <f>VLOOKUP(B352,TH.Q2!B255:E586,4,FALSE)</f>
        <v xml:space="preserve">NV Thư viện  </v>
      </c>
      <c r="F352" s="1355"/>
      <c r="G352" s="1352"/>
      <c r="H352" s="1356"/>
      <c r="I352" s="1357"/>
      <c r="J352" s="1357"/>
      <c r="K352" s="1357"/>
      <c r="L352" s="1358"/>
      <c r="M352" s="1358"/>
      <c r="N352" s="1358"/>
      <c r="O352" s="1359"/>
      <c r="P352" s="1360">
        <v>5426192</v>
      </c>
      <c r="Q352" s="1477">
        <f t="shared" si="36"/>
        <v>2.31888547008547</v>
      </c>
      <c r="R352" s="1429">
        <v>2340000</v>
      </c>
      <c r="S352" s="1478">
        <f t="shared" si="37"/>
        <v>5426192</v>
      </c>
      <c r="T352" s="1024">
        <f t="shared" si="35"/>
        <v>328</v>
      </c>
      <c r="U352" s="1387">
        <f>VLOOKUP(B352,'[28]CN HĐ'!$H$10:$M$73,6,FALSE)</f>
        <v>0</v>
      </c>
      <c r="V352" s="1011"/>
      <c r="W352" s="1012"/>
      <c r="X352" s="1012"/>
      <c r="Y352" s="1027"/>
      <c r="Z352" s="1012"/>
      <c r="AA352" s="1012"/>
      <c r="AB352" s="1012"/>
      <c r="AC352" s="1012"/>
      <c r="AD352" s="1012"/>
      <c r="AE352" s="1012"/>
      <c r="AF352" s="1012"/>
      <c r="AG352" s="1012"/>
      <c r="AH352" s="1012"/>
      <c r="AI352" s="1012"/>
    </row>
    <row r="353" spans="1:25" s="1125" customFormat="1" ht="21.75" customHeight="1">
      <c r="A353" s="1115"/>
      <c r="B353" s="1116" t="s">
        <v>1109</v>
      </c>
      <c r="C353" s="1117"/>
      <c r="D353" s="1118"/>
      <c r="E353" s="1118"/>
      <c r="F353" s="1119">
        <f>SUM(F25:F288)</f>
        <v>1015.2155000000005</v>
      </c>
      <c r="G353" s="1119">
        <f>SUM(G25:G288)</f>
        <v>2.6899999999999995</v>
      </c>
      <c r="H353" s="1119">
        <f>SUM(H25:H288)</f>
        <v>13.299000000000003</v>
      </c>
      <c r="I353" s="1119">
        <f>SUM(I25:I288)</f>
        <v>23.949999999999996</v>
      </c>
      <c r="J353" s="1119"/>
      <c r="K353" s="1119">
        <f t="shared" ref="K353:P353" si="38">SUM(K25:K288)</f>
        <v>164.2499999999996</v>
      </c>
      <c r="L353" s="1120">
        <f t="shared" si="38"/>
        <v>5280</v>
      </c>
      <c r="M353" s="1120">
        <f t="shared" si="38"/>
        <v>5525</v>
      </c>
      <c r="N353" s="1120">
        <f t="shared" si="38"/>
        <v>5209</v>
      </c>
      <c r="O353" s="1120">
        <f t="shared" si="38"/>
        <v>982800</v>
      </c>
      <c r="P353" s="1120">
        <f t="shared" si="38"/>
        <v>1544703030</v>
      </c>
      <c r="Q353" s="1122"/>
      <c r="R353" s="1122"/>
      <c r="S353" s="1122">
        <f>SUM(S25:S352)</f>
        <v>1845638744.3199999</v>
      </c>
      <c r="T353" s="1123"/>
      <c r="U353" s="1118"/>
      <c r="V353" s="1124"/>
      <c r="Y353" s="1126"/>
    </row>
    <row r="354" spans="1:25" ht="2.25" customHeight="1">
      <c r="L354" s="1007"/>
      <c r="M354" s="1007"/>
      <c r="N354" s="1007"/>
      <c r="O354" s="1007"/>
      <c r="P354" s="1259"/>
      <c r="Q354" s="1259"/>
      <c r="R354" s="1259"/>
      <c r="S354" s="1259"/>
    </row>
    <row r="355" spans="1:25" s="1003" customFormat="1" ht="21.75" customHeight="1">
      <c r="B355" s="1464" t="s">
        <v>2413</v>
      </c>
      <c r="C355" s="1464"/>
      <c r="D355" s="1464"/>
      <c r="E355" s="1464"/>
      <c r="F355" s="1464"/>
      <c r="G355" s="1464"/>
      <c r="H355" s="1464"/>
      <c r="I355" s="1464"/>
      <c r="J355" s="1464"/>
      <c r="K355" s="1464"/>
      <c r="L355" s="1464"/>
      <c r="M355" s="1464"/>
      <c r="N355" s="1464"/>
      <c r="O355" s="1464"/>
      <c r="P355" s="1261"/>
      <c r="Q355" s="1261"/>
      <c r="R355" s="1261"/>
      <c r="S355" s="1261"/>
      <c r="U355" s="1262"/>
      <c r="V355" s="1008"/>
      <c r="Y355" s="1009"/>
    </row>
    <row r="356" spans="1:25" s="1003" customFormat="1" ht="18" customHeight="1">
      <c r="B356" s="1263"/>
      <c r="C356" s="1004"/>
      <c r="D356" s="1004"/>
      <c r="E356" s="1004"/>
      <c r="F356" s="1260"/>
      <c r="G356" s="1260"/>
      <c r="H356" s="1260"/>
      <c r="I356" s="1260"/>
      <c r="J356" s="1321">
        <f>COUNTIF($J$25:$J$288,"A2")</f>
        <v>38</v>
      </c>
      <c r="K356" s="1260"/>
      <c r="L356" s="1483" t="s">
        <v>2408</v>
      </c>
      <c r="M356" s="1483"/>
      <c r="N356" s="1483"/>
      <c r="O356" s="1483"/>
      <c r="P356" s="1483"/>
      <c r="Q356" s="1483"/>
      <c r="R356" s="1596" t="s">
        <v>2412</v>
      </c>
      <c r="S356" s="1596"/>
      <c r="T356" s="1596"/>
      <c r="U356" s="1596"/>
      <c r="V356" s="1008"/>
      <c r="Y356" s="1009"/>
    </row>
    <row r="357" spans="1:25">
      <c r="J357" s="1321">
        <f>COUNTIF($J$25:$J$288,"A3")</f>
        <v>101</v>
      </c>
      <c r="O357" s="1002" t="s">
        <v>2303</v>
      </c>
      <c r="P357" s="1002"/>
      <c r="Q357" s="1002"/>
      <c r="R357" s="1601" t="s">
        <v>2411</v>
      </c>
      <c r="S357" s="1601"/>
      <c r="T357" s="1601"/>
      <c r="U357" s="1601"/>
    </row>
    <row r="358" spans="1:25" s="1003" customFormat="1">
      <c r="A358" s="1570" t="s">
        <v>859</v>
      </c>
      <c r="B358" s="1570"/>
      <c r="C358" s="1004"/>
      <c r="D358" s="1004"/>
      <c r="E358" s="1570" t="s">
        <v>1191</v>
      </c>
      <c r="F358" s="1570"/>
      <c r="G358" s="1570"/>
      <c r="H358" s="1570"/>
      <c r="I358" s="1570"/>
      <c r="J358" s="1570"/>
      <c r="K358" s="1570"/>
      <c r="L358" s="1570"/>
      <c r="M358" s="1570"/>
      <c r="N358" s="1570"/>
      <c r="O358" s="1570"/>
      <c r="P358" s="1570"/>
      <c r="Q358" s="1570"/>
      <c r="R358" s="1570" t="s">
        <v>2304</v>
      </c>
      <c r="S358" s="1570"/>
      <c r="T358" s="1570"/>
      <c r="U358" s="1570"/>
      <c r="V358" s="1008"/>
      <c r="Y358" s="1009"/>
    </row>
    <row r="359" spans="1:25" s="1003" customFormat="1" ht="11.25" customHeight="1">
      <c r="A359" s="1218"/>
      <c r="B359" s="1218"/>
      <c r="C359" s="1004"/>
      <c r="D359" s="1004"/>
      <c r="E359" s="1004"/>
      <c r="F359" s="1218"/>
      <c r="G359" s="1218"/>
      <c r="H359" s="1218"/>
      <c r="I359" s="1218"/>
      <c r="J359" s="1324"/>
      <c r="K359" s="1218"/>
      <c r="L359" s="1218"/>
      <c r="M359" s="1218"/>
      <c r="N359" s="1218"/>
      <c r="O359" s="1004"/>
      <c r="P359" s="1570"/>
      <c r="Q359" s="1570"/>
      <c r="R359" s="1570"/>
      <c r="S359" s="1570"/>
      <c r="T359" s="1570"/>
      <c r="U359" s="1570"/>
      <c r="V359" s="1008"/>
      <c r="Y359" s="1009"/>
    </row>
    <row r="360" spans="1:25" s="1003" customFormat="1" ht="10.5" customHeight="1">
      <c r="A360" s="1218"/>
      <c r="B360" s="1218"/>
      <c r="C360" s="1004"/>
      <c r="D360" s="1004"/>
      <c r="E360" s="1004"/>
      <c r="F360" s="1218"/>
      <c r="G360" s="1218"/>
      <c r="H360" s="1218"/>
      <c r="I360" s="1218"/>
      <c r="J360" s="1436">
        <f>COUNTIF($J$25:$J$288,"A1")</f>
        <v>54</v>
      </c>
      <c r="K360" s="1218"/>
      <c r="L360" s="1218"/>
      <c r="M360" s="1218"/>
      <c r="N360" s="1218"/>
      <c r="O360" s="1004"/>
      <c r="P360" s="1218"/>
      <c r="Q360" s="1218"/>
      <c r="R360" s="1218"/>
      <c r="S360" s="1218"/>
      <c r="U360" s="1135"/>
      <c r="V360" s="1008"/>
      <c r="Y360" s="1009"/>
    </row>
    <row r="361" spans="1:25" s="1003" customFormat="1" ht="13.5" customHeight="1">
      <c r="J361" s="1436">
        <f>COUNTIF($J$25:$J$288,"A2")</f>
        <v>38</v>
      </c>
      <c r="L361" s="1218"/>
      <c r="M361" s="1218"/>
      <c r="N361" s="1218"/>
      <c r="O361" s="1006"/>
      <c r="P361" s="1006"/>
      <c r="Q361" s="1006"/>
      <c r="R361" s="1006"/>
      <c r="S361" s="1006"/>
      <c r="U361" s="1007"/>
      <c r="V361" s="1008"/>
      <c r="Y361" s="1009"/>
    </row>
    <row r="362" spans="1:25" s="1003" customFormat="1" ht="13.5" customHeight="1">
      <c r="J362" s="1436">
        <f>COUNTIF($J$25:$J$288,"A3")</f>
        <v>101</v>
      </c>
      <c r="L362" s="1218"/>
      <c r="M362" s="1218"/>
      <c r="N362" s="1218"/>
      <c r="O362" s="1006"/>
      <c r="P362" s="1006"/>
      <c r="Q362" s="1006"/>
      <c r="R362" s="1006"/>
      <c r="S362" s="1006"/>
      <c r="U362" s="1264"/>
      <c r="V362" s="1008"/>
      <c r="Y362" s="1009"/>
    </row>
    <row r="363" spans="1:25" s="1003" customFormat="1" ht="13.5" customHeight="1">
      <c r="J363" s="1436">
        <f>COUNTIF($J$25:$J$288,"A4")</f>
        <v>67</v>
      </c>
      <c r="L363" s="1218"/>
      <c r="M363" s="1218"/>
      <c r="N363" s="1218"/>
      <c r="O363" s="1006"/>
      <c r="P363" s="1265"/>
      <c r="Q363" s="1265"/>
      <c r="R363" s="1265"/>
      <c r="S363" s="1265"/>
      <c r="U363" s="1007"/>
      <c r="V363" s="1008"/>
      <c r="Y363" s="1009"/>
    </row>
    <row r="364" spans="1:25" s="1003" customFormat="1" ht="13.5" customHeight="1">
      <c r="F364" s="1006"/>
      <c r="G364" s="1006"/>
      <c r="H364" s="1006"/>
      <c r="I364" s="1006"/>
      <c r="J364" s="1436"/>
      <c r="K364" s="1006"/>
      <c r="L364" s="1006"/>
      <c r="M364" s="1006"/>
      <c r="N364" s="1006"/>
      <c r="O364" s="1006"/>
      <c r="P364" s="1006"/>
      <c r="Q364" s="1006"/>
      <c r="R364" s="1006"/>
      <c r="S364" s="1006"/>
      <c r="U364" s="1264"/>
      <c r="V364" s="1008"/>
      <c r="Y364" s="1009"/>
    </row>
    <row r="365" spans="1:25" s="1003" customFormat="1" ht="13.5" customHeight="1">
      <c r="F365" s="1006"/>
      <c r="G365" s="1006"/>
      <c r="H365" s="1006"/>
      <c r="I365" s="1006"/>
      <c r="J365" s="1006"/>
      <c r="K365" s="1006"/>
      <c r="L365" s="1006"/>
      <c r="M365" s="1006"/>
      <c r="N365" s="1006"/>
      <c r="O365" s="1006"/>
      <c r="P365" s="1006"/>
      <c r="Q365" s="1006"/>
      <c r="R365" s="1006"/>
      <c r="S365" s="1006"/>
      <c r="U365" s="1007"/>
      <c r="V365" s="1008"/>
      <c r="Y365" s="1009"/>
    </row>
    <row r="366" spans="1:25" s="1003" customFormat="1">
      <c r="A366" s="1570" t="s">
        <v>1827</v>
      </c>
      <c r="B366" s="1570"/>
      <c r="C366" s="1004"/>
      <c r="D366" s="1004"/>
      <c r="E366" s="1570" t="s">
        <v>1445</v>
      </c>
      <c r="F366" s="1570"/>
      <c r="G366" s="1570"/>
      <c r="H366" s="1570"/>
      <c r="I366" s="1570"/>
      <c r="J366" s="1570"/>
      <c r="K366" s="1570"/>
      <c r="L366" s="1570"/>
      <c r="M366" s="1570"/>
      <c r="N366" s="1570"/>
      <c r="O366" s="1570"/>
      <c r="P366" s="1570"/>
      <c r="Q366" s="1570"/>
      <c r="R366" s="1570" t="s">
        <v>1447</v>
      </c>
      <c r="S366" s="1570"/>
      <c r="T366" s="1570"/>
      <c r="U366" s="1570"/>
      <c r="V366" s="1008"/>
      <c r="Y366" s="1009"/>
    </row>
    <row r="367" spans="1:25" ht="15.75">
      <c r="A367" s="1267"/>
    </row>
    <row r="368" spans="1:25" ht="15.75" customHeight="1">
      <c r="A368" s="1267"/>
    </row>
    <row r="424" ht="15.75" customHeight="1"/>
  </sheetData>
  <mergeCells count="52">
    <mergeCell ref="A22:A23"/>
    <mergeCell ref="B22:B23"/>
    <mergeCell ref="E22:E23"/>
    <mergeCell ref="F22:I22"/>
    <mergeCell ref="J22:K22"/>
    <mergeCell ref="A366:B366"/>
    <mergeCell ref="A1:G1"/>
    <mergeCell ref="J1:U1"/>
    <mergeCell ref="A2:G2"/>
    <mergeCell ref="J2:U2"/>
    <mergeCell ref="A3:G3"/>
    <mergeCell ref="A5:U5"/>
    <mergeCell ref="A358:B358"/>
    <mergeCell ref="P359:U359"/>
    <mergeCell ref="O22:O23"/>
    <mergeCell ref="P22:P23"/>
    <mergeCell ref="T22:U23"/>
    <mergeCell ref="T24:U24"/>
    <mergeCell ref="A18:U18"/>
    <mergeCell ref="A19:U19"/>
    <mergeCell ref="L20:O20"/>
    <mergeCell ref="A6:U6"/>
    <mergeCell ref="A7:U7"/>
    <mergeCell ref="L8:O8"/>
    <mergeCell ref="J9:K9"/>
    <mergeCell ref="A10:A11"/>
    <mergeCell ref="B10:B11"/>
    <mergeCell ref="E10:E11"/>
    <mergeCell ref="F10:I10"/>
    <mergeCell ref="J10:K10"/>
    <mergeCell ref="L10:N10"/>
    <mergeCell ref="R366:U366"/>
    <mergeCell ref="E366:Q366"/>
    <mergeCell ref="O10:O11"/>
    <mergeCell ref="P10:P11"/>
    <mergeCell ref="Q10:Q11"/>
    <mergeCell ref="R10:R11"/>
    <mergeCell ref="S10:S11"/>
    <mergeCell ref="T10:U11"/>
    <mergeCell ref="J21:K21"/>
    <mergeCell ref="L22:N22"/>
    <mergeCell ref="A13:G13"/>
    <mergeCell ref="J13:U13"/>
    <mergeCell ref="A14:G14"/>
    <mergeCell ref="J14:U14"/>
    <mergeCell ref="A15:G15"/>
    <mergeCell ref="A17:U17"/>
    <mergeCell ref="T12:U12"/>
    <mergeCell ref="R358:U358"/>
    <mergeCell ref="R357:U357"/>
    <mergeCell ref="E358:Q358"/>
    <mergeCell ref="R356:U356"/>
  </mergeCells>
  <conditionalFormatting sqref="D76 D208:D216 D148:D153 D45 D164:D175 D91 A19 V366:IR366 V13:IR14 V19:IR19 X106:IR106 X205:IR205 W215:IR215 X214:IR214 X234:IR234 X265:IR265 X77:IR77 W257:IR264 X256:IR256 D85 X216:IR216 D100 C77:D77 W266:IR269 B281:B288 D280:D286 D132:D135 D128:D130 D137:D140 D35:D36 D256:D268 C96 D39:D43 D195:D206 D30:D32 B30:B37 D105 D118:D122 D69 B76 W76:IR76 B39:B47 D190:D193 D143:D145 W107:IR126 W206:IR213 D56:D57 B50:B61 D50:D54 D71:D74 W96:IR105 D177 W235:IR255 D234:D249 B97:B126 B25:B28 V353:IR358 D63:D67 D218:D232 B63:B74 W63:IR74 V24:IR24 C38:D38 C93:D93 W25:IR27 W54:IR61 W280:IR352 F22 AA28:IR53 V359:XFD359 A366 A22:D22 Q23:S23 P22:T22 V22:XFD23 C23:D23 A358 A21:I21 L22:M22 L21:XFD21 A16:XFD18 A367:XFD65613 A20:XFD20 A359:P359 F23:J23 X270:IR279 G269:G279 W217:IR233 D179:D188 W128:IR204 B128:B279 I128:I352 F128:G268 H13:I14 A13:A15 H15:XFD15 A360:XFD365 A356:L356 A357:K357 O357 A355:B355 P355:U355 A24:T24 A353:U354 D25:D26 F25:G28 I25:I28 D79:D81 B78:B92 W78:IR93 V25:V352 T25:T93 P25:P352 K25:N352 F76:G93 I76:I94 A25:A352 T96:T352">
    <cfRule type="cellIs" dxfId="2105" priority="98" stopIfTrue="1" operator="equal">
      <formula>"KXL"</formula>
    </cfRule>
    <cfRule type="cellIs" dxfId="2104" priority="99" stopIfTrue="1" operator="equal">
      <formula>"A DN"</formula>
    </cfRule>
    <cfRule type="cellIs" dxfId="2103" priority="100" stopIfTrue="1" operator="equal">
      <formula>"C"</formula>
    </cfRule>
    <cfRule type="cellIs" dxfId="2102" priority="101" stopIfTrue="1" operator="equal">
      <formula>"B"</formula>
    </cfRule>
  </conditionalFormatting>
  <conditionalFormatting sqref="B280">
    <cfRule type="cellIs" dxfId="2101" priority="94" stopIfTrue="1" operator="equal">
      <formula>"KXL"</formula>
    </cfRule>
    <cfRule type="cellIs" dxfId="2100" priority="95" stopIfTrue="1" operator="equal">
      <formula>"A DN"</formula>
    </cfRule>
    <cfRule type="cellIs" dxfId="2099" priority="96" stopIfTrue="1" operator="equal">
      <formula>"C"</formula>
    </cfRule>
    <cfRule type="cellIs" dxfId="2098" priority="97" stopIfTrue="1" operator="equal">
      <formula>"B"</formula>
    </cfRule>
  </conditionalFormatting>
  <conditionalFormatting sqref="B62 W62:IR62 W75:IR75 W127:IR127">
    <cfRule type="cellIs" dxfId="2097" priority="91" stopIfTrue="1" operator="equal">
      <formula>"C"</formula>
    </cfRule>
    <cfRule type="cellIs" dxfId="2096" priority="92" stopIfTrue="1" operator="equal">
      <formula>"B"</formula>
    </cfRule>
    <cfRule type="cellIs" dxfId="2095" priority="93" stopIfTrue="1" operator="equal">
      <formula>"A DN"</formula>
    </cfRule>
  </conditionalFormatting>
  <conditionalFormatting sqref="B75">
    <cfRule type="cellIs" dxfId="2094" priority="88" stopIfTrue="1" operator="equal">
      <formula>"C"</formula>
    </cfRule>
    <cfRule type="cellIs" dxfId="2093" priority="89" stopIfTrue="1" operator="equal">
      <formula>"B"</formula>
    </cfRule>
    <cfRule type="cellIs" dxfId="2092" priority="90" stopIfTrue="1" operator="equal">
      <formula>"A DN"</formula>
    </cfRule>
  </conditionalFormatting>
  <conditionalFormatting sqref="B127">
    <cfRule type="cellIs" dxfId="2091" priority="85" stopIfTrue="1" operator="equal">
      <formula>"C"</formula>
    </cfRule>
    <cfRule type="cellIs" dxfId="2090" priority="86" stopIfTrue="1" operator="equal">
      <formula>"B"</formula>
    </cfRule>
    <cfRule type="cellIs" dxfId="2089" priority="87" stopIfTrue="1" operator="equal">
      <formula>"A DN"</formula>
    </cfRule>
  </conditionalFormatting>
  <conditionalFormatting sqref="D127">
    <cfRule type="cellIs" dxfId="2088" priority="81" stopIfTrue="1" operator="equal">
      <formula>"KXL"</formula>
    </cfRule>
    <cfRule type="cellIs" dxfId="2087" priority="82" stopIfTrue="1" operator="equal">
      <formula>"A DN"</formula>
    </cfRule>
    <cfRule type="cellIs" dxfId="2086" priority="83" stopIfTrue="1" operator="equal">
      <formula>"C"</formula>
    </cfRule>
    <cfRule type="cellIs" dxfId="2085" priority="84" stopIfTrue="1" operator="equal">
      <formula>"B"</formula>
    </cfRule>
  </conditionalFormatting>
  <conditionalFormatting sqref="C29:D29">
    <cfRule type="cellIs" dxfId="2084" priority="77" stopIfTrue="1" operator="equal">
      <formula>"KXL"</formula>
    </cfRule>
    <cfRule type="cellIs" dxfId="2083" priority="78" stopIfTrue="1" operator="equal">
      <formula>"A DN"</formula>
    </cfRule>
    <cfRule type="cellIs" dxfId="2082" priority="79" stopIfTrue="1" operator="equal">
      <formula>"C"</formula>
    </cfRule>
    <cfRule type="cellIs" dxfId="2081" priority="80" stopIfTrue="1" operator="equal">
      <formula>"B"</formula>
    </cfRule>
  </conditionalFormatting>
  <conditionalFormatting sqref="C48:D48 C49">
    <cfRule type="cellIs" dxfId="2080" priority="73" stopIfTrue="1" operator="equal">
      <formula>"KXL"</formula>
    </cfRule>
    <cfRule type="cellIs" dxfId="2079" priority="74" stopIfTrue="1" operator="equal">
      <formula>"A DN"</formula>
    </cfRule>
    <cfRule type="cellIs" dxfId="2078" priority="75" stopIfTrue="1" operator="equal">
      <formula>"C"</formula>
    </cfRule>
    <cfRule type="cellIs" dxfId="2077" priority="76" stopIfTrue="1" operator="equal">
      <formula>"B"</formula>
    </cfRule>
  </conditionalFormatting>
  <conditionalFormatting sqref="T94">
    <cfRule type="cellIs" dxfId="2076" priority="69" stopIfTrue="1" operator="equal">
      <formula>"KXL"</formula>
    </cfRule>
    <cfRule type="cellIs" dxfId="2075" priority="70" stopIfTrue="1" operator="equal">
      <formula>"A DN"</formula>
    </cfRule>
    <cfRule type="cellIs" dxfId="2074" priority="71" stopIfTrue="1" operator="equal">
      <formula>"C"</formula>
    </cfRule>
    <cfRule type="cellIs" dxfId="2073" priority="72" stopIfTrue="1" operator="equal">
      <formula>"B"</formula>
    </cfRule>
  </conditionalFormatting>
  <conditionalFormatting sqref="W94:IR94 C94:D94">
    <cfRule type="cellIs" dxfId="2072" priority="65" stopIfTrue="1" operator="equal">
      <formula>"KXL"</formula>
    </cfRule>
    <cfRule type="cellIs" dxfId="2071" priority="66" stopIfTrue="1" operator="equal">
      <formula>"A DN"</formula>
    </cfRule>
    <cfRule type="cellIs" dxfId="2070" priority="67" stopIfTrue="1" operator="equal">
      <formula>"C"</formula>
    </cfRule>
    <cfRule type="cellIs" dxfId="2069" priority="68" stopIfTrue="1" operator="equal">
      <formula>"B"</formula>
    </cfRule>
  </conditionalFormatting>
  <conditionalFormatting sqref="F280:G352 F50:G61 F96:G126 F63:G74 F30:G47 I96:I126 I63:I74 I30:I47 I50:I61">
    <cfRule type="cellIs" dxfId="2068" priority="61" stopIfTrue="1" operator="equal">
      <formula>"KXL"</formula>
    </cfRule>
    <cfRule type="cellIs" dxfId="2067" priority="62" stopIfTrue="1" operator="equal">
      <formula>"A DN"</formula>
    </cfRule>
    <cfRule type="cellIs" dxfId="2066" priority="63" stopIfTrue="1" operator="equal">
      <formula>"C"</formula>
    </cfRule>
    <cfRule type="cellIs" dxfId="2065" priority="64" stopIfTrue="1" operator="equal">
      <formula>"B"</formula>
    </cfRule>
  </conditionalFormatting>
  <conditionalFormatting sqref="F62:G62 I62">
    <cfRule type="cellIs" dxfId="2064" priority="58" stopIfTrue="1" operator="equal">
      <formula>"C"</formula>
    </cfRule>
    <cfRule type="cellIs" dxfId="2063" priority="59" stopIfTrue="1" operator="equal">
      <formula>"B"</formula>
    </cfRule>
    <cfRule type="cellIs" dxfId="2062" priority="60" stopIfTrue="1" operator="equal">
      <formula>"A DN"</formula>
    </cfRule>
  </conditionalFormatting>
  <conditionalFormatting sqref="F75:G75 I75">
    <cfRule type="cellIs" dxfId="2061" priority="55" stopIfTrue="1" operator="equal">
      <formula>"C"</formula>
    </cfRule>
    <cfRule type="cellIs" dxfId="2060" priority="56" stopIfTrue="1" operator="equal">
      <formula>"B"</formula>
    </cfRule>
    <cfRule type="cellIs" dxfId="2059" priority="57" stopIfTrue="1" operator="equal">
      <formula>"A DN"</formula>
    </cfRule>
  </conditionalFormatting>
  <conditionalFormatting sqref="F127:G127 I127">
    <cfRule type="cellIs" dxfId="2058" priority="52" stopIfTrue="1" operator="equal">
      <formula>"C"</formula>
    </cfRule>
    <cfRule type="cellIs" dxfId="2057" priority="53" stopIfTrue="1" operator="equal">
      <formula>"B"</formula>
    </cfRule>
    <cfRule type="cellIs" dxfId="2056" priority="54" stopIfTrue="1" operator="equal">
      <formula>"A DN"</formula>
    </cfRule>
  </conditionalFormatting>
  <conditionalFormatting sqref="F29:G29 I29">
    <cfRule type="cellIs" dxfId="2055" priority="48" stopIfTrue="1" operator="equal">
      <formula>"KXL"</formula>
    </cfRule>
    <cfRule type="cellIs" dxfId="2054" priority="49" stopIfTrue="1" operator="equal">
      <formula>"A DN"</formula>
    </cfRule>
    <cfRule type="cellIs" dxfId="2053" priority="50" stopIfTrue="1" operator="equal">
      <formula>"C"</formula>
    </cfRule>
    <cfRule type="cellIs" dxfId="2052" priority="51" stopIfTrue="1" operator="equal">
      <formula>"B"</formula>
    </cfRule>
  </conditionalFormatting>
  <conditionalFormatting sqref="I48:I49 F48:G49">
    <cfRule type="cellIs" dxfId="2051" priority="44" stopIfTrue="1" operator="equal">
      <formula>"KXL"</formula>
    </cfRule>
    <cfRule type="cellIs" dxfId="2050" priority="45" stopIfTrue="1" operator="equal">
      <formula>"A DN"</formula>
    </cfRule>
    <cfRule type="cellIs" dxfId="2049" priority="46" stopIfTrue="1" operator="equal">
      <formula>"C"</formula>
    </cfRule>
    <cfRule type="cellIs" dxfId="2048" priority="47" stopIfTrue="1" operator="equal">
      <formula>"B"</formula>
    </cfRule>
  </conditionalFormatting>
  <conditionalFormatting sqref="F94:G94">
    <cfRule type="cellIs" dxfId="2047" priority="40" stopIfTrue="1" operator="equal">
      <formula>"KXL"</formula>
    </cfRule>
    <cfRule type="cellIs" dxfId="2046" priority="41" stopIfTrue="1" operator="equal">
      <formula>"A DN"</formula>
    </cfRule>
    <cfRule type="cellIs" dxfId="2045" priority="42" stopIfTrue="1" operator="equal">
      <formula>"C"</formula>
    </cfRule>
    <cfRule type="cellIs" dxfId="2044" priority="43" stopIfTrue="1" operator="equal">
      <formula>"B"</formula>
    </cfRule>
  </conditionalFormatting>
  <conditionalFormatting sqref="J25:J352">
    <cfRule type="cellIs" dxfId="2043" priority="33" operator="equal">
      <formula>"A DN"</formula>
    </cfRule>
    <cfRule type="cellIs" dxfId="2042" priority="34" operator="equal">
      <formula>"KXL"</formula>
    </cfRule>
    <cfRule type="cellIs" dxfId="2041" priority="35" operator="equal">
      <formula>"D"</formula>
    </cfRule>
    <cfRule type="cellIs" dxfId="2040" priority="36" operator="equal">
      <formula>"C2"</formula>
    </cfRule>
    <cfRule type="cellIs" dxfId="2039" priority="37" operator="equal">
      <formula>"C1"</formula>
    </cfRule>
    <cfRule type="cellIs" dxfId="2038" priority="38" operator="equal">
      <formula>"B2"</formula>
    </cfRule>
    <cfRule type="cellIs" dxfId="2037" priority="39" operator="equal">
      <formula>"B1"</formula>
    </cfRule>
  </conditionalFormatting>
  <conditionalFormatting sqref="E22">
    <cfRule type="cellIs" dxfId="2036" priority="29" stopIfTrue="1" operator="equal">
      <formula>"KXL"</formula>
    </cfRule>
    <cfRule type="cellIs" dxfId="2035" priority="30" stopIfTrue="1" operator="equal">
      <formula>"A DN"</formula>
    </cfRule>
    <cfRule type="cellIs" dxfId="2034" priority="31" stopIfTrue="1" operator="equal">
      <formula>"C"</formula>
    </cfRule>
    <cfRule type="cellIs" dxfId="2033" priority="32" stopIfTrue="1" operator="equal">
      <formula>"B"</formula>
    </cfRule>
  </conditionalFormatting>
  <conditionalFormatting sqref="K23">
    <cfRule type="cellIs" dxfId="2032" priority="25" stopIfTrue="1" operator="equal">
      <formula>"KXL"</formula>
    </cfRule>
    <cfRule type="cellIs" dxfId="2031" priority="26" stopIfTrue="1" operator="equal">
      <formula>"A DN"</formula>
    </cfRule>
    <cfRule type="cellIs" dxfId="2030" priority="27" stopIfTrue="1" operator="equal">
      <formula>"C"</formula>
    </cfRule>
    <cfRule type="cellIs" dxfId="2029" priority="28" stopIfTrue="1" operator="equal">
      <formula>"B"</formula>
    </cfRule>
  </conditionalFormatting>
  <conditionalFormatting sqref="B309:B319">
    <cfRule type="cellIs" dxfId="2028" priority="21" stopIfTrue="1" operator="equal">
      <formula>"KXL"</formula>
    </cfRule>
    <cfRule type="cellIs" dxfId="2027" priority="22" stopIfTrue="1" operator="equal">
      <formula>"A DN"</formula>
    </cfRule>
    <cfRule type="cellIs" dxfId="2026" priority="23" stopIfTrue="1" operator="equal">
      <formula>"C"</formula>
    </cfRule>
    <cfRule type="cellIs" dxfId="2025" priority="24" stopIfTrue="1" operator="equal">
      <formula>"B"</formula>
    </cfRule>
  </conditionalFormatting>
  <conditionalFormatting sqref="B292:B304">
    <cfRule type="cellIs" dxfId="2024" priority="17" stopIfTrue="1" operator="equal">
      <formula>"KXL"</formula>
    </cfRule>
    <cfRule type="cellIs" dxfId="2023" priority="18" stopIfTrue="1" operator="equal">
      <formula>"A DN"</formula>
    </cfRule>
    <cfRule type="cellIs" dxfId="2022" priority="19" stopIfTrue="1" operator="equal">
      <formula>"C"</formula>
    </cfRule>
    <cfRule type="cellIs" dxfId="2021" priority="20" stopIfTrue="1" operator="equal">
      <formula>"B"</formula>
    </cfRule>
  </conditionalFormatting>
  <conditionalFormatting sqref="A7 V1:IR2 V7:IR7 V12:IR12 F10 A10:D10 P10:T10 V10:XFD11 C11:D11 A9:I9 L10:M10 L9:XFD9 A4:XFD4 A8:XFD8 A12:T12 F11:J11 H1:I2 A1:A3 H3:XFD3 A6:XFD6 AK5:XFD5">
    <cfRule type="cellIs" dxfId="2020" priority="13" stopIfTrue="1" operator="equal">
      <formula>"KXL"</formula>
    </cfRule>
    <cfRule type="cellIs" dxfId="2019" priority="14" stopIfTrue="1" operator="equal">
      <formula>"A DN"</formula>
    </cfRule>
    <cfRule type="cellIs" dxfId="2018" priority="15" stopIfTrue="1" operator="equal">
      <formula>"C"</formula>
    </cfRule>
    <cfRule type="cellIs" dxfId="2017" priority="16" stopIfTrue="1" operator="equal">
      <formula>"B"</formula>
    </cfRule>
  </conditionalFormatting>
  <conditionalFormatting sqref="E10">
    <cfRule type="cellIs" dxfId="2016" priority="9" stopIfTrue="1" operator="equal">
      <formula>"KXL"</formula>
    </cfRule>
    <cfRule type="cellIs" dxfId="2015" priority="10" stopIfTrue="1" operator="equal">
      <formula>"A DN"</formula>
    </cfRule>
    <cfRule type="cellIs" dxfId="2014" priority="11" stopIfTrue="1" operator="equal">
      <formula>"C"</formula>
    </cfRule>
    <cfRule type="cellIs" dxfId="2013" priority="12" stopIfTrue="1" operator="equal">
      <formula>"B"</formula>
    </cfRule>
  </conditionalFormatting>
  <conditionalFormatting sqref="K11">
    <cfRule type="cellIs" dxfId="2012" priority="5" stopIfTrue="1" operator="equal">
      <formula>"KXL"</formula>
    </cfRule>
    <cfRule type="cellIs" dxfId="2011" priority="6" stopIfTrue="1" operator="equal">
      <formula>"A DN"</formula>
    </cfRule>
    <cfRule type="cellIs" dxfId="2010" priority="7" stopIfTrue="1" operator="equal">
      <formula>"C"</formula>
    </cfRule>
    <cfRule type="cellIs" dxfId="2009" priority="8" stopIfTrue="1" operator="equal">
      <formula>"B"</formula>
    </cfRule>
  </conditionalFormatting>
  <conditionalFormatting sqref="A5">
    <cfRule type="cellIs" dxfId="2008" priority="1" stopIfTrue="1" operator="equal">
      <formula>"KXL"</formula>
    </cfRule>
    <cfRule type="cellIs" dxfId="2007" priority="2" stopIfTrue="1" operator="equal">
      <formula>"A DN"</formula>
    </cfRule>
    <cfRule type="cellIs" dxfId="2006" priority="3" stopIfTrue="1" operator="equal">
      <formula>"C"</formula>
    </cfRule>
    <cfRule type="cellIs" dxfId="2005" priority="4" stopIfTrue="1" operator="equal">
      <formula>"B"</formula>
    </cfRule>
  </conditionalFormatting>
  <dataValidations count="1">
    <dataValidation type="list" allowBlank="1" showInputMessage="1" showErrorMessage="1" sqref="Y28" xr:uid="{00000000-0002-0000-0F00-000000000000}">
      <formula1>#REF!</formula1>
    </dataValidation>
  </dataValidations>
  <printOptions horizontalCentered="1"/>
  <pageMargins left="0.35433070866141736" right="0.15748031496062992" top="0.32" bottom="0.37" header="0.15748031496062992" footer="0.15748031496062992"/>
  <pageSetup paperSize="9" scale="85" orientation="portrait" r:id="rId1"/>
  <headerFooter alignWithMargins="0">
    <oddFooter>Page &amp;P of &amp;N</oddFooter>
  </headerFooter>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C341"/>
  <sheetViews>
    <sheetView topLeftCell="A8" zoomScale="110" zoomScaleNormal="110" workbookViewId="0">
      <selection activeCell="B86" sqref="B86"/>
    </sheetView>
  </sheetViews>
  <sheetFormatPr defaultRowHeight="15"/>
  <cols>
    <col min="1" max="1" width="5.5703125" style="1139" customWidth="1"/>
    <col min="2" max="2" width="27.140625" style="1139" customWidth="1"/>
    <col min="3" max="3" width="17.7109375" style="1139" hidden="1" customWidth="1"/>
    <col min="4" max="4" width="16" style="1003" hidden="1" customWidth="1"/>
    <col min="5" max="5" width="19.42578125" style="1003" customWidth="1"/>
    <col min="6" max="6" width="11.140625" style="1139" customWidth="1"/>
    <col min="7" max="11" width="8.140625" style="1139" customWidth="1"/>
    <col min="12" max="12" width="8.85546875" style="1139" customWidth="1"/>
    <col min="13" max="13" width="6.5703125" style="1139" bestFit="1" customWidth="1"/>
    <col min="14" max="14" width="8.85546875" style="1139" customWidth="1"/>
    <col min="15" max="15" width="10.5703125" style="1139" customWidth="1"/>
    <col min="16" max="16" width="17.140625" style="1139" customWidth="1"/>
    <col min="17" max="17" width="4" style="1139" hidden="1" customWidth="1"/>
    <col min="18" max="18" width="3.85546875" style="1139" customWidth="1"/>
    <col min="19" max="19" width="17.42578125" style="1007" customWidth="1"/>
    <col min="20" max="20" width="23.5703125" style="1138" bestFit="1" customWidth="1"/>
    <col min="21" max="21" width="16.140625" style="1139" customWidth="1"/>
    <col min="22" max="22" width="17.42578125" style="1139" customWidth="1"/>
    <col min="23" max="16384" width="9.140625" style="1139"/>
  </cols>
  <sheetData>
    <row r="1" spans="1:29">
      <c r="A1" s="1589" t="s">
        <v>492</v>
      </c>
      <c r="B1" s="1589"/>
      <c r="C1" s="1589"/>
      <c r="D1" s="1589"/>
      <c r="E1" s="1589"/>
      <c r="F1" s="1589"/>
      <c r="G1" s="1589"/>
      <c r="H1" s="1003"/>
      <c r="I1" s="1003"/>
      <c r="J1" s="1570" t="s">
        <v>849</v>
      </c>
      <c r="K1" s="1570"/>
      <c r="L1" s="1570"/>
      <c r="M1" s="1570"/>
      <c r="N1" s="1570"/>
      <c r="O1" s="1570"/>
      <c r="P1" s="1570"/>
      <c r="Q1" s="1570"/>
      <c r="R1" s="1570"/>
      <c r="S1" s="1570"/>
    </row>
    <row r="2" spans="1:29" ht="15" customHeight="1">
      <c r="A2" s="1570" t="s">
        <v>1563</v>
      </c>
      <c r="B2" s="1570"/>
      <c r="C2" s="1570"/>
      <c r="D2" s="1570"/>
      <c r="E2" s="1570"/>
      <c r="F2" s="1570"/>
      <c r="G2" s="1570"/>
      <c r="H2" s="1004"/>
      <c r="I2" s="1004"/>
      <c r="J2" s="1570" t="s">
        <v>2179</v>
      </c>
      <c r="K2" s="1570"/>
      <c r="L2" s="1570"/>
      <c r="M2" s="1570"/>
      <c r="N2" s="1570"/>
      <c r="O2" s="1570"/>
      <c r="P2" s="1570"/>
      <c r="Q2" s="1570"/>
      <c r="R2" s="1570"/>
      <c r="S2" s="1570"/>
    </row>
    <row r="3" spans="1:29" ht="16.5" customHeight="1">
      <c r="A3" s="1570" t="s">
        <v>1564</v>
      </c>
      <c r="B3" s="1570"/>
      <c r="C3" s="1570"/>
      <c r="D3" s="1570"/>
      <c r="E3" s="1570"/>
      <c r="F3" s="1570"/>
      <c r="G3" s="1570"/>
      <c r="H3" s="1004"/>
      <c r="I3" s="1004"/>
      <c r="J3" s="1004"/>
      <c r="K3" s="1004"/>
      <c r="L3" s="1006"/>
      <c r="M3" s="1006"/>
      <c r="N3" s="1006"/>
      <c r="O3" s="1006"/>
      <c r="P3" s="1243"/>
      <c r="Q3" s="1243"/>
      <c r="R3" s="1003"/>
    </row>
    <row r="4" spans="1:29" ht="9" customHeight="1">
      <c r="A4" s="1244"/>
      <c r="B4" s="1244"/>
      <c r="C4" s="1244"/>
      <c r="D4" s="1244"/>
      <c r="E4" s="1244"/>
      <c r="F4" s="1244"/>
      <c r="G4" s="1244"/>
      <c r="H4" s="1244"/>
      <c r="I4" s="1244"/>
      <c r="J4" s="1244"/>
      <c r="K4" s="1244"/>
      <c r="L4" s="1006"/>
      <c r="M4" s="1006"/>
      <c r="N4" s="1006"/>
      <c r="O4" s="1006"/>
      <c r="P4" s="1243"/>
      <c r="Q4" s="1243"/>
      <c r="R4" s="1003"/>
    </row>
    <row r="5" spans="1:29" ht="18.75" customHeight="1">
      <c r="A5" s="1582" t="s">
        <v>2471</v>
      </c>
      <c r="B5" s="1582"/>
      <c r="C5" s="1582"/>
      <c r="D5" s="1582"/>
      <c r="E5" s="1582"/>
      <c r="F5" s="1582"/>
      <c r="G5" s="1582"/>
      <c r="H5" s="1582"/>
      <c r="I5" s="1582"/>
      <c r="J5" s="1582"/>
      <c r="K5" s="1582"/>
      <c r="L5" s="1582"/>
      <c r="M5" s="1582"/>
      <c r="N5" s="1582"/>
      <c r="O5" s="1582"/>
      <c r="P5" s="1582"/>
      <c r="Q5" s="1582"/>
      <c r="R5" s="1582"/>
      <c r="S5" s="1582"/>
    </row>
    <row r="6" spans="1:29" ht="18.75" customHeight="1">
      <c r="A6" s="1582" t="s">
        <v>1600</v>
      </c>
      <c r="B6" s="1582"/>
      <c r="C6" s="1582"/>
      <c r="D6" s="1582"/>
      <c r="E6" s="1582"/>
      <c r="F6" s="1582"/>
      <c r="G6" s="1582"/>
      <c r="H6" s="1582"/>
      <c r="I6" s="1582"/>
      <c r="J6" s="1582"/>
      <c r="K6" s="1582"/>
      <c r="L6" s="1582"/>
      <c r="M6" s="1582"/>
      <c r="N6" s="1582"/>
      <c r="O6" s="1582"/>
      <c r="P6" s="1582"/>
      <c r="Q6" s="1582"/>
      <c r="R6" s="1582"/>
      <c r="S6" s="1582"/>
    </row>
    <row r="7" spans="1:29" ht="36.75" customHeight="1">
      <c r="A7" s="1583" t="s">
        <v>2415</v>
      </c>
      <c r="B7" s="1583"/>
      <c r="C7" s="1583"/>
      <c r="D7" s="1583"/>
      <c r="E7" s="1583"/>
      <c r="F7" s="1583"/>
      <c r="G7" s="1583"/>
      <c r="H7" s="1583"/>
      <c r="I7" s="1583"/>
      <c r="J7" s="1583"/>
      <c r="K7" s="1583"/>
      <c r="L7" s="1583"/>
      <c r="M7" s="1583"/>
      <c r="N7" s="1583"/>
      <c r="O7" s="1583"/>
      <c r="P7" s="1583"/>
      <c r="Q7" s="1583"/>
      <c r="R7" s="1583"/>
      <c r="S7" s="1583"/>
    </row>
    <row r="8" spans="1:29" s="1003" customFormat="1" ht="16.5" customHeight="1">
      <c r="A8" s="1002"/>
      <c r="C8" s="1004"/>
      <c r="D8" s="1004"/>
      <c r="E8" s="1004"/>
      <c r="F8" s="1006"/>
      <c r="G8" s="1006"/>
      <c r="H8" s="1006"/>
      <c r="I8" s="1006"/>
      <c r="J8" s="1006"/>
      <c r="K8" s="1006"/>
      <c r="L8" s="1584"/>
      <c r="M8" s="1584"/>
      <c r="N8" s="1584"/>
      <c r="O8" s="1584"/>
      <c r="P8" s="1216" t="s">
        <v>1181</v>
      </c>
      <c r="Q8" s="1216"/>
      <c r="R8" s="1006"/>
      <c r="S8" s="1007"/>
      <c r="T8" s="1008"/>
    </row>
    <row r="9" spans="1:29" ht="17.25" customHeight="1">
      <c r="A9" s="1007"/>
      <c r="B9" s="1002"/>
      <c r="C9" s="1002"/>
      <c r="D9" s="1004"/>
      <c r="E9" s="1004"/>
      <c r="F9" s="1007"/>
      <c r="G9" s="1007"/>
      <c r="H9" s="1007"/>
      <c r="I9" s="1007"/>
      <c r="J9" s="1585"/>
      <c r="K9" s="1585"/>
      <c r="L9" s="1007"/>
      <c r="M9" s="1007"/>
      <c r="N9" s="1007"/>
      <c r="O9" s="1259" t="s">
        <v>2371</v>
      </c>
      <c r="P9" s="1319">
        <v>2340000</v>
      </c>
      <c r="Q9" s="1137"/>
      <c r="R9" s="1007"/>
    </row>
    <row r="10" spans="1:29" s="1240" customFormat="1" ht="27.75" customHeight="1">
      <c r="A10" s="1571" t="s">
        <v>853</v>
      </c>
      <c r="B10" s="1571" t="s">
        <v>854</v>
      </c>
      <c r="C10" s="1236" t="s">
        <v>1598</v>
      </c>
      <c r="D10" s="1237" t="s">
        <v>50</v>
      </c>
      <c r="E10" s="1571" t="s">
        <v>2176</v>
      </c>
      <c r="F10" s="1586" t="s">
        <v>2405</v>
      </c>
      <c r="G10" s="1587"/>
      <c r="H10" s="1587"/>
      <c r="I10" s="1588"/>
      <c r="J10" s="1587" t="s">
        <v>860</v>
      </c>
      <c r="K10" s="1588"/>
      <c r="L10" s="1586" t="s">
        <v>2387</v>
      </c>
      <c r="M10" s="1587"/>
      <c r="N10" s="1588"/>
      <c r="O10" s="1571" t="s">
        <v>2269</v>
      </c>
      <c r="P10" s="1571" t="s">
        <v>1100</v>
      </c>
      <c r="Q10" s="1238"/>
      <c r="R10" s="1574" t="s">
        <v>40</v>
      </c>
      <c r="S10" s="1575"/>
      <c r="T10" s="1239"/>
    </row>
    <row r="11" spans="1:29" s="1240" customFormat="1" ht="23.25" customHeight="1">
      <c r="A11" s="1573"/>
      <c r="B11" s="1573"/>
      <c r="C11" s="1236"/>
      <c r="D11" s="1237"/>
      <c r="E11" s="1573"/>
      <c r="F11" s="1242" t="s">
        <v>2356</v>
      </c>
      <c r="G11" s="1424" t="s">
        <v>2357</v>
      </c>
      <c r="H11" s="1424" t="s">
        <v>2262</v>
      </c>
      <c r="I11" s="1242" t="s">
        <v>2358</v>
      </c>
      <c r="J11" s="1242" t="s">
        <v>2270</v>
      </c>
      <c r="K11" s="1242" t="s">
        <v>2271</v>
      </c>
      <c r="L11" s="1425" t="s">
        <v>2388</v>
      </c>
      <c r="M11" s="1425"/>
      <c r="N11" s="1425" t="s">
        <v>2389</v>
      </c>
      <c r="O11" s="1573"/>
      <c r="P11" s="1573"/>
      <c r="Q11" s="1238"/>
      <c r="R11" s="1576"/>
      <c r="S11" s="1577"/>
      <c r="T11" s="1239"/>
    </row>
    <row r="12" spans="1:29" s="1012" customFormat="1" ht="15" customHeight="1">
      <c r="A12" s="1010" t="s">
        <v>1110</v>
      </c>
      <c r="B12" s="1010" t="s">
        <v>1111</v>
      </c>
      <c r="C12" s="1010" t="s">
        <v>1112</v>
      </c>
      <c r="D12" s="1010" t="s">
        <v>1113</v>
      </c>
      <c r="E12" s="1010" t="s">
        <v>1112</v>
      </c>
      <c r="F12" s="1010" t="s">
        <v>1113</v>
      </c>
      <c r="G12" s="1010" t="s">
        <v>1114</v>
      </c>
      <c r="H12" s="1010" t="s">
        <v>1115</v>
      </c>
      <c r="I12" s="1010" t="s">
        <v>1116</v>
      </c>
      <c r="J12" s="1010" t="s">
        <v>1117</v>
      </c>
      <c r="K12" s="1010" t="s">
        <v>1118</v>
      </c>
      <c r="L12" s="1010" t="s">
        <v>1119</v>
      </c>
      <c r="M12" s="1010"/>
      <c r="N12" s="1010" t="s">
        <v>1120</v>
      </c>
      <c r="O12" s="1010" t="s">
        <v>1121</v>
      </c>
      <c r="P12" s="1010" t="s">
        <v>1122</v>
      </c>
      <c r="Q12" s="1217"/>
      <c r="R12" s="1578" t="s">
        <v>1123</v>
      </c>
      <c r="S12" s="1579"/>
      <c r="T12" s="1011"/>
    </row>
    <row r="13" spans="1:29" s="1028" customFormat="1" ht="27.75" customHeight="1">
      <c r="A13" s="1014">
        <f>_xlfn.AGGREGATE(4,7,A$12:A12)+1</f>
        <v>1</v>
      </c>
      <c r="B13" s="1015" t="s">
        <v>1447</v>
      </c>
      <c r="C13" s="1029" t="s">
        <v>1614</v>
      </c>
      <c r="D13" s="1030" t="s">
        <v>1442</v>
      </c>
      <c r="E13" s="81" t="str">
        <f>VLOOKUP(B13,TH.Q2!B19:E350,4,FALSE)</f>
        <v>Phó Hiệu trưởng</v>
      </c>
      <c r="F13" s="1018">
        <v>4.9800000000000004</v>
      </c>
      <c r="G13" s="1019">
        <v>0.08</v>
      </c>
      <c r="H13" s="1248">
        <f t="shared" ref="H13:H71" si="0">ROUND(F13*G13,3)</f>
        <v>0.39800000000000002</v>
      </c>
      <c r="I13" s="1020">
        <v>0.9</v>
      </c>
      <c r="J13" s="1020" t="str">
        <f>VLOOKUP(B13,[25]!Table2[[Column2]:[Column6]],4,FALSE)</f>
        <v>A1</v>
      </c>
      <c r="K13" s="1020">
        <f t="shared" ref="K13:K71" si="1">IF(J13="A1",0.8,IF(J13="A2",0.7,IF(J13="A3",0.6,IF(J13="A4",0.5,IF(J13="B1",0.35,IF(J13="B2",0.25,IF(J13="C1",0.15,IF(J13="C2",0.1,0))))))))</f>
        <v>0.8</v>
      </c>
      <c r="L13" s="1021">
        <v>20</v>
      </c>
      <c r="M13" s="1021">
        <f>VLOOKUP(B13,'[26]CN BC'!$F$10:$H$267,3,FALSE)</f>
        <v>26</v>
      </c>
      <c r="N13" s="1021">
        <f t="shared" ref="N13:N71" si="2">IF(M13&gt;=L13,L13,IF(M13&lt;L13,M13))</f>
        <v>20</v>
      </c>
      <c r="O13" s="1022"/>
      <c r="P13" s="1023">
        <f t="shared" ref="P13:P71" si="3">(((F13+H13+I13)*$P$9/L13*N13)*K13)+O13</f>
        <v>11752416.000000002</v>
      </c>
      <c r="Q13" s="1022">
        <v>29</v>
      </c>
      <c r="R13" s="1024">
        <f t="shared" ref="R13:R34" si="4">A13</f>
        <v>1</v>
      </c>
      <c r="S13" s="1025">
        <f>VLOOKUP(B13,'[26]CN BC'!$F$10:$K$267,6,FALSE)</f>
        <v>0</v>
      </c>
      <c r="T13" s="1011" t="str">
        <f>VLOOKUP(B13,TH.T4!B22:AC352,28,FALSE)</f>
        <v>BGH</v>
      </c>
      <c r="U13" s="1027"/>
      <c r="V13" s="1489"/>
      <c r="W13" s="1012"/>
      <c r="X13" s="1012"/>
      <c r="Y13" s="1012"/>
      <c r="Z13" s="1012"/>
      <c r="AA13" s="1012"/>
      <c r="AB13" s="1012"/>
      <c r="AC13" s="1012"/>
    </row>
    <row r="14" spans="1:29" s="1028" customFormat="1" ht="27" customHeight="1">
      <c r="A14" s="1014">
        <f>_xlfn.AGGREGATE(4,7,A$12:A13)+1</f>
        <v>2</v>
      </c>
      <c r="B14" s="1015" t="s">
        <v>1845</v>
      </c>
      <c r="C14" s="1033" t="s">
        <v>1615</v>
      </c>
      <c r="D14" s="1034" t="s">
        <v>1255</v>
      </c>
      <c r="E14" s="368" t="str">
        <f>VLOOKUP(B14,TH.Q2!B20:E351,4,FALSE)</f>
        <v>Phó Hiệu trưởng</v>
      </c>
      <c r="F14" s="1018">
        <v>5.76</v>
      </c>
      <c r="G14" s="1019"/>
      <c r="H14" s="1255">
        <f t="shared" si="0"/>
        <v>0</v>
      </c>
      <c r="I14" s="1020">
        <v>0.7</v>
      </c>
      <c r="J14" s="1020" t="str">
        <f>VLOOKUP(B14,[25]!Table2[[Column2]:[Column6]],4,FALSE)</f>
        <v>A1</v>
      </c>
      <c r="K14" s="1020">
        <f t="shared" si="1"/>
        <v>0.8</v>
      </c>
      <c r="L14" s="1021">
        <v>20</v>
      </c>
      <c r="M14" s="1021">
        <f>VLOOKUP(B14,'[26]CN BC'!$F$10:$H$267,3,FALSE)</f>
        <v>22</v>
      </c>
      <c r="N14" s="1021">
        <f t="shared" si="2"/>
        <v>20</v>
      </c>
      <c r="O14" s="1035"/>
      <c r="P14" s="1023">
        <f t="shared" si="3"/>
        <v>12093120</v>
      </c>
      <c r="Q14" s="1035">
        <v>29</v>
      </c>
      <c r="R14" s="1024">
        <f t="shared" si="4"/>
        <v>2</v>
      </c>
      <c r="S14" s="1025">
        <f>VLOOKUP(B14,'[26]CN BC'!$F$10:$K$267,6,FALSE)</f>
        <v>0</v>
      </c>
      <c r="T14" s="1067" t="str">
        <f>VLOOKUP(B14,TH.T4!B23:AC353,28,FALSE)</f>
        <v>BGH</v>
      </c>
      <c r="U14" s="1038"/>
      <c r="V14" s="1490"/>
    </row>
    <row r="15" spans="1:29" s="1028" customFormat="1" ht="24.75" customHeight="1">
      <c r="A15" s="1014">
        <f>_xlfn.AGGREGATE(4,7,A$12:A14)+1</f>
        <v>3</v>
      </c>
      <c r="B15" s="1015" t="s">
        <v>1533</v>
      </c>
      <c r="C15" s="1033" t="s">
        <v>1954</v>
      </c>
      <c r="D15" s="1039" t="s">
        <v>1937</v>
      </c>
      <c r="E15" s="81" t="str">
        <f>VLOOKUP(B15,TH.Q2!B21:E352,4,FALSE)</f>
        <v>Phó Hiệu trưởng</v>
      </c>
      <c r="F15" s="1040">
        <v>4.9800000000000004</v>
      </c>
      <c r="G15" s="1019"/>
      <c r="H15" s="1248">
        <f t="shared" si="0"/>
        <v>0</v>
      </c>
      <c r="I15" s="1020">
        <v>0.7</v>
      </c>
      <c r="J15" s="1020" t="str">
        <f>VLOOKUP(B15,[25]!Table2[[Column2]:[Column6]],4,FALSE)</f>
        <v>A1</v>
      </c>
      <c r="K15" s="1020">
        <f t="shared" si="1"/>
        <v>0.8</v>
      </c>
      <c r="L15" s="1021">
        <v>20</v>
      </c>
      <c r="M15" s="1021">
        <f>VLOOKUP(B15,'[26]CN BC'!$F$10:$H$267,3,FALSE)</f>
        <v>26</v>
      </c>
      <c r="N15" s="1021">
        <f t="shared" si="2"/>
        <v>20</v>
      </c>
      <c r="O15" s="1022"/>
      <c r="P15" s="1023">
        <f t="shared" si="3"/>
        <v>10632960.000000002</v>
      </c>
      <c r="Q15" s="1022">
        <v>30</v>
      </c>
      <c r="R15" s="1024">
        <f t="shared" si="4"/>
        <v>3</v>
      </c>
      <c r="S15" s="1025">
        <f>VLOOKUP(B15,'[26]CN BC'!$F$10:$K$267,6,FALSE)</f>
        <v>0</v>
      </c>
      <c r="T15" s="1011" t="str">
        <f>VLOOKUP(B15,TH.T4!B24:AC354,28,FALSE)</f>
        <v>BGH</v>
      </c>
      <c r="U15" s="1027"/>
      <c r="V15" s="1489"/>
      <c r="W15" s="1012"/>
      <c r="X15" s="1012"/>
      <c r="Y15" s="1012"/>
    </row>
    <row r="16" spans="1:29" s="1028" customFormat="1" ht="30" customHeight="1">
      <c r="A16" s="1014">
        <f>_xlfn.AGGREGATE(4,7,A$12:A15)+1</f>
        <v>4</v>
      </c>
      <c r="B16" s="1015" t="s">
        <v>1463</v>
      </c>
      <c r="C16" s="1033" t="s">
        <v>1617</v>
      </c>
      <c r="D16" s="1034" t="s">
        <v>1573</v>
      </c>
      <c r="E16" s="81" t="s">
        <v>2423</v>
      </c>
      <c r="F16" s="1040">
        <v>4.74</v>
      </c>
      <c r="G16" s="1019"/>
      <c r="H16" s="1248">
        <f>ROUND(F16*G16,3)</f>
        <v>0</v>
      </c>
      <c r="I16" s="1020">
        <v>0.45</v>
      </c>
      <c r="J16" s="1020" t="str">
        <f>VLOOKUP(B16,[25]!Table2[[Column2]:[Column6]],4,FALSE)</f>
        <v>A1</v>
      </c>
      <c r="K16" s="1020">
        <f>IF(J16="A1",0.8,IF(J16="A2",0.7,IF(J16="A3",0.6,IF(J16="A4",0.5,IF(J16="B1",0.35,IF(J16="B2",0.25,IF(J16="C1",0.15,IF(J16="C2",0.1,0))))))))</f>
        <v>0.8</v>
      </c>
      <c r="L16" s="1021">
        <v>20</v>
      </c>
      <c r="M16" s="1021">
        <f>VLOOKUP(B16,'[26]CN BC'!$F$10:$H$267,3,FALSE)</f>
        <v>24</v>
      </c>
      <c r="N16" s="1021">
        <f>IF(M16&gt;=L16,L16,IF(M16&lt;L16,M16))</f>
        <v>20</v>
      </c>
      <c r="O16" s="1022"/>
      <c r="P16" s="1023">
        <f>(((F16+H16+I16)*$P$9/L16*N16)*K16)+O16</f>
        <v>9715680</v>
      </c>
      <c r="Q16" s="1022">
        <v>29</v>
      </c>
      <c r="R16" s="1024">
        <f>A16</f>
        <v>4</v>
      </c>
      <c r="S16" s="1025">
        <f>VLOOKUP(B16,'[26]CN BC'!$F$10:$K$267,6,FALSE)</f>
        <v>0</v>
      </c>
      <c r="T16" s="1011" t="str">
        <f>VLOOKUP(B16,TH.T4!B67:AC397,28,FALSE)</f>
        <v>TSĐT</v>
      </c>
      <c r="U16" s="1027"/>
      <c r="V16" s="1489"/>
      <c r="W16" s="1012"/>
      <c r="X16" s="1012"/>
      <c r="Y16" s="1012"/>
    </row>
    <row r="17" spans="1:29" s="1028" customFormat="1" ht="34.5" customHeight="1">
      <c r="A17" s="1014">
        <f>_xlfn.AGGREGATE(4,7,A$12:A16)+1</f>
        <v>5</v>
      </c>
      <c r="B17" s="1015" t="s">
        <v>1464</v>
      </c>
      <c r="C17" s="1033" t="s">
        <v>1660</v>
      </c>
      <c r="D17" s="1047">
        <v>1603205185719</v>
      </c>
      <c r="E17" s="81" t="s">
        <v>2424</v>
      </c>
      <c r="F17" s="1040">
        <v>3</v>
      </c>
      <c r="G17" s="1019"/>
      <c r="H17" s="1248">
        <f t="shared" si="0"/>
        <v>0</v>
      </c>
      <c r="I17" s="1020">
        <v>0.35</v>
      </c>
      <c r="J17" s="1020" t="str">
        <f>VLOOKUP(B17,[25]!Table2[[Column2]:[Column6]],4,FALSE)</f>
        <v>A1</v>
      </c>
      <c r="K17" s="1020">
        <f t="shared" si="1"/>
        <v>0.8</v>
      </c>
      <c r="L17" s="1021">
        <v>20</v>
      </c>
      <c r="M17" s="1021">
        <f>VLOOKUP(B17,'[26]CN BC'!$F$10:$H$267,3,FALSE)</f>
        <v>26</v>
      </c>
      <c r="N17" s="1021">
        <f t="shared" si="2"/>
        <v>20</v>
      </c>
      <c r="O17" s="1022"/>
      <c r="P17" s="1023">
        <f t="shared" si="3"/>
        <v>6271200</v>
      </c>
      <c r="Q17" s="1035">
        <v>27.5</v>
      </c>
      <c r="R17" s="1024">
        <f t="shared" si="4"/>
        <v>5</v>
      </c>
      <c r="S17" s="1025">
        <f>VLOOKUP(B17,'[26]CN BC'!$F$10:$K$267,6,FALSE)</f>
        <v>0</v>
      </c>
      <c r="T17" s="1011" t="str">
        <f>VLOOKUP(B17,TH.T4!B27:AC357,28,FALSE)</f>
        <v>TCHC</v>
      </c>
      <c r="U17" s="1027"/>
      <c r="V17" s="1489"/>
      <c r="W17" s="1012"/>
      <c r="X17" s="1012"/>
      <c r="Y17" s="1012"/>
    </row>
    <row r="18" spans="1:29" s="1028" customFormat="1" ht="42" customHeight="1">
      <c r="A18" s="1014">
        <f>_xlfn.AGGREGATE(4,7,A$12:A17)+1</f>
        <v>6</v>
      </c>
      <c r="B18" s="1043" t="s">
        <v>1596</v>
      </c>
      <c r="C18" s="1044" t="s">
        <v>1623</v>
      </c>
      <c r="D18" s="1045">
        <v>1603205353720</v>
      </c>
      <c r="E18" s="81" t="s">
        <v>2466</v>
      </c>
      <c r="F18" s="1040">
        <v>3.66</v>
      </c>
      <c r="G18" s="1019"/>
      <c r="H18" s="1248">
        <f>ROUND(F18*G18,3)</f>
        <v>0</v>
      </c>
      <c r="I18" s="1517">
        <v>0.25</v>
      </c>
      <c r="J18" s="1020" t="str">
        <f>VLOOKUP(B18,[25]!Table2[[Column2]:[Column6]],4,FALSE)</f>
        <v>A1</v>
      </c>
      <c r="K18" s="1020">
        <f>IF(J18="A1",0.8,IF(J18="A2",0.7,IF(J18="A3",0.6,IF(J18="A4",0.5,IF(J18="B1",0.35,IF(J18="B2",0.25,IF(J18="C1",0.15,IF(J18="C2",0.1,0))))))))</f>
        <v>0.8</v>
      </c>
      <c r="L18" s="1021">
        <v>20</v>
      </c>
      <c r="M18" s="1021">
        <f>VLOOKUP(B18,'[26]CN BC'!$F$10:$H$267,3,FALSE)</f>
        <v>23</v>
      </c>
      <c r="N18" s="1021">
        <f>IF(M18&gt;=L18,L18,IF(M18&lt;L18,M18))</f>
        <v>20</v>
      </c>
      <c r="O18" s="1022"/>
      <c r="P18" s="1023">
        <f>(((F18+H18+I18)*$P$9/L18*N18)*K18)+O18</f>
        <v>7319520</v>
      </c>
      <c r="Q18" s="1022">
        <v>23.5</v>
      </c>
      <c r="R18" s="1024">
        <f>A18</f>
        <v>6</v>
      </c>
      <c r="S18" s="1025">
        <f>VLOOKUP(B18,'[26]CN BC'!$F$10:$K$267,6,FALSE)</f>
        <v>0</v>
      </c>
      <c r="T18" s="1011" t="str">
        <f>VLOOKUP(B18,TH.T4!B26:AC356,28,FALSE)</f>
        <v>TCHC</v>
      </c>
      <c r="U18" s="1027"/>
      <c r="V18" s="1489"/>
      <c r="W18" s="1012"/>
      <c r="X18" s="1012"/>
      <c r="Y18" s="1012"/>
    </row>
    <row r="19" spans="1:29" s="1028" customFormat="1" ht="34.5" customHeight="1">
      <c r="A19" s="1014">
        <f>_xlfn.AGGREGATE(4,7,A$12:A18)+1</f>
        <v>7</v>
      </c>
      <c r="B19" s="1043" t="s">
        <v>1603</v>
      </c>
      <c r="C19" s="1044" t="s">
        <v>1624</v>
      </c>
      <c r="D19" s="1045">
        <v>1603205545491</v>
      </c>
      <c r="E19" s="81" t="s">
        <v>2425</v>
      </c>
      <c r="F19" s="1040">
        <v>2.67</v>
      </c>
      <c r="G19" s="1019"/>
      <c r="H19" s="1248">
        <f>ROUND(F19*G19,3)</f>
        <v>0</v>
      </c>
      <c r="I19" s="1020"/>
      <c r="J19" s="1020" t="str">
        <f>VLOOKUP(B19,[25]!Table2[[Column2]:[Column6]],4,FALSE)</f>
        <v>A1</v>
      </c>
      <c r="K19" s="1020">
        <f>IF(J19="A1",0.8,IF(J19="A2",0.7,IF(J19="A3",0.6,IF(J19="A4",0.5,IF(J19="B1",0.35,IF(J19="B2",0.25,IF(J19="C1",0.15,IF(J19="C2",0.1,0))))))))</f>
        <v>0.8</v>
      </c>
      <c r="L19" s="1021">
        <v>20</v>
      </c>
      <c r="M19" s="1021">
        <f>VLOOKUP(B19,'[26]CN BC'!$F$10:$H$267,3,FALSE)</f>
        <v>23</v>
      </c>
      <c r="N19" s="1021">
        <f>IF(M19&gt;=L19,L19,IF(M19&lt;L19,M19))</f>
        <v>20</v>
      </c>
      <c r="O19" s="1022"/>
      <c r="P19" s="1023">
        <f>(((F19+H19+I19)*$P$9/L19*N19)*K19)+O19</f>
        <v>4998240</v>
      </c>
      <c r="Q19" s="1022">
        <v>26</v>
      </c>
      <c r="R19" s="1024">
        <f>A19</f>
        <v>7</v>
      </c>
      <c r="S19" s="1025">
        <f>VLOOKUP(B19,'[26]CN BC'!$F$10:$K$267,6,FALSE)</f>
        <v>0</v>
      </c>
      <c r="T19" s="1011" t="str">
        <f>VLOOKUP(B19,TH.T4!B35:AC365,28,FALSE)</f>
        <v>TCHC</v>
      </c>
      <c r="U19" s="1027"/>
      <c r="V19" s="1489"/>
      <c r="W19" s="1012"/>
      <c r="X19" s="1012"/>
      <c r="Y19" s="1012"/>
    </row>
    <row r="20" spans="1:29" s="1028" customFormat="1" ht="34.5" customHeight="1">
      <c r="A20" s="1014">
        <f>_xlfn.AGGREGATE(4,7,A$12:A19)+1</f>
        <v>8</v>
      </c>
      <c r="B20" s="1015" t="s">
        <v>1847</v>
      </c>
      <c r="C20" s="1029" t="s">
        <v>1643</v>
      </c>
      <c r="D20" s="1034" t="s">
        <v>8</v>
      </c>
      <c r="E20" s="81" t="s">
        <v>2425</v>
      </c>
      <c r="F20" s="1018">
        <v>3.99</v>
      </c>
      <c r="G20" s="1019"/>
      <c r="H20" s="1248">
        <f>ROUND(F20*G20,3)</f>
        <v>0</v>
      </c>
      <c r="I20" s="1020"/>
      <c r="J20" s="1020" t="str">
        <f>VLOOKUP(B20,[25]!Table2[[Column2]:[Column6]],4,FALSE)</f>
        <v>A2</v>
      </c>
      <c r="K20" s="1020">
        <f>IF(J20="A1",0.8,IF(J20="A2",0.7,IF(J20="A3",0.6,IF(J20="A4",0.5,IF(J20="B1",0.35,IF(J20="B2",0.25,IF(J20="C1",0.15,IF(J20="C2",0.1,0))))))))</f>
        <v>0.7</v>
      </c>
      <c r="L20" s="1021">
        <v>20</v>
      </c>
      <c r="M20" s="1021">
        <f>VLOOKUP(B20,'[26]CN BC'!$F$10:$H$267,3,FALSE)</f>
        <v>22</v>
      </c>
      <c r="N20" s="1021">
        <f>IF(M20&gt;=L20,L20,IF(M20&lt;L20,M20))</f>
        <v>20</v>
      </c>
      <c r="O20" s="1022"/>
      <c r="P20" s="1023">
        <f>(((F20+H20+I20)*$P$9/L20*N20)*K20)+O20</f>
        <v>6535620</v>
      </c>
      <c r="Q20" s="1022">
        <v>25.5</v>
      </c>
      <c r="R20" s="1024">
        <f>A20</f>
        <v>8</v>
      </c>
      <c r="S20" s="1025">
        <f>VLOOKUP(B20,'[26]CN BC'!$F$10:$K$267,6,FALSE)</f>
        <v>0</v>
      </c>
      <c r="T20" s="1011" t="str">
        <f>VLOOKUP(B20,TH.T4!B33:AC363,28,FALSE)</f>
        <v>TCHC</v>
      </c>
      <c r="U20" s="1027"/>
      <c r="V20" s="1489"/>
      <c r="W20" s="1012"/>
      <c r="X20" s="1012"/>
      <c r="Y20" s="1012"/>
      <c r="Z20" s="1012"/>
      <c r="AA20" s="1012"/>
      <c r="AB20" s="1012"/>
      <c r="AC20" s="1012"/>
    </row>
    <row r="21" spans="1:29" s="1028" customFormat="1" ht="34.5" customHeight="1">
      <c r="A21" s="1014">
        <f>_xlfn.AGGREGATE(4,7,A$12:A20)+1</f>
        <v>9</v>
      </c>
      <c r="B21" s="1015" t="s">
        <v>1448</v>
      </c>
      <c r="C21" s="1033" t="s">
        <v>1620</v>
      </c>
      <c r="D21" s="1045" t="s">
        <v>1574</v>
      </c>
      <c r="E21" s="81" t="s">
        <v>2425</v>
      </c>
      <c r="F21" s="1018">
        <v>3.66</v>
      </c>
      <c r="G21" s="1019"/>
      <c r="H21" s="1248">
        <f t="shared" si="0"/>
        <v>0</v>
      </c>
      <c r="I21" s="1020"/>
      <c r="J21" s="1020" t="str">
        <f>VLOOKUP(B21,[25]!Table2[[Column2]:[Column6]],4,FALSE)</f>
        <v>A1</v>
      </c>
      <c r="K21" s="1020">
        <f t="shared" si="1"/>
        <v>0.8</v>
      </c>
      <c r="L21" s="1021">
        <v>20</v>
      </c>
      <c r="M21" s="1021">
        <f>VLOOKUP(B21,'[26]CN BC'!$F$10:$H$267,3,FALSE)</f>
        <v>22.5</v>
      </c>
      <c r="N21" s="1021">
        <f t="shared" ref="N21" si="5">IF(M21&gt;=L21,L21,IF(M21&lt;L21,M21))</f>
        <v>20</v>
      </c>
      <c r="O21" s="1022"/>
      <c r="P21" s="1023">
        <f t="shared" si="3"/>
        <v>6851520</v>
      </c>
      <c r="Q21" s="1022">
        <v>24.5</v>
      </c>
      <c r="R21" s="1024">
        <f t="shared" si="4"/>
        <v>9</v>
      </c>
      <c r="S21" s="1025">
        <f>VLOOKUP(B21,'[26]CN BC'!$F$10:$K$267,6,FALSE)</f>
        <v>0</v>
      </c>
      <c r="T21" s="1011" t="str">
        <f>VLOOKUP(B21,TH.T4!B30:AC360,28,FALSE)</f>
        <v>TCHC</v>
      </c>
      <c r="U21" s="1027"/>
      <c r="V21" s="1489"/>
      <c r="W21" s="1012"/>
      <c r="X21" s="1012"/>
      <c r="Y21" s="1012"/>
    </row>
    <row r="22" spans="1:29" s="1028" customFormat="1" ht="34.5" customHeight="1">
      <c r="A22" s="1014">
        <f>_xlfn.AGGREGATE(4,7,A$12:A21)+1</f>
        <v>10</v>
      </c>
      <c r="B22" s="1015" t="s">
        <v>1449</v>
      </c>
      <c r="C22" s="1029" t="s">
        <v>1621</v>
      </c>
      <c r="D22" s="1048">
        <v>1603205280047</v>
      </c>
      <c r="E22" s="81" t="s">
        <v>2425</v>
      </c>
      <c r="F22" s="1040">
        <v>3.66</v>
      </c>
      <c r="G22" s="1049"/>
      <c r="H22" s="1248">
        <f t="shared" si="0"/>
        <v>0</v>
      </c>
      <c r="I22" s="1020"/>
      <c r="J22" s="1020" t="str">
        <f>VLOOKUP(B22,[25]!Table2[[Column2]:[Column6]],4,FALSE)</f>
        <v>A4</v>
      </c>
      <c r="K22" s="1020">
        <f t="shared" si="1"/>
        <v>0.5</v>
      </c>
      <c r="L22" s="1021">
        <v>20</v>
      </c>
      <c r="M22" s="1021">
        <f>VLOOKUP(B22,'[26]CN BC'!$F$10:$H$267,3,FALSE)</f>
        <v>17.5</v>
      </c>
      <c r="N22" s="1021">
        <f t="shared" si="2"/>
        <v>17.5</v>
      </c>
      <c r="O22" s="1022"/>
      <c r="P22" s="1023">
        <f t="shared" si="3"/>
        <v>3746925</v>
      </c>
      <c r="Q22" s="1022">
        <v>24</v>
      </c>
      <c r="R22" s="1024">
        <f t="shared" si="4"/>
        <v>10</v>
      </c>
      <c r="S22" s="1025" t="str">
        <f>VLOOKUP(B22,'[26]CN BC'!$F$10:$K$267,6,FALSE)</f>
        <v>Trừ 3 ngày nghỉ phép 3+4+5/9</v>
      </c>
      <c r="T22" s="1011" t="str">
        <f>VLOOKUP(B22,TH.T4!B31:AC361,28,FALSE)</f>
        <v>TCHC</v>
      </c>
      <c r="U22" s="1027"/>
      <c r="V22" s="1489"/>
      <c r="W22" s="1012"/>
      <c r="X22" s="1012"/>
      <c r="Y22" s="1012"/>
      <c r="Z22" s="1012"/>
      <c r="AA22" s="1012"/>
      <c r="AB22" s="1012"/>
      <c r="AC22" s="1012"/>
    </row>
    <row r="23" spans="1:29" s="1028" customFormat="1" ht="34.5" customHeight="1">
      <c r="A23" s="1014">
        <f>_xlfn.AGGREGATE(4,7,A$12:A22)+1</f>
        <v>11</v>
      </c>
      <c r="B23" s="1015" t="s">
        <v>1828</v>
      </c>
      <c r="C23" s="1033" t="s">
        <v>1622</v>
      </c>
      <c r="D23" s="1047" t="s">
        <v>385</v>
      </c>
      <c r="E23" s="81" t="s">
        <v>2425</v>
      </c>
      <c r="F23" s="1018">
        <v>3.66</v>
      </c>
      <c r="G23" s="1019"/>
      <c r="H23" s="1248">
        <f t="shared" si="0"/>
        <v>0</v>
      </c>
      <c r="I23" s="1020"/>
      <c r="J23" s="1020" t="str">
        <f>VLOOKUP(B23,[25]!Table2[[Column2]:[Column6]],4,FALSE)</f>
        <v>A1</v>
      </c>
      <c r="K23" s="1020">
        <f t="shared" si="1"/>
        <v>0.8</v>
      </c>
      <c r="L23" s="1021">
        <v>20</v>
      </c>
      <c r="M23" s="1021">
        <f>VLOOKUP(B23,'[26]CN BC'!$F$10:$H$267,3,FALSE)</f>
        <v>21</v>
      </c>
      <c r="N23" s="1021">
        <f t="shared" si="2"/>
        <v>20</v>
      </c>
      <c r="O23" s="1022"/>
      <c r="P23" s="1023">
        <f t="shared" si="3"/>
        <v>6851520</v>
      </c>
      <c r="Q23" s="1022">
        <v>23</v>
      </c>
      <c r="R23" s="1024">
        <f t="shared" si="4"/>
        <v>11</v>
      </c>
      <c r="S23" s="1025">
        <f>VLOOKUP(B23,'[26]CN BC'!$F$10:$K$267,6,FALSE)</f>
        <v>0</v>
      </c>
      <c r="T23" s="1011" t="str">
        <f>VLOOKUP(B23,TH.T4!B32:AC362,28,FALSE)</f>
        <v>TCHC</v>
      </c>
      <c r="U23" s="1027"/>
      <c r="V23" s="1489"/>
      <c r="W23" s="1012"/>
      <c r="X23" s="1012"/>
      <c r="Y23" s="1012"/>
    </row>
    <row r="24" spans="1:29" s="1028" customFormat="1" ht="34.5" customHeight="1">
      <c r="A24" s="1014">
        <f>_xlfn.AGGREGATE(4,7,A$12:A23)+1</f>
        <v>12</v>
      </c>
      <c r="B24" s="1015" t="s">
        <v>1450</v>
      </c>
      <c r="C24" s="1033" t="s">
        <v>1625</v>
      </c>
      <c r="D24" s="1030" t="s">
        <v>1441</v>
      </c>
      <c r="E24" s="368" t="s">
        <v>2426</v>
      </c>
      <c r="F24" s="1018">
        <v>4.9800000000000004</v>
      </c>
      <c r="G24" s="1019">
        <v>7.0000000000000007E-2</v>
      </c>
      <c r="H24" s="1255">
        <f t="shared" si="0"/>
        <v>0.34899999999999998</v>
      </c>
      <c r="I24" s="1020">
        <v>0.45</v>
      </c>
      <c r="J24" s="1020" t="str">
        <f>VLOOKUP(B24,[25]!Table2[[Column2]:[Column6]],4,FALSE)</f>
        <v>A1</v>
      </c>
      <c r="K24" s="1020">
        <f t="shared" si="1"/>
        <v>0.8</v>
      </c>
      <c r="L24" s="1021">
        <v>20</v>
      </c>
      <c r="M24" s="1021">
        <f>VLOOKUP(B24,'[26]CN BC'!$F$10:$H$267,3,FALSE)</f>
        <v>24</v>
      </c>
      <c r="N24" s="1021">
        <f t="shared" si="2"/>
        <v>20</v>
      </c>
      <c r="O24" s="1035"/>
      <c r="P24" s="1023">
        <f t="shared" si="3"/>
        <v>10818288.000000002</v>
      </c>
      <c r="Q24" s="1035">
        <v>27</v>
      </c>
      <c r="R24" s="1024">
        <f t="shared" si="4"/>
        <v>12</v>
      </c>
      <c r="S24" s="1025">
        <f>VLOOKUP(B24,'[26]CN BC'!$F$10:$K$267,6,FALSE)</f>
        <v>0</v>
      </c>
      <c r="T24" s="1067" t="str">
        <f>VLOOKUP(B24,TH.T4!B36:AC366,28,FALSE)</f>
        <v>QTDV</v>
      </c>
      <c r="U24" s="1038"/>
      <c r="V24" s="1489"/>
    </row>
    <row r="25" spans="1:29" s="1028" customFormat="1" ht="36" customHeight="1">
      <c r="A25" s="1014">
        <f>_xlfn.AGGREGATE(4,7,A$12:A24)+1</f>
        <v>13</v>
      </c>
      <c r="B25" s="1015" t="s">
        <v>1996</v>
      </c>
      <c r="C25" s="1029" t="s">
        <v>1626</v>
      </c>
      <c r="D25" s="1034" t="s">
        <v>1393</v>
      </c>
      <c r="E25" s="368" t="s">
        <v>2427</v>
      </c>
      <c r="F25" s="1018">
        <v>4.9800000000000004</v>
      </c>
      <c r="G25" s="1019">
        <v>0.08</v>
      </c>
      <c r="H25" s="1248">
        <f t="shared" si="0"/>
        <v>0.39800000000000002</v>
      </c>
      <c r="I25" s="1020">
        <v>0.35</v>
      </c>
      <c r="J25" s="1020" t="str">
        <f>VLOOKUP(B25,[25]!Table2[[Column2]:[Column6]],4,FALSE)</f>
        <v>A1</v>
      </c>
      <c r="K25" s="1020">
        <f t="shared" si="1"/>
        <v>0.8</v>
      </c>
      <c r="L25" s="1021">
        <v>20</v>
      </c>
      <c r="M25" s="1021">
        <f>VLOOKUP(B25,'[26]CN BC'!$F$10:$H$267,3,FALSE)</f>
        <v>24</v>
      </c>
      <c r="N25" s="1021">
        <f t="shared" si="2"/>
        <v>20</v>
      </c>
      <c r="O25" s="1022"/>
      <c r="P25" s="1023">
        <f t="shared" si="3"/>
        <v>10722816</v>
      </c>
      <c r="Q25" s="1022">
        <v>26</v>
      </c>
      <c r="R25" s="1024">
        <f t="shared" si="4"/>
        <v>13</v>
      </c>
      <c r="S25" s="1025">
        <f>VLOOKUP(B25,'[26]CN BC'!$F$10:$K$267,6,FALSE)</f>
        <v>0</v>
      </c>
      <c r="T25" s="1011" t="str">
        <f>VLOOKUP(B25,TH.T4!B37:AC367,28,FALSE)</f>
        <v>QTDV</v>
      </c>
      <c r="U25" s="1027"/>
      <c r="V25" s="1489"/>
      <c r="W25" s="1012"/>
      <c r="X25" s="1012"/>
      <c r="Y25" s="1012"/>
      <c r="Z25" s="1012"/>
      <c r="AA25" s="1012"/>
      <c r="AB25" s="1012"/>
      <c r="AC25" s="1012"/>
    </row>
    <row r="26" spans="1:29" s="1028" customFormat="1" ht="36" customHeight="1">
      <c r="A26" s="1014">
        <f>_xlfn.AGGREGATE(4,7,A$12:A25)+1</f>
        <v>14</v>
      </c>
      <c r="B26" s="1015" t="s">
        <v>2012</v>
      </c>
      <c r="C26" s="1033"/>
      <c r="D26" s="1047"/>
      <c r="E26" s="368" t="s">
        <v>2427</v>
      </c>
      <c r="F26" s="1018">
        <v>4.58</v>
      </c>
      <c r="G26" s="1019"/>
      <c r="H26" s="1255">
        <f>ROUND(F26*G26,3)</f>
        <v>0</v>
      </c>
      <c r="I26" s="1020">
        <v>0.35</v>
      </c>
      <c r="J26" s="1020" t="str">
        <f>VLOOKUP(B26,[25]!Table2[[Column2]:[Column6]],4,FALSE)</f>
        <v>A1</v>
      </c>
      <c r="K26" s="1020">
        <f>IF(J26="A1",0.8,IF(J26="A2",0.7,IF(J26="A3",0.6,IF(J26="A4",0.5,IF(J26="B1",0.35,IF(J26="B2",0.25,IF(J26="C1",0.15,IF(J26="C2",0.1,0))))))))</f>
        <v>0.8</v>
      </c>
      <c r="L26" s="1021">
        <v>20</v>
      </c>
      <c r="M26" s="1021">
        <f>VLOOKUP(B26,'[26]CN BC'!$F$10:$H$267,3,FALSE)</f>
        <v>23</v>
      </c>
      <c r="N26" s="1021">
        <f>IF(M26&gt;=L26,L26,IF(M26&lt;L26,M26))</f>
        <v>20</v>
      </c>
      <c r="O26" s="1035"/>
      <c r="P26" s="1023">
        <f>(((F26+H26+I26)*$P$9/L26*N26)*K26)+O26</f>
        <v>9228960</v>
      </c>
      <c r="Q26" s="1035"/>
      <c r="R26" s="1024">
        <f>A26</f>
        <v>14</v>
      </c>
      <c r="S26" s="1025" t="str">
        <f>VLOOKUP(B26,'[26]CN BC'!$F$10:$K$267,6,FALSE)</f>
        <v>Trừ 1 ngày nghỉ phép 19/9</v>
      </c>
      <c r="T26" s="1067" t="str">
        <f>VLOOKUP(B26,TH.T4!B49:AC379,28,FALSE)</f>
        <v>QTDV</v>
      </c>
      <c r="U26" s="1038"/>
      <c r="V26" s="1489"/>
    </row>
    <row r="27" spans="1:29" s="1012" customFormat="1" ht="45.75" customHeight="1">
      <c r="A27" s="1014">
        <f>_xlfn.AGGREGATE(4,7,A$12:A26)+1</f>
        <v>15</v>
      </c>
      <c r="B27" s="1050" t="s">
        <v>1849</v>
      </c>
      <c r="C27" s="1029" t="s">
        <v>1627</v>
      </c>
      <c r="D27" s="1051" t="s">
        <v>1267</v>
      </c>
      <c r="E27" s="81" t="s">
        <v>2432</v>
      </c>
      <c r="F27" s="1052">
        <v>3.99</v>
      </c>
      <c r="G27" s="1053"/>
      <c r="H27" s="1248">
        <f t="shared" si="0"/>
        <v>0</v>
      </c>
      <c r="I27" s="1054">
        <v>0.25</v>
      </c>
      <c r="J27" s="1020" t="str">
        <f>VLOOKUP(B27,[25]!Table2[[Column2]:[Column6]],4,FALSE)</f>
        <v>A1</v>
      </c>
      <c r="K27" s="1020">
        <f t="shared" si="1"/>
        <v>0.8</v>
      </c>
      <c r="L27" s="1021">
        <v>20</v>
      </c>
      <c r="M27" s="1021">
        <f>VLOOKUP(B27,'[26]CN BC'!$F$10:$H$267,3,FALSE)</f>
        <v>22</v>
      </c>
      <c r="N27" s="1021">
        <f t="shared" si="2"/>
        <v>20</v>
      </c>
      <c r="O27" s="1022"/>
      <c r="P27" s="1023">
        <f t="shared" si="3"/>
        <v>7937280</v>
      </c>
      <c r="Q27" s="1022">
        <v>27</v>
      </c>
      <c r="R27" s="1024">
        <f t="shared" si="4"/>
        <v>15</v>
      </c>
      <c r="S27" s="1025">
        <f>VLOOKUP(B27,'[26]CN BC'!$F$10:$K$267,6,FALSE)</f>
        <v>0</v>
      </c>
      <c r="T27" s="1011" t="str">
        <f>VLOOKUP(B27,TH.T4!B38:AC368,28,FALSE)</f>
        <v>QTDV</v>
      </c>
      <c r="U27" s="1027"/>
      <c r="V27" s="1489"/>
    </row>
    <row r="28" spans="1:29" s="1028" customFormat="1" ht="36" customHeight="1">
      <c r="A28" s="1014">
        <f>_xlfn.AGGREGATE(4,7,A$12:A27)+1</f>
        <v>16</v>
      </c>
      <c r="B28" s="1015" t="s">
        <v>1856</v>
      </c>
      <c r="C28" s="1033" t="s">
        <v>1652</v>
      </c>
      <c r="D28" s="1034" t="s">
        <v>1293</v>
      </c>
      <c r="E28" s="368" t="s">
        <v>2431</v>
      </c>
      <c r="F28" s="1018">
        <v>4.9800000000000004</v>
      </c>
      <c r="G28" s="1019">
        <v>7.0000000000000007E-2</v>
      </c>
      <c r="H28" s="1255">
        <f>ROUND(F28*G28,3)</f>
        <v>0.34899999999999998</v>
      </c>
      <c r="I28" s="1020">
        <v>0.25</v>
      </c>
      <c r="J28" s="1020" t="str">
        <f>VLOOKUP(B28,[25]!Table2[[Column2]:[Column6]],4,FALSE)</f>
        <v>A3</v>
      </c>
      <c r="K28" s="1020">
        <f>IF(J28="A1",0.8,IF(J28="A2",0.7,IF(J28="A3",0.6,IF(J28="A4",0.5,IF(J28="B1",0.35,IF(J28="B2",0.25,IF(J28="C1",0.15,IF(J28="C2",0.1,0))))))))</f>
        <v>0.6</v>
      </c>
      <c r="L28" s="1021">
        <v>20</v>
      </c>
      <c r="M28" s="1021">
        <f>VLOOKUP(B28,'[26]CN BC'!$F$10:$H$267,3,FALSE)</f>
        <v>24</v>
      </c>
      <c r="N28" s="1021">
        <f>IF(M28&gt;=L28,L28,IF(M28&lt;L28,M28))</f>
        <v>20</v>
      </c>
      <c r="O28" s="1035"/>
      <c r="P28" s="1023">
        <f>(((F28+H28+I28)*$P$9/L28*N28)*K28)+O28</f>
        <v>7832916.0000000009</v>
      </c>
      <c r="Q28" s="1035">
        <v>27</v>
      </c>
      <c r="R28" s="1024">
        <f>A28</f>
        <v>16</v>
      </c>
      <c r="S28" s="1025">
        <f>VLOOKUP(B28,'[26]CN BC'!$F$10:$K$267,6,FALSE)</f>
        <v>0</v>
      </c>
      <c r="T28" s="1067" t="str">
        <f>VLOOKUP(B28,TH.T4!B47:AC377,28,FALSE)</f>
        <v>QTDV</v>
      </c>
      <c r="U28" s="1038"/>
      <c r="V28" s="1489"/>
    </row>
    <row r="29" spans="1:29" s="1028" customFormat="1" ht="36" customHeight="1">
      <c r="A29" s="1014">
        <f>_xlfn.AGGREGATE(4,7,A$12:A28)+1</f>
        <v>17</v>
      </c>
      <c r="B29" s="1015" t="s">
        <v>1850</v>
      </c>
      <c r="C29" s="1033" t="s">
        <v>1628</v>
      </c>
      <c r="D29" s="1034" t="s">
        <v>1268</v>
      </c>
      <c r="E29" s="81" t="s">
        <v>2428</v>
      </c>
      <c r="F29" s="1018">
        <v>3.46</v>
      </c>
      <c r="G29" s="1019"/>
      <c r="H29" s="1248">
        <f t="shared" si="0"/>
        <v>0</v>
      </c>
      <c r="I29" s="1020"/>
      <c r="J29" s="1020" t="str">
        <f>VLOOKUP(B29,[25]!Table2[[Column2]:[Column6]],4,FALSE)</f>
        <v>A1</v>
      </c>
      <c r="K29" s="1020">
        <f t="shared" si="1"/>
        <v>0.8</v>
      </c>
      <c r="L29" s="1021">
        <v>20</v>
      </c>
      <c r="M29" s="1021">
        <f>VLOOKUP(B29,'[26]CN BC'!$F$10:$H$267,3,FALSE)</f>
        <v>19</v>
      </c>
      <c r="N29" s="1021">
        <f t="shared" si="2"/>
        <v>19</v>
      </c>
      <c r="O29" s="1022"/>
      <c r="P29" s="1023">
        <f t="shared" si="3"/>
        <v>6153264</v>
      </c>
      <c r="Q29" s="1022">
        <v>23</v>
      </c>
      <c r="R29" s="1024">
        <f t="shared" si="4"/>
        <v>17</v>
      </c>
      <c r="S29" s="1025" t="str">
        <f>VLOOKUP(B29,'[26]CN BC'!$F$10:$K$267,6,FALSE)</f>
        <v>Trừ 1 ngày nghỉ phép 19/9</v>
      </c>
      <c r="T29" s="1011" t="str">
        <f>VLOOKUP(B29,TH.T4!B39:AC369,28,FALSE)</f>
        <v>QTDV</v>
      </c>
      <c r="U29" s="1027"/>
      <c r="V29" s="1489"/>
      <c r="W29" s="1012"/>
      <c r="X29" s="1012"/>
      <c r="Y29" s="1012"/>
    </row>
    <row r="30" spans="1:29" s="1012" customFormat="1" ht="36" customHeight="1">
      <c r="A30" s="1014">
        <f>_xlfn.AGGREGATE(4,7,A$12:A29)+1</f>
        <v>18</v>
      </c>
      <c r="B30" s="1050" t="s">
        <v>1451</v>
      </c>
      <c r="C30" s="1029" t="s">
        <v>1629</v>
      </c>
      <c r="D30" s="1055" t="s">
        <v>367</v>
      </c>
      <c r="E30" s="81" t="s">
        <v>2428</v>
      </c>
      <c r="F30" s="1052">
        <v>3.66</v>
      </c>
      <c r="G30" s="1053"/>
      <c r="H30" s="1248">
        <f t="shared" si="0"/>
        <v>0</v>
      </c>
      <c r="I30" s="1054"/>
      <c r="J30" s="1020" t="str">
        <f>VLOOKUP(B30,[25]!Table2[[Column2]:[Column6]],4,FALSE)</f>
        <v>A1</v>
      </c>
      <c r="K30" s="1020">
        <f t="shared" si="1"/>
        <v>0.8</v>
      </c>
      <c r="L30" s="1021">
        <v>20</v>
      </c>
      <c r="M30" s="1021">
        <f>VLOOKUP(B30,'[26]CN BC'!$F$10:$H$267,3,FALSE)</f>
        <v>18</v>
      </c>
      <c r="N30" s="1021">
        <f t="shared" si="2"/>
        <v>18</v>
      </c>
      <c r="O30" s="1022"/>
      <c r="P30" s="1023">
        <f t="shared" si="3"/>
        <v>6166368</v>
      </c>
      <c r="Q30" s="1022">
        <v>25</v>
      </c>
      <c r="R30" s="1024">
        <f t="shared" si="4"/>
        <v>18</v>
      </c>
      <c r="S30" s="1025" t="str">
        <f>VLOOKUP(B30,'[26]CN BC'!$F$10:$K$267,6,FALSE)</f>
        <v>Trừ 2 ngày nghỉ phép 8+19/9</v>
      </c>
      <c r="T30" s="1011" t="str">
        <f>VLOOKUP(B30,TH.T4!B40:AC370,28,FALSE)</f>
        <v>QTDV</v>
      </c>
      <c r="U30" s="1027"/>
      <c r="V30" s="1489"/>
    </row>
    <row r="31" spans="1:29" s="1028" customFormat="1" ht="36" customHeight="1">
      <c r="A31" s="1014">
        <f>_xlfn.AGGREGATE(4,7,A$12:A30)+1</f>
        <v>19</v>
      </c>
      <c r="B31" s="1015" t="s">
        <v>1452</v>
      </c>
      <c r="C31" s="1033" t="s">
        <v>1630</v>
      </c>
      <c r="D31" s="1045">
        <v>1603205348129</v>
      </c>
      <c r="E31" s="81" t="s">
        <v>2428</v>
      </c>
      <c r="F31" s="1018">
        <v>3.66</v>
      </c>
      <c r="G31" s="1019"/>
      <c r="H31" s="1248">
        <f t="shared" si="0"/>
        <v>0</v>
      </c>
      <c r="I31" s="1020"/>
      <c r="J31" s="1020" t="str">
        <f>VLOOKUP(B31,[25]!Table2[[Column2]:[Column6]],4,FALSE)</f>
        <v>A1</v>
      </c>
      <c r="K31" s="1020">
        <f t="shared" si="1"/>
        <v>0.8</v>
      </c>
      <c r="L31" s="1021">
        <v>20</v>
      </c>
      <c r="M31" s="1021">
        <f>VLOOKUP(B31,'[26]CN BC'!$F$10:$H$267,3,FALSE)</f>
        <v>20</v>
      </c>
      <c r="N31" s="1021">
        <f t="shared" si="2"/>
        <v>20</v>
      </c>
      <c r="O31" s="1022"/>
      <c r="P31" s="1023">
        <f t="shared" si="3"/>
        <v>6851520</v>
      </c>
      <c r="Q31" s="1022">
        <v>25</v>
      </c>
      <c r="R31" s="1024">
        <f t="shared" si="4"/>
        <v>19</v>
      </c>
      <c r="S31" s="1025">
        <f>VLOOKUP(B31,'[26]CN BC'!$F$10:$K$267,6,FALSE)</f>
        <v>0</v>
      </c>
      <c r="T31" s="1011" t="str">
        <f>VLOOKUP(B31,TH.T4!B41:AC371,28,FALSE)</f>
        <v>QTDV</v>
      </c>
      <c r="U31" s="1027"/>
      <c r="V31" s="1489"/>
      <c r="W31" s="1012"/>
      <c r="X31" s="1012"/>
      <c r="Y31" s="1012"/>
    </row>
    <row r="32" spans="1:29" s="1028" customFormat="1" ht="36" customHeight="1">
      <c r="A32" s="1014">
        <f>_xlfn.AGGREGATE(4,7,A$12:A31)+1</f>
        <v>20</v>
      </c>
      <c r="B32" s="1015" t="s">
        <v>1453</v>
      </c>
      <c r="C32" s="1033" t="s">
        <v>1631</v>
      </c>
      <c r="D32" s="1047" t="s">
        <v>384</v>
      </c>
      <c r="E32" s="81" t="s">
        <v>2428</v>
      </c>
      <c r="F32" s="1040">
        <v>3.66</v>
      </c>
      <c r="G32" s="1019"/>
      <c r="H32" s="1255">
        <f t="shared" si="0"/>
        <v>0</v>
      </c>
      <c r="I32" s="1020"/>
      <c r="J32" s="1020" t="str">
        <f>VLOOKUP(B32,[25]!Table2[[Column2]:[Column6]],4,FALSE)</f>
        <v>A4</v>
      </c>
      <c r="K32" s="1020">
        <f t="shared" si="1"/>
        <v>0.5</v>
      </c>
      <c r="L32" s="1021">
        <v>20</v>
      </c>
      <c r="M32" s="1021">
        <f>VLOOKUP(B32,'[26]CN BC'!$F$10:$H$267,3,FALSE)</f>
        <v>19</v>
      </c>
      <c r="N32" s="1021">
        <f t="shared" si="2"/>
        <v>19</v>
      </c>
      <c r="O32" s="1035"/>
      <c r="P32" s="1023">
        <f t="shared" si="3"/>
        <v>4068090</v>
      </c>
      <c r="Q32" s="1035">
        <v>23</v>
      </c>
      <c r="R32" s="1024">
        <f t="shared" si="4"/>
        <v>20</v>
      </c>
      <c r="S32" s="1025">
        <f>VLOOKUP(B32,'[26]CN BC'!$F$10:$K$267,6,FALSE)</f>
        <v>0</v>
      </c>
      <c r="T32" s="1067" t="str">
        <f>VLOOKUP(B32,TH.T4!B42:AC372,28,FALSE)</f>
        <v>QTDV</v>
      </c>
      <c r="U32" s="1038"/>
      <c r="V32" s="1489"/>
    </row>
    <row r="33" spans="1:29" s="1028" customFormat="1" ht="36" customHeight="1">
      <c r="A33" s="1014">
        <f>_xlfn.AGGREGATE(4,7,A$12:A32)+1</f>
        <v>21</v>
      </c>
      <c r="B33" s="1015" t="s">
        <v>1462</v>
      </c>
      <c r="C33" s="1033" t="s">
        <v>1654</v>
      </c>
      <c r="D33" s="1047">
        <v>1603205182619</v>
      </c>
      <c r="E33" s="81" t="str">
        <f>VLOOKUP(B33,TH.Q2!B45:E376,4,FALSE)</f>
        <v>Nhân viên phòng Quản trị - Dịch vụ</v>
      </c>
      <c r="F33" s="1018">
        <v>3.86</v>
      </c>
      <c r="G33" s="1019"/>
      <c r="H33" s="1248">
        <f>ROUND(F33*G33,3)</f>
        <v>0</v>
      </c>
      <c r="I33" s="1020"/>
      <c r="J33" s="1020" t="str">
        <f>VLOOKUP(B33,[25]!Table2[[Column2]:[Column6]],4,FALSE)</f>
        <v>A3</v>
      </c>
      <c r="K33" s="1020">
        <f>IF(J33="A1",0.8,IF(J33="A2",0.7,IF(J33="A3",0.6,IF(J33="A4",0.5,IF(J33="B1",0.35,IF(J33="B2",0.25,IF(J33="C1",0.15,IF(J33="C2",0.1,0))))))))</f>
        <v>0.6</v>
      </c>
      <c r="L33" s="1021">
        <v>20</v>
      </c>
      <c r="M33" s="1021">
        <f>VLOOKUP(B33,'[26]CN BC'!$F$10:$H$267,3,FALSE)</f>
        <v>23</v>
      </c>
      <c r="N33" s="1021">
        <f>IF(M33&gt;=L33,L33,IF(M33&lt;L33,M33))</f>
        <v>20</v>
      </c>
      <c r="O33" s="1022"/>
      <c r="P33" s="1023">
        <f>(((F33+H33+I33)*$P$9/L33*N33)*K33)+O33</f>
        <v>5419440</v>
      </c>
      <c r="Q33" s="1035">
        <v>23</v>
      </c>
      <c r="R33" s="1024">
        <f>A33</f>
        <v>21</v>
      </c>
      <c r="S33" s="1025" t="str">
        <f>VLOOKUP(B33,'[26]CN BC'!$F$10:$K$267,6,FALSE)</f>
        <v>Trừ 1 ngày nghỉ phép 16/9</v>
      </c>
      <c r="T33" s="1011" t="str">
        <f>VLOOKUP(B33,TH.T4!B48:AC378,28,FALSE)</f>
        <v>QTDV</v>
      </c>
      <c r="U33" s="1038"/>
      <c r="V33" s="1489"/>
    </row>
    <row r="34" spans="1:29" s="1028" customFormat="1" ht="27" customHeight="1">
      <c r="A34" s="1014">
        <f>_xlfn.AGGREGATE(4,7,A$12:A33)+1</f>
        <v>22</v>
      </c>
      <c r="B34" s="1015" t="s">
        <v>1445</v>
      </c>
      <c r="C34" s="1029" t="s">
        <v>1638</v>
      </c>
      <c r="D34" s="1030" t="s">
        <v>1576</v>
      </c>
      <c r="E34" s="81" t="str">
        <f>VLOOKUP(B34,TH.Q2!B49:E380,4,FALSE)</f>
        <v>TP. Kế hoạch - Tài chính</v>
      </c>
      <c r="F34" s="1040">
        <v>4.9800000000000004</v>
      </c>
      <c r="G34" s="1019">
        <v>0.38</v>
      </c>
      <c r="H34" s="1248">
        <f t="shared" si="0"/>
        <v>1.8919999999999999</v>
      </c>
      <c r="I34" s="1020">
        <v>0.45</v>
      </c>
      <c r="J34" s="1020" t="str">
        <f>VLOOKUP(B34,[25]!Table2[[Column2]:[Column6]],4,FALSE)</f>
        <v>A1</v>
      </c>
      <c r="K34" s="1020">
        <f t="shared" si="1"/>
        <v>0.8</v>
      </c>
      <c r="L34" s="1021">
        <v>20</v>
      </c>
      <c r="M34" s="1021">
        <f>VLOOKUP(B34,'[26]CN BC'!$F$10:$H$267,3,FALSE)</f>
        <v>28</v>
      </c>
      <c r="N34" s="1021">
        <f t="shared" si="2"/>
        <v>20</v>
      </c>
      <c r="O34" s="1022"/>
      <c r="P34" s="1023">
        <f t="shared" si="3"/>
        <v>13706784</v>
      </c>
      <c r="Q34" s="1022">
        <v>29</v>
      </c>
      <c r="R34" s="1024">
        <f t="shared" si="4"/>
        <v>22</v>
      </c>
      <c r="S34" s="1025">
        <f>VLOOKUP(B34,'[26]CN BC'!$F$10:$K$267,6,FALSE)</f>
        <v>0</v>
      </c>
      <c r="T34" s="1011" t="str">
        <f>VLOOKUP(B34,TH.T4!B52:AC382,28,FALSE)</f>
        <v>KHTC</v>
      </c>
      <c r="U34" s="1027"/>
      <c r="V34" s="1489"/>
      <c r="W34" s="1012"/>
      <c r="X34" s="1012"/>
      <c r="Y34" s="1012"/>
      <c r="Z34" s="1012"/>
      <c r="AA34" s="1012"/>
      <c r="AB34" s="1012"/>
      <c r="AC34" s="1012"/>
    </row>
    <row r="35" spans="1:29" s="1012" customFormat="1" ht="26.25" customHeight="1">
      <c r="A35" s="1014">
        <f>_xlfn.AGGREGATE(4,7,A$12:A34)+1</f>
        <v>23</v>
      </c>
      <c r="B35" s="1050" t="s">
        <v>1455</v>
      </c>
      <c r="C35" s="1029" t="s">
        <v>1640</v>
      </c>
      <c r="D35" s="1051" t="s">
        <v>368</v>
      </c>
      <c r="E35" s="81" t="s">
        <v>2417</v>
      </c>
      <c r="F35" s="1052">
        <v>4.32</v>
      </c>
      <c r="G35" s="1053"/>
      <c r="H35" s="1248">
        <f t="shared" si="0"/>
        <v>0</v>
      </c>
      <c r="I35" s="1054"/>
      <c r="J35" s="1020" t="str">
        <f>VLOOKUP(B35,[25]!Table2[[Column2]:[Column6]],4,FALSE)</f>
        <v>A1</v>
      </c>
      <c r="K35" s="1020">
        <f t="shared" si="1"/>
        <v>0.8</v>
      </c>
      <c r="L35" s="1021">
        <v>20</v>
      </c>
      <c r="M35" s="1021">
        <f>VLOOKUP(B35,'[26]CN BC'!$F$10:$H$267,3,FALSE)</f>
        <v>25</v>
      </c>
      <c r="N35" s="1021">
        <f t="shared" si="2"/>
        <v>20</v>
      </c>
      <c r="O35" s="1022"/>
      <c r="P35" s="1023">
        <f t="shared" si="3"/>
        <v>8087040</v>
      </c>
      <c r="Q35" s="1022">
        <v>27</v>
      </c>
      <c r="R35" s="1024">
        <f t="shared" ref="R35:R71" si="6">A35</f>
        <v>23</v>
      </c>
      <c r="S35" s="1025">
        <f>VLOOKUP(B35,'[26]CN BC'!$F$10:$K$267,6,FALSE)</f>
        <v>0</v>
      </c>
      <c r="T35" s="1011" t="str">
        <f>VLOOKUP(B35,TH.T4!B53:AC383,28,FALSE)</f>
        <v>KHTC</v>
      </c>
      <c r="U35" s="1027"/>
      <c r="V35" s="1489"/>
    </row>
    <row r="36" spans="1:29" s="1028" customFormat="1" ht="27" customHeight="1">
      <c r="A36" s="1014">
        <f>_xlfn.AGGREGATE(4,7,A$12:A35)+1</f>
        <v>24</v>
      </c>
      <c r="B36" s="1015" t="s">
        <v>1456</v>
      </c>
      <c r="C36" s="1033" t="s">
        <v>1641</v>
      </c>
      <c r="D36" s="1047">
        <v>1603205178873</v>
      </c>
      <c r="E36" s="81" t="s">
        <v>2417</v>
      </c>
      <c r="F36" s="1018">
        <v>3.99</v>
      </c>
      <c r="G36" s="1019"/>
      <c r="H36" s="1248">
        <f t="shared" si="0"/>
        <v>0</v>
      </c>
      <c r="I36" s="1020"/>
      <c r="J36" s="1020" t="str">
        <f>VLOOKUP(B36,[25]!Table2[[Column2]:[Column6]],4,FALSE)</f>
        <v>A1</v>
      </c>
      <c r="K36" s="1020">
        <f t="shared" si="1"/>
        <v>0.8</v>
      </c>
      <c r="L36" s="1021">
        <v>20</v>
      </c>
      <c r="M36" s="1021">
        <f>VLOOKUP(B36,'[26]CN BC'!$F$10:$H$267,3,FALSE)</f>
        <v>27</v>
      </c>
      <c r="N36" s="1021">
        <f t="shared" si="2"/>
        <v>20</v>
      </c>
      <c r="O36" s="1022"/>
      <c r="P36" s="1023">
        <f t="shared" si="3"/>
        <v>7469280</v>
      </c>
      <c r="Q36" s="1035">
        <v>27</v>
      </c>
      <c r="R36" s="1024">
        <f t="shared" si="6"/>
        <v>24</v>
      </c>
      <c r="S36" s="1025">
        <f>VLOOKUP(B36,'[26]CN BC'!$F$10:$K$267,6,FALSE)</f>
        <v>0</v>
      </c>
      <c r="T36" s="1011" t="str">
        <f>VLOOKUP(B36,TH.T4!B54:AC384,28,FALSE)</f>
        <v>KHTC</v>
      </c>
      <c r="U36" s="1027"/>
      <c r="V36" s="1489"/>
      <c r="W36" s="1012"/>
      <c r="X36" s="1012"/>
      <c r="Y36" s="1012"/>
    </row>
    <row r="37" spans="1:29" s="1028" customFormat="1" ht="33.75" customHeight="1">
      <c r="A37" s="1014">
        <f>_xlfn.AGGREGATE(4,7,A$12:A36)+1</f>
        <v>25</v>
      </c>
      <c r="B37" s="1015" t="s">
        <v>1457</v>
      </c>
      <c r="C37" s="1033" t="s">
        <v>1642</v>
      </c>
      <c r="D37" s="1045">
        <v>1603205372861</v>
      </c>
      <c r="E37" s="81" t="s">
        <v>2417</v>
      </c>
      <c r="F37" s="1040">
        <v>3</v>
      </c>
      <c r="G37" s="1019"/>
      <c r="H37" s="1255">
        <f t="shared" si="0"/>
        <v>0</v>
      </c>
      <c r="I37" s="1020"/>
      <c r="J37" s="1020" t="str">
        <f>VLOOKUP(B37,[25]!Table2[[Column2]:[Column6]],4,FALSE)</f>
        <v>A1</v>
      </c>
      <c r="K37" s="1020">
        <f t="shared" si="1"/>
        <v>0.8</v>
      </c>
      <c r="L37" s="1021">
        <v>20</v>
      </c>
      <c r="M37" s="1021">
        <f>VLOOKUP(B37,'[26]CN BC'!$F$10:$H$267,3,FALSE)</f>
        <v>25</v>
      </c>
      <c r="N37" s="1021">
        <f t="shared" si="2"/>
        <v>20</v>
      </c>
      <c r="O37" s="1035"/>
      <c r="P37" s="1023">
        <f t="shared" si="3"/>
        <v>5616000</v>
      </c>
      <c r="Q37" s="1035">
        <v>24</v>
      </c>
      <c r="R37" s="1024">
        <f t="shared" si="6"/>
        <v>25</v>
      </c>
      <c r="S37" s="1025">
        <f>VLOOKUP(B37,'[26]CN BC'!$F$10:$K$267,6,FALSE)</f>
        <v>0</v>
      </c>
      <c r="T37" s="1067" t="str">
        <f>VLOOKUP(B37,TH.T4!B55:AC385,28,FALSE)</f>
        <v>KHTC</v>
      </c>
      <c r="U37" s="1038"/>
      <c r="V37" s="1490"/>
    </row>
    <row r="38" spans="1:29" s="1028" customFormat="1" ht="27" customHeight="1">
      <c r="A38" s="1014">
        <f>_xlfn.AGGREGATE(4,7,A$12:A37)+1</f>
        <v>26</v>
      </c>
      <c r="B38" s="1015" t="s">
        <v>1859</v>
      </c>
      <c r="C38" s="1033" t="s">
        <v>1665</v>
      </c>
      <c r="D38" s="1057">
        <v>1603205185357</v>
      </c>
      <c r="E38" s="81" t="str">
        <f>VLOOKUP(B38,TH.Q2!B53:E384,4,FALSE)</f>
        <v>NV Phòng KH-TC</v>
      </c>
      <c r="F38" s="1040">
        <v>3.99</v>
      </c>
      <c r="G38" s="1019"/>
      <c r="H38" s="1248">
        <f t="shared" si="0"/>
        <v>0</v>
      </c>
      <c r="I38" s="1020"/>
      <c r="J38" s="1020" t="str">
        <f>VLOOKUP(B38,[25]!Table2[[Column2]:[Column6]],4,FALSE)</f>
        <v>A1</v>
      </c>
      <c r="K38" s="1020">
        <f t="shared" si="1"/>
        <v>0.8</v>
      </c>
      <c r="L38" s="1021">
        <v>20</v>
      </c>
      <c r="M38" s="1021">
        <f>VLOOKUP(B38,'[26]CN BC'!$F$10:$H$267,3,FALSE)</f>
        <v>25</v>
      </c>
      <c r="N38" s="1021">
        <f t="shared" si="2"/>
        <v>20</v>
      </c>
      <c r="O38" s="1022"/>
      <c r="P38" s="1023">
        <f t="shared" si="3"/>
        <v>7469280</v>
      </c>
      <c r="Q38" s="1035">
        <v>26</v>
      </c>
      <c r="R38" s="1024">
        <f t="shared" si="6"/>
        <v>26</v>
      </c>
      <c r="S38" s="1025">
        <f>VLOOKUP(B38,'[26]CN BC'!$F$10:$K$267,6,FALSE)</f>
        <v>0</v>
      </c>
      <c r="T38" s="1011" t="str">
        <f>VLOOKUP(B38,TH.T4!B56:AC386,28,FALSE)</f>
        <v>KHTC</v>
      </c>
      <c r="U38" s="1038"/>
      <c r="V38" s="1489"/>
    </row>
    <row r="39" spans="1:29" s="1028" customFormat="1" ht="33" customHeight="1">
      <c r="A39" s="1014">
        <f>_xlfn.AGGREGATE(4,7,A$12:A38)+1</f>
        <v>27</v>
      </c>
      <c r="B39" s="1079" t="s">
        <v>1842</v>
      </c>
      <c r="C39" s="1433" t="s">
        <v>1962</v>
      </c>
      <c r="D39" s="1080" t="s">
        <v>1933</v>
      </c>
      <c r="E39" s="472" t="s">
        <v>2417</v>
      </c>
      <c r="F39" s="1473">
        <v>3</v>
      </c>
      <c r="G39" s="1082"/>
      <c r="H39" s="1253">
        <f>ROUND(F39*G39,3)</f>
        <v>0</v>
      </c>
      <c r="I39" s="1083"/>
      <c r="J39" s="1020" t="str">
        <f>VLOOKUP(B39,[25]!Table2[[Column2]:[Column6]],4,FALSE)</f>
        <v>A DN</v>
      </c>
      <c r="K39" s="1083">
        <f>IF(J39="A1",0.8,IF(J39="A2",0.7,IF(J39="A3",0.6,IF(J39="A4",0.5,IF(J39="B1",0.35,IF(J39="B2",0.25,IF(J39="C1",0.15,IF(J39="C2",0.1,0))))))))</f>
        <v>0</v>
      </c>
      <c r="L39" s="1021">
        <v>20</v>
      </c>
      <c r="M39" s="1021">
        <f>VLOOKUP(B39,'[26]CN BC'!$F$10:$H$267,3,FALSE)</f>
        <v>0</v>
      </c>
      <c r="N39" s="1203">
        <f>IF(M39&gt;=L39,L39,IF(M39&lt;L39,M39))</f>
        <v>0</v>
      </c>
      <c r="O39" s="1084"/>
      <c r="P39" s="1204">
        <f>(((F39+H39+I39)*$P$9/L39*N39)*K39)+O39</f>
        <v>0</v>
      </c>
      <c r="Q39" s="1084">
        <v>26</v>
      </c>
      <c r="R39" s="1085">
        <f>A39</f>
        <v>27</v>
      </c>
      <c r="S39" s="1025" t="str">
        <f>VLOOKUP(B39,'[26]CN BC'!$F$10:$K$267,6,FALSE)</f>
        <v>Nghỉ hộ sản hưởng chế độ BHXH</v>
      </c>
      <c r="T39" s="1011" t="str">
        <f>VLOOKUP(B39,TH.T4!B107:AC437,28,FALSE)</f>
        <v>KT</v>
      </c>
      <c r="U39" s="1027"/>
      <c r="V39" s="1489"/>
      <c r="W39" s="1012"/>
      <c r="X39" s="1012"/>
      <c r="Y39" s="1012"/>
    </row>
    <row r="40" spans="1:29" s="1028" customFormat="1" ht="34.5" customHeight="1">
      <c r="A40" s="1014">
        <f>_xlfn.AGGREGATE(4,7,A$12:A39)+1</f>
        <v>28</v>
      </c>
      <c r="B40" s="1015" t="s">
        <v>1827</v>
      </c>
      <c r="C40" s="1033" t="s">
        <v>1619</v>
      </c>
      <c r="D40" s="1034" t="s">
        <v>1265</v>
      </c>
      <c r="E40" s="81" t="s">
        <v>2417</v>
      </c>
      <c r="F40" s="1040">
        <v>3.99</v>
      </c>
      <c r="G40" s="1019"/>
      <c r="H40" s="1248">
        <f>ROUND(F40*G40,3)</f>
        <v>0</v>
      </c>
      <c r="I40" s="1020"/>
      <c r="J40" s="1020" t="str">
        <f>VLOOKUP(B40,[25]!Table2[[Column2]:[Column6]],4,FALSE)</f>
        <v>A2</v>
      </c>
      <c r="K40" s="1020">
        <f>IF(J40="A1",0.8,IF(J40="A2",0.7,IF(J40="A3",0.6,IF(J40="A4",0.5,IF(J40="B1",0.35,IF(J40="B2",0.25,IF(J40="C1",0.15,IF(J40="C2",0.1,0))))))))</f>
        <v>0.7</v>
      </c>
      <c r="L40" s="1021">
        <v>20</v>
      </c>
      <c r="M40" s="1021">
        <f>VLOOKUP(B40,'[26]CN BC'!$F$10:$H$267,3,FALSE)</f>
        <v>20</v>
      </c>
      <c r="N40" s="1021">
        <f>IF(M40&gt;=L40,L40,IF(M40&lt;L40,M40))</f>
        <v>20</v>
      </c>
      <c r="O40" s="1022"/>
      <c r="P40" s="1023">
        <f>(((F40+H40+I40)*$P$9/L40*N40)*K40)+O40</f>
        <v>6535620</v>
      </c>
      <c r="Q40" s="1022">
        <v>24.5</v>
      </c>
      <c r="R40" s="1024">
        <f>A40</f>
        <v>28</v>
      </c>
      <c r="S40" s="1025" t="str">
        <f>VLOOKUP(B40,'[26]CN BC'!$F$10:$K$267,6,FALSE)</f>
        <v>Trừử ngày nghỉ phép 10+11+12/9</v>
      </c>
      <c r="T40" s="1011" t="str">
        <f>VLOOKUP(B40,TH.T4!B29:AC359,28,FALSE)</f>
        <v>TCHC</v>
      </c>
      <c r="U40" s="1027"/>
      <c r="V40" s="1489"/>
      <c r="W40" s="1012"/>
      <c r="X40" s="1012"/>
      <c r="Y40" s="1012"/>
    </row>
    <row r="41" spans="1:29" s="1028" customFormat="1" ht="42.75" customHeight="1">
      <c r="A41" s="1014">
        <f>_xlfn.AGGREGATE(4,7,A$12:A40)+1</f>
        <v>29</v>
      </c>
      <c r="B41" s="1015" t="s">
        <v>1459</v>
      </c>
      <c r="C41" s="1033" t="s">
        <v>1645</v>
      </c>
      <c r="D41" s="1045" t="s">
        <v>1578</v>
      </c>
      <c r="E41" s="368" t="s">
        <v>2435</v>
      </c>
      <c r="F41" s="1018">
        <v>4.6500000000000004</v>
      </c>
      <c r="G41" s="1019"/>
      <c r="H41" s="1248">
        <f t="shared" si="0"/>
        <v>0</v>
      </c>
      <c r="I41" s="1020">
        <v>0.45</v>
      </c>
      <c r="J41" s="1020" t="str">
        <f>VLOOKUP(B41,[25]!Table2[[Column2]:[Column6]],4,FALSE)</f>
        <v>A2</v>
      </c>
      <c r="K41" s="1020">
        <f t="shared" si="1"/>
        <v>0.7</v>
      </c>
      <c r="L41" s="1021">
        <v>20</v>
      </c>
      <c r="M41" s="1021">
        <f>VLOOKUP(B41,'[26]CN BC'!$F$10:$H$267,3,FALSE)</f>
        <v>23</v>
      </c>
      <c r="N41" s="1021">
        <f t="shared" si="2"/>
        <v>20</v>
      </c>
      <c r="O41" s="1022"/>
      <c r="P41" s="1023">
        <f t="shared" si="3"/>
        <v>8353800.0000000009</v>
      </c>
      <c r="Q41" s="1035">
        <v>25</v>
      </c>
      <c r="R41" s="1024">
        <f t="shared" si="6"/>
        <v>29</v>
      </c>
      <c r="S41" s="1025">
        <f>VLOOKUP(B41,'[26]CN BC'!$F$10:$K$267,6,FALSE)</f>
        <v>0</v>
      </c>
      <c r="T41" s="1011" t="str">
        <f>VLOOKUP(B41,TH.T4!B57:AC387,28,FALSE)</f>
        <v>TTrGD</v>
      </c>
      <c r="U41" s="1038"/>
      <c r="V41" s="1489"/>
    </row>
    <row r="42" spans="1:29" s="1028" customFormat="1" ht="47.25" customHeight="1">
      <c r="A42" s="1014">
        <f>_xlfn.AGGREGATE(4,7,A$12:A41)+1</f>
        <v>30</v>
      </c>
      <c r="B42" s="1015" t="s">
        <v>1852</v>
      </c>
      <c r="C42" s="1033" t="s">
        <v>1636</v>
      </c>
      <c r="D42" s="1034" t="s">
        <v>1258</v>
      </c>
      <c r="E42" s="368" t="s">
        <v>2433</v>
      </c>
      <c r="F42" s="1040">
        <v>4.9800000000000004</v>
      </c>
      <c r="G42" s="1513"/>
      <c r="H42" s="1255">
        <f>ROUND(F42*G42,3)</f>
        <v>0</v>
      </c>
      <c r="I42" s="1020">
        <v>0.45</v>
      </c>
      <c r="J42" s="1020" t="str">
        <f>VLOOKUP(B42,[25]!Table2[[Column2]:[Column6]],4,FALSE)</f>
        <v>A3</v>
      </c>
      <c r="K42" s="1020">
        <f>IF(J42="A1",0.8,IF(J42="A2",0.7,IF(J42="A3",0.6,IF(J42="A4",0.5,IF(J42="B1",0.35,IF(J42="B2",0.25,IF(J42="C1",0.15,IF(J42="C2",0.1,0))))))))</f>
        <v>0.6</v>
      </c>
      <c r="L42" s="1021">
        <v>20</v>
      </c>
      <c r="M42" s="1021">
        <f>VLOOKUP(B42,'[26]CN BC'!$F$10:$H$267,3,FALSE)</f>
        <v>23</v>
      </c>
      <c r="N42" s="1021">
        <f>IF(M42&gt;=L42,L42,IF(M42&lt;L42,M42))</f>
        <v>20</v>
      </c>
      <c r="O42" s="1035"/>
      <c r="P42" s="1023">
        <f>(((F42+H42+I42)*$P$9/L42*N42)*K42)+O42</f>
        <v>7623720.0000000009</v>
      </c>
      <c r="Q42" s="1035">
        <v>26</v>
      </c>
      <c r="R42" s="1024">
        <f>A42</f>
        <v>30</v>
      </c>
      <c r="S42" s="1025" t="str">
        <f>VLOOKUP(B42,'[26]CN BC'!$F$10:$K$267,6,FALSE)</f>
        <v>Cộng 1 ngày đi học 7/9</v>
      </c>
      <c r="T42" s="1067" t="str">
        <f>VLOOKUP(B42,TH.T4!B50:AC380,28,FALSE)</f>
        <v>TTYT</v>
      </c>
      <c r="U42" s="1038"/>
      <c r="V42" s="1490"/>
    </row>
    <row r="43" spans="1:29" s="1012" customFormat="1" ht="43.5" customHeight="1">
      <c r="A43" s="1014">
        <f>_xlfn.AGGREGATE(4,7,A$12:A42)+1</f>
        <v>31</v>
      </c>
      <c r="B43" s="1050" t="s">
        <v>1555</v>
      </c>
      <c r="C43" s="1029" t="s">
        <v>1658</v>
      </c>
      <c r="D43" s="1051" t="s">
        <v>1278</v>
      </c>
      <c r="E43" s="368" t="s">
        <v>2433</v>
      </c>
      <c r="F43" s="1052">
        <v>4.9800000000000004</v>
      </c>
      <c r="G43" s="1019">
        <v>0.05</v>
      </c>
      <c r="H43" s="1248">
        <f>ROUND(F43*G43,3)</f>
        <v>0.249</v>
      </c>
      <c r="I43" s="1516">
        <v>0.45</v>
      </c>
      <c r="J43" s="1020" t="str">
        <f>VLOOKUP(B43,[25]!Table2[[Column2]:[Column6]],4,FALSE)</f>
        <v>A4</v>
      </c>
      <c r="K43" s="1020">
        <f>IF(J43="A1",0.8,IF(J43="A2",0.7,IF(J43="A3",0.6,IF(J43="A4",0.5,IF(J43="B1",0.35,IF(J43="B2",0.25,IF(J43="C1",0.15,IF(J43="C2",0.1,0))))))))</f>
        <v>0.5</v>
      </c>
      <c r="L43" s="1021">
        <v>20</v>
      </c>
      <c r="M43" s="1021">
        <f>VLOOKUP(B43,'[26]CN BC'!$F$10:$H$267,3,FALSE)</f>
        <v>21</v>
      </c>
      <c r="N43" s="1021">
        <f>IF(M43&gt;=L43,L43,IF(M43&lt;L43,M43))</f>
        <v>20</v>
      </c>
      <c r="O43" s="1022"/>
      <c r="P43" s="1023">
        <f>(((F43+H43+I43)*$P$9/L43*N43)*K43)+O43</f>
        <v>6644430</v>
      </c>
      <c r="Q43" s="1022">
        <v>24</v>
      </c>
      <c r="R43" s="1024">
        <f>A43</f>
        <v>31</v>
      </c>
      <c r="S43" s="1025">
        <f>VLOOKUP(B43,'[26]CN BC'!$F$10:$K$267,6,FALSE)</f>
        <v>0</v>
      </c>
      <c r="T43" s="1011" t="str">
        <f>VLOOKUP(B43,TH.T4!B124:AC454,28,FALSE)</f>
        <v>KHCB</v>
      </c>
      <c r="U43" s="1027"/>
      <c r="V43" s="1489"/>
    </row>
    <row r="44" spans="1:29" s="1028" customFormat="1" ht="43.5" customHeight="1">
      <c r="A44" s="1014">
        <f>_xlfn.AGGREGATE(4,7,A$12:A43)+1</f>
        <v>32</v>
      </c>
      <c r="B44" s="1015" t="s">
        <v>1834</v>
      </c>
      <c r="C44" s="1033" t="s">
        <v>1967</v>
      </c>
      <c r="D44" s="1066">
        <v>1603215005599</v>
      </c>
      <c r="E44" s="368" t="s">
        <v>2433</v>
      </c>
      <c r="F44" s="1040">
        <v>3.99</v>
      </c>
      <c r="G44" s="1019"/>
      <c r="H44" s="1248">
        <f>ROUND(F44*G44,3)</f>
        <v>0</v>
      </c>
      <c r="I44" s="1491">
        <v>0.45</v>
      </c>
      <c r="J44" s="1020" t="str">
        <f>VLOOKUP(B44,[25]!Table2[[Column2]:[Column6]],4,FALSE)</f>
        <v>A3</v>
      </c>
      <c r="K44" s="1020">
        <f>IF(J44="A1",0.8,IF(J44="A2",0.7,IF(J44="A3",0.6,IF(J44="A4",0.5,IF(J44="B1",0.35,IF(J44="B2",0.25,IF(J44="C1",0.15,IF(J44="C2",0.1,0))))))))</f>
        <v>0.6</v>
      </c>
      <c r="L44" s="1021">
        <v>20</v>
      </c>
      <c r="M44" s="1021">
        <f>VLOOKUP(B44,'[26]CN BC'!$F$10:$H$267,3,FALSE)</f>
        <v>20</v>
      </c>
      <c r="N44" s="1021">
        <f>IF(M44&gt;=L44,L44,IF(M44&lt;L44,M44))</f>
        <v>20</v>
      </c>
      <c r="O44" s="1022"/>
      <c r="P44" s="1023">
        <f>(((F44+H44+I44)*$P$9/L44*N44)*K44)+O44</f>
        <v>6233760</v>
      </c>
      <c r="Q44" s="1035">
        <v>22</v>
      </c>
      <c r="R44" s="1024">
        <f>A44</f>
        <v>32</v>
      </c>
      <c r="S44" s="1025" t="str">
        <f>VLOOKUP(B44,'[26]CN BC'!$F$10:$K$267,6,FALSE)</f>
        <v>Trừ 1 ngày nghỉ phép 19/9</v>
      </c>
      <c r="T44" s="1011" t="str">
        <f>VLOOKUP(B44,TH.T4!B86:AC416,28,FALSE)</f>
        <v>TTTV</v>
      </c>
      <c r="U44" s="1027"/>
      <c r="V44" s="1489"/>
      <c r="W44" s="1012"/>
      <c r="X44" s="1012"/>
      <c r="Y44" s="1012"/>
    </row>
    <row r="45" spans="1:29" s="1012" customFormat="1" ht="41.25" customHeight="1">
      <c r="A45" s="1014">
        <f>_xlfn.AGGREGATE(4,7,A$12:A44)+1</f>
        <v>33</v>
      </c>
      <c r="B45" s="1050" t="s">
        <v>1454</v>
      </c>
      <c r="C45" s="1029" t="s">
        <v>1637</v>
      </c>
      <c r="D45" s="1055">
        <v>1603205247426</v>
      </c>
      <c r="E45" s="368" t="s">
        <v>2434</v>
      </c>
      <c r="F45" s="1052">
        <v>3.86</v>
      </c>
      <c r="G45" s="1053"/>
      <c r="H45" s="1248">
        <f>ROUND(F45*G45,3)</f>
        <v>0</v>
      </c>
      <c r="I45" s="1054"/>
      <c r="J45" s="1020" t="str">
        <f>VLOOKUP(B45,[25]!Table2[[Column2]:[Column6]],4,FALSE)</f>
        <v>A4</v>
      </c>
      <c r="K45" s="1020">
        <f>IF(J45="A1",0.8,IF(J45="A2",0.7,IF(J45="A3",0.6,IF(J45="A4",0.5,IF(J45="B1",0.35,IF(J45="B2",0.25,IF(J45="C1",0.15,IF(J45="C2",0.1,0))))))))</f>
        <v>0.5</v>
      </c>
      <c r="L45" s="1021">
        <v>20</v>
      </c>
      <c r="M45" s="1021">
        <f>VLOOKUP(B45,'[26]CN BC'!$F$10:$H$267,3,FALSE)</f>
        <v>22</v>
      </c>
      <c r="N45" s="1021">
        <f>IF(M45&gt;=L45,L45,IF(M45&lt;L45,M45))</f>
        <v>20</v>
      </c>
      <c r="O45" s="1022"/>
      <c r="P45" s="1023">
        <f>(((F45+H45+I45)*$P$9/L45*N45)*K45)+O45</f>
        <v>4516200</v>
      </c>
      <c r="Q45" s="1022">
        <v>27</v>
      </c>
      <c r="R45" s="1024">
        <f>A45</f>
        <v>33</v>
      </c>
      <c r="S45" s="1025">
        <f>VLOOKUP(B45,'[26]CN BC'!$F$10:$K$267,6,FALSE)</f>
        <v>0</v>
      </c>
      <c r="T45" s="1011" t="str">
        <f>VLOOKUP(B45,TH.T4!B51:AC381,28,FALSE)</f>
        <v>TTYT</v>
      </c>
      <c r="U45" s="1027"/>
      <c r="V45" s="1489"/>
    </row>
    <row r="46" spans="1:29" s="1028" customFormat="1" ht="48" customHeight="1">
      <c r="A46" s="1014">
        <f>_xlfn.AGGREGATE(4,7,A$12:A45)+1</f>
        <v>34</v>
      </c>
      <c r="B46" s="1015" t="s">
        <v>1541</v>
      </c>
      <c r="C46" s="1033" t="s">
        <v>1802</v>
      </c>
      <c r="D46" s="1045">
        <v>1603205356140</v>
      </c>
      <c r="E46" s="368" t="s">
        <v>2434</v>
      </c>
      <c r="F46" s="1018">
        <v>4.32</v>
      </c>
      <c r="G46" s="1019"/>
      <c r="H46" s="1255">
        <f t="shared" si="0"/>
        <v>0</v>
      </c>
      <c r="I46" s="1020"/>
      <c r="J46" s="1020" t="str">
        <f>VLOOKUP(B46,[25]!Table2[[Column2]:[Column6]],4,FALSE)</f>
        <v>A3</v>
      </c>
      <c r="K46" s="1020">
        <f t="shared" si="1"/>
        <v>0.6</v>
      </c>
      <c r="L46" s="1021">
        <v>20</v>
      </c>
      <c r="M46" s="1021">
        <f>VLOOKUP(B46,'[26]CN BC'!$F$10:$H$267,3,FALSE)</f>
        <v>22</v>
      </c>
      <c r="N46" s="1021">
        <f t="shared" si="2"/>
        <v>20</v>
      </c>
      <c r="O46" s="1035"/>
      <c r="P46" s="1023">
        <f t="shared" si="3"/>
        <v>6065280</v>
      </c>
      <c r="Q46" s="1035">
        <v>23</v>
      </c>
      <c r="R46" s="1024">
        <f t="shared" si="6"/>
        <v>34</v>
      </c>
      <c r="S46" s="1025" t="str">
        <f>VLOOKUP(B46,'[26]CN BC'!$F$10:$K$267,6,FALSE)</f>
        <v>Trừ 1 ngày nghỉ 18/9</v>
      </c>
      <c r="T46" s="1067" t="str">
        <f>VLOOKUP(B46,TH.T4!B58:AC388,28,FALSE)</f>
        <v>TTrGD</v>
      </c>
      <c r="U46" s="1038"/>
      <c r="V46" s="1489"/>
    </row>
    <row r="47" spans="1:29" s="1028" customFormat="1" ht="42" customHeight="1">
      <c r="A47" s="1014">
        <f>_xlfn.AGGREGATE(4,7,A$12:A46)+1</f>
        <v>35</v>
      </c>
      <c r="B47" s="1015" t="s">
        <v>1460</v>
      </c>
      <c r="C47" s="1033" t="s">
        <v>1650</v>
      </c>
      <c r="D47" s="1047">
        <v>1603205189653</v>
      </c>
      <c r="E47" s="368" t="s">
        <v>2434</v>
      </c>
      <c r="F47" s="1018">
        <v>4.32</v>
      </c>
      <c r="G47" s="1019"/>
      <c r="H47" s="1248">
        <f t="shared" si="0"/>
        <v>0</v>
      </c>
      <c r="I47" s="1020"/>
      <c r="J47" s="1020" t="str">
        <f>VLOOKUP(B47,[25]!Table2[[Column2]:[Column6]],4,FALSE)</f>
        <v>A2</v>
      </c>
      <c r="K47" s="1020">
        <f t="shared" si="1"/>
        <v>0.7</v>
      </c>
      <c r="L47" s="1021">
        <v>20</v>
      </c>
      <c r="M47" s="1021">
        <f>VLOOKUP(B47,'[26]CN BC'!$F$10:$H$267,3,FALSE)</f>
        <v>24</v>
      </c>
      <c r="N47" s="1021">
        <f t="shared" si="2"/>
        <v>20</v>
      </c>
      <c r="O47" s="1022"/>
      <c r="P47" s="1023">
        <f t="shared" si="3"/>
        <v>7076160</v>
      </c>
      <c r="Q47" s="1035">
        <v>25</v>
      </c>
      <c r="R47" s="1024">
        <f t="shared" si="6"/>
        <v>35</v>
      </c>
      <c r="S47" s="1025">
        <f>VLOOKUP(B47,'[26]CN BC'!$F$10:$K$267,6,FALSE)</f>
        <v>0</v>
      </c>
      <c r="T47" s="1011" t="str">
        <f>VLOOKUP(B47,TH.T4!B61:AC391,28,FALSE)</f>
        <v>TTrGD</v>
      </c>
      <c r="U47" s="1038"/>
      <c r="V47" s="1489"/>
    </row>
    <row r="48" spans="1:29" s="1028" customFormat="1" ht="42" customHeight="1">
      <c r="A48" s="1014">
        <f>_xlfn.AGGREGATE(4,7,A$12:A47)+1</f>
        <v>36</v>
      </c>
      <c r="B48" s="1015" t="s">
        <v>1461</v>
      </c>
      <c r="C48" s="1033" t="s">
        <v>1653</v>
      </c>
      <c r="D48" s="1034" t="s">
        <v>370</v>
      </c>
      <c r="E48" s="368" t="s">
        <v>2434</v>
      </c>
      <c r="F48" s="1040">
        <v>3.99</v>
      </c>
      <c r="G48" s="1019"/>
      <c r="H48" s="1248">
        <f t="shared" si="0"/>
        <v>0</v>
      </c>
      <c r="I48" s="1020"/>
      <c r="J48" s="1020" t="str">
        <f>VLOOKUP(B48,[25]!Table2[[Column2]:[Column6]],4,FALSE)</f>
        <v>A3</v>
      </c>
      <c r="K48" s="1020">
        <f t="shared" si="1"/>
        <v>0.6</v>
      </c>
      <c r="L48" s="1021">
        <v>20</v>
      </c>
      <c r="M48" s="1021">
        <f>VLOOKUP(B48,'[26]CN BC'!$F$10:$H$267,3,FALSE)</f>
        <v>22</v>
      </c>
      <c r="N48" s="1021">
        <f t="shared" si="2"/>
        <v>20</v>
      </c>
      <c r="O48" s="1022"/>
      <c r="P48" s="1023">
        <f t="shared" si="3"/>
        <v>5601960</v>
      </c>
      <c r="Q48" s="1022">
        <v>24</v>
      </c>
      <c r="R48" s="1024">
        <f t="shared" si="6"/>
        <v>36</v>
      </c>
      <c r="S48" s="1025">
        <f>VLOOKUP(B48,'[26]CN BC'!$F$10:$K$267,6,FALSE)</f>
        <v>0</v>
      </c>
      <c r="T48" s="1011" t="str">
        <f>VLOOKUP(B48,TH.T4!B62:AC392,28,FALSE)</f>
        <v>TTrGD</v>
      </c>
      <c r="U48" s="1027"/>
      <c r="V48" s="1489"/>
      <c r="W48" s="1012"/>
      <c r="X48" s="1012"/>
      <c r="Y48" s="1012"/>
    </row>
    <row r="49" spans="1:29" s="1028" customFormat="1" ht="42" customHeight="1">
      <c r="A49" s="1014">
        <f>_xlfn.AGGREGATE(4,7,A$12:A48)+1</f>
        <v>37</v>
      </c>
      <c r="B49" s="1015" t="s">
        <v>848</v>
      </c>
      <c r="C49" s="1033" t="s">
        <v>1655</v>
      </c>
      <c r="D49" s="1034" t="s">
        <v>1263</v>
      </c>
      <c r="E49" s="368" t="s">
        <v>2434</v>
      </c>
      <c r="F49" s="1018">
        <v>4.32</v>
      </c>
      <c r="G49" s="1019"/>
      <c r="H49" s="1248">
        <f t="shared" si="0"/>
        <v>0</v>
      </c>
      <c r="I49" s="1020"/>
      <c r="J49" s="1020" t="str">
        <f>VLOOKUP(B49,[25]!Table2[[Column2]:[Column6]],4,FALSE)</f>
        <v>A3</v>
      </c>
      <c r="K49" s="1020">
        <f t="shared" si="1"/>
        <v>0.6</v>
      </c>
      <c r="L49" s="1021">
        <v>20</v>
      </c>
      <c r="M49" s="1021">
        <f>VLOOKUP(B49,'[26]CN BC'!$F$10:$H$267,3,FALSE)</f>
        <v>22</v>
      </c>
      <c r="N49" s="1021">
        <f t="shared" si="2"/>
        <v>20</v>
      </c>
      <c r="O49" s="1022"/>
      <c r="P49" s="1023">
        <f t="shared" si="3"/>
        <v>6065280</v>
      </c>
      <c r="Q49" s="1022">
        <v>26</v>
      </c>
      <c r="R49" s="1024">
        <f t="shared" si="6"/>
        <v>37</v>
      </c>
      <c r="S49" s="1025">
        <f>VLOOKUP(B49,'[26]CN BC'!$F$10:$K$267,6,FALSE)</f>
        <v>0</v>
      </c>
      <c r="T49" s="1011" t="str">
        <f>VLOOKUP(B49,TH.T4!B63:AC393,28,FALSE)</f>
        <v>TTrGD</v>
      </c>
      <c r="U49" s="1027"/>
      <c r="V49" s="1489"/>
      <c r="W49" s="1012"/>
      <c r="X49" s="1012"/>
      <c r="Y49" s="1012"/>
    </row>
    <row r="50" spans="1:29" s="1028" customFormat="1" ht="42" customHeight="1">
      <c r="A50" s="1014">
        <f>_xlfn.AGGREGATE(4,7,A$12:A49)+1</f>
        <v>38</v>
      </c>
      <c r="B50" s="1015" t="s">
        <v>1857</v>
      </c>
      <c r="C50" s="1033" t="s">
        <v>1656</v>
      </c>
      <c r="D50" s="1047" t="s">
        <v>1358</v>
      </c>
      <c r="E50" s="368" t="s">
        <v>2434</v>
      </c>
      <c r="F50" s="1018">
        <v>4.6500000000000004</v>
      </c>
      <c r="G50" s="1019"/>
      <c r="H50" s="1248">
        <f t="shared" si="0"/>
        <v>0</v>
      </c>
      <c r="I50" s="1020"/>
      <c r="J50" s="1020" t="str">
        <f>VLOOKUP(B50,[25]!Table2[[Column2]:[Column6]],4,FALSE)</f>
        <v>A3</v>
      </c>
      <c r="K50" s="1020">
        <f t="shared" si="1"/>
        <v>0.6</v>
      </c>
      <c r="L50" s="1021">
        <v>20</v>
      </c>
      <c r="M50" s="1021">
        <f>VLOOKUP(B50,'[26]CN BC'!$F$10:$H$267,3,FALSE)</f>
        <v>22</v>
      </c>
      <c r="N50" s="1021">
        <f t="shared" si="2"/>
        <v>20</v>
      </c>
      <c r="O50" s="1022"/>
      <c r="P50" s="1023">
        <f t="shared" si="3"/>
        <v>6528600</v>
      </c>
      <c r="Q50" s="1022">
        <v>25</v>
      </c>
      <c r="R50" s="1024">
        <f t="shared" si="6"/>
        <v>38</v>
      </c>
      <c r="S50" s="1025">
        <f>VLOOKUP(B50,'[26]CN BC'!$F$10:$K$267,6,FALSE)</f>
        <v>0</v>
      </c>
      <c r="T50" s="1011" t="str">
        <f>VLOOKUP(B50,TH.T4!B64:AC394,28,FALSE)</f>
        <v>TTrGD</v>
      </c>
      <c r="U50" s="1027"/>
      <c r="V50" s="1489"/>
      <c r="W50" s="1012"/>
      <c r="X50" s="1012"/>
      <c r="Y50" s="1012"/>
    </row>
    <row r="51" spans="1:29" s="1028" customFormat="1" ht="42" customHeight="1">
      <c r="A51" s="1014">
        <f>_xlfn.AGGREGATE(4,7,A$12:A50)+1</f>
        <v>39</v>
      </c>
      <c r="B51" s="1015" t="s">
        <v>1851</v>
      </c>
      <c r="C51" s="1029" t="s">
        <v>1632</v>
      </c>
      <c r="D51" s="1063" t="s">
        <v>1575</v>
      </c>
      <c r="E51" s="368" t="s">
        <v>2434</v>
      </c>
      <c r="F51" s="1040">
        <v>3.66</v>
      </c>
      <c r="G51" s="1019"/>
      <c r="H51" s="1248">
        <f t="shared" si="0"/>
        <v>0</v>
      </c>
      <c r="I51" s="1020"/>
      <c r="J51" s="1020" t="str">
        <f>VLOOKUP(B51,[25]!Table2[[Column2]:[Column6]],4,FALSE)</f>
        <v>A4</v>
      </c>
      <c r="K51" s="1020">
        <f t="shared" si="1"/>
        <v>0.5</v>
      </c>
      <c r="L51" s="1021">
        <v>20</v>
      </c>
      <c r="M51" s="1021">
        <f>VLOOKUP(B51,'[26]CN BC'!$F$10:$H$267,3,FALSE)</f>
        <v>20</v>
      </c>
      <c r="N51" s="1021">
        <f t="shared" si="2"/>
        <v>20</v>
      </c>
      <c r="O51" s="1022"/>
      <c r="P51" s="1023">
        <f t="shared" si="3"/>
        <v>4282200</v>
      </c>
      <c r="Q51" s="1022">
        <v>25</v>
      </c>
      <c r="R51" s="1024">
        <f t="shared" si="6"/>
        <v>39</v>
      </c>
      <c r="S51" s="1025" t="str">
        <f>VLOOKUP(B51,'[26]CN BC'!$F$10:$K$267,6,FALSE)</f>
        <v>Trừ 2 ngày nghỉ phép 29+30/9</v>
      </c>
      <c r="T51" s="1011" t="str">
        <f>VLOOKUP(B51,TH.T4!B65:AC395,28,FALSE)</f>
        <v>TTrGD</v>
      </c>
      <c r="U51" s="1027"/>
      <c r="V51" s="1489"/>
      <c r="W51" s="1012"/>
      <c r="X51" s="1012"/>
      <c r="Y51" s="1012"/>
      <c r="Z51" s="1012"/>
      <c r="AA51" s="1012"/>
      <c r="AB51" s="1012"/>
      <c r="AC51" s="1012"/>
    </row>
    <row r="52" spans="1:29" s="1028" customFormat="1" ht="45.75" customHeight="1">
      <c r="A52" s="1014">
        <f>_xlfn.AGGREGATE(4,7,A$12:A51)+1</f>
        <v>40</v>
      </c>
      <c r="B52" s="1015" t="s">
        <v>1468</v>
      </c>
      <c r="C52" s="1033" t="s">
        <v>1676</v>
      </c>
      <c r="D52" s="1045" t="s">
        <v>1580</v>
      </c>
      <c r="E52" s="368" t="s">
        <v>2434</v>
      </c>
      <c r="F52" s="1040">
        <v>3.33</v>
      </c>
      <c r="G52" s="1019"/>
      <c r="H52" s="1248">
        <f>ROUND(F52*G52,3)</f>
        <v>0</v>
      </c>
      <c r="I52" s="1020"/>
      <c r="J52" s="1020" t="str">
        <f>VLOOKUP(B52,[25]!Table2[[Column2]:[Column6]],4,FALSE)</f>
        <v>A3</v>
      </c>
      <c r="K52" s="1020">
        <f>IF(J52="A1",0.8,IF(J52="A2",0.7,IF(J52="A3",0.6,IF(J52="A4",0.5,IF(J52="B1",0.35,IF(J52="B2",0.25,IF(J52="C1",0.15,IF(J52="C2",0.1,0))))))))</f>
        <v>0.6</v>
      </c>
      <c r="L52" s="1021">
        <v>20</v>
      </c>
      <c r="M52" s="1021">
        <f>VLOOKUP(B52,'[26]CN BC'!$F$10:$H$267,3,FALSE)</f>
        <v>21</v>
      </c>
      <c r="N52" s="1021">
        <f>IF(M52&gt;=L52,L52,IF(M52&lt;L52,M52))</f>
        <v>20</v>
      </c>
      <c r="O52" s="1022"/>
      <c r="P52" s="1023">
        <f>(((F52+H52+I52)*$P$9/L52*N52)*K52)+O52</f>
        <v>4675320</v>
      </c>
      <c r="Q52" s="1022">
        <v>25</v>
      </c>
      <c r="R52" s="1024">
        <f>A52</f>
        <v>40</v>
      </c>
      <c r="S52" s="1025">
        <f>VLOOKUP(B52,'[26]CN BC'!$F$10:$K$267,6,FALSE)</f>
        <v>0</v>
      </c>
      <c r="T52" s="1011" t="str">
        <f>VLOOKUP(B52,TH.T4!B87:AC417,28,FALSE)</f>
        <v>TTTV</v>
      </c>
      <c r="U52" s="1027"/>
      <c r="V52" s="1489"/>
      <c r="W52" s="1012"/>
      <c r="X52" s="1012"/>
      <c r="Y52" s="1012"/>
    </row>
    <row r="53" spans="1:29" s="1028" customFormat="1" ht="45.75" customHeight="1">
      <c r="A53" s="1014">
        <f>_xlfn.AGGREGATE(4,7,A$12:A52)+1</f>
        <v>41</v>
      </c>
      <c r="B53" s="1015" t="s">
        <v>1469</v>
      </c>
      <c r="C53" s="1033" t="s">
        <v>1677</v>
      </c>
      <c r="D53" s="1057">
        <v>1603205185623</v>
      </c>
      <c r="E53" s="368" t="s">
        <v>2434</v>
      </c>
      <c r="F53" s="1040">
        <v>3.66</v>
      </c>
      <c r="G53" s="1019"/>
      <c r="H53" s="1248">
        <f>ROUND(F53*G53,3)</f>
        <v>0</v>
      </c>
      <c r="I53" s="1020"/>
      <c r="J53" s="1020" t="str">
        <f>VLOOKUP(B53,[25]!Table2[[Column2]:[Column6]],4,FALSE)</f>
        <v>A3</v>
      </c>
      <c r="K53" s="1020">
        <f>IF(J53="A1",0.8,IF(J53="A2",0.7,IF(J53="A3",0.6,IF(J53="A4",0.5,IF(J53="B1",0.35,IF(J53="B2",0.25,IF(J53="C1",0.15,IF(J53="C2",0.1,0))))))))</f>
        <v>0.6</v>
      </c>
      <c r="L53" s="1021">
        <v>20</v>
      </c>
      <c r="M53" s="1021">
        <f>VLOOKUP(B53,'[26]CN BC'!$F$10:$H$267,3,FALSE)</f>
        <v>24</v>
      </c>
      <c r="N53" s="1021">
        <f>IF(M53&gt;=L53,L53,IF(M53&lt;L53,M53))</f>
        <v>20</v>
      </c>
      <c r="O53" s="1022"/>
      <c r="P53" s="1023">
        <f>(((F53+H53+I53)*$P$9/L53*N53)*K53)+O53</f>
        <v>5138640</v>
      </c>
      <c r="Q53" s="1022">
        <v>23</v>
      </c>
      <c r="R53" s="1024">
        <f>A53</f>
        <v>41</v>
      </c>
      <c r="S53" s="1025">
        <f>VLOOKUP(B53,'[26]CN BC'!$F$10:$K$267,6,FALSE)</f>
        <v>0</v>
      </c>
      <c r="T53" s="1011" t="str">
        <f>VLOOKUP(B53,TH.T4!B88:AC418,28,FALSE)</f>
        <v>TTTV</v>
      </c>
      <c r="U53" s="1027"/>
      <c r="V53" s="1489"/>
      <c r="W53" s="1012"/>
      <c r="X53" s="1012"/>
      <c r="Y53" s="1012"/>
    </row>
    <row r="54" spans="1:29" s="1028" customFormat="1" ht="42" customHeight="1">
      <c r="A54" s="1014">
        <f>_xlfn.AGGREGATE(4,7,A$12:A53)+1</f>
        <v>42</v>
      </c>
      <c r="B54" s="1015" t="s">
        <v>1846</v>
      </c>
      <c r="C54" s="1033" t="s">
        <v>1618</v>
      </c>
      <c r="D54" s="1034" t="s">
        <v>1264</v>
      </c>
      <c r="E54" s="368" t="s">
        <v>2434</v>
      </c>
      <c r="F54" s="1018">
        <v>3.99</v>
      </c>
      <c r="G54" s="1019"/>
      <c r="H54" s="1248">
        <f>ROUND(F54*G54,3)</f>
        <v>0</v>
      </c>
      <c r="I54" s="1020"/>
      <c r="J54" s="1020" t="str">
        <f>VLOOKUP(B54,[25]!Table2[[Column2]:[Column6]],4,FALSE)</f>
        <v>A3</v>
      </c>
      <c r="K54" s="1020">
        <f>IF(J54="A1",0.8,IF(J54="A2",0.7,IF(J54="A3",0.6,IF(J54="A4",0.5,IF(J54="B1",0.35,IF(J54="B2",0.25,IF(J54="C1",0.15,IF(J54="C2",0.1,0))))))))</f>
        <v>0.6</v>
      </c>
      <c r="L54" s="1021">
        <v>20</v>
      </c>
      <c r="M54" s="1021">
        <f>VLOOKUP(B54,'[26]CN BC'!$F$10:$H$267,3,FALSE)</f>
        <v>21</v>
      </c>
      <c r="N54" s="1021">
        <f>IF(M54&gt;=L54,L54,IF(M54&lt;L54,M54))</f>
        <v>20</v>
      </c>
      <c r="O54" s="1022"/>
      <c r="P54" s="1023">
        <f>(((F54+H54+I54)*$P$9/L54*N54)*K54)+O54</f>
        <v>5601960</v>
      </c>
      <c r="Q54" s="1022">
        <v>24.5</v>
      </c>
      <c r="R54" s="1024">
        <f>A54</f>
        <v>42</v>
      </c>
      <c r="S54" s="1025">
        <f>VLOOKUP(B54,'[26]CN BC'!$F$10:$K$267,6,FALSE)</f>
        <v>0</v>
      </c>
      <c r="T54" s="1011" t="str">
        <f>VLOOKUP(B54,TH.T4!B28:AC358,28,FALSE)</f>
        <v>TCHC</v>
      </c>
      <c r="U54" s="1027"/>
      <c r="V54" s="1489"/>
      <c r="W54" s="1012"/>
      <c r="X54" s="1012"/>
      <c r="Y54" s="1012"/>
    </row>
    <row r="55" spans="1:29" s="1028" customFormat="1" ht="45" customHeight="1">
      <c r="A55" s="1014">
        <f>_xlfn.AGGREGATE(4,7,A$12:A54)+1</f>
        <v>43</v>
      </c>
      <c r="B55" s="1015" t="s">
        <v>1560</v>
      </c>
      <c r="C55" s="1029" t="s">
        <v>1825</v>
      </c>
      <c r="D55" s="1484">
        <v>1603215002692</v>
      </c>
      <c r="E55" s="81" t="s">
        <v>2448</v>
      </c>
      <c r="F55" s="1040">
        <v>3.66</v>
      </c>
      <c r="G55" s="1019"/>
      <c r="H55" s="1248">
        <f t="shared" ref="H55" si="7">ROUND(F55*G55,3)</f>
        <v>0</v>
      </c>
      <c r="I55" s="1491">
        <v>0.45</v>
      </c>
      <c r="J55" s="1020" t="str">
        <f>VLOOKUP(B55,[25]!Table2[[Column2]:[Column6]],4,FALSE)</f>
        <v>A1</v>
      </c>
      <c r="K55" s="1020">
        <f t="shared" ref="K55" si="8">IF(J55="A1",0.8,IF(J55="A2",0.7,IF(J55="A3",0.6,IF(J55="A4",0.5,IF(J55="B1",0.35,IF(J55="B2",0.25,IF(J55="C1",0.15,IF(J55="C2",0.1,0))))))))</f>
        <v>0.8</v>
      </c>
      <c r="L55" s="1021">
        <v>20</v>
      </c>
      <c r="M55" s="1021">
        <f>VLOOKUP(B55,'[26]CN BC'!$F$10:$H$267,3,FALSE)</f>
        <v>24</v>
      </c>
      <c r="N55" s="1021">
        <f t="shared" ref="N55" si="9">IF(M55&gt;=L55,L55,IF(M55&lt;L55,M55))</f>
        <v>20</v>
      </c>
      <c r="O55" s="1022"/>
      <c r="P55" s="1023">
        <f t="shared" ref="P55" si="10">(((F55+H55+I55)*$P$9/L55*N55)*K55)+O55</f>
        <v>7693920</v>
      </c>
      <c r="Q55" s="1114">
        <v>23</v>
      </c>
      <c r="R55" s="1024">
        <f t="shared" ref="R55" si="11">A55</f>
        <v>43</v>
      </c>
      <c r="S55" s="1025">
        <f>VLOOKUP(B55,'[26]CN BC'!$F$10:$K$267,6,FALSE)</f>
        <v>0</v>
      </c>
      <c r="T55" s="1011" t="str">
        <f>VLOOKUP(B55,TH.T4!B72:AC402,28,FALSE)</f>
        <v>XD-NL</v>
      </c>
      <c r="U55" s="1027"/>
      <c r="V55" s="1489"/>
      <c r="W55" s="1012"/>
      <c r="X55" s="1012"/>
      <c r="Y55" s="1012"/>
      <c r="Z55" s="1012"/>
      <c r="AA55" s="1012"/>
      <c r="AB55" s="1012"/>
      <c r="AC55" s="1012"/>
    </row>
    <row r="56" spans="1:29" s="1028" customFormat="1" ht="43.5" customHeight="1">
      <c r="A56" s="1014">
        <f>_xlfn.AGGREGATE(4,7,A$12:A55)+1</f>
        <v>44</v>
      </c>
      <c r="B56" s="1015" t="s">
        <v>1471</v>
      </c>
      <c r="C56" s="1033" t="s">
        <v>1680</v>
      </c>
      <c r="D56" s="1045" t="s">
        <v>1581</v>
      </c>
      <c r="E56" s="81" t="s">
        <v>2436</v>
      </c>
      <c r="F56" s="1018">
        <v>4.9800000000000004</v>
      </c>
      <c r="G56" s="1019"/>
      <c r="H56" s="1248">
        <f>ROUND(F56*G56,3)</f>
        <v>0</v>
      </c>
      <c r="I56" s="1491">
        <v>0.45</v>
      </c>
      <c r="J56" s="1020" t="str">
        <f>VLOOKUP(B56,[25]!Table2[[Column2]:[Column6]],4,FALSE)</f>
        <v>A1</v>
      </c>
      <c r="K56" s="1020">
        <f>IF(J56="A1",0.8,IF(J56="A2",0.7,IF(J56="A3",0.6,IF(J56="A4",0.5,IF(J56="B1",0.35,IF(J56="B2",0.25,IF(J56="C1",0.15,IF(J56="C2",0.1,0))))))))</f>
        <v>0.8</v>
      </c>
      <c r="L56" s="1021">
        <v>20</v>
      </c>
      <c r="M56" s="1021">
        <f>VLOOKUP(B56,'[26]CN BC'!$F$10:$H$267,3,FALSE)</f>
        <v>20</v>
      </c>
      <c r="N56" s="1021">
        <f>IF(M56&gt;=L56,L56,IF(M56&lt;L56,M56))</f>
        <v>20</v>
      </c>
      <c r="O56" s="1022"/>
      <c r="P56" s="1023">
        <f>(((F56+H56+I56)*$P$9/L56*N56)*K56)+O56</f>
        <v>10164960.000000002</v>
      </c>
      <c r="Q56" s="1035">
        <v>23</v>
      </c>
      <c r="R56" s="1024">
        <f>A56</f>
        <v>44</v>
      </c>
      <c r="S56" s="1025">
        <f>VLOOKUP(B56,'[26]CN BC'!$F$10:$K$267,6,FALSE)</f>
        <v>0</v>
      </c>
      <c r="T56" s="1011" t="str">
        <f>VLOOKUP(B56,TH.T4!B90:AC420,28,FALSE)</f>
        <v>QLKH</v>
      </c>
      <c r="U56" s="1038"/>
      <c r="V56" s="1489"/>
    </row>
    <row r="57" spans="1:29" s="1012" customFormat="1" ht="43.5" customHeight="1">
      <c r="A57" s="1014">
        <f>_xlfn.AGGREGATE(4,7,A$12:A56)+1</f>
        <v>45</v>
      </c>
      <c r="B57" s="1050" t="s">
        <v>1902</v>
      </c>
      <c r="C57" s="1029" t="s">
        <v>1785</v>
      </c>
      <c r="D57" s="1051" t="s">
        <v>1391</v>
      </c>
      <c r="E57" s="81" t="s">
        <v>2436</v>
      </c>
      <c r="F57" s="1052">
        <v>4.6500000000000004</v>
      </c>
      <c r="G57" s="1053"/>
      <c r="H57" s="1248">
        <f t="shared" si="0"/>
        <v>0</v>
      </c>
      <c r="I57" s="1054">
        <v>0.35</v>
      </c>
      <c r="J57" s="1020" t="str">
        <f>VLOOKUP(B57,[25]!Table2[[Column2]:[Column6]],4,FALSE)</f>
        <v>A1</v>
      </c>
      <c r="K57" s="1020">
        <f t="shared" si="1"/>
        <v>0.8</v>
      </c>
      <c r="L57" s="1021">
        <v>20</v>
      </c>
      <c r="M57" s="1021">
        <f>VLOOKUP(B57,'[26]CN BC'!$F$10:$H$267,3,FALSE)</f>
        <v>21</v>
      </c>
      <c r="N57" s="1021">
        <f t="shared" si="2"/>
        <v>20</v>
      </c>
      <c r="O57" s="1022"/>
      <c r="P57" s="1023">
        <f t="shared" si="3"/>
        <v>9360000</v>
      </c>
      <c r="Q57" s="1022">
        <v>28</v>
      </c>
      <c r="R57" s="1024">
        <f t="shared" si="6"/>
        <v>45</v>
      </c>
      <c r="S57" s="1025">
        <f>VLOOKUP(B57,'[26]CN BC'!$F$10:$K$267,6,FALSE)</f>
        <v>0</v>
      </c>
      <c r="T57" s="1011" t="str">
        <f>VLOOKUP(B57,TH.T4!B68:AC398,28,FALSE)</f>
        <v>TSĐT</v>
      </c>
      <c r="U57" s="1027"/>
      <c r="V57" s="1489"/>
    </row>
    <row r="58" spans="1:29" s="1028" customFormat="1" ht="33.75" customHeight="1">
      <c r="A58" s="1014">
        <f>_xlfn.AGGREGATE(4,7,A$12:A57)+1</f>
        <v>46</v>
      </c>
      <c r="B58" s="1015" t="s">
        <v>1561</v>
      </c>
      <c r="C58" s="1033" t="s">
        <v>1657</v>
      </c>
      <c r="D58" s="1030" t="s">
        <v>1562</v>
      </c>
      <c r="E58" s="81" t="s">
        <v>2437</v>
      </c>
      <c r="F58" s="1040">
        <v>3.66</v>
      </c>
      <c r="G58" s="1019"/>
      <c r="H58" s="1248">
        <f>ROUND(F58*G58,3)</f>
        <v>0</v>
      </c>
      <c r="I58" s="1020"/>
      <c r="J58" s="1020" t="str">
        <f>VLOOKUP(B58,[25]!Table2[[Column2]:[Column6]],4,FALSE)</f>
        <v>A2</v>
      </c>
      <c r="K58" s="1020">
        <f>IF(J58="A1",0.8,IF(J58="A2",0.7,IF(J58="A3",0.6,IF(J58="A4",0.5,IF(J58="B1",0.35,IF(J58="B2",0.25,IF(J58="C1",0.15,IF(J58="C2",0.1,0))))))))</f>
        <v>0.7</v>
      </c>
      <c r="L58" s="1021">
        <v>20</v>
      </c>
      <c r="M58" s="1021">
        <f>VLOOKUP(B58,'[26]CN BC'!$F$10:$H$267,3,FALSE)</f>
        <v>22</v>
      </c>
      <c r="N58" s="1021">
        <f>IF(M58&gt;=L58,L58,IF(M58&lt;L58,M58))</f>
        <v>20</v>
      </c>
      <c r="O58" s="1022"/>
      <c r="P58" s="1023">
        <f>(((F58+H58+I58)*$P$9/L58*N58)*K58)+O58</f>
        <v>5995080</v>
      </c>
      <c r="Q58" s="1035">
        <v>30</v>
      </c>
      <c r="R58" s="1024">
        <f>A58</f>
        <v>46</v>
      </c>
      <c r="S58" s="1025">
        <f>VLOOKUP(B58,'[26]CN BC'!$F$10:$K$267,6,FALSE)</f>
        <v>0</v>
      </c>
      <c r="T58" s="1011" t="str">
        <f>VLOOKUP(B58,TH.T4!B66:AC396,28,FALSE)</f>
        <v>TSĐT</v>
      </c>
      <c r="U58" s="1038"/>
      <c r="V58" s="1489"/>
    </row>
    <row r="59" spans="1:29" s="1028" customFormat="1" ht="33.75" customHeight="1">
      <c r="A59" s="1014">
        <f>_xlfn.AGGREGATE(4,7,A$12:A58)+1</f>
        <v>47</v>
      </c>
      <c r="B59" s="1015" t="s">
        <v>1858</v>
      </c>
      <c r="C59" s="1033" t="s">
        <v>1659</v>
      </c>
      <c r="D59" s="1034" t="s">
        <v>1285</v>
      </c>
      <c r="E59" s="81" t="s">
        <v>2437</v>
      </c>
      <c r="F59" s="1018">
        <v>4.9800000000000004</v>
      </c>
      <c r="G59" s="1019"/>
      <c r="H59" s="1248">
        <f t="shared" si="0"/>
        <v>0</v>
      </c>
      <c r="I59" s="1020"/>
      <c r="J59" s="1020" t="str">
        <f>VLOOKUP(B59,[25]!Table2[[Column2]:[Column6]],4,FALSE)</f>
        <v>A1</v>
      </c>
      <c r="K59" s="1020">
        <f t="shared" si="1"/>
        <v>0.8</v>
      </c>
      <c r="L59" s="1021">
        <v>20</v>
      </c>
      <c r="M59" s="1021">
        <f>VLOOKUP(B59,'[26]CN BC'!$F$10:$H$267,3,FALSE)</f>
        <v>22</v>
      </c>
      <c r="N59" s="1021">
        <f t="shared" si="2"/>
        <v>20</v>
      </c>
      <c r="O59" s="1022"/>
      <c r="P59" s="1023">
        <f t="shared" si="3"/>
        <v>9322560.0000000019</v>
      </c>
      <c r="Q59" s="1035">
        <v>26</v>
      </c>
      <c r="R59" s="1024">
        <f t="shared" si="6"/>
        <v>47</v>
      </c>
      <c r="S59" s="1025">
        <f>VLOOKUP(B59,'[26]CN BC'!$F$10:$K$267,6,FALSE)</f>
        <v>0</v>
      </c>
      <c r="T59" s="1011" t="str">
        <f>VLOOKUP(B59,TH.T4!B69:AC399,28,FALSE)</f>
        <v>TSĐT</v>
      </c>
      <c r="U59" s="1027"/>
      <c r="V59" s="1489"/>
      <c r="W59" s="1012"/>
      <c r="X59" s="1012"/>
      <c r="Y59" s="1012"/>
    </row>
    <row r="60" spans="1:29" s="1028" customFormat="1" ht="33.75" customHeight="1">
      <c r="A60" s="1014">
        <f>_xlfn.AGGREGATE(4,7,A$12:A59)+1</f>
        <v>48</v>
      </c>
      <c r="B60" s="1015" t="s">
        <v>1465</v>
      </c>
      <c r="C60" s="1033" t="s">
        <v>1661</v>
      </c>
      <c r="D60" s="1047">
        <v>1603205182394</v>
      </c>
      <c r="E60" s="81" t="s">
        <v>2437</v>
      </c>
      <c r="F60" s="1018">
        <v>4.32</v>
      </c>
      <c r="G60" s="1019"/>
      <c r="H60" s="1248">
        <f t="shared" si="0"/>
        <v>0</v>
      </c>
      <c r="I60" s="1020"/>
      <c r="J60" s="1020" t="str">
        <f>VLOOKUP(B60,[25]!Table2[[Column2]:[Column6]],4,FALSE)</f>
        <v>A1</v>
      </c>
      <c r="K60" s="1020">
        <f t="shared" si="1"/>
        <v>0.8</v>
      </c>
      <c r="L60" s="1021">
        <v>20</v>
      </c>
      <c r="M60" s="1021">
        <f>VLOOKUP(B60,'[26]CN BC'!$F$10:$H$267,3,FALSE)</f>
        <v>22.5</v>
      </c>
      <c r="N60" s="1021">
        <f t="shared" si="2"/>
        <v>20</v>
      </c>
      <c r="O60" s="1022"/>
      <c r="P60" s="1023">
        <f t="shared" si="3"/>
        <v>8087040</v>
      </c>
      <c r="Q60" s="1035">
        <v>26</v>
      </c>
      <c r="R60" s="1024">
        <f t="shared" si="6"/>
        <v>48</v>
      </c>
      <c r="S60" s="1025">
        <f>VLOOKUP(B60,'[26]CN BC'!$F$10:$K$267,6,FALSE)</f>
        <v>0</v>
      </c>
      <c r="T60" s="1011" t="str">
        <f>VLOOKUP(B60,TH.T4!B70:AC400,28,FALSE)</f>
        <v>TSĐT</v>
      </c>
      <c r="U60" s="1027"/>
      <c r="V60" s="1489"/>
      <c r="W60" s="1012"/>
      <c r="X60" s="1012"/>
      <c r="Y60" s="1012"/>
    </row>
    <row r="61" spans="1:29" s="1028" customFormat="1" ht="33.75" customHeight="1">
      <c r="A61" s="1014">
        <f>_xlfn.AGGREGATE(4,7,A$12:A60)+1</f>
        <v>49</v>
      </c>
      <c r="B61" s="1015" t="s">
        <v>844</v>
      </c>
      <c r="C61" s="1033" t="s">
        <v>1662</v>
      </c>
      <c r="D61" s="1047" t="s">
        <v>369</v>
      </c>
      <c r="E61" s="81" t="s">
        <v>2437</v>
      </c>
      <c r="F61" s="1018">
        <v>3.66</v>
      </c>
      <c r="G61" s="1019"/>
      <c r="H61" s="1248">
        <f t="shared" si="0"/>
        <v>0</v>
      </c>
      <c r="I61" s="1020"/>
      <c r="J61" s="1020" t="str">
        <f>VLOOKUP(B61,[25]!Table2[[Column2]:[Column6]],4,FALSE)</f>
        <v>A1</v>
      </c>
      <c r="K61" s="1020">
        <f t="shared" si="1"/>
        <v>0.8</v>
      </c>
      <c r="L61" s="1021">
        <v>20</v>
      </c>
      <c r="M61" s="1021">
        <f>VLOOKUP(B61,'[26]CN BC'!$F$10:$H$267,3,FALSE)</f>
        <v>22</v>
      </c>
      <c r="N61" s="1021">
        <f t="shared" si="2"/>
        <v>20</v>
      </c>
      <c r="O61" s="1022"/>
      <c r="P61" s="1023">
        <f t="shared" si="3"/>
        <v>6851520</v>
      </c>
      <c r="Q61" s="1035">
        <v>30</v>
      </c>
      <c r="R61" s="1024">
        <f t="shared" si="6"/>
        <v>49</v>
      </c>
      <c r="S61" s="1025">
        <f>VLOOKUP(B61,'[26]CN BC'!$F$10:$K$267,6,FALSE)</f>
        <v>0</v>
      </c>
      <c r="T61" s="1011" t="str">
        <f>VLOOKUP(B61,TH.T4!B71:AC401,28,FALSE)</f>
        <v>TSĐT</v>
      </c>
      <c r="U61" s="1027"/>
      <c r="V61" s="1489"/>
      <c r="W61" s="1012"/>
      <c r="X61" s="1012"/>
      <c r="Y61" s="1012"/>
    </row>
    <row r="62" spans="1:29" s="1028" customFormat="1" ht="33.75" customHeight="1">
      <c r="A62" s="1014">
        <f>_xlfn.AGGREGATE(4,7,A$12:A61)+1</f>
        <v>50</v>
      </c>
      <c r="B62" s="1061" t="s">
        <v>1557</v>
      </c>
      <c r="C62" s="1033" t="s">
        <v>1664</v>
      </c>
      <c r="D62" s="1057">
        <v>1603205182762</v>
      </c>
      <c r="E62" s="81" t="s">
        <v>2437</v>
      </c>
      <c r="F62" s="1040">
        <v>3.99</v>
      </c>
      <c r="G62" s="1062"/>
      <c r="H62" s="1248">
        <f t="shared" si="0"/>
        <v>0</v>
      </c>
      <c r="I62" s="1018"/>
      <c r="J62" s="1020" t="str">
        <f>VLOOKUP(B62,[25]!Table2[[Column2]:[Column6]],4,FALSE)</f>
        <v>A1</v>
      </c>
      <c r="K62" s="1020">
        <f t="shared" si="1"/>
        <v>0.8</v>
      </c>
      <c r="L62" s="1021">
        <v>20</v>
      </c>
      <c r="M62" s="1021">
        <f>VLOOKUP(B62,'[26]CN BC'!$F$10:$H$267,3,FALSE)</f>
        <v>24.5</v>
      </c>
      <c r="N62" s="1021">
        <f t="shared" si="2"/>
        <v>20</v>
      </c>
      <c r="O62" s="1022"/>
      <c r="P62" s="1023">
        <f t="shared" si="3"/>
        <v>7469280</v>
      </c>
      <c r="Q62" s="1035">
        <v>27</v>
      </c>
      <c r="R62" s="1024">
        <f t="shared" si="6"/>
        <v>50</v>
      </c>
      <c r="S62" s="1025">
        <f>VLOOKUP(B62,'[26]CN BC'!$F$10:$K$267,6,FALSE)</f>
        <v>0</v>
      </c>
      <c r="T62" s="1011" t="str">
        <f>VLOOKUP(B62,TH.T4!B72:AC402,28,FALSE)</f>
        <v>TSĐT</v>
      </c>
      <c r="U62" s="1027"/>
      <c r="V62" s="1489"/>
      <c r="W62" s="1012"/>
      <c r="X62" s="1012"/>
      <c r="Y62" s="1012"/>
    </row>
    <row r="63" spans="1:29" s="1028" customFormat="1" ht="33.75" customHeight="1">
      <c r="A63" s="1014">
        <f>_xlfn.AGGREGATE(4,7,A$12:A62)+1</f>
        <v>51</v>
      </c>
      <c r="B63" s="1015" t="s">
        <v>1524</v>
      </c>
      <c r="C63" s="1033" t="s">
        <v>1666</v>
      </c>
      <c r="D63" s="1047">
        <v>1603205182178</v>
      </c>
      <c r="E63" s="81" t="s">
        <v>2437</v>
      </c>
      <c r="F63" s="1018">
        <v>3.99</v>
      </c>
      <c r="G63" s="1019"/>
      <c r="H63" s="1248">
        <f t="shared" si="0"/>
        <v>0</v>
      </c>
      <c r="I63" s="1020"/>
      <c r="J63" s="1020" t="str">
        <f>VLOOKUP(B63,[25]!Table2[[Column2]:[Column6]],4,FALSE)</f>
        <v>A2</v>
      </c>
      <c r="K63" s="1020">
        <f t="shared" si="1"/>
        <v>0.7</v>
      </c>
      <c r="L63" s="1021">
        <v>20</v>
      </c>
      <c r="M63" s="1021">
        <f>VLOOKUP(B63,'[26]CN BC'!$F$10:$H$267,3,FALSE)</f>
        <v>23</v>
      </c>
      <c r="N63" s="1021">
        <f t="shared" si="2"/>
        <v>20</v>
      </c>
      <c r="O63" s="1022"/>
      <c r="P63" s="1023">
        <f t="shared" si="3"/>
        <v>6535620</v>
      </c>
      <c r="Q63" s="1035">
        <v>26</v>
      </c>
      <c r="R63" s="1024">
        <f t="shared" si="6"/>
        <v>51</v>
      </c>
      <c r="S63" s="1025">
        <f>VLOOKUP(B63,'[26]CN BC'!$F$10:$K$267,6,FALSE)</f>
        <v>0</v>
      </c>
      <c r="T63" s="1011" t="str">
        <f>VLOOKUP(B63,TH.T4!B73:AC403,28,FALSE)</f>
        <v>TSĐT</v>
      </c>
      <c r="U63" s="1038"/>
      <c r="V63" s="1489"/>
    </row>
    <row r="64" spans="1:29" s="1028" customFormat="1" ht="33.75" customHeight="1">
      <c r="A64" s="1014">
        <f>_xlfn.AGGREGATE(4,7,A$12:A63)+1</f>
        <v>52</v>
      </c>
      <c r="B64" s="1043" t="s">
        <v>1860</v>
      </c>
      <c r="C64" s="1044" t="s">
        <v>1667</v>
      </c>
      <c r="D64" s="1045">
        <v>1603205351697</v>
      </c>
      <c r="E64" s="81" t="s">
        <v>2437</v>
      </c>
      <c r="F64" s="1040">
        <v>3.66</v>
      </c>
      <c r="G64" s="1019"/>
      <c r="H64" s="1255">
        <f t="shared" si="0"/>
        <v>0</v>
      </c>
      <c r="I64" s="1020"/>
      <c r="J64" s="1020" t="str">
        <f>VLOOKUP(B64,[25]!Table2[[Column2]:[Column6]],4,FALSE)</f>
        <v>A1</v>
      </c>
      <c r="K64" s="1020">
        <f t="shared" si="1"/>
        <v>0.8</v>
      </c>
      <c r="L64" s="1021">
        <v>20</v>
      </c>
      <c r="M64" s="1021">
        <f>VLOOKUP(B64,'[26]CN BC'!$F$10:$H$267,3,FALSE)</f>
        <v>22</v>
      </c>
      <c r="N64" s="1021">
        <f t="shared" si="2"/>
        <v>20</v>
      </c>
      <c r="O64" s="1035"/>
      <c r="P64" s="1023">
        <f t="shared" si="3"/>
        <v>6851520</v>
      </c>
      <c r="Q64" s="1035">
        <v>28</v>
      </c>
      <c r="R64" s="1024">
        <f t="shared" si="6"/>
        <v>52</v>
      </c>
      <c r="S64" s="1025">
        <f>VLOOKUP(B64,'[26]CN BC'!$F$10:$K$267,6,FALSE)</f>
        <v>0</v>
      </c>
      <c r="T64" s="1067" t="str">
        <f>VLOOKUP(B64,TH.T4!B74:AC404,28,FALSE)</f>
        <v>TSĐT</v>
      </c>
      <c r="U64" s="1038"/>
      <c r="V64" s="1489"/>
    </row>
    <row r="65" spans="1:29" s="1028" customFormat="1" ht="33.75" customHeight="1">
      <c r="A65" s="1014">
        <f>_xlfn.AGGREGATE(4,7,A$12:A64)+1</f>
        <v>53</v>
      </c>
      <c r="B65" s="1061" t="s">
        <v>1556</v>
      </c>
      <c r="C65" s="1033" t="s">
        <v>1648</v>
      </c>
      <c r="D65" s="1057">
        <v>1603205182727</v>
      </c>
      <c r="E65" s="81" t="s">
        <v>2437</v>
      </c>
      <c r="F65" s="1040">
        <v>4.6500000000000004</v>
      </c>
      <c r="G65" s="1062"/>
      <c r="H65" s="1248">
        <f>ROUND(F65*G65,3)</f>
        <v>0</v>
      </c>
      <c r="I65" s="1018"/>
      <c r="J65" s="1020" t="str">
        <f>VLOOKUP(B65,[25]!Table2[[Column2]:[Column6]],4,FALSE)</f>
        <v>A2</v>
      </c>
      <c r="K65" s="1020">
        <f>IF(J65="A1",0.8,IF(J65="A2",0.7,IF(J65="A3",0.6,IF(J65="A4",0.5,IF(J65="B1",0.35,IF(J65="B2",0.25,IF(J65="C1",0.15,IF(J65="C2",0.1,0))))))))</f>
        <v>0.7</v>
      </c>
      <c r="L65" s="1021">
        <v>20</v>
      </c>
      <c r="M65" s="1021">
        <f>VLOOKUP(B65,'[26]CN BC'!$F$10:$H$267,3,FALSE)</f>
        <v>20.5</v>
      </c>
      <c r="N65" s="1021">
        <f>IF(M65&gt;=L65,L65,IF(M65&lt;L65,M65))</f>
        <v>20</v>
      </c>
      <c r="O65" s="1022"/>
      <c r="P65" s="1023">
        <f>(((F65+H65+I65)*$P$9/L65*N65)*K65)+O65</f>
        <v>7616699.9999999991</v>
      </c>
      <c r="Q65" s="1035">
        <v>24</v>
      </c>
      <c r="R65" s="1024">
        <f>A65</f>
        <v>53</v>
      </c>
      <c r="S65" s="1025">
        <f>VLOOKUP(B65,'[26]CN BC'!$F$10:$K$267,6,FALSE)</f>
        <v>0</v>
      </c>
      <c r="T65" s="1011" t="str">
        <f>VLOOKUP(B65,TH.T4!B59:AC389,28,FALSE)</f>
        <v>TTrGD</v>
      </c>
      <c r="U65" s="1027"/>
      <c r="V65" s="1489"/>
      <c r="W65" s="1012"/>
      <c r="X65" s="1012"/>
      <c r="Y65" s="1012"/>
    </row>
    <row r="66" spans="1:29" s="1028" customFormat="1" ht="33.75" customHeight="1">
      <c r="A66" s="1014">
        <f>_xlfn.AGGREGATE(4,7,A$12:A65)+1</f>
        <v>54</v>
      </c>
      <c r="B66" s="1043" t="s">
        <v>2009</v>
      </c>
      <c r="C66" s="1044"/>
      <c r="D66" s="1045"/>
      <c r="E66" s="81" t="s">
        <v>2437</v>
      </c>
      <c r="F66" s="1040">
        <v>3.99</v>
      </c>
      <c r="G66" s="1019"/>
      <c r="H66" s="1248">
        <f>ROUND(F66*G66,3)</f>
        <v>0</v>
      </c>
      <c r="I66" s="1020"/>
      <c r="J66" s="1020" t="str">
        <f>VLOOKUP(B66,[25]!Table2[[Column2]:[Column6]],4,FALSE)</f>
        <v>A2</v>
      </c>
      <c r="K66" s="1020">
        <f>IF(J66="A1",0.8,IF(J66="A2",0.7,IF(J66="A3",0.6,IF(J66="A4",0.5,IF(J66="B1",0.35,IF(J66="B2",0.25,IF(J66="C1",0.15,IF(J66="C2",0.1,0))))))))</f>
        <v>0.7</v>
      </c>
      <c r="L66" s="1021">
        <v>20</v>
      </c>
      <c r="M66" s="1021">
        <f>VLOOKUP(B66,'[26]CN BC'!$F$10:$H$267,3,FALSE)</f>
        <v>19.5</v>
      </c>
      <c r="N66" s="1021">
        <f>IF(M66&gt;=L66,L66,IF(M66&lt;L66,M66))</f>
        <v>19.5</v>
      </c>
      <c r="O66" s="1022"/>
      <c r="P66" s="1023">
        <f>(((F66+H66+I66)*$P$9/L66*N66)*K66)+O66</f>
        <v>6372229.5</v>
      </c>
      <c r="Q66" s="1035"/>
      <c r="R66" s="1024">
        <f>A66</f>
        <v>54</v>
      </c>
      <c r="S66" s="1025" t="str">
        <f>VLOOKUP(B66,'[26]CN BC'!$F$10:$K$267,6,FALSE)</f>
        <v xml:space="preserve">Trừ 1/2 ngày nghỉ phép </v>
      </c>
      <c r="T66" s="1011" t="str">
        <f>VLOOKUP(B66,TH.T4!B91:AC421,28,FALSE)</f>
        <v>QLKH</v>
      </c>
      <c r="U66" s="1038"/>
      <c r="V66" s="1489"/>
    </row>
    <row r="67" spans="1:29" s="1012" customFormat="1" ht="45.75" customHeight="1">
      <c r="A67" s="1014">
        <f>_xlfn.AGGREGATE(4,7,A$12:A66)+1</f>
        <v>55</v>
      </c>
      <c r="B67" s="1050" t="s">
        <v>1861</v>
      </c>
      <c r="C67" s="1029" t="s">
        <v>1668</v>
      </c>
      <c r="D67" s="1051" t="s">
        <v>1361</v>
      </c>
      <c r="E67" s="81" t="s">
        <v>2438</v>
      </c>
      <c r="F67" s="1052">
        <v>4.6500000000000004</v>
      </c>
      <c r="G67" s="1053"/>
      <c r="H67" s="1248">
        <f t="shared" si="0"/>
        <v>0</v>
      </c>
      <c r="I67" s="1020">
        <v>0.45</v>
      </c>
      <c r="J67" s="1020" t="str">
        <f>VLOOKUP(B67,[25]!Table2[[Column2]:[Column6]],4,FALSE)</f>
        <v>A2</v>
      </c>
      <c r="K67" s="1020">
        <f t="shared" si="1"/>
        <v>0.7</v>
      </c>
      <c r="L67" s="1021">
        <v>20</v>
      </c>
      <c r="M67" s="1021">
        <f>VLOOKUP(B67,'[26]CN BC'!$F$10:$H$267,3,FALSE)</f>
        <v>23</v>
      </c>
      <c r="N67" s="1021">
        <f t="shared" si="2"/>
        <v>20</v>
      </c>
      <c r="O67" s="1022"/>
      <c r="P67" s="1023">
        <f t="shared" si="3"/>
        <v>8353800.0000000009</v>
      </c>
      <c r="Q67" s="1022">
        <v>27</v>
      </c>
      <c r="R67" s="1024">
        <f t="shared" si="6"/>
        <v>55</v>
      </c>
      <c r="S67" s="1025">
        <f>VLOOKUP(B67,'[26]CN BC'!$F$10:$K$267,6,FALSE)</f>
        <v>0</v>
      </c>
      <c r="T67" s="1011" t="str">
        <f>VLOOKUP(B67,TH.T4!B76:AC406,28,FALSE)</f>
        <v>KTĐBCL</v>
      </c>
      <c r="U67" s="1027"/>
      <c r="V67" s="1489"/>
    </row>
    <row r="68" spans="1:29" s="1012" customFormat="1" ht="45.75" customHeight="1">
      <c r="A68" s="1014">
        <f>_xlfn.AGGREGATE(4,7,A$12:A67)+1</f>
        <v>56</v>
      </c>
      <c r="B68" s="1050" t="s">
        <v>1853</v>
      </c>
      <c r="C68" s="1029" t="s">
        <v>1639</v>
      </c>
      <c r="D68" s="1051" t="s">
        <v>1271</v>
      </c>
      <c r="E68" s="81" t="s">
        <v>2439</v>
      </c>
      <c r="F68" s="1018">
        <v>4.6500000000000004</v>
      </c>
      <c r="G68" s="1053"/>
      <c r="H68" s="1248">
        <f t="shared" si="0"/>
        <v>0</v>
      </c>
      <c r="I68" s="1054">
        <v>0.35</v>
      </c>
      <c r="J68" s="1020" t="str">
        <f>VLOOKUP(B68,[25]!Table2[[Column2]:[Column6]],4,FALSE)</f>
        <v>A2</v>
      </c>
      <c r="K68" s="1020">
        <f t="shared" si="1"/>
        <v>0.7</v>
      </c>
      <c r="L68" s="1021">
        <v>20</v>
      </c>
      <c r="M68" s="1021">
        <f>VLOOKUP(B68,'[26]CN BC'!$F$10:$H$267,3,FALSE)</f>
        <v>22</v>
      </c>
      <c r="N68" s="1021">
        <f t="shared" si="2"/>
        <v>20</v>
      </c>
      <c r="O68" s="1022"/>
      <c r="P68" s="1023">
        <f t="shared" si="3"/>
        <v>8189999.9999999991</v>
      </c>
      <c r="Q68" s="1022">
        <v>24</v>
      </c>
      <c r="R68" s="1024">
        <f t="shared" si="6"/>
        <v>56</v>
      </c>
      <c r="S68" s="1025">
        <f>VLOOKUP(B68,'[26]CN BC'!$F$10:$K$267,6,FALSE)</f>
        <v>0</v>
      </c>
      <c r="T68" s="1011" t="str">
        <f>VLOOKUP(B68,TH.T4!B77:AC407,28,FALSE)</f>
        <v>KTĐBCL</v>
      </c>
      <c r="U68" s="1027"/>
      <c r="V68" s="1489"/>
    </row>
    <row r="69" spans="1:29" s="1028" customFormat="1" ht="44.25" customHeight="1">
      <c r="A69" s="1014">
        <f>_xlfn.AGGREGATE(4,7,A$12:A68)+1</f>
        <v>57</v>
      </c>
      <c r="B69" s="1015" t="s">
        <v>842</v>
      </c>
      <c r="C69" s="1033" t="s">
        <v>1671</v>
      </c>
      <c r="D69" s="1034" t="s">
        <v>396</v>
      </c>
      <c r="E69" s="81" t="s">
        <v>2440</v>
      </c>
      <c r="F69" s="1018">
        <v>3.66</v>
      </c>
      <c r="G69" s="1019"/>
      <c r="H69" s="1248">
        <f t="shared" si="0"/>
        <v>0</v>
      </c>
      <c r="I69" s="1020"/>
      <c r="J69" s="1020" t="str">
        <f>VLOOKUP(B69,[25]!Table2[[Column2]:[Column6]],4,FALSE)</f>
        <v>A3</v>
      </c>
      <c r="K69" s="1020">
        <f t="shared" si="1"/>
        <v>0.6</v>
      </c>
      <c r="L69" s="1021">
        <v>20</v>
      </c>
      <c r="M69" s="1021">
        <f>VLOOKUP(B69,'[26]CN BC'!$F$10:$H$267,3,FALSE)</f>
        <v>21</v>
      </c>
      <c r="N69" s="1021">
        <f t="shared" si="2"/>
        <v>20</v>
      </c>
      <c r="O69" s="1022"/>
      <c r="P69" s="1023">
        <f t="shared" si="3"/>
        <v>5138640</v>
      </c>
      <c r="Q69" s="1022">
        <v>24</v>
      </c>
      <c r="R69" s="1024">
        <f t="shared" si="6"/>
        <v>57</v>
      </c>
      <c r="S69" s="1025">
        <f>VLOOKUP(B69,'[26]CN BC'!$F$10:$K$267,6,FALSE)</f>
        <v>0</v>
      </c>
      <c r="T69" s="1011" t="str">
        <f>VLOOKUP(B69,TH.T4!B79:AC409,28,FALSE)</f>
        <v>KTĐBCL</v>
      </c>
      <c r="U69" s="1027"/>
      <c r="V69" s="1489"/>
      <c r="W69" s="1012"/>
      <c r="X69" s="1012"/>
      <c r="Y69" s="1012"/>
    </row>
    <row r="70" spans="1:29" s="1028" customFormat="1" ht="44.25" customHeight="1">
      <c r="A70" s="1014">
        <f>_xlfn.AGGREGATE(4,7,A$12:A69)+1</f>
        <v>58</v>
      </c>
      <c r="B70" s="1015" t="s">
        <v>1551</v>
      </c>
      <c r="C70" s="1029" t="s">
        <v>1672</v>
      </c>
      <c r="D70" s="1057">
        <v>1603205182756</v>
      </c>
      <c r="E70" s="81" t="s">
        <v>2440</v>
      </c>
      <c r="F70" s="1018">
        <v>3.66</v>
      </c>
      <c r="G70" s="1019"/>
      <c r="H70" s="1248">
        <f t="shared" si="0"/>
        <v>0</v>
      </c>
      <c r="I70" s="1020"/>
      <c r="J70" s="1020" t="str">
        <f>VLOOKUP(B70,[25]!Table2[[Column2]:[Column6]],4,FALSE)</f>
        <v>A3</v>
      </c>
      <c r="K70" s="1020">
        <f t="shared" si="1"/>
        <v>0.6</v>
      </c>
      <c r="L70" s="1021">
        <v>20</v>
      </c>
      <c r="M70" s="1021">
        <f>VLOOKUP(B70,'[26]CN BC'!$F$10:$H$267,3,FALSE)</f>
        <v>20</v>
      </c>
      <c r="N70" s="1021">
        <f t="shared" si="2"/>
        <v>20</v>
      </c>
      <c r="O70" s="1022"/>
      <c r="P70" s="1023">
        <f t="shared" si="3"/>
        <v>5138640</v>
      </c>
      <c r="Q70" s="1022">
        <v>21</v>
      </c>
      <c r="R70" s="1024">
        <f t="shared" si="6"/>
        <v>58</v>
      </c>
      <c r="S70" s="1025">
        <f>VLOOKUP(B70,'[26]CN BC'!$F$10:$K$267,6,FALSE)</f>
        <v>0</v>
      </c>
      <c r="T70" s="1011" t="str">
        <f>VLOOKUP(B70,TH.T4!B80:AC410,28,FALSE)</f>
        <v>KTĐBCL</v>
      </c>
      <c r="U70" s="1027"/>
      <c r="V70" s="1489"/>
      <c r="W70" s="1012"/>
      <c r="X70" s="1012"/>
      <c r="Y70" s="1012"/>
      <c r="Z70" s="1012"/>
      <c r="AA70" s="1012"/>
      <c r="AB70" s="1012"/>
      <c r="AC70" s="1012"/>
    </row>
    <row r="71" spans="1:29" s="1028" customFormat="1" ht="44.25" customHeight="1">
      <c r="A71" s="1014">
        <f>_xlfn.AGGREGATE(4,7,A$12:A70)+1</f>
        <v>59</v>
      </c>
      <c r="B71" s="1015" t="s">
        <v>1521</v>
      </c>
      <c r="C71" s="1029" t="s">
        <v>1673</v>
      </c>
      <c r="D71" s="1063">
        <v>1603205286752</v>
      </c>
      <c r="E71" s="81" t="s">
        <v>2440</v>
      </c>
      <c r="F71" s="1040">
        <v>3.66</v>
      </c>
      <c r="G71" s="1019"/>
      <c r="H71" s="1248">
        <f t="shared" si="0"/>
        <v>0</v>
      </c>
      <c r="I71" s="1020"/>
      <c r="J71" s="1020" t="str">
        <f>VLOOKUP(B71,[25]!Table2[[Column2]:[Column6]],4,FALSE)</f>
        <v>A3</v>
      </c>
      <c r="K71" s="1020">
        <f t="shared" si="1"/>
        <v>0.6</v>
      </c>
      <c r="L71" s="1021">
        <v>20</v>
      </c>
      <c r="M71" s="1021">
        <f>VLOOKUP(B71,'[26]CN BC'!$F$10:$H$267,3,FALSE)</f>
        <v>21</v>
      </c>
      <c r="N71" s="1021">
        <f t="shared" si="2"/>
        <v>20</v>
      </c>
      <c r="O71" s="1022"/>
      <c r="P71" s="1023">
        <f t="shared" si="3"/>
        <v>5138640</v>
      </c>
      <c r="Q71" s="1022">
        <v>25</v>
      </c>
      <c r="R71" s="1024">
        <f t="shared" si="6"/>
        <v>59</v>
      </c>
      <c r="S71" s="1025">
        <f>VLOOKUP(B71,'[26]CN BC'!$F$10:$K$267,6,FALSE)</f>
        <v>0</v>
      </c>
      <c r="T71" s="1011" t="str">
        <f>VLOOKUP(B71,TH.T4!B81:AC411,28,FALSE)</f>
        <v>KTĐBCL</v>
      </c>
      <c r="U71" s="1027"/>
      <c r="V71" s="1489"/>
      <c r="W71" s="1012"/>
      <c r="X71" s="1012"/>
      <c r="Y71" s="1012"/>
      <c r="Z71" s="1012"/>
      <c r="AA71" s="1012"/>
      <c r="AB71" s="1012"/>
      <c r="AC71" s="1012"/>
    </row>
    <row r="72" spans="1:29" s="1028" customFormat="1" ht="44.25" customHeight="1">
      <c r="A72" s="1014">
        <f>_xlfn.AGGREGATE(4,7,A$12:A71)+1</f>
        <v>60</v>
      </c>
      <c r="B72" s="1015" t="s">
        <v>1484</v>
      </c>
      <c r="C72" s="1033" t="s">
        <v>1649</v>
      </c>
      <c r="D72" s="1045">
        <v>1603205357194</v>
      </c>
      <c r="E72" s="81" t="s">
        <v>2440</v>
      </c>
      <c r="F72" s="1064">
        <v>3.66</v>
      </c>
      <c r="G72" s="1019"/>
      <c r="H72" s="1248">
        <f>ROUND(F72*G72,3)</f>
        <v>0</v>
      </c>
      <c r="I72" s="1020"/>
      <c r="J72" s="1020" t="str">
        <f>VLOOKUP(B72,[25]!Table2[[Column2]:[Column6]],4,FALSE)</f>
        <v>A3</v>
      </c>
      <c r="K72" s="1020">
        <f>IF(J72="A1",0.8,IF(J72="A2",0.7,IF(J72="A3",0.6,IF(J72="A4",0.5,IF(J72="B1",0.35,IF(J72="B2",0.25,IF(J72="C1",0.15,IF(J72="C2",0.1,0))))))))</f>
        <v>0.6</v>
      </c>
      <c r="L72" s="1021">
        <v>20</v>
      </c>
      <c r="M72" s="1021">
        <f>VLOOKUP(B72,'[26]CN BC'!$F$10:$H$267,3,FALSE)</f>
        <v>22</v>
      </c>
      <c r="N72" s="1021">
        <f>IF(M72&gt;=L72,L72,IF(M72&lt;L72,M72))</f>
        <v>20</v>
      </c>
      <c r="O72" s="1022"/>
      <c r="P72" s="1023">
        <f>(((F72+H72+I72)*$P$9/L72*N72)*K72)+O72</f>
        <v>5138640</v>
      </c>
      <c r="Q72" s="1035">
        <v>28</v>
      </c>
      <c r="R72" s="1024">
        <f>A72</f>
        <v>60</v>
      </c>
      <c r="S72" s="1025">
        <f>VLOOKUP(B72,'[26]CN BC'!$F$10:$K$267,6,FALSE)</f>
        <v>0</v>
      </c>
      <c r="T72" s="1011" t="str">
        <f>VLOOKUP(B72,TH.T4!B75:AC405,28,FALSE)</f>
        <v>KTĐBCL</v>
      </c>
      <c r="U72" s="1038"/>
      <c r="V72" s="1489"/>
    </row>
    <row r="73" spans="1:29" s="1028" customFormat="1" ht="44.25" customHeight="1">
      <c r="A73" s="1014">
        <f>_xlfn.AGGREGATE(4,7,A$12:A72)+1</f>
        <v>61</v>
      </c>
      <c r="B73" s="1015" t="s">
        <v>1854</v>
      </c>
      <c r="C73" s="1033" t="s">
        <v>1616</v>
      </c>
      <c r="D73" s="1034" t="s">
        <v>1260</v>
      </c>
      <c r="E73" s="81" t="s">
        <v>2440</v>
      </c>
      <c r="F73" s="1018">
        <v>4.9800000000000004</v>
      </c>
      <c r="G73" s="1019">
        <v>0.09</v>
      </c>
      <c r="H73" s="1255">
        <f>ROUND(F73*G73,3)</f>
        <v>0.44800000000000001</v>
      </c>
      <c r="I73" s="1020"/>
      <c r="J73" s="1020" t="str">
        <f>VLOOKUP(B73,[25]!Table2[[Column2]:[Column6]],4,FALSE)</f>
        <v>A3</v>
      </c>
      <c r="K73" s="1020">
        <f>IF(J73="A1",0.8,IF(J73="A2",0.7,IF(J73="A3",0.6,IF(J73="A4",0.5,IF(J73="B1",0.35,IF(J73="B2",0.25,IF(J73="C1",0.15,IF(J73="C2",0.1,0))))))))</f>
        <v>0.6</v>
      </c>
      <c r="L73" s="1021">
        <v>20</v>
      </c>
      <c r="M73" s="1021">
        <f>VLOOKUP(B73,'[26]CN BC'!$F$10:$H$267,3,FALSE)</f>
        <v>20</v>
      </c>
      <c r="N73" s="1021">
        <f>IF(M73&gt;=L73,L73,IF(M73&lt;L73,M73))</f>
        <v>20</v>
      </c>
      <c r="O73" s="1035"/>
      <c r="P73" s="1023">
        <f>(((F73+H73+I73)*$P$9/L73*N73)*K73)+O73</f>
        <v>7620912.0000000009</v>
      </c>
      <c r="Q73" s="1035">
        <v>28</v>
      </c>
      <c r="R73" s="1024">
        <f>A73</f>
        <v>61</v>
      </c>
      <c r="S73" s="1025">
        <f>VLOOKUP(B73,'[26]CN BC'!$F$10:$K$267,6,FALSE)</f>
        <v>0</v>
      </c>
      <c r="T73" s="1067" t="str">
        <f>VLOOKUP(B73,TH.T4!B60:AC390,28,FALSE)</f>
        <v>TTrGD</v>
      </c>
      <c r="U73" s="1038"/>
      <c r="V73" s="1489"/>
    </row>
    <row r="74" spans="1:29" s="1028" customFormat="1" ht="40.5" customHeight="1">
      <c r="A74" s="1014">
        <f>_xlfn.AGGREGATE(4,7,A$12:A73)+1</f>
        <v>62</v>
      </c>
      <c r="B74" s="1043" t="s">
        <v>1830</v>
      </c>
      <c r="C74" s="1044" t="s">
        <v>1829</v>
      </c>
      <c r="D74" s="1068">
        <v>1603205354978</v>
      </c>
      <c r="E74" s="81" t="s">
        <v>2443</v>
      </c>
      <c r="F74" s="1040">
        <v>3</v>
      </c>
      <c r="G74" s="1019"/>
      <c r="H74" s="1248">
        <f t="shared" ref="H74:H129" si="12">ROUND(F74*G74,3)</f>
        <v>0</v>
      </c>
      <c r="I74" s="1020">
        <v>0.45</v>
      </c>
      <c r="J74" s="1020" t="str">
        <f>VLOOKUP(B74,[25]!Table2[[Column2]:[Column6]],4,FALSE)</f>
        <v>A1</v>
      </c>
      <c r="K74" s="1020">
        <f t="shared" ref="K74:K129" si="13">IF(J74="A1",0.8,IF(J74="A2",0.7,IF(J74="A3",0.6,IF(J74="A4",0.5,IF(J74="B1",0.35,IF(J74="B2",0.25,IF(J74="C1",0.15,IF(J74="C2",0.1,0))))))))</f>
        <v>0.8</v>
      </c>
      <c r="L74" s="1021">
        <v>20</v>
      </c>
      <c r="M74" s="1021">
        <f>VLOOKUP(B74,'[26]CN BC'!$F$10:$H$267,3,FALSE)</f>
        <v>28</v>
      </c>
      <c r="N74" s="1021">
        <f t="shared" ref="N74:N129" si="14">IF(M74&gt;=L74,L74,IF(M74&lt;L74,M74))</f>
        <v>20</v>
      </c>
      <c r="O74" s="1022"/>
      <c r="P74" s="1023">
        <f t="shared" ref="P74:P129" si="15">(((F74+H74+I74)*$P$9/L74*N74)*K74)+O74</f>
        <v>6458400</v>
      </c>
      <c r="Q74" s="1022">
        <v>17</v>
      </c>
      <c r="R74" s="1069">
        <f t="shared" ref="R74:R98" si="16">A74</f>
        <v>62</v>
      </c>
      <c r="S74" s="1025">
        <f>VLOOKUP(B74,'[26]CN BC'!$F$10:$K$267,6,FALSE)</f>
        <v>0</v>
      </c>
      <c r="T74" s="1011" t="str">
        <f>VLOOKUP(B74,TH.T4!B92:AC422,28,FALSE)</f>
        <v>TTĐT</v>
      </c>
      <c r="U74" s="1027"/>
      <c r="V74" s="1489"/>
      <c r="W74" s="1012"/>
      <c r="X74" s="1012"/>
      <c r="Y74" s="1012"/>
    </row>
    <row r="75" spans="1:29" s="1028" customFormat="1" ht="45.75" customHeight="1">
      <c r="A75" s="1014">
        <f>_xlfn.AGGREGATE(4,7,A$12:A74)+1</f>
        <v>63</v>
      </c>
      <c r="B75" s="1043" t="s">
        <v>1606</v>
      </c>
      <c r="C75" s="1044" t="s">
        <v>1635</v>
      </c>
      <c r="D75" s="1058" t="s">
        <v>1604</v>
      </c>
      <c r="E75" s="81" t="s">
        <v>2430</v>
      </c>
      <c r="F75" s="1040">
        <v>3.33</v>
      </c>
      <c r="G75" s="1019"/>
      <c r="H75" s="1248">
        <f t="shared" ref="H75:H80" si="17">ROUND(F75*G75,3)</f>
        <v>0</v>
      </c>
      <c r="I75" s="1020">
        <v>0.35</v>
      </c>
      <c r="J75" s="1020" t="str">
        <f>VLOOKUP(B75,[25]!Table2[[Column2]:[Column6]],4,FALSE)</f>
        <v>A1</v>
      </c>
      <c r="K75" s="1020">
        <f t="shared" ref="K75:K80" si="18">IF(J75="A1",0.8,IF(J75="A2",0.7,IF(J75="A3",0.6,IF(J75="A4",0.5,IF(J75="B1",0.35,IF(J75="B2",0.25,IF(J75="C1",0.15,IF(J75="C2",0.1,0))))))))</f>
        <v>0.8</v>
      </c>
      <c r="L75" s="1021">
        <v>20</v>
      </c>
      <c r="M75" s="1021">
        <f>VLOOKUP(B75,'[26]CN BC'!$F$10:$H$267,3,FALSE)</f>
        <v>27</v>
      </c>
      <c r="N75" s="1021">
        <f t="shared" ref="N75:N80" si="19">IF(M75&gt;=L75,L75,IF(M75&lt;L75,M75))</f>
        <v>20</v>
      </c>
      <c r="O75" s="1022"/>
      <c r="P75" s="1023">
        <f t="shared" ref="P75:P80" si="20">(((F75+H75+I75)*$P$9/L75*N75)*K75)+O75</f>
        <v>6888960</v>
      </c>
      <c r="Q75" s="1035">
        <v>24</v>
      </c>
      <c r="R75" s="1024">
        <f t="shared" ref="R75:R80" si="21">A75</f>
        <v>63</v>
      </c>
      <c r="S75" s="1025">
        <f>VLOOKUP(B75,'[26]CN BC'!$F$10:$K$267,6,FALSE)</f>
        <v>0</v>
      </c>
      <c r="T75" s="1011" t="str">
        <f>VLOOKUP(B75,TH.T4!B45:AC375,28,FALSE)</f>
        <v>TTĐT</v>
      </c>
      <c r="U75" s="1038"/>
      <c r="V75" s="1489"/>
    </row>
    <row r="76" spans="1:29" s="1028" customFormat="1" ht="42" customHeight="1">
      <c r="A76" s="1014">
        <f>_xlfn.AGGREGATE(4,7,A$12:A75)+1</f>
        <v>64</v>
      </c>
      <c r="B76" s="1015" t="s">
        <v>1522</v>
      </c>
      <c r="C76" s="1033" t="s">
        <v>1633</v>
      </c>
      <c r="D76" s="1057">
        <v>1603205357238</v>
      </c>
      <c r="E76" s="81" t="s">
        <v>2429</v>
      </c>
      <c r="F76" s="1018">
        <v>3.66</v>
      </c>
      <c r="G76" s="1019"/>
      <c r="H76" s="1248">
        <f t="shared" si="17"/>
        <v>0</v>
      </c>
      <c r="I76" s="1020"/>
      <c r="J76" s="1020" t="str">
        <f>VLOOKUP(B76,[25]!Table2[[Column2]:[Column6]],4,FALSE)</f>
        <v>A1</v>
      </c>
      <c r="K76" s="1020">
        <f t="shared" si="18"/>
        <v>0.8</v>
      </c>
      <c r="L76" s="1021">
        <v>20</v>
      </c>
      <c r="M76" s="1021">
        <f>VLOOKUP(B76,'[26]CN BC'!$F$10:$H$267,3,FALSE)</f>
        <v>22</v>
      </c>
      <c r="N76" s="1021">
        <f t="shared" si="19"/>
        <v>20</v>
      </c>
      <c r="O76" s="1022"/>
      <c r="P76" s="1023">
        <f t="shared" si="20"/>
        <v>6851520</v>
      </c>
      <c r="Q76" s="1022">
        <v>24</v>
      </c>
      <c r="R76" s="1024">
        <f t="shared" si="21"/>
        <v>64</v>
      </c>
      <c r="S76" s="1025">
        <f>VLOOKUP(B76,'[26]CN BC'!$F$10:$K$267,6,FALSE)</f>
        <v>0</v>
      </c>
      <c r="T76" s="1011" t="str">
        <f>VLOOKUP(B76,TH.T4!B43:AC373,28,FALSE)</f>
        <v>TTĐT</v>
      </c>
      <c r="U76" s="1027"/>
      <c r="V76" s="1489"/>
      <c r="W76" s="1012"/>
      <c r="X76" s="1012"/>
      <c r="Y76" s="1012"/>
    </row>
    <row r="77" spans="1:29" s="1028" customFormat="1" ht="42" customHeight="1">
      <c r="A77" s="1014">
        <f>_xlfn.AGGREGATE(4,7,A$12:A76)+1</f>
        <v>65</v>
      </c>
      <c r="B77" s="1015" t="s">
        <v>1523</v>
      </c>
      <c r="C77" s="1033" t="s">
        <v>1634</v>
      </c>
      <c r="D77" s="1045">
        <v>1603205302590</v>
      </c>
      <c r="E77" s="81" t="s">
        <v>2429</v>
      </c>
      <c r="F77" s="1018">
        <v>3.66</v>
      </c>
      <c r="G77" s="1019"/>
      <c r="H77" s="1248">
        <f t="shared" si="17"/>
        <v>0</v>
      </c>
      <c r="I77" s="1020"/>
      <c r="J77" s="1020" t="str">
        <f>VLOOKUP(B77,[25]!Table2[[Column2]:[Column6]],4,FALSE)</f>
        <v>A2</v>
      </c>
      <c r="K77" s="1020">
        <f t="shared" si="18"/>
        <v>0.7</v>
      </c>
      <c r="L77" s="1021">
        <v>20</v>
      </c>
      <c r="M77" s="1021">
        <f>VLOOKUP(B77,'[26]CN BC'!$F$10:$H$267,3,FALSE)</f>
        <v>20</v>
      </c>
      <c r="N77" s="1021">
        <f t="shared" si="19"/>
        <v>20</v>
      </c>
      <c r="O77" s="1022"/>
      <c r="P77" s="1023">
        <f t="shared" si="20"/>
        <v>5995080</v>
      </c>
      <c r="Q77" s="1022">
        <v>23</v>
      </c>
      <c r="R77" s="1024">
        <f t="shared" si="21"/>
        <v>65</v>
      </c>
      <c r="S77" s="1025" t="str">
        <f>VLOOKUP(B77,'[26]CN BC'!$F$10:$K$267,6,FALSE)</f>
        <v>Trừ 1 ngày nghỉ phép 29/9</v>
      </c>
      <c r="T77" s="1011" t="str">
        <f>VLOOKUP(B77,TH.T4!B44:AC374,28,FALSE)</f>
        <v>TTĐT</v>
      </c>
      <c r="U77" s="1027"/>
      <c r="V77" s="1489"/>
      <c r="W77" s="1012"/>
      <c r="X77" s="1012"/>
      <c r="Y77" s="1012"/>
    </row>
    <row r="78" spans="1:29" s="1028" customFormat="1" ht="44.25" customHeight="1">
      <c r="A78" s="1014">
        <f>_xlfn.AGGREGATE(4,7,A$12:A77)+1</f>
        <v>66</v>
      </c>
      <c r="B78" s="1043" t="s">
        <v>1843</v>
      </c>
      <c r="C78" s="1044" t="s">
        <v>1955</v>
      </c>
      <c r="D78" s="1059" t="s">
        <v>1936</v>
      </c>
      <c r="E78" s="81" t="s">
        <v>2429</v>
      </c>
      <c r="F78" s="1018">
        <v>2.67</v>
      </c>
      <c r="G78" s="1019"/>
      <c r="H78" s="1248">
        <f t="shared" si="17"/>
        <v>0</v>
      </c>
      <c r="I78" s="1020"/>
      <c r="J78" s="1020" t="str">
        <f>VLOOKUP(B78,[25]!Table2[[Column2]:[Column6]],4,FALSE)</f>
        <v>A2</v>
      </c>
      <c r="K78" s="1020">
        <f t="shared" si="18"/>
        <v>0.7</v>
      </c>
      <c r="L78" s="1021">
        <v>20</v>
      </c>
      <c r="M78" s="1021">
        <f>VLOOKUP(B78,'[26]CN BC'!$F$10:$H$267,3,FALSE)</f>
        <v>20</v>
      </c>
      <c r="N78" s="1021">
        <f t="shared" si="19"/>
        <v>20</v>
      </c>
      <c r="O78" s="1022"/>
      <c r="P78" s="1023">
        <f t="shared" si="20"/>
        <v>4373460</v>
      </c>
      <c r="Q78" s="1022">
        <v>24</v>
      </c>
      <c r="R78" s="1024">
        <f t="shared" si="21"/>
        <v>66</v>
      </c>
      <c r="S78" s="1025">
        <f>VLOOKUP(B78,'[26]CN BC'!$F$10:$K$267,6,FALSE)</f>
        <v>0</v>
      </c>
      <c r="T78" s="1011" t="str">
        <f>VLOOKUP(B78,TH.T4!B46:AC376,28,FALSE)</f>
        <v>TTĐT</v>
      </c>
      <c r="U78" s="1027"/>
      <c r="V78" s="1489"/>
      <c r="W78" s="1012"/>
      <c r="X78" s="1012"/>
      <c r="Y78" s="1012"/>
    </row>
    <row r="79" spans="1:29" s="1028" customFormat="1" ht="38.25" customHeight="1">
      <c r="A79" s="1014">
        <f>_xlfn.AGGREGATE(4,7,A$12:A78)+1</f>
        <v>67</v>
      </c>
      <c r="B79" s="1015" t="s">
        <v>1470</v>
      </c>
      <c r="C79" s="1029" t="s">
        <v>1679</v>
      </c>
      <c r="D79" s="1045" t="s">
        <v>1438</v>
      </c>
      <c r="E79" s="81" t="s">
        <v>2429</v>
      </c>
      <c r="F79" s="1018">
        <v>3.99</v>
      </c>
      <c r="G79" s="1019"/>
      <c r="H79" s="1248">
        <f t="shared" si="17"/>
        <v>0</v>
      </c>
      <c r="I79" s="1020"/>
      <c r="J79" s="1020" t="str">
        <f>VLOOKUP(B79,[25]!Table2[[Column2]:[Column6]],4,FALSE)</f>
        <v>A2</v>
      </c>
      <c r="K79" s="1020">
        <f t="shared" si="18"/>
        <v>0.7</v>
      </c>
      <c r="L79" s="1021">
        <v>20</v>
      </c>
      <c r="M79" s="1021">
        <f>VLOOKUP(B79,'[26]CN BC'!$F$10:$H$267,3,FALSE)</f>
        <v>20</v>
      </c>
      <c r="N79" s="1021">
        <f t="shared" si="19"/>
        <v>20</v>
      </c>
      <c r="O79" s="1022"/>
      <c r="P79" s="1023">
        <f t="shared" si="20"/>
        <v>6535620</v>
      </c>
      <c r="Q79" s="1022">
        <v>27</v>
      </c>
      <c r="R79" s="1024">
        <f t="shared" si="21"/>
        <v>67</v>
      </c>
      <c r="S79" s="1025">
        <f>VLOOKUP(B79,'[26]CN BC'!$F$10:$K$267,6,FALSE)</f>
        <v>0</v>
      </c>
      <c r="T79" s="1011" t="str">
        <f>VLOOKUP(B79,TH.T4!B84:AC414,28,FALSE)</f>
        <v>TTĐHDL</v>
      </c>
      <c r="U79" s="1027"/>
      <c r="V79" s="1489"/>
      <c r="W79" s="1012"/>
      <c r="X79" s="1012"/>
      <c r="Y79" s="1012"/>
      <c r="Z79" s="1012"/>
      <c r="AA79" s="1012"/>
      <c r="AB79" s="1012"/>
      <c r="AC79" s="1012"/>
    </row>
    <row r="80" spans="1:29" s="1028" customFormat="1" ht="42" customHeight="1">
      <c r="A80" s="1014">
        <f>_xlfn.AGGREGATE(4,7,A$12:A79)+1</f>
        <v>68</v>
      </c>
      <c r="B80" s="1015" t="s">
        <v>1466</v>
      </c>
      <c r="C80" s="1033" t="s">
        <v>1663</v>
      </c>
      <c r="D80" s="1045" t="s">
        <v>1579</v>
      </c>
      <c r="E80" s="81" t="s">
        <v>2429</v>
      </c>
      <c r="F80" s="1018">
        <v>3.46</v>
      </c>
      <c r="G80" s="1019"/>
      <c r="H80" s="1248">
        <f t="shared" si="17"/>
        <v>0</v>
      </c>
      <c r="I80" s="1020"/>
      <c r="J80" s="1020" t="str">
        <f>VLOOKUP(B80,[25]!Table2[[Column2]:[Column6]],4,FALSE)</f>
        <v>A1</v>
      </c>
      <c r="K80" s="1020">
        <f t="shared" si="18"/>
        <v>0.8</v>
      </c>
      <c r="L80" s="1021">
        <v>20</v>
      </c>
      <c r="M80" s="1021">
        <f>VLOOKUP(B80,'[26]CN BC'!$F$10:$H$267,3,FALSE)</f>
        <v>21</v>
      </c>
      <c r="N80" s="1021">
        <f t="shared" si="19"/>
        <v>20</v>
      </c>
      <c r="O80" s="1022"/>
      <c r="P80" s="1023">
        <f t="shared" si="20"/>
        <v>6477120</v>
      </c>
      <c r="Q80" s="1022">
        <v>27</v>
      </c>
      <c r="R80" s="1024">
        <f t="shared" si="21"/>
        <v>68</v>
      </c>
      <c r="S80" s="1025">
        <f>VLOOKUP(B80,'[26]CN BC'!$F$10:$K$267,6,FALSE)</f>
        <v>0</v>
      </c>
      <c r="T80" s="1011" t="str">
        <f>VLOOKUP(B80,TH.T4!B85:AC415,28,FALSE)</f>
        <v>TTĐHDL</v>
      </c>
      <c r="U80" s="1027"/>
      <c r="V80" s="1489"/>
      <c r="W80" s="1012"/>
      <c r="X80" s="1012"/>
      <c r="Y80" s="1012"/>
    </row>
    <row r="81" spans="1:29" s="1012" customFormat="1" ht="44.25" customHeight="1">
      <c r="A81" s="1014">
        <f>_xlfn.AGGREGATE(4,7,A$12:A80)+1</f>
        <v>69</v>
      </c>
      <c r="B81" s="1050" t="s">
        <v>2005</v>
      </c>
      <c r="C81" s="1070" t="s">
        <v>1826</v>
      </c>
      <c r="D81" s="1071" t="s">
        <v>12</v>
      </c>
      <c r="E81" s="81" t="s">
        <v>2429</v>
      </c>
      <c r="F81" s="1054">
        <v>3.66</v>
      </c>
      <c r="G81" s="1072"/>
      <c r="H81" s="1248">
        <f t="shared" si="12"/>
        <v>0</v>
      </c>
      <c r="I81" s="1072">
        <v>0</v>
      </c>
      <c r="J81" s="1020" t="str">
        <f>VLOOKUP(B81,[25]!Table2[[Column2]:[Column6]],4,FALSE)</f>
        <v>A4</v>
      </c>
      <c r="K81" s="1020">
        <f t="shared" si="13"/>
        <v>0.5</v>
      </c>
      <c r="L81" s="1021">
        <v>20</v>
      </c>
      <c r="M81" s="1021">
        <f>VLOOKUP(B81,'[26]CN BC'!$F$10:$H$267,3,FALSE)</f>
        <v>26</v>
      </c>
      <c r="N81" s="1021">
        <f t="shared" si="14"/>
        <v>20</v>
      </c>
      <c r="O81" s="1022"/>
      <c r="P81" s="1023">
        <f t="shared" si="15"/>
        <v>4282200</v>
      </c>
      <c r="Q81" s="1070">
        <v>21</v>
      </c>
      <c r="R81" s="1073">
        <f t="shared" si="16"/>
        <v>69</v>
      </c>
      <c r="S81" s="1025">
        <f>VLOOKUP(B81,'[26]CN BC'!$F$10:$K$267,6,FALSE)</f>
        <v>0</v>
      </c>
      <c r="T81" s="1011" t="str">
        <f>VLOOKUP(B81,TH.T4!B93:AC423,28,FALSE)</f>
        <v>TTĐT</v>
      </c>
      <c r="U81" s="1013"/>
      <c r="V81" s="1489"/>
    </row>
    <row r="82" spans="1:29" s="1028" customFormat="1" ht="44.25" customHeight="1">
      <c r="A82" s="1014">
        <f>_xlfn.AGGREGATE(4,7,A$12:A81)+1</f>
        <v>70</v>
      </c>
      <c r="B82" s="1015" t="s">
        <v>1848</v>
      </c>
      <c r="C82" s="1033" t="s">
        <v>1644</v>
      </c>
      <c r="D82" s="1045">
        <v>1603205360856</v>
      </c>
      <c r="E82" s="368" t="s">
        <v>2429</v>
      </c>
      <c r="F82" s="1040">
        <v>3.66</v>
      </c>
      <c r="G82" s="1019"/>
      <c r="H82" s="1255">
        <f>ROUND(F82*G82,3)</f>
        <v>0</v>
      </c>
      <c r="I82" s="1020"/>
      <c r="J82" s="1020" t="str">
        <f>VLOOKUP(B82,[25]!Table2[[Column2]:[Column6]],4,FALSE)</f>
        <v>A2</v>
      </c>
      <c r="K82" s="1020">
        <f>IF(J82="A1",0.8,IF(J82="A2",0.7,IF(J82="A3",0.6,IF(J82="A4",0.5,IF(J82="B1",0.35,IF(J82="B2",0.25,IF(J82="C1",0.15,IF(J82="C2",0.1,0))))))))</f>
        <v>0.7</v>
      </c>
      <c r="L82" s="1021">
        <v>20</v>
      </c>
      <c r="M82" s="1021">
        <f>VLOOKUP(B82,'[26]CN BC'!$F$10:$H$267,3,FALSE)</f>
        <v>20</v>
      </c>
      <c r="N82" s="1021">
        <f>IF(M82&gt;=L82,L82,IF(M82&lt;L82,M82))</f>
        <v>20</v>
      </c>
      <c r="O82" s="1035"/>
      <c r="P82" s="1023">
        <f>(((F82+H82+I82)*$P$9/L82*N82)*K82)+O82</f>
        <v>5995080</v>
      </c>
      <c r="Q82" s="1035">
        <v>0</v>
      </c>
      <c r="R82" s="1024">
        <f>A82</f>
        <v>70</v>
      </c>
      <c r="S82" s="1025">
        <f>VLOOKUP(B82,'[26]CN BC'!$F$10:$K$267,6,FALSE)</f>
        <v>0</v>
      </c>
      <c r="T82" s="1067" t="s">
        <v>2219</v>
      </c>
      <c r="U82" s="1038"/>
      <c r="V82" s="1490"/>
    </row>
    <row r="83" spans="1:29" s="1028" customFormat="1" ht="25.5" customHeight="1">
      <c r="A83" s="1014">
        <f>_xlfn.AGGREGATE(4,7,A$12:A82)+1</f>
        <v>71</v>
      </c>
      <c r="B83" s="1015" t="s">
        <v>1472</v>
      </c>
      <c r="C83" s="1029" t="s">
        <v>1682</v>
      </c>
      <c r="D83" s="1045" t="s">
        <v>1582</v>
      </c>
      <c r="E83" s="81" t="str">
        <f>VLOOKUP(B83,TH.Q2!B94:E425,4,FALSE)</f>
        <v>Trưởng khoa Kinh tế</v>
      </c>
      <c r="F83" s="1040">
        <v>4.32</v>
      </c>
      <c r="G83" s="1019"/>
      <c r="H83" s="1248">
        <f t="shared" si="12"/>
        <v>0</v>
      </c>
      <c r="I83" s="1020">
        <v>0.45</v>
      </c>
      <c r="J83" s="1020" t="str">
        <f>VLOOKUP(B83,[25]!Table2[[Column2]:[Column6]],4,FALSE)</f>
        <v>A2</v>
      </c>
      <c r="K83" s="1020">
        <f t="shared" si="13"/>
        <v>0.7</v>
      </c>
      <c r="L83" s="1021">
        <v>20</v>
      </c>
      <c r="M83" s="1021">
        <f>VLOOKUP(B83,'[26]CN BC'!$F$10:$H$267,3,FALSE)</f>
        <v>20</v>
      </c>
      <c r="N83" s="1021">
        <f t="shared" si="14"/>
        <v>20</v>
      </c>
      <c r="O83" s="1022"/>
      <c r="P83" s="1023">
        <f t="shared" si="15"/>
        <v>7813260.0000000009</v>
      </c>
      <c r="Q83" s="1022">
        <v>23</v>
      </c>
      <c r="R83" s="1024">
        <f t="shared" si="16"/>
        <v>71</v>
      </c>
      <c r="S83" s="1025">
        <f>VLOOKUP(B83,'[26]CN BC'!$F$10:$K$267,6,FALSE)</f>
        <v>0</v>
      </c>
      <c r="T83" s="1011" t="str">
        <f>VLOOKUP(B83,TH.T4!B97:AC427,28,FALSE)</f>
        <v>KT</v>
      </c>
      <c r="U83" s="1027"/>
      <c r="V83" s="1489"/>
      <c r="W83" s="1012"/>
      <c r="X83" s="1012"/>
      <c r="Y83" s="1012"/>
      <c r="Z83" s="1012"/>
      <c r="AA83" s="1012"/>
      <c r="AB83" s="1012"/>
      <c r="AC83" s="1012"/>
    </row>
    <row r="84" spans="1:29" s="1028" customFormat="1" ht="25.15" customHeight="1">
      <c r="A84" s="1014">
        <f>_xlfn.AGGREGATE(4,7,A$12:A83)+1</f>
        <v>72</v>
      </c>
      <c r="B84" s="1015" t="s">
        <v>1566</v>
      </c>
      <c r="C84" s="1033" t="s">
        <v>1681</v>
      </c>
      <c r="D84" s="1074" t="s">
        <v>1567</v>
      </c>
      <c r="E84" s="81" t="str">
        <f>VLOOKUP(B84,TH.Q2!B95:E426,4,FALSE)</f>
        <v>Giảng viên khoa Kinh tế</v>
      </c>
      <c r="F84" s="1040">
        <v>3.33</v>
      </c>
      <c r="G84" s="1019"/>
      <c r="H84" s="1248">
        <f t="shared" si="12"/>
        <v>0</v>
      </c>
      <c r="I84" s="1020"/>
      <c r="J84" s="1020" t="str">
        <f>VLOOKUP(B84,[25]!Table2[[Column2]:[Column6]],4,FALSE)</f>
        <v>A4</v>
      </c>
      <c r="K84" s="1020">
        <f t="shared" si="13"/>
        <v>0.5</v>
      </c>
      <c r="L84" s="1021">
        <v>20</v>
      </c>
      <c r="M84" s="1021">
        <f>VLOOKUP(B84,'[26]CN BC'!$F$10:$H$267,3,FALSE)</f>
        <v>20</v>
      </c>
      <c r="N84" s="1021">
        <f t="shared" si="14"/>
        <v>20</v>
      </c>
      <c r="O84" s="1022"/>
      <c r="P84" s="1023">
        <f t="shared" si="15"/>
        <v>3896100</v>
      </c>
      <c r="Q84" s="1035">
        <v>23</v>
      </c>
      <c r="R84" s="1024">
        <f t="shared" si="16"/>
        <v>72</v>
      </c>
      <c r="S84" s="1025">
        <f>VLOOKUP(B84,'[26]CN BC'!$F$10:$K$267,6,FALSE)</f>
        <v>0</v>
      </c>
      <c r="T84" s="1011" t="str">
        <f>VLOOKUP(B84,TH.T4!B98:AC428,28,FALSE)</f>
        <v>KT</v>
      </c>
      <c r="U84" s="1038"/>
      <c r="V84" s="1489"/>
    </row>
    <row r="85" spans="1:29" s="1028" customFormat="1" ht="25.15" customHeight="1">
      <c r="A85" s="1014">
        <f>_xlfn.AGGREGATE(4,7,A$12:A84)+1</f>
        <v>73</v>
      </c>
      <c r="B85" s="1015" t="s">
        <v>1831</v>
      </c>
      <c r="C85" s="1033" t="s">
        <v>1960</v>
      </c>
      <c r="D85" s="1076">
        <v>1603215005603</v>
      </c>
      <c r="E85" s="81" t="str">
        <f>VLOOKUP(B85,TH.Q2!B96:E427,4,FALSE)</f>
        <v>Giảng viên khoa 
Kinh tế</v>
      </c>
      <c r="F85" s="1040">
        <v>3</v>
      </c>
      <c r="G85" s="1019"/>
      <c r="H85" s="1248">
        <f t="shared" si="12"/>
        <v>0</v>
      </c>
      <c r="I85" s="1020"/>
      <c r="J85" s="1020" t="str">
        <f>VLOOKUP(B85,[25]!Table2[[Column2]:[Column6]],4,FALSE)</f>
        <v>A2</v>
      </c>
      <c r="K85" s="1020">
        <f t="shared" si="13"/>
        <v>0.7</v>
      </c>
      <c r="L85" s="1021">
        <v>20</v>
      </c>
      <c r="M85" s="1021">
        <f>VLOOKUP(B85,'[26]CN BC'!$F$10:$H$267,3,FALSE)</f>
        <v>20</v>
      </c>
      <c r="N85" s="1021">
        <f t="shared" si="14"/>
        <v>20</v>
      </c>
      <c r="O85" s="1022"/>
      <c r="P85" s="1023">
        <f t="shared" si="15"/>
        <v>4914000</v>
      </c>
      <c r="Q85" s="1022">
        <v>23</v>
      </c>
      <c r="R85" s="1024">
        <f t="shared" si="16"/>
        <v>73</v>
      </c>
      <c r="S85" s="1025">
        <f>VLOOKUP(B85,'[26]CN BC'!$F$10:$K$267,6,FALSE)</f>
        <v>0</v>
      </c>
      <c r="T85" s="1011" t="str">
        <f>VLOOKUP(B85,TH.T4!B99:AC429,28,FALSE)</f>
        <v>KT</v>
      </c>
      <c r="U85" s="1027"/>
      <c r="V85" s="1489"/>
      <c r="W85" s="1012"/>
      <c r="X85" s="1012"/>
      <c r="Y85" s="1012"/>
    </row>
    <row r="86" spans="1:29" s="1028" customFormat="1" ht="42.75" customHeight="1">
      <c r="A86" s="1014">
        <f>_xlfn.AGGREGATE(4,7,A$12:A85)+1</f>
        <v>74</v>
      </c>
      <c r="B86" s="1079" t="s">
        <v>1928</v>
      </c>
      <c r="C86" s="1433" t="s">
        <v>1961</v>
      </c>
      <c r="D86" s="1080" t="s">
        <v>1934</v>
      </c>
      <c r="E86" s="472" t="str">
        <f>VLOOKUP(B86,TH.Q2!B98:E429,4,FALSE)</f>
        <v>Giảng viên khoa Du lịch - Khách sạn</v>
      </c>
      <c r="F86" s="1081">
        <v>2.67</v>
      </c>
      <c r="G86" s="1082"/>
      <c r="H86" s="1253">
        <f t="shared" si="12"/>
        <v>0</v>
      </c>
      <c r="I86" s="1083"/>
      <c r="J86" s="1020" t="str">
        <f>VLOOKUP(B86,[25]!Table2[[Column2]:[Column6]],4,FALSE)</f>
        <v>A4</v>
      </c>
      <c r="K86" s="1083">
        <f t="shared" si="13"/>
        <v>0.5</v>
      </c>
      <c r="L86" s="1021">
        <v>20</v>
      </c>
      <c r="M86" s="1021">
        <f>VLOOKUP(B86,'[26]CN BC'!$F$10:$H$267,3,FALSE)</f>
        <v>20</v>
      </c>
      <c r="N86" s="1203">
        <f t="shared" si="14"/>
        <v>20</v>
      </c>
      <c r="O86" s="1084"/>
      <c r="P86" s="1204">
        <f t="shared" si="15"/>
        <v>3123900</v>
      </c>
      <c r="Q86" s="1084">
        <v>23</v>
      </c>
      <c r="R86" s="1085">
        <f t="shared" si="16"/>
        <v>74</v>
      </c>
      <c r="S86" s="1025">
        <f>VLOOKUP(B86,'[26]CN BC'!$F$10:$K$267,6,FALSE)</f>
        <v>0</v>
      </c>
      <c r="T86" s="1011" t="str">
        <f>VLOOKUP(B86,TH.T4!B101:AC431,28,FALSE)</f>
        <v>KT</v>
      </c>
      <c r="U86" s="1038"/>
      <c r="V86" s="1489"/>
    </row>
    <row r="87" spans="1:29" s="1028" customFormat="1" ht="32.25" customHeight="1">
      <c r="A87" s="1014">
        <f>_xlfn.AGGREGATE(4,7,A$12:A86)+1</f>
        <v>75</v>
      </c>
      <c r="B87" s="1015" t="s">
        <v>1474</v>
      </c>
      <c r="C87" s="1033" t="s">
        <v>1684</v>
      </c>
      <c r="D87" s="1045" t="s">
        <v>1584</v>
      </c>
      <c r="E87" s="81" t="str">
        <f>VLOOKUP(B87,TH.Q2!B99:E430,4,FALSE)</f>
        <v>Giảng viên khoa Kinh tế</v>
      </c>
      <c r="F87" s="1040">
        <v>3.66</v>
      </c>
      <c r="G87" s="1019"/>
      <c r="H87" s="1248">
        <f t="shared" si="12"/>
        <v>0</v>
      </c>
      <c r="I87" s="1020"/>
      <c r="J87" s="1020" t="str">
        <f>VLOOKUP(B87,[25]!Table2[[Column2]:[Column6]],4,FALSE)</f>
        <v>A2</v>
      </c>
      <c r="K87" s="1020">
        <f t="shared" si="13"/>
        <v>0.7</v>
      </c>
      <c r="L87" s="1021">
        <v>20</v>
      </c>
      <c r="M87" s="1021">
        <f>VLOOKUP(B87,'[26]CN BC'!$F$10:$H$267,3,FALSE)</f>
        <v>20</v>
      </c>
      <c r="N87" s="1021">
        <f t="shared" si="14"/>
        <v>20</v>
      </c>
      <c r="O87" s="1022"/>
      <c r="P87" s="1023">
        <f t="shared" si="15"/>
        <v>5995080</v>
      </c>
      <c r="Q87" s="1035">
        <v>23</v>
      </c>
      <c r="R87" s="1024">
        <f t="shared" si="16"/>
        <v>75</v>
      </c>
      <c r="S87" s="1025">
        <f>VLOOKUP(B87,'[26]CN BC'!$F$10:$K$267,6,FALSE)</f>
        <v>0</v>
      </c>
      <c r="T87" s="1011" t="str">
        <f>VLOOKUP(B87,TH.T4!B102:AC432,28,FALSE)</f>
        <v>KT</v>
      </c>
      <c r="U87" s="1038"/>
      <c r="V87" s="1489"/>
    </row>
    <row r="88" spans="1:29" s="1028" customFormat="1" ht="28.5" customHeight="1">
      <c r="A88" s="1014">
        <f>_xlfn.AGGREGATE(4,7,A$12:A87)+1</f>
        <v>76</v>
      </c>
      <c r="B88" s="1015" t="s">
        <v>1571</v>
      </c>
      <c r="C88" s="1033" t="s">
        <v>1685</v>
      </c>
      <c r="D88" s="1074" t="s">
        <v>1572</v>
      </c>
      <c r="E88" s="81" t="str">
        <f>VLOOKUP(B88,TH.Q2!B100:E431,4,FALSE)</f>
        <v>Giảng viên khoa Kinh tế</v>
      </c>
      <c r="F88" s="1040">
        <v>3.33</v>
      </c>
      <c r="G88" s="1019"/>
      <c r="H88" s="1248">
        <f t="shared" si="12"/>
        <v>0</v>
      </c>
      <c r="I88" s="1020"/>
      <c r="J88" s="1020" t="str">
        <f>VLOOKUP(B88,[25]!Table2[[Column2]:[Column6]],4,FALSE)</f>
        <v>A3</v>
      </c>
      <c r="K88" s="1020">
        <f t="shared" si="13"/>
        <v>0.6</v>
      </c>
      <c r="L88" s="1021">
        <v>20</v>
      </c>
      <c r="M88" s="1021">
        <f>VLOOKUP(B88,'[26]CN BC'!$F$10:$H$267,3,FALSE)</f>
        <v>20</v>
      </c>
      <c r="N88" s="1021">
        <f t="shared" si="14"/>
        <v>20</v>
      </c>
      <c r="O88" s="1022"/>
      <c r="P88" s="1023">
        <f t="shared" si="15"/>
        <v>4675320</v>
      </c>
      <c r="Q88" s="1022">
        <v>23</v>
      </c>
      <c r="R88" s="1024">
        <f t="shared" si="16"/>
        <v>76</v>
      </c>
      <c r="S88" s="1025">
        <f>VLOOKUP(B88,'[26]CN BC'!$F$10:$K$267,6,FALSE)</f>
        <v>0</v>
      </c>
      <c r="T88" s="1011" t="str">
        <f>VLOOKUP(B88,TH.T4!B103:AC433,28,FALSE)</f>
        <v>KT</v>
      </c>
      <c r="U88" s="1027"/>
      <c r="V88" s="1489"/>
      <c r="W88" s="1012"/>
      <c r="X88" s="1012"/>
      <c r="Y88" s="1012"/>
    </row>
    <row r="89" spans="1:29" s="1028" customFormat="1" ht="28.5" customHeight="1">
      <c r="A89" s="1014">
        <f>_xlfn.AGGREGATE(4,7,A$12:A88)+1</f>
        <v>77</v>
      </c>
      <c r="B89" s="1015" t="s">
        <v>1475</v>
      </c>
      <c r="C89" s="1033" t="s">
        <v>1686</v>
      </c>
      <c r="D89" s="1045" t="s">
        <v>1585</v>
      </c>
      <c r="E89" s="81" t="str">
        <f>VLOOKUP(B89,TH.Q2!B101:E432,4,FALSE)</f>
        <v>Giảng viên khoa Kinh tế</v>
      </c>
      <c r="F89" s="1040">
        <v>3.99</v>
      </c>
      <c r="G89" s="1019"/>
      <c r="H89" s="1248">
        <f t="shared" si="12"/>
        <v>0</v>
      </c>
      <c r="I89" s="1020"/>
      <c r="J89" s="1020" t="str">
        <f>VLOOKUP(B89,[25]!Table2[[Column2]:[Column6]],4,FALSE)</f>
        <v>A2</v>
      </c>
      <c r="K89" s="1020">
        <f t="shared" si="13"/>
        <v>0.7</v>
      </c>
      <c r="L89" s="1021">
        <v>20</v>
      </c>
      <c r="M89" s="1021">
        <f>VLOOKUP(B89,'[26]CN BC'!$F$10:$H$267,3,FALSE)</f>
        <v>20</v>
      </c>
      <c r="N89" s="1021">
        <f t="shared" si="14"/>
        <v>20</v>
      </c>
      <c r="O89" s="1022"/>
      <c r="P89" s="1023">
        <f t="shared" si="15"/>
        <v>6535620</v>
      </c>
      <c r="Q89" s="1035">
        <v>23</v>
      </c>
      <c r="R89" s="1024">
        <f t="shared" si="16"/>
        <v>77</v>
      </c>
      <c r="S89" s="1025">
        <f>VLOOKUP(B89,'[26]CN BC'!$F$10:$K$267,6,FALSE)</f>
        <v>0</v>
      </c>
      <c r="T89" s="1011" t="str">
        <f>VLOOKUP(B89,TH.T4!B104:AC434,28,FALSE)</f>
        <v>KT</v>
      </c>
      <c r="U89" s="1038"/>
      <c r="V89" s="1489"/>
    </row>
    <row r="90" spans="1:29" s="1028" customFormat="1" ht="30" customHeight="1">
      <c r="A90" s="1014">
        <f>_xlfn.AGGREGATE(4,7,A$12:A89)+1</f>
        <v>78</v>
      </c>
      <c r="B90" s="1015" t="s">
        <v>1476</v>
      </c>
      <c r="C90" s="1033" t="s">
        <v>1687</v>
      </c>
      <c r="D90" s="1045" t="s">
        <v>1586</v>
      </c>
      <c r="E90" s="81" t="str">
        <f>VLOOKUP(B90,TH.Q2!B102:E433,4,FALSE)</f>
        <v>Giảng viên khoa Du lịch - Khách sạn</v>
      </c>
      <c r="F90" s="1040">
        <v>3.33</v>
      </c>
      <c r="G90" s="1019"/>
      <c r="H90" s="1248">
        <f t="shared" si="12"/>
        <v>0</v>
      </c>
      <c r="I90" s="1020"/>
      <c r="J90" s="1020" t="str">
        <f>VLOOKUP(B90,[25]!Table2[[Column2]:[Column6]],4,FALSE)</f>
        <v>A4</v>
      </c>
      <c r="K90" s="1020">
        <f t="shared" si="13"/>
        <v>0.5</v>
      </c>
      <c r="L90" s="1021">
        <v>20</v>
      </c>
      <c r="M90" s="1021">
        <f>VLOOKUP(B90,'[26]CN BC'!$F$10:$H$267,3,FALSE)</f>
        <v>20</v>
      </c>
      <c r="N90" s="1021">
        <f t="shared" si="14"/>
        <v>20</v>
      </c>
      <c r="O90" s="1022"/>
      <c r="P90" s="1023">
        <f t="shared" si="15"/>
        <v>3896100</v>
      </c>
      <c r="Q90" s="1022">
        <v>23</v>
      </c>
      <c r="R90" s="1024">
        <f t="shared" si="16"/>
        <v>78</v>
      </c>
      <c r="S90" s="1025">
        <f>VLOOKUP(B90,'[26]CN BC'!$F$10:$K$267,6,FALSE)</f>
        <v>0</v>
      </c>
      <c r="T90" s="1011" t="s">
        <v>2236</v>
      </c>
      <c r="U90" s="1027"/>
      <c r="V90" s="1489"/>
      <c r="W90" s="1012"/>
      <c r="X90" s="1012"/>
      <c r="Y90" s="1012"/>
    </row>
    <row r="91" spans="1:29" s="1028" customFormat="1" ht="30" customHeight="1">
      <c r="A91" s="1014">
        <f>_xlfn.AGGREGATE(4,7,A$12:A90)+1</f>
        <v>79</v>
      </c>
      <c r="B91" s="1015" t="s">
        <v>1477</v>
      </c>
      <c r="C91" s="1033" t="s">
        <v>1688</v>
      </c>
      <c r="D91" s="1045" t="s">
        <v>1587</v>
      </c>
      <c r="E91" s="81" t="str">
        <f>VLOOKUP(B91,TH.Q2!B103:E434,4,FALSE)</f>
        <v>Giảng viên khoa Du lịch - Khách sạn</v>
      </c>
      <c r="F91" s="1040">
        <v>3.66</v>
      </c>
      <c r="G91" s="1019"/>
      <c r="H91" s="1248">
        <f t="shared" si="12"/>
        <v>0</v>
      </c>
      <c r="I91" s="1020">
        <v>0.25</v>
      </c>
      <c r="J91" s="1020" t="str">
        <f>VLOOKUP(B91,[25]!Table2[[Column2]:[Column6]],4,FALSE)</f>
        <v>A1</v>
      </c>
      <c r="K91" s="1020">
        <f t="shared" si="13"/>
        <v>0.8</v>
      </c>
      <c r="L91" s="1021">
        <v>20</v>
      </c>
      <c r="M91" s="1021">
        <f>VLOOKUP(B91,'[26]CN BC'!$F$10:$H$267,3,FALSE)</f>
        <v>20</v>
      </c>
      <c r="N91" s="1021">
        <f t="shared" si="14"/>
        <v>20</v>
      </c>
      <c r="O91" s="1022"/>
      <c r="P91" s="1023">
        <f t="shared" si="15"/>
        <v>7319520</v>
      </c>
      <c r="Q91" s="1022">
        <v>23</v>
      </c>
      <c r="R91" s="1024">
        <f t="shared" si="16"/>
        <v>79</v>
      </c>
      <c r="S91" s="1025">
        <f>VLOOKUP(B91,'[26]CN BC'!$F$10:$K$267,6,FALSE)</f>
        <v>0</v>
      </c>
      <c r="T91" s="1011" t="str">
        <f>VLOOKUP(B91,TH.T4!B106:AC436,28,FALSE)</f>
        <v>DLKS</v>
      </c>
      <c r="U91" s="1027"/>
      <c r="V91" s="1489"/>
      <c r="W91" s="1012"/>
      <c r="X91" s="1012"/>
      <c r="Y91" s="1012"/>
    </row>
    <row r="92" spans="1:29" s="1028" customFormat="1" ht="28.5" customHeight="1">
      <c r="A92" s="1014">
        <f>_xlfn.AGGREGATE(4,7,A$12:A91)+1</f>
        <v>80</v>
      </c>
      <c r="B92" s="1077" t="s">
        <v>1946</v>
      </c>
      <c r="C92" s="1014" t="s">
        <v>1950</v>
      </c>
      <c r="D92" s="1059" t="s">
        <v>1951</v>
      </c>
      <c r="E92" s="81" t="str">
        <f>VLOOKUP(B92,TH.Q2!B105:E436,4,FALSE)</f>
        <v>Trưởng khoa Du lịch - Khách sạn</v>
      </c>
      <c r="F92" s="1075">
        <v>2.67</v>
      </c>
      <c r="G92" s="1019"/>
      <c r="H92" s="1248">
        <f t="shared" si="12"/>
        <v>0</v>
      </c>
      <c r="I92" s="1020">
        <v>0.45</v>
      </c>
      <c r="J92" s="1020" t="str">
        <f>VLOOKUP(B92,[25]!Table2[[Column2]:[Column6]],4,FALSE)</f>
        <v>A1</v>
      </c>
      <c r="K92" s="1020">
        <f t="shared" si="13"/>
        <v>0.8</v>
      </c>
      <c r="L92" s="1021">
        <v>20</v>
      </c>
      <c r="M92" s="1021">
        <f>VLOOKUP(B92,'[26]CN BC'!$F$10:$H$267,3,FALSE)</f>
        <v>20</v>
      </c>
      <c r="N92" s="1021">
        <f t="shared" si="14"/>
        <v>20</v>
      </c>
      <c r="O92" s="1022"/>
      <c r="P92" s="1023">
        <f t="shared" si="15"/>
        <v>5840640</v>
      </c>
      <c r="Q92" s="1035">
        <v>23</v>
      </c>
      <c r="R92" s="1024">
        <f t="shared" si="16"/>
        <v>80</v>
      </c>
      <c r="S92" s="1025">
        <f>VLOOKUP(B92,'[26]CN BC'!$F$10:$K$267,6,FALSE)</f>
        <v>0</v>
      </c>
      <c r="T92" s="1011" t="str">
        <f>VLOOKUP(B92,TH.T4!B108:AC438,28,FALSE)</f>
        <v>DLKS</v>
      </c>
      <c r="U92" s="1027"/>
      <c r="V92" s="1489"/>
      <c r="W92" s="1012"/>
      <c r="X92" s="1012"/>
      <c r="Y92" s="1012"/>
    </row>
    <row r="93" spans="1:29" s="1028" customFormat="1" ht="28.5" customHeight="1">
      <c r="A93" s="1014">
        <f>_xlfn.AGGREGATE(4,7,A$12:A92)+1</f>
        <v>81</v>
      </c>
      <c r="B93" s="1077" t="s">
        <v>1997</v>
      </c>
      <c r="C93" s="1014"/>
      <c r="D93" s="1059"/>
      <c r="E93" s="81" t="str">
        <f>VLOOKUP(B93,TH.Q2!B107:E438,4,FALSE)</f>
        <v>Giảng viên khoa Kinh tế</v>
      </c>
      <c r="F93" s="1075">
        <v>2.34</v>
      </c>
      <c r="G93" s="1019"/>
      <c r="H93" s="1248">
        <f t="shared" si="12"/>
        <v>0</v>
      </c>
      <c r="I93" s="1020"/>
      <c r="J93" s="1020" t="str">
        <f>VLOOKUP(B93,[25]!Table2[[Column2]:[Column6]],4,FALSE)</f>
        <v>A1</v>
      </c>
      <c r="K93" s="1020">
        <f t="shared" si="13"/>
        <v>0.8</v>
      </c>
      <c r="L93" s="1021">
        <v>20</v>
      </c>
      <c r="M93" s="1021">
        <f>VLOOKUP(B93,'[26]CN BC'!$F$10:$H$267,3,FALSE)</f>
        <v>20</v>
      </c>
      <c r="N93" s="1021">
        <f t="shared" si="14"/>
        <v>20</v>
      </c>
      <c r="O93" s="1022"/>
      <c r="P93" s="1023">
        <f t="shared" si="15"/>
        <v>4380480</v>
      </c>
      <c r="Q93" s="1035">
        <v>23</v>
      </c>
      <c r="R93" s="1024">
        <f t="shared" si="16"/>
        <v>81</v>
      </c>
      <c r="S93" s="1025">
        <f>VLOOKUP(B93,'[26]CN BC'!$F$10:$K$267,6,FALSE)</f>
        <v>0</v>
      </c>
      <c r="T93" s="1011" t="str">
        <f>VLOOKUP(B93,TH.T4!B110:AC440,28,FALSE)</f>
        <v>KT</v>
      </c>
      <c r="U93" s="1038"/>
      <c r="V93" s="1489"/>
    </row>
    <row r="94" spans="1:29" s="1028" customFormat="1" ht="26.25" customHeight="1">
      <c r="A94" s="1014">
        <f>_xlfn.AGGREGATE(4,7,A$12:A93)+1</f>
        <v>82</v>
      </c>
      <c r="B94" s="1077" t="s">
        <v>1998</v>
      </c>
      <c r="C94" s="1014"/>
      <c r="D94" s="1059"/>
      <c r="E94" s="81" t="str">
        <f>VLOOKUP(B94,TH.Q2!B108:E439,4,FALSE)</f>
        <v>Giảng viên khoa Du lịch - Khách sạn</v>
      </c>
      <c r="F94" s="1040">
        <v>3.66</v>
      </c>
      <c r="G94" s="1019"/>
      <c r="H94" s="1248">
        <f t="shared" si="12"/>
        <v>0</v>
      </c>
      <c r="I94" s="1020"/>
      <c r="J94" s="1020" t="str">
        <f>VLOOKUP(B94,[25]!Table2[[Column2]:[Column6]],4,FALSE)</f>
        <v>A3</v>
      </c>
      <c r="K94" s="1020">
        <f t="shared" si="13"/>
        <v>0.6</v>
      </c>
      <c r="L94" s="1021">
        <v>20</v>
      </c>
      <c r="M94" s="1021">
        <f>VLOOKUP(B94,'[26]CN BC'!$F$10:$H$267,3,FALSE)</f>
        <v>20</v>
      </c>
      <c r="N94" s="1021">
        <f t="shared" si="14"/>
        <v>20</v>
      </c>
      <c r="O94" s="1022"/>
      <c r="P94" s="1023">
        <f t="shared" si="15"/>
        <v>5138640</v>
      </c>
      <c r="Q94" s="1035">
        <v>23</v>
      </c>
      <c r="R94" s="1024">
        <f t="shared" si="16"/>
        <v>82</v>
      </c>
      <c r="S94" s="1025">
        <f>VLOOKUP(B94,'[26]CN BC'!$F$10:$K$267,6,FALSE)</f>
        <v>0</v>
      </c>
      <c r="T94" s="1011" t="str">
        <f>VLOOKUP(B94,TH.T4!B111:AC441,28,FALSE)</f>
        <v>DLKS</v>
      </c>
      <c r="U94" s="1038"/>
      <c r="V94" s="1489"/>
    </row>
    <row r="95" spans="1:29" s="1028" customFormat="1" ht="28.5" customHeight="1">
      <c r="A95" s="1014">
        <f>_xlfn.AGGREGATE(4,7,A$12:A94)+1</f>
        <v>83</v>
      </c>
      <c r="B95" s="1077" t="s">
        <v>1999</v>
      </c>
      <c r="C95" s="1014"/>
      <c r="D95" s="1059"/>
      <c r="E95" s="81" t="s">
        <v>2251</v>
      </c>
      <c r="F95" s="1040">
        <v>3.99</v>
      </c>
      <c r="G95" s="1019"/>
      <c r="H95" s="1248">
        <f t="shared" si="12"/>
        <v>0</v>
      </c>
      <c r="I95" s="1020"/>
      <c r="J95" s="1020" t="str">
        <f>VLOOKUP(B95,[25]!Table2[[Column2]:[Column6]],4,FALSE)</f>
        <v>A4</v>
      </c>
      <c r="K95" s="1020">
        <f t="shared" si="13"/>
        <v>0.5</v>
      </c>
      <c r="L95" s="1021">
        <v>20</v>
      </c>
      <c r="M95" s="1021">
        <f>VLOOKUP(B95,'[26]CN BC'!$F$10:$H$267,3,FALSE)</f>
        <v>20</v>
      </c>
      <c r="N95" s="1021">
        <f t="shared" si="14"/>
        <v>20</v>
      </c>
      <c r="O95" s="1022"/>
      <c r="P95" s="1023">
        <f t="shared" si="15"/>
        <v>4668300</v>
      </c>
      <c r="Q95" s="1035">
        <v>23</v>
      </c>
      <c r="R95" s="1024">
        <f t="shared" si="16"/>
        <v>83</v>
      </c>
      <c r="S95" s="1025">
        <f>VLOOKUP(B95,'[26]CN BC'!$F$10:$K$267,6,FALSE)</f>
        <v>0</v>
      </c>
      <c r="T95" s="1011" t="str">
        <f>VLOOKUP(B95,TH.T4!B112:AC442,28,FALSE)</f>
        <v>KT</v>
      </c>
      <c r="U95" s="1038"/>
      <c r="V95" s="1489"/>
    </row>
    <row r="96" spans="1:29" s="1028" customFormat="1" ht="33" customHeight="1">
      <c r="A96" s="1014">
        <f>_xlfn.AGGREGATE(4,7,A$12:A95)+1</f>
        <v>84</v>
      </c>
      <c r="B96" s="1015" t="s">
        <v>1500</v>
      </c>
      <c r="C96" s="1033" t="s">
        <v>1728</v>
      </c>
      <c r="D96" s="1034" t="s">
        <v>377</v>
      </c>
      <c r="E96" s="81" t="s">
        <v>2251</v>
      </c>
      <c r="F96" s="1040">
        <v>3.99</v>
      </c>
      <c r="G96" s="1019"/>
      <c r="H96" s="1248">
        <f>ROUND(F96*G96,3)</f>
        <v>0</v>
      </c>
      <c r="I96" s="1020"/>
      <c r="J96" s="1020" t="str">
        <f>VLOOKUP(B96,[25]!Table2[[Column2]:[Column6]],4,FALSE)</f>
        <v>A4</v>
      </c>
      <c r="K96" s="1020">
        <f>IF(J96="A1",0.8,IF(J96="A2",0.7,IF(J96="A3",0.6,IF(J96="A4",0.5,IF(J96="B1",0.35,IF(J96="B2",0.25,IF(J96="C1",0.15,IF(J96="C2",0.1,0))))))))</f>
        <v>0.5</v>
      </c>
      <c r="L96" s="1021">
        <v>20</v>
      </c>
      <c r="M96" s="1021">
        <f>VLOOKUP(B96,'[26]CN BC'!$F$10:$H$267,3,FALSE)</f>
        <v>20</v>
      </c>
      <c r="N96" s="1021">
        <f>IF(M96&gt;=L96,L96,IF(M96&lt;L96,M96))</f>
        <v>20</v>
      </c>
      <c r="O96" s="1022"/>
      <c r="P96" s="1023">
        <f>(((F96+H96+I96)*$P$9/L96*N96)*K96)+O96</f>
        <v>4668300</v>
      </c>
      <c r="Q96" s="1035">
        <v>0</v>
      </c>
      <c r="R96" s="1024">
        <f>A96</f>
        <v>84</v>
      </c>
      <c r="S96" s="1025">
        <f>VLOOKUP(B96,'[26]CN BC'!$F$10:$K$267,6,FALSE)</f>
        <v>0</v>
      </c>
      <c r="T96" s="1011" t="str">
        <f>VLOOKUP(B96,TH.T4!B162:AC492,28,FALSE)</f>
        <v>LLCT</v>
      </c>
      <c r="U96" s="1038"/>
      <c r="V96" s="1489"/>
    </row>
    <row r="97" spans="1:29" s="1028" customFormat="1" ht="28.5" customHeight="1">
      <c r="A97" s="1014">
        <f>_xlfn.AGGREGATE(4,7,A$12:A96)+1</f>
        <v>85</v>
      </c>
      <c r="B97" s="1077" t="s">
        <v>2001</v>
      </c>
      <c r="C97" s="1014"/>
      <c r="D97" s="1059"/>
      <c r="E97" s="81" t="str">
        <f>VLOOKUP(B97,TH.Q2!B110:E441,4,FALSE)</f>
        <v>Giảng viên khoa Kinh tế</v>
      </c>
      <c r="F97" s="1040">
        <v>3</v>
      </c>
      <c r="G97" s="1019"/>
      <c r="H97" s="1248">
        <f t="shared" si="12"/>
        <v>0</v>
      </c>
      <c r="I97" s="1020"/>
      <c r="J97" s="1020" t="str">
        <f>VLOOKUP(B97,[25]!Table2[[Column2]:[Column6]],4,FALSE)</f>
        <v>A3</v>
      </c>
      <c r="K97" s="1020">
        <f t="shared" si="13"/>
        <v>0.6</v>
      </c>
      <c r="L97" s="1021">
        <v>20</v>
      </c>
      <c r="M97" s="1021">
        <f>VLOOKUP(B97,'[26]CN BC'!$F$10:$H$267,3,FALSE)</f>
        <v>20</v>
      </c>
      <c r="N97" s="1021">
        <f t="shared" si="14"/>
        <v>20</v>
      </c>
      <c r="O97" s="1022"/>
      <c r="P97" s="1023">
        <f t="shared" si="15"/>
        <v>4212000</v>
      </c>
      <c r="Q97" s="1035">
        <v>23</v>
      </c>
      <c r="R97" s="1024">
        <f t="shared" si="16"/>
        <v>85</v>
      </c>
      <c r="S97" s="1025">
        <f>VLOOKUP(B97,'[26]CN BC'!$F$10:$K$267,6,FALSE)</f>
        <v>0</v>
      </c>
      <c r="T97" s="1011" t="str">
        <f>VLOOKUP(B97,TH.T4!B113:AC443,28,FALSE)</f>
        <v>DLKS</v>
      </c>
      <c r="U97" s="1038"/>
      <c r="V97" s="1489"/>
    </row>
    <row r="98" spans="1:29" s="1028" customFormat="1" ht="32.25" customHeight="1">
      <c r="A98" s="1014">
        <f>_xlfn.AGGREGATE(4,7,A$12:A97)+1</f>
        <v>86</v>
      </c>
      <c r="B98" s="1077" t="s">
        <v>2096</v>
      </c>
      <c r="C98" s="1014"/>
      <c r="D98" s="1059"/>
      <c r="E98" s="368" t="s">
        <v>2252</v>
      </c>
      <c r="F98" s="1040">
        <v>2.67</v>
      </c>
      <c r="G98" s="1019"/>
      <c r="H98" s="1255">
        <f t="shared" si="12"/>
        <v>0</v>
      </c>
      <c r="I98" s="1020"/>
      <c r="J98" s="1020" t="str">
        <f>VLOOKUP(B98,[25]!Table2[[Column2]:[Column6]],4,FALSE)</f>
        <v>A3</v>
      </c>
      <c r="K98" s="1020">
        <f t="shared" si="13"/>
        <v>0.6</v>
      </c>
      <c r="L98" s="1021">
        <v>20</v>
      </c>
      <c r="M98" s="1021">
        <f>VLOOKUP(B98,'[26]CN BC'!$F$10:$H$267,3,FALSE)</f>
        <v>25</v>
      </c>
      <c r="N98" s="1021">
        <f t="shared" si="14"/>
        <v>20</v>
      </c>
      <c r="O98" s="1035"/>
      <c r="P98" s="1023">
        <f t="shared" si="15"/>
        <v>3748680</v>
      </c>
      <c r="Q98" s="1035"/>
      <c r="R98" s="1024">
        <f t="shared" si="16"/>
        <v>86</v>
      </c>
      <c r="S98" s="1025" t="str">
        <f>VLOOKUP(B98,'[26]CN BC'!$F$10:$K$267,6,FALSE)</f>
        <v>Hỗ trợ công việc phòng KHTC</v>
      </c>
      <c r="T98" s="1067"/>
      <c r="U98" s="1038"/>
      <c r="V98" s="1489"/>
    </row>
    <row r="99" spans="1:29" s="1028" customFormat="1" ht="33" customHeight="1">
      <c r="A99" s="1014">
        <f>_xlfn.AGGREGATE(4,7,A$12:A98)+1</f>
        <v>87</v>
      </c>
      <c r="B99" s="1015" t="s">
        <v>1478</v>
      </c>
      <c r="C99" s="1033" t="s">
        <v>1689</v>
      </c>
      <c r="D99" s="1034" t="s">
        <v>371</v>
      </c>
      <c r="E99" s="81" t="str">
        <f>VLOOKUP(B99,TH.Q2!B19:E350,4,FALSE)</f>
        <v>Giảng viên khoa May - Thời trang</v>
      </c>
      <c r="F99" s="1040">
        <v>3.99</v>
      </c>
      <c r="G99" s="1019"/>
      <c r="H99" s="1248">
        <f t="shared" si="12"/>
        <v>0</v>
      </c>
      <c r="I99" s="1020"/>
      <c r="J99" s="1020" t="str">
        <f>VLOOKUP(B99,[25]!Table2[[Column2]:[Column6]],4,FALSE)</f>
        <v>A3</v>
      </c>
      <c r="K99" s="1020">
        <f t="shared" si="13"/>
        <v>0.6</v>
      </c>
      <c r="L99" s="1021">
        <v>20</v>
      </c>
      <c r="M99" s="1021">
        <f>VLOOKUP(B99,'[26]CN BC'!$F$10:$H$267,3,FALSE)</f>
        <v>20</v>
      </c>
      <c r="N99" s="1021">
        <f t="shared" si="14"/>
        <v>20</v>
      </c>
      <c r="O99" s="1022"/>
      <c r="P99" s="1023">
        <f t="shared" si="15"/>
        <v>5601960</v>
      </c>
      <c r="Q99" s="1022">
        <v>23</v>
      </c>
      <c r="R99" s="1024">
        <f t="shared" ref="R99:R130" si="22">A99</f>
        <v>87</v>
      </c>
      <c r="S99" s="1025">
        <f>VLOOKUP(B99,'[26]CN BC'!$F$10:$K$267,6,FALSE)</f>
        <v>0</v>
      </c>
      <c r="T99" s="1011" t="str">
        <f>VLOOKUP(B99,TH.T4!B115:AC445,28,FALSE)</f>
        <v>M-TT</v>
      </c>
      <c r="U99" s="1027"/>
      <c r="V99" s="1489"/>
      <c r="W99" s="1012"/>
      <c r="X99" s="1012"/>
      <c r="Y99" s="1012"/>
    </row>
    <row r="100" spans="1:29" s="1028" customFormat="1" ht="33" customHeight="1">
      <c r="A100" s="1014">
        <f>_xlfn.AGGREGATE(4,7,A$12:A99)+1</f>
        <v>88</v>
      </c>
      <c r="B100" s="1050" t="s">
        <v>1479</v>
      </c>
      <c r="C100" s="1029" t="s">
        <v>1690</v>
      </c>
      <c r="D100" s="1051" t="s">
        <v>372</v>
      </c>
      <c r="E100" s="81" t="str">
        <f>VLOOKUP(B100,TH.Q2!B20:E351,4,FALSE)</f>
        <v>Giảng viên khoa May - Thời trang</v>
      </c>
      <c r="F100" s="1056">
        <v>3.99</v>
      </c>
      <c r="G100" s="1053"/>
      <c r="H100" s="1248">
        <f t="shared" si="12"/>
        <v>0</v>
      </c>
      <c r="I100" s="1054"/>
      <c r="J100" s="1020" t="str">
        <f>VLOOKUP(B100,[25]!Table2[[Column2]:[Column6]],4,FALSE)</f>
        <v>A4</v>
      </c>
      <c r="K100" s="1020">
        <f t="shared" si="13"/>
        <v>0.5</v>
      </c>
      <c r="L100" s="1021">
        <v>20</v>
      </c>
      <c r="M100" s="1021">
        <f>VLOOKUP(B100,'[26]CN BC'!$F$10:$H$267,3,FALSE)</f>
        <v>20</v>
      </c>
      <c r="N100" s="1021">
        <f t="shared" si="14"/>
        <v>20</v>
      </c>
      <c r="O100" s="1022"/>
      <c r="P100" s="1023">
        <f t="shared" si="15"/>
        <v>4668300</v>
      </c>
      <c r="Q100" s="1022">
        <v>23</v>
      </c>
      <c r="R100" s="1024">
        <f t="shared" si="22"/>
        <v>88</v>
      </c>
      <c r="S100" s="1025">
        <f>VLOOKUP(B100,'[26]CN BC'!$F$10:$K$267,6,FALSE)</f>
        <v>0</v>
      </c>
      <c r="T100" s="1011" t="str">
        <f>VLOOKUP(B100,TH.T4!B116:AC446,28,FALSE)</f>
        <v>M-TT</v>
      </c>
      <c r="U100" s="1027"/>
      <c r="V100" s="1489"/>
      <c r="W100" s="1012"/>
      <c r="X100" s="1012"/>
      <c r="Y100" s="1012"/>
      <c r="Z100" s="1012"/>
      <c r="AA100" s="1012"/>
      <c r="AB100" s="1012"/>
      <c r="AC100" s="1012"/>
    </row>
    <row r="101" spans="1:29" s="1028" customFormat="1" ht="33" customHeight="1">
      <c r="A101" s="1014">
        <f>_xlfn.AGGREGATE(4,7,A$12:A100)+1</f>
        <v>89</v>
      </c>
      <c r="B101" s="1015" t="s">
        <v>1480</v>
      </c>
      <c r="C101" s="1029" t="s">
        <v>1691</v>
      </c>
      <c r="D101" s="1045" t="s">
        <v>735</v>
      </c>
      <c r="E101" s="81" t="str">
        <f>VLOOKUP(B101,TH.Q2!B21:E352,4,FALSE)</f>
        <v>Phó Trưởng khoa May - Thời trang</v>
      </c>
      <c r="F101" s="1040">
        <v>3.66</v>
      </c>
      <c r="G101" s="1019"/>
      <c r="H101" s="1248">
        <f t="shared" si="12"/>
        <v>0</v>
      </c>
      <c r="I101" s="1020">
        <v>0.45</v>
      </c>
      <c r="J101" s="1020" t="str">
        <f>VLOOKUP(B101,[25]!Table2[[Column2]:[Column6]],4,FALSE)</f>
        <v>A2</v>
      </c>
      <c r="K101" s="1020">
        <f t="shared" si="13"/>
        <v>0.7</v>
      </c>
      <c r="L101" s="1021">
        <v>20</v>
      </c>
      <c r="M101" s="1021">
        <f>VLOOKUP(B101,'[26]CN BC'!$F$10:$H$267,3,FALSE)</f>
        <v>20</v>
      </c>
      <c r="N101" s="1021">
        <f t="shared" si="14"/>
        <v>20</v>
      </c>
      <c r="O101" s="1022"/>
      <c r="P101" s="1023">
        <f t="shared" si="15"/>
        <v>6732180</v>
      </c>
      <c r="Q101" s="1022">
        <v>23</v>
      </c>
      <c r="R101" s="1024">
        <f t="shared" si="22"/>
        <v>89</v>
      </c>
      <c r="S101" s="1025">
        <f>VLOOKUP(B101,'[26]CN BC'!$F$10:$K$267,6,FALSE)</f>
        <v>0</v>
      </c>
      <c r="T101" s="1011" t="str">
        <f>VLOOKUP(B101,TH.T4!B117:AC447,28,FALSE)</f>
        <v>M-TT</v>
      </c>
      <c r="U101" s="1027"/>
      <c r="V101" s="1489"/>
      <c r="W101" s="1012"/>
      <c r="X101" s="1012"/>
      <c r="Y101" s="1012"/>
      <c r="Z101" s="1012"/>
      <c r="AA101" s="1012"/>
      <c r="AB101" s="1012"/>
      <c r="AC101" s="1012"/>
    </row>
    <row r="102" spans="1:29" s="1028" customFormat="1" ht="33" customHeight="1">
      <c r="A102" s="1014">
        <f>_xlfn.AGGREGATE(4,7,A$12:A101)+1</f>
        <v>90</v>
      </c>
      <c r="B102" s="1015" t="s">
        <v>1481</v>
      </c>
      <c r="C102" s="1033" t="s">
        <v>1692</v>
      </c>
      <c r="D102" s="1045">
        <v>1603205353742</v>
      </c>
      <c r="E102" s="81" t="str">
        <f>VLOOKUP(B102,TH.Q2!B22:E353,4,FALSE)</f>
        <v>Giảng viên khoa May - Thời trang</v>
      </c>
      <c r="F102" s="1040">
        <v>3.66</v>
      </c>
      <c r="G102" s="1019"/>
      <c r="H102" s="1248">
        <f t="shared" si="12"/>
        <v>0</v>
      </c>
      <c r="I102" s="1020"/>
      <c r="J102" s="1020" t="str">
        <f>VLOOKUP(B102,[25]!Table2[[Column2]:[Column6]],4,FALSE)</f>
        <v>A4</v>
      </c>
      <c r="K102" s="1020">
        <f t="shared" si="13"/>
        <v>0.5</v>
      </c>
      <c r="L102" s="1021">
        <v>20</v>
      </c>
      <c r="M102" s="1021">
        <f>VLOOKUP(B102,'[26]CN BC'!$F$10:$H$267,3,FALSE)</f>
        <v>20</v>
      </c>
      <c r="N102" s="1021">
        <f t="shared" si="14"/>
        <v>20</v>
      </c>
      <c r="O102" s="1022"/>
      <c r="P102" s="1023">
        <f t="shared" si="15"/>
        <v>4282200</v>
      </c>
      <c r="Q102" s="1022">
        <v>23</v>
      </c>
      <c r="R102" s="1024">
        <f t="shared" si="22"/>
        <v>90</v>
      </c>
      <c r="S102" s="1025">
        <f>VLOOKUP(B102,'[26]CN BC'!$F$10:$K$267,6,FALSE)</f>
        <v>0</v>
      </c>
      <c r="T102" s="1011" t="str">
        <f>VLOOKUP(B102,TH.T4!B118:AC448,28,FALSE)</f>
        <v>M-TT</v>
      </c>
      <c r="U102" s="1027"/>
      <c r="V102" s="1489"/>
      <c r="W102" s="1012"/>
      <c r="X102" s="1012"/>
      <c r="Y102" s="1012"/>
    </row>
    <row r="103" spans="1:29" s="1028" customFormat="1" ht="33" customHeight="1">
      <c r="A103" s="1014">
        <f>_xlfn.AGGREGATE(4,7,A$12:A102)+1</f>
        <v>91</v>
      </c>
      <c r="B103" s="1015" t="s">
        <v>1865</v>
      </c>
      <c r="C103" s="1029" t="s">
        <v>1693</v>
      </c>
      <c r="D103" s="1045">
        <v>1603205357136</v>
      </c>
      <c r="E103" s="81" t="str">
        <f>VLOOKUP(B103,TH.Q2!B23:E354,4,FALSE)</f>
        <v>Giảng viên khoa May - Thời trang</v>
      </c>
      <c r="F103" s="1040">
        <v>3.66</v>
      </c>
      <c r="G103" s="1019"/>
      <c r="H103" s="1248">
        <f t="shared" si="12"/>
        <v>0</v>
      </c>
      <c r="I103" s="1020"/>
      <c r="J103" s="1020" t="str">
        <f>VLOOKUP(B103,[25]!Table2[[Column2]:[Column6]],4,FALSE)</f>
        <v>A4</v>
      </c>
      <c r="K103" s="1020">
        <f t="shared" si="13"/>
        <v>0.5</v>
      </c>
      <c r="L103" s="1021">
        <v>20</v>
      </c>
      <c r="M103" s="1021">
        <f>VLOOKUP(B103,'[26]CN BC'!$F$10:$H$267,3,FALSE)</f>
        <v>20</v>
      </c>
      <c r="N103" s="1021">
        <f t="shared" si="14"/>
        <v>20</v>
      </c>
      <c r="O103" s="1022"/>
      <c r="P103" s="1023">
        <f t="shared" si="15"/>
        <v>4282200</v>
      </c>
      <c r="Q103" s="1022">
        <v>23</v>
      </c>
      <c r="R103" s="1024">
        <f t="shared" si="22"/>
        <v>91</v>
      </c>
      <c r="S103" s="1025">
        <f>VLOOKUP(B103,'[26]CN BC'!$F$10:$K$267,6,FALSE)</f>
        <v>0</v>
      </c>
      <c r="T103" s="1011" t="str">
        <f>VLOOKUP(B103,TH.T4!B119:AC449,28,FALSE)</f>
        <v>M-TT</v>
      </c>
      <c r="U103" s="1027"/>
      <c r="V103" s="1489"/>
      <c r="W103" s="1012"/>
      <c r="X103" s="1012"/>
      <c r="Y103" s="1012"/>
      <c r="Z103" s="1012"/>
      <c r="AA103" s="1012"/>
      <c r="AB103" s="1012"/>
      <c r="AC103" s="1012"/>
    </row>
    <row r="104" spans="1:29" s="1028" customFormat="1" ht="33" customHeight="1">
      <c r="A104" s="1014">
        <f>_xlfn.AGGREGATE(4,7,A$12:A103)+1</f>
        <v>92</v>
      </c>
      <c r="B104" s="1015" t="s">
        <v>1482</v>
      </c>
      <c r="C104" s="1033" t="s">
        <v>1694</v>
      </c>
      <c r="D104" s="1030" t="s">
        <v>1422</v>
      </c>
      <c r="E104" s="368" t="str">
        <f>VLOOKUP(B104,TH.Q2!B24:E355,4,FALSE)</f>
        <v>Giảng viên khoa May - Thời trang</v>
      </c>
      <c r="F104" s="1040">
        <v>3.33</v>
      </c>
      <c r="G104" s="1019"/>
      <c r="H104" s="1255">
        <f t="shared" si="12"/>
        <v>0</v>
      </c>
      <c r="I104" s="1020"/>
      <c r="J104" s="1020" t="str">
        <f>VLOOKUP(B104,[25]!Table2[[Column2]:[Column6]],4,FALSE)</f>
        <v>A4</v>
      </c>
      <c r="K104" s="1020">
        <f t="shared" si="13"/>
        <v>0.5</v>
      </c>
      <c r="L104" s="1021">
        <v>20</v>
      </c>
      <c r="M104" s="1021">
        <f>VLOOKUP(B104,'[26]CN BC'!$F$10:$H$267,3,FALSE)</f>
        <v>20</v>
      </c>
      <c r="N104" s="1021">
        <f t="shared" si="14"/>
        <v>20</v>
      </c>
      <c r="O104" s="1035"/>
      <c r="P104" s="1023">
        <f t="shared" si="15"/>
        <v>3896100</v>
      </c>
      <c r="Q104" s="1035">
        <v>23</v>
      </c>
      <c r="R104" s="1024">
        <f t="shared" si="22"/>
        <v>92</v>
      </c>
      <c r="S104" s="1025">
        <f>VLOOKUP(B104,'[26]CN BC'!$F$10:$K$267,6,FALSE)</f>
        <v>0</v>
      </c>
      <c r="T104" s="1067" t="str">
        <f>VLOOKUP(B104,TH.T4!B120:AC450,28,FALSE)</f>
        <v>M-TT</v>
      </c>
      <c r="U104" s="1038"/>
      <c r="V104" s="1490"/>
    </row>
    <row r="105" spans="1:29" s="1028" customFormat="1" ht="33" customHeight="1">
      <c r="A105" s="1014">
        <f>_xlfn.AGGREGATE(4,7,A$12:A104)+1</f>
        <v>93</v>
      </c>
      <c r="B105" s="1015" t="s">
        <v>1483</v>
      </c>
      <c r="C105" s="1029" t="s">
        <v>1695</v>
      </c>
      <c r="D105" s="1030" t="s">
        <v>1432</v>
      </c>
      <c r="E105" s="81" t="str">
        <f>VLOOKUP(B105,TH.Q2!B25:E356,4,FALSE)</f>
        <v>Giảng viên khoa Du lịch - Khách sạn</v>
      </c>
      <c r="F105" s="1018">
        <v>4.9800000000000004</v>
      </c>
      <c r="G105" s="1019">
        <v>0.06</v>
      </c>
      <c r="H105" s="1255">
        <f t="shared" si="12"/>
        <v>0.29899999999999999</v>
      </c>
      <c r="I105" s="1020">
        <v>0.25</v>
      </c>
      <c r="J105" s="1020" t="str">
        <f>VLOOKUP(B105,[25]!Table2[[Column2]:[Column6]],4,FALSE)</f>
        <v>A1</v>
      </c>
      <c r="K105" s="1020">
        <f t="shared" si="13"/>
        <v>0.8</v>
      </c>
      <c r="L105" s="1021">
        <v>20</v>
      </c>
      <c r="M105" s="1021">
        <f>VLOOKUP(B105,'[26]CN BC'!$F$10:$H$267,3,FALSE)</f>
        <v>20</v>
      </c>
      <c r="N105" s="1021">
        <f t="shared" si="14"/>
        <v>20</v>
      </c>
      <c r="O105" s="1022"/>
      <c r="P105" s="1023">
        <f t="shared" si="15"/>
        <v>10350288.000000002</v>
      </c>
      <c r="Q105" s="1022">
        <v>23</v>
      </c>
      <c r="R105" s="1024">
        <f t="shared" si="22"/>
        <v>93</v>
      </c>
      <c r="S105" s="1025">
        <f>VLOOKUP(B105,'[26]CN BC'!$F$10:$K$267,6,FALSE)</f>
        <v>0</v>
      </c>
      <c r="T105" s="1011" t="str">
        <f>VLOOKUP(B105,TH.T4!B121:AC451,28,FALSE)</f>
        <v>DLKS</v>
      </c>
      <c r="U105" s="1027"/>
      <c r="V105" s="1489"/>
      <c r="W105" s="1012"/>
      <c r="X105" s="1012"/>
      <c r="Y105" s="1012"/>
      <c r="Z105" s="1012"/>
      <c r="AA105" s="1012"/>
      <c r="AB105" s="1012"/>
      <c r="AC105" s="1012"/>
    </row>
    <row r="106" spans="1:29" s="1028" customFormat="1" ht="33" customHeight="1">
      <c r="A106" s="1014">
        <f>_xlfn.AGGREGATE(4,7,A$12:A105)+1</f>
        <v>94</v>
      </c>
      <c r="B106" s="1050" t="s">
        <v>1568</v>
      </c>
      <c r="C106" s="1029" t="s">
        <v>1696</v>
      </c>
      <c r="D106" s="1042" t="s">
        <v>1569</v>
      </c>
      <c r="E106" s="81" t="str">
        <f>VLOOKUP(B106,TH.Q2!B26:E357,4,FALSE)</f>
        <v>Giảng viên khoa May - Thời trang</v>
      </c>
      <c r="F106" s="1040">
        <v>3.33</v>
      </c>
      <c r="G106" s="1019"/>
      <c r="H106" s="1255">
        <f t="shared" si="12"/>
        <v>0</v>
      </c>
      <c r="I106" s="1020"/>
      <c r="J106" s="1020" t="str">
        <f>VLOOKUP(B106,[25]!Table2[[Column2]:[Column6]],4,FALSE)</f>
        <v>A3</v>
      </c>
      <c r="K106" s="1020">
        <f t="shared" si="13"/>
        <v>0.6</v>
      </c>
      <c r="L106" s="1021">
        <v>20</v>
      </c>
      <c r="M106" s="1021">
        <f>VLOOKUP(B106,'[26]CN BC'!$F$10:$H$267,3,FALSE)</f>
        <v>20</v>
      </c>
      <c r="N106" s="1021">
        <f t="shared" si="14"/>
        <v>20</v>
      </c>
      <c r="O106" s="1022"/>
      <c r="P106" s="1023">
        <f t="shared" si="15"/>
        <v>4675320</v>
      </c>
      <c r="Q106" s="1022">
        <v>23</v>
      </c>
      <c r="R106" s="1024">
        <f t="shared" si="22"/>
        <v>94</v>
      </c>
      <c r="S106" s="1025">
        <f>VLOOKUP(B106,'[26]CN BC'!$F$10:$K$267,6,FALSE)</f>
        <v>0</v>
      </c>
      <c r="T106" s="1011" t="str">
        <f>VLOOKUP(B106,TH.T4!B122:AC452,28,FALSE)</f>
        <v>M-TT</v>
      </c>
      <c r="U106" s="1027"/>
      <c r="V106" s="1489"/>
      <c r="W106" s="1012"/>
      <c r="X106" s="1012"/>
      <c r="Y106" s="1012"/>
      <c r="Z106" s="1012"/>
      <c r="AA106" s="1012"/>
      <c r="AB106" s="1012"/>
      <c r="AC106" s="1012"/>
    </row>
    <row r="107" spans="1:29" s="1028" customFormat="1" ht="33" customHeight="1">
      <c r="A107" s="1014">
        <f>_xlfn.AGGREGATE(4,7,A$12:A106)+1</f>
        <v>95</v>
      </c>
      <c r="B107" s="1015" t="s">
        <v>1832</v>
      </c>
      <c r="C107" s="1033" t="s">
        <v>1963</v>
      </c>
      <c r="D107" s="1086">
        <v>1603215005610</v>
      </c>
      <c r="E107" s="81" t="str">
        <f>VLOOKUP(B107,TH.Q2!B27:E358,4,FALSE)</f>
        <v>Giảng viên khoa May - Thời trang</v>
      </c>
      <c r="F107" s="1040">
        <v>3.33</v>
      </c>
      <c r="G107" s="1019"/>
      <c r="H107" s="1248">
        <f t="shared" si="12"/>
        <v>0</v>
      </c>
      <c r="I107" s="1020"/>
      <c r="J107" s="1020" t="str">
        <f>VLOOKUP(B107,[25]!Table2[[Column2]:[Column6]],4,FALSE)</f>
        <v>A4</v>
      </c>
      <c r="K107" s="1020">
        <f t="shared" si="13"/>
        <v>0.5</v>
      </c>
      <c r="L107" s="1021">
        <v>20</v>
      </c>
      <c r="M107" s="1021">
        <f>VLOOKUP(B107,'[26]CN BC'!$F$10:$H$267,3,FALSE)</f>
        <v>20</v>
      </c>
      <c r="N107" s="1021">
        <f t="shared" si="14"/>
        <v>20</v>
      </c>
      <c r="O107" s="1022"/>
      <c r="P107" s="1023">
        <f t="shared" si="15"/>
        <v>3896100</v>
      </c>
      <c r="Q107" s="1022">
        <v>23</v>
      </c>
      <c r="R107" s="1024">
        <f t="shared" si="22"/>
        <v>95</v>
      </c>
      <c r="S107" s="1025">
        <f>VLOOKUP(B107,'[26]CN BC'!$F$10:$K$267,6,FALSE)</f>
        <v>0</v>
      </c>
      <c r="T107" s="1011" t="str">
        <f>VLOOKUP(B107,TH.T4!B123:AC453,28,FALSE)</f>
        <v>M-TT</v>
      </c>
      <c r="U107" s="1027"/>
      <c r="V107" s="1489"/>
      <c r="W107" s="1012"/>
      <c r="X107" s="1012"/>
      <c r="Y107" s="1012"/>
    </row>
    <row r="108" spans="1:29" s="1028" customFormat="1" ht="33" customHeight="1">
      <c r="A108" s="1014">
        <f>_xlfn.AGGREGATE(4,7,A$12:A107)+1</f>
        <v>96</v>
      </c>
      <c r="B108" s="1015" t="s">
        <v>843</v>
      </c>
      <c r="C108" s="1033" t="s">
        <v>1726</v>
      </c>
      <c r="D108" s="1034" t="s">
        <v>1316</v>
      </c>
      <c r="E108" s="81" t="s">
        <v>2445</v>
      </c>
      <c r="F108" s="1040">
        <v>4.32</v>
      </c>
      <c r="G108" s="1019"/>
      <c r="H108" s="1255">
        <f>ROUND(F108*G108,3)</f>
        <v>0</v>
      </c>
      <c r="I108" s="1020">
        <v>0.45</v>
      </c>
      <c r="J108" s="1020" t="str">
        <f>VLOOKUP(B108,[25]!Table2[[Column2]:[Column6]],4,FALSE)</f>
        <v>A2</v>
      </c>
      <c r="K108" s="1020">
        <f>IF(J108="A1",0.8,IF(J108="A2",0.7,IF(J108="A3",0.6,IF(J108="A4",0.5,IF(J108="B1",0.35,IF(J108="B2",0.25,IF(J108="C1",0.15,IF(J108="C2",0.1,0))))))))</f>
        <v>0.7</v>
      </c>
      <c r="L108" s="1021">
        <v>20</v>
      </c>
      <c r="M108" s="1021">
        <f>VLOOKUP(B108,'[26]CN BC'!$F$10:$H$267,3,FALSE)</f>
        <v>20</v>
      </c>
      <c r="N108" s="1021">
        <f>IF(M108&gt;=L108,L108,IF(M108&lt;L108,M108))</f>
        <v>20</v>
      </c>
      <c r="O108" s="1035"/>
      <c r="P108" s="1023">
        <f>(((F108+H108+I108)*$P$9/L108*N108)*K108)+O108</f>
        <v>7813260.0000000009</v>
      </c>
      <c r="Q108" s="1035">
        <v>23</v>
      </c>
      <c r="R108" s="1024">
        <f>A108</f>
        <v>96</v>
      </c>
      <c r="S108" s="1025">
        <f>VLOOKUP(B108,'[26]CN BC'!$F$10:$K$267,6,FALSE)</f>
        <v>0</v>
      </c>
      <c r="T108" s="1067" t="str">
        <f>VLOOKUP(B108,TH.T4!B160:AC490,28,FALSE)</f>
        <v>LLCT</v>
      </c>
      <c r="U108" s="1038"/>
      <c r="V108" s="1489"/>
    </row>
    <row r="109" spans="1:29" s="1012" customFormat="1" ht="33" customHeight="1">
      <c r="A109" s="1014">
        <f>_xlfn.AGGREGATE(4,7,A$12:A108)+1</f>
        <v>97</v>
      </c>
      <c r="B109" s="1093" t="s">
        <v>1871</v>
      </c>
      <c r="C109" s="1094" t="s">
        <v>1705</v>
      </c>
      <c r="D109" s="1212" t="s">
        <v>1309</v>
      </c>
      <c r="E109" s="554" t="s">
        <v>2441</v>
      </c>
      <c r="F109" s="1095">
        <v>4.9800000000000004</v>
      </c>
      <c r="G109" s="1096">
        <v>0.05</v>
      </c>
      <c r="H109" s="1250">
        <f>ROUND(F109*G109,3)</f>
        <v>0.249</v>
      </c>
      <c r="I109" s="1097">
        <v>0.35</v>
      </c>
      <c r="J109" s="1020" t="str">
        <f>VLOOKUP(B109,[25]!Table2[[Column2]:[Column6]],4,FALSE)</f>
        <v>A2</v>
      </c>
      <c r="K109" s="1097">
        <f>IF(J109="A1",0.8,IF(J109="A2",0.7,IF(J109="A3",0.6,IF(J109="A4",0.5,IF(J109="B1",0.35,IF(J109="B2",0.25,IF(J109="C1",0.15,IF(J109="C2",0.1,0))))))))</f>
        <v>0.7</v>
      </c>
      <c r="L109" s="1021">
        <v>20</v>
      </c>
      <c r="M109" s="1021">
        <f>VLOOKUP(B109,'[26]CN BC'!$F$10:$H$267,3,FALSE)</f>
        <v>20</v>
      </c>
      <c r="N109" s="1213">
        <f>IF(M109&gt;=L109,L109,IF(M109&lt;L109,M109))</f>
        <v>20</v>
      </c>
      <c r="O109" s="1035"/>
      <c r="P109" s="1214">
        <f>(((F109+H109+I109)*$P$9/L109*N109)*K109)+O109</f>
        <v>9138402</v>
      </c>
      <c r="Q109" s="1022">
        <v>23</v>
      </c>
      <c r="R109" s="1220">
        <f>A109</f>
        <v>97</v>
      </c>
      <c r="S109" s="1025">
        <f>VLOOKUP(B109,'[26]CN BC'!$F$10:$K$267,6,FALSE)</f>
        <v>0</v>
      </c>
      <c r="T109" s="1011" t="str">
        <f>VLOOKUP(B109,TH.T4!B134:AC464,28,FALSE)</f>
        <v>KHCB</v>
      </c>
      <c r="U109" s="1027"/>
      <c r="V109" s="1489"/>
    </row>
    <row r="110" spans="1:29" s="1028" customFormat="1" ht="33" customHeight="1">
      <c r="A110" s="1014">
        <f>_xlfn.AGGREGATE(4,7,A$12:A109)+1</f>
        <v>98</v>
      </c>
      <c r="B110" s="1015" t="s">
        <v>1841</v>
      </c>
      <c r="C110" s="1033" t="s">
        <v>1956</v>
      </c>
      <c r="D110" s="1066" t="s">
        <v>1931</v>
      </c>
      <c r="E110" s="81" t="s">
        <v>2441</v>
      </c>
      <c r="F110" s="1040">
        <v>3</v>
      </c>
      <c r="G110" s="1019"/>
      <c r="H110" s="1248">
        <f>ROUND(F110*G110,3)</f>
        <v>0</v>
      </c>
      <c r="I110" s="1020">
        <v>0.35</v>
      </c>
      <c r="J110" s="1020" t="str">
        <f>VLOOKUP(B110,[25]!Table2[[Column2]:[Column6]],4,FALSE)</f>
        <v>A1</v>
      </c>
      <c r="K110" s="1020">
        <f>IF(J110="A1",0.8,IF(J110="A2",0.7,IF(J110="A3",0.6,IF(J110="A4",0.5,IF(J110="B1",0.35,IF(J110="B2",0.25,IF(J110="C1",0.15,IF(J110="C2",0.1,0))))))))</f>
        <v>0.8</v>
      </c>
      <c r="L110" s="1021">
        <v>20</v>
      </c>
      <c r="M110" s="1021">
        <f>VLOOKUP(B110,'[26]CN BC'!$F$10:$H$267,3,FALSE)</f>
        <v>20</v>
      </c>
      <c r="N110" s="1021">
        <f>IF(M110&gt;=L110,L110,IF(M110&lt;L110,M110))</f>
        <v>20</v>
      </c>
      <c r="O110" s="1022"/>
      <c r="P110" s="1023">
        <f>(((F110+H110+I110)*$P$9/L110*N110)*K110)+O110</f>
        <v>6271200</v>
      </c>
      <c r="Q110" s="1022">
        <v>23</v>
      </c>
      <c r="R110" s="1024">
        <f>A110</f>
        <v>98</v>
      </c>
      <c r="S110" s="1025">
        <f>VLOOKUP(B110,'[26]CN BC'!$F$10:$K$267,6,FALSE)</f>
        <v>0</v>
      </c>
      <c r="T110" s="1011" t="str">
        <f>VLOOKUP(B110,TH.T4!B82:AC412,28,FALSE)</f>
        <v>TTĐHDL</v>
      </c>
      <c r="U110" s="1027"/>
      <c r="V110" s="1489"/>
      <c r="W110" s="1012"/>
      <c r="X110" s="1012"/>
      <c r="Y110" s="1012"/>
    </row>
    <row r="111" spans="1:29" s="1028" customFormat="1" ht="33" customHeight="1">
      <c r="A111" s="1014">
        <f>_xlfn.AGGREGATE(4,7,A$12:A110)+1</f>
        <v>99</v>
      </c>
      <c r="B111" s="1015" t="s">
        <v>1866</v>
      </c>
      <c r="C111" s="1033" t="s">
        <v>1697</v>
      </c>
      <c r="D111" s="1034" t="s">
        <v>1300</v>
      </c>
      <c r="E111" s="81" t="s">
        <v>2444</v>
      </c>
      <c r="F111" s="1018">
        <v>4.9800000000000004</v>
      </c>
      <c r="G111" s="1019">
        <v>0.08</v>
      </c>
      <c r="H111" s="1248">
        <f t="shared" si="12"/>
        <v>0.39800000000000002</v>
      </c>
      <c r="I111" s="1020"/>
      <c r="J111" s="1020" t="str">
        <f>VLOOKUP(B111,[25]!Table2[[Column2]:[Column6]],4,FALSE)</f>
        <v>A3</v>
      </c>
      <c r="K111" s="1020">
        <f t="shared" si="13"/>
        <v>0.6</v>
      </c>
      <c r="L111" s="1021">
        <v>20</v>
      </c>
      <c r="M111" s="1021">
        <f>VLOOKUP(B111,'[26]CN BC'!$F$10:$H$267,3,FALSE)</f>
        <v>20</v>
      </c>
      <c r="N111" s="1021">
        <f t="shared" si="14"/>
        <v>20</v>
      </c>
      <c r="O111" s="1022"/>
      <c r="P111" s="1023">
        <f t="shared" si="15"/>
        <v>7550712</v>
      </c>
      <c r="Q111" s="1035">
        <v>23</v>
      </c>
      <c r="R111" s="1024">
        <f t="shared" si="22"/>
        <v>99</v>
      </c>
      <c r="S111" s="1025">
        <f>VLOOKUP(B111,'[26]CN BC'!$F$10:$K$267,6,FALSE)</f>
        <v>0</v>
      </c>
      <c r="T111" s="1011" t="str">
        <f>VLOOKUP(B111,TH.T4!B125:AC455,28,FALSE)</f>
        <v>KHCB</v>
      </c>
      <c r="U111" s="1038"/>
      <c r="V111" s="1489"/>
    </row>
    <row r="112" spans="1:29" s="1012" customFormat="1" ht="33" customHeight="1">
      <c r="A112" s="1014">
        <f>_xlfn.AGGREGATE(4,7,A$12:A111)+1</f>
        <v>100</v>
      </c>
      <c r="B112" s="1050" t="s">
        <v>1867</v>
      </c>
      <c r="C112" s="1029" t="s">
        <v>1698</v>
      </c>
      <c r="D112" s="1051" t="s">
        <v>1299</v>
      </c>
      <c r="E112" s="81" t="s">
        <v>2444</v>
      </c>
      <c r="F112" s="1052">
        <v>4.32</v>
      </c>
      <c r="G112" s="1053"/>
      <c r="H112" s="1248">
        <f t="shared" si="12"/>
        <v>0</v>
      </c>
      <c r="I112" s="1054"/>
      <c r="J112" s="1020" t="str">
        <f>VLOOKUP(B112,[25]!Table2[[Column2]:[Column6]],4,FALSE)</f>
        <v>A4</v>
      </c>
      <c r="K112" s="1020">
        <f t="shared" si="13"/>
        <v>0.5</v>
      </c>
      <c r="L112" s="1021">
        <v>20</v>
      </c>
      <c r="M112" s="1021">
        <f>VLOOKUP(B112,'[26]CN BC'!$F$10:$H$267,3,FALSE)</f>
        <v>20</v>
      </c>
      <c r="N112" s="1021">
        <f t="shared" si="14"/>
        <v>20</v>
      </c>
      <c r="O112" s="1022"/>
      <c r="P112" s="1023">
        <f t="shared" si="15"/>
        <v>5054400</v>
      </c>
      <c r="Q112" s="1022">
        <v>23</v>
      </c>
      <c r="R112" s="1024">
        <f t="shared" si="22"/>
        <v>100</v>
      </c>
      <c r="S112" s="1025">
        <f>VLOOKUP(B112,'[26]CN BC'!$F$10:$K$267,6,FALSE)</f>
        <v>0</v>
      </c>
      <c r="T112" s="1011" t="str">
        <f>VLOOKUP(B112,TH.T4!B126:AC456,28,FALSE)</f>
        <v>KHCB</v>
      </c>
      <c r="U112" s="1027"/>
      <c r="V112" s="1489"/>
    </row>
    <row r="113" spans="1:29" s="1028" customFormat="1" ht="33" customHeight="1">
      <c r="A113" s="1014">
        <f>_xlfn.AGGREGATE(4,7,A$12:A112)+1</f>
        <v>101</v>
      </c>
      <c r="B113" s="1015" t="s">
        <v>1485</v>
      </c>
      <c r="C113" s="1033" t="s">
        <v>1699</v>
      </c>
      <c r="D113" s="1034" t="s">
        <v>373</v>
      </c>
      <c r="E113" s="81" t="s">
        <v>2444</v>
      </c>
      <c r="F113" s="1018">
        <v>4.32</v>
      </c>
      <c r="G113" s="1019"/>
      <c r="H113" s="1255">
        <f t="shared" si="12"/>
        <v>0</v>
      </c>
      <c r="I113" s="1020"/>
      <c r="J113" s="1020" t="str">
        <f>VLOOKUP(B113,[25]!Table2[[Column2]:[Column6]],4,FALSE)</f>
        <v>A4</v>
      </c>
      <c r="K113" s="1020">
        <f t="shared" si="13"/>
        <v>0.5</v>
      </c>
      <c r="L113" s="1021">
        <v>20</v>
      </c>
      <c r="M113" s="1021">
        <f>VLOOKUP(B113,'[26]CN BC'!$F$10:$H$267,3,FALSE)</f>
        <v>20</v>
      </c>
      <c r="N113" s="1021">
        <f t="shared" si="14"/>
        <v>20</v>
      </c>
      <c r="O113" s="1035"/>
      <c r="P113" s="1023">
        <f t="shared" si="15"/>
        <v>5054400</v>
      </c>
      <c r="Q113" s="1035">
        <v>23</v>
      </c>
      <c r="R113" s="1024">
        <f t="shared" si="22"/>
        <v>101</v>
      </c>
      <c r="S113" s="1025">
        <f>VLOOKUP(B113,'[26]CN BC'!$F$10:$K$267,6,FALSE)</f>
        <v>0</v>
      </c>
      <c r="T113" s="1067" t="str">
        <f>VLOOKUP(B113,TH.T4!B127:AC457,28,FALSE)</f>
        <v>KHCB</v>
      </c>
      <c r="U113" s="1038"/>
      <c r="V113" s="1489"/>
    </row>
    <row r="114" spans="1:29" s="1028" customFormat="1" ht="33" customHeight="1">
      <c r="A114" s="1014">
        <f>_xlfn.AGGREGATE(4,7,A$12:A113)+1</f>
        <v>102</v>
      </c>
      <c r="B114" s="1015" t="s">
        <v>1559</v>
      </c>
      <c r="C114" s="1029" t="s">
        <v>1647</v>
      </c>
      <c r="D114" s="1034" t="s">
        <v>406</v>
      </c>
      <c r="E114" s="81" t="s">
        <v>2444</v>
      </c>
      <c r="F114" s="1040">
        <v>3.66</v>
      </c>
      <c r="G114" s="1049"/>
      <c r="H114" s="1248">
        <f t="shared" si="12"/>
        <v>0</v>
      </c>
      <c r="I114" s="1020"/>
      <c r="J114" s="1020" t="str">
        <f>VLOOKUP(B114,[25]!Table2[[Column2]:[Column6]],4,FALSE)</f>
        <v>A4</v>
      </c>
      <c r="K114" s="1020">
        <f t="shared" si="13"/>
        <v>0.5</v>
      </c>
      <c r="L114" s="1021">
        <v>20</v>
      </c>
      <c r="M114" s="1021">
        <f>VLOOKUP(B114,'[26]CN BC'!$F$10:$H$267,3,FALSE)</f>
        <v>20</v>
      </c>
      <c r="N114" s="1021">
        <f t="shared" si="14"/>
        <v>20</v>
      </c>
      <c r="O114" s="1022"/>
      <c r="P114" s="1023">
        <f t="shared" si="15"/>
        <v>4282200</v>
      </c>
      <c r="Q114" s="1022">
        <v>23</v>
      </c>
      <c r="R114" s="1024">
        <f t="shared" si="22"/>
        <v>102</v>
      </c>
      <c r="S114" s="1025">
        <f>VLOOKUP(B114,'[26]CN BC'!$F$10:$K$267,6,FALSE)</f>
        <v>0</v>
      </c>
      <c r="T114" s="1011" t="str">
        <f>VLOOKUP(B114,TH.T4!B128:AC458,28,FALSE)</f>
        <v>KHCB</v>
      </c>
      <c r="U114" s="1027"/>
      <c r="V114" s="1489"/>
      <c r="W114" s="1012"/>
      <c r="X114" s="1012"/>
      <c r="Y114" s="1012"/>
      <c r="Z114" s="1012"/>
      <c r="AA114" s="1012"/>
      <c r="AB114" s="1012"/>
      <c r="AC114" s="1012"/>
    </row>
    <row r="115" spans="1:29" s="1028" customFormat="1" ht="33" customHeight="1">
      <c r="A115" s="1014">
        <f>_xlfn.AGGREGATE(4,7,A$12:A114)+1</f>
        <v>103</v>
      </c>
      <c r="B115" s="1015" t="s">
        <v>1868</v>
      </c>
      <c r="C115" s="1033" t="s">
        <v>1700</v>
      </c>
      <c r="D115" s="1034" t="s">
        <v>1303</v>
      </c>
      <c r="E115" s="81" t="s">
        <v>2444</v>
      </c>
      <c r="F115" s="1018">
        <v>4.9800000000000004</v>
      </c>
      <c r="G115" s="1019"/>
      <c r="H115" s="1248">
        <f t="shared" si="12"/>
        <v>0</v>
      </c>
      <c r="I115" s="1020"/>
      <c r="J115" s="1020" t="str">
        <f>VLOOKUP(B115,[25]!Table2[[Column2]:[Column6]],4,FALSE)</f>
        <v>A4</v>
      </c>
      <c r="K115" s="1020">
        <f t="shared" si="13"/>
        <v>0.5</v>
      </c>
      <c r="L115" s="1021">
        <v>20</v>
      </c>
      <c r="M115" s="1021">
        <f>VLOOKUP(B115,'[26]CN BC'!$F$10:$H$267,3,FALSE)</f>
        <v>20</v>
      </c>
      <c r="N115" s="1021">
        <f t="shared" si="14"/>
        <v>20</v>
      </c>
      <c r="O115" s="1022"/>
      <c r="P115" s="1023">
        <f t="shared" si="15"/>
        <v>5826600.0000000009</v>
      </c>
      <c r="Q115" s="1022">
        <v>23</v>
      </c>
      <c r="R115" s="1024">
        <f t="shared" si="22"/>
        <v>103</v>
      </c>
      <c r="S115" s="1025">
        <f>VLOOKUP(B115,'[26]CN BC'!$F$10:$K$267,6,FALSE)</f>
        <v>0</v>
      </c>
      <c r="T115" s="1011" t="str">
        <f>VLOOKUP(B115,TH.T4!B129:AC459,28,FALSE)</f>
        <v>KHCB</v>
      </c>
      <c r="U115" s="1027"/>
      <c r="V115" s="1489"/>
      <c r="W115" s="1012"/>
      <c r="X115" s="1012"/>
      <c r="Y115" s="1012"/>
    </row>
    <row r="116" spans="1:29" s="1028" customFormat="1" ht="33" customHeight="1">
      <c r="A116" s="1014">
        <f>_xlfn.AGGREGATE(4,7,A$12:A115)+1</f>
        <v>104</v>
      </c>
      <c r="B116" s="1015" t="s">
        <v>1869</v>
      </c>
      <c r="C116" s="1029" t="s">
        <v>1701</v>
      </c>
      <c r="D116" s="1034" t="s">
        <v>1304</v>
      </c>
      <c r="E116" s="81" t="s">
        <v>2444</v>
      </c>
      <c r="F116" s="1040">
        <v>4.6500000000000004</v>
      </c>
      <c r="G116" s="1019"/>
      <c r="H116" s="1248">
        <f t="shared" si="12"/>
        <v>0</v>
      </c>
      <c r="I116" s="1020"/>
      <c r="J116" s="1020" t="str">
        <f>VLOOKUP(B116,[25]!Table2[[Column2]:[Column6]],4,FALSE)</f>
        <v>A3</v>
      </c>
      <c r="K116" s="1020">
        <f t="shared" si="13"/>
        <v>0.6</v>
      </c>
      <c r="L116" s="1021">
        <v>20</v>
      </c>
      <c r="M116" s="1021">
        <f>VLOOKUP(B116,'[26]CN BC'!$F$10:$H$267,3,FALSE)</f>
        <v>20</v>
      </c>
      <c r="N116" s="1021">
        <f t="shared" si="14"/>
        <v>20</v>
      </c>
      <c r="O116" s="1022"/>
      <c r="P116" s="1023">
        <f t="shared" si="15"/>
        <v>6528600</v>
      </c>
      <c r="Q116" s="1022">
        <v>23</v>
      </c>
      <c r="R116" s="1024">
        <f t="shared" si="22"/>
        <v>104</v>
      </c>
      <c r="S116" s="1025">
        <f>VLOOKUP(B116,'[26]CN BC'!$F$10:$K$267,6,FALSE)</f>
        <v>0</v>
      </c>
      <c r="T116" s="1011" t="str">
        <f>VLOOKUP(B116,TH.T4!B130:AC460,28,FALSE)</f>
        <v>KHCB</v>
      </c>
      <c r="U116" s="1027"/>
      <c r="V116" s="1489"/>
      <c r="W116" s="1012"/>
      <c r="X116" s="1012"/>
      <c r="Y116" s="1012"/>
      <c r="Z116" s="1012"/>
      <c r="AA116" s="1012"/>
      <c r="AB116" s="1012"/>
      <c r="AC116" s="1012"/>
    </row>
    <row r="117" spans="1:29" s="1028" customFormat="1" ht="33" customHeight="1">
      <c r="A117" s="1014">
        <f>_xlfn.AGGREGATE(4,7,A$12:A116)+1</f>
        <v>105</v>
      </c>
      <c r="B117" s="1015" t="s">
        <v>1870</v>
      </c>
      <c r="C117" s="1033" t="s">
        <v>1702</v>
      </c>
      <c r="D117" s="1034" t="s">
        <v>1306</v>
      </c>
      <c r="E117" s="81" t="s">
        <v>2444</v>
      </c>
      <c r="F117" s="1018">
        <v>4.9800000000000004</v>
      </c>
      <c r="G117" s="1019">
        <v>0.1</v>
      </c>
      <c r="H117" s="1255">
        <f t="shared" si="12"/>
        <v>0.498</v>
      </c>
      <c r="I117" s="1020"/>
      <c r="J117" s="1020" t="str">
        <f>VLOOKUP(B117,[25]!Table2[[Column2]:[Column6]],4,FALSE)</f>
        <v>A4</v>
      </c>
      <c r="K117" s="1020">
        <f t="shared" si="13"/>
        <v>0.5</v>
      </c>
      <c r="L117" s="1021">
        <v>20</v>
      </c>
      <c r="M117" s="1021">
        <f>VLOOKUP(B117,'[26]CN BC'!$F$10:$H$267,3,FALSE)</f>
        <v>20</v>
      </c>
      <c r="N117" s="1021">
        <f t="shared" si="14"/>
        <v>20</v>
      </c>
      <c r="O117" s="1035"/>
      <c r="P117" s="1023">
        <f t="shared" si="15"/>
        <v>6409260.0000000009</v>
      </c>
      <c r="Q117" s="1035">
        <v>23</v>
      </c>
      <c r="R117" s="1024">
        <f t="shared" si="22"/>
        <v>105</v>
      </c>
      <c r="S117" s="1025">
        <f>VLOOKUP(B117,'[26]CN BC'!$F$10:$K$267,6,FALSE)</f>
        <v>0</v>
      </c>
      <c r="T117" s="1067" t="str">
        <f>VLOOKUP(B117,TH.T4!B131:AC461,28,FALSE)</f>
        <v>KHCB</v>
      </c>
      <c r="U117" s="1038"/>
      <c r="V117" s="1489"/>
    </row>
    <row r="118" spans="1:29" s="1028" customFormat="1" ht="33" customHeight="1">
      <c r="A118" s="1014">
        <f>_xlfn.AGGREGATE(4,7,A$12:A117)+1</f>
        <v>106</v>
      </c>
      <c r="B118" s="1015" t="s">
        <v>847</v>
      </c>
      <c r="C118" s="1033" t="s">
        <v>1703</v>
      </c>
      <c r="D118" s="1034" t="s">
        <v>1307</v>
      </c>
      <c r="E118" s="81" t="s">
        <v>2444</v>
      </c>
      <c r="F118" s="1040">
        <v>4.32</v>
      </c>
      <c r="G118" s="1019"/>
      <c r="H118" s="1248">
        <f t="shared" si="12"/>
        <v>0</v>
      </c>
      <c r="I118" s="1020"/>
      <c r="J118" s="1020" t="str">
        <f>VLOOKUP(B118,[25]!Table2[[Column2]:[Column6]],4,FALSE)</f>
        <v>A2</v>
      </c>
      <c r="K118" s="1020">
        <f t="shared" si="13"/>
        <v>0.7</v>
      </c>
      <c r="L118" s="1021">
        <v>20</v>
      </c>
      <c r="M118" s="1021">
        <f>VLOOKUP(B118,'[26]CN BC'!$F$10:$H$267,3,FALSE)</f>
        <v>20</v>
      </c>
      <c r="N118" s="1021">
        <f t="shared" si="14"/>
        <v>20</v>
      </c>
      <c r="O118" s="1022"/>
      <c r="P118" s="1023">
        <f t="shared" si="15"/>
        <v>7076160</v>
      </c>
      <c r="Q118" s="1035">
        <v>23</v>
      </c>
      <c r="R118" s="1089">
        <f t="shared" si="22"/>
        <v>106</v>
      </c>
      <c r="S118" s="1025">
        <f>VLOOKUP(B118,'[26]CN BC'!$F$10:$K$267,6,FALSE)</f>
        <v>0</v>
      </c>
      <c r="T118" s="1011" t="str">
        <f>VLOOKUP(B118,TH.T4!B132:AC462,28,FALSE)</f>
        <v>KHCB</v>
      </c>
      <c r="U118" s="1038"/>
      <c r="V118" s="1489"/>
    </row>
    <row r="119" spans="1:29" s="1028" customFormat="1" ht="33" customHeight="1">
      <c r="A119" s="1014">
        <f>_xlfn.AGGREGATE(4,7,A$12:A118)+1</f>
        <v>107</v>
      </c>
      <c r="B119" s="1015" t="s">
        <v>1486</v>
      </c>
      <c r="C119" s="1029" t="s">
        <v>1704</v>
      </c>
      <c r="D119" s="1045" t="s">
        <v>1588</v>
      </c>
      <c r="E119" s="81" t="s">
        <v>2444</v>
      </c>
      <c r="F119" s="1040">
        <v>3.66</v>
      </c>
      <c r="G119" s="1019"/>
      <c r="H119" s="1248">
        <f t="shared" si="12"/>
        <v>0</v>
      </c>
      <c r="I119" s="1020"/>
      <c r="J119" s="1020" t="str">
        <f>VLOOKUP(B119,[25]!Table2[[Column2]:[Column6]],4,FALSE)</f>
        <v>A4</v>
      </c>
      <c r="K119" s="1020">
        <f t="shared" si="13"/>
        <v>0.5</v>
      </c>
      <c r="L119" s="1021">
        <v>20</v>
      </c>
      <c r="M119" s="1021">
        <f>VLOOKUP(B119,'[26]CN BC'!$F$10:$H$267,3,FALSE)</f>
        <v>20</v>
      </c>
      <c r="N119" s="1021">
        <f t="shared" si="14"/>
        <v>20</v>
      </c>
      <c r="O119" s="1022"/>
      <c r="P119" s="1023">
        <f t="shared" si="15"/>
        <v>4282200</v>
      </c>
      <c r="Q119" s="1022">
        <v>23</v>
      </c>
      <c r="R119" s="1089">
        <f t="shared" si="22"/>
        <v>107</v>
      </c>
      <c r="S119" s="1025">
        <f>VLOOKUP(B119,'[26]CN BC'!$F$10:$K$267,6,FALSE)</f>
        <v>0</v>
      </c>
      <c r="T119" s="1011" t="str">
        <f>VLOOKUP(B119,TH.T4!B133:AC463,28,FALSE)</f>
        <v>KHCB</v>
      </c>
      <c r="U119" s="1027"/>
      <c r="V119" s="1489"/>
      <c r="W119" s="1012"/>
      <c r="X119" s="1012"/>
      <c r="Y119" s="1012"/>
      <c r="Z119" s="1012"/>
      <c r="AA119" s="1012"/>
      <c r="AB119" s="1012"/>
      <c r="AC119" s="1012"/>
    </row>
    <row r="120" spans="1:29" s="1028" customFormat="1" ht="33" customHeight="1">
      <c r="A120" s="1014">
        <f>_xlfn.AGGREGATE(4,7,A$12:A119)+1</f>
        <v>108</v>
      </c>
      <c r="B120" s="1015" t="s">
        <v>1872</v>
      </c>
      <c r="C120" s="1033" t="s">
        <v>1706</v>
      </c>
      <c r="D120" s="1034" t="s">
        <v>1311</v>
      </c>
      <c r="E120" s="81" t="s">
        <v>2444</v>
      </c>
      <c r="F120" s="1018">
        <v>4.9800000000000004</v>
      </c>
      <c r="G120" s="1019">
        <v>7.0000000000000007E-2</v>
      </c>
      <c r="H120" s="1255">
        <f t="shared" si="12"/>
        <v>0.34899999999999998</v>
      </c>
      <c r="I120" s="1020"/>
      <c r="J120" s="1020" t="str">
        <f>VLOOKUP(B120,[25]!Table2[[Column2]:[Column6]],4,FALSE)</f>
        <v>A4</v>
      </c>
      <c r="K120" s="1020">
        <f t="shared" si="13"/>
        <v>0.5</v>
      </c>
      <c r="L120" s="1021">
        <v>20</v>
      </c>
      <c r="M120" s="1021">
        <f>VLOOKUP(B120,'[26]CN BC'!$F$10:$H$267,3,FALSE)</f>
        <v>20</v>
      </c>
      <c r="N120" s="1021">
        <f t="shared" si="14"/>
        <v>20</v>
      </c>
      <c r="O120" s="1035"/>
      <c r="P120" s="1023">
        <f t="shared" si="15"/>
        <v>6234930.0000000009</v>
      </c>
      <c r="Q120" s="1035">
        <v>23</v>
      </c>
      <c r="R120" s="1089">
        <f t="shared" si="22"/>
        <v>108</v>
      </c>
      <c r="S120" s="1025">
        <f>VLOOKUP(B120,'[26]CN BC'!$F$10:$K$267,6,FALSE)</f>
        <v>0</v>
      </c>
      <c r="T120" s="1067" t="str">
        <f>VLOOKUP(B120,TH.T4!B135:AC465,28,FALSE)</f>
        <v>KHCB</v>
      </c>
      <c r="U120" s="1038"/>
      <c r="V120" s="1489"/>
    </row>
    <row r="121" spans="1:29" s="1028" customFormat="1" ht="33" customHeight="1">
      <c r="A121" s="1014">
        <f>_xlfn.AGGREGATE(4,7,A$12:A120)+1</f>
        <v>109</v>
      </c>
      <c r="B121" s="1015" t="s">
        <v>1487</v>
      </c>
      <c r="C121" s="1033" t="s">
        <v>1707</v>
      </c>
      <c r="D121" s="1034" t="s">
        <v>1312</v>
      </c>
      <c r="E121" s="81" t="s">
        <v>2444</v>
      </c>
      <c r="F121" s="1040">
        <v>3.99</v>
      </c>
      <c r="G121" s="1019"/>
      <c r="H121" s="1248">
        <f t="shared" si="12"/>
        <v>0</v>
      </c>
      <c r="I121" s="1020"/>
      <c r="J121" s="1020" t="str">
        <f>VLOOKUP(B121,[25]!Table2[[Column2]:[Column6]],4,FALSE)</f>
        <v>A3</v>
      </c>
      <c r="K121" s="1020">
        <f t="shared" si="13"/>
        <v>0.6</v>
      </c>
      <c r="L121" s="1021">
        <v>20</v>
      </c>
      <c r="M121" s="1021">
        <f>VLOOKUP(B121,'[26]CN BC'!$F$10:$H$267,3,FALSE)</f>
        <v>20</v>
      </c>
      <c r="N121" s="1021">
        <f t="shared" si="14"/>
        <v>20</v>
      </c>
      <c r="O121" s="1022"/>
      <c r="P121" s="1023">
        <f t="shared" si="15"/>
        <v>5601960</v>
      </c>
      <c r="Q121" s="1035">
        <v>23</v>
      </c>
      <c r="R121" s="1024">
        <f t="shared" si="22"/>
        <v>109</v>
      </c>
      <c r="S121" s="1025">
        <f>VLOOKUP(B121,'[26]CN BC'!$F$10:$K$267,6,FALSE)</f>
        <v>0</v>
      </c>
      <c r="T121" s="1011" t="str">
        <f>VLOOKUP(B121,TH.T4!B136:AC466,28,FALSE)</f>
        <v>KHCB</v>
      </c>
      <c r="U121" s="1038"/>
      <c r="V121" s="1489"/>
    </row>
    <row r="122" spans="1:29" s="1028" customFormat="1" ht="33" customHeight="1">
      <c r="A122" s="1014">
        <f>_xlfn.AGGREGATE(4,7,A$12:A121)+1</f>
        <v>110</v>
      </c>
      <c r="B122" s="1015" t="s">
        <v>1488</v>
      </c>
      <c r="C122" s="1033" t="s">
        <v>1708</v>
      </c>
      <c r="D122" s="1034" t="s">
        <v>374</v>
      </c>
      <c r="E122" s="81" t="s">
        <v>2444</v>
      </c>
      <c r="F122" s="1040">
        <v>3.66</v>
      </c>
      <c r="G122" s="1019"/>
      <c r="H122" s="1248">
        <f t="shared" si="12"/>
        <v>0</v>
      </c>
      <c r="I122" s="1020"/>
      <c r="J122" s="1020" t="str">
        <f>VLOOKUP(B122,[25]!Table2[[Column2]:[Column6]],4,FALSE)</f>
        <v>A4</v>
      </c>
      <c r="K122" s="1020">
        <f t="shared" si="13"/>
        <v>0.5</v>
      </c>
      <c r="L122" s="1021">
        <v>20</v>
      </c>
      <c r="M122" s="1021">
        <f>VLOOKUP(B122,'[26]CN BC'!$F$10:$H$267,3,FALSE)</f>
        <v>20</v>
      </c>
      <c r="N122" s="1021">
        <f t="shared" si="14"/>
        <v>20</v>
      </c>
      <c r="O122" s="1022"/>
      <c r="P122" s="1023">
        <f t="shared" si="15"/>
        <v>4282200</v>
      </c>
      <c r="Q122" s="1022">
        <v>23</v>
      </c>
      <c r="R122" s="1024">
        <f t="shared" si="22"/>
        <v>110</v>
      </c>
      <c r="S122" s="1025">
        <f>VLOOKUP(B122,'[26]CN BC'!$F$10:$K$267,6,FALSE)</f>
        <v>0</v>
      </c>
      <c r="T122" s="1011" t="str">
        <f>VLOOKUP(B122,TH.T4!B137:AC467,28,FALSE)</f>
        <v>KHCB</v>
      </c>
      <c r="U122" s="1027"/>
      <c r="V122" s="1489"/>
      <c r="W122" s="1012"/>
      <c r="X122" s="1012"/>
      <c r="Y122" s="1012"/>
    </row>
    <row r="123" spans="1:29" s="1028" customFormat="1" ht="33" customHeight="1">
      <c r="A123" s="1014">
        <f>_xlfn.AGGREGATE(4,7,A$12:A122)+1</f>
        <v>111</v>
      </c>
      <c r="B123" s="1015" t="s">
        <v>1489</v>
      </c>
      <c r="C123" s="1033" t="s">
        <v>1709</v>
      </c>
      <c r="D123" s="1030" t="s">
        <v>1424</v>
      </c>
      <c r="E123" s="81" t="s">
        <v>2444</v>
      </c>
      <c r="F123" s="1040">
        <v>3.33</v>
      </c>
      <c r="G123" s="1019"/>
      <c r="H123" s="1248">
        <f t="shared" si="12"/>
        <v>0</v>
      </c>
      <c r="I123" s="1020"/>
      <c r="J123" s="1020" t="str">
        <f>VLOOKUP(B123,[25]!Table2[[Column2]:[Column6]],4,FALSE)</f>
        <v>A4</v>
      </c>
      <c r="K123" s="1020">
        <f t="shared" si="13"/>
        <v>0.5</v>
      </c>
      <c r="L123" s="1021">
        <v>20</v>
      </c>
      <c r="M123" s="1021">
        <f>VLOOKUP(B123,'[26]CN BC'!$F$10:$H$267,3,FALSE)</f>
        <v>20</v>
      </c>
      <c r="N123" s="1021">
        <f t="shared" si="14"/>
        <v>20</v>
      </c>
      <c r="O123" s="1022"/>
      <c r="P123" s="1023">
        <f t="shared" si="15"/>
        <v>3896100</v>
      </c>
      <c r="Q123" s="1022">
        <v>23</v>
      </c>
      <c r="R123" s="1024">
        <f t="shared" si="22"/>
        <v>111</v>
      </c>
      <c r="S123" s="1025">
        <f>VLOOKUP(B123,'[26]CN BC'!$F$10:$K$267,6,FALSE)</f>
        <v>0</v>
      </c>
      <c r="T123" s="1011" t="str">
        <f>VLOOKUP(B123,TH.T4!B138:AC468,28,FALSE)</f>
        <v>KHCB</v>
      </c>
      <c r="U123" s="1027"/>
      <c r="V123" s="1489"/>
      <c r="W123" s="1012"/>
      <c r="X123" s="1012"/>
      <c r="Y123" s="1012"/>
    </row>
    <row r="124" spans="1:29" s="1028" customFormat="1" ht="33" customHeight="1">
      <c r="A124" s="1014">
        <f>_xlfn.AGGREGATE(4,7,A$12:A123)+1</f>
        <v>112</v>
      </c>
      <c r="B124" s="1015" t="s">
        <v>1490</v>
      </c>
      <c r="C124" s="1033" t="s">
        <v>1710</v>
      </c>
      <c r="D124" s="1030" t="s">
        <v>1425</v>
      </c>
      <c r="E124" s="81" t="s">
        <v>2444</v>
      </c>
      <c r="F124" s="1040">
        <v>3.33</v>
      </c>
      <c r="G124" s="1019"/>
      <c r="H124" s="1248">
        <f t="shared" si="12"/>
        <v>0</v>
      </c>
      <c r="I124" s="1020"/>
      <c r="J124" s="1020" t="str">
        <f>VLOOKUP(B124,[25]!Table2[[Column2]:[Column6]],4,FALSE)</f>
        <v>A4</v>
      </c>
      <c r="K124" s="1020">
        <f t="shared" si="13"/>
        <v>0.5</v>
      </c>
      <c r="L124" s="1021">
        <v>20</v>
      </c>
      <c r="M124" s="1021">
        <f>VLOOKUP(B124,'[26]CN BC'!$F$10:$H$267,3,FALSE)</f>
        <v>20</v>
      </c>
      <c r="N124" s="1021">
        <f t="shared" si="14"/>
        <v>20</v>
      </c>
      <c r="O124" s="1022"/>
      <c r="P124" s="1023">
        <f t="shared" si="15"/>
        <v>3896100</v>
      </c>
      <c r="Q124" s="1035">
        <v>23</v>
      </c>
      <c r="R124" s="1024">
        <f t="shared" si="22"/>
        <v>112</v>
      </c>
      <c r="S124" s="1025">
        <f>VLOOKUP(B124,'[26]CN BC'!$F$10:$K$267,6,FALSE)</f>
        <v>0</v>
      </c>
      <c r="T124" s="1067" t="str">
        <f>VLOOKUP(B124,TH.T4!B139:AC469,28,FALSE)</f>
        <v>KHCB</v>
      </c>
      <c r="U124" s="1038"/>
      <c r="V124" s="1489"/>
    </row>
    <row r="125" spans="1:29" s="1028" customFormat="1" ht="33" customHeight="1">
      <c r="A125" s="1014">
        <f>_xlfn.AGGREGATE(4,7,A$12:A124)+1</f>
        <v>113</v>
      </c>
      <c r="B125" s="1015" t="s">
        <v>1873</v>
      </c>
      <c r="C125" s="1033" t="s">
        <v>1711</v>
      </c>
      <c r="D125" s="1034" t="s">
        <v>1322</v>
      </c>
      <c r="E125" s="81" t="s">
        <v>2444</v>
      </c>
      <c r="F125" s="1040">
        <v>4.32</v>
      </c>
      <c r="G125" s="1019"/>
      <c r="H125" s="1255">
        <f t="shared" si="12"/>
        <v>0</v>
      </c>
      <c r="I125" s="1491">
        <f>0.25</f>
        <v>0.25</v>
      </c>
      <c r="J125" s="1020" t="str">
        <f>VLOOKUP(B125,[25]!Table2[[Column2]:[Column6]],4,FALSE)</f>
        <v>A4</v>
      </c>
      <c r="K125" s="1020">
        <f t="shared" si="13"/>
        <v>0.5</v>
      </c>
      <c r="L125" s="1021">
        <v>20</v>
      </c>
      <c r="M125" s="1021">
        <f>VLOOKUP(B125,'[26]CN BC'!$F$10:$H$267,3,FALSE)</f>
        <v>20</v>
      </c>
      <c r="N125" s="1021">
        <f t="shared" si="14"/>
        <v>20</v>
      </c>
      <c r="O125" s="1035"/>
      <c r="P125" s="1023">
        <f t="shared" si="15"/>
        <v>5346900</v>
      </c>
      <c r="Q125" s="1035">
        <v>23</v>
      </c>
      <c r="R125" s="1024">
        <f t="shared" si="22"/>
        <v>113</v>
      </c>
      <c r="S125" s="1025">
        <f>VLOOKUP(B125,'[26]CN BC'!$F$10:$K$267,6,FALSE)</f>
        <v>0</v>
      </c>
      <c r="T125" s="1067" t="str">
        <f>VLOOKUP(B125,TH.T4!B140:AC470,28,FALSE)</f>
        <v>KHCB</v>
      </c>
      <c r="U125" s="1038"/>
      <c r="V125" s="1489"/>
    </row>
    <row r="126" spans="1:29" s="1028" customFormat="1" ht="33" customHeight="1">
      <c r="A126" s="1014">
        <f>_xlfn.AGGREGATE(4,7,A$12:A125)+1</f>
        <v>114</v>
      </c>
      <c r="B126" s="1015" t="s">
        <v>1491</v>
      </c>
      <c r="C126" s="1033" t="s">
        <v>1712</v>
      </c>
      <c r="D126" s="1034" t="s">
        <v>1323</v>
      </c>
      <c r="E126" s="81" t="s">
        <v>2444</v>
      </c>
      <c r="F126" s="1040">
        <v>4.32</v>
      </c>
      <c r="G126" s="1019"/>
      <c r="H126" s="1248">
        <f t="shared" si="12"/>
        <v>0</v>
      </c>
      <c r="I126" s="1020"/>
      <c r="J126" s="1020" t="str">
        <f>VLOOKUP(B126,[25]!Table2[[Column2]:[Column6]],4,FALSE)</f>
        <v>A3</v>
      </c>
      <c r="K126" s="1020">
        <f t="shared" si="13"/>
        <v>0.6</v>
      </c>
      <c r="L126" s="1021">
        <v>20</v>
      </c>
      <c r="M126" s="1021">
        <f>VLOOKUP(B126,'[26]CN BC'!$F$10:$H$267,3,FALSE)</f>
        <v>20</v>
      </c>
      <c r="N126" s="1021">
        <f t="shared" si="14"/>
        <v>20</v>
      </c>
      <c r="O126" s="1022"/>
      <c r="P126" s="1023">
        <f t="shared" si="15"/>
        <v>6065280</v>
      </c>
      <c r="Q126" s="1035">
        <v>23</v>
      </c>
      <c r="R126" s="1024">
        <f t="shared" si="22"/>
        <v>114</v>
      </c>
      <c r="S126" s="1025">
        <f>VLOOKUP(B126,'[26]CN BC'!$F$10:$K$267,6,FALSE)</f>
        <v>0</v>
      </c>
      <c r="T126" s="1011" t="str">
        <f>VLOOKUP(B126,TH.T4!B141:AC471,28,FALSE)</f>
        <v>KHCB</v>
      </c>
      <c r="U126" s="1027"/>
      <c r="V126" s="1489"/>
      <c r="W126" s="1012"/>
      <c r="X126" s="1012"/>
      <c r="Y126" s="1012"/>
    </row>
    <row r="127" spans="1:29" s="1028" customFormat="1" ht="33" customHeight="1">
      <c r="A127" s="1014">
        <f>_xlfn.AGGREGATE(4,7,A$12:A126)+1</f>
        <v>115</v>
      </c>
      <c r="B127" s="1015" t="s">
        <v>845</v>
      </c>
      <c r="C127" s="1033" t="s">
        <v>1713</v>
      </c>
      <c r="D127" s="1034" t="s">
        <v>1324</v>
      </c>
      <c r="E127" s="81" t="s">
        <v>2444</v>
      </c>
      <c r="F127" s="1040">
        <v>3.99</v>
      </c>
      <c r="G127" s="1019"/>
      <c r="H127" s="1248">
        <f t="shared" si="12"/>
        <v>0</v>
      </c>
      <c r="I127" s="1020"/>
      <c r="J127" s="1020" t="str">
        <f>VLOOKUP(B127,[25]!Table2[[Column2]:[Column6]],4,FALSE)</f>
        <v>A3</v>
      </c>
      <c r="K127" s="1020">
        <f t="shared" si="13"/>
        <v>0.6</v>
      </c>
      <c r="L127" s="1021">
        <v>20</v>
      </c>
      <c r="M127" s="1021">
        <f>VLOOKUP(B127,'[26]CN BC'!$F$10:$H$267,3,FALSE)</f>
        <v>20</v>
      </c>
      <c r="N127" s="1021">
        <f t="shared" si="14"/>
        <v>20</v>
      </c>
      <c r="O127" s="1022"/>
      <c r="P127" s="1023">
        <f t="shared" si="15"/>
        <v>5601960</v>
      </c>
      <c r="Q127" s="1022">
        <v>25</v>
      </c>
      <c r="R127" s="1024">
        <f t="shared" si="22"/>
        <v>115</v>
      </c>
      <c r="S127" s="1025">
        <f>VLOOKUP(B127,'[26]CN BC'!$F$10:$K$267,6,FALSE)</f>
        <v>0</v>
      </c>
      <c r="T127" s="1011" t="str">
        <f>VLOOKUP(B127,TH.T4!B142:AC472,28,FALSE)</f>
        <v>KHCB</v>
      </c>
      <c r="U127" s="1027"/>
      <c r="V127" s="1489"/>
      <c r="W127" s="1012"/>
      <c r="X127" s="1012"/>
      <c r="Y127" s="1012"/>
    </row>
    <row r="128" spans="1:29" s="1028" customFormat="1" ht="33" customHeight="1">
      <c r="A128" s="1014">
        <f>_xlfn.AGGREGATE(4,7,A$12:A127)+1</f>
        <v>116</v>
      </c>
      <c r="B128" s="1015" t="s">
        <v>1492</v>
      </c>
      <c r="C128" s="1029" t="s">
        <v>1714</v>
      </c>
      <c r="D128" s="1090" t="s">
        <v>1938</v>
      </c>
      <c r="E128" s="81" t="s">
        <v>2444</v>
      </c>
      <c r="F128" s="1040">
        <v>3.99</v>
      </c>
      <c r="G128" s="1019"/>
      <c r="H128" s="1248">
        <f t="shared" si="12"/>
        <v>0</v>
      </c>
      <c r="I128" s="1517">
        <v>0.25</v>
      </c>
      <c r="J128" s="1020" t="str">
        <f>VLOOKUP(B128,[25]!Table2[[Column2]:[Column6]],4,FALSE)</f>
        <v>A2</v>
      </c>
      <c r="K128" s="1020">
        <f t="shared" si="13"/>
        <v>0.7</v>
      </c>
      <c r="L128" s="1021">
        <v>20</v>
      </c>
      <c r="M128" s="1021">
        <f>VLOOKUP(B128,'[26]CN BC'!$F$10:$H$267,3,FALSE)</f>
        <v>20</v>
      </c>
      <c r="N128" s="1021">
        <f t="shared" si="14"/>
        <v>20</v>
      </c>
      <c r="O128" s="1022"/>
      <c r="P128" s="1023">
        <f t="shared" si="15"/>
        <v>6945120</v>
      </c>
      <c r="Q128" s="1022">
        <v>23</v>
      </c>
      <c r="R128" s="1024">
        <f t="shared" si="22"/>
        <v>116</v>
      </c>
      <c r="S128" s="1025">
        <f>VLOOKUP(B128,'[26]CN BC'!$F$10:$K$267,6,FALSE)</f>
        <v>0</v>
      </c>
      <c r="T128" s="1011" t="str">
        <f>VLOOKUP(B128,TH.T4!B143:AC473,28,FALSE)</f>
        <v>KHCB</v>
      </c>
      <c r="U128" s="1027"/>
      <c r="V128" s="1489"/>
      <c r="W128" s="1012"/>
      <c r="X128" s="1012"/>
      <c r="Y128" s="1012"/>
      <c r="Z128" s="1012"/>
      <c r="AA128" s="1012"/>
      <c r="AB128" s="1012"/>
      <c r="AC128" s="1012"/>
    </row>
    <row r="129" spans="1:25" s="1028" customFormat="1" ht="33" customHeight="1">
      <c r="A129" s="1014">
        <f>_xlfn.AGGREGATE(4,7,A$12:A128)+1</f>
        <v>117</v>
      </c>
      <c r="B129" s="1015" t="s">
        <v>1558</v>
      </c>
      <c r="C129" s="1033" t="s">
        <v>1715</v>
      </c>
      <c r="D129" s="1034" t="s">
        <v>21</v>
      </c>
      <c r="E129" s="81" t="s">
        <v>2444</v>
      </c>
      <c r="F129" s="1040">
        <v>4.6500000000000004</v>
      </c>
      <c r="G129" s="1019"/>
      <c r="H129" s="1248">
        <f t="shared" si="12"/>
        <v>0</v>
      </c>
      <c r="I129" s="1020"/>
      <c r="J129" s="1020" t="str">
        <f>VLOOKUP(B129,[25]!Table2[[Column2]:[Column6]],4,FALSE)</f>
        <v>A4</v>
      </c>
      <c r="K129" s="1020">
        <f t="shared" si="13"/>
        <v>0.5</v>
      </c>
      <c r="L129" s="1021">
        <v>20</v>
      </c>
      <c r="M129" s="1021">
        <f>VLOOKUP(B129,'[26]CN BC'!$F$10:$H$267,3,FALSE)</f>
        <v>20</v>
      </c>
      <c r="N129" s="1021">
        <f t="shared" si="14"/>
        <v>20</v>
      </c>
      <c r="O129" s="1022"/>
      <c r="P129" s="1023">
        <f t="shared" si="15"/>
        <v>5440500</v>
      </c>
      <c r="Q129" s="1022">
        <v>23</v>
      </c>
      <c r="R129" s="1024">
        <f t="shared" si="22"/>
        <v>117</v>
      </c>
      <c r="S129" s="1025">
        <f>VLOOKUP(B129,'[26]CN BC'!$F$10:$K$267,6,FALSE)</f>
        <v>0</v>
      </c>
      <c r="T129" s="1011" t="str">
        <f>VLOOKUP(B129,TH.T4!B144:AC474,28,FALSE)</f>
        <v>KHCB</v>
      </c>
      <c r="U129" s="1027"/>
      <c r="V129" s="1489"/>
      <c r="W129" s="1012"/>
      <c r="X129" s="1012"/>
      <c r="Y129" s="1012"/>
    </row>
    <row r="130" spans="1:25" s="1028" customFormat="1" ht="33" customHeight="1">
      <c r="A130" s="1014">
        <f>_xlfn.AGGREGATE(4,7,A$12:A129)+1</f>
        <v>118</v>
      </c>
      <c r="B130" s="1015" t="s">
        <v>1499</v>
      </c>
      <c r="C130" s="1033" t="s">
        <v>1725</v>
      </c>
      <c r="D130" s="1034" t="s">
        <v>378</v>
      </c>
      <c r="E130" s="81" t="s">
        <v>2444</v>
      </c>
      <c r="F130" s="1040">
        <v>4.32</v>
      </c>
      <c r="G130" s="1100"/>
      <c r="H130" s="1248">
        <f t="shared" ref="H130:H196" si="23">ROUND(F130*G130,3)</f>
        <v>0</v>
      </c>
      <c r="I130" s="1020"/>
      <c r="J130" s="1020" t="str">
        <f>VLOOKUP(B130,[25]!Table2[[Column2]:[Column6]],4,FALSE)</f>
        <v>A4</v>
      </c>
      <c r="K130" s="1020">
        <f t="shared" ref="K130:K196" si="24">IF(J130="A1",0.8,IF(J130="A2",0.7,IF(J130="A3",0.6,IF(J130="A4",0.5,IF(J130="B1",0.35,IF(J130="B2",0.25,IF(J130="C1",0.15,IF(J130="C2",0.1,0))))))))</f>
        <v>0.5</v>
      </c>
      <c r="L130" s="1021">
        <v>20</v>
      </c>
      <c r="M130" s="1021">
        <f>VLOOKUP(B130,'[26]CN BC'!$F$10:$H$267,3,FALSE)</f>
        <v>20</v>
      </c>
      <c r="N130" s="1021">
        <f t="shared" ref="N130:N194" si="25">IF(M130&gt;=L130,L130,IF(M130&lt;L130,M130))</f>
        <v>20</v>
      </c>
      <c r="O130" s="1022"/>
      <c r="P130" s="1023">
        <f t="shared" ref="P130:P194" si="26">(((F130+H130+I130)*$P$9/L130*N130)*K130)+O130</f>
        <v>5054400</v>
      </c>
      <c r="Q130" s="1035">
        <v>23</v>
      </c>
      <c r="R130" s="1024">
        <f t="shared" si="22"/>
        <v>118</v>
      </c>
      <c r="S130" s="1025">
        <f>VLOOKUP(B130,'[26]CN BC'!$F$10:$K$267,6,FALSE)</f>
        <v>0</v>
      </c>
      <c r="T130" s="1011" t="str">
        <f>VLOOKUP(B130,TH.T4!B159:AC489,28,FALSE)</f>
        <v>LLCT</v>
      </c>
      <c r="U130" s="1038"/>
      <c r="V130" s="1489"/>
    </row>
    <row r="131" spans="1:25" s="1028" customFormat="1" ht="33" customHeight="1">
      <c r="A131" s="1014">
        <f>_xlfn.AGGREGATE(4,7,A$12:A130)+1</f>
        <v>119</v>
      </c>
      <c r="B131" s="1015" t="s">
        <v>846</v>
      </c>
      <c r="C131" s="1033" t="s">
        <v>1727</v>
      </c>
      <c r="D131" s="1034" t="s">
        <v>1317</v>
      </c>
      <c r="E131" s="81" t="s">
        <v>2444</v>
      </c>
      <c r="F131" s="1040">
        <v>4.32</v>
      </c>
      <c r="G131" s="1019"/>
      <c r="H131" s="1255">
        <f t="shared" si="23"/>
        <v>0</v>
      </c>
      <c r="I131" s="1491">
        <v>0.25</v>
      </c>
      <c r="J131" s="1020" t="str">
        <f>VLOOKUP(B131,[25]!Table2[[Column2]:[Column6]],4,FALSE)</f>
        <v>A3</v>
      </c>
      <c r="K131" s="1020">
        <f t="shared" si="24"/>
        <v>0.6</v>
      </c>
      <c r="L131" s="1021">
        <v>20</v>
      </c>
      <c r="M131" s="1021">
        <f>VLOOKUP(B131,'[26]CN BC'!$F$10:$H$267,3,FALSE)</f>
        <v>20</v>
      </c>
      <c r="N131" s="1021">
        <f t="shared" si="25"/>
        <v>20</v>
      </c>
      <c r="O131" s="1035"/>
      <c r="P131" s="1023">
        <f t="shared" si="26"/>
        <v>6416280</v>
      </c>
      <c r="Q131" s="1035">
        <v>23</v>
      </c>
      <c r="R131" s="1024">
        <f t="shared" ref="R131:R174" si="27">A131</f>
        <v>119</v>
      </c>
      <c r="S131" s="1025">
        <f>VLOOKUP(B131,'[26]CN BC'!$F$10:$K$267,6,FALSE)</f>
        <v>0</v>
      </c>
      <c r="T131" s="1067" t="str">
        <f>VLOOKUP(B131,TH.T4!B161:AC491,28,FALSE)</f>
        <v>LLCT</v>
      </c>
      <c r="U131" s="1038"/>
      <c r="V131" s="1489"/>
    </row>
    <row r="132" spans="1:25" s="1028" customFormat="1" ht="33" customHeight="1">
      <c r="A132" s="1014">
        <f>_xlfn.AGGREGATE(4,7,A$12:A131)+1</f>
        <v>120</v>
      </c>
      <c r="B132" s="1015" t="s">
        <v>1877</v>
      </c>
      <c r="C132" s="1033" t="s">
        <v>1729</v>
      </c>
      <c r="D132" s="1034" t="s">
        <v>1320</v>
      </c>
      <c r="E132" s="81" t="s">
        <v>2444</v>
      </c>
      <c r="F132" s="1018">
        <v>4.6500000000000004</v>
      </c>
      <c r="G132" s="1019"/>
      <c r="H132" s="1248">
        <f t="shared" si="23"/>
        <v>0</v>
      </c>
      <c r="I132" s="1020"/>
      <c r="J132" s="1020" t="str">
        <f>VLOOKUP(B132,[25]!Table2[[Column2]:[Column6]],4,FALSE)</f>
        <v>A3</v>
      </c>
      <c r="K132" s="1020">
        <f t="shared" si="24"/>
        <v>0.6</v>
      </c>
      <c r="L132" s="1021">
        <v>20</v>
      </c>
      <c r="M132" s="1021">
        <f>VLOOKUP(B132,'[26]CN BC'!$F$10:$H$267,3,FALSE)</f>
        <v>20</v>
      </c>
      <c r="N132" s="1021">
        <f t="shared" si="25"/>
        <v>20</v>
      </c>
      <c r="O132" s="1022"/>
      <c r="P132" s="1023">
        <f t="shared" si="26"/>
        <v>6528600</v>
      </c>
      <c r="Q132" s="1035">
        <v>23</v>
      </c>
      <c r="R132" s="1024">
        <f t="shared" si="27"/>
        <v>120</v>
      </c>
      <c r="S132" s="1025">
        <f>VLOOKUP(B132,'[26]CN BC'!$F$10:$K$267,6,FALSE)</f>
        <v>0</v>
      </c>
      <c r="T132" s="1011" t="str">
        <f>VLOOKUP(B132,TH.T4!B163:AC493,28,FALSE)</f>
        <v>LLCT</v>
      </c>
      <c r="U132" s="1038"/>
      <c r="V132" s="1489"/>
    </row>
    <row r="133" spans="1:25" s="1028" customFormat="1" ht="33" customHeight="1">
      <c r="A133" s="1014">
        <f>_xlfn.AGGREGATE(4,7,A$12:A132)+1</f>
        <v>121</v>
      </c>
      <c r="B133" s="1015" t="s">
        <v>1501</v>
      </c>
      <c r="C133" s="1033" t="s">
        <v>1730</v>
      </c>
      <c r="D133" s="1030" t="s">
        <v>314</v>
      </c>
      <c r="E133" s="81" t="s">
        <v>2444</v>
      </c>
      <c r="F133" s="1040">
        <v>3.99</v>
      </c>
      <c r="G133" s="1019"/>
      <c r="H133" s="1255">
        <f t="shared" si="23"/>
        <v>0</v>
      </c>
      <c r="I133" s="1020"/>
      <c r="J133" s="1020" t="str">
        <f>VLOOKUP(B133,[25]!Table2[[Column2]:[Column6]],4,FALSE)</f>
        <v>A3</v>
      </c>
      <c r="K133" s="1020">
        <f t="shared" si="24"/>
        <v>0.6</v>
      </c>
      <c r="L133" s="1021">
        <v>20</v>
      </c>
      <c r="M133" s="1021">
        <f>VLOOKUP(B133,'[26]CN BC'!$F$10:$H$267,3,FALSE)</f>
        <v>20</v>
      </c>
      <c r="N133" s="1021">
        <f t="shared" si="25"/>
        <v>20</v>
      </c>
      <c r="O133" s="1035"/>
      <c r="P133" s="1023">
        <f t="shared" si="26"/>
        <v>5601960</v>
      </c>
      <c r="Q133" s="1035">
        <v>23</v>
      </c>
      <c r="R133" s="1024">
        <f t="shared" si="27"/>
        <v>121</v>
      </c>
      <c r="S133" s="1025">
        <f>VLOOKUP(B133,'[26]CN BC'!$F$10:$K$267,6,FALSE)</f>
        <v>0</v>
      </c>
      <c r="T133" s="1067" t="str">
        <f>VLOOKUP(B133,TH.T4!B164:AC494,28,FALSE)</f>
        <v>LLCT</v>
      </c>
      <c r="U133" s="1038"/>
      <c r="V133" s="1489"/>
    </row>
    <row r="134" spans="1:25" s="1028" customFormat="1" ht="33" customHeight="1">
      <c r="A134" s="1014">
        <f>_xlfn.AGGREGATE(4,7,A$12:A133)+1</f>
        <v>122</v>
      </c>
      <c r="B134" s="1015" t="s">
        <v>1878</v>
      </c>
      <c r="C134" s="1033" t="s">
        <v>1731</v>
      </c>
      <c r="D134" s="1034" t="s">
        <v>1314</v>
      </c>
      <c r="E134" s="81" t="s">
        <v>2444</v>
      </c>
      <c r="F134" s="1018">
        <v>4.6500000000000004</v>
      </c>
      <c r="G134" s="1019"/>
      <c r="H134" s="1255">
        <f t="shared" si="23"/>
        <v>0</v>
      </c>
      <c r="I134" s="1020"/>
      <c r="J134" s="1020" t="str">
        <f>VLOOKUP(B134,[25]!Table2[[Column2]:[Column6]],4,FALSE)</f>
        <v>A4</v>
      </c>
      <c r="K134" s="1020">
        <f t="shared" si="24"/>
        <v>0.5</v>
      </c>
      <c r="L134" s="1021">
        <v>20</v>
      </c>
      <c r="M134" s="1021">
        <f>VLOOKUP(B134,'[26]CN BC'!$F$10:$H$267,3,FALSE)</f>
        <v>20</v>
      </c>
      <c r="N134" s="1021">
        <f t="shared" si="25"/>
        <v>20</v>
      </c>
      <c r="O134" s="1035"/>
      <c r="P134" s="1023">
        <f t="shared" si="26"/>
        <v>5440500</v>
      </c>
      <c r="Q134" s="1035">
        <v>23</v>
      </c>
      <c r="R134" s="1024">
        <f t="shared" si="27"/>
        <v>122</v>
      </c>
      <c r="S134" s="1025">
        <f>VLOOKUP(B134,'[26]CN BC'!$F$10:$K$267,6,FALSE)</f>
        <v>0</v>
      </c>
      <c r="T134" s="1067" t="str">
        <f>VLOOKUP(B134,TH.T4!B165:AC495,28,FALSE)</f>
        <v>LLCT</v>
      </c>
      <c r="U134" s="1038"/>
      <c r="V134" s="1489"/>
    </row>
    <row r="135" spans="1:25" s="1028" customFormat="1" ht="33" customHeight="1">
      <c r="A135" s="1014">
        <f>_xlfn.AGGREGATE(4,7,A$12:A134)+1</f>
        <v>123</v>
      </c>
      <c r="B135" s="1015" t="s">
        <v>1879</v>
      </c>
      <c r="C135" s="1033" t="s">
        <v>1732</v>
      </c>
      <c r="D135" s="1034" t="s">
        <v>1315</v>
      </c>
      <c r="E135" s="81" t="s">
        <v>2444</v>
      </c>
      <c r="F135" s="1040">
        <v>4.6500000000000004</v>
      </c>
      <c r="G135" s="1019"/>
      <c r="H135" s="1248">
        <f t="shared" si="23"/>
        <v>0</v>
      </c>
      <c r="I135" s="1020"/>
      <c r="J135" s="1020" t="str">
        <f>VLOOKUP(B135,[25]!Table2[[Column2]:[Column6]],4,FALSE)</f>
        <v>A1</v>
      </c>
      <c r="K135" s="1020">
        <f t="shared" si="24"/>
        <v>0.8</v>
      </c>
      <c r="L135" s="1021">
        <v>20</v>
      </c>
      <c r="M135" s="1021">
        <f>VLOOKUP(B135,'[26]CN BC'!$F$10:$H$267,3,FALSE)</f>
        <v>20</v>
      </c>
      <c r="N135" s="1021">
        <f t="shared" si="25"/>
        <v>20</v>
      </c>
      <c r="O135" s="1022"/>
      <c r="P135" s="1023">
        <f t="shared" si="26"/>
        <v>8704800</v>
      </c>
      <c r="Q135" s="1022">
        <v>23</v>
      </c>
      <c r="R135" s="1024">
        <f t="shared" si="27"/>
        <v>123</v>
      </c>
      <c r="S135" s="1025">
        <f>VLOOKUP(B135,'[26]CN BC'!$F$10:$K$267,6,FALSE)</f>
        <v>0</v>
      </c>
      <c r="T135" s="1011" t="str">
        <f>VLOOKUP(B135,TH.T4!B166:AC496,28,FALSE)</f>
        <v>LLCT</v>
      </c>
      <c r="U135" s="1027"/>
      <c r="V135" s="1489"/>
      <c r="W135" s="1012"/>
      <c r="X135" s="1012"/>
      <c r="Y135" s="1012"/>
    </row>
    <row r="136" spans="1:25" s="1028" customFormat="1" ht="33" customHeight="1">
      <c r="A136" s="1014">
        <f>_xlfn.AGGREGATE(4,7,A$12:A135)+1</f>
        <v>124</v>
      </c>
      <c r="B136" s="1015" t="s">
        <v>1502</v>
      </c>
      <c r="C136" s="1033" t="s">
        <v>1733</v>
      </c>
      <c r="D136" s="1034" t="s">
        <v>1318</v>
      </c>
      <c r="E136" s="81" t="s">
        <v>2444</v>
      </c>
      <c r="F136" s="1040">
        <v>3.99</v>
      </c>
      <c r="G136" s="1019"/>
      <c r="H136" s="1255">
        <f t="shared" si="23"/>
        <v>0</v>
      </c>
      <c r="I136" s="1020"/>
      <c r="J136" s="1020" t="str">
        <f>VLOOKUP(B136,[25]!Table2[[Column2]:[Column6]],4,FALSE)</f>
        <v>A3</v>
      </c>
      <c r="K136" s="1020">
        <f t="shared" si="24"/>
        <v>0.6</v>
      </c>
      <c r="L136" s="1021">
        <v>20</v>
      </c>
      <c r="M136" s="1021">
        <f>VLOOKUP(B136,'[26]CN BC'!$F$10:$H$267,3,FALSE)</f>
        <v>20</v>
      </c>
      <c r="N136" s="1021">
        <f t="shared" si="25"/>
        <v>20</v>
      </c>
      <c r="O136" s="1035"/>
      <c r="P136" s="1023">
        <f t="shared" si="26"/>
        <v>5601960</v>
      </c>
      <c r="Q136" s="1035">
        <v>23</v>
      </c>
      <c r="R136" s="1024">
        <f t="shared" si="27"/>
        <v>124</v>
      </c>
      <c r="S136" s="1025">
        <f>VLOOKUP(B136,'[26]CN BC'!$F$10:$K$267,6,FALSE)</f>
        <v>0</v>
      </c>
      <c r="T136" s="1067" t="str">
        <f>VLOOKUP(B136,TH.T4!B167:AC497,28,FALSE)</f>
        <v>LLCT</v>
      </c>
      <c r="U136" s="1038"/>
      <c r="V136" s="1489"/>
    </row>
    <row r="137" spans="1:25" s="1028" customFormat="1" ht="33" customHeight="1">
      <c r="A137" s="1014">
        <f>_xlfn.AGGREGATE(4,7,A$12:A136)+1</f>
        <v>125</v>
      </c>
      <c r="B137" s="1015" t="s">
        <v>1880</v>
      </c>
      <c r="C137" s="1033" t="s">
        <v>1734</v>
      </c>
      <c r="D137" s="1034" t="s">
        <v>375</v>
      </c>
      <c r="E137" s="81" t="s">
        <v>2444</v>
      </c>
      <c r="F137" s="1040">
        <v>3.99</v>
      </c>
      <c r="G137" s="1019"/>
      <c r="H137" s="1255">
        <f t="shared" si="23"/>
        <v>0</v>
      </c>
      <c r="I137" s="1020"/>
      <c r="J137" s="1020" t="str">
        <f>VLOOKUP(B137,[25]!Table2[[Column2]:[Column6]],4,FALSE)</f>
        <v>A3</v>
      </c>
      <c r="K137" s="1020">
        <f t="shared" si="24"/>
        <v>0.6</v>
      </c>
      <c r="L137" s="1021">
        <v>20</v>
      </c>
      <c r="M137" s="1021">
        <f>VLOOKUP(B137,'[26]CN BC'!$F$10:$H$267,3,FALSE)</f>
        <v>20</v>
      </c>
      <c r="N137" s="1021">
        <f t="shared" si="25"/>
        <v>20</v>
      </c>
      <c r="O137" s="1035"/>
      <c r="P137" s="1023">
        <f t="shared" si="26"/>
        <v>5601960</v>
      </c>
      <c r="Q137" s="1035">
        <v>23</v>
      </c>
      <c r="R137" s="1024">
        <f t="shared" si="27"/>
        <v>125</v>
      </c>
      <c r="S137" s="1025">
        <f>VLOOKUP(B137,'[26]CN BC'!$F$10:$K$267,6,FALSE)</f>
        <v>0</v>
      </c>
      <c r="T137" s="1067" t="str">
        <f>VLOOKUP(B137,TH.T4!B168:AC498,28,FALSE)</f>
        <v>LLCT</v>
      </c>
      <c r="U137" s="1038"/>
      <c r="V137" s="1489"/>
    </row>
    <row r="138" spans="1:25" s="1028" customFormat="1" ht="33" customHeight="1">
      <c r="A138" s="1014">
        <f>_xlfn.AGGREGATE(4,7,A$12:A137)+1</f>
        <v>126</v>
      </c>
      <c r="B138" s="1015" t="s">
        <v>1503</v>
      </c>
      <c r="C138" s="1033" t="s">
        <v>1735</v>
      </c>
      <c r="D138" s="1034" t="s">
        <v>376</v>
      </c>
      <c r="E138" s="81" t="s">
        <v>2444</v>
      </c>
      <c r="F138" s="1040">
        <v>3.99</v>
      </c>
      <c r="G138" s="1019"/>
      <c r="H138" s="1255">
        <f t="shared" si="23"/>
        <v>0</v>
      </c>
      <c r="I138" s="1020"/>
      <c r="J138" s="1020" t="str">
        <f>VLOOKUP(B138,[25]!Table2[[Column2]:[Column6]],4,FALSE)</f>
        <v>A4</v>
      </c>
      <c r="K138" s="1020">
        <f t="shared" si="24"/>
        <v>0.5</v>
      </c>
      <c r="L138" s="1021">
        <v>20</v>
      </c>
      <c r="M138" s="1021">
        <f>VLOOKUP(B138,'[26]CN BC'!$F$10:$H$267,3,FALSE)</f>
        <v>20</v>
      </c>
      <c r="N138" s="1021">
        <f t="shared" si="25"/>
        <v>20</v>
      </c>
      <c r="O138" s="1035"/>
      <c r="P138" s="1023">
        <f t="shared" si="26"/>
        <v>4668300</v>
      </c>
      <c r="Q138" s="1035">
        <v>23</v>
      </c>
      <c r="R138" s="1024">
        <f t="shared" si="27"/>
        <v>126</v>
      </c>
      <c r="S138" s="1025">
        <f>VLOOKUP(B138,'[26]CN BC'!$F$10:$K$267,6,FALSE)</f>
        <v>0</v>
      </c>
      <c r="T138" s="1067" t="str">
        <f>VLOOKUP(B138,TH.T4!B169:AC499,28,FALSE)</f>
        <v>LLCT</v>
      </c>
      <c r="U138" s="1038"/>
      <c r="V138" s="1489"/>
    </row>
    <row r="139" spans="1:25" s="1028" customFormat="1" ht="33" customHeight="1">
      <c r="A139" s="1014">
        <f>_xlfn.AGGREGATE(4,7,A$12:A138)+1</f>
        <v>127</v>
      </c>
      <c r="B139" s="1015" t="s">
        <v>1504</v>
      </c>
      <c r="C139" s="1033" t="s">
        <v>1736</v>
      </c>
      <c r="D139" s="1033" t="s">
        <v>503</v>
      </c>
      <c r="E139" s="81" t="s">
        <v>2444</v>
      </c>
      <c r="F139" s="1040">
        <v>4.32</v>
      </c>
      <c r="G139" s="1019"/>
      <c r="H139" s="1248">
        <f t="shared" si="23"/>
        <v>0</v>
      </c>
      <c r="I139" s="1020"/>
      <c r="J139" s="1020" t="str">
        <f>VLOOKUP(B139,[25]!Table2[[Column2]:[Column6]],4,FALSE)</f>
        <v>A4</v>
      </c>
      <c r="K139" s="1020">
        <f t="shared" si="24"/>
        <v>0.5</v>
      </c>
      <c r="L139" s="1021">
        <v>20</v>
      </c>
      <c r="M139" s="1021">
        <f>VLOOKUP(B139,'[26]CN BC'!$F$10:$H$267,3,FALSE)</f>
        <v>20</v>
      </c>
      <c r="N139" s="1021">
        <f t="shared" si="25"/>
        <v>20</v>
      </c>
      <c r="O139" s="1022"/>
      <c r="P139" s="1023">
        <f t="shared" si="26"/>
        <v>5054400</v>
      </c>
      <c r="Q139" s="1022">
        <v>23</v>
      </c>
      <c r="R139" s="1024">
        <f t="shared" si="27"/>
        <v>127</v>
      </c>
      <c r="S139" s="1025">
        <f>VLOOKUP(B139,'[26]CN BC'!$F$10:$K$267,6,FALSE)</f>
        <v>0</v>
      </c>
      <c r="T139" s="1011" t="str">
        <f>VLOOKUP(B139,TH.T4!B170:AC500,28,FALSE)</f>
        <v>LLCT</v>
      </c>
      <c r="U139" s="1027"/>
      <c r="V139" s="1489"/>
      <c r="W139" s="1012"/>
      <c r="X139" s="1012"/>
      <c r="Y139" s="1012"/>
    </row>
    <row r="140" spans="1:25" s="1028" customFormat="1" ht="33" customHeight="1">
      <c r="A140" s="1014">
        <f>_xlfn.AGGREGATE(4,7,A$12:A139)+1</f>
        <v>128</v>
      </c>
      <c r="B140" s="1015" t="s">
        <v>1505</v>
      </c>
      <c r="C140" s="1033" t="s">
        <v>1737</v>
      </c>
      <c r="D140" s="1030" t="s">
        <v>1592</v>
      </c>
      <c r="E140" s="81" t="s">
        <v>2444</v>
      </c>
      <c r="F140" s="1040">
        <v>3.66</v>
      </c>
      <c r="G140" s="1019"/>
      <c r="H140" s="1255">
        <f t="shared" si="23"/>
        <v>0</v>
      </c>
      <c r="I140" s="1020"/>
      <c r="J140" s="1020" t="str">
        <f>VLOOKUP(B140,[25]!Table2[[Column2]:[Column6]],4,FALSE)</f>
        <v>A1</v>
      </c>
      <c r="K140" s="1020">
        <f t="shared" si="24"/>
        <v>0.8</v>
      </c>
      <c r="L140" s="1021">
        <v>20</v>
      </c>
      <c r="M140" s="1021">
        <f>VLOOKUP(B140,'[26]CN BC'!$F$10:$H$267,3,FALSE)</f>
        <v>20</v>
      </c>
      <c r="N140" s="1021">
        <f t="shared" si="25"/>
        <v>20</v>
      </c>
      <c r="O140" s="1035"/>
      <c r="P140" s="1023">
        <f t="shared" si="26"/>
        <v>6851520</v>
      </c>
      <c r="Q140" s="1035">
        <v>23</v>
      </c>
      <c r="R140" s="1024">
        <f t="shared" si="27"/>
        <v>128</v>
      </c>
      <c r="S140" s="1025">
        <f>VLOOKUP(B140,'[26]CN BC'!$F$10:$K$267,6,FALSE)</f>
        <v>0</v>
      </c>
      <c r="T140" s="1067" t="str">
        <f>VLOOKUP(B140,TH.T4!B171:AC501,28,FALSE)</f>
        <v>LLCT</v>
      </c>
      <c r="U140" s="1038"/>
      <c r="V140" s="1489"/>
    </row>
    <row r="141" spans="1:25" s="1028" customFormat="1" ht="33" customHeight="1">
      <c r="A141" s="1014">
        <f>_xlfn.AGGREGATE(4,7,A$12:A140)+1</f>
        <v>129</v>
      </c>
      <c r="B141" s="1015" t="s">
        <v>1881</v>
      </c>
      <c r="C141" s="1033" t="s">
        <v>1738</v>
      </c>
      <c r="D141" s="1034" t="s">
        <v>379</v>
      </c>
      <c r="E141" s="81" t="s">
        <v>2444</v>
      </c>
      <c r="F141" s="1040">
        <v>3.66</v>
      </c>
      <c r="G141" s="1019"/>
      <c r="H141" s="1248">
        <f t="shared" si="23"/>
        <v>0</v>
      </c>
      <c r="I141" s="1020"/>
      <c r="J141" s="1020" t="str">
        <f>VLOOKUP(B141,[25]!Table2[[Column2]:[Column6]],4,FALSE)</f>
        <v>A2</v>
      </c>
      <c r="K141" s="1020">
        <f t="shared" si="24"/>
        <v>0.7</v>
      </c>
      <c r="L141" s="1021">
        <v>20</v>
      </c>
      <c r="M141" s="1021">
        <f>VLOOKUP(B141,'[26]CN BC'!$F$10:$H$267,3,FALSE)</f>
        <v>20</v>
      </c>
      <c r="N141" s="1021">
        <f t="shared" si="25"/>
        <v>20</v>
      </c>
      <c r="O141" s="1022"/>
      <c r="P141" s="1023">
        <f t="shared" si="26"/>
        <v>5995080</v>
      </c>
      <c r="Q141" s="1022">
        <v>23</v>
      </c>
      <c r="R141" s="1024">
        <f t="shared" si="27"/>
        <v>129</v>
      </c>
      <c r="S141" s="1025">
        <f>VLOOKUP(B141,'[26]CN BC'!$F$10:$K$267,6,FALSE)</f>
        <v>0</v>
      </c>
      <c r="T141" s="1011" t="str">
        <f>VLOOKUP(B141,TH.T4!B172:AC502,28,FALSE)</f>
        <v>LLCT</v>
      </c>
      <c r="U141" s="1027"/>
      <c r="V141" s="1489"/>
      <c r="W141" s="1012"/>
      <c r="X141" s="1012"/>
      <c r="Y141" s="1012"/>
    </row>
    <row r="142" spans="1:25" s="1028" customFormat="1" ht="31.5" customHeight="1">
      <c r="A142" s="1014">
        <f>_xlfn.AGGREGATE(4,7,A$12:A141)+1</f>
        <v>130</v>
      </c>
      <c r="B142" s="1015" t="s">
        <v>1496</v>
      </c>
      <c r="C142" s="1033" t="s">
        <v>1722</v>
      </c>
      <c r="D142" s="1030" t="s">
        <v>1589</v>
      </c>
      <c r="E142" s="81" t="s">
        <v>2446</v>
      </c>
      <c r="F142" s="1040">
        <v>3.33</v>
      </c>
      <c r="G142" s="1019"/>
      <c r="H142" s="1248">
        <f t="shared" ref="H142:H158" si="28">ROUND(F142*G142,3)</f>
        <v>0</v>
      </c>
      <c r="I142" s="1020">
        <v>0.45</v>
      </c>
      <c r="J142" s="1020" t="str">
        <f>VLOOKUP(B142,[25]!Table2[[Column2]:[Column6]],4,FALSE)</f>
        <v>A2</v>
      </c>
      <c r="K142" s="1020">
        <f t="shared" ref="K142:K158" si="29">IF(J142="A1",0.8,IF(J142="A2",0.7,IF(J142="A3",0.6,IF(J142="A4",0.5,IF(J142="B1",0.35,IF(J142="B2",0.25,IF(J142="C1",0.15,IF(J142="C2",0.1,0))))))))</f>
        <v>0.7</v>
      </c>
      <c r="L142" s="1021">
        <v>20</v>
      </c>
      <c r="M142" s="1021">
        <f>VLOOKUP(B142,'[26]CN BC'!$F$10:$H$267,3,FALSE)</f>
        <v>20</v>
      </c>
      <c r="N142" s="1021">
        <f t="shared" ref="N142:N158" si="30">IF(M142&gt;=L142,L142,IF(M142&lt;L142,M142))</f>
        <v>20</v>
      </c>
      <c r="O142" s="1022"/>
      <c r="P142" s="1023">
        <f t="shared" ref="P142:P155" si="31">(((F142+H142+I142)*$P$9/L142*N142)*K142)+O142</f>
        <v>6191640</v>
      </c>
      <c r="Q142" s="1022">
        <v>26</v>
      </c>
      <c r="R142" s="1024">
        <f t="shared" ref="R142:R158" si="32">A142</f>
        <v>130</v>
      </c>
      <c r="S142" s="1025">
        <f>VLOOKUP(B142,'[26]CN BC'!$F$10:$K$267,6,FALSE)</f>
        <v>0</v>
      </c>
      <c r="T142" s="1011" t="str">
        <f>VLOOKUP(B142,TH.T4!B151:AC481,28,FALSE)</f>
        <v>NN</v>
      </c>
      <c r="U142" s="1027"/>
      <c r="V142" s="1489"/>
      <c r="W142" s="1012"/>
      <c r="X142" s="1012"/>
      <c r="Y142" s="1012"/>
    </row>
    <row r="143" spans="1:25" s="1028" customFormat="1" ht="31.5" customHeight="1">
      <c r="A143" s="1014">
        <f>_xlfn.AGGREGATE(4,7,A$12:A142)+1</f>
        <v>131</v>
      </c>
      <c r="B143" s="1015" t="s">
        <v>1493</v>
      </c>
      <c r="C143" s="1033" t="s">
        <v>1716</v>
      </c>
      <c r="D143" s="1034" t="s">
        <v>1330</v>
      </c>
      <c r="E143" s="81" t="str">
        <f>VLOOKUP(B143,TH.Q2!B49:E380,4,FALSE)</f>
        <v>Giảng viên khoa Ngoại ngữ</v>
      </c>
      <c r="F143" s="1018">
        <v>4.6500000000000004</v>
      </c>
      <c r="G143" s="1019"/>
      <c r="H143" s="1248">
        <f t="shared" si="28"/>
        <v>0</v>
      </c>
      <c r="I143" s="1020"/>
      <c r="J143" s="1020" t="str">
        <f>VLOOKUP(B143,[25]!Table2[[Column2]:[Column6]],4,FALSE)</f>
        <v>A3</v>
      </c>
      <c r="K143" s="1020">
        <f t="shared" si="29"/>
        <v>0.6</v>
      </c>
      <c r="L143" s="1021">
        <v>20</v>
      </c>
      <c r="M143" s="1021">
        <f>VLOOKUP(B143,'[26]CN BC'!$F$10:$H$267,3,FALSE)</f>
        <v>20</v>
      </c>
      <c r="N143" s="1021">
        <f t="shared" si="30"/>
        <v>20</v>
      </c>
      <c r="O143" s="1022"/>
      <c r="P143" s="1023">
        <f t="shared" si="31"/>
        <v>6528600</v>
      </c>
      <c r="Q143" s="1035">
        <v>23</v>
      </c>
      <c r="R143" s="1024">
        <f t="shared" si="32"/>
        <v>131</v>
      </c>
      <c r="S143" s="1025">
        <f>VLOOKUP(B143,'[26]CN BC'!$F$10:$K$267,6,FALSE)</f>
        <v>0</v>
      </c>
      <c r="T143" s="1011" t="str">
        <f>VLOOKUP(B143,TH.T4!B145:AC475,28,FALSE)</f>
        <v>NN</v>
      </c>
      <c r="U143" s="1038"/>
      <c r="V143" s="1489"/>
    </row>
    <row r="144" spans="1:25" s="1028" customFormat="1" ht="31.5" customHeight="1">
      <c r="A144" s="1014">
        <f>_xlfn.AGGREGATE(4,7,A$12:A143)+1</f>
        <v>132</v>
      </c>
      <c r="B144" s="1015" t="s">
        <v>1874</v>
      </c>
      <c r="C144" s="1033" t="s">
        <v>1717</v>
      </c>
      <c r="D144" s="1034" t="s">
        <v>1331</v>
      </c>
      <c r="E144" s="81" t="str">
        <f>VLOOKUP(B144,TH.Q2!B50:E381,4,FALSE)</f>
        <v>Giảng viên khoa Ngoại ngữ</v>
      </c>
      <c r="F144" s="1018">
        <v>4.9800000000000004</v>
      </c>
      <c r="G144" s="1019"/>
      <c r="H144" s="1248">
        <f t="shared" si="28"/>
        <v>0</v>
      </c>
      <c r="I144" s="1020"/>
      <c r="J144" s="1020" t="str">
        <f>VLOOKUP(B144,[25]!Table2[[Column2]:[Column6]],4,FALSE)</f>
        <v>A4</v>
      </c>
      <c r="K144" s="1020">
        <f t="shared" si="29"/>
        <v>0.5</v>
      </c>
      <c r="L144" s="1021">
        <v>20</v>
      </c>
      <c r="M144" s="1021">
        <f>VLOOKUP(B144,'[26]CN BC'!$F$10:$H$267,3,FALSE)</f>
        <v>20</v>
      </c>
      <c r="N144" s="1021">
        <f t="shared" si="30"/>
        <v>20</v>
      </c>
      <c r="O144" s="1022"/>
      <c r="P144" s="1023">
        <f t="shared" si="31"/>
        <v>5826600.0000000009</v>
      </c>
      <c r="Q144" s="1035">
        <v>23</v>
      </c>
      <c r="R144" s="1024">
        <f t="shared" si="32"/>
        <v>132</v>
      </c>
      <c r="S144" s="1025">
        <f>VLOOKUP(B144,'[26]CN BC'!$F$10:$K$267,6,FALSE)</f>
        <v>0</v>
      </c>
      <c r="T144" s="1011" t="str">
        <f>VLOOKUP(B144,TH.T4!B146:AC476,28,FALSE)</f>
        <v>NN</v>
      </c>
      <c r="U144" s="1027"/>
      <c r="V144" s="1489"/>
      <c r="W144" s="1012"/>
      <c r="X144" s="1012"/>
      <c r="Y144" s="1012"/>
    </row>
    <row r="145" spans="1:25" s="1028" customFormat="1" ht="31.5" customHeight="1">
      <c r="A145" s="1014">
        <f>_xlfn.AGGREGATE(4,7,A$12:A144)+1</f>
        <v>133</v>
      </c>
      <c r="B145" s="1015" t="s">
        <v>1875</v>
      </c>
      <c r="C145" s="1033" t="s">
        <v>1718</v>
      </c>
      <c r="D145" s="1034" t="s">
        <v>1332</v>
      </c>
      <c r="E145" s="81" t="str">
        <f>VLOOKUP(B145,TH.Q2!B51:E382,4,FALSE)</f>
        <v>Giảng viên khoa Ngoại ngữ</v>
      </c>
      <c r="F145" s="1018">
        <v>4.6500000000000004</v>
      </c>
      <c r="G145" s="1019"/>
      <c r="H145" s="1248">
        <f t="shared" si="28"/>
        <v>0</v>
      </c>
      <c r="I145" s="1020"/>
      <c r="J145" s="1020" t="str">
        <f>VLOOKUP(B145,[25]!Table2[[Column2]:[Column6]],4,FALSE)</f>
        <v>A4</v>
      </c>
      <c r="K145" s="1020">
        <f t="shared" si="29"/>
        <v>0.5</v>
      </c>
      <c r="L145" s="1021">
        <v>20</v>
      </c>
      <c r="M145" s="1021">
        <f>VLOOKUP(B145,'[26]CN BC'!$F$10:$H$267,3,FALSE)</f>
        <v>20</v>
      </c>
      <c r="N145" s="1021">
        <f t="shared" si="30"/>
        <v>20</v>
      </c>
      <c r="O145" s="1022"/>
      <c r="P145" s="1023">
        <f t="shared" si="31"/>
        <v>5440500</v>
      </c>
      <c r="Q145" s="1035">
        <v>23</v>
      </c>
      <c r="R145" s="1024">
        <f t="shared" si="32"/>
        <v>133</v>
      </c>
      <c r="S145" s="1025">
        <f>VLOOKUP(B145,'[26]CN BC'!$F$10:$K$267,6,FALSE)</f>
        <v>0</v>
      </c>
      <c r="T145" s="1011" t="str">
        <f>VLOOKUP(B145,TH.T4!B147:AC477,28,FALSE)</f>
        <v>NN</v>
      </c>
      <c r="U145" s="1038"/>
      <c r="V145" s="1489"/>
    </row>
    <row r="146" spans="1:25" s="1028" customFormat="1" ht="31.5" customHeight="1">
      <c r="A146" s="1014">
        <f>_xlfn.AGGREGATE(4,7,A$12:A145)+1</f>
        <v>134</v>
      </c>
      <c r="B146" s="1015" t="s">
        <v>1494</v>
      </c>
      <c r="C146" s="1033" t="s">
        <v>1719</v>
      </c>
      <c r="D146" s="1034" t="s">
        <v>1333</v>
      </c>
      <c r="E146" s="81" t="str">
        <f>VLOOKUP(B146,TH.Q2!B52:E383,4,FALSE)</f>
        <v>Giảng viên khoa Ngoại ngữ</v>
      </c>
      <c r="F146" s="1040">
        <v>3.99</v>
      </c>
      <c r="G146" s="1019"/>
      <c r="H146" s="1248">
        <f t="shared" si="28"/>
        <v>0</v>
      </c>
      <c r="I146" s="1020"/>
      <c r="J146" s="1020" t="str">
        <f>VLOOKUP(B146,[25]!Table2[[Column2]:[Column6]],4,FALSE)</f>
        <v>A3</v>
      </c>
      <c r="K146" s="1020">
        <f t="shared" si="29"/>
        <v>0.6</v>
      </c>
      <c r="L146" s="1021">
        <v>20</v>
      </c>
      <c r="M146" s="1021">
        <f>VLOOKUP(B146,'[26]CN BC'!$F$10:$H$267,3,FALSE)</f>
        <v>20</v>
      </c>
      <c r="N146" s="1021">
        <f t="shared" si="30"/>
        <v>20</v>
      </c>
      <c r="O146" s="1022"/>
      <c r="P146" s="1023">
        <f t="shared" si="31"/>
        <v>5601960</v>
      </c>
      <c r="Q146" s="1035">
        <v>23</v>
      </c>
      <c r="R146" s="1024">
        <f t="shared" si="32"/>
        <v>134</v>
      </c>
      <c r="S146" s="1025">
        <f>VLOOKUP(B146,'[26]CN BC'!$F$10:$K$267,6,FALSE)</f>
        <v>0</v>
      </c>
      <c r="T146" s="1011" t="str">
        <f>VLOOKUP(B146,TH.T4!B148:AC478,28,FALSE)</f>
        <v>NN</v>
      </c>
      <c r="U146" s="1027"/>
      <c r="V146" s="1489"/>
      <c r="W146" s="1012"/>
      <c r="X146" s="1012"/>
      <c r="Y146" s="1012"/>
    </row>
    <row r="147" spans="1:25" s="1028" customFormat="1" ht="31.5" customHeight="1">
      <c r="A147" s="1014">
        <f>_xlfn.AGGREGATE(4,7,A$12:A146)+1</f>
        <v>135</v>
      </c>
      <c r="B147" s="1015" t="s">
        <v>1495</v>
      </c>
      <c r="C147" s="1033" t="s">
        <v>1720</v>
      </c>
      <c r="D147" s="1034" t="s">
        <v>1335</v>
      </c>
      <c r="E147" s="81" t="str">
        <f>VLOOKUP(B147,TH.Q2!B53:E384,4,FALSE)</f>
        <v>Giảng viên khoa Ngoại ngữ</v>
      </c>
      <c r="F147" s="1018">
        <v>4.9800000000000004</v>
      </c>
      <c r="G147" s="1019">
        <v>0.05</v>
      </c>
      <c r="H147" s="1248">
        <f t="shared" si="28"/>
        <v>0.249</v>
      </c>
      <c r="I147" s="1020"/>
      <c r="J147" s="1020" t="str">
        <f>VLOOKUP(B147,[25]!Table2[[Column2]:[Column6]],4,FALSE)</f>
        <v>A4</v>
      </c>
      <c r="K147" s="1020">
        <f t="shared" si="29"/>
        <v>0.5</v>
      </c>
      <c r="L147" s="1021">
        <v>20</v>
      </c>
      <c r="M147" s="1021">
        <f>VLOOKUP(B147,'[26]CN BC'!$F$10:$H$267,3,FALSE)</f>
        <v>20</v>
      </c>
      <c r="N147" s="1021">
        <f t="shared" si="30"/>
        <v>20</v>
      </c>
      <c r="O147" s="1022"/>
      <c r="P147" s="1023">
        <f t="shared" si="31"/>
        <v>6117930</v>
      </c>
      <c r="Q147" s="1022">
        <v>23</v>
      </c>
      <c r="R147" s="1024">
        <f t="shared" si="32"/>
        <v>135</v>
      </c>
      <c r="S147" s="1025">
        <f>VLOOKUP(B147,'[26]CN BC'!$F$10:$K$267,6,FALSE)</f>
        <v>0</v>
      </c>
      <c r="T147" s="1011" t="str">
        <f>VLOOKUP(B147,TH.T4!B149:AC479,28,FALSE)</f>
        <v>NN</v>
      </c>
      <c r="U147" s="1027"/>
      <c r="V147" s="1489"/>
      <c r="W147" s="1012"/>
      <c r="X147" s="1012"/>
      <c r="Y147" s="1012"/>
    </row>
    <row r="148" spans="1:25" s="1028" customFormat="1" ht="31.5" customHeight="1">
      <c r="A148" s="1014">
        <f>_xlfn.AGGREGATE(4,7,A$12:A147)+1</f>
        <v>136</v>
      </c>
      <c r="B148" s="1015" t="s">
        <v>1876</v>
      </c>
      <c r="C148" s="1033" t="s">
        <v>1721</v>
      </c>
      <c r="D148" s="1034" t="s">
        <v>504</v>
      </c>
      <c r="E148" s="81" t="str">
        <f>VLOOKUP(B148,TH.Q2!B54:E385,4,FALSE)</f>
        <v>Giảng viên khoa Ngoại ngữ</v>
      </c>
      <c r="F148" s="1040">
        <v>3.99</v>
      </c>
      <c r="G148" s="1019"/>
      <c r="H148" s="1248">
        <f t="shared" si="28"/>
        <v>0</v>
      </c>
      <c r="I148" s="1020"/>
      <c r="J148" s="1020" t="str">
        <f>VLOOKUP(B148,[25]!Table2[[Column2]:[Column6]],4,FALSE)</f>
        <v>A3</v>
      </c>
      <c r="K148" s="1020">
        <f t="shared" si="29"/>
        <v>0.6</v>
      </c>
      <c r="L148" s="1021">
        <v>20</v>
      </c>
      <c r="M148" s="1021">
        <f>VLOOKUP(B148,'[26]CN BC'!$F$10:$H$267,3,FALSE)</f>
        <v>20</v>
      </c>
      <c r="N148" s="1021">
        <f t="shared" si="30"/>
        <v>20</v>
      </c>
      <c r="O148" s="1022"/>
      <c r="P148" s="1023">
        <f t="shared" si="31"/>
        <v>5601960</v>
      </c>
      <c r="Q148" s="1022">
        <v>23</v>
      </c>
      <c r="R148" s="1024">
        <f t="shared" si="32"/>
        <v>136</v>
      </c>
      <c r="S148" s="1025">
        <f>VLOOKUP(B148,'[26]CN BC'!$F$10:$K$267,6,FALSE)</f>
        <v>0</v>
      </c>
      <c r="T148" s="1011" t="str">
        <f>VLOOKUP(B148,TH.T4!B150:AC480,28,FALSE)</f>
        <v>NN</v>
      </c>
      <c r="U148" s="1027"/>
      <c r="V148" s="1489"/>
      <c r="W148" s="1012"/>
      <c r="X148" s="1012"/>
      <c r="Y148" s="1012"/>
    </row>
    <row r="149" spans="1:25" s="1028" customFormat="1" ht="31.5" customHeight="1">
      <c r="A149" s="1014">
        <f>_xlfn.AGGREGATE(4,7,A$12:A148)+1</f>
        <v>137</v>
      </c>
      <c r="B149" s="1015" t="s">
        <v>1497</v>
      </c>
      <c r="C149" s="1033" t="s">
        <v>1723</v>
      </c>
      <c r="D149" s="1030" t="s">
        <v>1590</v>
      </c>
      <c r="E149" s="368" t="str">
        <f>VLOOKUP(B149,TH.Q2!B56:E387,4,FALSE)</f>
        <v>Giảng viên khoa Ngoại ngữ</v>
      </c>
      <c r="F149" s="1040">
        <v>3.33</v>
      </c>
      <c r="G149" s="1019"/>
      <c r="H149" s="1255">
        <f t="shared" si="28"/>
        <v>0</v>
      </c>
      <c r="I149" s="1020"/>
      <c r="J149" s="1020" t="str">
        <f>VLOOKUP(B149,[25]!Table2[[Column2]:[Column6]],4,FALSE)</f>
        <v>A3</v>
      </c>
      <c r="K149" s="1020">
        <f t="shared" si="29"/>
        <v>0.6</v>
      </c>
      <c r="L149" s="1021">
        <v>20</v>
      </c>
      <c r="M149" s="1021">
        <f>VLOOKUP(B149,'[26]CN BC'!$F$10:$H$267,3,FALSE)</f>
        <v>20</v>
      </c>
      <c r="N149" s="1021">
        <f t="shared" si="30"/>
        <v>20</v>
      </c>
      <c r="O149" s="1035"/>
      <c r="P149" s="1023">
        <f t="shared" si="31"/>
        <v>4675320</v>
      </c>
      <c r="Q149" s="1035">
        <v>23</v>
      </c>
      <c r="R149" s="1024">
        <f t="shared" si="32"/>
        <v>137</v>
      </c>
      <c r="S149" s="1470" t="str">
        <f>VLOOKUP(B149,'[26]CN BC'!$F$10:$K$267,6,FALSE)</f>
        <v>Nghỉ hộ sản hưởng chế độ BHXH</v>
      </c>
      <c r="T149" s="1067" t="str">
        <f>VLOOKUP(B149,TH.T4!B152:AC482,28,FALSE)</f>
        <v>NN</v>
      </c>
      <c r="U149" s="1038"/>
      <c r="V149" s="1490"/>
    </row>
    <row r="150" spans="1:25" s="1028" customFormat="1" ht="31.5" customHeight="1">
      <c r="A150" s="1014">
        <f>_xlfn.AGGREGATE(4,7,A$12:A149)+1</f>
        <v>138</v>
      </c>
      <c r="B150" s="1015" t="s">
        <v>1929</v>
      </c>
      <c r="C150" s="1033" t="s">
        <v>1964</v>
      </c>
      <c r="D150" s="1066" t="s">
        <v>1932</v>
      </c>
      <c r="E150" s="81" t="str">
        <f>VLOOKUP(B150,TH.Q2!B57:E388,4,FALSE)</f>
        <v>Giảng viên khoa Ngoại ngữ</v>
      </c>
      <c r="F150" s="1018">
        <v>2.67</v>
      </c>
      <c r="G150" s="1019"/>
      <c r="H150" s="1248">
        <f t="shared" si="28"/>
        <v>0</v>
      </c>
      <c r="I150" s="1020"/>
      <c r="J150" s="1020" t="str">
        <f>VLOOKUP(B150,[25]!Table2[[Column2]:[Column6]],4,FALSE)</f>
        <v>A4</v>
      </c>
      <c r="K150" s="1020">
        <f t="shared" si="29"/>
        <v>0.5</v>
      </c>
      <c r="L150" s="1021">
        <v>20</v>
      </c>
      <c r="M150" s="1021">
        <f>VLOOKUP(B150,'[26]CN BC'!$F$10:$H$267,3,FALSE)</f>
        <v>20</v>
      </c>
      <c r="N150" s="1021">
        <f t="shared" si="30"/>
        <v>20</v>
      </c>
      <c r="O150" s="1022"/>
      <c r="P150" s="1023">
        <f t="shared" si="31"/>
        <v>3123900</v>
      </c>
      <c r="Q150" s="1022">
        <v>23</v>
      </c>
      <c r="R150" s="1024">
        <f t="shared" si="32"/>
        <v>138</v>
      </c>
      <c r="S150" s="1025">
        <f>VLOOKUP(B150,'[26]CN BC'!$F$10:$K$267,6,FALSE)</f>
        <v>0</v>
      </c>
      <c r="T150" s="1011" t="str">
        <f>VLOOKUP(B150,TH.T4!B153:AC483,28,FALSE)</f>
        <v>NN</v>
      </c>
      <c r="U150" s="1027"/>
      <c r="V150" s="1489"/>
      <c r="W150" s="1012"/>
      <c r="X150" s="1012"/>
      <c r="Y150" s="1012"/>
    </row>
    <row r="151" spans="1:25" s="1028" customFormat="1" ht="28.5" customHeight="1">
      <c r="A151" s="1014">
        <f>_xlfn.AGGREGATE(4,7,A$12:A150)+1</f>
        <v>139</v>
      </c>
      <c r="B151" s="1015" t="s">
        <v>1498</v>
      </c>
      <c r="C151" s="1033" t="s">
        <v>1724</v>
      </c>
      <c r="D151" s="1030" t="s">
        <v>1591</v>
      </c>
      <c r="E151" s="81" t="str">
        <f>VLOOKUP(B151,TH.Q2!B58:E389,4,FALSE)</f>
        <v>Giảng viên khoa Ngoại ngữ</v>
      </c>
      <c r="F151" s="1040">
        <v>3.33</v>
      </c>
      <c r="G151" s="1019"/>
      <c r="H151" s="1248">
        <f t="shared" si="28"/>
        <v>0</v>
      </c>
      <c r="I151" s="1020">
        <v>0.25</v>
      </c>
      <c r="J151" s="1020" t="str">
        <f>VLOOKUP(B151,[25]!Table2[[Column2]:[Column6]],4,FALSE)</f>
        <v>A3</v>
      </c>
      <c r="K151" s="1020">
        <f t="shared" si="29"/>
        <v>0.6</v>
      </c>
      <c r="L151" s="1021">
        <v>20</v>
      </c>
      <c r="M151" s="1021">
        <f>VLOOKUP(B151,'[26]CN BC'!$F$10:$H$267,3,FALSE)</f>
        <v>20</v>
      </c>
      <c r="N151" s="1021">
        <f t="shared" si="30"/>
        <v>20</v>
      </c>
      <c r="O151" s="1022"/>
      <c r="P151" s="1023">
        <f t="shared" si="31"/>
        <v>5026320</v>
      </c>
      <c r="Q151" s="1035">
        <v>23</v>
      </c>
      <c r="R151" s="1024">
        <f t="shared" si="32"/>
        <v>139</v>
      </c>
      <c r="S151" s="1025">
        <f>VLOOKUP(B151,'[26]CN BC'!$F$10:$K$267,6,FALSE)</f>
        <v>0</v>
      </c>
      <c r="T151" s="1011" t="str">
        <f>VLOOKUP(B151,TH.T4!B154:AC484,28,FALSE)</f>
        <v>NN</v>
      </c>
      <c r="U151" s="1038"/>
      <c r="V151" s="1489"/>
    </row>
    <row r="152" spans="1:25" s="1028" customFormat="1" ht="43.5" customHeight="1">
      <c r="A152" s="1014">
        <f>_xlfn.AGGREGATE(4,7,A$12:A151)+1</f>
        <v>140</v>
      </c>
      <c r="B152" s="1015" t="s">
        <v>1925</v>
      </c>
      <c r="C152" s="1033" t="s">
        <v>1965</v>
      </c>
      <c r="D152" s="1091" t="s">
        <v>1930</v>
      </c>
      <c r="E152" s="81" t="str">
        <f>VLOOKUP(B152,TH.Q2!B59:E390,4,FALSE)</f>
        <v>Giảng viên khoa Ngoại ngữ</v>
      </c>
      <c r="F152" s="1018">
        <v>2.67</v>
      </c>
      <c r="G152" s="1019"/>
      <c r="H152" s="1248">
        <f t="shared" si="28"/>
        <v>0</v>
      </c>
      <c r="I152" s="1020"/>
      <c r="J152" s="1020" t="str">
        <f>VLOOKUP(B152,[25]!Table2[[Column2]:[Column6]],4,FALSE)</f>
        <v>A3</v>
      </c>
      <c r="K152" s="1020">
        <f t="shared" si="29"/>
        <v>0.6</v>
      </c>
      <c r="L152" s="1021">
        <v>20</v>
      </c>
      <c r="M152" s="1021">
        <f>VLOOKUP(B152,'[26]CN BC'!$F$10:$H$267,3,FALSE)</f>
        <v>20</v>
      </c>
      <c r="N152" s="1021">
        <f t="shared" si="30"/>
        <v>20</v>
      </c>
      <c r="O152" s="1022"/>
      <c r="P152" s="1023">
        <f t="shared" si="31"/>
        <v>3748680</v>
      </c>
      <c r="Q152" s="1035">
        <v>23</v>
      </c>
      <c r="R152" s="1024">
        <f t="shared" si="32"/>
        <v>140</v>
      </c>
      <c r="S152" s="1025">
        <f>VLOOKUP(B152,'[26]CN BC'!$F$10:$K$267,6,FALSE)</f>
        <v>0</v>
      </c>
      <c r="T152" s="1011" t="str">
        <f>VLOOKUP(B152,TH.T4!B155:AC485,28,FALSE)</f>
        <v>NN</v>
      </c>
      <c r="U152" s="1038"/>
      <c r="V152" s="1489"/>
    </row>
    <row r="153" spans="1:25" s="1028" customFormat="1" ht="30.75" customHeight="1">
      <c r="A153" s="1014">
        <f>_xlfn.AGGREGATE(4,7,A$12:A152)+1</f>
        <v>141</v>
      </c>
      <c r="B153" s="1015" t="s">
        <v>2018</v>
      </c>
      <c r="C153" s="1033"/>
      <c r="D153" s="1091"/>
      <c r="E153" s="368" t="str">
        <f>VLOOKUP(B153,TH.Q2!B60:E391,4,FALSE)</f>
        <v>Giảng viên khoa Ngoại ngữ</v>
      </c>
      <c r="F153" s="1018">
        <v>2.34</v>
      </c>
      <c r="G153" s="1019"/>
      <c r="H153" s="1255">
        <f t="shared" si="28"/>
        <v>0</v>
      </c>
      <c r="I153" s="1020"/>
      <c r="J153" s="1020" t="str">
        <f>VLOOKUP(B153,[25]!Table2[[Column2]:[Column6]],4,FALSE)</f>
        <v>A2</v>
      </c>
      <c r="K153" s="1020">
        <f t="shared" si="29"/>
        <v>0.7</v>
      </c>
      <c r="L153" s="1021">
        <v>20</v>
      </c>
      <c r="M153" s="1021">
        <f>VLOOKUP(B153,'[26]CN BC'!$F$10:$H$267,3,FALSE)</f>
        <v>20</v>
      </c>
      <c r="N153" s="1021">
        <f t="shared" si="30"/>
        <v>20</v>
      </c>
      <c r="O153" s="1035"/>
      <c r="P153" s="1023">
        <f t="shared" si="31"/>
        <v>3832919.9999999995</v>
      </c>
      <c r="Q153" s="1035"/>
      <c r="R153" s="1024">
        <f t="shared" si="32"/>
        <v>141</v>
      </c>
      <c r="S153" s="1025">
        <f>VLOOKUP(B153,'[26]CN BC'!$F$10:$K$267,6,FALSE)</f>
        <v>0</v>
      </c>
      <c r="T153" s="1067" t="str">
        <f>VLOOKUP(B153,TH.T4!B156:AC486,28,FALSE)</f>
        <v>NN</v>
      </c>
      <c r="U153" s="1038"/>
      <c r="V153" s="1489"/>
    </row>
    <row r="154" spans="1:25" s="1028" customFormat="1" ht="30.75" customHeight="1">
      <c r="A154" s="1014">
        <f>_xlfn.AGGREGATE(4,7,A$12:A153)+1</f>
        <v>142</v>
      </c>
      <c r="B154" s="1015" t="s">
        <v>2024</v>
      </c>
      <c r="C154" s="1033"/>
      <c r="D154" s="1091"/>
      <c r="E154" s="81" t="str">
        <f>VLOOKUP(B154,TH.Q2!B61:E392,4,FALSE)</f>
        <v>Giảng viên khoa Ngoại ngữ</v>
      </c>
      <c r="F154" s="1018">
        <v>2.34</v>
      </c>
      <c r="G154" s="1019"/>
      <c r="H154" s="1248">
        <f t="shared" si="28"/>
        <v>0</v>
      </c>
      <c r="I154" s="1020"/>
      <c r="J154" s="1020" t="str">
        <f>VLOOKUP(B154,[25]!Table2[[Column2]:[Column6]],4,FALSE)</f>
        <v>A3</v>
      </c>
      <c r="K154" s="1020">
        <f t="shared" si="29"/>
        <v>0.6</v>
      </c>
      <c r="L154" s="1021">
        <v>20</v>
      </c>
      <c r="M154" s="1021">
        <f>VLOOKUP(B154,'[26]CN BC'!$F$10:$H$267,3,FALSE)</f>
        <v>20</v>
      </c>
      <c r="N154" s="1021">
        <f t="shared" si="30"/>
        <v>20</v>
      </c>
      <c r="O154" s="1022"/>
      <c r="P154" s="1023">
        <f t="shared" si="31"/>
        <v>3285360</v>
      </c>
      <c r="Q154" s="1035"/>
      <c r="R154" s="1024">
        <f t="shared" si="32"/>
        <v>142</v>
      </c>
      <c r="S154" s="1025">
        <f>VLOOKUP(B154,'[26]CN BC'!$F$10:$K$267,6,FALSE)</f>
        <v>0</v>
      </c>
      <c r="T154" s="1011" t="str">
        <f>VLOOKUP(B154,TH.T4!B157:AC487,28,FALSE)</f>
        <v>NN</v>
      </c>
      <c r="U154" s="1038"/>
      <c r="V154" s="1489"/>
    </row>
    <row r="155" spans="1:25" s="1028" customFormat="1" ht="30.75" customHeight="1">
      <c r="A155" s="1014">
        <f>_xlfn.AGGREGATE(4,7,A$12:A154)+1</f>
        <v>143</v>
      </c>
      <c r="B155" s="1015" t="s">
        <v>2006</v>
      </c>
      <c r="C155" s="1033"/>
      <c r="D155" s="1091"/>
      <c r="E155" s="368" t="str">
        <f>VLOOKUP(B155,TH.Q2!B62:E393,4,FALSE)</f>
        <v>Giảng viên khoa Ngoại ngữ</v>
      </c>
      <c r="F155" s="1018">
        <v>2.34</v>
      </c>
      <c r="G155" s="1019"/>
      <c r="H155" s="1255">
        <f t="shared" si="28"/>
        <v>0</v>
      </c>
      <c r="I155" s="1020"/>
      <c r="J155" s="1020" t="str">
        <f>VLOOKUP(B155,[25]!Table2[[Column2]:[Column6]],4,FALSE)</f>
        <v>A3</v>
      </c>
      <c r="K155" s="1020">
        <f t="shared" si="29"/>
        <v>0.6</v>
      </c>
      <c r="L155" s="1021">
        <v>20</v>
      </c>
      <c r="M155" s="1021">
        <f>VLOOKUP(B155,'[26]CN BC'!$F$10:$H$267,3,FALSE)</f>
        <v>20</v>
      </c>
      <c r="N155" s="1021">
        <f t="shared" si="30"/>
        <v>20</v>
      </c>
      <c r="O155" s="1035"/>
      <c r="P155" s="1023">
        <f t="shared" si="31"/>
        <v>3285360</v>
      </c>
      <c r="Q155" s="1035">
        <v>23</v>
      </c>
      <c r="R155" s="1024">
        <f t="shared" si="32"/>
        <v>143</v>
      </c>
      <c r="S155" s="1025">
        <f>VLOOKUP(B155,'[26]CN BC'!$F$10:$K$267,6,FALSE)</f>
        <v>0</v>
      </c>
      <c r="T155" s="1067" t="str">
        <f>VLOOKUP(B155,TH.T4!B158:AC488,28,FALSE)</f>
        <v>NN</v>
      </c>
      <c r="U155" s="1038"/>
      <c r="V155" s="1490"/>
    </row>
    <row r="156" spans="1:25" s="1028" customFormat="1" ht="43.5" customHeight="1">
      <c r="A156" s="1014">
        <f>_xlfn.AGGREGATE(4,7,A$12:A155)+1</f>
        <v>144</v>
      </c>
      <c r="B156" s="1432" t="s">
        <v>2345</v>
      </c>
      <c r="C156" s="1433"/>
      <c r="D156" s="1434"/>
      <c r="E156" s="472" t="str">
        <f>VLOOKUP(B156,TH.Q2!B63:E394,4,FALSE)</f>
        <v>Giảng viên khoa Ngoại ngữ</v>
      </c>
      <c r="F156" s="1435">
        <v>2.34</v>
      </c>
      <c r="G156" s="1082"/>
      <c r="H156" s="1253">
        <f t="shared" si="28"/>
        <v>0</v>
      </c>
      <c r="I156" s="1083"/>
      <c r="J156" s="1083" t="str">
        <f>VLOOKUP(B156,[25]!Table2[[Column2]:[Column6]],4,FALSE)</f>
        <v>A2</v>
      </c>
      <c r="K156" s="1083">
        <f t="shared" si="29"/>
        <v>0.7</v>
      </c>
      <c r="L156" s="1203">
        <v>20</v>
      </c>
      <c r="M156" s="1203">
        <f>VLOOKUP(B156,'[26]CN BC'!$F$10:$H$267,3,FALSE)</f>
        <v>20</v>
      </c>
      <c r="N156" s="1203">
        <f t="shared" si="30"/>
        <v>20</v>
      </c>
      <c r="O156" s="1084"/>
      <c r="P156" s="1204">
        <f>(((F156+H157+I156)*$P$9/L156*N156)*K156)+O156</f>
        <v>3832919.9999999995</v>
      </c>
      <c r="Q156" s="1084"/>
      <c r="R156" s="1085">
        <f t="shared" si="32"/>
        <v>144</v>
      </c>
      <c r="S156" s="1205" t="s">
        <v>2470</v>
      </c>
      <c r="T156" s="1011" t="s">
        <v>2237</v>
      </c>
      <c r="U156" s="1038"/>
      <c r="V156" s="1489"/>
    </row>
    <row r="157" spans="1:25" s="1028" customFormat="1" ht="30.75" customHeight="1">
      <c r="A157" s="1014">
        <f>_xlfn.AGGREGATE(4,7,A$12:A156)+1</f>
        <v>145</v>
      </c>
      <c r="B157" s="1015" t="s">
        <v>2393</v>
      </c>
      <c r="C157" s="1033"/>
      <c r="D157" s="1091"/>
      <c r="E157" s="368" t="s">
        <v>2374</v>
      </c>
      <c r="F157" s="1018">
        <v>2.34</v>
      </c>
      <c r="G157" s="1019"/>
      <c r="H157" s="1255">
        <f t="shared" si="28"/>
        <v>0</v>
      </c>
      <c r="I157" s="1020"/>
      <c r="J157" s="1020" t="str">
        <f>VLOOKUP(B157,[25]!Table2[[Column2]:[Column6]],4,FALSE)</f>
        <v>A3</v>
      </c>
      <c r="K157" s="1020">
        <f t="shared" si="29"/>
        <v>0.6</v>
      </c>
      <c r="L157" s="1021">
        <v>20</v>
      </c>
      <c r="M157" s="1021">
        <f>VLOOKUP(B157,'[26]CN BC'!$F$10:$H$267,3,FALSE)</f>
        <v>20</v>
      </c>
      <c r="N157" s="1021">
        <f t="shared" si="30"/>
        <v>20</v>
      </c>
      <c r="O157" s="1035"/>
      <c r="P157" s="1023">
        <f>(((F157+H130+I157)*$P$9/L157*N157)*K157)+O157</f>
        <v>3285360</v>
      </c>
      <c r="Q157" s="1035"/>
      <c r="R157" s="1024">
        <f t="shared" si="32"/>
        <v>145</v>
      </c>
      <c r="S157" s="1025">
        <f>VLOOKUP(B157,'[26]CN BC'!$F$10:$K$267,6,FALSE)</f>
        <v>0</v>
      </c>
      <c r="T157" s="1067" t="s">
        <v>2237</v>
      </c>
      <c r="U157" s="1038"/>
      <c r="V157" s="1490"/>
    </row>
    <row r="158" spans="1:25" s="1012" customFormat="1" ht="34.5" customHeight="1">
      <c r="A158" s="1014">
        <f>_xlfn.AGGREGATE(4,7,A$12:A157)+1</f>
        <v>146</v>
      </c>
      <c r="B158" s="1050" t="s">
        <v>1863</v>
      </c>
      <c r="C158" s="1029" t="s">
        <v>1675</v>
      </c>
      <c r="D158" s="1051" t="s">
        <v>1357</v>
      </c>
      <c r="E158" s="81" t="s">
        <v>2442</v>
      </c>
      <c r="F158" s="1056">
        <v>3.99</v>
      </c>
      <c r="G158" s="1053"/>
      <c r="H158" s="1248">
        <f t="shared" si="28"/>
        <v>0</v>
      </c>
      <c r="I158" s="1054">
        <v>0.45</v>
      </c>
      <c r="J158" s="1020" t="str">
        <f>VLOOKUP(B158,[25]!Table2[[Column2]:[Column6]],4,FALSE)</f>
        <v>A1</v>
      </c>
      <c r="K158" s="1020">
        <f t="shared" si="29"/>
        <v>0.8</v>
      </c>
      <c r="L158" s="1021">
        <v>20</v>
      </c>
      <c r="M158" s="1021">
        <f>VLOOKUP(B158,'[26]CN BC'!$F$10:$H$267,3,FALSE)</f>
        <v>20</v>
      </c>
      <c r="N158" s="1021">
        <f t="shared" si="30"/>
        <v>20</v>
      </c>
      <c r="O158" s="1022"/>
      <c r="P158" s="1023">
        <f>(((F158+H158+I158)*$P$9/L158*N158)*K158)+O158</f>
        <v>8311680</v>
      </c>
      <c r="Q158" s="1022">
        <v>29</v>
      </c>
      <c r="R158" s="1024">
        <f t="shared" si="32"/>
        <v>146</v>
      </c>
      <c r="S158" s="1025">
        <f>VLOOKUP(B158,'[26]CN BC'!$F$10:$K$267,6,FALSE)</f>
        <v>0</v>
      </c>
      <c r="T158" s="1011" t="str">
        <f>VLOOKUP(B158,TH.T4!B83:AC413,28,FALSE)</f>
        <v>TTĐHDL</v>
      </c>
      <c r="U158" s="1027"/>
      <c r="V158" s="1489"/>
    </row>
    <row r="159" spans="1:25" s="1028" customFormat="1" ht="27" customHeight="1">
      <c r="A159" s="1014">
        <f>_xlfn.AGGREGATE(4,7,A$12:A158)+1</f>
        <v>147</v>
      </c>
      <c r="B159" s="1015" t="s">
        <v>1882</v>
      </c>
      <c r="C159" s="1033" t="s">
        <v>1741</v>
      </c>
      <c r="D159" s="1034" t="s">
        <v>1341</v>
      </c>
      <c r="E159" s="81" t="str">
        <f>VLOOKUP(B159,TH.Q2!B79:E410,4,FALSE)</f>
        <v>Giảng viên khoa CNTT</v>
      </c>
      <c r="F159" s="1040">
        <v>4.32</v>
      </c>
      <c r="G159" s="1019"/>
      <c r="H159" s="1248">
        <f t="shared" si="23"/>
        <v>0</v>
      </c>
      <c r="I159" s="1020"/>
      <c r="J159" s="1020" t="str">
        <f>VLOOKUP(B159,[25]!Table2[[Column2]:[Column6]],4,FALSE)</f>
        <v>A2</v>
      </c>
      <c r="K159" s="1020">
        <f t="shared" si="24"/>
        <v>0.7</v>
      </c>
      <c r="L159" s="1021">
        <v>20</v>
      </c>
      <c r="M159" s="1021">
        <f>VLOOKUP(B159,'[26]CN BC'!$F$10:$H$267,3,FALSE)</f>
        <v>20</v>
      </c>
      <c r="N159" s="1021">
        <f t="shared" si="25"/>
        <v>20</v>
      </c>
      <c r="O159" s="1022"/>
      <c r="P159" s="1023">
        <f t="shared" si="26"/>
        <v>7076160</v>
      </c>
      <c r="Q159" s="1035">
        <v>23</v>
      </c>
      <c r="R159" s="1024">
        <f t="shared" si="27"/>
        <v>147</v>
      </c>
      <c r="S159" s="1025">
        <f>VLOOKUP(B159,'[26]CN BC'!$F$10:$K$267,6,FALSE)</f>
        <v>0</v>
      </c>
      <c r="T159" s="1011" t="str">
        <f>VLOOKUP(B159,TH.T4!B174:AC504,28,FALSE)</f>
        <v>CNTT</v>
      </c>
      <c r="U159" s="1038"/>
      <c r="V159" s="1489"/>
    </row>
    <row r="160" spans="1:25" s="1012" customFormat="1" ht="28.5" customHeight="1">
      <c r="A160" s="1014">
        <f>_xlfn.AGGREGATE(4,7,A$12:A159)+1</f>
        <v>148</v>
      </c>
      <c r="B160" s="1050" t="s">
        <v>1508</v>
      </c>
      <c r="C160" s="1029" t="s">
        <v>1742</v>
      </c>
      <c r="D160" s="1051" t="s">
        <v>1342</v>
      </c>
      <c r="E160" s="81" t="str">
        <f>VLOOKUP(B160,TH.Q2!B80:E411,4,FALSE)</f>
        <v>Giảng viên khoa CNTT</v>
      </c>
      <c r="F160" s="1056">
        <v>3.99</v>
      </c>
      <c r="G160" s="1053"/>
      <c r="H160" s="1248">
        <f t="shared" si="23"/>
        <v>0</v>
      </c>
      <c r="I160" s="1054"/>
      <c r="J160" s="1020" t="str">
        <f>VLOOKUP(B160,[25]!Table2[[Column2]:[Column6]],4,FALSE)</f>
        <v>A3</v>
      </c>
      <c r="K160" s="1020">
        <f t="shared" si="24"/>
        <v>0.6</v>
      </c>
      <c r="L160" s="1021">
        <v>20</v>
      </c>
      <c r="M160" s="1021">
        <f>VLOOKUP(B160,'[26]CN BC'!$F$10:$H$267,3,FALSE)</f>
        <v>20</v>
      </c>
      <c r="N160" s="1021">
        <f t="shared" si="25"/>
        <v>20</v>
      </c>
      <c r="O160" s="1022"/>
      <c r="P160" s="1023">
        <f t="shared" si="26"/>
        <v>5601960</v>
      </c>
      <c r="Q160" s="1022">
        <v>23</v>
      </c>
      <c r="R160" s="1024">
        <f t="shared" si="27"/>
        <v>148</v>
      </c>
      <c r="S160" s="1025">
        <f>VLOOKUP(B160,'[26]CN BC'!$F$10:$K$267,6,FALSE)</f>
        <v>0</v>
      </c>
      <c r="T160" s="1011" t="str">
        <f>VLOOKUP(B160,TH.T4!B175:AC505,28,FALSE)</f>
        <v>CNTT</v>
      </c>
      <c r="U160" s="1027"/>
      <c r="V160" s="1489"/>
    </row>
    <row r="161" spans="1:29" s="1012" customFormat="1" ht="26.25" customHeight="1">
      <c r="A161" s="1014">
        <f>_xlfn.AGGREGATE(4,7,A$12:A160)+1</f>
        <v>149</v>
      </c>
      <c r="B161" s="1050" t="s">
        <v>1509</v>
      </c>
      <c r="C161" s="1029" t="s">
        <v>1743</v>
      </c>
      <c r="D161" s="1051" t="s">
        <v>1344</v>
      </c>
      <c r="E161" s="81" t="str">
        <f>VLOOKUP(B161,TH.Q2!B81:E412,4,FALSE)</f>
        <v>Giảng viên khoa CNTT</v>
      </c>
      <c r="F161" s="1052">
        <v>4.32</v>
      </c>
      <c r="G161" s="1053"/>
      <c r="H161" s="1248">
        <f t="shared" si="23"/>
        <v>0</v>
      </c>
      <c r="I161" s="1054"/>
      <c r="J161" s="1020" t="str">
        <f>VLOOKUP(B161,[25]!Table2[[Column2]:[Column6]],4,FALSE)</f>
        <v>A3</v>
      </c>
      <c r="K161" s="1020">
        <f t="shared" si="24"/>
        <v>0.6</v>
      </c>
      <c r="L161" s="1021">
        <v>20</v>
      </c>
      <c r="M161" s="1021">
        <f>VLOOKUP(B161,'[26]CN BC'!$F$10:$H$267,3,FALSE)</f>
        <v>20</v>
      </c>
      <c r="N161" s="1021">
        <f t="shared" si="25"/>
        <v>20</v>
      </c>
      <c r="O161" s="1022"/>
      <c r="P161" s="1023">
        <f t="shared" si="26"/>
        <v>6065280</v>
      </c>
      <c r="Q161" s="1022">
        <v>23</v>
      </c>
      <c r="R161" s="1024">
        <f t="shared" si="27"/>
        <v>149</v>
      </c>
      <c r="S161" s="1025">
        <f>VLOOKUP(B161,'[26]CN BC'!$F$10:$K$267,6,FALSE)</f>
        <v>0</v>
      </c>
      <c r="T161" s="1011" t="str">
        <f>VLOOKUP(B161,TH.T4!B176:AC506,28,FALSE)</f>
        <v>CNTT</v>
      </c>
      <c r="U161" s="1027"/>
      <c r="V161" s="1489"/>
    </row>
    <row r="162" spans="1:29" s="1028" customFormat="1" ht="27" customHeight="1">
      <c r="A162" s="1014">
        <f>_xlfn.AGGREGATE(4,7,A$12:A161)+1</f>
        <v>150</v>
      </c>
      <c r="B162" s="1101" t="s">
        <v>1511</v>
      </c>
      <c r="C162" s="1033" t="s">
        <v>1745</v>
      </c>
      <c r="D162" s="1034" t="s">
        <v>1349</v>
      </c>
      <c r="E162" s="368" t="str">
        <f>VLOOKUP(B162,TH.Q2!B83:E414,4,FALSE)</f>
        <v>Giảng viên khoa CNTT</v>
      </c>
      <c r="F162" s="1040">
        <v>4.32</v>
      </c>
      <c r="G162" s="1019"/>
      <c r="H162" s="1255">
        <f t="shared" si="23"/>
        <v>0</v>
      </c>
      <c r="I162" s="1020"/>
      <c r="J162" s="1020" t="str">
        <f>VLOOKUP(B162,[25]!Table2[[Column2]:[Column6]],4,FALSE)</f>
        <v>A1</v>
      </c>
      <c r="K162" s="1020">
        <f t="shared" si="24"/>
        <v>0.8</v>
      </c>
      <c r="L162" s="1021">
        <v>20</v>
      </c>
      <c r="M162" s="1021">
        <f>VLOOKUP(B162,'[26]CN BC'!$F$10:$H$267,3,FALSE)</f>
        <v>20</v>
      </c>
      <c r="N162" s="1021">
        <f t="shared" si="25"/>
        <v>20</v>
      </c>
      <c r="O162" s="1035"/>
      <c r="P162" s="1023">
        <f t="shared" si="26"/>
        <v>8087040</v>
      </c>
      <c r="Q162" s="1035">
        <v>23</v>
      </c>
      <c r="R162" s="1024">
        <f t="shared" si="27"/>
        <v>150</v>
      </c>
      <c r="S162" s="1025">
        <f>VLOOKUP(B162,'[26]CN BC'!$F$10:$K$267,6,FALSE)</f>
        <v>0</v>
      </c>
      <c r="T162" s="1067" t="str">
        <f>VLOOKUP(B162,TH.T4!B178:AC508,28,FALSE)</f>
        <v>CNTT</v>
      </c>
      <c r="U162" s="1038"/>
      <c r="V162" s="1490"/>
    </row>
    <row r="163" spans="1:29" s="1028" customFormat="1" ht="30.75" customHeight="1">
      <c r="A163" s="1014">
        <f>_xlfn.AGGREGATE(4,7,A$12:A162)+1</f>
        <v>151</v>
      </c>
      <c r="B163" s="1015" t="s">
        <v>1512</v>
      </c>
      <c r="C163" s="1033" t="s">
        <v>1746</v>
      </c>
      <c r="D163" s="1034" t="s">
        <v>1350</v>
      </c>
      <c r="E163" s="368" t="str">
        <f>VLOOKUP(B163,TH.Q2!B84:E415,4,FALSE)</f>
        <v>Giảng viên khoa CNTT</v>
      </c>
      <c r="F163" s="1040">
        <v>3.99</v>
      </c>
      <c r="G163" s="1019"/>
      <c r="H163" s="1255">
        <f t="shared" si="23"/>
        <v>0</v>
      </c>
      <c r="I163" s="1020"/>
      <c r="J163" s="1020" t="str">
        <f>VLOOKUP(B163,[25]!Table2[[Column2]:[Column6]],4,FALSE)</f>
        <v>A1</v>
      </c>
      <c r="K163" s="1020">
        <f t="shared" si="24"/>
        <v>0.8</v>
      </c>
      <c r="L163" s="1021">
        <v>20</v>
      </c>
      <c r="M163" s="1021">
        <f>VLOOKUP(B163,'[26]CN BC'!$F$10:$H$267,3,FALSE)</f>
        <v>20</v>
      </c>
      <c r="N163" s="1021">
        <f t="shared" si="25"/>
        <v>20</v>
      </c>
      <c r="O163" s="1035"/>
      <c r="P163" s="1023">
        <f t="shared" si="26"/>
        <v>7469280</v>
      </c>
      <c r="Q163" s="1035">
        <v>23</v>
      </c>
      <c r="R163" s="1024">
        <f t="shared" si="27"/>
        <v>151</v>
      </c>
      <c r="S163" s="1025">
        <f>VLOOKUP(B163,'[26]CN BC'!$F$10:$K$267,6,FALSE)</f>
        <v>0</v>
      </c>
      <c r="T163" s="1067" t="str">
        <f>VLOOKUP(B163,TH.T4!B179:AC509,28,FALSE)</f>
        <v>CNTT</v>
      </c>
      <c r="U163" s="1038"/>
      <c r="V163" s="1489"/>
    </row>
    <row r="164" spans="1:29" s="1012" customFormat="1" ht="27" customHeight="1">
      <c r="A164" s="1014">
        <f>_xlfn.AGGREGATE(4,7,A$12:A163)+1</f>
        <v>152</v>
      </c>
      <c r="B164" s="1050" t="s">
        <v>1513</v>
      </c>
      <c r="C164" s="1029" t="s">
        <v>1747</v>
      </c>
      <c r="D164" s="1051" t="s">
        <v>1353</v>
      </c>
      <c r="E164" s="81" t="str">
        <f>VLOOKUP(B164,TH.Q2!B85:E416,4,FALSE)</f>
        <v>Trưởng BM khoa CNTT</v>
      </c>
      <c r="F164" s="1040">
        <v>3.99</v>
      </c>
      <c r="G164" s="1019"/>
      <c r="H164" s="1255">
        <f t="shared" si="23"/>
        <v>0</v>
      </c>
      <c r="I164" s="1020">
        <v>0.35</v>
      </c>
      <c r="J164" s="1020" t="str">
        <f>VLOOKUP(B164,[25]!Table2[[Column2]:[Column6]],4,FALSE)</f>
        <v>A1</v>
      </c>
      <c r="K164" s="1020">
        <f t="shared" si="24"/>
        <v>0.8</v>
      </c>
      <c r="L164" s="1021">
        <v>20</v>
      </c>
      <c r="M164" s="1021">
        <f>VLOOKUP(B164,'[26]CN BC'!$F$10:$H$267,3,FALSE)</f>
        <v>20</v>
      </c>
      <c r="N164" s="1021">
        <f t="shared" si="25"/>
        <v>20</v>
      </c>
      <c r="O164" s="1022"/>
      <c r="P164" s="1023">
        <f t="shared" si="26"/>
        <v>8124480</v>
      </c>
      <c r="Q164" s="1102">
        <v>24</v>
      </c>
      <c r="R164" s="1024">
        <f t="shared" si="27"/>
        <v>152</v>
      </c>
      <c r="S164" s="1025">
        <f>VLOOKUP(B164,'[26]CN BC'!$F$10:$K$267,6,FALSE)</f>
        <v>0</v>
      </c>
      <c r="T164" s="1011" t="str">
        <f>VLOOKUP(B164,TH.T4!B180:AC510,28,FALSE)</f>
        <v>CNTT</v>
      </c>
      <c r="U164" s="1027"/>
      <c r="V164" s="1489"/>
    </row>
    <row r="165" spans="1:29" s="1028" customFormat="1" ht="30" customHeight="1">
      <c r="A165" s="1014">
        <f>_xlfn.AGGREGATE(4,7,A$12:A164)+1</f>
        <v>153</v>
      </c>
      <c r="B165" s="1015" t="s">
        <v>1514</v>
      </c>
      <c r="C165" s="1033" t="s">
        <v>1748</v>
      </c>
      <c r="D165" s="1034" t="s">
        <v>1354</v>
      </c>
      <c r="E165" s="368" t="str">
        <f>VLOOKUP(B165,TH.Q2!B86:E417,4,FALSE)</f>
        <v>Giảng viên khoa CNTT</v>
      </c>
      <c r="F165" s="1040">
        <v>3.99</v>
      </c>
      <c r="G165" s="1019"/>
      <c r="H165" s="1255">
        <f t="shared" si="23"/>
        <v>0</v>
      </c>
      <c r="I165" s="1020"/>
      <c r="J165" s="1020" t="str">
        <f>VLOOKUP(B165,[25]!Table2[[Column2]:[Column6]],4,FALSE)</f>
        <v>A3</v>
      </c>
      <c r="K165" s="1020">
        <f t="shared" si="24"/>
        <v>0.6</v>
      </c>
      <c r="L165" s="1021">
        <v>20</v>
      </c>
      <c r="M165" s="1021">
        <f>VLOOKUP(B165,'[26]CN BC'!$F$10:$H$267,3,FALSE)</f>
        <v>20</v>
      </c>
      <c r="N165" s="1021">
        <f t="shared" si="25"/>
        <v>20</v>
      </c>
      <c r="O165" s="1035"/>
      <c r="P165" s="1023">
        <f t="shared" si="26"/>
        <v>5601960</v>
      </c>
      <c r="Q165" s="1429">
        <v>23</v>
      </c>
      <c r="R165" s="1024">
        <f t="shared" si="27"/>
        <v>153</v>
      </c>
      <c r="S165" s="1025">
        <f>VLOOKUP(B165,'[26]CN BC'!$F$10:$K$267,6,FALSE)</f>
        <v>0</v>
      </c>
      <c r="T165" s="1067" t="str">
        <f>VLOOKUP(B165,TH.T4!B181:AC511,28,FALSE)</f>
        <v>CNTT</v>
      </c>
      <c r="U165" s="1038"/>
      <c r="V165" s="1490"/>
    </row>
    <row r="166" spans="1:29" s="1028" customFormat="1" ht="24.75" customHeight="1">
      <c r="A166" s="1014">
        <f>_xlfn.AGGREGATE(4,7,A$12:A165)+1</f>
        <v>154</v>
      </c>
      <c r="B166" s="1015" t="s">
        <v>1515</v>
      </c>
      <c r="C166" s="1033" t="s">
        <v>1749</v>
      </c>
      <c r="D166" s="1034" t="s">
        <v>1355</v>
      </c>
      <c r="E166" s="368" t="str">
        <f>VLOOKUP(B166,TH.Q2!B87:E418,4,FALSE)</f>
        <v>Giảng viên khoa CNTT</v>
      </c>
      <c r="F166" s="1040">
        <v>3.99</v>
      </c>
      <c r="G166" s="1019"/>
      <c r="H166" s="1255">
        <f t="shared" si="23"/>
        <v>0</v>
      </c>
      <c r="I166" s="1020"/>
      <c r="J166" s="1020" t="str">
        <f>VLOOKUP(B166,[25]!Table2[[Column2]:[Column6]],4,FALSE)</f>
        <v>A3</v>
      </c>
      <c r="K166" s="1020">
        <f t="shared" si="24"/>
        <v>0.6</v>
      </c>
      <c r="L166" s="1021">
        <v>20</v>
      </c>
      <c r="M166" s="1021">
        <f>VLOOKUP(B166,'[26]CN BC'!$F$10:$H$267,3,FALSE)</f>
        <v>20</v>
      </c>
      <c r="N166" s="1021">
        <f t="shared" si="25"/>
        <v>20</v>
      </c>
      <c r="O166" s="1035"/>
      <c r="P166" s="1023">
        <f t="shared" si="26"/>
        <v>5601960</v>
      </c>
      <c r="Q166" s="1429">
        <v>23</v>
      </c>
      <c r="R166" s="1024">
        <f t="shared" si="27"/>
        <v>154</v>
      </c>
      <c r="S166" s="1025">
        <f>VLOOKUP(B166,'[26]CN BC'!$F$10:$K$267,6,FALSE)</f>
        <v>0</v>
      </c>
      <c r="T166" s="1067" t="str">
        <f>VLOOKUP(B166,TH.T4!B182:AC512,28,FALSE)</f>
        <v>CNTT</v>
      </c>
      <c r="U166" s="1038"/>
      <c r="V166" s="1489"/>
    </row>
    <row r="167" spans="1:29" s="1012" customFormat="1" ht="24.75" customHeight="1">
      <c r="A167" s="1014">
        <f>_xlfn.AGGREGATE(4,7,A$12:A166)+1</f>
        <v>155</v>
      </c>
      <c r="B167" s="1050" t="s">
        <v>1516</v>
      </c>
      <c r="C167" s="1029" t="s">
        <v>1750</v>
      </c>
      <c r="D167" s="1051" t="s">
        <v>1356</v>
      </c>
      <c r="E167" s="81" t="str">
        <f>VLOOKUP(B167,TH.Q2!B88:E419,4,FALSE)</f>
        <v>Giảng viên khoa CNTT</v>
      </c>
      <c r="F167" s="1040">
        <v>3.99</v>
      </c>
      <c r="G167" s="1053"/>
      <c r="H167" s="1248">
        <f t="shared" si="23"/>
        <v>0</v>
      </c>
      <c r="I167" s="1054"/>
      <c r="J167" s="1020" t="str">
        <f>VLOOKUP(B167,[25]!Table2[[Column2]:[Column6]],4,FALSE)</f>
        <v>A1</v>
      </c>
      <c r="K167" s="1020">
        <f t="shared" si="24"/>
        <v>0.8</v>
      </c>
      <c r="L167" s="1021">
        <v>20</v>
      </c>
      <c r="M167" s="1021">
        <f>VLOOKUP(B167,'[26]CN BC'!$F$10:$H$267,3,FALSE)</f>
        <v>20</v>
      </c>
      <c r="N167" s="1021">
        <f t="shared" si="25"/>
        <v>20</v>
      </c>
      <c r="O167" s="1022"/>
      <c r="P167" s="1023">
        <f t="shared" si="26"/>
        <v>7469280</v>
      </c>
      <c r="Q167" s="1022">
        <v>23</v>
      </c>
      <c r="R167" s="1024">
        <f t="shared" si="27"/>
        <v>155</v>
      </c>
      <c r="S167" s="1025">
        <f>VLOOKUP(B167,'[26]CN BC'!$F$10:$K$267,6,FALSE)</f>
        <v>0</v>
      </c>
      <c r="T167" s="1011" t="str">
        <f>VLOOKUP(B167,TH.T4!B183:AC513,28,FALSE)</f>
        <v>CNTT</v>
      </c>
      <c r="U167" s="1027"/>
      <c r="V167" s="1489"/>
    </row>
    <row r="168" spans="1:29" s="1028" customFormat="1" ht="27" customHeight="1">
      <c r="A168" s="1014">
        <f>_xlfn.AGGREGATE(4,7,A$12:A167)+1</f>
        <v>156</v>
      </c>
      <c r="B168" s="1015" t="s">
        <v>1883</v>
      </c>
      <c r="C168" s="1033" t="s">
        <v>1751</v>
      </c>
      <c r="D168" s="1034" t="s">
        <v>381</v>
      </c>
      <c r="E168" s="368" t="str">
        <f>VLOOKUP(B168,TH.Q2!B89:E420,4,FALSE)</f>
        <v>Phó Trưởng khoa CNTT</v>
      </c>
      <c r="F168" s="1040">
        <v>3.99</v>
      </c>
      <c r="G168" s="1019"/>
      <c r="H168" s="1255">
        <f t="shared" si="23"/>
        <v>0</v>
      </c>
      <c r="I168" s="1020">
        <v>0.35</v>
      </c>
      <c r="J168" s="1020" t="str">
        <f>VLOOKUP(B168,[25]!Table2[[Column2]:[Column6]],4,FALSE)</f>
        <v>A1</v>
      </c>
      <c r="K168" s="1020">
        <f t="shared" si="24"/>
        <v>0.8</v>
      </c>
      <c r="L168" s="1021">
        <v>20</v>
      </c>
      <c r="M168" s="1021">
        <f>VLOOKUP(B168,'[26]CN BC'!$F$10:$H$267,3,FALSE)</f>
        <v>20</v>
      </c>
      <c r="N168" s="1021">
        <f t="shared" si="25"/>
        <v>20</v>
      </c>
      <c r="O168" s="1035"/>
      <c r="P168" s="1023">
        <f t="shared" si="26"/>
        <v>8124480</v>
      </c>
      <c r="Q168" s="1035">
        <v>23</v>
      </c>
      <c r="R168" s="1024">
        <f t="shared" si="27"/>
        <v>156</v>
      </c>
      <c r="S168" s="1025">
        <f>VLOOKUP(B168,'[26]CN BC'!$F$10:$K$267,6,FALSE)</f>
        <v>0</v>
      </c>
      <c r="T168" s="1067" t="str">
        <f>VLOOKUP(B168,TH.T4!B184:AC514,28,FALSE)</f>
        <v>CNTT</v>
      </c>
      <c r="U168" s="1038"/>
      <c r="V168" s="1489"/>
    </row>
    <row r="169" spans="1:29" s="1028" customFormat="1" ht="23.25" customHeight="1">
      <c r="A169" s="1014">
        <f>_xlfn.AGGREGATE(4,7,A$12:A168)+1</f>
        <v>157</v>
      </c>
      <c r="B169" s="1015" t="s">
        <v>1833</v>
      </c>
      <c r="C169" s="1033" t="s">
        <v>1966</v>
      </c>
      <c r="D169" s="1103">
        <v>1603215005649</v>
      </c>
      <c r="E169" s="81" t="str">
        <f>VLOOKUP(B169,TH.Q2!B90:E421,4,FALSE)</f>
        <v>Giảng viên khoa CNTT</v>
      </c>
      <c r="F169" s="1040">
        <v>3.66</v>
      </c>
      <c r="G169" s="1019"/>
      <c r="H169" s="1248">
        <f t="shared" si="23"/>
        <v>0</v>
      </c>
      <c r="I169" s="1020"/>
      <c r="J169" s="1020" t="str">
        <f>VLOOKUP(B169,[25]!Table2[[Column2]:[Column6]],4,FALSE)</f>
        <v>A2</v>
      </c>
      <c r="K169" s="1020">
        <f t="shared" si="24"/>
        <v>0.7</v>
      </c>
      <c r="L169" s="1021">
        <v>20</v>
      </c>
      <c r="M169" s="1021">
        <f>VLOOKUP(B169,'[26]CN BC'!$F$10:$H$267,3,FALSE)</f>
        <v>20</v>
      </c>
      <c r="N169" s="1021">
        <f t="shared" si="25"/>
        <v>20</v>
      </c>
      <c r="O169" s="1022"/>
      <c r="P169" s="1023">
        <f t="shared" si="26"/>
        <v>5995080</v>
      </c>
      <c r="Q169" s="1035">
        <v>23</v>
      </c>
      <c r="R169" s="1024">
        <f t="shared" si="27"/>
        <v>157</v>
      </c>
      <c r="S169" s="1025">
        <f>VLOOKUP(B169,'[26]CN BC'!$F$10:$K$267,6,FALSE)</f>
        <v>0</v>
      </c>
      <c r="T169" s="1011" t="str">
        <f>VLOOKUP(B169,TH.T4!B185:AC515,28,FALSE)</f>
        <v>CNTT</v>
      </c>
      <c r="U169" s="1038"/>
      <c r="V169" s="1489"/>
    </row>
    <row r="170" spans="1:29" s="1028" customFormat="1" ht="29.25" customHeight="1">
      <c r="A170" s="1014">
        <f>_xlfn.AGGREGATE(4,7,A$12:A169)+1</f>
        <v>158</v>
      </c>
      <c r="B170" s="1015" t="s">
        <v>1884</v>
      </c>
      <c r="C170" s="1029" t="s">
        <v>1752</v>
      </c>
      <c r="D170" s="1034" t="s">
        <v>1345</v>
      </c>
      <c r="E170" s="81" t="str">
        <f>VLOOKUP(B170,TH.Q2!B91:E422,4,FALSE)</f>
        <v>Giảng viên khoa CNTT</v>
      </c>
      <c r="F170" s="1040">
        <v>4.32</v>
      </c>
      <c r="G170" s="1019"/>
      <c r="H170" s="1248">
        <f t="shared" si="23"/>
        <v>0</v>
      </c>
      <c r="I170" s="1020">
        <v>0.25</v>
      </c>
      <c r="J170" s="1020" t="str">
        <f>VLOOKUP(B170,[25]!Table2[[Column2]:[Column6]],4,FALSE)</f>
        <v>A3</v>
      </c>
      <c r="K170" s="1020">
        <f t="shared" si="24"/>
        <v>0.6</v>
      </c>
      <c r="L170" s="1021">
        <v>20</v>
      </c>
      <c r="M170" s="1021">
        <f>VLOOKUP(B170,'[26]CN BC'!$F$10:$H$267,3,FALSE)</f>
        <v>20</v>
      </c>
      <c r="N170" s="1021">
        <f t="shared" si="25"/>
        <v>20</v>
      </c>
      <c r="O170" s="1022"/>
      <c r="P170" s="1023">
        <f t="shared" si="26"/>
        <v>6416280</v>
      </c>
      <c r="Q170" s="1022">
        <v>23</v>
      </c>
      <c r="R170" s="1024">
        <f t="shared" si="27"/>
        <v>158</v>
      </c>
      <c r="S170" s="1025">
        <f>VLOOKUP(B170,'[26]CN BC'!$F$10:$K$267,6,FALSE)</f>
        <v>0</v>
      </c>
      <c r="T170" s="1011" t="str">
        <f>VLOOKUP(B170,TH.T4!B186:AC516,28,FALSE)</f>
        <v>CNTT</v>
      </c>
      <c r="U170" s="1027"/>
      <c r="V170" s="1489"/>
      <c r="W170" s="1012"/>
      <c r="X170" s="1012"/>
      <c r="Y170" s="1012"/>
      <c r="Z170" s="1012"/>
      <c r="AA170" s="1012"/>
      <c r="AB170" s="1012"/>
      <c r="AC170" s="1012"/>
    </row>
    <row r="171" spans="1:29" s="1028" customFormat="1" ht="29.25" customHeight="1">
      <c r="A171" s="1014">
        <f>_xlfn.AGGREGATE(4,7,A$12:A170)+1</f>
        <v>159</v>
      </c>
      <c r="B171" s="1015" t="s">
        <v>1517</v>
      </c>
      <c r="C171" s="1033" t="s">
        <v>1753</v>
      </c>
      <c r="D171" s="1045">
        <v>1603205286594</v>
      </c>
      <c r="E171" s="368" t="str">
        <f>VLOOKUP(B171,TH.Q2!B92:E423,4,FALSE)</f>
        <v>Giảng viên khoa CNTT</v>
      </c>
      <c r="F171" s="1040">
        <v>3.66</v>
      </c>
      <c r="G171" s="1019"/>
      <c r="H171" s="1255">
        <f t="shared" si="23"/>
        <v>0</v>
      </c>
      <c r="I171" s="1020"/>
      <c r="J171" s="1020" t="str">
        <f>VLOOKUP(B171,[25]!Table2[[Column2]:[Column6]],4,FALSE)</f>
        <v>A3</v>
      </c>
      <c r="K171" s="1020">
        <f t="shared" si="24"/>
        <v>0.6</v>
      </c>
      <c r="L171" s="1021">
        <v>20</v>
      </c>
      <c r="M171" s="1021">
        <f>VLOOKUP(B171,'[26]CN BC'!$F$10:$H$267,3,FALSE)</f>
        <v>20</v>
      </c>
      <c r="N171" s="1021">
        <f t="shared" si="25"/>
        <v>20</v>
      </c>
      <c r="O171" s="1035"/>
      <c r="P171" s="1023">
        <f t="shared" si="26"/>
        <v>5138640</v>
      </c>
      <c r="Q171" s="1035">
        <v>23</v>
      </c>
      <c r="R171" s="1024">
        <f t="shared" si="27"/>
        <v>159</v>
      </c>
      <c r="S171" s="1025">
        <f>VLOOKUP(B171,'[26]CN BC'!$F$10:$K$267,6,FALSE)</f>
        <v>0</v>
      </c>
      <c r="T171" s="1067" t="str">
        <f>VLOOKUP(B171,TH.T4!B187:AC517,28,FALSE)</f>
        <v>CNTT</v>
      </c>
      <c r="U171" s="1038"/>
      <c r="V171" s="1489"/>
    </row>
    <row r="172" spans="1:29" s="1028" customFormat="1" ht="28.5" customHeight="1">
      <c r="A172" s="1014">
        <f>_xlfn.AGGREGATE(4,7,A$12:A171)+1</f>
        <v>160</v>
      </c>
      <c r="B172" s="1015" t="s">
        <v>1518</v>
      </c>
      <c r="C172" s="1033" t="s">
        <v>1754</v>
      </c>
      <c r="D172" s="1034" t="s">
        <v>1346</v>
      </c>
      <c r="E172" s="368" t="str">
        <f>VLOOKUP(B172,TH.Q2!B93:E424,4,FALSE)</f>
        <v>Giảng viên khoa CNTT</v>
      </c>
      <c r="F172" s="1018">
        <v>4.32</v>
      </c>
      <c r="G172" s="1019"/>
      <c r="H172" s="1255">
        <f t="shared" si="23"/>
        <v>0</v>
      </c>
      <c r="I172" s="1020"/>
      <c r="J172" s="1020" t="str">
        <f>VLOOKUP(B172,[25]!Table2[[Column2]:[Column6]],4,FALSE)</f>
        <v>A2</v>
      </c>
      <c r="K172" s="1020">
        <f t="shared" si="24"/>
        <v>0.7</v>
      </c>
      <c r="L172" s="1021">
        <v>20</v>
      </c>
      <c r="M172" s="1021">
        <f>VLOOKUP(B172,'[26]CN BC'!$F$10:$H$267,3,FALSE)</f>
        <v>20</v>
      </c>
      <c r="N172" s="1021">
        <f t="shared" si="25"/>
        <v>20</v>
      </c>
      <c r="O172" s="1035"/>
      <c r="P172" s="1023">
        <f t="shared" si="26"/>
        <v>7076160</v>
      </c>
      <c r="Q172" s="1035">
        <v>23</v>
      </c>
      <c r="R172" s="1024">
        <f t="shared" si="27"/>
        <v>160</v>
      </c>
      <c r="S172" s="1025">
        <f>VLOOKUP(B172,'[26]CN BC'!$F$10:$K$267,6,FALSE)</f>
        <v>0</v>
      </c>
      <c r="T172" s="1067" t="str">
        <f>VLOOKUP(B172,TH.T4!B188:AC518,28,FALSE)</f>
        <v>CNTT</v>
      </c>
      <c r="U172" s="1038"/>
      <c r="V172" s="1489"/>
    </row>
    <row r="173" spans="1:29" s="1028" customFormat="1" ht="28.5" customHeight="1">
      <c r="A173" s="1014">
        <f>_xlfn.AGGREGATE(4,7,A$12:A172)+1</f>
        <v>161</v>
      </c>
      <c r="B173" s="1015" t="s">
        <v>1519</v>
      </c>
      <c r="C173" s="1033" t="s">
        <v>1755</v>
      </c>
      <c r="D173" s="1034" t="s">
        <v>771</v>
      </c>
      <c r="E173" s="368" t="str">
        <f>VLOOKUP(B173,TH.Q2!B94:E425,4,FALSE)</f>
        <v>Giảng viên khoa CNTT</v>
      </c>
      <c r="F173" s="1040">
        <v>3.99</v>
      </c>
      <c r="G173" s="1019"/>
      <c r="H173" s="1255">
        <f t="shared" si="23"/>
        <v>0</v>
      </c>
      <c r="I173" s="1020"/>
      <c r="J173" s="1020" t="str">
        <f>VLOOKUP(B173,[25]!Table2[[Column2]:[Column6]],4,FALSE)</f>
        <v>A2</v>
      </c>
      <c r="K173" s="1020">
        <f t="shared" si="24"/>
        <v>0.7</v>
      </c>
      <c r="L173" s="1021">
        <v>20</v>
      </c>
      <c r="M173" s="1021">
        <f>VLOOKUP(B173,'[26]CN BC'!$F$10:$H$267,3,FALSE)</f>
        <v>20</v>
      </c>
      <c r="N173" s="1021">
        <f t="shared" si="25"/>
        <v>20</v>
      </c>
      <c r="O173" s="1035"/>
      <c r="P173" s="1023">
        <f t="shared" si="26"/>
        <v>6535620</v>
      </c>
      <c r="Q173" s="1035">
        <v>23</v>
      </c>
      <c r="R173" s="1024">
        <f t="shared" si="27"/>
        <v>161</v>
      </c>
      <c r="S173" s="1025">
        <f>VLOOKUP(B173,'[26]CN BC'!$F$10:$K$267,6,FALSE)</f>
        <v>0</v>
      </c>
      <c r="T173" s="1067" t="str">
        <f>VLOOKUP(B173,TH.T4!B189:AC519,28,FALSE)</f>
        <v>CNTT</v>
      </c>
      <c r="U173" s="1038"/>
      <c r="V173" s="1489"/>
    </row>
    <row r="174" spans="1:29" s="1028" customFormat="1" ht="25.5" customHeight="1">
      <c r="A174" s="1014">
        <f>_xlfn.AGGREGATE(4,7,A$12:A173)+1</f>
        <v>162</v>
      </c>
      <c r="B174" s="1015" t="s">
        <v>1520</v>
      </c>
      <c r="C174" s="1033" t="s">
        <v>1756</v>
      </c>
      <c r="D174" s="1104" t="s">
        <v>1593</v>
      </c>
      <c r="E174" s="81" t="str">
        <f>VLOOKUP(B174,TH.Q2!B95:E426,4,FALSE)</f>
        <v>Giảng viên khoa CNTT</v>
      </c>
      <c r="F174" s="1040">
        <v>3.99</v>
      </c>
      <c r="G174" s="1019"/>
      <c r="H174" s="1248">
        <f t="shared" si="23"/>
        <v>0</v>
      </c>
      <c r="I174" s="1020">
        <v>0.25</v>
      </c>
      <c r="J174" s="1020" t="str">
        <f>VLOOKUP(B174,[25]!Table2[[Column2]:[Column6]],4,FALSE)</f>
        <v>A2</v>
      </c>
      <c r="K174" s="1020">
        <f t="shared" si="24"/>
        <v>0.7</v>
      </c>
      <c r="L174" s="1021">
        <v>20</v>
      </c>
      <c r="M174" s="1021">
        <f>VLOOKUP(B174,'[26]CN BC'!$F$10:$H$267,3,FALSE)</f>
        <v>20</v>
      </c>
      <c r="N174" s="1021">
        <f t="shared" si="25"/>
        <v>20</v>
      </c>
      <c r="O174" s="1022"/>
      <c r="P174" s="1023">
        <f t="shared" si="26"/>
        <v>6945120</v>
      </c>
      <c r="Q174" s="1035">
        <v>23</v>
      </c>
      <c r="R174" s="1024">
        <f t="shared" si="27"/>
        <v>162</v>
      </c>
      <c r="S174" s="1025">
        <f>VLOOKUP(B174,'[26]CN BC'!$F$10:$K$267,6,FALSE)</f>
        <v>0</v>
      </c>
      <c r="T174" s="1011" t="str">
        <f>VLOOKUP(B174,TH.T4!B190:AC520,28,FALSE)</f>
        <v>CNTT</v>
      </c>
      <c r="U174" s="1038"/>
      <c r="V174" s="1489"/>
    </row>
    <row r="175" spans="1:29" s="1028" customFormat="1" ht="28.5" customHeight="1">
      <c r="A175" s="1014">
        <f>_xlfn.AGGREGATE(4,7,A$12:A174)+1</f>
        <v>163</v>
      </c>
      <c r="B175" s="1015" t="s">
        <v>1467</v>
      </c>
      <c r="C175" s="1033" t="s">
        <v>1674</v>
      </c>
      <c r="D175" s="1034" t="s">
        <v>1343</v>
      </c>
      <c r="E175" s="81" t="str">
        <f>VLOOKUP(B175,TH.Q2!B96:E427,4,FALSE)</f>
        <v>Giảng viên khoa CNTT</v>
      </c>
      <c r="F175" s="1018">
        <v>4.32</v>
      </c>
      <c r="G175" s="1019"/>
      <c r="H175" s="1248">
        <f t="shared" si="23"/>
        <v>0</v>
      </c>
      <c r="I175" s="1020"/>
      <c r="J175" s="1020" t="str">
        <f>VLOOKUP(B175,[25]!Table2[[Column2]:[Column6]],4,FALSE)</f>
        <v>A1</v>
      </c>
      <c r="K175" s="1020">
        <f t="shared" si="24"/>
        <v>0.8</v>
      </c>
      <c r="L175" s="1021">
        <v>20</v>
      </c>
      <c r="M175" s="1021">
        <f>VLOOKUP(B175,'[26]CN BC'!$F$10:$H$267,3,FALSE)</f>
        <v>20</v>
      </c>
      <c r="N175" s="1021">
        <f t="shared" si="25"/>
        <v>20</v>
      </c>
      <c r="O175" s="1022"/>
      <c r="P175" s="1023">
        <f t="shared" si="26"/>
        <v>8087040</v>
      </c>
      <c r="Q175" s="1035">
        <v>23</v>
      </c>
      <c r="R175" s="1024">
        <f t="shared" ref="R175:R205" si="33">A175</f>
        <v>163</v>
      </c>
      <c r="S175" s="1025">
        <f>VLOOKUP(B175,'[26]CN BC'!$F$10:$K$267,6,FALSE)</f>
        <v>0</v>
      </c>
      <c r="T175" s="1011" t="str">
        <f>VLOOKUP(B175,TH.T4!B191:AC521,28,FALSE)</f>
        <v>CNTT</v>
      </c>
      <c r="U175" s="1027"/>
      <c r="V175" s="1489"/>
      <c r="W175" s="1012"/>
      <c r="X175" s="1012"/>
      <c r="Y175" s="1012"/>
    </row>
    <row r="176" spans="1:29" s="1028" customFormat="1" ht="28.5" customHeight="1">
      <c r="A176" s="1014">
        <f>_xlfn.AGGREGATE(4,7,A$12:A175)+1</f>
        <v>164</v>
      </c>
      <c r="B176" s="1015" t="s">
        <v>2011</v>
      </c>
      <c r="C176" s="1033"/>
      <c r="D176" s="1034"/>
      <c r="E176" s="81" t="str">
        <f>VLOOKUP(B176,TH.Q2!B97:E428,4,FALSE)</f>
        <v>Giảng viên khoa CNTT</v>
      </c>
      <c r="F176" s="1018">
        <v>2.67</v>
      </c>
      <c r="G176" s="1019"/>
      <c r="H176" s="1248">
        <f t="shared" si="23"/>
        <v>0</v>
      </c>
      <c r="I176" s="1020"/>
      <c r="J176" s="1020" t="str">
        <f>VLOOKUP(B176,[25]!Table2[[Column2]:[Column6]],4,FALSE)</f>
        <v>A2</v>
      </c>
      <c r="K176" s="1020">
        <f t="shared" si="24"/>
        <v>0.7</v>
      </c>
      <c r="L176" s="1021">
        <v>20</v>
      </c>
      <c r="M176" s="1021">
        <f>VLOOKUP(B176,'[26]CN BC'!$F$10:$H$267,3,FALSE)</f>
        <v>20</v>
      </c>
      <c r="N176" s="1021">
        <f t="shared" si="25"/>
        <v>20</v>
      </c>
      <c r="O176" s="1022"/>
      <c r="P176" s="1023">
        <f t="shared" si="26"/>
        <v>4373460</v>
      </c>
      <c r="Q176" s="1035"/>
      <c r="R176" s="1024">
        <f t="shared" si="33"/>
        <v>164</v>
      </c>
      <c r="S176" s="1025">
        <f>VLOOKUP(B176,'[26]CN BC'!$F$10:$K$267,6,FALSE)</f>
        <v>0</v>
      </c>
      <c r="T176" s="1011" t="str">
        <f>VLOOKUP(B176,TH.T4!B192:AC522,28,FALSE)</f>
        <v>CNTT</v>
      </c>
      <c r="U176" s="1038"/>
      <c r="V176" s="1489"/>
    </row>
    <row r="177" spans="1:25" s="1028" customFormat="1" ht="28.5" customHeight="1">
      <c r="A177" s="1014">
        <f>_xlfn.AGGREGATE(4,7,A$12:A176)+1</f>
        <v>165</v>
      </c>
      <c r="B177" s="1015" t="s">
        <v>2017</v>
      </c>
      <c r="C177" s="1033"/>
      <c r="D177" s="1034"/>
      <c r="E177" s="368" t="str">
        <f>VLOOKUP(B177,TH.Q2!B98:E429,4,FALSE)</f>
        <v>Giảng viên khoa CNTT</v>
      </c>
      <c r="F177" s="1018">
        <v>2.34</v>
      </c>
      <c r="G177" s="1019"/>
      <c r="H177" s="1255">
        <f t="shared" si="23"/>
        <v>0</v>
      </c>
      <c r="I177" s="1020"/>
      <c r="J177" s="1020" t="str">
        <f>VLOOKUP(B177,[25]!Table2[[Column2]:[Column6]],4,FALSE)</f>
        <v>A2</v>
      </c>
      <c r="K177" s="1020">
        <f t="shared" si="24"/>
        <v>0.7</v>
      </c>
      <c r="L177" s="1021">
        <v>20</v>
      </c>
      <c r="M177" s="1021">
        <f>VLOOKUP(B177,'[26]CN BC'!$F$10:$H$267,3,FALSE)</f>
        <v>20</v>
      </c>
      <c r="N177" s="1021">
        <f t="shared" si="25"/>
        <v>20</v>
      </c>
      <c r="O177" s="1035"/>
      <c r="P177" s="1023">
        <f t="shared" si="26"/>
        <v>3832919.9999999995</v>
      </c>
      <c r="Q177" s="1035"/>
      <c r="R177" s="1024">
        <f t="shared" si="33"/>
        <v>165</v>
      </c>
      <c r="S177" s="1025">
        <f>VLOOKUP(B177,'[26]CN BC'!$F$10:$K$267,6,FALSE)</f>
        <v>0</v>
      </c>
      <c r="T177" s="1067" t="str">
        <f>VLOOKUP(B177,TH.T4!B193:AC523,28,FALSE)</f>
        <v>CNTT</v>
      </c>
      <c r="U177" s="1038"/>
      <c r="V177" s="1489"/>
    </row>
    <row r="178" spans="1:25" s="1028" customFormat="1" ht="28.5" customHeight="1">
      <c r="A178" s="1014">
        <f>_xlfn.AGGREGATE(4,7,A$12:A177)+1</f>
        <v>166</v>
      </c>
      <c r="B178" s="1015" t="s">
        <v>1885</v>
      </c>
      <c r="C178" s="1033" t="s">
        <v>1757</v>
      </c>
      <c r="D178" s="1034" t="s">
        <v>1368</v>
      </c>
      <c r="E178" s="81" t="str">
        <f>VLOOKUP(B178,TH.Q2!B99:E430,4,FALSE)</f>
        <v>Trưởng khoa Cơ khí</v>
      </c>
      <c r="F178" s="1018">
        <v>4.6500000000000004</v>
      </c>
      <c r="G178" s="1019"/>
      <c r="H178" s="1248">
        <f t="shared" si="23"/>
        <v>0</v>
      </c>
      <c r="I178" s="1020">
        <v>0.45</v>
      </c>
      <c r="J178" s="1020" t="str">
        <f>VLOOKUP(B178,[25]!Table2[[Column2]:[Column6]],4,FALSE)</f>
        <v>A1</v>
      </c>
      <c r="K178" s="1020">
        <f t="shared" si="24"/>
        <v>0.8</v>
      </c>
      <c r="L178" s="1021">
        <v>20</v>
      </c>
      <c r="M178" s="1021">
        <f>VLOOKUP(B178,'[26]CN BC'!$F$10:$H$267,3,FALSE)</f>
        <v>22</v>
      </c>
      <c r="N178" s="1021">
        <f t="shared" si="25"/>
        <v>20</v>
      </c>
      <c r="O178" s="1022"/>
      <c r="P178" s="1023">
        <f t="shared" si="26"/>
        <v>9547200.0000000019</v>
      </c>
      <c r="Q178" s="1022">
        <v>27</v>
      </c>
      <c r="R178" s="1024">
        <f t="shared" si="33"/>
        <v>166</v>
      </c>
      <c r="S178" s="1025">
        <f>VLOOKUP(B178,'[26]CN BC'!$F$10:$K$267,6,FALSE)</f>
        <v>0</v>
      </c>
      <c r="T178" s="1011" t="str">
        <f>VLOOKUP(B178,TH.T4!B194:AC524,28,FALSE)</f>
        <v>CK</v>
      </c>
      <c r="U178" s="1027"/>
      <c r="V178" s="1489"/>
      <c r="W178" s="1012"/>
      <c r="X178" s="1012"/>
      <c r="Y178" s="1012"/>
    </row>
    <row r="179" spans="1:25" s="1012" customFormat="1" ht="26.25" customHeight="1">
      <c r="A179" s="1014">
        <f>_xlfn.AGGREGATE(4,7,A$12:A178)+1</f>
        <v>167</v>
      </c>
      <c r="B179" s="1050" t="s">
        <v>1886</v>
      </c>
      <c r="C179" s="1029" t="s">
        <v>1758</v>
      </c>
      <c r="D179" s="1051" t="s">
        <v>1363</v>
      </c>
      <c r="E179" s="81" t="str">
        <f>VLOOKUP(B179,TH.Q2!B100:E431,4,FALSE)</f>
        <v>Giảng viên khoa Cơ khí</v>
      </c>
      <c r="F179" s="1052">
        <v>4.9800000000000004</v>
      </c>
      <c r="G179" s="1053">
        <v>0.08</v>
      </c>
      <c r="H179" s="1248">
        <f t="shared" si="23"/>
        <v>0.39800000000000002</v>
      </c>
      <c r="I179" s="1054"/>
      <c r="J179" s="1020" t="str">
        <f>VLOOKUP(B179,[25]!Table2[[Column2]:[Column6]],4,FALSE)</f>
        <v>A4</v>
      </c>
      <c r="K179" s="1020">
        <f t="shared" si="24"/>
        <v>0.5</v>
      </c>
      <c r="L179" s="1021">
        <v>20</v>
      </c>
      <c r="M179" s="1021">
        <f>VLOOKUP(B179,'[26]CN BC'!$F$10:$H$267,3,FALSE)</f>
        <v>20</v>
      </c>
      <c r="N179" s="1021">
        <f t="shared" si="25"/>
        <v>20</v>
      </c>
      <c r="O179" s="1022"/>
      <c r="P179" s="1023">
        <f t="shared" si="26"/>
        <v>6292260</v>
      </c>
      <c r="Q179" s="1022">
        <v>23</v>
      </c>
      <c r="R179" s="1024">
        <f t="shared" si="33"/>
        <v>167</v>
      </c>
      <c r="S179" s="1025">
        <f>VLOOKUP(B179,'[26]CN BC'!$F$10:$K$267,6,FALSE)</f>
        <v>0</v>
      </c>
      <c r="T179" s="1011" t="str">
        <f>VLOOKUP(B179,TH.T4!B195:AC525,28,FALSE)</f>
        <v>CK</v>
      </c>
      <c r="U179" s="1027"/>
      <c r="V179" s="1489"/>
    </row>
    <row r="180" spans="1:25" s="1028" customFormat="1" ht="31.5" customHeight="1">
      <c r="A180" s="1014">
        <f>_xlfn.AGGREGATE(4,7,A$12:A179)+1</f>
        <v>168</v>
      </c>
      <c r="B180" s="1015" t="s">
        <v>1887</v>
      </c>
      <c r="C180" s="1033" t="s">
        <v>1759</v>
      </c>
      <c r="D180" s="1034" t="s">
        <v>1364</v>
      </c>
      <c r="E180" s="368" t="str">
        <f>VLOOKUP(B180,TH.Q2!B101:E432,4,FALSE)</f>
        <v>Giảng viên khoa Cơ khí</v>
      </c>
      <c r="F180" s="1018">
        <v>4.9800000000000004</v>
      </c>
      <c r="G180" s="1019">
        <v>0.09</v>
      </c>
      <c r="H180" s="1255">
        <f t="shared" si="23"/>
        <v>0.44800000000000001</v>
      </c>
      <c r="I180" s="1020"/>
      <c r="J180" s="1020" t="str">
        <f>VLOOKUP(B180,[25]!Table2[[Column2]:[Column6]],4,FALSE)</f>
        <v>A2</v>
      </c>
      <c r="K180" s="1020">
        <f t="shared" si="24"/>
        <v>0.7</v>
      </c>
      <c r="L180" s="1021">
        <v>20</v>
      </c>
      <c r="M180" s="1021">
        <f>VLOOKUP(B180,'[26]CN BC'!$F$10:$H$267,3,FALSE)</f>
        <v>20</v>
      </c>
      <c r="N180" s="1021">
        <f t="shared" si="25"/>
        <v>20</v>
      </c>
      <c r="O180" s="1035"/>
      <c r="P180" s="1023">
        <f t="shared" si="26"/>
        <v>8891064</v>
      </c>
      <c r="Q180" s="1035">
        <v>23</v>
      </c>
      <c r="R180" s="1024">
        <f t="shared" si="33"/>
        <v>168</v>
      </c>
      <c r="S180" s="1025">
        <f>VLOOKUP(B180,'[26]CN BC'!$F$10:$K$267,6,FALSE)</f>
        <v>0</v>
      </c>
      <c r="T180" s="1067" t="str">
        <f>VLOOKUP(B180,TH.T4!B196:AC526,28,FALSE)</f>
        <v>CK</v>
      </c>
      <c r="U180" s="1038"/>
      <c r="V180" s="1489"/>
    </row>
    <row r="181" spans="1:25" s="1028" customFormat="1" ht="25.5" customHeight="1">
      <c r="A181" s="1014">
        <f>_xlfn.AGGREGATE(4,7,A$12:A180)+1</f>
        <v>169</v>
      </c>
      <c r="B181" s="1015" t="s">
        <v>1888</v>
      </c>
      <c r="C181" s="1033" t="s">
        <v>1760</v>
      </c>
      <c r="D181" s="1034" t="s">
        <v>1369</v>
      </c>
      <c r="E181" s="81" t="str">
        <f>VLOOKUP(B181,TH.Q2!B102:E433,4,FALSE)</f>
        <v>Giảng viên khoa Cơ khí</v>
      </c>
      <c r="F181" s="1018">
        <v>4.6500000000000004</v>
      </c>
      <c r="G181" s="1019"/>
      <c r="H181" s="1248">
        <f t="shared" si="23"/>
        <v>0</v>
      </c>
      <c r="I181" s="1020"/>
      <c r="J181" s="1020" t="str">
        <f>VLOOKUP(B181,[25]!Table2[[Column2]:[Column6]],4,FALSE)</f>
        <v>A4</v>
      </c>
      <c r="K181" s="1020">
        <f t="shared" si="24"/>
        <v>0.5</v>
      </c>
      <c r="L181" s="1021">
        <v>20</v>
      </c>
      <c r="M181" s="1021">
        <f>VLOOKUP(B181,'[26]CN BC'!$F$10:$H$267,3,FALSE)</f>
        <v>20</v>
      </c>
      <c r="N181" s="1021">
        <f t="shared" si="25"/>
        <v>20</v>
      </c>
      <c r="O181" s="1022"/>
      <c r="P181" s="1023">
        <f t="shared" si="26"/>
        <v>5440500</v>
      </c>
      <c r="Q181" s="1022">
        <v>23</v>
      </c>
      <c r="R181" s="1024">
        <f t="shared" si="33"/>
        <v>169</v>
      </c>
      <c r="S181" s="1025">
        <f>VLOOKUP(B181,'[26]CN BC'!$F$10:$K$267,6,FALSE)</f>
        <v>0</v>
      </c>
      <c r="T181" s="1011" t="str">
        <f>VLOOKUP(B181,TH.T4!B197:AC527,28,FALSE)</f>
        <v>CK</v>
      </c>
      <c r="U181" s="1027"/>
      <c r="V181" s="1489"/>
      <c r="W181" s="1012"/>
      <c r="X181" s="1012"/>
      <c r="Y181" s="1012"/>
    </row>
    <row r="182" spans="1:25" s="1028" customFormat="1" ht="25.5" customHeight="1">
      <c r="A182" s="1014">
        <f>_xlfn.AGGREGATE(4,7,A$12:A181)+1</f>
        <v>170</v>
      </c>
      <c r="B182" s="1015" t="s">
        <v>1889</v>
      </c>
      <c r="C182" s="1033" t="s">
        <v>1761</v>
      </c>
      <c r="D182" s="1034" t="s">
        <v>42</v>
      </c>
      <c r="E182" s="81" t="str">
        <f>VLOOKUP(B182,TH.Q2!B103:E434,4,FALSE)</f>
        <v>Giảng viên khoa Cơ khí</v>
      </c>
      <c r="F182" s="1018">
        <v>4.9800000000000004</v>
      </c>
      <c r="G182" s="1019">
        <v>0.16</v>
      </c>
      <c r="H182" s="1248">
        <f t="shared" si="23"/>
        <v>0.79700000000000004</v>
      </c>
      <c r="I182" s="1020"/>
      <c r="J182" s="1020" t="str">
        <f>VLOOKUP(B182,[25]!Table2[[Column2]:[Column6]],4,FALSE)</f>
        <v>A4</v>
      </c>
      <c r="K182" s="1020">
        <f t="shared" si="24"/>
        <v>0.5</v>
      </c>
      <c r="L182" s="1021">
        <v>20</v>
      </c>
      <c r="M182" s="1021">
        <f>VLOOKUP(B182,'[26]CN BC'!$F$10:$H$267,3,FALSE)</f>
        <v>20</v>
      </c>
      <c r="N182" s="1021">
        <f t="shared" si="25"/>
        <v>20</v>
      </c>
      <c r="O182" s="1022"/>
      <c r="P182" s="1023">
        <f t="shared" si="26"/>
        <v>6759090</v>
      </c>
      <c r="Q182" s="1022">
        <v>23</v>
      </c>
      <c r="R182" s="1024">
        <f t="shared" si="33"/>
        <v>170</v>
      </c>
      <c r="S182" s="1025">
        <f>VLOOKUP(B182,'[26]CN BC'!$F$10:$K$267,6,FALSE)</f>
        <v>0</v>
      </c>
      <c r="T182" s="1011" t="str">
        <f>VLOOKUP(B182,TH.T4!B198:AC528,28,FALSE)</f>
        <v>CK</v>
      </c>
      <c r="U182" s="1027"/>
      <c r="V182" s="1489"/>
      <c r="W182" s="1012"/>
      <c r="X182" s="1012"/>
      <c r="Y182" s="1012"/>
    </row>
    <row r="183" spans="1:25" s="1028" customFormat="1" ht="25.5" customHeight="1">
      <c r="A183" s="1014">
        <f>_xlfn.AGGREGATE(4,7,A$12:A182)+1</f>
        <v>171</v>
      </c>
      <c r="B183" s="1015" t="s">
        <v>1890</v>
      </c>
      <c r="C183" s="1033" t="s">
        <v>1762</v>
      </c>
      <c r="D183" s="1034" t="s">
        <v>1367</v>
      </c>
      <c r="E183" s="81" t="str">
        <f>VLOOKUP(B183,TH.Q2!B104:E435,4,FALSE)</f>
        <v>Giảng viên khoa Cơ khí</v>
      </c>
      <c r="F183" s="1018">
        <v>4.6500000000000004</v>
      </c>
      <c r="G183" s="1019"/>
      <c r="H183" s="1248">
        <f t="shared" si="23"/>
        <v>0</v>
      </c>
      <c r="I183" s="1020">
        <f>0.25</f>
        <v>0.25</v>
      </c>
      <c r="J183" s="1020" t="str">
        <f>VLOOKUP(B183,[25]!Table2[[Column2]:[Column6]],4,FALSE)</f>
        <v>A2</v>
      </c>
      <c r="K183" s="1020">
        <f t="shared" si="24"/>
        <v>0.7</v>
      </c>
      <c r="L183" s="1021">
        <v>20</v>
      </c>
      <c r="M183" s="1021">
        <f>VLOOKUP(B183,'[26]CN BC'!$F$10:$H$267,3,FALSE)</f>
        <v>20</v>
      </c>
      <c r="N183" s="1021">
        <f t="shared" si="25"/>
        <v>20</v>
      </c>
      <c r="O183" s="1022"/>
      <c r="P183" s="1023">
        <f t="shared" si="26"/>
        <v>8026199.9999999991</v>
      </c>
      <c r="Q183" s="1022">
        <v>23</v>
      </c>
      <c r="R183" s="1024">
        <f t="shared" si="33"/>
        <v>171</v>
      </c>
      <c r="S183" s="1025">
        <f>VLOOKUP(B183,'[26]CN BC'!$F$10:$K$267,6,FALSE)</f>
        <v>0</v>
      </c>
      <c r="T183" s="1011" t="str">
        <f>VLOOKUP(B183,TH.T4!B199:AC529,28,FALSE)</f>
        <v>CK</v>
      </c>
      <c r="U183" s="1027"/>
      <c r="V183" s="1489"/>
      <c r="W183" s="1012"/>
      <c r="X183" s="1012"/>
      <c r="Y183" s="1012"/>
    </row>
    <row r="184" spans="1:25" s="1028" customFormat="1" ht="25.5" customHeight="1">
      <c r="A184" s="1014">
        <f>_xlfn.AGGREGATE(4,7,A$12:A183)+1</f>
        <v>172</v>
      </c>
      <c r="B184" s="1015" t="s">
        <v>1891</v>
      </c>
      <c r="C184" s="1033" t="s">
        <v>1763</v>
      </c>
      <c r="D184" s="1034" t="s">
        <v>1377</v>
      </c>
      <c r="E184" s="368" t="str">
        <f>VLOOKUP(B184,TH.Q2!B105:E436,4,FALSE)</f>
        <v>Giảng viên khoa Cơ khí</v>
      </c>
      <c r="F184" s="1018">
        <v>4.9800000000000004</v>
      </c>
      <c r="G184" s="1019">
        <v>0.08</v>
      </c>
      <c r="H184" s="1255">
        <f t="shared" si="23"/>
        <v>0.39800000000000002</v>
      </c>
      <c r="I184" s="1020">
        <v>0.25</v>
      </c>
      <c r="J184" s="1020" t="str">
        <f>VLOOKUP(B184,[25]!Table2[[Column2]:[Column6]],4,FALSE)</f>
        <v>A2</v>
      </c>
      <c r="K184" s="1020">
        <f t="shared" si="24"/>
        <v>0.7</v>
      </c>
      <c r="L184" s="1021">
        <v>20</v>
      </c>
      <c r="M184" s="1021">
        <f>VLOOKUP(B184,'[26]CN BC'!$F$10:$H$267,3,FALSE)</f>
        <v>20</v>
      </c>
      <c r="N184" s="1021">
        <f t="shared" si="25"/>
        <v>20</v>
      </c>
      <c r="O184" s="1035"/>
      <c r="P184" s="1023">
        <f t="shared" si="26"/>
        <v>9218664</v>
      </c>
      <c r="Q184" s="1035">
        <v>23</v>
      </c>
      <c r="R184" s="1024">
        <f t="shared" si="33"/>
        <v>172</v>
      </c>
      <c r="S184" s="1025">
        <f>VLOOKUP(B184,'[26]CN BC'!$F$10:$K$267,6,FALSE)</f>
        <v>0</v>
      </c>
      <c r="T184" s="1067" t="str">
        <f>VLOOKUP(B184,TH.T4!B200:AC530,28,FALSE)</f>
        <v>CK</v>
      </c>
      <c r="U184" s="1038"/>
      <c r="V184" s="1489"/>
    </row>
    <row r="185" spans="1:25" s="1028" customFormat="1" ht="25.5" customHeight="1">
      <c r="A185" s="1014">
        <f>_xlfn.AGGREGATE(4,7,A$12:A184)+1</f>
        <v>173</v>
      </c>
      <c r="B185" s="1015" t="s">
        <v>1525</v>
      </c>
      <c r="C185" s="1033" t="s">
        <v>1764</v>
      </c>
      <c r="D185" s="1034" t="s">
        <v>1372</v>
      </c>
      <c r="E185" s="81" t="str">
        <f>VLOOKUP(B185,TH.Q2!B106:E437,4,FALSE)</f>
        <v>Giảng viên khoa Cơ khí</v>
      </c>
      <c r="F185" s="1040">
        <v>3.99</v>
      </c>
      <c r="G185" s="1019"/>
      <c r="H185" s="1248">
        <f t="shared" si="23"/>
        <v>0</v>
      </c>
      <c r="I185" s="1020"/>
      <c r="J185" s="1020" t="str">
        <f>VLOOKUP(B185,[25]!Table2[[Column2]:[Column6]],4,FALSE)</f>
        <v>A2</v>
      </c>
      <c r="K185" s="1020">
        <f t="shared" si="24"/>
        <v>0.7</v>
      </c>
      <c r="L185" s="1021">
        <v>20</v>
      </c>
      <c r="M185" s="1021">
        <f>VLOOKUP(B185,'[26]CN BC'!$F$10:$H$267,3,FALSE)</f>
        <v>20</v>
      </c>
      <c r="N185" s="1021">
        <f t="shared" si="25"/>
        <v>20</v>
      </c>
      <c r="O185" s="1022"/>
      <c r="P185" s="1023">
        <f t="shared" si="26"/>
        <v>6535620</v>
      </c>
      <c r="Q185" s="1022">
        <v>23</v>
      </c>
      <c r="R185" s="1024">
        <f t="shared" si="33"/>
        <v>173</v>
      </c>
      <c r="S185" s="1025">
        <f>VLOOKUP(B185,'[26]CN BC'!$F$10:$K$267,6,FALSE)</f>
        <v>0</v>
      </c>
      <c r="T185" s="1011" t="str">
        <f>VLOOKUP(B185,TH.T4!B201:AC531,28,FALSE)</f>
        <v>CK</v>
      </c>
      <c r="U185" s="1027"/>
      <c r="V185" s="1489"/>
      <c r="W185" s="1012"/>
      <c r="X185" s="1012"/>
      <c r="Y185" s="1012"/>
    </row>
    <row r="186" spans="1:25" s="1028" customFormat="1" ht="25.5" customHeight="1">
      <c r="A186" s="1014">
        <f>_xlfn.AGGREGATE(4,7,A$12:A185)+1</f>
        <v>174</v>
      </c>
      <c r="B186" s="1015" t="s">
        <v>1892</v>
      </c>
      <c r="C186" s="1033" t="s">
        <v>1765</v>
      </c>
      <c r="D186" s="1034" t="s">
        <v>1374</v>
      </c>
      <c r="E186" s="368" t="str">
        <f>VLOOKUP(B186,TH.Q2!B107:E438,4,FALSE)</f>
        <v>Giảng viên khoa Cơ khí</v>
      </c>
      <c r="F186" s="1018">
        <v>4.9800000000000004</v>
      </c>
      <c r="G186" s="1019">
        <v>7.0000000000000007E-2</v>
      </c>
      <c r="H186" s="1255">
        <f t="shared" si="23"/>
        <v>0.34899999999999998</v>
      </c>
      <c r="I186" s="1020"/>
      <c r="J186" s="1020" t="str">
        <f>VLOOKUP(B186,[25]!Table2[[Column2]:[Column6]],4,FALSE)</f>
        <v>A4</v>
      </c>
      <c r="K186" s="1020">
        <f t="shared" si="24"/>
        <v>0.5</v>
      </c>
      <c r="L186" s="1021">
        <v>20</v>
      </c>
      <c r="M186" s="1021">
        <f>VLOOKUP(B186,'[26]CN BC'!$F$10:$H$267,3,FALSE)</f>
        <v>20</v>
      </c>
      <c r="N186" s="1021">
        <f t="shared" si="25"/>
        <v>20</v>
      </c>
      <c r="O186" s="1035"/>
      <c r="P186" s="1023">
        <f t="shared" si="26"/>
        <v>6234930.0000000009</v>
      </c>
      <c r="Q186" s="1035">
        <v>23</v>
      </c>
      <c r="R186" s="1024">
        <f t="shared" si="33"/>
        <v>174</v>
      </c>
      <c r="S186" s="1025">
        <f>VLOOKUP(B186,'[26]CN BC'!$F$10:$K$267,6,FALSE)</f>
        <v>0</v>
      </c>
      <c r="T186" s="1067" t="str">
        <f>VLOOKUP(B186,TH.T4!B202:AC532,28,FALSE)</f>
        <v>CK</v>
      </c>
      <c r="U186" s="1038"/>
      <c r="V186" s="1489"/>
    </row>
    <row r="187" spans="1:25" s="1028" customFormat="1" ht="25.5" customHeight="1">
      <c r="A187" s="1014">
        <f>_xlfn.AGGREGATE(4,7,A$12:A186)+1</f>
        <v>175</v>
      </c>
      <c r="B187" s="1015" t="s">
        <v>1526</v>
      </c>
      <c r="C187" s="1033" t="s">
        <v>1766</v>
      </c>
      <c r="D187" s="1066" t="s">
        <v>1939</v>
      </c>
      <c r="E187" s="368" t="str">
        <f>VLOOKUP(B187,TH.Q2!B108:E439,4,FALSE)</f>
        <v>Phó Trưởng khoa Cơ khí</v>
      </c>
      <c r="F187" s="1040">
        <v>3.99</v>
      </c>
      <c r="G187" s="1019"/>
      <c r="H187" s="1255">
        <f t="shared" si="23"/>
        <v>0</v>
      </c>
      <c r="I187" s="1020">
        <v>0.35</v>
      </c>
      <c r="J187" s="1020" t="str">
        <f>VLOOKUP(B187,[25]!Table2[[Column2]:[Column6]],4,FALSE)</f>
        <v>A3</v>
      </c>
      <c r="K187" s="1020">
        <f t="shared" si="24"/>
        <v>0.6</v>
      </c>
      <c r="L187" s="1021">
        <v>20</v>
      </c>
      <c r="M187" s="1021">
        <f>VLOOKUP(B187,'[26]CN BC'!$F$10:$H$267,3,FALSE)</f>
        <v>20</v>
      </c>
      <c r="N187" s="1021">
        <f t="shared" si="25"/>
        <v>20</v>
      </c>
      <c r="O187" s="1035"/>
      <c r="P187" s="1023">
        <f t="shared" si="26"/>
        <v>6093360</v>
      </c>
      <c r="Q187" s="1035">
        <v>23</v>
      </c>
      <c r="R187" s="1024">
        <f t="shared" si="33"/>
        <v>175</v>
      </c>
      <c r="S187" s="1025">
        <f>VLOOKUP(B187,'[26]CN BC'!$F$10:$K$267,6,FALSE)</f>
        <v>0</v>
      </c>
      <c r="T187" s="1067" t="str">
        <f>VLOOKUP(B187,TH.T4!B203:AC533,28,FALSE)</f>
        <v>CK</v>
      </c>
      <c r="U187" s="1038"/>
      <c r="V187" s="1489"/>
    </row>
    <row r="188" spans="1:25" s="1028" customFormat="1" ht="26.25" customHeight="1">
      <c r="A188" s="1014">
        <f>_xlfn.AGGREGATE(4,7,A$12:A187)+1</f>
        <v>176</v>
      </c>
      <c r="B188" s="1015" t="s">
        <v>1527</v>
      </c>
      <c r="C188" s="1033" t="s">
        <v>1767</v>
      </c>
      <c r="D188" s="1034" t="s">
        <v>1379</v>
      </c>
      <c r="E188" s="368" t="str">
        <f>VLOOKUP(B188,TH.Q2!B109:E440,4,FALSE)</f>
        <v>Giảng viên khoa Cơ khí</v>
      </c>
      <c r="F188" s="1040">
        <v>3.99</v>
      </c>
      <c r="G188" s="1019"/>
      <c r="H188" s="1255">
        <f t="shared" si="23"/>
        <v>0</v>
      </c>
      <c r="I188" s="1020"/>
      <c r="J188" s="1020" t="str">
        <f>VLOOKUP(B188,[25]!Table2[[Column2]:[Column6]],4,FALSE)</f>
        <v>A1</v>
      </c>
      <c r="K188" s="1020">
        <f t="shared" si="24"/>
        <v>0.8</v>
      </c>
      <c r="L188" s="1021">
        <v>20</v>
      </c>
      <c r="M188" s="1021">
        <f>VLOOKUP(B188,'[26]CN BC'!$F$10:$H$267,3,FALSE)</f>
        <v>20</v>
      </c>
      <c r="N188" s="1021">
        <f t="shared" si="25"/>
        <v>20</v>
      </c>
      <c r="O188" s="1035"/>
      <c r="P188" s="1023">
        <f t="shared" si="26"/>
        <v>7469280</v>
      </c>
      <c r="Q188" s="1035">
        <v>23</v>
      </c>
      <c r="R188" s="1024">
        <f t="shared" si="33"/>
        <v>176</v>
      </c>
      <c r="S188" s="1025">
        <f>VLOOKUP(B188,'[26]CN BC'!$F$10:$K$267,6,FALSE)</f>
        <v>0</v>
      </c>
      <c r="T188" s="1067" t="str">
        <f>VLOOKUP(B188,TH.T4!B204:AC534,28,FALSE)</f>
        <v>CK</v>
      </c>
      <c r="U188" s="1038"/>
      <c r="V188" s="1489"/>
    </row>
    <row r="189" spans="1:25" s="1028" customFormat="1" ht="27.75" customHeight="1">
      <c r="A189" s="1014">
        <f>_xlfn.AGGREGATE(4,7,A$12:A188)+1</f>
        <v>177</v>
      </c>
      <c r="B189" s="1015" t="s">
        <v>1893</v>
      </c>
      <c r="C189" s="1033" t="s">
        <v>1768</v>
      </c>
      <c r="D189" s="1034" t="s">
        <v>387</v>
      </c>
      <c r="E189" s="81" t="str">
        <f>VLOOKUP(B189,TH.Q2!B110:E441,4,FALSE)</f>
        <v>Giảng viên khoa Cơ khí</v>
      </c>
      <c r="F189" s="1040">
        <v>3.99</v>
      </c>
      <c r="G189" s="1019"/>
      <c r="H189" s="1248">
        <f t="shared" si="23"/>
        <v>0</v>
      </c>
      <c r="I189" s="1020"/>
      <c r="J189" s="1020" t="str">
        <f>VLOOKUP(B189,[25]!Table2[[Column2]:[Column6]],4,FALSE)</f>
        <v>A4</v>
      </c>
      <c r="K189" s="1020">
        <f t="shared" si="24"/>
        <v>0.5</v>
      </c>
      <c r="L189" s="1021">
        <v>20</v>
      </c>
      <c r="M189" s="1021">
        <f>VLOOKUP(B189,'[26]CN BC'!$F$10:$H$267,3,FALSE)</f>
        <v>20</v>
      </c>
      <c r="N189" s="1021">
        <f t="shared" si="25"/>
        <v>20</v>
      </c>
      <c r="O189" s="1022"/>
      <c r="P189" s="1023">
        <f t="shared" si="26"/>
        <v>4668300</v>
      </c>
      <c r="Q189" s="1022">
        <v>23</v>
      </c>
      <c r="R189" s="1024">
        <f t="shared" si="33"/>
        <v>177</v>
      </c>
      <c r="S189" s="1025">
        <f>VLOOKUP(B189,'[26]CN BC'!$F$10:$K$267,6,FALSE)</f>
        <v>0</v>
      </c>
      <c r="T189" s="1011" t="str">
        <f>VLOOKUP(B189,TH.T4!B205:AC535,28,FALSE)</f>
        <v>CK</v>
      </c>
      <c r="U189" s="1027"/>
      <c r="V189" s="1489"/>
      <c r="W189" s="1012"/>
      <c r="X189" s="1012"/>
      <c r="Y189" s="1012"/>
    </row>
    <row r="190" spans="1:25" s="1028" customFormat="1" ht="27.75" customHeight="1">
      <c r="A190" s="1014">
        <f>_xlfn.AGGREGATE(4,7,A$12:A189)+1</f>
        <v>178</v>
      </c>
      <c r="B190" s="1015" t="s">
        <v>1894</v>
      </c>
      <c r="C190" s="1033" t="s">
        <v>1769</v>
      </c>
      <c r="D190" s="1034" t="s">
        <v>388</v>
      </c>
      <c r="E190" s="81" t="str">
        <f>VLOOKUP(B190,TH.Q2!B111:E442,4,FALSE)</f>
        <v>Giảng viên khoa Cơ khí</v>
      </c>
      <c r="F190" s="1040">
        <v>3.99</v>
      </c>
      <c r="G190" s="1019"/>
      <c r="H190" s="1248">
        <f t="shared" si="23"/>
        <v>0</v>
      </c>
      <c r="I190" s="1020"/>
      <c r="J190" s="1020" t="str">
        <f>VLOOKUP(B190,[25]!Table2[[Column2]:[Column6]],4,FALSE)</f>
        <v>A4</v>
      </c>
      <c r="K190" s="1020">
        <f t="shared" si="24"/>
        <v>0.5</v>
      </c>
      <c r="L190" s="1021">
        <v>20</v>
      </c>
      <c r="M190" s="1021">
        <f>VLOOKUP(B190,'[26]CN BC'!$F$10:$H$267,3,FALSE)</f>
        <v>20</v>
      </c>
      <c r="N190" s="1021">
        <f t="shared" si="25"/>
        <v>20</v>
      </c>
      <c r="O190" s="1022"/>
      <c r="P190" s="1023">
        <f t="shared" si="26"/>
        <v>4668300</v>
      </c>
      <c r="Q190" s="1022">
        <v>23</v>
      </c>
      <c r="R190" s="1024">
        <f t="shared" si="33"/>
        <v>178</v>
      </c>
      <c r="S190" s="1025">
        <f>VLOOKUP(B190,'[26]CN BC'!$F$10:$K$267,6,FALSE)</f>
        <v>0</v>
      </c>
      <c r="T190" s="1011" t="str">
        <f>VLOOKUP(B190,TH.T4!B206:AC536,28,FALSE)</f>
        <v>CK</v>
      </c>
      <c r="U190" s="1027"/>
      <c r="V190" s="1489"/>
      <c r="W190" s="1012"/>
      <c r="X190" s="1012"/>
      <c r="Y190" s="1012"/>
    </row>
    <row r="191" spans="1:25" s="1028" customFormat="1" ht="32.25" customHeight="1">
      <c r="A191" s="1014">
        <f>_xlfn.AGGREGATE(4,7,A$12:A190)+1</f>
        <v>179</v>
      </c>
      <c r="B191" s="1015" t="s">
        <v>2023</v>
      </c>
      <c r="C191" s="1033" t="s">
        <v>1770</v>
      </c>
      <c r="D191" s="1034" t="s">
        <v>386</v>
      </c>
      <c r="E191" s="81" t="str">
        <f>VLOOKUP(B191,TH.Q2!B112:E443,4,FALSE)</f>
        <v>Giảng viên khoa Cơ khí</v>
      </c>
      <c r="F191" s="1040">
        <v>3.99</v>
      </c>
      <c r="G191" s="1019"/>
      <c r="H191" s="1248">
        <f t="shared" si="23"/>
        <v>0</v>
      </c>
      <c r="I191" s="1020"/>
      <c r="J191" s="1020" t="str">
        <f>VLOOKUP(B191,[25]!Table2[[Column2]:[Column6]],4,FALSE)</f>
        <v>A4</v>
      </c>
      <c r="K191" s="1020">
        <f t="shared" si="24"/>
        <v>0.5</v>
      </c>
      <c r="L191" s="1021">
        <v>20</v>
      </c>
      <c r="M191" s="1021">
        <f>VLOOKUP(B191,'[26]CN BC'!$F$10:$H$267,3,FALSE)</f>
        <v>20</v>
      </c>
      <c r="N191" s="1021">
        <f t="shared" si="25"/>
        <v>20</v>
      </c>
      <c r="O191" s="1022"/>
      <c r="P191" s="1023">
        <f t="shared" si="26"/>
        <v>4668300</v>
      </c>
      <c r="Q191" s="1035">
        <v>23</v>
      </c>
      <c r="R191" s="1024">
        <f t="shared" si="33"/>
        <v>179</v>
      </c>
      <c r="S191" s="1025">
        <f>VLOOKUP(B191,'[26]CN BC'!$F$10:$K$267,6,FALSE)</f>
        <v>0</v>
      </c>
      <c r="T191" s="1011" t="str">
        <f>VLOOKUP(B191,TH.T4!B207:AC537,28,FALSE)</f>
        <v>CK</v>
      </c>
      <c r="U191" s="1038"/>
      <c r="V191" s="1489"/>
    </row>
    <row r="192" spans="1:25" s="1028" customFormat="1" ht="30.75" customHeight="1">
      <c r="A192" s="1014">
        <f>_xlfn.AGGREGATE(4,7,A$12:A191)+1</f>
        <v>180</v>
      </c>
      <c r="B192" s="1015" t="s">
        <v>1528</v>
      </c>
      <c r="C192" s="1033" t="s">
        <v>1771</v>
      </c>
      <c r="D192" s="1034" t="s">
        <v>456</v>
      </c>
      <c r="E192" s="368" t="str">
        <f>VLOOKUP(B192,TH.Q2!B113:E444,4,FALSE)</f>
        <v>Giảng viên khoa Cơ khí</v>
      </c>
      <c r="F192" s="1040">
        <v>3.66</v>
      </c>
      <c r="G192" s="1019"/>
      <c r="H192" s="1255">
        <f t="shared" si="23"/>
        <v>0</v>
      </c>
      <c r="I192" s="1020"/>
      <c r="J192" s="1020" t="str">
        <f>VLOOKUP(B192,[25]!Table2[[Column2]:[Column6]],4,FALSE)</f>
        <v>A4</v>
      </c>
      <c r="K192" s="1020">
        <f t="shared" si="24"/>
        <v>0.5</v>
      </c>
      <c r="L192" s="1021">
        <v>20</v>
      </c>
      <c r="M192" s="1021">
        <f>VLOOKUP(B192,'[26]CN BC'!$F$10:$H$267,3,FALSE)</f>
        <v>20</v>
      </c>
      <c r="N192" s="1021">
        <f t="shared" si="25"/>
        <v>20</v>
      </c>
      <c r="O192" s="1035"/>
      <c r="P192" s="1023">
        <f t="shared" si="26"/>
        <v>4282200</v>
      </c>
      <c r="Q192" s="1035">
        <v>23</v>
      </c>
      <c r="R192" s="1024">
        <f t="shared" si="33"/>
        <v>180</v>
      </c>
      <c r="S192" s="1025">
        <f>VLOOKUP(B192,'[26]CN BC'!$F$10:$K$267,6,FALSE)</f>
        <v>0</v>
      </c>
      <c r="T192" s="1067" t="str">
        <f>VLOOKUP(B192,TH.T4!B208:AC538,28,FALSE)</f>
        <v>CK</v>
      </c>
      <c r="U192" s="1038"/>
      <c r="V192" s="1490"/>
    </row>
    <row r="193" spans="1:29" s="1028" customFormat="1" ht="30" customHeight="1">
      <c r="A193" s="1014">
        <f>_xlfn.AGGREGATE(4,7,A$12:A192)+1</f>
        <v>181</v>
      </c>
      <c r="B193" s="1015" t="s">
        <v>1529</v>
      </c>
      <c r="C193" s="1033" t="s">
        <v>1772</v>
      </c>
      <c r="D193" s="1034" t="s">
        <v>743</v>
      </c>
      <c r="E193" s="368" t="str">
        <f>VLOOKUP(B193,TH.Q2!B114:E445,4,FALSE)</f>
        <v>Giảng viên - Trưởng BM khoa Cơ khí</v>
      </c>
      <c r="F193" s="1040">
        <v>3.66</v>
      </c>
      <c r="G193" s="1019"/>
      <c r="H193" s="1255">
        <f t="shared" si="23"/>
        <v>0</v>
      </c>
      <c r="I193" s="1517"/>
      <c r="J193" s="1020" t="str">
        <f>VLOOKUP(B193,[25]!Table2[[Column2]:[Column6]],4,FALSE)</f>
        <v>A2</v>
      </c>
      <c r="K193" s="1020">
        <f t="shared" si="24"/>
        <v>0.7</v>
      </c>
      <c r="L193" s="1021">
        <v>20</v>
      </c>
      <c r="M193" s="1021">
        <f>VLOOKUP(B193,'[26]CN BC'!$F$10:$H$267,3,FALSE)</f>
        <v>20</v>
      </c>
      <c r="N193" s="1021">
        <f t="shared" si="25"/>
        <v>20</v>
      </c>
      <c r="O193" s="1035"/>
      <c r="P193" s="1023">
        <f t="shared" si="26"/>
        <v>5995080</v>
      </c>
      <c r="Q193" s="1035">
        <v>23</v>
      </c>
      <c r="R193" s="1024">
        <f t="shared" si="33"/>
        <v>181</v>
      </c>
      <c r="S193" s="1025">
        <f>VLOOKUP(B193,'[26]CN BC'!$F$10:$K$267,6,FALSE)</f>
        <v>0</v>
      </c>
      <c r="T193" s="1067" t="str">
        <f>VLOOKUP(B193,TH.T4!B209:AC539,28,FALSE)</f>
        <v>CK</v>
      </c>
      <c r="U193" s="1038"/>
      <c r="V193" s="1489"/>
    </row>
    <row r="194" spans="1:29" s="1028" customFormat="1" ht="30" customHeight="1">
      <c r="A194" s="1014">
        <f>_xlfn.AGGREGATE(4,7,A$12:A193)+1</f>
        <v>182</v>
      </c>
      <c r="B194" s="1015" t="s">
        <v>1530</v>
      </c>
      <c r="C194" s="1033" t="s">
        <v>1773</v>
      </c>
      <c r="D194" s="1057">
        <v>1603205357641</v>
      </c>
      <c r="E194" s="368" t="str">
        <f>VLOOKUP(B194,TH.Q2!B115:E446,4,FALSE)</f>
        <v>Giảng viên khoa Cơ khí</v>
      </c>
      <c r="F194" s="1040">
        <v>3.66</v>
      </c>
      <c r="G194" s="1019"/>
      <c r="H194" s="1255">
        <f t="shared" si="23"/>
        <v>0</v>
      </c>
      <c r="I194" s="1020"/>
      <c r="J194" s="1020" t="str">
        <f>VLOOKUP(B194,[25]!Table2[[Column2]:[Column6]],4,FALSE)</f>
        <v>A4</v>
      </c>
      <c r="K194" s="1020">
        <f t="shared" si="24"/>
        <v>0.5</v>
      </c>
      <c r="L194" s="1021">
        <v>20</v>
      </c>
      <c r="M194" s="1021">
        <f>VLOOKUP(B194,'[26]CN BC'!$F$10:$H$267,3,FALSE)</f>
        <v>20</v>
      </c>
      <c r="N194" s="1021">
        <f t="shared" si="25"/>
        <v>20</v>
      </c>
      <c r="O194" s="1035"/>
      <c r="P194" s="1023">
        <f t="shared" si="26"/>
        <v>4282200</v>
      </c>
      <c r="Q194" s="1035">
        <v>23</v>
      </c>
      <c r="R194" s="1024">
        <f t="shared" si="33"/>
        <v>182</v>
      </c>
      <c r="S194" s="1025">
        <f>VLOOKUP(B194,'[26]CN BC'!$F$10:$K$267,6,FALSE)</f>
        <v>0</v>
      </c>
      <c r="T194" s="1067" t="str">
        <f>VLOOKUP(B194,TH.T4!B210:AC540,28,FALSE)</f>
        <v>CK</v>
      </c>
      <c r="U194" s="1038"/>
      <c r="V194" s="1489"/>
    </row>
    <row r="195" spans="1:29" s="1028" customFormat="1" ht="25.9" customHeight="1">
      <c r="A195" s="1014">
        <f>_xlfn.AGGREGATE(4,7,A$12:A194)+1</f>
        <v>183</v>
      </c>
      <c r="B195" s="1015" t="s">
        <v>1531</v>
      </c>
      <c r="C195" s="1029" t="s">
        <v>1774</v>
      </c>
      <c r="D195" s="1057">
        <v>1603205357120</v>
      </c>
      <c r="E195" s="81" t="str">
        <f>VLOOKUP(B195,TH.Q2!B116:E447,4,FALSE)</f>
        <v>Giảng viên khoa Cơ khí</v>
      </c>
      <c r="F195" s="1040">
        <v>3.33</v>
      </c>
      <c r="G195" s="1019"/>
      <c r="H195" s="1248">
        <f t="shared" si="23"/>
        <v>0</v>
      </c>
      <c r="I195" s="1020"/>
      <c r="J195" s="1020" t="str">
        <f>VLOOKUP(B195,[25]!Table2[[Column2]:[Column6]],4,FALSE)</f>
        <v>A3</v>
      </c>
      <c r="K195" s="1020">
        <f t="shared" si="24"/>
        <v>0.6</v>
      </c>
      <c r="L195" s="1021">
        <v>20</v>
      </c>
      <c r="M195" s="1021">
        <f>VLOOKUP(B195,'[26]CN BC'!$F$10:$H$267,3,FALSE)</f>
        <v>20</v>
      </c>
      <c r="N195" s="1021">
        <f t="shared" ref="N195:N257" si="34">IF(M195&gt;=L195,L195,IF(M195&lt;L195,M195))</f>
        <v>20</v>
      </c>
      <c r="O195" s="1022"/>
      <c r="P195" s="1023">
        <f t="shared" ref="P195:P257" si="35">(((F195+H195+I195)*$P$9/L195*N195)*K195)+O195</f>
        <v>4675320</v>
      </c>
      <c r="Q195" s="1022">
        <v>23</v>
      </c>
      <c r="R195" s="1024">
        <f t="shared" si="33"/>
        <v>183</v>
      </c>
      <c r="S195" s="1025">
        <f>VLOOKUP(B195,'[26]CN BC'!$F$10:$K$267,6,FALSE)</f>
        <v>0</v>
      </c>
      <c r="T195" s="1011" t="str">
        <f>VLOOKUP(B195,TH.T4!B211:AC541,28,FALSE)</f>
        <v>CK</v>
      </c>
      <c r="U195" s="1027"/>
      <c r="V195" s="1489"/>
      <c r="W195" s="1012"/>
      <c r="X195" s="1012"/>
      <c r="Y195" s="1012"/>
      <c r="Z195" s="1012"/>
      <c r="AA195" s="1012"/>
      <c r="AB195" s="1012"/>
      <c r="AC195" s="1012"/>
    </row>
    <row r="196" spans="1:29" s="1028" customFormat="1" ht="32.25" customHeight="1">
      <c r="A196" s="1014">
        <f>_xlfn.AGGREGATE(4,7,A$12:A195)+1</f>
        <v>184</v>
      </c>
      <c r="B196" s="1015" t="s">
        <v>1895</v>
      </c>
      <c r="C196" s="1033" t="s">
        <v>1775</v>
      </c>
      <c r="D196" s="1034" t="s">
        <v>1261</v>
      </c>
      <c r="E196" s="368" t="str">
        <f>VLOOKUP(B196,TH.Q2!B117:E448,4,FALSE)</f>
        <v>Giảng viên khoa Cơ khí</v>
      </c>
      <c r="F196" s="1018">
        <v>4.9800000000000004</v>
      </c>
      <c r="G196" s="1019">
        <v>0.09</v>
      </c>
      <c r="H196" s="1255">
        <f t="shared" si="23"/>
        <v>0.44800000000000001</v>
      </c>
      <c r="I196" s="1020"/>
      <c r="J196" s="1020" t="str">
        <f>VLOOKUP(B196,[25]!Table2[[Column2]:[Column6]],4,FALSE)</f>
        <v>A4</v>
      </c>
      <c r="K196" s="1020">
        <f t="shared" si="24"/>
        <v>0.5</v>
      </c>
      <c r="L196" s="1021">
        <v>20</v>
      </c>
      <c r="M196" s="1021">
        <f>VLOOKUP(B196,'[26]CN BC'!$F$10:$H$267,3,FALSE)</f>
        <v>20</v>
      </c>
      <c r="N196" s="1021">
        <f t="shared" si="34"/>
        <v>20</v>
      </c>
      <c r="O196" s="1035"/>
      <c r="P196" s="1023">
        <f t="shared" si="35"/>
        <v>6350760.0000000009</v>
      </c>
      <c r="Q196" s="1035">
        <v>23</v>
      </c>
      <c r="R196" s="1024">
        <f t="shared" si="33"/>
        <v>184</v>
      </c>
      <c r="S196" s="1025">
        <f>VLOOKUP(B196,'[26]CN BC'!$F$10:$K$267,6,FALSE)</f>
        <v>0</v>
      </c>
      <c r="T196" s="1067" t="str">
        <f>VLOOKUP(B196,TH.T4!B212:AC542,28,FALSE)</f>
        <v>CK</v>
      </c>
      <c r="U196" s="1038"/>
      <c r="V196" s="1489"/>
    </row>
    <row r="197" spans="1:29" s="1028" customFormat="1" ht="29.25" customHeight="1">
      <c r="A197" s="1014">
        <f>_xlfn.AGGREGATE(4,7,A$12:A196)+1</f>
        <v>185</v>
      </c>
      <c r="B197" s="1015" t="s">
        <v>1532</v>
      </c>
      <c r="C197" s="1029" t="s">
        <v>1777</v>
      </c>
      <c r="D197" s="1030" t="s">
        <v>1594</v>
      </c>
      <c r="E197" s="81" t="str">
        <f>VLOOKUP(B197,TH.Q2!B119:E450,4,FALSE)</f>
        <v>Giảng viên khoa Cơ khí</v>
      </c>
      <c r="F197" s="1040">
        <v>3.66</v>
      </c>
      <c r="G197" s="1019"/>
      <c r="H197" s="1248">
        <f t="shared" ref="H197:H260" si="36">ROUND(F197*G197,3)</f>
        <v>0</v>
      </c>
      <c r="I197" s="1020"/>
      <c r="J197" s="1020" t="str">
        <f>VLOOKUP(B197,[25]!Table2[[Column2]:[Column6]],4,FALSE)</f>
        <v>A1</v>
      </c>
      <c r="K197" s="1020">
        <f t="shared" ref="K197" si="37">IF(J197="A1",0.8,IF(J197="A2",0.7,IF(J197="A3",0.6,IF(J197="A4",0.5,IF(J197="B1",0.35,IF(J197="B2",0.25,IF(J197="C1",0.15,IF(J197="C2",0.1,0))))))))</f>
        <v>0.8</v>
      </c>
      <c r="L197" s="1021">
        <v>20</v>
      </c>
      <c r="M197" s="1021">
        <f>VLOOKUP(B197,'[26]CN BC'!$F$10:$H$267,3,FALSE)</f>
        <v>20</v>
      </c>
      <c r="N197" s="1021">
        <f t="shared" si="34"/>
        <v>20</v>
      </c>
      <c r="O197" s="1022"/>
      <c r="P197" s="1023">
        <f t="shared" si="35"/>
        <v>6851520</v>
      </c>
      <c r="Q197" s="1022">
        <v>23</v>
      </c>
      <c r="R197" s="1024">
        <f t="shared" si="33"/>
        <v>185</v>
      </c>
      <c r="S197" s="1025">
        <f>VLOOKUP(B197,'[26]CN BC'!$F$10:$K$267,6,FALSE)</f>
        <v>0</v>
      </c>
      <c r="T197" s="1011" t="str">
        <f>VLOOKUP(B197,TH.T4!B214:AC544,28,FALSE)</f>
        <v>CK</v>
      </c>
      <c r="U197" s="1027"/>
      <c r="V197" s="1489"/>
      <c r="W197" s="1012"/>
      <c r="X197" s="1012"/>
      <c r="Y197" s="1012"/>
      <c r="Z197" s="1012"/>
      <c r="AA197" s="1012"/>
      <c r="AB197" s="1012"/>
      <c r="AC197" s="1012"/>
    </row>
    <row r="198" spans="1:29" s="1028" customFormat="1" ht="25.5" customHeight="1">
      <c r="A198" s="1014">
        <f>_xlfn.AGGREGATE(4,7,A$12:A197)+1</f>
        <v>186</v>
      </c>
      <c r="B198" s="1015" t="s">
        <v>1608</v>
      </c>
      <c r="C198" s="1107" t="s">
        <v>1968</v>
      </c>
      <c r="D198" s="1039">
        <v>1603215003955</v>
      </c>
      <c r="E198" s="81" t="str">
        <f>VLOOKUP(B198,TH.Q2!B120:E451,4,FALSE)</f>
        <v>Giảng viên khoa Cơ khí</v>
      </c>
      <c r="F198" s="1040">
        <v>3.33</v>
      </c>
      <c r="G198" s="1049"/>
      <c r="H198" s="1248">
        <f t="shared" si="36"/>
        <v>0</v>
      </c>
      <c r="I198" s="1020"/>
      <c r="J198" s="1020" t="str">
        <f>VLOOKUP(B198,[25]!Table2[[Column2]:[Column6]],4,FALSE)</f>
        <v>A4</v>
      </c>
      <c r="K198" s="1020">
        <f t="shared" ref="K198:K259" si="38">IF(J198="A1",0.8,IF(J198="A2",0.7,IF(J198="A3",0.6,IF(J198="A4",0.5,IF(J198="B1",0.35,IF(J198="B2",0.25,IF(J198="C1",0.15,IF(J198="C2",0.1,0))))))))</f>
        <v>0.5</v>
      </c>
      <c r="L198" s="1021">
        <v>20</v>
      </c>
      <c r="M198" s="1021">
        <f>VLOOKUP(B198,'[26]CN BC'!$F$10:$H$267,3,FALSE)</f>
        <v>20</v>
      </c>
      <c r="N198" s="1021">
        <f t="shared" si="34"/>
        <v>20</v>
      </c>
      <c r="O198" s="1022"/>
      <c r="P198" s="1023">
        <f t="shared" si="35"/>
        <v>3896100</v>
      </c>
      <c r="Q198" s="1022">
        <v>23</v>
      </c>
      <c r="R198" s="1024">
        <f t="shared" si="33"/>
        <v>186</v>
      </c>
      <c r="S198" s="1025">
        <f>VLOOKUP(B198,'[26]CN BC'!$F$10:$K$267,6,FALSE)</f>
        <v>0</v>
      </c>
      <c r="T198" s="1011" t="str">
        <f>VLOOKUP(B198,TH.T4!B215:AC545,28,FALSE)</f>
        <v>CK</v>
      </c>
      <c r="U198" s="1027"/>
      <c r="V198" s="1489"/>
      <c r="W198" s="1012"/>
      <c r="X198" s="1012"/>
      <c r="Y198" s="1012"/>
    </row>
    <row r="199" spans="1:29" s="1028" customFormat="1" ht="24.75" customHeight="1">
      <c r="A199" s="1014">
        <f>_xlfn.AGGREGATE(4,7,A$12:A198)+1</f>
        <v>187</v>
      </c>
      <c r="B199" s="1015" t="s">
        <v>1835</v>
      </c>
      <c r="C199" s="1033" t="s">
        <v>1970</v>
      </c>
      <c r="D199" s="1108" t="s">
        <v>1969</v>
      </c>
      <c r="E199" s="81" t="str">
        <f>VLOOKUP(B199,TH.Q2!B121:E452,4,FALSE)</f>
        <v>Giảng viên khoa Cơ khí</v>
      </c>
      <c r="F199" s="1040">
        <v>3</v>
      </c>
      <c r="G199" s="1049"/>
      <c r="H199" s="1248">
        <f t="shared" si="36"/>
        <v>0</v>
      </c>
      <c r="I199" s="1020"/>
      <c r="J199" s="1020" t="str">
        <f>VLOOKUP(B199,[25]!Table2[[Column2]:[Column6]],4,FALSE)</f>
        <v>A2</v>
      </c>
      <c r="K199" s="1020">
        <f t="shared" si="38"/>
        <v>0.7</v>
      </c>
      <c r="L199" s="1021">
        <v>20</v>
      </c>
      <c r="M199" s="1021">
        <f>VLOOKUP(B199,'[26]CN BC'!$F$10:$H$267,3,FALSE)</f>
        <v>20</v>
      </c>
      <c r="N199" s="1021">
        <f t="shared" si="34"/>
        <v>20</v>
      </c>
      <c r="O199" s="1022"/>
      <c r="P199" s="1023">
        <f t="shared" si="35"/>
        <v>4914000</v>
      </c>
      <c r="Q199" s="1022">
        <v>23</v>
      </c>
      <c r="R199" s="1024">
        <f t="shared" si="33"/>
        <v>187</v>
      </c>
      <c r="S199" s="1025">
        <f>VLOOKUP(B199,'[26]CN BC'!$F$10:$K$267,6,FALSE)</f>
        <v>0</v>
      </c>
      <c r="T199" s="1011" t="str">
        <f>VLOOKUP(B199,TH.T4!B216:AC546,28,FALSE)</f>
        <v>CK</v>
      </c>
      <c r="U199" s="1027"/>
      <c r="V199" s="1489"/>
      <c r="W199" s="1012"/>
      <c r="X199" s="1012"/>
      <c r="Y199" s="1012"/>
    </row>
    <row r="200" spans="1:29" s="1028" customFormat="1" ht="29.25" customHeight="1">
      <c r="A200" s="1014">
        <f>_xlfn.AGGREGATE(4,7,A$12:A199)+1</f>
        <v>188</v>
      </c>
      <c r="B200" s="1015" t="s">
        <v>1897</v>
      </c>
      <c r="C200" s="1033" t="s">
        <v>1670</v>
      </c>
      <c r="D200" s="1034" t="s">
        <v>1286</v>
      </c>
      <c r="E200" s="81" t="str">
        <f>VLOOKUP(B200,TH.Q2!B122:E453,4,FALSE)</f>
        <v>Giảng viên khoa Cơ khí</v>
      </c>
      <c r="F200" s="1018">
        <v>4.9800000000000004</v>
      </c>
      <c r="G200" s="1019">
        <v>0.13</v>
      </c>
      <c r="H200" s="1248">
        <f t="shared" si="36"/>
        <v>0.64700000000000002</v>
      </c>
      <c r="I200" s="1020"/>
      <c r="J200" s="1020" t="str">
        <f>VLOOKUP(B200,[25]!Table2[[Column2]:[Column6]],4,FALSE)</f>
        <v>A4</v>
      </c>
      <c r="K200" s="1020">
        <f t="shared" si="38"/>
        <v>0.5</v>
      </c>
      <c r="L200" s="1021">
        <v>20</v>
      </c>
      <c r="M200" s="1021">
        <f>VLOOKUP(B200,'[26]CN BC'!$F$10:$H$267,3,FALSE)</f>
        <v>20</v>
      </c>
      <c r="N200" s="1021">
        <f t="shared" si="34"/>
        <v>20</v>
      </c>
      <c r="O200" s="1022"/>
      <c r="P200" s="1023">
        <f t="shared" si="35"/>
        <v>6583590.0000000009</v>
      </c>
      <c r="Q200" s="1035">
        <v>23</v>
      </c>
      <c r="R200" s="1024">
        <f t="shared" si="33"/>
        <v>188</v>
      </c>
      <c r="S200" s="1025">
        <f>VLOOKUP(B200,'[26]CN BC'!$F$10:$K$267,6,FALSE)</f>
        <v>0</v>
      </c>
      <c r="T200" s="1011" t="str">
        <f>VLOOKUP(B200,TH.T4!B217:AC547,28,FALSE)</f>
        <v>CK</v>
      </c>
      <c r="U200" s="1038"/>
      <c r="V200" s="1489"/>
    </row>
    <row r="201" spans="1:29" s="1028" customFormat="1" ht="25.5" customHeight="1">
      <c r="A201" s="1014">
        <f>_xlfn.AGGREGATE(4,7,A$12:A200)+1</f>
        <v>189</v>
      </c>
      <c r="B201" s="1015" t="s">
        <v>1840</v>
      </c>
      <c r="C201" s="1033" t="s">
        <v>1971</v>
      </c>
      <c r="D201" s="1039">
        <v>1603205596180</v>
      </c>
      <c r="E201" s="81" t="str">
        <f>VLOOKUP(B201,TH.Q2!B123:E454,4,FALSE)</f>
        <v>Giảng viên khoa Cơ khí</v>
      </c>
      <c r="F201" s="1040">
        <v>3</v>
      </c>
      <c r="G201" s="1019"/>
      <c r="H201" s="1248">
        <f t="shared" si="36"/>
        <v>0</v>
      </c>
      <c r="I201" s="1020"/>
      <c r="J201" s="1020" t="str">
        <f>VLOOKUP(B201,[25]!Table2[[Column2]:[Column6]],4,FALSE)</f>
        <v>A1</v>
      </c>
      <c r="K201" s="1020">
        <f t="shared" si="38"/>
        <v>0.8</v>
      </c>
      <c r="L201" s="1021">
        <v>20</v>
      </c>
      <c r="M201" s="1021">
        <f>VLOOKUP(B201,'[26]CN BC'!$F$10:$H$267,3,FALSE)</f>
        <v>20</v>
      </c>
      <c r="N201" s="1021">
        <f t="shared" si="34"/>
        <v>20</v>
      </c>
      <c r="O201" s="1022"/>
      <c r="P201" s="1023">
        <f t="shared" si="35"/>
        <v>5616000</v>
      </c>
      <c r="Q201" s="1022">
        <v>23</v>
      </c>
      <c r="R201" s="1024">
        <f t="shared" si="33"/>
        <v>189</v>
      </c>
      <c r="S201" s="1025">
        <f>VLOOKUP(B201,'[26]CN BC'!$F$10:$K$267,6,FALSE)</f>
        <v>0</v>
      </c>
      <c r="T201" s="1011" t="str">
        <f>VLOOKUP(B201,TH.T4!B218:AC548,28,FALSE)</f>
        <v>CK</v>
      </c>
      <c r="U201" s="1027"/>
      <c r="V201" s="1489"/>
      <c r="W201" s="1012"/>
      <c r="X201" s="1012"/>
      <c r="Y201" s="1012"/>
    </row>
    <row r="202" spans="1:29" s="1028" customFormat="1" ht="24.75" customHeight="1">
      <c r="A202" s="1014">
        <f>_xlfn.AGGREGATE(4,7,A$12:A201)+1</f>
        <v>190</v>
      </c>
      <c r="B202" s="1015" t="s">
        <v>1943</v>
      </c>
      <c r="C202" s="1033" t="s">
        <v>1972</v>
      </c>
      <c r="D202" s="1034"/>
      <c r="E202" s="81" t="str">
        <f>VLOOKUP(B202,TH.Q2!B124:E455,4,FALSE)</f>
        <v>Giảng viên khoa Cơ khí</v>
      </c>
      <c r="F202" s="1040">
        <v>3.33</v>
      </c>
      <c r="G202" s="1019"/>
      <c r="H202" s="1248">
        <f t="shared" si="36"/>
        <v>0</v>
      </c>
      <c r="I202" s="1020"/>
      <c r="J202" s="1020" t="str">
        <f>VLOOKUP(B202,[25]!Table2[[Column2]:[Column6]],4,FALSE)</f>
        <v>A1</v>
      </c>
      <c r="K202" s="1020">
        <f t="shared" si="38"/>
        <v>0.8</v>
      </c>
      <c r="L202" s="1021">
        <v>20</v>
      </c>
      <c r="M202" s="1021">
        <f>VLOOKUP(B202,'[26]CN BC'!$F$10:$H$267,3,FALSE)</f>
        <v>20</v>
      </c>
      <c r="N202" s="1021">
        <f t="shared" si="34"/>
        <v>20</v>
      </c>
      <c r="O202" s="1022"/>
      <c r="P202" s="1023">
        <f t="shared" si="35"/>
        <v>6233760</v>
      </c>
      <c r="Q202" s="1035">
        <v>23</v>
      </c>
      <c r="R202" s="1024">
        <f t="shared" si="33"/>
        <v>190</v>
      </c>
      <c r="S202" s="1025">
        <f>VLOOKUP(B202,'[26]CN BC'!$F$10:$K$267,6,FALSE)</f>
        <v>0</v>
      </c>
      <c r="T202" s="1011" t="str">
        <f>VLOOKUP(B202,TH.T4!B219:AC549,28,FALSE)</f>
        <v>CK</v>
      </c>
      <c r="U202" s="1038"/>
      <c r="V202" s="1489"/>
    </row>
    <row r="203" spans="1:29" s="1028" customFormat="1" ht="26.25" customHeight="1">
      <c r="A203" s="1014">
        <f>_xlfn.AGGREGATE(4,7,A$12:A202)+1</f>
        <v>191</v>
      </c>
      <c r="B203" s="1015" t="s">
        <v>1994</v>
      </c>
      <c r="C203" s="1033"/>
      <c r="D203" s="1034"/>
      <c r="E203" s="81" t="str">
        <f>VLOOKUP(B203,TH.Q2!B125:E456,4,FALSE)</f>
        <v>Giảng viên khoa Cơ khí</v>
      </c>
      <c r="F203" s="1018">
        <v>4.6500000000000004</v>
      </c>
      <c r="G203" s="1019"/>
      <c r="H203" s="1248">
        <f t="shared" si="36"/>
        <v>0</v>
      </c>
      <c r="I203" s="1020"/>
      <c r="J203" s="1020" t="str">
        <f>VLOOKUP(B203,[25]!Table2[[Column2]:[Column6]],4,FALSE)</f>
        <v>A4</v>
      </c>
      <c r="K203" s="1020">
        <f t="shared" si="38"/>
        <v>0.5</v>
      </c>
      <c r="L203" s="1021">
        <v>20</v>
      </c>
      <c r="M203" s="1021">
        <f>VLOOKUP(B203,'[26]CN BC'!$F$10:$H$267,3,FALSE)</f>
        <v>20</v>
      </c>
      <c r="N203" s="1021">
        <f t="shared" si="34"/>
        <v>20</v>
      </c>
      <c r="O203" s="1022"/>
      <c r="P203" s="1023">
        <f t="shared" si="35"/>
        <v>5440500</v>
      </c>
      <c r="Q203" s="1035">
        <v>23</v>
      </c>
      <c r="R203" s="1024">
        <f t="shared" si="33"/>
        <v>191</v>
      </c>
      <c r="S203" s="1025">
        <f>VLOOKUP(B203,'[26]CN BC'!$F$10:$K$267,6,FALSE)</f>
        <v>0</v>
      </c>
      <c r="T203" s="1011" t="str">
        <f>VLOOKUP(B203,TH.T4!B220:AC550,28,FALSE)</f>
        <v>CK</v>
      </c>
      <c r="U203" s="1027"/>
      <c r="V203" s="1489"/>
      <c r="W203" s="1012"/>
      <c r="X203" s="1012"/>
      <c r="Y203" s="1012"/>
    </row>
    <row r="204" spans="1:29" s="1028" customFormat="1" ht="25.5" customHeight="1">
      <c r="A204" s="1014">
        <f>_xlfn.AGGREGATE(4,7,A$12:A203)+1</f>
        <v>192</v>
      </c>
      <c r="B204" s="1015" t="s">
        <v>2000</v>
      </c>
      <c r="C204" s="1033"/>
      <c r="D204" s="1034"/>
      <c r="E204" s="81" t="str">
        <f>VLOOKUP(B204,TH.Q2!B126:E457,4,FALSE)</f>
        <v>Giảng viên khoa Cơ khí</v>
      </c>
      <c r="F204" s="1040">
        <v>3</v>
      </c>
      <c r="G204" s="1019"/>
      <c r="H204" s="1248">
        <f t="shared" si="36"/>
        <v>0</v>
      </c>
      <c r="I204" s="1020"/>
      <c r="J204" s="1020" t="str">
        <f>VLOOKUP(B204,[25]!Table2[[Column2]:[Column6]],4,FALSE)</f>
        <v>A3</v>
      </c>
      <c r="K204" s="1020">
        <f t="shared" si="38"/>
        <v>0.6</v>
      </c>
      <c r="L204" s="1021">
        <v>20</v>
      </c>
      <c r="M204" s="1021">
        <f>VLOOKUP(B204,'[26]CN BC'!$F$10:$H$267,3,FALSE)</f>
        <v>20</v>
      </c>
      <c r="N204" s="1021">
        <f t="shared" si="34"/>
        <v>20</v>
      </c>
      <c r="O204" s="1022"/>
      <c r="P204" s="1023">
        <f t="shared" si="35"/>
        <v>4212000</v>
      </c>
      <c r="Q204" s="1035">
        <v>23</v>
      </c>
      <c r="R204" s="1024">
        <f t="shared" si="33"/>
        <v>192</v>
      </c>
      <c r="S204" s="1025">
        <f>VLOOKUP(B204,'[26]CN BC'!$F$10:$K$267,6,FALSE)</f>
        <v>0</v>
      </c>
      <c r="T204" s="1011" t="str">
        <f>VLOOKUP(B204,TH.T4!B221:AC551,28,FALSE)</f>
        <v>CK</v>
      </c>
      <c r="U204" s="1038"/>
      <c r="V204" s="1489"/>
    </row>
    <row r="205" spans="1:29" s="1028" customFormat="1" ht="27" customHeight="1">
      <c r="A205" s="1014">
        <f>_xlfn.AGGREGATE(4,7,A$12:A204)+1</f>
        <v>193</v>
      </c>
      <c r="B205" s="1015" t="s">
        <v>1855</v>
      </c>
      <c r="C205" s="1033" t="s">
        <v>1651</v>
      </c>
      <c r="D205" s="1034" t="s">
        <v>1292</v>
      </c>
      <c r="E205" s="81" t="str">
        <f>VLOOKUP(B205,TH.Q2!B127:E458,4,FALSE)</f>
        <v>Giảng viên khoa Cơ khí</v>
      </c>
      <c r="F205" s="1018">
        <v>4.9800000000000004</v>
      </c>
      <c r="G205" s="1019">
        <v>0.08</v>
      </c>
      <c r="H205" s="1248">
        <f t="shared" si="36"/>
        <v>0.39800000000000002</v>
      </c>
      <c r="I205" s="1020"/>
      <c r="J205" s="1020" t="str">
        <f>VLOOKUP(B205,[25]!Table2[[Column2]:[Column6]],4,FALSE)</f>
        <v>A3</v>
      </c>
      <c r="K205" s="1020">
        <f t="shared" si="38"/>
        <v>0.6</v>
      </c>
      <c r="L205" s="1021">
        <v>20</v>
      </c>
      <c r="M205" s="1021">
        <f>VLOOKUP(B205,'[26]CN BC'!$F$10:$H$267,3,FALSE)</f>
        <v>20</v>
      </c>
      <c r="N205" s="1021">
        <f t="shared" si="34"/>
        <v>20</v>
      </c>
      <c r="O205" s="1022"/>
      <c r="P205" s="1023">
        <f t="shared" si="35"/>
        <v>7550712</v>
      </c>
      <c r="Q205" s="1035">
        <v>27</v>
      </c>
      <c r="R205" s="1024">
        <f t="shared" si="33"/>
        <v>193</v>
      </c>
      <c r="S205" s="1025">
        <f>VLOOKUP(B205,'[26]CN BC'!$F$10:$K$267,6,FALSE)</f>
        <v>0</v>
      </c>
      <c r="T205" s="1011" t="str">
        <f>VLOOKUP(B205,TH.T4!B222:AC552,28,FALSE)</f>
        <v>CK</v>
      </c>
      <c r="U205" s="1038"/>
      <c r="V205" s="1489"/>
    </row>
    <row r="206" spans="1:29" s="1012" customFormat="1" ht="29.25" customHeight="1">
      <c r="A206" s="1014">
        <f>_xlfn.AGGREGATE(4,7,A$12:A205)+1</f>
        <v>194</v>
      </c>
      <c r="B206" s="1050" t="s">
        <v>1898</v>
      </c>
      <c r="C206" s="1029" t="s">
        <v>1781</v>
      </c>
      <c r="D206" s="1051" t="s">
        <v>1386</v>
      </c>
      <c r="E206" s="81" t="str">
        <f>VLOOKUP(B206,TH.Q2!B128:E459,4,FALSE)</f>
        <v>Trưởng khoa Điện - Điện tử</v>
      </c>
      <c r="F206" s="1052">
        <v>4.9800000000000004</v>
      </c>
      <c r="G206" s="1053"/>
      <c r="H206" s="1248">
        <f t="shared" si="36"/>
        <v>0</v>
      </c>
      <c r="I206" s="1020">
        <v>0.45</v>
      </c>
      <c r="J206" s="1020" t="str">
        <f>VLOOKUP(B206,[25]!Table2[[Column2]:[Column6]],4,FALSE)</f>
        <v>A2</v>
      </c>
      <c r="K206" s="1020">
        <f t="shared" si="38"/>
        <v>0.7</v>
      </c>
      <c r="L206" s="1021">
        <v>20</v>
      </c>
      <c r="M206" s="1021">
        <f>VLOOKUP(B206,'[26]CN BC'!$F$10:$H$267,3,FALSE)</f>
        <v>20</v>
      </c>
      <c r="N206" s="1021">
        <f t="shared" si="34"/>
        <v>20</v>
      </c>
      <c r="O206" s="1022"/>
      <c r="P206" s="1023">
        <f t="shared" si="35"/>
        <v>8894340</v>
      </c>
      <c r="Q206" s="1022">
        <v>24</v>
      </c>
      <c r="R206" s="1024">
        <f t="shared" ref="R206:R238" si="39">A206</f>
        <v>194</v>
      </c>
      <c r="S206" s="1025">
        <f>VLOOKUP(B206,'[26]CN BC'!$F$10:$K$267,6,FALSE)</f>
        <v>0</v>
      </c>
      <c r="T206" s="1011" t="str">
        <f>VLOOKUP(B206,TH.T4!B223:AC553,28,FALSE)</f>
        <v>Đ-ĐT</v>
      </c>
      <c r="U206" s="1027"/>
      <c r="V206" s="1489"/>
    </row>
    <row r="207" spans="1:29" s="1028" customFormat="1" ht="29.25" customHeight="1">
      <c r="A207" s="1014">
        <f>_xlfn.AGGREGATE(4,7,A$12:A206)+1</f>
        <v>195</v>
      </c>
      <c r="B207" s="1015" t="s">
        <v>526</v>
      </c>
      <c r="C207" s="1029" t="s">
        <v>1646</v>
      </c>
      <c r="D207" s="1034" t="s">
        <v>1398</v>
      </c>
      <c r="E207" s="81" t="str">
        <f>VLOOKUP(B207,TH.Q2!B129:E460,4,FALSE)</f>
        <v>Phó Trưởng khoa Điện - Điện tử</v>
      </c>
      <c r="F207" s="1018">
        <v>4.9800000000000004</v>
      </c>
      <c r="G207" s="1019">
        <v>0.17</v>
      </c>
      <c r="H207" s="1248">
        <f t="shared" si="36"/>
        <v>0.84699999999999998</v>
      </c>
      <c r="I207" s="1020">
        <f>0.35</f>
        <v>0.35</v>
      </c>
      <c r="J207" s="1020" t="str">
        <f>VLOOKUP(B207,[25]!Table2[[Column2]:[Column6]],4,FALSE)</f>
        <v>A3</v>
      </c>
      <c r="K207" s="1020">
        <f t="shared" si="38"/>
        <v>0.6</v>
      </c>
      <c r="L207" s="1021">
        <v>20</v>
      </c>
      <c r="M207" s="1021">
        <f>VLOOKUP(B207,'[26]CN BC'!$F$10:$H$267,3,FALSE)</f>
        <v>20</v>
      </c>
      <c r="N207" s="1021">
        <f t="shared" si="34"/>
        <v>20</v>
      </c>
      <c r="O207" s="1022"/>
      <c r="P207" s="1023">
        <f t="shared" si="35"/>
        <v>8672508</v>
      </c>
      <c r="Q207" s="1022">
        <v>24</v>
      </c>
      <c r="R207" s="1024">
        <f t="shared" si="39"/>
        <v>195</v>
      </c>
      <c r="S207" s="1025">
        <f>VLOOKUP(B207,'[26]CN BC'!$F$10:$K$267,6,FALSE)</f>
        <v>0</v>
      </c>
      <c r="T207" s="1011" t="str">
        <f>VLOOKUP(B207,TH.T4!B224:AC554,28,FALSE)</f>
        <v>Đ-ĐT</v>
      </c>
      <c r="U207" s="1027"/>
      <c r="V207" s="1489"/>
      <c r="W207" s="1012"/>
      <c r="X207" s="1012"/>
      <c r="Y207" s="1012"/>
      <c r="Z207" s="1012"/>
      <c r="AA207" s="1012"/>
      <c r="AB207" s="1012"/>
      <c r="AC207" s="1012"/>
    </row>
    <row r="208" spans="1:29" s="1028" customFormat="1" ht="29.25" customHeight="1">
      <c r="A208" s="1014">
        <f>_xlfn.AGGREGATE(4,7,A$12:A207)+1</f>
        <v>196</v>
      </c>
      <c r="B208" s="1015" t="s">
        <v>1899</v>
      </c>
      <c r="C208" s="1033" t="s">
        <v>1778</v>
      </c>
      <c r="D208" s="1034" t="s">
        <v>1381</v>
      </c>
      <c r="E208" s="368" t="str">
        <f>VLOOKUP(B208,TH.Q2!B130:E461,4,FALSE)</f>
        <v>Giảng viên khoa Điện - Điện tử</v>
      </c>
      <c r="F208" s="1018">
        <v>4.9800000000000004</v>
      </c>
      <c r="G208" s="1019">
        <v>0.08</v>
      </c>
      <c r="H208" s="1255">
        <f t="shared" si="36"/>
        <v>0.39800000000000002</v>
      </c>
      <c r="I208" s="1020"/>
      <c r="J208" s="1020" t="str">
        <f>VLOOKUP(B208,[25]!Table2[[Column2]:[Column6]],4,FALSE)</f>
        <v>A3</v>
      </c>
      <c r="K208" s="1020">
        <f t="shared" si="38"/>
        <v>0.6</v>
      </c>
      <c r="L208" s="1021">
        <v>20</v>
      </c>
      <c r="M208" s="1021">
        <f>VLOOKUP(B208,'[26]CN BC'!$F$10:$H$267,3,FALSE)</f>
        <v>20</v>
      </c>
      <c r="N208" s="1021">
        <f t="shared" si="34"/>
        <v>20</v>
      </c>
      <c r="O208" s="1035"/>
      <c r="P208" s="1023">
        <f t="shared" si="35"/>
        <v>7550712</v>
      </c>
      <c r="Q208" s="1035">
        <v>24</v>
      </c>
      <c r="R208" s="1024">
        <f t="shared" si="39"/>
        <v>196</v>
      </c>
      <c r="S208" s="1025">
        <f>VLOOKUP(B208,'[26]CN BC'!$F$10:$K$267,6,FALSE)</f>
        <v>0</v>
      </c>
      <c r="T208" s="1067" t="str">
        <f>VLOOKUP(B208,TH.T4!B225:AC555,28,FALSE)</f>
        <v>Đ-ĐT</v>
      </c>
      <c r="U208" s="1038"/>
      <c r="V208" s="1489"/>
    </row>
    <row r="209" spans="1:29" s="1028" customFormat="1" ht="29.25" customHeight="1">
      <c r="A209" s="1014">
        <f>_xlfn.AGGREGATE(4,7,A$12:A208)+1</f>
        <v>197</v>
      </c>
      <c r="B209" s="1015" t="s">
        <v>461</v>
      </c>
      <c r="C209" s="1033" t="s">
        <v>1779</v>
      </c>
      <c r="D209" s="1034" t="s">
        <v>1384</v>
      </c>
      <c r="E209" s="368" t="str">
        <f>VLOOKUP(B209,TH.Q2!B131:E462,4,FALSE)</f>
        <v>Giảng viên khoa Điện - Điện tử</v>
      </c>
      <c r="F209" s="1018">
        <v>4.9800000000000004</v>
      </c>
      <c r="G209" s="1019">
        <v>7.0000000000000007E-2</v>
      </c>
      <c r="H209" s="1255">
        <f t="shared" si="36"/>
        <v>0.34899999999999998</v>
      </c>
      <c r="I209" s="1020"/>
      <c r="J209" s="1020" t="str">
        <f>VLOOKUP(B209,[25]!Table2[[Column2]:[Column6]],4,FALSE)</f>
        <v>A4</v>
      </c>
      <c r="K209" s="1020">
        <f t="shared" si="38"/>
        <v>0.5</v>
      </c>
      <c r="L209" s="1021">
        <v>20</v>
      </c>
      <c r="M209" s="1021">
        <f>VLOOKUP(B209,'[26]CN BC'!$F$10:$H$267,3,FALSE)</f>
        <v>20</v>
      </c>
      <c r="N209" s="1021">
        <f t="shared" si="34"/>
        <v>20</v>
      </c>
      <c r="O209" s="1035"/>
      <c r="P209" s="1023">
        <f t="shared" si="35"/>
        <v>6234930.0000000009</v>
      </c>
      <c r="Q209" s="1035">
        <v>24</v>
      </c>
      <c r="R209" s="1024">
        <f t="shared" si="39"/>
        <v>197</v>
      </c>
      <c r="S209" s="1025">
        <f>VLOOKUP(B209,'[26]CN BC'!$F$10:$K$267,6,FALSE)</f>
        <v>0</v>
      </c>
      <c r="T209" s="1067" t="str">
        <f>VLOOKUP(B209,TH.T4!B226:AC556,28,FALSE)</f>
        <v>Đ-ĐT</v>
      </c>
      <c r="U209" s="1038"/>
      <c r="V209" s="1489"/>
    </row>
    <row r="210" spans="1:29" s="1028" customFormat="1" ht="29.25" customHeight="1">
      <c r="A210" s="1014">
        <f>_xlfn.AGGREGATE(4,7,A$12:A209)+1</f>
        <v>198</v>
      </c>
      <c r="B210" s="1015" t="s">
        <v>1900</v>
      </c>
      <c r="C210" s="1033" t="s">
        <v>1780</v>
      </c>
      <c r="D210" s="1034" t="s">
        <v>1385</v>
      </c>
      <c r="E210" s="368" t="str">
        <f>VLOOKUP(B210,TH.Q2!B132:E463,4,FALSE)</f>
        <v>Giảng viên khoa Điện - Điện tử</v>
      </c>
      <c r="F210" s="1018">
        <v>4.9800000000000004</v>
      </c>
      <c r="G210" s="1019"/>
      <c r="H210" s="1255">
        <f t="shared" si="36"/>
        <v>0</v>
      </c>
      <c r="I210" s="1020"/>
      <c r="J210" s="1020" t="str">
        <f>VLOOKUP(B210,[25]!Table2[[Column2]:[Column6]],4,FALSE)</f>
        <v>A4</v>
      </c>
      <c r="K210" s="1020">
        <f t="shared" si="38"/>
        <v>0.5</v>
      </c>
      <c r="L210" s="1021">
        <v>20</v>
      </c>
      <c r="M210" s="1021">
        <f>VLOOKUP(B210,'[26]CN BC'!$F$10:$H$267,3,FALSE)</f>
        <v>20</v>
      </c>
      <c r="N210" s="1021">
        <f t="shared" si="34"/>
        <v>20</v>
      </c>
      <c r="O210" s="1035"/>
      <c r="P210" s="1023">
        <f t="shared" si="35"/>
        <v>5826600.0000000009</v>
      </c>
      <c r="Q210" s="1035">
        <v>23</v>
      </c>
      <c r="R210" s="1024">
        <f t="shared" si="39"/>
        <v>198</v>
      </c>
      <c r="S210" s="1025">
        <f>VLOOKUP(B210,'[26]CN BC'!$F$10:$K$267,6,FALSE)</f>
        <v>0</v>
      </c>
      <c r="T210" s="1067" t="str">
        <f>VLOOKUP(B210,TH.T4!B227:AC557,28,FALSE)</f>
        <v>Đ-ĐT</v>
      </c>
      <c r="U210" s="1038"/>
      <c r="V210" s="1489"/>
    </row>
    <row r="211" spans="1:29" s="1028" customFormat="1" ht="29.25" customHeight="1">
      <c r="A211" s="1014">
        <f>_xlfn.AGGREGATE(4,7,A$12:A210)+1</f>
        <v>199</v>
      </c>
      <c r="B211" s="1015" t="s">
        <v>1901</v>
      </c>
      <c r="C211" s="1033" t="s">
        <v>1782</v>
      </c>
      <c r="D211" s="1034" t="s">
        <v>1387</v>
      </c>
      <c r="E211" s="368" t="str">
        <f>VLOOKUP(B211,TH.Q2!B133:E464,4,FALSE)</f>
        <v>Giảng viên khoa Điện - Điện tử</v>
      </c>
      <c r="F211" s="1018">
        <v>4.6500000000000004</v>
      </c>
      <c r="G211" s="1019"/>
      <c r="H211" s="1255">
        <f t="shared" si="36"/>
        <v>0</v>
      </c>
      <c r="I211" s="1020"/>
      <c r="J211" s="1020" t="str">
        <f>VLOOKUP(B211,[25]!Table2[[Column2]:[Column6]],4,FALSE)</f>
        <v>A4</v>
      </c>
      <c r="K211" s="1020">
        <f t="shared" si="38"/>
        <v>0.5</v>
      </c>
      <c r="L211" s="1021">
        <v>20</v>
      </c>
      <c r="M211" s="1021">
        <f>VLOOKUP(B211,'[26]CN BC'!$F$10:$H$267,3,FALSE)</f>
        <v>20</v>
      </c>
      <c r="N211" s="1021">
        <f t="shared" si="34"/>
        <v>20</v>
      </c>
      <c r="O211" s="1035"/>
      <c r="P211" s="1023">
        <f t="shared" si="35"/>
        <v>5440500</v>
      </c>
      <c r="Q211" s="1035">
        <v>23</v>
      </c>
      <c r="R211" s="1024">
        <f t="shared" si="39"/>
        <v>199</v>
      </c>
      <c r="S211" s="1025">
        <f>VLOOKUP(B211,'[26]CN BC'!$F$10:$K$267,6,FALSE)</f>
        <v>0</v>
      </c>
      <c r="T211" s="1067" t="str">
        <f>VLOOKUP(B211,TH.T4!B228:AC558,28,FALSE)</f>
        <v>Đ-ĐT</v>
      </c>
      <c r="U211" s="1038"/>
      <c r="V211" s="1489"/>
    </row>
    <row r="212" spans="1:29" s="1028" customFormat="1" ht="29.25" customHeight="1">
      <c r="A212" s="1014">
        <f>_xlfn.AGGREGATE(4,7,A$12:A211)+1</f>
        <v>200</v>
      </c>
      <c r="B212" s="1015" t="s">
        <v>1534</v>
      </c>
      <c r="C212" s="1033" t="s">
        <v>1783</v>
      </c>
      <c r="D212" s="1034" t="s">
        <v>1388</v>
      </c>
      <c r="E212" s="368" t="str">
        <f>VLOOKUP(B212,TH.Q2!B134:E465,4,FALSE)</f>
        <v>Giảng viên khoa
Điện - Điện tử</v>
      </c>
      <c r="F212" s="1018">
        <v>4.6500000000000004</v>
      </c>
      <c r="G212" s="1019"/>
      <c r="H212" s="1255">
        <f t="shared" si="36"/>
        <v>0</v>
      </c>
      <c r="I212" s="1020"/>
      <c r="J212" s="1020" t="str">
        <f>VLOOKUP(B212,[25]!Table2[[Column2]:[Column6]],4,FALSE)</f>
        <v>A4</v>
      </c>
      <c r="K212" s="1020">
        <f t="shared" si="38"/>
        <v>0.5</v>
      </c>
      <c r="L212" s="1021">
        <v>20</v>
      </c>
      <c r="M212" s="1021">
        <f>VLOOKUP(B212,'[26]CN BC'!$F$10:$H$267,3,FALSE)</f>
        <v>20</v>
      </c>
      <c r="N212" s="1021">
        <f t="shared" si="34"/>
        <v>20</v>
      </c>
      <c r="O212" s="1035"/>
      <c r="P212" s="1023">
        <f t="shared" si="35"/>
        <v>5440500</v>
      </c>
      <c r="Q212" s="1035">
        <v>23</v>
      </c>
      <c r="R212" s="1024">
        <f t="shared" si="39"/>
        <v>200</v>
      </c>
      <c r="S212" s="1025">
        <f>VLOOKUP(B212,'[26]CN BC'!$F$10:$K$267,6,FALSE)</f>
        <v>0</v>
      </c>
      <c r="T212" s="1067" t="str">
        <f>VLOOKUP(B212,TH.T4!B229:AC559,28,FALSE)</f>
        <v>Đ-ĐT</v>
      </c>
      <c r="U212" s="1038"/>
      <c r="V212" s="1489"/>
    </row>
    <row r="213" spans="1:29" s="1028" customFormat="1" ht="29.25" customHeight="1">
      <c r="A213" s="1014">
        <f>_xlfn.AGGREGATE(4,7,A$12:A212)+1</f>
        <v>201</v>
      </c>
      <c r="B213" s="1015" t="s">
        <v>1535</v>
      </c>
      <c r="C213" s="1033" t="s">
        <v>1784</v>
      </c>
      <c r="D213" s="1030" t="s">
        <v>1595</v>
      </c>
      <c r="E213" s="368" t="str">
        <f>VLOOKUP(B213,TH.Q2!B135:E466,4,FALSE)</f>
        <v>Trưởng BM Cơ điện tử và Tự động hóa</v>
      </c>
      <c r="F213" s="1040">
        <v>3.66</v>
      </c>
      <c r="G213" s="1019"/>
      <c r="H213" s="1255">
        <f t="shared" si="36"/>
        <v>0</v>
      </c>
      <c r="I213" s="1020">
        <v>0.25</v>
      </c>
      <c r="J213" s="1020" t="str">
        <f>VLOOKUP(B213,[25]!Table2[[Column2]:[Column6]],4,FALSE)</f>
        <v>A1</v>
      </c>
      <c r="K213" s="1020">
        <f t="shared" si="38"/>
        <v>0.8</v>
      </c>
      <c r="L213" s="1021">
        <v>20</v>
      </c>
      <c r="M213" s="1021">
        <f>VLOOKUP(B213,'[26]CN BC'!$F$10:$H$267,3,FALSE)</f>
        <v>20</v>
      </c>
      <c r="N213" s="1021">
        <f t="shared" si="34"/>
        <v>20</v>
      </c>
      <c r="O213" s="1035"/>
      <c r="P213" s="1023">
        <f t="shared" si="35"/>
        <v>7319520</v>
      </c>
      <c r="Q213" s="1035">
        <v>24</v>
      </c>
      <c r="R213" s="1024">
        <f t="shared" si="39"/>
        <v>201</v>
      </c>
      <c r="S213" s="1025">
        <f>VLOOKUP(B213,'[26]CN BC'!$F$10:$K$267,6,FALSE)</f>
        <v>0</v>
      </c>
      <c r="T213" s="1067" t="str">
        <f>VLOOKUP(B213,TH.T4!B230:AC560,28,FALSE)</f>
        <v>Đ-ĐT</v>
      </c>
      <c r="U213" s="1038"/>
      <c r="V213" s="1489"/>
    </row>
    <row r="214" spans="1:29" s="1028" customFormat="1" ht="29.25" customHeight="1">
      <c r="A214" s="1014">
        <f>_xlfn.AGGREGATE(4,7,A$12:A213)+1</f>
        <v>202</v>
      </c>
      <c r="B214" s="1101" t="s">
        <v>1903</v>
      </c>
      <c r="C214" s="1033" t="s">
        <v>1786</v>
      </c>
      <c r="D214" s="1034" t="s">
        <v>1392</v>
      </c>
      <c r="E214" s="81" t="str">
        <f>VLOOKUP(B214,TH.Q2!B136:E467,4,FALSE)</f>
        <v>Giảng viên khoa Điện - Điện tử</v>
      </c>
      <c r="F214" s="1040">
        <v>4.6500000000000004</v>
      </c>
      <c r="G214" s="1019"/>
      <c r="H214" s="1248">
        <f t="shared" si="36"/>
        <v>0</v>
      </c>
      <c r="I214" s="1020"/>
      <c r="J214" s="1020" t="str">
        <f>VLOOKUP(B214,[25]!Table2[[Column2]:[Column6]],4,FALSE)</f>
        <v>A4</v>
      </c>
      <c r="K214" s="1020">
        <f t="shared" si="38"/>
        <v>0.5</v>
      </c>
      <c r="L214" s="1021">
        <v>20</v>
      </c>
      <c r="M214" s="1021">
        <f>VLOOKUP(B214,'[26]CN BC'!$F$10:$H$267,3,FALSE)</f>
        <v>20</v>
      </c>
      <c r="N214" s="1021">
        <f t="shared" si="34"/>
        <v>20</v>
      </c>
      <c r="O214" s="1022"/>
      <c r="P214" s="1023">
        <f t="shared" si="35"/>
        <v>5440500</v>
      </c>
      <c r="Q214" s="1022">
        <v>24</v>
      </c>
      <c r="R214" s="1024">
        <f t="shared" si="39"/>
        <v>202</v>
      </c>
      <c r="S214" s="1025">
        <f>VLOOKUP(B214,'[26]CN BC'!$F$10:$K$267,6,FALSE)</f>
        <v>0</v>
      </c>
      <c r="T214" s="1011" t="str">
        <f>VLOOKUP(B214,TH.T4!B231:AC561,28,FALSE)</f>
        <v>Đ-ĐT</v>
      </c>
      <c r="U214" s="1027"/>
      <c r="V214" s="1489"/>
      <c r="W214" s="1012"/>
      <c r="X214" s="1012"/>
      <c r="Y214" s="1012"/>
    </row>
    <row r="215" spans="1:29" s="1028" customFormat="1" ht="29.25" customHeight="1">
      <c r="A215" s="1014">
        <f>_xlfn.AGGREGATE(4,7,A$12:A214)+1</f>
        <v>203</v>
      </c>
      <c r="B215" s="1015" t="s">
        <v>1904</v>
      </c>
      <c r="C215" s="1029" t="s">
        <v>1787</v>
      </c>
      <c r="D215" s="1034" t="s">
        <v>1396</v>
      </c>
      <c r="E215" s="81" t="str">
        <f>VLOOKUP(B215,TH.Q2!B137:E468,4,FALSE)</f>
        <v>Giảng viên khoa Điện - Điện tử</v>
      </c>
      <c r="F215" s="1018">
        <v>4.9800000000000004</v>
      </c>
      <c r="G215" s="1019"/>
      <c r="H215" s="1248">
        <f t="shared" si="36"/>
        <v>0</v>
      </c>
      <c r="I215" s="1020"/>
      <c r="J215" s="1020" t="str">
        <f>VLOOKUP(B215,[25]!Table2[[Column2]:[Column6]],4,FALSE)</f>
        <v>A4</v>
      </c>
      <c r="K215" s="1020">
        <f t="shared" si="38"/>
        <v>0.5</v>
      </c>
      <c r="L215" s="1021">
        <v>20</v>
      </c>
      <c r="M215" s="1021">
        <f>VLOOKUP(B215,'[26]CN BC'!$F$10:$H$267,3,FALSE)</f>
        <v>20</v>
      </c>
      <c r="N215" s="1021">
        <f t="shared" si="34"/>
        <v>20</v>
      </c>
      <c r="O215" s="1022"/>
      <c r="P215" s="1023">
        <f t="shared" si="35"/>
        <v>5826600.0000000009</v>
      </c>
      <c r="Q215" s="1022">
        <v>23</v>
      </c>
      <c r="R215" s="1024">
        <f t="shared" si="39"/>
        <v>203</v>
      </c>
      <c r="S215" s="1025">
        <f>VLOOKUP(B215,'[26]CN BC'!$F$10:$K$267,6,FALSE)</f>
        <v>0</v>
      </c>
      <c r="T215" s="1011" t="str">
        <f>VLOOKUP(B215,TH.T4!B232:AC562,28,FALSE)</f>
        <v>Đ-ĐT</v>
      </c>
      <c r="U215" s="1027"/>
      <c r="V215" s="1489"/>
      <c r="W215" s="1012"/>
      <c r="X215" s="1012"/>
      <c r="Y215" s="1012"/>
      <c r="Z215" s="1012"/>
      <c r="AA215" s="1012"/>
      <c r="AB215" s="1012"/>
      <c r="AC215" s="1012"/>
    </row>
    <row r="216" spans="1:29" s="1028" customFormat="1" ht="29.25" customHeight="1">
      <c r="A216" s="1014">
        <f>_xlfn.AGGREGATE(4,7,A$12:A215)+1</f>
        <v>204</v>
      </c>
      <c r="B216" s="1015" t="s">
        <v>1536</v>
      </c>
      <c r="C216" s="1033" t="s">
        <v>1788</v>
      </c>
      <c r="D216" s="1034" t="s">
        <v>389</v>
      </c>
      <c r="E216" s="81" t="str">
        <f>VLOOKUP(B216,TH.Q2!B138:E469,4,FALSE)</f>
        <v>Giảng viên khoa
Điện - Điện tử</v>
      </c>
      <c r="F216" s="1040">
        <v>3.99</v>
      </c>
      <c r="G216" s="1019"/>
      <c r="H216" s="1248">
        <f t="shared" si="36"/>
        <v>0</v>
      </c>
      <c r="I216" s="1020"/>
      <c r="J216" s="1020" t="str">
        <f>VLOOKUP(B216,[25]!Table2[[Column2]:[Column6]],4,FALSE)</f>
        <v>A4</v>
      </c>
      <c r="K216" s="1020">
        <f t="shared" si="38"/>
        <v>0.5</v>
      </c>
      <c r="L216" s="1021">
        <v>20</v>
      </c>
      <c r="M216" s="1021">
        <f>VLOOKUP(B216,'[26]CN BC'!$F$10:$H$267,3,FALSE)</f>
        <v>20</v>
      </c>
      <c r="N216" s="1021">
        <f t="shared" si="34"/>
        <v>20</v>
      </c>
      <c r="O216" s="1022"/>
      <c r="P216" s="1023">
        <f t="shared" si="35"/>
        <v>4668300</v>
      </c>
      <c r="Q216" s="1022">
        <v>23</v>
      </c>
      <c r="R216" s="1024">
        <f t="shared" si="39"/>
        <v>204</v>
      </c>
      <c r="S216" s="1025">
        <f>VLOOKUP(B216,'[26]CN BC'!$F$10:$K$267,6,FALSE)</f>
        <v>0</v>
      </c>
      <c r="T216" s="1011" t="str">
        <f>VLOOKUP(B216,TH.T4!B233:AC563,28,FALSE)</f>
        <v>Đ-ĐT</v>
      </c>
      <c r="U216" s="1027"/>
      <c r="V216" s="1489"/>
      <c r="W216" s="1012"/>
      <c r="X216" s="1012"/>
      <c r="Y216" s="1012"/>
    </row>
    <row r="217" spans="1:29" s="1028" customFormat="1" ht="29.25" customHeight="1">
      <c r="A217" s="1014">
        <f>_xlfn.AGGREGATE(4,7,A$12:A216)+1</f>
        <v>205</v>
      </c>
      <c r="B217" s="1015" t="s">
        <v>1537</v>
      </c>
      <c r="C217" s="1033" t="s">
        <v>1789</v>
      </c>
      <c r="D217" s="1034" t="s">
        <v>1334</v>
      </c>
      <c r="E217" s="368" t="str">
        <f>VLOOKUP(B217,TH.Q2!B139:E470,4,FALSE)</f>
        <v>Giảng viên khoa
Điện - Điện tử</v>
      </c>
      <c r="F217" s="1040">
        <v>4.32</v>
      </c>
      <c r="G217" s="1019"/>
      <c r="H217" s="1255">
        <f t="shared" si="36"/>
        <v>0</v>
      </c>
      <c r="I217" s="1020"/>
      <c r="J217" s="1020" t="str">
        <f>VLOOKUP(B217,[25]!Table2[[Column2]:[Column6]],4,FALSE)</f>
        <v>A3</v>
      </c>
      <c r="K217" s="1020">
        <f t="shared" si="38"/>
        <v>0.6</v>
      </c>
      <c r="L217" s="1021">
        <v>20</v>
      </c>
      <c r="M217" s="1021">
        <f>VLOOKUP(B217,'[26]CN BC'!$F$10:$H$267,3,FALSE)</f>
        <v>20</v>
      </c>
      <c r="N217" s="1021">
        <f t="shared" si="34"/>
        <v>20</v>
      </c>
      <c r="O217" s="1035"/>
      <c r="P217" s="1023">
        <f t="shared" si="35"/>
        <v>6065280</v>
      </c>
      <c r="Q217" s="1035">
        <v>23</v>
      </c>
      <c r="R217" s="1024">
        <f t="shared" si="39"/>
        <v>205</v>
      </c>
      <c r="S217" s="1025">
        <f>VLOOKUP(B217,'[26]CN BC'!$F$10:$K$267,6,FALSE)</f>
        <v>0</v>
      </c>
      <c r="T217" s="1067" t="str">
        <f>VLOOKUP(B217,TH.T4!B234:AC564,28,FALSE)</f>
        <v>Đ-ĐT</v>
      </c>
      <c r="U217" s="1038"/>
      <c r="V217" s="1489"/>
    </row>
    <row r="218" spans="1:29" s="1028" customFormat="1" ht="29.25" customHeight="1">
      <c r="A218" s="1014">
        <f>_xlfn.AGGREGATE(4,7,A$12:A217)+1</f>
        <v>206</v>
      </c>
      <c r="B218" s="1015" t="s">
        <v>1905</v>
      </c>
      <c r="C218" s="1029" t="s">
        <v>1790</v>
      </c>
      <c r="D218" s="1047" t="s">
        <v>463</v>
      </c>
      <c r="E218" s="81" t="str">
        <f>VLOOKUP(B218,TH.Q2!B140:E471,4,FALSE)</f>
        <v>Giảng viên khoa Điện - Điện tử</v>
      </c>
      <c r="F218" s="1040">
        <v>3.66</v>
      </c>
      <c r="G218" s="1019"/>
      <c r="H218" s="1248">
        <f t="shared" si="36"/>
        <v>0</v>
      </c>
      <c r="I218" s="1020"/>
      <c r="J218" s="1020" t="str">
        <f>VLOOKUP(B218,[25]!Table2[[Column2]:[Column6]],4,FALSE)</f>
        <v>A2</v>
      </c>
      <c r="K218" s="1020">
        <f t="shared" si="38"/>
        <v>0.7</v>
      </c>
      <c r="L218" s="1021">
        <v>20</v>
      </c>
      <c r="M218" s="1021">
        <f>VLOOKUP(B218,'[26]CN BC'!$F$10:$H$267,3,FALSE)</f>
        <v>20</v>
      </c>
      <c r="N218" s="1021">
        <f t="shared" si="34"/>
        <v>20</v>
      </c>
      <c r="O218" s="1022"/>
      <c r="P218" s="1023">
        <f t="shared" si="35"/>
        <v>5995080</v>
      </c>
      <c r="Q218" s="1022">
        <v>24</v>
      </c>
      <c r="R218" s="1024">
        <f t="shared" si="39"/>
        <v>206</v>
      </c>
      <c r="S218" s="1025">
        <f>VLOOKUP(B218,'[26]CN BC'!$F$10:$K$267,6,FALSE)</f>
        <v>0</v>
      </c>
      <c r="T218" s="1011" t="str">
        <f>VLOOKUP(B218,TH.T4!B235:AC565,28,FALSE)</f>
        <v>Đ-ĐT</v>
      </c>
      <c r="U218" s="1027"/>
      <c r="V218" s="1489"/>
      <c r="W218" s="1012"/>
      <c r="X218" s="1012"/>
      <c r="Y218" s="1012"/>
      <c r="Z218" s="1012"/>
      <c r="AA218" s="1012"/>
      <c r="AB218" s="1012"/>
      <c r="AC218" s="1012"/>
    </row>
    <row r="219" spans="1:29" s="1028" customFormat="1" ht="34.5" customHeight="1">
      <c r="A219" s="1014">
        <f>_xlfn.AGGREGATE(4,7,A$12:A218)+1</f>
        <v>207</v>
      </c>
      <c r="B219" s="1015" t="s">
        <v>1538</v>
      </c>
      <c r="C219" s="1029" t="s">
        <v>1791</v>
      </c>
      <c r="D219" s="1047" t="s">
        <v>510</v>
      </c>
      <c r="E219" s="81" t="str">
        <f>VLOOKUP(B219,TH.Q2!B141:E472,4,FALSE)</f>
        <v>Giảng viên khoa
Điện - Điện tử</v>
      </c>
      <c r="F219" s="1040">
        <v>3.99</v>
      </c>
      <c r="G219" s="1019"/>
      <c r="H219" s="1248">
        <f t="shared" si="36"/>
        <v>0</v>
      </c>
      <c r="I219" s="1020"/>
      <c r="J219" s="1020" t="str">
        <f>VLOOKUP(B219,[25]!Table2[[Column2]:[Column6]],4,FALSE)</f>
        <v>A3</v>
      </c>
      <c r="K219" s="1020">
        <f t="shared" si="38"/>
        <v>0.6</v>
      </c>
      <c r="L219" s="1021">
        <v>20</v>
      </c>
      <c r="M219" s="1021">
        <f>VLOOKUP(B219,'[26]CN BC'!$F$10:$H$267,3,FALSE)</f>
        <v>20</v>
      </c>
      <c r="N219" s="1021">
        <f t="shared" si="34"/>
        <v>20</v>
      </c>
      <c r="O219" s="1022"/>
      <c r="P219" s="1023">
        <f t="shared" si="35"/>
        <v>5601960</v>
      </c>
      <c r="Q219" s="1022">
        <v>23</v>
      </c>
      <c r="R219" s="1024">
        <f t="shared" si="39"/>
        <v>207</v>
      </c>
      <c r="S219" s="1025">
        <f>VLOOKUP(B219,'[26]CN BC'!$F$10:$K$267,6,FALSE)</f>
        <v>0</v>
      </c>
      <c r="T219" s="1011" t="str">
        <f>VLOOKUP(B219,TH.T4!B236:AC566,28,FALSE)</f>
        <v>Đ-ĐT</v>
      </c>
      <c r="U219" s="1027"/>
      <c r="V219" s="1489"/>
      <c r="W219" s="1012"/>
      <c r="X219" s="1012"/>
      <c r="Y219" s="1012"/>
      <c r="Z219" s="1012"/>
      <c r="AA219" s="1012"/>
      <c r="AB219" s="1012"/>
      <c r="AC219" s="1012"/>
    </row>
    <row r="220" spans="1:29" s="1028" customFormat="1" ht="29.25" customHeight="1">
      <c r="A220" s="1014">
        <f>_xlfn.AGGREGATE(4,7,A$12:A219)+1</f>
        <v>208</v>
      </c>
      <c r="B220" s="1015" t="s">
        <v>1906</v>
      </c>
      <c r="C220" s="1033" t="s">
        <v>1792</v>
      </c>
      <c r="D220" s="1034" t="s">
        <v>1399</v>
      </c>
      <c r="E220" s="81" t="str">
        <f>VLOOKUP(B220,TH.Q2!B142:E473,4,FALSE)</f>
        <v>Giảng viên khoa Điện - Điện tử</v>
      </c>
      <c r="F220" s="1018">
        <v>4.9800000000000004</v>
      </c>
      <c r="G220" s="1019">
        <v>0.1</v>
      </c>
      <c r="H220" s="1248">
        <f t="shared" si="36"/>
        <v>0.498</v>
      </c>
      <c r="I220" s="1020">
        <v>0.35</v>
      </c>
      <c r="J220" s="1020" t="str">
        <f>VLOOKUP(B220,[25]!Table2[[Column2]:[Column6]],4,FALSE)</f>
        <v>A3</v>
      </c>
      <c r="K220" s="1020">
        <f t="shared" si="38"/>
        <v>0.6</v>
      </c>
      <c r="L220" s="1021">
        <v>20</v>
      </c>
      <c r="M220" s="1021">
        <f>VLOOKUP(B220,'[26]CN BC'!$F$10:$H$267,3,FALSE)</f>
        <v>20</v>
      </c>
      <c r="N220" s="1021">
        <f t="shared" si="34"/>
        <v>20</v>
      </c>
      <c r="O220" s="1022"/>
      <c r="P220" s="1023">
        <f t="shared" si="35"/>
        <v>8182512</v>
      </c>
      <c r="Q220" s="1035">
        <v>23</v>
      </c>
      <c r="R220" s="1024">
        <f t="shared" si="39"/>
        <v>208</v>
      </c>
      <c r="S220" s="1025">
        <f>VLOOKUP(B220,'[26]CN BC'!$F$10:$K$267,6,FALSE)</f>
        <v>0</v>
      </c>
      <c r="T220" s="1011" t="str">
        <f>VLOOKUP(B220,TH.T4!B237:AC567,28,FALSE)</f>
        <v>Đ-ĐT</v>
      </c>
      <c r="U220" s="1027"/>
      <c r="V220" s="1489"/>
      <c r="W220" s="1012"/>
      <c r="X220" s="1012"/>
      <c r="Y220" s="1012"/>
    </row>
    <row r="221" spans="1:29" s="1028" customFormat="1" ht="29.25" customHeight="1">
      <c r="A221" s="1092">
        <f>_xlfn.AGGREGATE(4,7,A$12:A220)+1</f>
        <v>209</v>
      </c>
      <c r="B221" s="1093" t="s">
        <v>1907</v>
      </c>
      <c r="C221" s="1094" t="s">
        <v>1793</v>
      </c>
      <c r="D221" s="1212" t="s">
        <v>1400</v>
      </c>
      <c r="E221" s="554" t="str">
        <f>VLOOKUP(B221,TH.Q2!B143:E474,4,FALSE)</f>
        <v>Giảng viên khoa Điện - Điện tử</v>
      </c>
      <c r="F221" s="1095">
        <v>4.9800000000000004</v>
      </c>
      <c r="G221" s="1096">
        <v>0.13</v>
      </c>
      <c r="H221" s="1250">
        <f t="shared" si="36"/>
        <v>0.64700000000000002</v>
      </c>
      <c r="I221" s="1097"/>
      <c r="J221" s="1097" t="str">
        <f>VLOOKUP(B221,[25]!Table2[[Column2]:[Column6]],4,FALSE)</f>
        <v>B1</v>
      </c>
      <c r="K221" s="1097">
        <f t="shared" si="38"/>
        <v>0.35</v>
      </c>
      <c r="L221" s="1213">
        <v>20</v>
      </c>
      <c r="M221" s="1213">
        <f>VLOOKUP(B221,'[26]CN BC'!$F$10:$H$267,3,FALSE)</f>
        <v>20</v>
      </c>
      <c r="N221" s="1213">
        <f t="shared" si="34"/>
        <v>20</v>
      </c>
      <c r="O221" s="1098"/>
      <c r="P221" s="1214">
        <f t="shared" si="35"/>
        <v>4608513</v>
      </c>
      <c r="Q221" s="1098">
        <v>23</v>
      </c>
      <c r="R221" s="1099">
        <f t="shared" si="39"/>
        <v>209</v>
      </c>
      <c r="S221" s="1215" t="s">
        <v>2495</v>
      </c>
      <c r="T221" s="1011" t="str">
        <f>VLOOKUP(B221,TH.T4!B238:AC568,28,FALSE)</f>
        <v>Đ-ĐT</v>
      </c>
      <c r="U221" s="1038"/>
      <c r="V221" s="1489"/>
    </row>
    <row r="222" spans="1:29" s="1028" customFormat="1" ht="29.25" customHeight="1">
      <c r="A222" s="1014">
        <f>_xlfn.AGGREGATE(4,7,A$12:A221)+1</f>
        <v>210</v>
      </c>
      <c r="B222" s="1015" t="s">
        <v>1908</v>
      </c>
      <c r="C222" s="1033" t="s">
        <v>1794</v>
      </c>
      <c r="D222" s="1034" t="s">
        <v>1401</v>
      </c>
      <c r="E222" s="81" t="str">
        <f>VLOOKUP(B222,TH.Q2!B144:E475,4,FALSE)</f>
        <v>Giảng viên khoa Điện - Điện tử</v>
      </c>
      <c r="F222" s="1018">
        <v>4.9800000000000004</v>
      </c>
      <c r="G222" s="1019">
        <v>0.1</v>
      </c>
      <c r="H222" s="1248">
        <f t="shared" si="36"/>
        <v>0.498</v>
      </c>
      <c r="I222" s="1020"/>
      <c r="J222" s="1020" t="str">
        <f>VLOOKUP(B222,[25]!Table2[[Column2]:[Column6]],4,FALSE)</f>
        <v>A3</v>
      </c>
      <c r="K222" s="1020">
        <f t="shared" si="38"/>
        <v>0.6</v>
      </c>
      <c r="L222" s="1021">
        <v>20</v>
      </c>
      <c r="M222" s="1021">
        <f>VLOOKUP(B222,'[26]CN BC'!$F$10:$H$267,3,FALSE)</f>
        <v>20</v>
      </c>
      <c r="N222" s="1021">
        <f t="shared" si="34"/>
        <v>20</v>
      </c>
      <c r="O222" s="1022"/>
      <c r="P222" s="1023">
        <f t="shared" si="35"/>
        <v>7691112.0000000009</v>
      </c>
      <c r="Q222" s="1035">
        <v>23</v>
      </c>
      <c r="R222" s="1024">
        <f t="shared" si="39"/>
        <v>210</v>
      </c>
      <c r="S222" s="1025">
        <f>VLOOKUP(B222,'[26]CN BC'!$F$10:$K$267,6,FALSE)</f>
        <v>0</v>
      </c>
      <c r="T222" s="1011" t="str">
        <f>VLOOKUP(B222,TH.T4!B239:AC569,28,FALSE)</f>
        <v>Đ-ĐT</v>
      </c>
      <c r="U222" s="1027"/>
      <c r="V222" s="1489"/>
      <c r="W222" s="1012"/>
      <c r="X222" s="1012"/>
      <c r="Y222" s="1012"/>
    </row>
    <row r="223" spans="1:29" s="1028" customFormat="1" ht="29.25" customHeight="1">
      <c r="A223" s="1014">
        <f>_xlfn.AGGREGATE(4,7,A$12:A222)+1</f>
        <v>211</v>
      </c>
      <c r="B223" s="1015" t="s">
        <v>1909</v>
      </c>
      <c r="C223" s="1033" t="s">
        <v>1795</v>
      </c>
      <c r="D223" s="1034" t="s">
        <v>1404</v>
      </c>
      <c r="E223" s="368" t="str">
        <f>VLOOKUP(B223,TH.Q2!B145:E476,4,FALSE)</f>
        <v>Giảng viên khoa Điện - Điện tử</v>
      </c>
      <c r="F223" s="1018">
        <v>4.6500000000000004</v>
      </c>
      <c r="G223" s="1431"/>
      <c r="H223" s="1255">
        <f t="shared" si="36"/>
        <v>0</v>
      </c>
      <c r="I223" s="1020"/>
      <c r="J223" s="1020" t="str">
        <f>VLOOKUP(B223,[25]!Table2[[Column2]:[Column6]],4,FALSE)</f>
        <v>A4</v>
      </c>
      <c r="K223" s="1020">
        <f t="shared" si="38"/>
        <v>0.5</v>
      </c>
      <c r="L223" s="1021">
        <v>20</v>
      </c>
      <c r="M223" s="1021">
        <f>VLOOKUP(B223,'[26]CN BC'!$F$10:$H$267,3,FALSE)</f>
        <v>20</v>
      </c>
      <c r="N223" s="1021">
        <f t="shared" si="34"/>
        <v>20</v>
      </c>
      <c r="O223" s="1035"/>
      <c r="P223" s="1023">
        <f t="shared" si="35"/>
        <v>5440500</v>
      </c>
      <c r="Q223" s="1035">
        <v>23</v>
      </c>
      <c r="R223" s="1024">
        <f t="shared" si="39"/>
        <v>211</v>
      </c>
      <c r="S223" s="1025">
        <f>VLOOKUP(B223,'[26]CN BC'!$F$10:$K$267,6,FALSE)</f>
        <v>0</v>
      </c>
      <c r="T223" s="1067" t="str">
        <f>VLOOKUP(B223,TH.T4!B240:AC570,28,FALSE)</f>
        <v>Đ-ĐT</v>
      </c>
      <c r="U223" s="1038"/>
      <c r="V223" s="1489"/>
    </row>
    <row r="224" spans="1:29" s="1028" customFormat="1" ht="29.25" customHeight="1">
      <c r="A224" s="1014">
        <f>_xlfn.AGGREGATE(4,7,A$12:A223)+1</f>
        <v>212</v>
      </c>
      <c r="B224" s="1015" t="s">
        <v>1539</v>
      </c>
      <c r="C224" s="1033" t="s">
        <v>1796</v>
      </c>
      <c r="D224" s="1034" t="s">
        <v>1405</v>
      </c>
      <c r="E224" s="368" t="str">
        <f>VLOOKUP(B224,TH.Q2!B146:E477,4,FALSE)</f>
        <v>Giảng viên khoa
Điện - Điện tử</v>
      </c>
      <c r="F224" s="1018">
        <v>4.6500000000000004</v>
      </c>
      <c r="G224" s="1019"/>
      <c r="H224" s="1255">
        <f t="shared" si="36"/>
        <v>0</v>
      </c>
      <c r="I224" s="1020"/>
      <c r="J224" s="1020" t="str">
        <f>VLOOKUP(B224,[25]!Table2[[Column2]:[Column6]],4,FALSE)</f>
        <v>A3</v>
      </c>
      <c r="K224" s="1020">
        <f t="shared" si="38"/>
        <v>0.6</v>
      </c>
      <c r="L224" s="1021">
        <v>20</v>
      </c>
      <c r="M224" s="1021">
        <f>VLOOKUP(B224,'[26]CN BC'!$F$10:$H$267,3,FALSE)</f>
        <v>20</v>
      </c>
      <c r="N224" s="1021">
        <f t="shared" si="34"/>
        <v>20</v>
      </c>
      <c r="O224" s="1035"/>
      <c r="P224" s="1023">
        <f t="shared" si="35"/>
        <v>6528600</v>
      </c>
      <c r="Q224" s="1035">
        <v>23</v>
      </c>
      <c r="R224" s="1024">
        <f t="shared" si="39"/>
        <v>212</v>
      </c>
      <c r="S224" s="1025">
        <f>VLOOKUP(B224,'[26]CN BC'!$F$10:$K$267,6,FALSE)</f>
        <v>0</v>
      </c>
      <c r="T224" s="1067" t="str">
        <f>VLOOKUP(B224,TH.T4!B241:AC571,28,FALSE)</f>
        <v>Đ-ĐT</v>
      </c>
      <c r="U224" s="1038"/>
      <c r="V224" s="1489"/>
    </row>
    <row r="225" spans="1:29" s="1028" customFormat="1" ht="29.25" customHeight="1">
      <c r="A225" s="1014">
        <f>_xlfn.AGGREGATE(4,7,A$12:A224)+1</f>
        <v>213</v>
      </c>
      <c r="B225" s="1015" t="s">
        <v>1910</v>
      </c>
      <c r="C225" s="1029" t="s">
        <v>1797</v>
      </c>
      <c r="D225" s="1034" t="s">
        <v>1406</v>
      </c>
      <c r="E225" s="81" t="str">
        <f>VLOOKUP(B225,TH.Q2!B147:E478,4,FALSE)</f>
        <v>Giảng viên khoa Điện - Điện tử</v>
      </c>
      <c r="F225" s="1018">
        <v>4.6500000000000004</v>
      </c>
      <c r="G225" s="1019"/>
      <c r="H225" s="1248">
        <f t="shared" si="36"/>
        <v>0</v>
      </c>
      <c r="I225" s="1020"/>
      <c r="J225" s="1020" t="str">
        <f>VLOOKUP(B225,[25]!Table2[[Column2]:[Column6]],4,FALSE)</f>
        <v>A3</v>
      </c>
      <c r="K225" s="1020">
        <f t="shared" si="38"/>
        <v>0.6</v>
      </c>
      <c r="L225" s="1021">
        <v>20</v>
      </c>
      <c r="M225" s="1021">
        <f>VLOOKUP(B225,'[26]CN BC'!$F$10:$H$267,3,FALSE)</f>
        <v>20</v>
      </c>
      <c r="N225" s="1021">
        <f t="shared" si="34"/>
        <v>20</v>
      </c>
      <c r="O225" s="1022"/>
      <c r="P225" s="1023">
        <f t="shared" si="35"/>
        <v>6528600</v>
      </c>
      <c r="Q225" s="1022">
        <v>23</v>
      </c>
      <c r="R225" s="1024">
        <f t="shared" si="39"/>
        <v>213</v>
      </c>
      <c r="S225" s="1025">
        <f>VLOOKUP(B225,'[26]CN BC'!$F$10:$K$267,6,FALSE)</f>
        <v>0</v>
      </c>
      <c r="T225" s="1011" t="str">
        <f>VLOOKUP(B225,TH.T4!B242:AC572,28,FALSE)</f>
        <v>Đ-ĐT</v>
      </c>
      <c r="U225" s="1027"/>
      <c r="V225" s="1489"/>
      <c r="W225" s="1012"/>
      <c r="X225" s="1012"/>
      <c r="Y225" s="1012"/>
      <c r="Z225" s="1012"/>
      <c r="AA225" s="1012"/>
      <c r="AB225" s="1012"/>
      <c r="AC225" s="1012"/>
    </row>
    <row r="226" spans="1:29" s="1028" customFormat="1" ht="29.25" customHeight="1">
      <c r="A226" s="1014">
        <f>_xlfn.AGGREGATE(4,7,A$12:A225)+1</f>
        <v>214</v>
      </c>
      <c r="B226" s="1015" t="s">
        <v>1911</v>
      </c>
      <c r="C226" s="1033" t="s">
        <v>1798</v>
      </c>
      <c r="D226" s="1034" t="s">
        <v>1407</v>
      </c>
      <c r="E226" s="81" t="str">
        <f>VLOOKUP(B226,TH.Q2!B148:E479,4,FALSE)</f>
        <v>Giảng viên khoa Điện - Điện tử</v>
      </c>
      <c r="F226" s="1018">
        <v>4.6500000000000004</v>
      </c>
      <c r="G226" s="1019"/>
      <c r="H226" s="1248">
        <f t="shared" si="36"/>
        <v>0</v>
      </c>
      <c r="I226" s="1020"/>
      <c r="J226" s="1020" t="str">
        <f>VLOOKUP(B226,[25]!Table2[[Column2]:[Column6]],4,FALSE)</f>
        <v>A3</v>
      </c>
      <c r="K226" s="1020">
        <f t="shared" si="38"/>
        <v>0.6</v>
      </c>
      <c r="L226" s="1021">
        <v>20</v>
      </c>
      <c r="M226" s="1021">
        <f>VLOOKUP(B226,'[26]CN BC'!$F$10:$H$267,3,FALSE)</f>
        <v>20</v>
      </c>
      <c r="N226" s="1021">
        <f t="shared" si="34"/>
        <v>20</v>
      </c>
      <c r="O226" s="1022"/>
      <c r="P226" s="1023">
        <f t="shared" si="35"/>
        <v>6528600</v>
      </c>
      <c r="Q226" s="1022">
        <v>23</v>
      </c>
      <c r="R226" s="1024">
        <f t="shared" si="39"/>
        <v>214</v>
      </c>
      <c r="S226" s="1025">
        <f>VLOOKUP(B226,'[26]CN BC'!$F$10:$K$267,6,FALSE)</f>
        <v>0</v>
      </c>
      <c r="T226" s="1011" t="str">
        <f>VLOOKUP(B226,TH.T4!B243:AC573,28,FALSE)</f>
        <v>Đ-ĐT</v>
      </c>
      <c r="U226" s="1027"/>
      <c r="V226" s="1489"/>
      <c r="W226" s="1012"/>
      <c r="X226" s="1012"/>
      <c r="Y226" s="1012"/>
    </row>
    <row r="227" spans="1:29" s="1012" customFormat="1" ht="29.25" customHeight="1">
      <c r="A227" s="1014">
        <f>_xlfn.AGGREGATE(4,7,A$12:A226)+1</f>
        <v>215</v>
      </c>
      <c r="B227" s="1050" t="s">
        <v>1912</v>
      </c>
      <c r="C227" s="1029" t="s">
        <v>1799</v>
      </c>
      <c r="D227" s="1051" t="s">
        <v>1409</v>
      </c>
      <c r="E227" s="81" t="str">
        <f>VLOOKUP(B227,TH.Q2!B149:E480,4,FALSE)</f>
        <v>Giảng viên khoa Điện - Điện tử</v>
      </c>
      <c r="F227" s="1052">
        <v>4.6500000000000004</v>
      </c>
      <c r="G227" s="1053"/>
      <c r="H227" s="1248">
        <f t="shared" si="36"/>
        <v>0</v>
      </c>
      <c r="I227" s="1054"/>
      <c r="J227" s="1020" t="str">
        <f>VLOOKUP(B227,[25]!Table2[[Column2]:[Column6]],4,FALSE)</f>
        <v>A3</v>
      </c>
      <c r="K227" s="1020">
        <f t="shared" si="38"/>
        <v>0.6</v>
      </c>
      <c r="L227" s="1021">
        <v>20</v>
      </c>
      <c r="M227" s="1021">
        <f>VLOOKUP(B227,'[26]CN BC'!$F$10:$H$267,3,FALSE)</f>
        <v>20</v>
      </c>
      <c r="N227" s="1021">
        <f t="shared" si="34"/>
        <v>20</v>
      </c>
      <c r="O227" s="1022"/>
      <c r="P227" s="1023">
        <f t="shared" si="35"/>
        <v>6528600</v>
      </c>
      <c r="Q227" s="1022">
        <v>24</v>
      </c>
      <c r="R227" s="1024">
        <f t="shared" si="39"/>
        <v>215</v>
      </c>
      <c r="S227" s="1025">
        <f>VLOOKUP(B227,'[26]CN BC'!$F$10:$K$267,6,FALSE)</f>
        <v>0</v>
      </c>
      <c r="T227" s="1011" t="str">
        <f>VLOOKUP(B227,TH.T4!B244:AC574,28,FALSE)</f>
        <v>Đ-ĐT</v>
      </c>
      <c r="U227" s="1027"/>
      <c r="V227" s="1489"/>
    </row>
    <row r="228" spans="1:29" s="1012" customFormat="1" ht="29.25" customHeight="1">
      <c r="A228" s="1014">
        <f>_xlfn.AGGREGATE(4,7,A$12:A227)+1</f>
        <v>216</v>
      </c>
      <c r="B228" s="1050" t="s">
        <v>1913</v>
      </c>
      <c r="C228" s="1029" t="s">
        <v>1800</v>
      </c>
      <c r="D228" s="1051" t="s">
        <v>1410</v>
      </c>
      <c r="E228" s="81" t="str">
        <f>VLOOKUP(B228,TH.Q2!B150:E481,4,FALSE)</f>
        <v>Giảng viên khoa Điện - Điện tử</v>
      </c>
      <c r="F228" s="1052">
        <v>4.6500000000000004</v>
      </c>
      <c r="G228" s="1053"/>
      <c r="H228" s="1248">
        <f t="shared" si="36"/>
        <v>0</v>
      </c>
      <c r="I228" s="1054"/>
      <c r="J228" s="1020" t="str">
        <f>VLOOKUP(B228,[25]!Table2[[Column2]:[Column6]],4,FALSE)</f>
        <v>A4</v>
      </c>
      <c r="K228" s="1020">
        <f t="shared" si="38"/>
        <v>0.5</v>
      </c>
      <c r="L228" s="1021">
        <v>20</v>
      </c>
      <c r="M228" s="1021">
        <f>VLOOKUP(B228,'[26]CN BC'!$F$10:$H$267,3,FALSE)</f>
        <v>20</v>
      </c>
      <c r="N228" s="1021">
        <f t="shared" si="34"/>
        <v>20</v>
      </c>
      <c r="O228" s="1022"/>
      <c r="P228" s="1023">
        <f t="shared" si="35"/>
        <v>5440500</v>
      </c>
      <c r="Q228" s="1022">
        <v>23</v>
      </c>
      <c r="R228" s="1024">
        <f t="shared" si="39"/>
        <v>216</v>
      </c>
      <c r="S228" s="1025">
        <f>VLOOKUP(B228,'[26]CN BC'!$F$10:$K$267,6,FALSE)</f>
        <v>0</v>
      </c>
      <c r="T228" s="1011" t="str">
        <f>VLOOKUP(B228,TH.T4!B245:AC575,28,FALSE)</f>
        <v>Đ-ĐT</v>
      </c>
      <c r="U228" s="1027"/>
      <c r="V228" s="1489"/>
    </row>
    <row r="229" spans="1:29" s="1012" customFormat="1" ht="29.25" customHeight="1">
      <c r="A229" s="1014">
        <f>_xlfn.AGGREGATE(4,7,A$12:A228)+1</f>
        <v>217</v>
      </c>
      <c r="B229" s="1050" t="s">
        <v>1540</v>
      </c>
      <c r="C229" s="1029" t="s">
        <v>1801</v>
      </c>
      <c r="D229" s="1051" t="s">
        <v>1412</v>
      </c>
      <c r="E229" s="81" t="str">
        <f>VLOOKUP(B229,TH.Q2!B151:E482,4,FALSE)</f>
        <v>Giảng viên khoa
Điện - Điện tử</v>
      </c>
      <c r="F229" s="1052">
        <v>4.32</v>
      </c>
      <c r="G229" s="1053"/>
      <c r="H229" s="1248">
        <f t="shared" si="36"/>
        <v>0</v>
      </c>
      <c r="I229" s="1054"/>
      <c r="J229" s="1020" t="str">
        <f>VLOOKUP(B229,[25]!Table2[[Column2]:[Column6]],4,FALSE)</f>
        <v>A4</v>
      </c>
      <c r="K229" s="1020">
        <f t="shared" si="38"/>
        <v>0.5</v>
      </c>
      <c r="L229" s="1021">
        <v>20</v>
      </c>
      <c r="M229" s="1021">
        <f>VLOOKUP(B229,'[26]CN BC'!$F$10:$H$267,3,FALSE)</f>
        <v>20</v>
      </c>
      <c r="N229" s="1021">
        <f t="shared" si="34"/>
        <v>20</v>
      </c>
      <c r="O229" s="1022"/>
      <c r="P229" s="1023">
        <f t="shared" si="35"/>
        <v>5054400</v>
      </c>
      <c r="Q229" s="1022">
        <v>23</v>
      </c>
      <c r="R229" s="1024">
        <f t="shared" si="39"/>
        <v>217</v>
      </c>
      <c r="S229" s="1025">
        <f>VLOOKUP(B229,'[26]CN BC'!$F$10:$K$267,6,FALSE)</f>
        <v>0</v>
      </c>
      <c r="T229" s="1011" t="str">
        <f>VLOOKUP(B229,TH.T4!B246:AC576,28,FALSE)</f>
        <v>Đ-ĐT</v>
      </c>
      <c r="U229" s="1027"/>
      <c r="V229" s="1489"/>
    </row>
    <row r="230" spans="1:29" s="1028" customFormat="1" ht="29.25" customHeight="1">
      <c r="A230" s="1014">
        <f>_xlfn.AGGREGATE(4,7,A$12:A229)+1</f>
        <v>218</v>
      </c>
      <c r="B230" s="1015" t="s">
        <v>1609</v>
      </c>
      <c r="C230" s="1033" t="s">
        <v>1973</v>
      </c>
      <c r="D230" s="1045" t="s">
        <v>1611</v>
      </c>
      <c r="E230" s="81" t="str">
        <f>VLOOKUP(B230,TH.Q2!B152:E483,4,FALSE)</f>
        <v>Giảng viên khoa
Điện - Điện tử</v>
      </c>
      <c r="F230" s="1040">
        <v>3.33</v>
      </c>
      <c r="G230" s="1019"/>
      <c r="H230" s="1248">
        <f t="shared" si="36"/>
        <v>0</v>
      </c>
      <c r="I230" s="1020"/>
      <c r="J230" s="1020" t="str">
        <f>VLOOKUP(B230,[25]!Table2[[Column2]:[Column6]],4,FALSE)</f>
        <v>A3</v>
      </c>
      <c r="K230" s="1020">
        <f t="shared" si="38"/>
        <v>0.6</v>
      </c>
      <c r="L230" s="1021">
        <v>20</v>
      </c>
      <c r="M230" s="1021">
        <f>VLOOKUP(B230,'[26]CN BC'!$F$10:$H$267,3,FALSE)</f>
        <v>20</v>
      </c>
      <c r="N230" s="1021">
        <f t="shared" si="34"/>
        <v>20</v>
      </c>
      <c r="O230" s="1022"/>
      <c r="P230" s="1023">
        <f t="shared" si="35"/>
        <v>4675320</v>
      </c>
      <c r="Q230" s="1022">
        <v>23</v>
      </c>
      <c r="R230" s="1024">
        <f t="shared" si="39"/>
        <v>218</v>
      </c>
      <c r="S230" s="1025">
        <f>VLOOKUP(B230,'[26]CN BC'!$F$10:$K$267,6,FALSE)</f>
        <v>0</v>
      </c>
      <c r="T230" s="1011" t="str">
        <f>VLOOKUP(B230,TH.T4!B247:AC577,28,FALSE)</f>
        <v>Đ-ĐT</v>
      </c>
      <c r="U230" s="1027"/>
      <c r="V230" s="1489"/>
      <c r="W230" s="1012"/>
      <c r="X230" s="1012"/>
      <c r="Y230" s="1012"/>
    </row>
    <row r="231" spans="1:29" s="1028" customFormat="1" ht="29.25" customHeight="1">
      <c r="A231" s="1014">
        <f>_xlfn.AGGREGATE(4,7,A$12:A230)+1</f>
        <v>219</v>
      </c>
      <c r="B231" s="1015" t="s">
        <v>1610</v>
      </c>
      <c r="C231" s="1033" t="s">
        <v>1974</v>
      </c>
      <c r="D231" s="1045" t="s">
        <v>1612</v>
      </c>
      <c r="E231" s="81" t="str">
        <f>VLOOKUP(B231,TH.Q2!B153:E484,4,FALSE)</f>
        <v>Giảng viên khoa
Điện - Điện tử</v>
      </c>
      <c r="F231" s="1040">
        <v>3</v>
      </c>
      <c r="G231" s="1019"/>
      <c r="H231" s="1248">
        <f t="shared" si="36"/>
        <v>0</v>
      </c>
      <c r="I231" s="1020">
        <v>0.25</v>
      </c>
      <c r="J231" s="1020" t="str">
        <f>VLOOKUP(B231,[25]!Table2[[Column2]:[Column6]],4,FALSE)</f>
        <v>A1</v>
      </c>
      <c r="K231" s="1020">
        <f t="shared" si="38"/>
        <v>0.8</v>
      </c>
      <c r="L231" s="1021">
        <v>20</v>
      </c>
      <c r="M231" s="1021">
        <f>VLOOKUP(B231,'[26]CN BC'!$F$10:$H$267,3,FALSE)</f>
        <v>20</v>
      </c>
      <c r="N231" s="1021">
        <f t="shared" si="34"/>
        <v>20</v>
      </c>
      <c r="O231" s="1022"/>
      <c r="P231" s="1023">
        <f t="shared" si="35"/>
        <v>6084000</v>
      </c>
      <c r="Q231" s="1022">
        <v>24</v>
      </c>
      <c r="R231" s="1024">
        <f t="shared" si="39"/>
        <v>219</v>
      </c>
      <c r="S231" s="1025">
        <f>VLOOKUP(B231,'[26]CN BC'!$F$10:$K$267,6,FALSE)</f>
        <v>0</v>
      </c>
      <c r="T231" s="1011" t="str">
        <f>VLOOKUP(B231,TH.T4!B248:AC578,28,FALSE)</f>
        <v>Đ-ĐT</v>
      </c>
      <c r="U231" s="1027"/>
      <c r="V231" s="1489"/>
      <c r="W231" s="1012"/>
      <c r="X231" s="1012"/>
      <c r="Y231" s="1012"/>
    </row>
    <row r="232" spans="1:29" s="1028" customFormat="1" ht="29.25" customHeight="1">
      <c r="A232" s="1014">
        <f>_xlfn.AGGREGATE(4,7,A$12:A231)+1</f>
        <v>220</v>
      </c>
      <c r="B232" s="1101" t="s">
        <v>1838</v>
      </c>
      <c r="C232" s="1033" t="s">
        <v>1975</v>
      </c>
      <c r="D232" s="1039">
        <v>1603205590132</v>
      </c>
      <c r="E232" s="81" t="str">
        <f>VLOOKUP(B232,TH.Q2!B154:E485,4,FALSE)</f>
        <v>Giảng viên khoa
Điện - Điện tử</v>
      </c>
      <c r="F232" s="1040">
        <v>3</v>
      </c>
      <c r="G232" s="1019"/>
      <c r="H232" s="1248">
        <f t="shared" si="36"/>
        <v>0</v>
      </c>
      <c r="I232" s="1020">
        <v>0.25</v>
      </c>
      <c r="J232" s="1020" t="str">
        <f>VLOOKUP(B232,[25]!Table2[[Column2]:[Column6]],4,FALSE)</f>
        <v>A1</v>
      </c>
      <c r="K232" s="1020">
        <f t="shared" si="38"/>
        <v>0.8</v>
      </c>
      <c r="L232" s="1021">
        <v>20</v>
      </c>
      <c r="M232" s="1021">
        <f>VLOOKUP(B232,'[26]CN BC'!$F$10:$H$267,3,FALSE)</f>
        <v>20</v>
      </c>
      <c r="N232" s="1021">
        <f t="shared" si="34"/>
        <v>20</v>
      </c>
      <c r="O232" s="1022"/>
      <c r="P232" s="1023">
        <f t="shared" si="35"/>
        <v>6084000</v>
      </c>
      <c r="Q232" s="1022">
        <v>23</v>
      </c>
      <c r="R232" s="1024">
        <f t="shared" si="39"/>
        <v>220</v>
      </c>
      <c r="S232" s="1025">
        <f>VLOOKUP(B232,'[26]CN BC'!$F$10:$K$267,6,FALSE)</f>
        <v>0</v>
      </c>
      <c r="T232" s="1011" t="str">
        <f>VLOOKUP(B232,TH.T4!B249:AC579,28,FALSE)</f>
        <v>Đ-ĐT</v>
      </c>
      <c r="U232" s="1027"/>
      <c r="V232" s="1489"/>
      <c r="W232" s="1012"/>
      <c r="X232" s="1012"/>
      <c r="Y232" s="1012"/>
    </row>
    <row r="233" spans="1:29" s="1028" customFormat="1" ht="25.5" customHeight="1">
      <c r="A233" s="1014">
        <f>_xlfn.AGGREGATE(4,7,A$12:A232)+1</f>
        <v>221</v>
      </c>
      <c r="B233" s="1101" t="s">
        <v>1993</v>
      </c>
      <c r="C233" s="1033"/>
      <c r="D233" s="1103"/>
      <c r="E233" s="81" t="str">
        <f>VLOOKUP(B233,TH.Q2!B155:E486,4,FALSE)</f>
        <v>Giảng viên khoa Điện - Điện tử</v>
      </c>
      <c r="F233" s="1018">
        <v>4.32</v>
      </c>
      <c r="G233" s="1019"/>
      <c r="H233" s="1248">
        <f t="shared" si="36"/>
        <v>0</v>
      </c>
      <c r="I233" s="1020"/>
      <c r="J233" s="1020" t="str">
        <f>VLOOKUP(B233,[25]!Table2[[Column2]:[Column6]],4,FALSE)</f>
        <v>A3</v>
      </c>
      <c r="K233" s="1020">
        <f t="shared" si="38"/>
        <v>0.6</v>
      </c>
      <c r="L233" s="1021">
        <v>20</v>
      </c>
      <c r="M233" s="1021">
        <f>VLOOKUP(B233,'[26]CN BC'!$F$10:$H$267,3,FALSE)</f>
        <v>20</v>
      </c>
      <c r="N233" s="1021">
        <f t="shared" si="34"/>
        <v>20</v>
      </c>
      <c r="O233" s="1022"/>
      <c r="P233" s="1023">
        <f t="shared" si="35"/>
        <v>6065280</v>
      </c>
      <c r="Q233" s="1035">
        <v>23</v>
      </c>
      <c r="R233" s="1024">
        <f t="shared" si="39"/>
        <v>221</v>
      </c>
      <c r="S233" s="1025">
        <f>VLOOKUP(B233,'[26]CN BC'!$F$10:$K$267,6,FALSE)</f>
        <v>0</v>
      </c>
      <c r="T233" s="1011" t="str">
        <f>VLOOKUP(B233,TH.T4!B250:AC580,28,FALSE)</f>
        <v>Đ-ĐT</v>
      </c>
      <c r="U233" s="1027"/>
      <c r="V233" s="1489"/>
      <c r="W233" s="1012"/>
      <c r="X233" s="1012"/>
      <c r="Y233" s="1012"/>
    </row>
    <row r="234" spans="1:29" s="1028" customFormat="1" ht="30.75" customHeight="1">
      <c r="A234" s="1014">
        <f>_xlfn.AGGREGATE(4,7,A$12:A233)+1</f>
        <v>222</v>
      </c>
      <c r="B234" s="1101" t="s">
        <v>2002</v>
      </c>
      <c r="C234" s="1033"/>
      <c r="D234" s="1103"/>
      <c r="E234" s="81" t="str">
        <f>VLOOKUP(B234,TH.Q2!B156:E487,4,FALSE)</f>
        <v>Giảng viên khoa Điện - Điện tử</v>
      </c>
      <c r="F234" s="1018">
        <v>2.67</v>
      </c>
      <c r="G234" s="1019"/>
      <c r="H234" s="1248">
        <f t="shared" si="36"/>
        <v>0</v>
      </c>
      <c r="I234" s="1020"/>
      <c r="J234" s="1020" t="str">
        <f>VLOOKUP(B234,[25]!Table2[[Column2]:[Column6]],4,FALSE)</f>
        <v>A4</v>
      </c>
      <c r="K234" s="1020">
        <f t="shared" si="38"/>
        <v>0.5</v>
      </c>
      <c r="L234" s="1021">
        <v>20</v>
      </c>
      <c r="M234" s="1021">
        <f>VLOOKUP(B234,'[26]CN BC'!$F$10:$H$267,3,FALSE)</f>
        <v>20</v>
      </c>
      <c r="N234" s="1021">
        <f t="shared" si="34"/>
        <v>20</v>
      </c>
      <c r="O234" s="1022"/>
      <c r="P234" s="1023">
        <f t="shared" si="35"/>
        <v>3123900</v>
      </c>
      <c r="Q234" s="1035">
        <v>23</v>
      </c>
      <c r="R234" s="1024">
        <f t="shared" si="39"/>
        <v>222</v>
      </c>
      <c r="S234" s="1025">
        <f>VLOOKUP(B234,'[26]CN BC'!$F$10:$K$267,6,FALSE)</f>
        <v>0</v>
      </c>
      <c r="T234" s="1011" t="str">
        <f>VLOOKUP(B234,TH.T4!B251:AC581,28,FALSE)</f>
        <v>Đ-ĐT</v>
      </c>
      <c r="U234" s="1038"/>
      <c r="V234" s="1489"/>
    </row>
    <row r="235" spans="1:29" s="1028" customFormat="1" ht="32.25" customHeight="1">
      <c r="A235" s="1014">
        <f>_xlfn.AGGREGATE(4,7,A$12:A234)+1</f>
        <v>223</v>
      </c>
      <c r="B235" s="1101" t="s">
        <v>2004</v>
      </c>
      <c r="C235" s="1033"/>
      <c r="D235" s="1103"/>
      <c r="E235" s="81" t="str">
        <f>VLOOKUP(B235,TH.Q2!B157:E488,4,FALSE)</f>
        <v>Giảng viên khoa Điện - Điện tử</v>
      </c>
      <c r="F235" s="1018">
        <v>2.34</v>
      </c>
      <c r="G235" s="1019"/>
      <c r="H235" s="1248">
        <f t="shared" si="36"/>
        <v>0</v>
      </c>
      <c r="I235" s="1020"/>
      <c r="J235" s="1020" t="str">
        <f>VLOOKUP(B235,[25]!Table2[[Column2]:[Column6]],4,FALSE)</f>
        <v>A4</v>
      </c>
      <c r="K235" s="1020">
        <f t="shared" si="38"/>
        <v>0.5</v>
      </c>
      <c r="L235" s="1021">
        <v>20</v>
      </c>
      <c r="M235" s="1021">
        <f>VLOOKUP(B235,'[26]CN BC'!$F$10:$H$267,3,FALSE)</f>
        <v>20</v>
      </c>
      <c r="N235" s="1021">
        <f t="shared" si="34"/>
        <v>20</v>
      </c>
      <c r="O235" s="1022"/>
      <c r="P235" s="1023">
        <f t="shared" si="35"/>
        <v>2737800</v>
      </c>
      <c r="Q235" s="1035">
        <v>23</v>
      </c>
      <c r="R235" s="1024">
        <f t="shared" si="39"/>
        <v>223</v>
      </c>
      <c r="S235" s="1025">
        <f>VLOOKUP(B235,'[26]CN BC'!$F$10:$K$267,6,FALSE)</f>
        <v>0</v>
      </c>
      <c r="T235" s="1011" t="str">
        <f>VLOOKUP(B235,TH.T4!B252:AC582,28,FALSE)</f>
        <v>Đ-ĐT</v>
      </c>
      <c r="U235" s="1038"/>
      <c r="V235" s="1489"/>
    </row>
    <row r="236" spans="1:29" s="1028" customFormat="1" ht="33.75" customHeight="1">
      <c r="A236" s="1092">
        <f>_xlfn.AGGREGATE(4,7,A$12:A235)+1</f>
        <v>224</v>
      </c>
      <c r="B236" s="1093" t="s">
        <v>1458</v>
      </c>
      <c r="C236" s="1092" t="s">
        <v>1995</v>
      </c>
      <c r="D236" s="1221" t="s">
        <v>1577</v>
      </c>
      <c r="E236" s="554" t="s">
        <v>2447</v>
      </c>
      <c r="F236" s="1095">
        <v>4.9800000000000004</v>
      </c>
      <c r="G236" s="1096">
        <v>0.06</v>
      </c>
      <c r="H236" s="1250">
        <f>ROUND(F236*G236,3)</f>
        <v>0.29899999999999999</v>
      </c>
      <c r="I236" s="1097">
        <v>0.45</v>
      </c>
      <c r="J236" s="1097" t="str">
        <f>VLOOKUP(B236,[25]!Table2[[Column2]:[Column6]],4,FALSE)</f>
        <v>E</v>
      </c>
      <c r="K236" s="1097">
        <f>IF(J236="A1",0.8,IF(J236="A2",0.7,IF(J236="A3",0.6,IF(J236="A4",0.5,IF(J236="B1",0.35,IF(J236="B2",0.25,IF(J236="C1",0.15,IF(J236="C2",0.1,0))))))))</f>
        <v>0</v>
      </c>
      <c r="L236" s="1213">
        <v>20</v>
      </c>
      <c r="M236" s="1213">
        <f>VLOOKUP(B236,'[26]CN BC'!$F$10:$H$267,3,FALSE)</f>
        <v>20</v>
      </c>
      <c r="N236" s="1213">
        <f>IF(M236&gt;=L236,L236,IF(M236&lt;L236,M236))</f>
        <v>20</v>
      </c>
      <c r="O236" s="1098"/>
      <c r="P236" s="1214">
        <f>(((F236+H236+I236)*$P$9/L236*N236)*K236)+O236</f>
        <v>0</v>
      </c>
      <c r="Q236" s="1098">
        <v>30</v>
      </c>
      <c r="R236" s="1099">
        <f>A236</f>
        <v>224</v>
      </c>
      <c r="S236" s="1215" t="s">
        <v>2487</v>
      </c>
      <c r="T236" s="1067" t="str">
        <f>VLOOKUP(B236,TH.T4!B25:AC355,28,FALSE)</f>
        <v>TCHC</v>
      </c>
      <c r="U236" s="1038"/>
      <c r="V236" s="1489"/>
    </row>
    <row r="237" spans="1:29" s="1028" customFormat="1" ht="29.25" customHeight="1">
      <c r="A237" s="1014">
        <f>_xlfn.AGGREGATE(4,7,A$12:A236)+1</f>
        <v>225</v>
      </c>
      <c r="B237" s="1015" t="s">
        <v>1914</v>
      </c>
      <c r="C237" s="1033" t="s">
        <v>1803</v>
      </c>
      <c r="D237" s="1034" t="s">
        <v>0</v>
      </c>
      <c r="E237" s="81" t="str">
        <f>VLOOKUP(B237,TH.Q2!B158:E489,4,FALSE)</f>
        <v>Trưởng khoa Động lực</v>
      </c>
      <c r="F237" s="1018">
        <v>4.6500000000000004</v>
      </c>
      <c r="G237" s="1019"/>
      <c r="H237" s="1248">
        <f t="shared" si="36"/>
        <v>0</v>
      </c>
      <c r="I237" s="1020">
        <v>0.45</v>
      </c>
      <c r="J237" s="1020" t="str">
        <f>VLOOKUP(B237,[25]!Table2[[Column2]:[Column6]],4,FALSE)</f>
        <v>A2</v>
      </c>
      <c r="K237" s="1020">
        <f t="shared" si="38"/>
        <v>0.7</v>
      </c>
      <c r="L237" s="1021">
        <v>20</v>
      </c>
      <c r="M237" s="1021">
        <f>VLOOKUP(B237,'[26]CN BC'!$F$10:$H$267,3,FALSE)</f>
        <v>20</v>
      </c>
      <c r="N237" s="1021">
        <f t="shared" si="34"/>
        <v>20</v>
      </c>
      <c r="O237" s="1022"/>
      <c r="P237" s="1023">
        <f t="shared" si="35"/>
        <v>8353800.0000000009</v>
      </c>
      <c r="Q237" s="1022">
        <v>23</v>
      </c>
      <c r="R237" s="1024">
        <f t="shared" si="39"/>
        <v>225</v>
      </c>
      <c r="S237" s="1025">
        <f>VLOOKUP(B237,'[26]CN BC'!$F$10:$K$267,6,FALSE)</f>
        <v>0</v>
      </c>
      <c r="T237" s="1011" t="str">
        <f>VLOOKUP(B237,TH.T4!B253:AC583,28,FALSE)</f>
        <v>ĐL</v>
      </c>
      <c r="U237" s="1027"/>
      <c r="V237" s="1489"/>
      <c r="W237" s="1012"/>
      <c r="X237" s="1012"/>
      <c r="Y237" s="1012"/>
    </row>
    <row r="238" spans="1:29" s="1028" customFormat="1" ht="27.75" customHeight="1">
      <c r="A238" s="1014">
        <f>_xlfn.AGGREGATE(4,7,A$12:A237)+1</f>
        <v>226</v>
      </c>
      <c r="B238" s="1015" t="s">
        <v>1915</v>
      </c>
      <c r="C238" s="1033" t="s">
        <v>1804</v>
      </c>
      <c r="D238" s="1034" t="s">
        <v>1420</v>
      </c>
      <c r="E238" s="368" t="s">
        <v>2414</v>
      </c>
      <c r="F238" s="1018">
        <v>4.9800000000000004</v>
      </c>
      <c r="G238" s="1019"/>
      <c r="H238" s="1255">
        <f t="shared" si="36"/>
        <v>0</v>
      </c>
      <c r="I238" s="1020"/>
      <c r="J238" s="1020" t="str">
        <f>VLOOKUP(B238,[25]!Table2[[Column2]:[Column6]],4,FALSE)</f>
        <v>A3</v>
      </c>
      <c r="K238" s="1020">
        <f t="shared" si="38"/>
        <v>0.6</v>
      </c>
      <c r="L238" s="1021">
        <v>20</v>
      </c>
      <c r="M238" s="1021">
        <f>VLOOKUP(B238,'[26]CN BC'!$F$10:$H$267,3,FALSE)</f>
        <v>20</v>
      </c>
      <c r="N238" s="1021">
        <f t="shared" si="34"/>
        <v>20</v>
      </c>
      <c r="O238" s="1035"/>
      <c r="P238" s="1023">
        <f t="shared" si="35"/>
        <v>6991920.0000000009</v>
      </c>
      <c r="Q238" s="1035">
        <v>23</v>
      </c>
      <c r="R238" s="1024">
        <f t="shared" si="39"/>
        <v>226</v>
      </c>
      <c r="S238" s="1470">
        <f>VLOOKUP(B238,'[26]CN BC'!$F$10:$K$267,6,FALSE)</f>
        <v>0</v>
      </c>
      <c r="T238" s="1067" t="str">
        <f>VLOOKUP(B238,TH.T4!B254:AC584,28,FALSE)</f>
        <v>ĐL</v>
      </c>
      <c r="U238" s="1038"/>
      <c r="V238" s="1490"/>
    </row>
    <row r="239" spans="1:29" s="1028" customFormat="1" ht="27.75" customHeight="1">
      <c r="A239" s="1014">
        <f>_xlfn.AGGREGATE(4,7,A$12:A238)+1</f>
        <v>227</v>
      </c>
      <c r="B239" s="1015" t="s">
        <v>1916</v>
      </c>
      <c r="C239" s="1033" t="s">
        <v>1805</v>
      </c>
      <c r="D239" s="1034" t="s">
        <v>1</v>
      </c>
      <c r="E239" s="81" t="s">
        <v>2414</v>
      </c>
      <c r="F239" s="1018">
        <v>4.32</v>
      </c>
      <c r="G239" s="1019"/>
      <c r="H239" s="1248">
        <f t="shared" si="36"/>
        <v>0</v>
      </c>
      <c r="I239" s="1517"/>
      <c r="J239" s="1020" t="str">
        <f>VLOOKUP(B239,[25]!Table2[[Column2]:[Column6]],4,FALSE)</f>
        <v>A4</v>
      </c>
      <c r="K239" s="1020">
        <f t="shared" si="38"/>
        <v>0.5</v>
      </c>
      <c r="L239" s="1021">
        <v>20</v>
      </c>
      <c r="M239" s="1021">
        <f>VLOOKUP(B239,'[26]CN BC'!$F$10:$H$267,3,FALSE)</f>
        <v>20</v>
      </c>
      <c r="N239" s="1021">
        <f t="shared" si="34"/>
        <v>20</v>
      </c>
      <c r="O239" s="1022"/>
      <c r="P239" s="1023">
        <f t="shared" si="35"/>
        <v>5054400</v>
      </c>
      <c r="Q239" s="1022">
        <v>23</v>
      </c>
      <c r="R239" s="1024">
        <f t="shared" ref="R239:R270" si="40">A239</f>
        <v>227</v>
      </c>
      <c r="S239" s="1025">
        <f>VLOOKUP(B239,'[26]CN BC'!$F$10:$K$267,6,FALSE)</f>
        <v>0</v>
      </c>
      <c r="T239" s="1011" t="str">
        <f>VLOOKUP(B239,TH.T4!B255:AC585,28,FALSE)</f>
        <v>ĐL</v>
      </c>
      <c r="U239" s="1027"/>
      <c r="V239" s="1489"/>
      <c r="W239" s="1012"/>
      <c r="X239" s="1012"/>
      <c r="Y239" s="1012"/>
    </row>
    <row r="240" spans="1:29" s="1028" customFormat="1" ht="27.75" customHeight="1">
      <c r="A240" s="1014">
        <f>_xlfn.AGGREGATE(4,7,A$12:A239)+1</f>
        <v>228</v>
      </c>
      <c r="B240" s="1015" t="s">
        <v>1542</v>
      </c>
      <c r="C240" s="1033" t="s">
        <v>1806</v>
      </c>
      <c r="D240" s="1034" t="s">
        <v>3</v>
      </c>
      <c r="E240" s="81" t="s">
        <v>2414</v>
      </c>
      <c r="F240" s="1040">
        <v>4.32</v>
      </c>
      <c r="G240" s="1019"/>
      <c r="H240" s="1255">
        <f t="shared" si="36"/>
        <v>0</v>
      </c>
      <c r="I240" s="1020"/>
      <c r="J240" s="1020" t="str">
        <f>VLOOKUP(B240,[25]!Table2[[Column2]:[Column6]],4,FALSE)</f>
        <v>A4</v>
      </c>
      <c r="K240" s="1020">
        <f t="shared" si="38"/>
        <v>0.5</v>
      </c>
      <c r="L240" s="1021">
        <v>20</v>
      </c>
      <c r="M240" s="1021">
        <f>VLOOKUP(B240,'[26]CN BC'!$F$10:$H$267,3,FALSE)</f>
        <v>20</v>
      </c>
      <c r="N240" s="1021">
        <f t="shared" si="34"/>
        <v>20</v>
      </c>
      <c r="O240" s="1035"/>
      <c r="P240" s="1023">
        <f t="shared" si="35"/>
        <v>5054400</v>
      </c>
      <c r="Q240" s="1035">
        <v>24</v>
      </c>
      <c r="R240" s="1024">
        <f t="shared" si="40"/>
        <v>228</v>
      </c>
      <c r="S240" s="1025">
        <f>VLOOKUP(B240,'[26]CN BC'!$F$10:$K$267,6,FALSE)</f>
        <v>0</v>
      </c>
      <c r="T240" s="1067" t="str">
        <f>VLOOKUP(B240,TH.T4!B256:AC586,28,FALSE)</f>
        <v>ĐL</v>
      </c>
      <c r="U240" s="1038"/>
      <c r="V240" s="1489"/>
    </row>
    <row r="241" spans="1:25" s="1028" customFormat="1" ht="27.75" customHeight="1">
      <c r="A241" s="1014">
        <f>_xlfn.AGGREGATE(4,7,A$12:A240)+1</f>
        <v>229</v>
      </c>
      <c r="B241" s="1015" t="s">
        <v>1543</v>
      </c>
      <c r="C241" s="1033" t="s">
        <v>1807</v>
      </c>
      <c r="D241" s="1034" t="s">
        <v>4</v>
      </c>
      <c r="E241" s="81" t="s">
        <v>2414</v>
      </c>
      <c r="F241" s="1040">
        <v>4.32</v>
      </c>
      <c r="G241" s="1019"/>
      <c r="H241" s="1248">
        <f t="shared" si="36"/>
        <v>0</v>
      </c>
      <c r="I241" s="1517"/>
      <c r="J241" s="1020" t="str">
        <f>VLOOKUP(B241,[25]!Table2[[Column2]:[Column6]],4,FALSE)</f>
        <v>A2</v>
      </c>
      <c r="K241" s="1020">
        <f t="shared" si="38"/>
        <v>0.7</v>
      </c>
      <c r="L241" s="1021">
        <v>20</v>
      </c>
      <c r="M241" s="1021">
        <f>VLOOKUP(B241,'[26]CN BC'!$F$10:$H$267,3,FALSE)</f>
        <v>20</v>
      </c>
      <c r="N241" s="1021">
        <f t="shared" si="34"/>
        <v>20</v>
      </c>
      <c r="O241" s="1022"/>
      <c r="P241" s="1023">
        <f t="shared" si="35"/>
        <v>7076160</v>
      </c>
      <c r="Q241" s="1022">
        <v>24</v>
      </c>
      <c r="R241" s="1024">
        <f t="shared" si="40"/>
        <v>229</v>
      </c>
      <c r="S241" s="1025">
        <f>VLOOKUP(B241,'[26]CN BC'!$F$10:$K$267,6,FALSE)</f>
        <v>0</v>
      </c>
      <c r="T241" s="1011" t="str">
        <f>VLOOKUP(B241,TH.T4!B257:AC587,28,FALSE)</f>
        <v>ĐL</v>
      </c>
      <c r="U241" s="1027"/>
      <c r="V241" s="1489"/>
      <c r="W241" s="1012"/>
      <c r="X241" s="1012"/>
      <c r="Y241" s="1012"/>
    </row>
    <row r="242" spans="1:25" s="1028" customFormat="1" ht="23.25" customHeight="1">
      <c r="A242" s="1014">
        <f>_xlfn.AGGREGATE(4,7,A$12:A241)+1</f>
        <v>230</v>
      </c>
      <c r="B242" s="1015" t="s">
        <v>1544</v>
      </c>
      <c r="C242" s="1033" t="s">
        <v>1808</v>
      </c>
      <c r="D242" s="1034" t="s">
        <v>5</v>
      </c>
      <c r="E242" s="368" t="str">
        <f>VLOOKUP(B242,TH.Q2!B163:E494,4,FALSE)</f>
        <v>Giảng viên khoa Động lực</v>
      </c>
      <c r="F242" s="1040">
        <v>3.99</v>
      </c>
      <c r="G242" s="1019"/>
      <c r="H242" s="1255">
        <f t="shared" si="36"/>
        <v>0</v>
      </c>
      <c r="I242" s="1020"/>
      <c r="J242" s="1020" t="str">
        <f>VLOOKUP(B242,[25]!Table2[[Column2]:[Column6]],4,FALSE)</f>
        <v>A4</v>
      </c>
      <c r="K242" s="1020">
        <f t="shared" si="38"/>
        <v>0.5</v>
      </c>
      <c r="L242" s="1021">
        <v>20</v>
      </c>
      <c r="M242" s="1021">
        <f>VLOOKUP(B242,'[26]CN BC'!$F$10:$H$267,3,FALSE)</f>
        <v>20</v>
      </c>
      <c r="N242" s="1021">
        <f t="shared" si="34"/>
        <v>20</v>
      </c>
      <c r="O242" s="1035"/>
      <c r="P242" s="1023">
        <f t="shared" si="35"/>
        <v>4668300</v>
      </c>
      <c r="Q242" s="1035">
        <v>24</v>
      </c>
      <c r="R242" s="1024">
        <f t="shared" si="40"/>
        <v>230</v>
      </c>
      <c r="S242" s="1025">
        <f>VLOOKUP(B242,'[26]CN BC'!$F$10:$K$267,6,FALSE)</f>
        <v>0</v>
      </c>
      <c r="T242" s="1067" t="str">
        <f>VLOOKUP(B242,TH.T4!B258:AC588,28,FALSE)</f>
        <v>ĐL</v>
      </c>
      <c r="U242" s="1038"/>
      <c r="V242" s="1489"/>
    </row>
    <row r="243" spans="1:25" s="1028" customFormat="1" ht="27.75" customHeight="1">
      <c r="A243" s="1014">
        <f>_xlfn.AGGREGATE(4,7,A$12:A242)+1</f>
        <v>231</v>
      </c>
      <c r="B243" s="1015" t="s">
        <v>1917</v>
      </c>
      <c r="C243" s="1033" t="s">
        <v>1809</v>
      </c>
      <c r="D243" s="1034" t="s">
        <v>394</v>
      </c>
      <c r="E243" s="368" t="str">
        <f>VLOOKUP(B243,TH.Q2!B164:E495,4,FALSE)</f>
        <v>Giảng viên khoa Động lực</v>
      </c>
      <c r="F243" s="1040">
        <v>3.99</v>
      </c>
      <c r="G243" s="1019"/>
      <c r="H243" s="1255">
        <f t="shared" si="36"/>
        <v>0</v>
      </c>
      <c r="I243" s="1020"/>
      <c r="J243" s="1020" t="str">
        <f>VLOOKUP(B243,[25]!Table2[[Column2]:[Column6]],4,FALSE)</f>
        <v>A4</v>
      </c>
      <c r="K243" s="1020">
        <f t="shared" si="38"/>
        <v>0.5</v>
      </c>
      <c r="L243" s="1021">
        <v>20</v>
      </c>
      <c r="M243" s="1021">
        <f>VLOOKUP(B243,'[26]CN BC'!$F$10:$H$267,3,FALSE)</f>
        <v>20</v>
      </c>
      <c r="N243" s="1021">
        <f t="shared" si="34"/>
        <v>20</v>
      </c>
      <c r="O243" s="1035"/>
      <c r="P243" s="1023">
        <f t="shared" si="35"/>
        <v>4668300</v>
      </c>
      <c r="Q243" s="1035">
        <v>23</v>
      </c>
      <c r="R243" s="1024">
        <f t="shared" si="40"/>
        <v>231</v>
      </c>
      <c r="S243" s="1025">
        <f>VLOOKUP(B243,'[26]CN BC'!$F$10:$K$267,6,FALSE)</f>
        <v>0</v>
      </c>
      <c r="T243" s="1067" t="str">
        <f>VLOOKUP(B243,TH.T4!B259:AC589,28,FALSE)</f>
        <v>ĐL</v>
      </c>
      <c r="U243" s="1038"/>
      <c r="V243" s="1489"/>
    </row>
    <row r="244" spans="1:25" s="1028" customFormat="1" ht="26.25" customHeight="1">
      <c r="A244" s="1014">
        <f>_xlfn.AGGREGATE(4,7,A$12:A243)+1</f>
        <v>232</v>
      </c>
      <c r="B244" s="1101" t="s">
        <v>1918</v>
      </c>
      <c r="C244" s="1033" t="s">
        <v>1810</v>
      </c>
      <c r="D244" s="1034" t="s">
        <v>393</v>
      </c>
      <c r="E244" s="368" t="str">
        <f>VLOOKUP(B244,TH.Q2!B165:E496,4,FALSE)</f>
        <v>Giảng viên khoa Động lực</v>
      </c>
      <c r="F244" s="1040">
        <v>3.99</v>
      </c>
      <c r="G244" s="1019"/>
      <c r="H244" s="1255">
        <f t="shared" si="36"/>
        <v>0</v>
      </c>
      <c r="I244" s="1020"/>
      <c r="J244" s="1020" t="str">
        <f>VLOOKUP(B244,[25]!Table2[[Column2]:[Column6]],4,FALSE)</f>
        <v>A4</v>
      </c>
      <c r="K244" s="1020">
        <f t="shared" si="38"/>
        <v>0.5</v>
      </c>
      <c r="L244" s="1021">
        <v>20</v>
      </c>
      <c r="M244" s="1021">
        <f>VLOOKUP(B244,'[26]CN BC'!$F$10:$H$267,3,FALSE)</f>
        <v>20</v>
      </c>
      <c r="N244" s="1021">
        <f t="shared" si="34"/>
        <v>20</v>
      </c>
      <c r="O244" s="1035"/>
      <c r="P244" s="1023">
        <f t="shared" si="35"/>
        <v>4668300</v>
      </c>
      <c r="Q244" s="1035">
        <v>23</v>
      </c>
      <c r="R244" s="1024">
        <f t="shared" si="40"/>
        <v>232</v>
      </c>
      <c r="S244" s="1025">
        <f>VLOOKUP(B244,'[26]CN BC'!$F$10:$K$267,6,FALSE)</f>
        <v>0</v>
      </c>
      <c r="T244" s="1067" t="str">
        <f>VLOOKUP(B244,TH.T4!B260:AC590,28,FALSE)</f>
        <v>ĐL</v>
      </c>
      <c r="U244" s="1038"/>
      <c r="V244" s="1489"/>
    </row>
    <row r="245" spans="1:25" s="1028" customFormat="1" ht="27.75" customHeight="1">
      <c r="A245" s="1014">
        <f>_xlfn.AGGREGATE(4,7,A$12:A244)+1</f>
        <v>233</v>
      </c>
      <c r="B245" s="1015" t="s">
        <v>1545</v>
      </c>
      <c r="C245" s="1033" t="s">
        <v>1811</v>
      </c>
      <c r="D245" s="1034" t="s">
        <v>395</v>
      </c>
      <c r="E245" s="368" t="str">
        <f>VLOOKUP(B245,TH.Q2!B166:E497,4,FALSE)</f>
        <v>Giảng viên khoa Động lực</v>
      </c>
      <c r="F245" s="1040">
        <v>3.99</v>
      </c>
      <c r="G245" s="1019"/>
      <c r="H245" s="1255">
        <f t="shared" si="36"/>
        <v>0</v>
      </c>
      <c r="I245" s="1020"/>
      <c r="J245" s="1020" t="str">
        <f>VLOOKUP(B245,[25]!Table2[[Column2]:[Column6]],4,FALSE)</f>
        <v>A4</v>
      </c>
      <c r="K245" s="1020">
        <f t="shared" si="38"/>
        <v>0.5</v>
      </c>
      <c r="L245" s="1021">
        <v>20</v>
      </c>
      <c r="M245" s="1021">
        <f>VLOOKUP(B245,'[26]CN BC'!$F$10:$H$267,3,FALSE)</f>
        <v>20</v>
      </c>
      <c r="N245" s="1021">
        <f t="shared" si="34"/>
        <v>20</v>
      </c>
      <c r="O245" s="1035"/>
      <c r="P245" s="1023">
        <f t="shared" si="35"/>
        <v>4668300</v>
      </c>
      <c r="Q245" s="1035">
        <v>23</v>
      </c>
      <c r="R245" s="1024">
        <f t="shared" si="40"/>
        <v>233</v>
      </c>
      <c r="S245" s="1025">
        <f>VLOOKUP(B245,'[26]CN BC'!$F$10:$K$267,6,FALSE)</f>
        <v>0</v>
      </c>
      <c r="T245" s="1067" t="str">
        <f>VLOOKUP(B245,TH.T4!B261:AC591,28,FALSE)</f>
        <v>ĐL</v>
      </c>
      <c r="U245" s="1038"/>
      <c r="V245" s="1489"/>
    </row>
    <row r="246" spans="1:25" s="1028" customFormat="1" ht="39.75" customHeight="1">
      <c r="A246" s="1014">
        <f>_xlfn.AGGREGATE(4,7,A$12:A245)+1</f>
        <v>234</v>
      </c>
      <c r="B246" s="1015" t="s">
        <v>1546</v>
      </c>
      <c r="C246" s="1033" t="s">
        <v>1812</v>
      </c>
      <c r="D246" s="1034" t="s">
        <v>473</v>
      </c>
      <c r="E246" s="81" t="str">
        <f>VLOOKUP(B246,TH.Q2!B167:E498,4,FALSE)</f>
        <v>Giảng viên khoa Động lực</v>
      </c>
      <c r="F246" s="1040">
        <v>3.99</v>
      </c>
      <c r="G246" s="1019"/>
      <c r="H246" s="1248">
        <f t="shared" si="36"/>
        <v>0</v>
      </c>
      <c r="I246" s="1020"/>
      <c r="J246" s="1020" t="str">
        <f>VLOOKUP(B246,[25]!Table2[[Column2]:[Column6]],4,FALSE)</f>
        <v>A3</v>
      </c>
      <c r="K246" s="1020">
        <f t="shared" si="38"/>
        <v>0.6</v>
      </c>
      <c r="L246" s="1021">
        <v>20</v>
      </c>
      <c r="M246" s="1021">
        <f>VLOOKUP(B246,'[26]CN BC'!$F$10:$H$267,3,FALSE)</f>
        <v>32</v>
      </c>
      <c r="N246" s="1021">
        <f t="shared" si="34"/>
        <v>20</v>
      </c>
      <c r="O246" s="1022"/>
      <c r="P246" s="1023">
        <f t="shared" si="35"/>
        <v>5601960</v>
      </c>
      <c r="Q246" s="1022">
        <v>23</v>
      </c>
      <c r="R246" s="1024">
        <f t="shared" si="40"/>
        <v>234</v>
      </c>
      <c r="S246" s="1025" t="str">
        <f>VLOOKUP(B246,'[26]CN BC'!$F$10:$K$267,6,FALSE)</f>
        <v>Cộng 12 ngày công T8/2025 (Theo Tờ trình của TK)</v>
      </c>
      <c r="T246" s="1011" t="str">
        <f>VLOOKUP(B246,TH.T4!B262:AC592,28,FALSE)</f>
        <v>ĐL</v>
      </c>
      <c r="U246" s="1027"/>
      <c r="V246" s="1489"/>
      <c r="W246" s="1012"/>
      <c r="X246" s="1012"/>
      <c r="Y246" s="1012"/>
    </row>
    <row r="247" spans="1:25" s="1028" customFormat="1" ht="25.5" customHeight="1">
      <c r="A247" s="1014">
        <f>_xlfn.AGGREGATE(4,7,A$12:A246)+1</f>
        <v>235</v>
      </c>
      <c r="B247" s="1015" t="s">
        <v>1547</v>
      </c>
      <c r="C247" s="1033" t="s">
        <v>1813</v>
      </c>
      <c r="D247" s="1104" t="s">
        <v>490</v>
      </c>
      <c r="E247" s="81" t="str">
        <f>VLOOKUP(B247,TH.Q2!B168:E499,4,FALSE)</f>
        <v>Giảng viên khoa Động lực</v>
      </c>
      <c r="F247" s="1040">
        <v>3.66</v>
      </c>
      <c r="G247" s="1019"/>
      <c r="H247" s="1248">
        <f t="shared" si="36"/>
        <v>0</v>
      </c>
      <c r="I247" s="1020"/>
      <c r="J247" s="1020" t="str">
        <f>VLOOKUP(B247,[25]!Table2[[Column2]:[Column6]],4,FALSE)</f>
        <v>A4</v>
      </c>
      <c r="K247" s="1020">
        <f t="shared" si="38"/>
        <v>0.5</v>
      </c>
      <c r="L247" s="1021">
        <v>20</v>
      </c>
      <c r="M247" s="1021">
        <f>VLOOKUP(B247,'[26]CN BC'!$F$10:$H$267,3,FALSE)</f>
        <v>20</v>
      </c>
      <c r="N247" s="1021">
        <f t="shared" si="34"/>
        <v>20</v>
      </c>
      <c r="O247" s="1022"/>
      <c r="P247" s="1023">
        <f t="shared" si="35"/>
        <v>4282200</v>
      </c>
      <c r="Q247" s="1022">
        <v>24</v>
      </c>
      <c r="R247" s="1024">
        <f t="shared" si="40"/>
        <v>235</v>
      </c>
      <c r="S247" s="1025">
        <f>VLOOKUP(B247,'[26]CN BC'!$F$10:$K$267,6,FALSE)</f>
        <v>0</v>
      </c>
      <c r="T247" s="1011" t="str">
        <f>VLOOKUP(B247,TH.T4!B263:AC593,28,FALSE)</f>
        <v>ĐL</v>
      </c>
      <c r="U247" s="1027"/>
      <c r="V247" s="1489"/>
      <c r="W247" s="1012"/>
      <c r="X247" s="1012"/>
      <c r="Y247" s="1012"/>
    </row>
    <row r="248" spans="1:25" s="1028" customFormat="1" ht="23.25" customHeight="1">
      <c r="A248" s="1014">
        <f>_xlfn.AGGREGATE(4,7,A$12:A247)+1</f>
        <v>236</v>
      </c>
      <c r="B248" s="1015" t="s">
        <v>1919</v>
      </c>
      <c r="C248" s="1033" t="s">
        <v>1814</v>
      </c>
      <c r="D248" s="1034" t="s">
        <v>750</v>
      </c>
      <c r="E248" s="81" t="str">
        <f>VLOOKUP(B248,TH.Q2!B169:E500,4,FALSE)</f>
        <v>Giảng viên khoa Động lực</v>
      </c>
      <c r="F248" s="1040">
        <v>3.66</v>
      </c>
      <c r="G248" s="1019"/>
      <c r="H248" s="1248">
        <f t="shared" si="36"/>
        <v>0</v>
      </c>
      <c r="I248" s="1020"/>
      <c r="J248" s="1020" t="str">
        <f>VLOOKUP(B248,[25]!Table2[[Column2]:[Column6]],4,FALSE)</f>
        <v>A4</v>
      </c>
      <c r="K248" s="1020">
        <f t="shared" si="38"/>
        <v>0.5</v>
      </c>
      <c r="L248" s="1021">
        <v>20</v>
      </c>
      <c r="M248" s="1021">
        <f>VLOOKUP(B248,'[26]CN BC'!$F$10:$H$267,3,FALSE)</f>
        <v>20</v>
      </c>
      <c r="N248" s="1021">
        <f t="shared" si="34"/>
        <v>20</v>
      </c>
      <c r="O248" s="1022"/>
      <c r="P248" s="1023">
        <f t="shared" si="35"/>
        <v>4282200</v>
      </c>
      <c r="Q248" s="1022">
        <v>23</v>
      </c>
      <c r="R248" s="1024">
        <f t="shared" si="40"/>
        <v>236</v>
      </c>
      <c r="S248" s="1025">
        <f>VLOOKUP(B248,'[26]CN BC'!$F$10:$K$267,6,FALSE)</f>
        <v>0</v>
      </c>
      <c r="T248" s="1011" t="str">
        <f>VLOOKUP(B248,TH.T4!B264:AC594,28,FALSE)</f>
        <v>ĐL</v>
      </c>
      <c r="U248" s="1027"/>
      <c r="V248" s="1489"/>
      <c r="W248" s="1012"/>
      <c r="X248" s="1012"/>
      <c r="Y248" s="1012"/>
    </row>
    <row r="249" spans="1:25" s="1028" customFormat="1" ht="25.5" customHeight="1">
      <c r="A249" s="1014">
        <f>_xlfn.AGGREGATE(4,7,A$12:A248)+1</f>
        <v>237</v>
      </c>
      <c r="B249" s="1015" t="s">
        <v>1548</v>
      </c>
      <c r="C249" s="1033" t="s">
        <v>1815</v>
      </c>
      <c r="D249" s="1034" t="s">
        <v>752</v>
      </c>
      <c r="E249" s="81" t="str">
        <f>VLOOKUP(B249,TH.Q2!B170:E501,4,FALSE)</f>
        <v>Giảng viên khoa Động lực</v>
      </c>
      <c r="F249" s="1040">
        <v>3.66</v>
      </c>
      <c r="G249" s="1019"/>
      <c r="H249" s="1248">
        <f t="shared" si="36"/>
        <v>0</v>
      </c>
      <c r="I249" s="1020"/>
      <c r="J249" s="1020" t="str">
        <f>VLOOKUP(B249,[25]!Table2[[Column2]:[Column6]],4,FALSE)</f>
        <v>A4</v>
      </c>
      <c r="K249" s="1020">
        <f t="shared" si="38"/>
        <v>0.5</v>
      </c>
      <c r="L249" s="1021">
        <v>20</v>
      </c>
      <c r="M249" s="1021">
        <f>VLOOKUP(B249,'[26]CN BC'!$F$10:$H$267,3,FALSE)</f>
        <v>20</v>
      </c>
      <c r="N249" s="1021">
        <f t="shared" si="34"/>
        <v>20</v>
      </c>
      <c r="O249" s="1022"/>
      <c r="P249" s="1023">
        <f t="shared" si="35"/>
        <v>4282200</v>
      </c>
      <c r="Q249" s="1035">
        <v>23</v>
      </c>
      <c r="R249" s="1024">
        <f t="shared" si="40"/>
        <v>237</v>
      </c>
      <c r="S249" s="1025">
        <f>VLOOKUP(B249,'[26]CN BC'!$F$10:$K$267,6,FALSE)</f>
        <v>0</v>
      </c>
      <c r="T249" s="1011" t="str">
        <f>VLOOKUP(B249,TH.T4!B265:AC595,28,FALSE)</f>
        <v>ĐL</v>
      </c>
      <c r="U249" s="1038"/>
      <c r="V249" s="1489"/>
    </row>
    <row r="250" spans="1:25" s="1028" customFormat="1" ht="25.5" customHeight="1">
      <c r="A250" s="1014">
        <f>_xlfn.AGGREGATE(4,7,A$12:A249)+1</f>
        <v>238</v>
      </c>
      <c r="B250" s="1015" t="s">
        <v>1549</v>
      </c>
      <c r="C250" s="1033" t="s">
        <v>1816</v>
      </c>
      <c r="D250" s="1030" t="s">
        <v>1429</v>
      </c>
      <c r="E250" s="368" t="str">
        <f>VLOOKUP(B250,TH.Q2!B171:E502,4,FALSE)</f>
        <v>Giảng viên khoa Động lực</v>
      </c>
      <c r="F250" s="1109">
        <v>3.66</v>
      </c>
      <c r="G250" s="1019"/>
      <c r="H250" s="1255">
        <f t="shared" si="36"/>
        <v>0</v>
      </c>
      <c r="I250" s="1020">
        <v>0.25</v>
      </c>
      <c r="J250" s="1020" t="str">
        <f>VLOOKUP(B250,[25]!Table2[[Column2]:[Column6]],4,FALSE)</f>
        <v>A4</v>
      </c>
      <c r="K250" s="1020">
        <f t="shared" si="38"/>
        <v>0.5</v>
      </c>
      <c r="L250" s="1021">
        <v>20</v>
      </c>
      <c r="M250" s="1021">
        <f>VLOOKUP(B250,'[26]CN BC'!$F$10:$H$267,3,FALSE)</f>
        <v>20</v>
      </c>
      <c r="N250" s="1021">
        <f t="shared" si="34"/>
        <v>20</v>
      </c>
      <c r="O250" s="1035"/>
      <c r="P250" s="1023">
        <f t="shared" si="35"/>
        <v>4574700</v>
      </c>
      <c r="Q250" s="1035">
        <v>23</v>
      </c>
      <c r="R250" s="1024">
        <f t="shared" si="40"/>
        <v>238</v>
      </c>
      <c r="S250" s="1025">
        <f>VLOOKUP(B250,'[26]CN BC'!$F$10:$K$267,6,FALSE)</f>
        <v>0</v>
      </c>
      <c r="T250" s="1067" t="str">
        <f>VLOOKUP(B250,TH.T4!B266:AC596,28,FALSE)</f>
        <v>ĐL</v>
      </c>
      <c r="U250" s="1038"/>
      <c r="V250" s="1489"/>
    </row>
    <row r="251" spans="1:25" s="1028" customFormat="1" ht="25.5" customHeight="1">
      <c r="A251" s="1014">
        <f>_xlfn.AGGREGATE(4,7,A$12:A250)+1</f>
        <v>239</v>
      </c>
      <c r="B251" s="1015" t="s">
        <v>1550</v>
      </c>
      <c r="C251" s="1033" t="s">
        <v>1817</v>
      </c>
      <c r="D251" s="1030" t="s">
        <v>1430</v>
      </c>
      <c r="E251" s="368" t="str">
        <f>VLOOKUP(B251,TH.Q2!B172:E503,4,FALSE)</f>
        <v>Giảng viên khoa Động lực</v>
      </c>
      <c r="F251" s="1109">
        <v>3.66</v>
      </c>
      <c r="G251" s="1019"/>
      <c r="H251" s="1255">
        <f t="shared" si="36"/>
        <v>0</v>
      </c>
      <c r="I251" s="1020"/>
      <c r="J251" s="1020" t="str">
        <f>VLOOKUP(B251,[25]!Table2[[Column2]:[Column6]],4,FALSE)</f>
        <v>A4</v>
      </c>
      <c r="K251" s="1020">
        <f t="shared" si="38"/>
        <v>0.5</v>
      </c>
      <c r="L251" s="1021">
        <v>20</v>
      </c>
      <c r="M251" s="1021">
        <f>VLOOKUP(B251,'[26]CN BC'!$F$10:$H$267,3,FALSE)</f>
        <v>20</v>
      </c>
      <c r="N251" s="1021">
        <f t="shared" si="34"/>
        <v>20</v>
      </c>
      <c r="O251" s="1035"/>
      <c r="P251" s="1023">
        <f t="shared" si="35"/>
        <v>4282200</v>
      </c>
      <c r="Q251" s="1035">
        <v>24</v>
      </c>
      <c r="R251" s="1024">
        <f t="shared" si="40"/>
        <v>239</v>
      </c>
      <c r="S251" s="1025">
        <f>VLOOKUP(B251,'[26]CN BC'!$F$10:$K$267,6,FALSE)</f>
        <v>0</v>
      </c>
      <c r="T251" s="1067" t="str">
        <f>VLOOKUP(B251,TH.T4!B267:AC597,28,FALSE)</f>
        <v>ĐL</v>
      </c>
      <c r="U251" s="1038"/>
      <c r="V251" s="1489"/>
    </row>
    <row r="252" spans="1:25" s="1028" customFormat="1" ht="25.5" customHeight="1">
      <c r="A252" s="1014">
        <f>_xlfn.AGGREGATE(4,7,A$12:A251)+1</f>
        <v>240</v>
      </c>
      <c r="B252" s="1015" t="s">
        <v>1836</v>
      </c>
      <c r="C252" s="1033" t="s">
        <v>1976</v>
      </c>
      <c r="D252" s="1076" t="s">
        <v>1977</v>
      </c>
      <c r="E252" s="81" t="str">
        <f>VLOOKUP(B252,TH.Q2!B173:E504,4,FALSE)</f>
        <v>Giảng viên khoa Động lực</v>
      </c>
      <c r="F252" s="1109">
        <v>3</v>
      </c>
      <c r="G252" s="1019"/>
      <c r="H252" s="1248">
        <f t="shared" si="36"/>
        <v>0</v>
      </c>
      <c r="I252" s="1020"/>
      <c r="J252" s="1020" t="str">
        <f>VLOOKUP(B252,[25]!Table2[[Column2]:[Column6]],4,FALSE)</f>
        <v>A3</v>
      </c>
      <c r="K252" s="1020">
        <f t="shared" si="38"/>
        <v>0.6</v>
      </c>
      <c r="L252" s="1021">
        <v>20</v>
      </c>
      <c r="M252" s="1021">
        <f>VLOOKUP(B252,'[26]CN BC'!$F$10:$H$267,3,FALSE)</f>
        <v>20</v>
      </c>
      <c r="N252" s="1021">
        <f t="shared" si="34"/>
        <v>20</v>
      </c>
      <c r="O252" s="1022"/>
      <c r="P252" s="1023">
        <f t="shared" si="35"/>
        <v>4212000</v>
      </c>
      <c r="Q252" s="1022">
        <v>23</v>
      </c>
      <c r="R252" s="1024">
        <f t="shared" si="40"/>
        <v>240</v>
      </c>
      <c r="S252" s="1025">
        <f>VLOOKUP(B252,'[26]CN BC'!$F$10:$K$267,6,FALSE)</f>
        <v>0</v>
      </c>
      <c r="T252" s="1011" t="str">
        <f>VLOOKUP(B252,TH.T4!B268:AC598,28,FALSE)</f>
        <v>ĐL</v>
      </c>
      <c r="U252" s="1027"/>
      <c r="V252" s="1489"/>
      <c r="W252" s="1012"/>
      <c r="X252" s="1012"/>
      <c r="Y252" s="1012"/>
    </row>
    <row r="253" spans="1:25" s="1028" customFormat="1" ht="25.5" customHeight="1">
      <c r="A253" s="1014">
        <f>_xlfn.AGGREGATE(4,7,A$12:A252)+1</f>
        <v>241</v>
      </c>
      <c r="B253" s="1015" t="s">
        <v>1837</v>
      </c>
      <c r="C253" s="1033" t="s">
        <v>1978</v>
      </c>
      <c r="D253" s="1076" t="s">
        <v>1979</v>
      </c>
      <c r="E253" s="81" t="str">
        <f>VLOOKUP(B253,TH.Q2!B174:E505,4,FALSE)</f>
        <v>Giảng viên khoa Động lực</v>
      </c>
      <c r="F253" s="1104">
        <v>2.67</v>
      </c>
      <c r="G253" s="1019"/>
      <c r="H253" s="1248">
        <f t="shared" si="36"/>
        <v>0</v>
      </c>
      <c r="I253" s="1020"/>
      <c r="J253" s="1020" t="str">
        <f>VLOOKUP(B253,[25]!Table2[[Column2]:[Column6]],4,FALSE)</f>
        <v>A4</v>
      </c>
      <c r="K253" s="1020">
        <f t="shared" si="38"/>
        <v>0.5</v>
      </c>
      <c r="L253" s="1021">
        <v>20</v>
      </c>
      <c r="M253" s="1021">
        <f>VLOOKUP(B253,'[26]CN BC'!$F$10:$H$267,3,FALSE)</f>
        <v>20</v>
      </c>
      <c r="N253" s="1021">
        <f t="shared" si="34"/>
        <v>20</v>
      </c>
      <c r="O253" s="1022"/>
      <c r="P253" s="1023">
        <f t="shared" si="35"/>
        <v>3123900</v>
      </c>
      <c r="Q253" s="1022">
        <v>23</v>
      </c>
      <c r="R253" s="1024">
        <f t="shared" si="40"/>
        <v>241</v>
      </c>
      <c r="S253" s="1025">
        <f>VLOOKUP(B253,'[26]CN BC'!$F$10:$K$267,6,FALSE)</f>
        <v>0</v>
      </c>
      <c r="T253" s="1011" t="str">
        <f>VLOOKUP(B253,TH.T4!B269:AC599,28,FALSE)</f>
        <v>ĐL</v>
      </c>
      <c r="U253" s="1027"/>
      <c r="V253" s="1489"/>
      <c r="W253" s="1012"/>
      <c r="X253" s="1012"/>
      <c r="Y253" s="1012"/>
    </row>
    <row r="254" spans="1:25" s="1028" customFormat="1" ht="25.5" customHeight="1">
      <c r="A254" s="1014">
        <f>_xlfn.AGGREGATE(4,7,A$12:A253)+1</f>
        <v>242</v>
      </c>
      <c r="B254" s="1101" t="s">
        <v>1839</v>
      </c>
      <c r="C254" s="1033" t="s">
        <v>1980</v>
      </c>
      <c r="D254" s="1076" t="s">
        <v>1981</v>
      </c>
      <c r="E254" s="81" t="str">
        <f>VLOOKUP(B254,TH.Q2!B175:E506,4,FALSE)</f>
        <v>Giảng viên khoa Động lực</v>
      </c>
      <c r="F254" s="1109">
        <v>3.33</v>
      </c>
      <c r="G254" s="1019"/>
      <c r="H254" s="1248">
        <f t="shared" si="36"/>
        <v>0</v>
      </c>
      <c r="I254" s="1020"/>
      <c r="J254" s="1020" t="str">
        <f>VLOOKUP(B254,[25]!Table2[[Column2]:[Column6]],4,FALSE)</f>
        <v>A4</v>
      </c>
      <c r="K254" s="1020">
        <f t="shared" si="38"/>
        <v>0.5</v>
      </c>
      <c r="L254" s="1021">
        <v>20</v>
      </c>
      <c r="M254" s="1021">
        <f>VLOOKUP(B254,'[26]CN BC'!$F$10:$H$267,3,FALSE)</f>
        <v>20</v>
      </c>
      <c r="N254" s="1021">
        <f t="shared" si="34"/>
        <v>20</v>
      </c>
      <c r="O254" s="1022"/>
      <c r="P254" s="1023">
        <f t="shared" si="35"/>
        <v>3896100</v>
      </c>
      <c r="Q254" s="1022">
        <v>23</v>
      </c>
      <c r="R254" s="1024">
        <f t="shared" si="40"/>
        <v>242</v>
      </c>
      <c r="S254" s="1025">
        <f>VLOOKUP(B254,'[26]CN BC'!$F$10:$K$267,6,FALSE)</f>
        <v>0</v>
      </c>
      <c r="T254" s="1011" t="str">
        <f>VLOOKUP(B254,TH.T4!B270:AC600,28,FALSE)</f>
        <v>ĐL</v>
      </c>
      <c r="U254" s="1027"/>
      <c r="V254" s="1489"/>
      <c r="W254" s="1012"/>
      <c r="X254" s="1012"/>
      <c r="Y254" s="1012"/>
    </row>
    <row r="255" spans="1:25" s="1028" customFormat="1" ht="25.5" customHeight="1">
      <c r="A255" s="1014">
        <f>_xlfn.AGGREGATE(4,7,A$12:A254)+1</f>
        <v>243</v>
      </c>
      <c r="B255" s="1101" t="s">
        <v>1844</v>
      </c>
      <c r="C255" s="1033" t="s">
        <v>1982</v>
      </c>
      <c r="D255" s="1076" t="s">
        <v>1983</v>
      </c>
      <c r="E255" s="81" t="str">
        <f>VLOOKUP(B255,TH.Q2!B176:E507,4,FALSE)</f>
        <v>Giảng viên khoa Động lực</v>
      </c>
      <c r="F255" s="1109">
        <v>3.66</v>
      </c>
      <c r="G255" s="1019"/>
      <c r="H255" s="1248">
        <f t="shared" si="36"/>
        <v>0</v>
      </c>
      <c r="I255" s="1020"/>
      <c r="J255" s="1020" t="str">
        <f>VLOOKUP(B255,[25]!Table2[[Column2]:[Column6]],4,FALSE)</f>
        <v>A4</v>
      </c>
      <c r="K255" s="1020">
        <f t="shared" si="38"/>
        <v>0.5</v>
      </c>
      <c r="L255" s="1021">
        <v>20</v>
      </c>
      <c r="M255" s="1021">
        <f>VLOOKUP(B255,'[26]CN BC'!$F$10:$H$267,3,FALSE)</f>
        <v>26</v>
      </c>
      <c r="N255" s="1021">
        <f t="shared" si="34"/>
        <v>20</v>
      </c>
      <c r="O255" s="1022"/>
      <c r="P255" s="1023">
        <f t="shared" si="35"/>
        <v>4282200</v>
      </c>
      <c r="Q255" s="1022">
        <v>23</v>
      </c>
      <c r="R255" s="1024">
        <f t="shared" si="40"/>
        <v>243</v>
      </c>
      <c r="S255" s="1025" t="str">
        <f>VLOOKUP(B255,'[26]CN BC'!$F$10:$K$267,6,FALSE)</f>
        <v>Cộng 6 ngày công T7/2025 (Theo Tờ trình của TK)</v>
      </c>
      <c r="T255" s="1011" t="str">
        <f>VLOOKUP(B255,TH.T4!B271:AC601,28,FALSE)</f>
        <v>ĐL</v>
      </c>
      <c r="U255" s="1027"/>
      <c r="V255" s="1489"/>
      <c r="W255" s="1012"/>
      <c r="X255" s="1012"/>
      <c r="Y255" s="1012"/>
    </row>
    <row r="256" spans="1:25" s="1028" customFormat="1" ht="24" customHeight="1">
      <c r="A256" s="1014">
        <f>_xlfn.AGGREGATE(4,7,A$12:A255)+1</f>
        <v>244</v>
      </c>
      <c r="B256" s="1101" t="s">
        <v>1926</v>
      </c>
      <c r="C256" s="1033" t="s">
        <v>1984</v>
      </c>
      <c r="D256" s="1108" t="s">
        <v>1985</v>
      </c>
      <c r="E256" s="81" t="str">
        <f>VLOOKUP(B256,TH.Q2!B177:E508,4,FALSE)</f>
        <v>Giảng viên khoa Động lực</v>
      </c>
      <c r="F256" s="1110">
        <v>2.67</v>
      </c>
      <c r="G256" s="1019"/>
      <c r="H256" s="1248">
        <f t="shared" si="36"/>
        <v>0</v>
      </c>
      <c r="I256" s="1020"/>
      <c r="J256" s="1020" t="str">
        <f>VLOOKUP(B256,[25]!Table2[[Column2]:[Column6]],4,FALSE)</f>
        <v>A4</v>
      </c>
      <c r="K256" s="1020">
        <f t="shared" si="38"/>
        <v>0.5</v>
      </c>
      <c r="L256" s="1021">
        <v>20</v>
      </c>
      <c r="M256" s="1021">
        <f>VLOOKUP(B256,'[26]CN BC'!$F$10:$H$267,3,FALSE)</f>
        <v>20</v>
      </c>
      <c r="N256" s="1021">
        <f t="shared" si="34"/>
        <v>20</v>
      </c>
      <c r="O256" s="1022"/>
      <c r="P256" s="1023">
        <f t="shared" si="35"/>
        <v>3123900</v>
      </c>
      <c r="Q256" s="1022">
        <v>24</v>
      </c>
      <c r="R256" s="1024">
        <f t="shared" si="40"/>
        <v>244</v>
      </c>
      <c r="S256" s="1025">
        <f>VLOOKUP(B256,'[26]CN BC'!$F$10:$K$267,6,FALSE)</f>
        <v>0</v>
      </c>
      <c r="T256" s="1011" t="str">
        <f>VLOOKUP(B256,TH.T4!B272:AC602,28,FALSE)</f>
        <v>ĐL</v>
      </c>
      <c r="U256" s="1027"/>
      <c r="V256" s="1489"/>
      <c r="W256" s="1012"/>
      <c r="X256" s="1012"/>
      <c r="Y256" s="1012"/>
    </row>
    <row r="257" spans="1:29" s="1028" customFormat="1" ht="24" customHeight="1">
      <c r="A257" s="1014">
        <f>_xlfn.AGGREGATE(4,7,A$12:A256)+1</f>
        <v>245</v>
      </c>
      <c r="B257" s="1101" t="s">
        <v>1941</v>
      </c>
      <c r="C257" s="1033" t="s">
        <v>1989</v>
      </c>
      <c r="D257" s="1108" t="s">
        <v>1988</v>
      </c>
      <c r="E257" s="81" t="str">
        <f>VLOOKUP(B257,TH.Q2!B178:E509,4,FALSE)</f>
        <v>Giảng viên khoa Động lực</v>
      </c>
      <c r="F257" s="1110">
        <v>2.67</v>
      </c>
      <c r="G257" s="1019"/>
      <c r="H257" s="1248">
        <f t="shared" si="36"/>
        <v>0</v>
      </c>
      <c r="I257" s="1020"/>
      <c r="J257" s="1020" t="str">
        <f>VLOOKUP(B257,[25]!Table2[[Column2]:[Column6]],4,FALSE)</f>
        <v>A4</v>
      </c>
      <c r="K257" s="1020">
        <f t="shared" si="38"/>
        <v>0.5</v>
      </c>
      <c r="L257" s="1021">
        <v>20</v>
      </c>
      <c r="M257" s="1021">
        <f>VLOOKUP(B257,'[26]CN BC'!$F$10:$H$267,3,FALSE)</f>
        <v>20</v>
      </c>
      <c r="N257" s="1021">
        <f t="shared" si="34"/>
        <v>20</v>
      </c>
      <c r="O257" s="1022"/>
      <c r="P257" s="1023">
        <f t="shared" si="35"/>
        <v>3123900</v>
      </c>
      <c r="Q257" s="1035">
        <v>23</v>
      </c>
      <c r="R257" s="1024">
        <f t="shared" si="40"/>
        <v>245</v>
      </c>
      <c r="S257" s="1025">
        <f>VLOOKUP(B257,'[26]CN BC'!$F$10:$K$267,6,FALSE)</f>
        <v>0</v>
      </c>
      <c r="T257" s="1011" t="str">
        <f>VLOOKUP(B257,TH.T4!B274:AC604,28,FALSE)</f>
        <v>ĐL</v>
      </c>
      <c r="U257" s="1027"/>
      <c r="V257" s="1489"/>
      <c r="W257" s="1012"/>
      <c r="X257" s="1012"/>
      <c r="Y257" s="1012"/>
    </row>
    <row r="258" spans="1:29" s="1028" customFormat="1" ht="24" customHeight="1">
      <c r="A258" s="1014">
        <f>_xlfn.AGGREGATE(4,7,A$12:A257)+1</f>
        <v>246</v>
      </c>
      <c r="B258" s="1101" t="s">
        <v>1945</v>
      </c>
      <c r="C258" s="1014" t="s">
        <v>1948</v>
      </c>
      <c r="D258" s="1030" t="s">
        <v>1949</v>
      </c>
      <c r="E258" s="81" t="str">
        <f>VLOOKUP(B258,TH.Q2!B180:E511,4,FALSE)</f>
        <v>Giảng viên khoa Động lực</v>
      </c>
      <c r="F258" s="1110">
        <v>3.66</v>
      </c>
      <c r="G258" s="1019"/>
      <c r="H258" s="1248">
        <f t="shared" si="36"/>
        <v>0</v>
      </c>
      <c r="I258" s="1020"/>
      <c r="J258" s="1020" t="str">
        <f>VLOOKUP(B258,[25]!Table2[[Column2]:[Column6]],4,FALSE)</f>
        <v>A4</v>
      </c>
      <c r="K258" s="1020">
        <f t="shared" si="38"/>
        <v>0.5</v>
      </c>
      <c r="L258" s="1021">
        <v>20</v>
      </c>
      <c r="M258" s="1021">
        <f>VLOOKUP(B258,'[26]CN BC'!$F$10:$H$267,3,FALSE)</f>
        <v>25</v>
      </c>
      <c r="N258" s="1021">
        <f t="shared" ref="N258:N270" si="41">IF(M258&gt;=L258,L258,IF(M258&lt;L258,M258))</f>
        <v>20</v>
      </c>
      <c r="O258" s="1022"/>
      <c r="P258" s="1023">
        <f t="shared" ref="P258:P270" si="42">(((F258+H258+I258)*$P$9/L258*N258)*K258)+O258</f>
        <v>4282200</v>
      </c>
      <c r="Q258" s="1035">
        <v>24</v>
      </c>
      <c r="R258" s="1024">
        <f t="shared" si="40"/>
        <v>246</v>
      </c>
      <c r="S258" s="1025" t="str">
        <f>VLOOKUP(B258,'[26]CN BC'!$F$10:$K$267,6,FALSE)</f>
        <v>Cộng 5 ngày công T7+8/2025 (Theo Tờ trình của TK)</v>
      </c>
      <c r="T258" s="1011" t="str">
        <f>VLOOKUP(B258,TH.T4!B276:AC606,28,FALSE)</f>
        <v>ĐL</v>
      </c>
      <c r="U258" s="1038"/>
      <c r="V258" s="1489"/>
    </row>
    <row r="259" spans="1:29" s="1028" customFormat="1" ht="24" customHeight="1">
      <c r="A259" s="1014">
        <f>_xlfn.AGGREGATE(4,7,A$12:A258)+1</f>
        <v>247</v>
      </c>
      <c r="B259" s="1101" t="s">
        <v>2003</v>
      </c>
      <c r="C259" s="1014"/>
      <c r="D259" s="1030"/>
      <c r="E259" s="81" t="str">
        <f>VLOOKUP(B259,TH.Q2!B181:E512,4,FALSE)</f>
        <v>Giảng viên khoa Động lực</v>
      </c>
      <c r="F259" s="1109">
        <v>3.33</v>
      </c>
      <c r="G259" s="1019"/>
      <c r="H259" s="1248">
        <f t="shared" si="36"/>
        <v>0</v>
      </c>
      <c r="I259" s="1020"/>
      <c r="J259" s="1020" t="str">
        <f>VLOOKUP(B259,[25]!Table2[[Column2]:[Column6]],4,FALSE)</f>
        <v>A4</v>
      </c>
      <c r="K259" s="1020">
        <f t="shared" si="38"/>
        <v>0.5</v>
      </c>
      <c r="L259" s="1021">
        <v>20</v>
      </c>
      <c r="M259" s="1021">
        <f>VLOOKUP(B259,'[26]CN BC'!$F$10:$H$267,3,FALSE)</f>
        <v>20</v>
      </c>
      <c r="N259" s="1021">
        <f t="shared" si="41"/>
        <v>20</v>
      </c>
      <c r="O259" s="1022"/>
      <c r="P259" s="1023">
        <f t="shared" si="42"/>
        <v>3896100</v>
      </c>
      <c r="Q259" s="1035">
        <v>24</v>
      </c>
      <c r="R259" s="1024">
        <f t="shared" si="40"/>
        <v>247</v>
      </c>
      <c r="S259" s="1025">
        <f>VLOOKUP(B259,'[26]CN BC'!$F$10:$K$267,6,FALSE)</f>
        <v>0</v>
      </c>
      <c r="T259" s="1011" t="str">
        <f>VLOOKUP(B259,TH.T4!B277:AC607,28,FALSE)</f>
        <v>ĐL</v>
      </c>
      <c r="U259" s="1038"/>
      <c r="V259" s="1489"/>
    </row>
    <row r="260" spans="1:29" s="1028" customFormat="1" ht="24" customHeight="1">
      <c r="A260" s="1014">
        <f>_xlfn.AGGREGATE(4,7,A$12:A259)+1</f>
        <v>248</v>
      </c>
      <c r="B260" s="1101" t="s">
        <v>2010</v>
      </c>
      <c r="C260" s="1014"/>
      <c r="D260" s="1030"/>
      <c r="E260" s="81" t="str">
        <f>VLOOKUP(B260,TH.Q2!B182:E513,4,FALSE)</f>
        <v>Giảng viên khoa Động lực</v>
      </c>
      <c r="F260" s="1109">
        <v>2.34</v>
      </c>
      <c r="G260" s="1019"/>
      <c r="H260" s="1248">
        <f t="shared" si="36"/>
        <v>0</v>
      </c>
      <c r="I260" s="1020"/>
      <c r="J260" s="1020" t="str">
        <f>VLOOKUP(B260,[25]!Table2[[Column2]:[Column6]],4,FALSE)</f>
        <v>A4</v>
      </c>
      <c r="K260" s="1020">
        <f t="shared" ref="K260:K270" si="43">IF(J260="A1",0.8,IF(J260="A2",0.7,IF(J260="A3",0.6,IF(J260="A4",0.5,IF(J260="B1",0.35,IF(J260="B2",0.25,IF(J260="C1",0.15,IF(J260="C2",0.1,0))))))))</f>
        <v>0.5</v>
      </c>
      <c r="L260" s="1021">
        <v>20</v>
      </c>
      <c r="M260" s="1021">
        <f>VLOOKUP(B260,'[26]CN BC'!$F$10:$H$267,3,FALSE)</f>
        <v>20</v>
      </c>
      <c r="N260" s="1021">
        <f t="shared" si="41"/>
        <v>20</v>
      </c>
      <c r="O260" s="1022"/>
      <c r="P260" s="1023">
        <f t="shared" si="42"/>
        <v>2737800</v>
      </c>
      <c r="Q260" s="1035"/>
      <c r="R260" s="1024">
        <f t="shared" si="40"/>
        <v>248</v>
      </c>
      <c r="S260" s="1025">
        <f>VLOOKUP(B260,'[26]CN BC'!$F$10:$K$267,6,FALSE)</f>
        <v>0</v>
      </c>
      <c r="T260" s="1011" t="str">
        <f>VLOOKUP(B260,TH.T4!B278:AC608,28,FALSE)</f>
        <v>ĐL</v>
      </c>
      <c r="U260" s="1038"/>
      <c r="V260" s="1489"/>
    </row>
    <row r="261" spans="1:29" s="1028" customFormat="1" ht="27" customHeight="1">
      <c r="A261" s="1014">
        <f>_xlfn.AGGREGATE(4,7,A$12:A260)+1</f>
        <v>249</v>
      </c>
      <c r="B261" s="1043" t="s">
        <v>1607</v>
      </c>
      <c r="C261" s="1044" t="s">
        <v>1957</v>
      </c>
      <c r="D261" s="1059">
        <v>1603215003961</v>
      </c>
      <c r="E261" s="368" t="str">
        <f>VLOOKUP(B261,TH.Q2!B91:E422,4,FALSE)</f>
        <v>Trưởng khoa Xây dựng - Nhiệt lạnh</v>
      </c>
      <c r="F261" s="1040">
        <v>3.99</v>
      </c>
      <c r="G261" s="1019"/>
      <c r="H261" s="1255">
        <f>ROUND(F261*G261,3)</f>
        <v>0</v>
      </c>
      <c r="I261" s="1020">
        <v>0.45</v>
      </c>
      <c r="J261" s="1020" t="str">
        <f>VLOOKUP(B261,[25]!Table2[[Column2]:[Column6]],4,FALSE)</f>
        <v>A2</v>
      </c>
      <c r="K261" s="1020">
        <f>IF(J261="A1",0.8,IF(J261="A2",0.7,IF(J261="A3",0.6,IF(J261="A4",0.5,IF(J261="B1",0.35,IF(J261="B2",0.25,IF(J261="C1",0.15,IF(J261="C2",0.1,0))))))))</f>
        <v>0.7</v>
      </c>
      <c r="L261" s="1021">
        <v>20</v>
      </c>
      <c r="M261" s="1021">
        <f>VLOOKUP(B261,'[26]CN BC'!$F$10:$H$267,3,FALSE)</f>
        <v>20</v>
      </c>
      <c r="N261" s="1021">
        <f>IF(M261&gt;=L261,L261,IF(M261&lt;L261,M261))</f>
        <v>20</v>
      </c>
      <c r="O261" s="1035"/>
      <c r="P261" s="1023">
        <f>(((F261+H261+I261)*$P$9/L261*N261)*K261)+O261</f>
        <v>7272720</v>
      </c>
      <c r="Q261" s="1035">
        <v>23</v>
      </c>
      <c r="R261" s="1024">
        <f>A261</f>
        <v>249</v>
      </c>
      <c r="S261" s="1025">
        <f>VLOOKUP(B261,'[26]CN BC'!$F$10:$K$267,6,FALSE)</f>
        <v>0</v>
      </c>
      <c r="T261" s="1067" t="str">
        <f>VLOOKUP(B261,TH.T4!B94:AC424,28,FALSE)</f>
        <v>XD-NL</v>
      </c>
      <c r="U261" s="1038"/>
      <c r="V261" s="1489"/>
    </row>
    <row r="262" spans="1:29" s="1028" customFormat="1" ht="25.5" customHeight="1">
      <c r="A262" s="1014">
        <f>_xlfn.AGGREGATE(4,7,A$12:A261)+1</f>
        <v>250</v>
      </c>
      <c r="B262" s="1015" t="s">
        <v>1924</v>
      </c>
      <c r="C262" s="1033" t="s">
        <v>1958</v>
      </c>
      <c r="D262" s="1066" t="s">
        <v>1935</v>
      </c>
      <c r="E262" s="81" t="str">
        <f>VLOOKUP(B262,TH.Q2!B92:E423,4,FALSE)</f>
        <v>Giảng viên khoa Xây dựng - Nhiệt lạnh</v>
      </c>
      <c r="F262" s="1040">
        <v>3</v>
      </c>
      <c r="G262" s="1019"/>
      <c r="H262" s="1248">
        <f>ROUND(F262*G262,3)</f>
        <v>0</v>
      </c>
      <c r="I262" s="1020"/>
      <c r="J262" s="1020" t="str">
        <f>VLOOKUP(B262,[25]!Table2[[Column2]:[Column6]],4,FALSE)</f>
        <v>A4</v>
      </c>
      <c r="K262" s="1020">
        <f>IF(J262="A1",0.8,IF(J262="A2",0.7,IF(J262="A3",0.6,IF(J262="A4",0.5,IF(J262="B1",0.35,IF(J262="B2",0.25,IF(J262="C1",0.15,IF(J262="C2",0.1,0))))))))</f>
        <v>0.5</v>
      </c>
      <c r="L262" s="1021">
        <v>20</v>
      </c>
      <c r="M262" s="1021">
        <f>VLOOKUP(B262,'[26]CN BC'!$F$10:$H$267,3,FALSE)</f>
        <v>20</v>
      </c>
      <c r="N262" s="1021">
        <f>IF(M262&gt;=L262,L262,IF(M262&lt;L262,M262))</f>
        <v>20</v>
      </c>
      <c r="O262" s="1022"/>
      <c r="P262" s="1023">
        <f>(((F262+H262+I262)*$P$9/L262*N262)*K262)+O262</f>
        <v>3510000</v>
      </c>
      <c r="Q262" s="1035">
        <v>23</v>
      </c>
      <c r="R262" s="1024">
        <f>A262</f>
        <v>250</v>
      </c>
      <c r="S262" s="1025">
        <f>VLOOKUP(B262,'[26]CN BC'!$F$10:$K$267,6,FALSE)</f>
        <v>0</v>
      </c>
      <c r="T262" s="1011" t="str">
        <f>VLOOKUP(B262,TH.T4!B95:AC425,28,FALSE)</f>
        <v>XD-NL</v>
      </c>
      <c r="U262" s="1038"/>
      <c r="V262" s="1489"/>
    </row>
    <row r="263" spans="1:29" s="1028" customFormat="1" ht="25.15" customHeight="1">
      <c r="A263" s="1014">
        <f>_xlfn.AGGREGATE(4,7,A$12:A262)+1</f>
        <v>251</v>
      </c>
      <c r="B263" s="1015" t="s">
        <v>1944</v>
      </c>
      <c r="C263" s="1033" t="s">
        <v>1959</v>
      </c>
      <c r="D263" s="1059"/>
      <c r="E263" s="81" t="str">
        <f>VLOOKUP(B263,TH.Q2!B93:E424,4,FALSE)</f>
        <v>Giảng viên khoa Xây dựng - Nhiệt lạnh</v>
      </c>
      <c r="F263" s="1018">
        <v>2.67</v>
      </c>
      <c r="G263" s="1019"/>
      <c r="H263" s="1248">
        <f>ROUND(F263*G263,3)</f>
        <v>0</v>
      </c>
      <c r="I263" s="1020"/>
      <c r="J263" s="1020" t="str">
        <f>VLOOKUP(B263,[25]!Table2[[Column2]:[Column6]],4,FALSE)</f>
        <v>A3</v>
      </c>
      <c r="K263" s="1020">
        <f>IF(J263="A1",0.8,IF(J263="A2",0.7,IF(J263="A3",0.6,IF(J263="A4",0.5,IF(J263="B1",0.35,IF(J263="B2",0.25,IF(J263="C1",0.15,IF(J263="C2",0.1,0))))))))</f>
        <v>0.6</v>
      </c>
      <c r="L263" s="1021">
        <v>20</v>
      </c>
      <c r="M263" s="1021">
        <f>VLOOKUP(B263,'[26]CN BC'!$F$10:$H$267,3,FALSE)</f>
        <v>20</v>
      </c>
      <c r="N263" s="1021">
        <f>IF(M263&gt;=L263,L263,IF(M263&lt;L263,M263))</f>
        <v>20</v>
      </c>
      <c r="O263" s="1022"/>
      <c r="P263" s="1023">
        <f>(((F263+H263+I263)*$P$9/L263*N263)*K263)+O263</f>
        <v>3748680</v>
      </c>
      <c r="Q263" s="1035">
        <v>23</v>
      </c>
      <c r="R263" s="1024">
        <f>A263</f>
        <v>251</v>
      </c>
      <c r="S263" s="1025">
        <f>VLOOKUP(B263,'[26]CN BC'!$F$10:$K$267,6,FALSE)</f>
        <v>0</v>
      </c>
      <c r="T263" s="1011" t="str">
        <f>VLOOKUP(B263,TH.T4!B96:AC426,28,FALSE)</f>
        <v>XD-NL</v>
      </c>
      <c r="U263" s="1038"/>
      <c r="V263" s="1489"/>
    </row>
    <row r="264" spans="1:29" s="1028" customFormat="1" ht="30" customHeight="1">
      <c r="A264" s="1014">
        <f>_xlfn.AGGREGATE(4,7,A$12:A263)+1</f>
        <v>252</v>
      </c>
      <c r="B264" s="1015" t="s">
        <v>1920</v>
      </c>
      <c r="C264" s="1033" t="s">
        <v>1819</v>
      </c>
      <c r="D264" s="1034" t="s">
        <v>1414</v>
      </c>
      <c r="E264" s="81" t="str">
        <f>VLOOKUP(B264,TH.Q2!B184:E515,4,FALSE)</f>
        <v>Giảng viên khoa Xây dựng - Nhiệt lạnh</v>
      </c>
      <c r="F264" s="1018">
        <v>4.9800000000000004</v>
      </c>
      <c r="G264" s="1019"/>
      <c r="H264" s="1255">
        <f t="shared" ref="H264:H270" si="44">ROUND(F264*G264,3)</f>
        <v>0</v>
      </c>
      <c r="I264" s="1020">
        <v>0.25</v>
      </c>
      <c r="J264" s="1020" t="str">
        <f>VLOOKUP(B264,[25]!Table2[[Column2]:[Column6]],4,FALSE)</f>
        <v>A4</v>
      </c>
      <c r="K264" s="1020">
        <f t="shared" si="43"/>
        <v>0.5</v>
      </c>
      <c r="L264" s="1021">
        <v>20</v>
      </c>
      <c r="M264" s="1021">
        <f>VLOOKUP(B264,'[26]CN BC'!$F$10:$H$267,3,FALSE)</f>
        <v>20</v>
      </c>
      <c r="N264" s="1021">
        <f t="shared" si="41"/>
        <v>20</v>
      </c>
      <c r="O264" s="1022"/>
      <c r="P264" s="1023">
        <f t="shared" si="42"/>
        <v>6119100.0000000009</v>
      </c>
      <c r="Q264" s="1022">
        <v>23</v>
      </c>
      <c r="R264" s="1024">
        <f t="shared" si="40"/>
        <v>252</v>
      </c>
      <c r="S264" s="1025">
        <f>VLOOKUP(B264,'[26]CN BC'!$F$10:$K$267,6,FALSE)</f>
        <v>0</v>
      </c>
      <c r="T264" s="1011" t="str">
        <f>VLOOKUP(B264,TH.T4!B280:AC610,28,FALSE)</f>
        <v>XD-NL</v>
      </c>
      <c r="U264" s="1027"/>
      <c r="V264" s="1489"/>
      <c r="W264" s="1012"/>
      <c r="X264" s="1012"/>
      <c r="Y264" s="1012"/>
    </row>
    <row r="265" spans="1:29" s="1028" customFormat="1" ht="30" customHeight="1">
      <c r="A265" s="1014">
        <f>_xlfn.AGGREGATE(4,7,A$12:A264)+1</f>
        <v>253</v>
      </c>
      <c r="B265" s="1015" t="s">
        <v>1921</v>
      </c>
      <c r="C265" s="1029" t="s">
        <v>1820</v>
      </c>
      <c r="D265" s="1034" t="s">
        <v>1415</v>
      </c>
      <c r="E265" s="81" t="str">
        <f>VLOOKUP(B265,TH.Q2!B185:E516,4,FALSE)</f>
        <v>Giảng viên khoa Xây dựng - Nhiệt lạnh</v>
      </c>
      <c r="F265" s="1018">
        <v>4.6500000000000004</v>
      </c>
      <c r="G265" s="1019"/>
      <c r="H265" s="1255">
        <f t="shared" si="44"/>
        <v>0</v>
      </c>
      <c r="I265" s="1020">
        <v>0.25</v>
      </c>
      <c r="J265" s="1020" t="str">
        <f>VLOOKUP(B265,[25]!Table2[[Column2]:[Column6]],4,FALSE)</f>
        <v>A3</v>
      </c>
      <c r="K265" s="1020">
        <f t="shared" si="43"/>
        <v>0.6</v>
      </c>
      <c r="L265" s="1021">
        <v>20</v>
      </c>
      <c r="M265" s="1021">
        <f>VLOOKUP(B265,'[26]CN BC'!$F$10:$H$267,3,FALSE)</f>
        <v>20</v>
      </c>
      <c r="N265" s="1021">
        <f t="shared" si="41"/>
        <v>20</v>
      </c>
      <c r="O265" s="1022"/>
      <c r="P265" s="1023">
        <f t="shared" si="42"/>
        <v>6879600</v>
      </c>
      <c r="Q265" s="1022">
        <v>23</v>
      </c>
      <c r="R265" s="1024">
        <f t="shared" si="40"/>
        <v>253</v>
      </c>
      <c r="S265" s="1025">
        <f>VLOOKUP(B265,'[26]CN BC'!$F$10:$K$267,6,FALSE)</f>
        <v>0</v>
      </c>
      <c r="T265" s="1011" t="str">
        <f>VLOOKUP(B265,TH.T4!B281:AC611,28,FALSE)</f>
        <v>XD-NL</v>
      </c>
      <c r="U265" s="1027"/>
      <c r="V265" s="1489"/>
      <c r="W265" s="1012"/>
      <c r="X265" s="1012"/>
      <c r="Y265" s="1012"/>
      <c r="Z265" s="1012"/>
      <c r="AA265" s="1012"/>
      <c r="AB265" s="1012"/>
      <c r="AC265" s="1012"/>
    </row>
    <row r="266" spans="1:29" s="1028" customFormat="1" ht="30" customHeight="1">
      <c r="A266" s="1014">
        <f>_xlfn.AGGREGATE(4,7,A$12:A265)+1</f>
        <v>254</v>
      </c>
      <c r="B266" s="1015" t="s">
        <v>1922</v>
      </c>
      <c r="C266" s="1033" t="s">
        <v>1821</v>
      </c>
      <c r="D266" s="1034" t="s">
        <v>392</v>
      </c>
      <c r="E266" s="81" t="str">
        <f>VLOOKUP(B266,TH.Q2!B186:E517,4,FALSE)</f>
        <v>Giảng viên khoa Xây dựng - Nhiệt lạnh</v>
      </c>
      <c r="F266" s="1040">
        <v>3.99</v>
      </c>
      <c r="G266" s="1019"/>
      <c r="H266" s="1248">
        <f t="shared" si="44"/>
        <v>0</v>
      </c>
      <c r="I266" s="1020"/>
      <c r="J266" s="1020" t="str">
        <f>VLOOKUP(B266,[25]!Table2[[Column2]:[Column6]],4,FALSE)</f>
        <v>A4</v>
      </c>
      <c r="K266" s="1020">
        <f t="shared" si="43"/>
        <v>0.5</v>
      </c>
      <c r="L266" s="1021">
        <v>20</v>
      </c>
      <c r="M266" s="1021">
        <f>VLOOKUP(B266,'[26]CN BC'!$F$10:$H$267,3,FALSE)</f>
        <v>20</v>
      </c>
      <c r="N266" s="1021">
        <f t="shared" si="41"/>
        <v>20</v>
      </c>
      <c r="O266" s="1022"/>
      <c r="P266" s="1023">
        <f t="shared" si="42"/>
        <v>4668300</v>
      </c>
      <c r="Q266" s="1035">
        <v>23</v>
      </c>
      <c r="R266" s="1024">
        <f t="shared" si="40"/>
        <v>254</v>
      </c>
      <c r="S266" s="1025">
        <f>VLOOKUP(B266,'[26]CN BC'!$F$10:$K$267,6,FALSE)</f>
        <v>0</v>
      </c>
      <c r="T266" s="1011" t="str">
        <f>VLOOKUP(B266,TH.T4!B282:AC612,28,FALSE)</f>
        <v>XD-NL</v>
      </c>
      <c r="U266" s="1038"/>
      <c r="V266" s="1489"/>
    </row>
    <row r="267" spans="1:29" s="1028" customFormat="1" ht="30" customHeight="1">
      <c r="A267" s="1014">
        <f>_xlfn.AGGREGATE(4,7,A$12:A266)+1</f>
        <v>255</v>
      </c>
      <c r="B267" s="1015" t="s">
        <v>1923</v>
      </c>
      <c r="C267" s="1033" t="s">
        <v>1822</v>
      </c>
      <c r="D267" s="1047" t="s">
        <v>511</v>
      </c>
      <c r="E267" s="81" t="str">
        <f>VLOOKUP(B267,TH.Q2!B187:E518,4,FALSE)</f>
        <v>Giảng viên khoa Xây dựng - Nhiệt lạnh</v>
      </c>
      <c r="F267" s="1040">
        <v>3.66</v>
      </c>
      <c r="G267" s="1019"/>
      <c r="H267" s="1248">
        <f t="shared" si="44"/>
        <v>0</v>
      </c>
      <c r="I267" s="1020"/>
      <c r="J267" s="1020" t="str">
        <f>VLOOKUP(B267,[25]!Table2[[Column2]:[Column6]],4,FALSE)</f>
        <v>A3</v>
      </c>
      <c r="K267" s="1020">
        <f t="shared" si="43"/>
        <v>0.6</v>
      </c>
      <c r="L267" s="1021">
        <v>20</v>
      </c>
      <c r="M267" s="1021">
        <f>VLOOKUP(B267,'[26]CN BC'!$F$10:$H$267,3,FALSE)</f>
        <v>20</v>
      </c>
      <c r="N267" s="1021">
        <f t="shared" si="41"/>
        <v>20</v>
      </c>
      <c r="O267" s="1022"/>
      <c r="P267" s="1023">
        <f t="shared" si="42"/>
        <v>5138640</v>
      </c>
      <c r="Q267" s="1035">
        <v>23</v>
      </c>
      <c r="R267" s="1024">
        <f t="shared" si="40"/>
        <v>255</v>
      </c>
      <c r="S267" s="1025">
        <f>VLOOKUP(B267,'[26]CN BC'!$F$10:$K$267,6,FALSE)</f>
        <v>0</v>
      </c>
      <c r="T267" s="1011" t="str">
        <f>VLOOKUP(B267,TH.T4!B283:AC613,28,FALSE)</f>
        <v>XD-NL</v>
      </c>
      <c r="U267" s="1038"/>
      <c r="V267" s="1489"/>
    </row>
    <row r="268" spans="1:29" s="1028" customFormat="1" ht="30" customHeight="1">
      <c r="A268" s="1014">
        <f>_xlfn.AGGREGATE(4,7,A$12:A267)+1</f>
        <v>256</v>
      </c>
      <c r="B268" s="1015" t="s">
        <v>1552</v>
      </c>
      <c r="C268" s="1033" t="s">
        <v>1823</v>
      </c>
      <c r="D268" s="1034" t="s">
        <v>1418</v>
      </c>
      <c r="E268" s="81" t="str">
        <f>VLOOKUP(B268,TH.Q2!B188:E519,4,FALSE)</f>
        <v>Giảng viên khoa Xây dựng - Nhiệt lạnh</v>
      </c>
      <c r="F268" s="1018">
        <v>4.6500000000000004</v>
      </c>
      <c r="G268" s="1019"/>
      <c r="H268" s="1248">
        <f t="shared" si="44"/>
        <v>0</v>
      </c>
      <c r="I268" s="1020"/>
      <c r="J268" s="1020" t="str">
        <f>VLOOKUP(B268,[25]!Table2[[Column2]:[Column6]],4,FALSE)</f>
        <v>A4</v>
      </c>
      <c r="K268" s="1020">
        <f t="shared" si="43"/>
        <v>0.5</v>
      </c>
      <c r="L268" s="1021">
        <v>20</v>
      </c>
      <c r="M268" s="1021">
        <f>VLOOKUP(B268,'[26]CN BC'!$F$10:$H$267,3,FALSE)</f>
        <v>20</v>
      </c>
      <c r="N268" s="1021">
        <f t="shared" si="41"/>
        <v>20</v>
      </c>
      <c r="O268" s="1022"/>
      <c r="P268" s="1023">
        <f t="shared" si="42"/>
        <v>5440500</v>
      </c>
      <c r="Q268" s="1035">
        <v>23</v>
      </c>
      <c r="R268" s="1024">
        <f t="shared" si="40"/>
        <v>256</v>
      </c>
      <c r="S268" s="1025">
        <f>VLOOKUP(B268,'[26]CN BC'!$F$10:$K$267,6,FALSE)</f>
        <v>0</v>
      </c>
      <c r="T268" s="1011" t="str">
        <f>VLOOKUP(B268,TH.T4!B284:AC614,28,FALSE)</f>
        <v>XD-NL</v>
      </c>
      <c r="U268" s="1038"/>
      <c r="V268" s="1489"/>
    </row>
    <row r="269" spans="1:29" s="1028" customFormat="1" ht="30" customHeight="1">
      <c r="A269" s="1014">
        <f>_xlfn.AGGREGATE(4,7,A$12:A268)+1</f>
        <v>257</v>
      </c>
      <c r="B269" s="1015" t="s">
        <v>1940</v>
      </c>
      <c r="C269" s="1033" t="s">
        <v>1991</v>
      </c>
      <c r="D269" s="1034" t="s">
        <v>1992</v>
      </c>
      <c r="E269" s="81" t="str">
        <f>VLOOKUP(B269,TH.Q2!B189:E520,4,FALSE)</f>
        <v>Giảng viên khoa Xây dựng - Nhiệt lạnh</v>
      </c>
      <c r="F269" s="1040">
        <v>3.33</v>
      </c>
      <c r="G269" s="1019"/>
      <c r="H269" s="1248">
        <f t="shared" si="44"/>
        <v>0</v>
      </c>
      <c r="I269" s="1020"/>
      <c r="J269" s="1020" t="str">
        <f>VLOOKUP(B269,[25]!Table2[[Column2]:[Column6]],4,FALSE)</f>
        <v>A2</v>
      </c>
      <c r="K269" s="1020">
        <f t="shared" si="43"/>
        <v>0.7</v>
      </c>
      <c r="L269" s="1021">
        <v>20</v>
      </c>
      <c r="M269" s="1021">
        <f>VLOOKUP(B269,'[26]CN BC'!$F$10:$H$267,3,FALSE)</f>
        <v>20</v>
      </c>
      <c r="N269" s="1021">
        <f t="shared" si="41"/>
        <v>20</v>
      </c>
      <c r="O269" s="1022"/>
      <c r="P269" s="1023">
        <f t="shared" si="42"/>
        <v>5454540</v>
      </c>
      <c r="Q269" s="1035">
        <v>23</v>
      </c>
      <c r="R269" s="1024">
        <f t="shared" si="40"/>
        <v>257</v>
      </c>
      <c r="S269" s="1025">
        <f>VLOOKUP(B269,'[26]CN BC'!$F$10:$K$267,6,FALSE)</f>
        <v>0</v>
      </c>
      <c r="T269" s="1011" t="str">
        <f>VLOOKUP(B269,TH.T4!B285:AC615,28,FALSE)</f>
        <v>XD-NL</v>
      </c>
      <c r="U269" s="1027"/>
      <c r="V269" s="1489"/>
      <c r="W269" s="1012"/>
      <c r="X269" s="1012"/>
      <c r="Y269" s="1012"/>
    </row>
    <row r="270" spans="1:29" s="1012" customFormat="1" ht="30" customHeight="1">
      <c r="A270" s="1014">
        <f>_xlfn.AGGREGATE(4,7,A$12:A269)+1</f>
        <v>258</v>
      </c>
      <c r="B270" s="1050" t="s">
        <v>1553</v>
      </c>
      <c r="C270" s="1029" t="s">
        <v>1824</v>
      </c>
      <c r="D270" s="1111">
        <v>1603205246186</v>
      </c>
      <c r="E270" s="81" t="str">
        <f>VLOOKUP(B270,TH.Q2!B190:E521,4,FALSE)</f>
        <v>Giảng viên khoa Xây dựng - Nhiệt lạnh</v>
      </c>
      <c r="F270" s="1018">
        <v>4.9800000000000004</v>
      </c>
      <c r="G270" s="1019">
        <v>0.05</v>
      </c>
      <c r="H270" s="1248">
        <f t="shared" si="44"/>
        <v>0.249</v>
      </c>
      <c r="I270" s="1020"/>
      <c r="J270" s="1020" t="str">
        <f>VLOOKUP(B270,[25]!Table2[[Column2]:[Column6]],4,FALSE)</f>
        <v>A4</v>
      </c>
      <c r="K270" s="1020">
        <f t="shared" si="43"/>
        <v>0.5</v>
      </c>
      <c r="L270" s="1021">
        <v>20</v>
      </c>
      <c r="M270" s="1021">
        <f>VLOOKUP(B270,'[26]CN BC'!$F$10:$H$267,3,FALSE)</f>
        <v>20</v>
      </c>
      <c r="N270" s="1021">
        <f t="shared" si="41"/>
        <v>20</v>
      </c>
      <c r="O270" s="1022"/>
      <c r="P270" s="1023">
        <f t="shared" si="42"/>
        <v>6117930</v>
      </c>
      <c r="Q270" s="1022">
        <v>23</v>
      </c>
      <c r="R270" s="1024">
        <f t="shared" si="40"/>
        <v>258</v>
      </c>
      <c r="S270" s="1025">
        <f>VLOOKUP(B270,'[26]CN BC'!$F$10:$K$267,6,FALSE)</f>
        <v>0</v>
      </c>
      <c r="T270" s="1011" t="str">
        <f>VLOOKUP(B270,TH.T4!B286:AC616,28,FALSE)</f>
        <v>XD-NL</v>
      </c>
      <c r="U270" s="1027"/>
      <c r="V270" s="1489"/>
    </row>
    <row r="271" spans="1:29" s="1125" customFormat="1" ht="18" customHeight="1">
      <c r="A271" s="1115"/>
      <c r="B271" s="1116" t="s">
        <v>1109</v>
      </c>
      <c r="C271" s="1117"/>
      <c r="D271" s="1118"/>
      <c r="E271" s="1118"/>
      <c r="F271" s="1119">
        <f>SUM(F13:F270)</f>
        <v>1023.950000000001</v>
      </c>
      <c r="G271" s="1119">
        <f>SUM(G13:G270)</f>
        <v>2.7700000000000005</v>
      </c>
      <c r="H271" s="1119">
        <f>SUM(H13:H270)</f>
        <v>13.792999999999999</v>
      </c>
      <c r="I271" s="1119">
        <f>SUM(I13:I270)</f>
        <v>21.499999999999993</v>
      </c>
      <c r="J271" s="1119"/>
      <c r="K271" s="1119">
        <f t="shared" ref="K271:P271" si="45">SUM(K13:K270)</f>
        <v>160.44999999999976</v>
      </c>
      <c r="L271" s="1120">
        <f t="shared" si="45"/>
        <v>5160</v>
      </c>
      <c r="M271" s="1120">
        <f t="shared" si="45"/>
        <v>5332</v>
      </c>
      <c r="N271" s="1120">
        <f t="shared" si="45"/>
        <v>5133</v>
      </c>
      <c r="O271" s="1120">
        <f t="shared" si="45"/>
        <v>0</v>
      </c>
      <c r="P271" s="1120">
        <f t="shared" si="45"/>
        <v>1540037947.5</v>
      </c>
      <c r="Q271" s="1122"/>
      <c r="R271" s="1123"/>
      <c r="S271" s="1118"/>
      <c r="T271" s="1124"/>
    </row>
    <row r="272" spans="1:29" ht="2.25" customHeight="1">
      <c r="L272" s="1007"/>
      <c r="M272" s="1007"/>
      <c r="N272" s="1007"/>
      <c r="O272" s="1007"/>
      <c r="P272" s="1259"/>
      <c r="Q272" s="1259"/>
    </row>
    <row r="273" spans="1:20" s="1003" customFormat="1" ht="18.75" customHeight="1">
      <c r="B273" s="1602" t="s">
        <v>2483</v>
      </c>
      <c r="C273" s="1602"/>
      <c r="D273" s="1602"/>
      <c r="E273" s="1602"/>
      <c r="F273" s="1602"/>
      <c r="G273" s="1602"/>
      <c r="H273" s="1602"/>
      <c r="I273" s="1602"/>
      <c r="J273" s="1602"/>
      <c r="K273" s="1602"/>
      <c r="L273" s="1602"/>
      <c r="M273" s="1602"/>
      <c r="N273" s="1602"/>
      <c r="O273" s="1602"/>
      <c r="P273" s="1261"/>
      <c r="Q273" s="1261"/>
      <c r="S273" s="1262"/>
      <c r="T273" s="1008"/>
    </row>
    <row r="274" spans="1:20" s="1003" customFormat="1" ht="18" customHeight="1">
      <c r="B274" s="1263"/>
      <c r="C274" s="1004"/>
      <c r="D274" s="1004"/>
      <c r="E274" s="1004"/>
      <c r="F274" s="1260"/>
      <c r="G274" s="1260"/>
      <c r="H274" s="1260"/>
      <c r="I274" s="1260"/>
      <c r="J274" s="1321">
        <f>COUNTIF($J$13:$J$270,"A2")</f>
        <v>46</v>
      </c>
      <c r="K274" s="1260"/>
      <c r="L274" s="1580" t="s">
        <v>2472</v>
      </c>
      <c r="M274" s="1580"/>
      <c r="N274" s="1580"/>
      <c r="O274" s="1580"/>
      <c r="P274" s="1580"/>
      <c r="Q274" s="1580"/>
      <c r="R274" s="1580"/>
      <c r="S274" s="1580"/>
      <c r="T274" s="1008"/>
    </row>
    <row r="275" spans="1:20" s="1003" customFormat="1">
      <c r="A275" s="1570" t="s">
        <v>859</v>
      </c>
      <c r="B275" s="1570"/>
      <c r="C275" s="1004"/>
      <c r="D275" s="1004"/>
      <c r="E275" s="1570" t="s">
        <v>1446</v>
      </c>
      <c r="F275" s="1570"/>
      <c r="G275" s="1570"/>
      <c r="H275" s="1570"/>
      <c r="I275" s="1570"/>
      <c r="J275" s="1570" t="s">
        <v>1191</v>
      </c>
      <c r="K275" s="1570"/>
      <c r="L275" s="1570"/>
      <c r="M275" s="1570"/>
      <c r="N275" s="1570"/>
      <c r="O275" s="1570" t="s">
        <v>2419</v>
      </c>
      <c r="P275" s="1570"/>
      <c r="Q275" s="1570"/>
      <c r="R275" s="1570"/>
      <c r="S275" s="1570"/>
      <c r="T275" s="1008"/>
    </row>
    <row r="276" spans="1:20" s="1003" customFormat="1" ht="11.25" customHeight="1">
      <c r="A276" s="1218"/>
      <c r="B276" s="1218"/>
      <c r="C276" s="1004"/>
      <c r="D276" s="1004"/>
      <c r="E276" s="1004"/>
      <c r="F276" s="1218"/>
      <c r="G276" s="1218"/>
      <c r="H276" s="1218"/>
      <c r="I276" s="1218"/>
      <c r="J276" s="1324"/>
      <c r="K276" s="1218"/>
      <c r="L276" s="1218"/>
      <c r="M276" s="1218"/>
      <c r="N276" s="1218"/>
      <c r="O276" s="1004"/>
      <c r="P276" s="1570"/>
      <c r="Q276" s="1570"/>
      <c r="R276" s="1570"/>
      <c r="S276" s="1570"/>
      <c r="T276" s="1008"/>
    </row>
    <row r="277" spans="1:20" s="1003" customFormat="1" ht="10.5" customHeight="1">
      <c r="A277" s="1218"/>
      <c r="B277" s="1218"/>
      <c r="C277" s="1004"/>
      <c r="D277" s="1004"/>
      <c r="E277" s="1004"/>
      <c r="F277" s="1218"/>
      <c r="G277" s="1218"/>
      <c r="H277" s="1218"/>
      <c r="I277" s="1218"/>
      <c r="J277" s="1436">
        <f>COUNTIF($J$13:$J$270,"A1")</f>
        <v>55</v>
      </c>
      <c r="K277" s="1218"/>
      <c r="L277" s="1218"/>
      <c r="M277" s="1218"/>
      <c r="N277" s="1218"/>
      <c r="O277" s="1004"/>
      <c r="P277" s="1218"/>
      <c r="Q277" s="1218"/>
      <c r="S277" s="1135"/>
      <c r="T277" s="1008"/>
    </row>
    <row r="278" spans="1:20" s="1003" customFormat="1" ht="8.25" customHeight="1">
      <c r="J278" s="1436">
        <f>COUNTIF($J$13:$J$270,"A2")</f>
        <v>46</v>
      </c>
      <c r="L278" s="1218"/>
      <c r="M278" s="1218"/>
      <c r="N278" s="1218"/>
      <c r="O278" s="1006"/>
      <c r="P278" s="1006"/>
      <c r="Q278" s="1006"/>
      <c r="S278" s="1007"/>
      <c r="T278" s="1008"/>
    </row>
    <row r="279" spans="1:20" s="1003" customFormat="1" ht="13.5" customHeight="1">
      <c r="J279" s="1436">
        <f>COUNTIF($J$13:$J$270,"A3")</f>
        <v>69</v>
      </c>
      <c r="L279" s="1218"/>
      <c r="M279" s="1218"/>
      <c r="N279" s="1218"/>
      <c r="O279" s="1006"/>
      <c r="P279" s="1006"/>
      <c r="Q279" s="1006"/>
      <c r="S279" s="1264"/>
      <c r="T279" s="1008"/>
    </row>
    <row r="280" spans="1:20" s="1003" customFormat="1" ht="13.5" customHeight="1">
      <c r="J280" s="1436">
        <f>COUNTIF($J$13:$J$270,"A4")</f>
        <v>85</v>
      </c>
      <c r="L280" s="1218"/>
      <c r="M280" s="1218"/>
      <c r="N280" s="1218"/>
      <c r="O280" s="1006"/>
      <c r="P280" s="1265"/>
      <c r="Q280" s="1265"/>
      <c r="S280" s="1007"/>
      <c r="T280" s="1008"/>
    </row>
    <row r="281" spans="1:20" s="1003" customFormat="1" ht="13.5" customHeight="1">
      <c r="F281" s="1006"/>
      <c r="G281" s="1006"/>
      <c r="H281" s="1006"/>
      <c r="I281" s="1006"/>
      <c r="J281" s="1436"/>
      <c r="K281" s="1006"/>
      <c r="L281" s="1006"/>
      <c r="M281" s="1006"/>
      <c r="N281" s="1006"/>
      <c r="O281" s="1006"/>
      <c r="P281" s="1006"/>
      <c r="Q281" s="1006"/>
      <c r="S281" s="1264"/>
      <c r="T281" s="1008"/>
    </row>
    <row r="282" spans="1:20" s="1003" customFormat="1" ht="13.5" customHeight="1">
      <c r="F282" s="1006"/>
      <c r="G282" s="1006"/>
      <c r="H282" s="1006"/>
      <c r="I282" s="1006"/>
      <c r="J282" s="1436"/>
      <c r="K282" s="1006"/>
      <c r="L282" s="1006"/>
      <c r="M282" s="1006"/>
      <c r="N282" s="1006"/>
      <c r="O282" s="1006"/>
      <c r="P282" s="1006"/>
      <c r="Q282" s="1006"/>
      <c r="S282" s="1007"/>
      <c r="T282" s="1008"/>
    </row>
    <row r="283" spans="1:20" s="1003" customFormat="1">
      <c r="A283" s="1570" t="s">
        <v>1827</v>
      </c>
      <c r="B283" s="1570"/>
      <c r="C283" s="1004"/>
      <c r="D283" s="1004"/>
      <c r="E283" s="1570" t="s">
        <v>2485</v>
      </c>
      <c r="F283" s="1570"/>
      <c r="G283" s="1570"/>
      <c r="H283" s="1570"/>
      <c r="I283" s="1570"/>
      <c r="J283" s="1570" t="s">
        <v>1445</v>
      </c>
      <c r="K283" s="1570"/>
      <c r="L283" s="1570"/>
      <c r="M283" s="1570"/>
      <c r="N283" s="1570"/>
      <c r="O283" s="1570" t="s">
        <v>2420</v>
      </c>
      <c r="P283" s="1570"/>
      <c r="Q283" s="1570"/>
      <c r="R283" s="1570"/>
      <c r="S283" s="1570"/>
      <c r="T283" s="1008"/>
    </row>
    <row r="284" spans="1:20" ht="15.75">
      <c r="A284" s="1267"/>
    </row>
    <row r="285" spans="1:20" ht="15.75" customHeight="1">
      <c r="A285" s="1267"/>
    </row>
    <row r="341" ht="15.75" customHeight="1"/>
  </sheetData>
  <mergeCells count="31">
    <mergeCell ref="L8:O8"/>
    <mergeCell ref="F10:I10"/>
    <mergeCell ref="J10:K10"/>
    <mergeCell ref="E10:E11"/>
    <mergeCell ref="L10:N10"/>
    <mergeCell ref="J9:K9"/>
    <mergeCell ref="R10:S11"/>
    <mergeCell ref="P10:P11"/>
    <mergeCell ref="O10:O11"/>
    <mergeCell ref="R12:S12"/>
    <mergeCell ref="A10:A11"/>
    <mergeCell ref="B10:B11"/>
    <mergeCell ref="J1:S1"/>
    <mergeCell ref="J2:S2"/>
    <mergeCell ref="A7:S7"/>
    <mergeCell ref="A6:S6"/>
    <mergeCell ref="A5:S5"/>
    <mergeCell ref="A1:G1"/>
    <mergeCell ref="A2:G2"/>
    <mergeCell ref="A3:G3"/>
    <mergeCell ref="E275:I275"/>
    <mergeCell ref="E283:I283"/>
    <mergeCell ref="J275:N275"/>
    <mergeCell ref="J283:N283"/>
    <mergeCell ref="B273:O273"/>
    <mergeCell ref="O275:S275"/>
    <mergeCell ref="O283:S283"/>
    <mergeCell ref="P276:S276"/>
    <mergeCell ref="L274:S274"/>
    <mergeCell ref="A275:B275"/>
    <mergeCell ref="A283:B283"/>
  </mergeCells>
  <phoneticPr fontId="10" type="noConversion"/>
  <conditionalFormatting sqref="D63 D188:D196 A7 D84 D115:D118 D237:D249 C261 D175:D186 D17:D18 D88 D99:D103 B63 D170:D173 D125:D127 D35:D36 D214:D229 D198:D212 C19:D19 F10 A283 A10:D10 Q11 P10:R10 C11:D11 A275 A9:I9 L10:M10 A276:P276 F11:J11 G250:G263 H1:I2 A1:A3 A274:L274 A273:B273 P273:S273 A12:R12 A271:S272 D13:D14 D67:D69 D47:D50 D73 D264:D269 D96 D40 D20 C64:D66 B56:D56 F13:G16 I13:I16 A13:B14 D42:D45 D23:D30 D54 W57:IL61 D32:D33 D75 B75:B77 B79:B80 F75:G80 R75:R80 F42:G45 I42:I45 D120:D122 D130:D139 B67:B73 F63:G73 W63:IL73 I63:I80 D108:D113 D141:D168 V57:V82 V83:IL110 F261:G270 U56:IL56 D56:D61 F47:G61 I47:I61 B15:B18 U82:IL82 F19:G40 F82:G249 I19:I40 I82:I270 T56:T270 B20:B61 B82:B270 R13:R73 R82:R270 P13:P270 K13:N270 A15:A270 T283:IL283 T1:IL2 T7:IL7 T276:XFD276 U10:XFD11 L9:XFD9 A4:XFD6 A284:XFD65530 A8:XFD8 H3:XFD3 A277:XFD282 U108:IL270 T271:IL275 T10:T54 U12:IL54 U75:IL80 U83:U108 U56:U61 T55:IL55 U63:U80">
    <cfRule type="cellIs" dxfId="2004" priority="538" stopIfTrue="1" operator="equal">
      <formula>"KXL"</formula>
    </cfRule>
    <cfRule type="cellIs" dxfId="2003" priority="539" stopIfTrue="1" operator="equal">
      <formula>"A DN"</formula>
    </cfRule>
    <cfRule type="cellIs" dxfId="2002" priority="540" stopIfTrue="1" operator="equal">
      <formula>"C"</formula>
    </cfRule>
    <cfRule type="cellIs" dxfId="2001" priority="541" stopIfTrue="1" operator="equal">
      <formula>"B"</formula>
    </cfRule>
  </conditionalFormatting>
  <conditionalFormatting sqref="B65 W43:IL44 W62:IL62 W65:IL65 U65 U62 U43:U44">
    <cfRule type="cellIs" dxfId="2000" priority="489" stopIfTrue="1" operator="equal">
      <formula>"C"</formula>
    </cfRule>
    <cfRule type="cellIs" dxfId="1999" priority="490" stopIfTrue="1" operator="equal">
      <formula>"B"</formula>
    </cfRule>
    <cfRule type="cellIs" dxfId="1998" priority="491" stopIfTrue="1" operator="equal">
      <formula>"A DN"</formula>
    </cfRule>
  </conditionalFormatting>
  <conditionalFormatting sqref="B62">
    <cfRule type="cellIs" dxfId="1997" priority="484" stopIfTrue="1" operator="equal">
      <formula>"C"</formula>
    </cfRule>
    <cfRule type="cellIs" dxfId="1996" priority="485" stopIfTrue="1" operator="equal">
      <formula>"B"</formula>
    </cfRule>
    <cfRule type="cellIs" dxfId="1995" priority="486" stopIfTrue="1" operator="equal">
      <formula>"A DN"</formula>
    </cfRule>
  </conditionalFormatting>
  <conditionalFormatting sqref="B43:B44">
    <cfRule type="cellIs" dxfId="1994" priority="479" stopIfTrue="1" operator="equal">
      <formula>"C"</formula>
    </cfRule>
    <cfRule type="cellIs" dxfId="1993" priority="480" stopIfTrue="1" operator="equal">
      <formula>"B"</formula>
    </cfRule>
    <cfRule type="cellIs" dxfId="1992" priority="481" stopIfTrue="1" operator="equal">
      <formula>"A DN"</formula>
    </cfRule>
  </conditionalFormatting>
  <conditionalFormatting sqref="D43:D44">
    <cfRule type="cellIs" dxfId="1991" priority="473" stopIfTrue="1" operator="equal">
      <formula>"KXL"</formula>
    </cfRule>
    <cfRule type="cellIs" dxfId="1990" priority="474" stopIfTrue="1" operator="equal">
      <formula>"A DN"</formula>
    </cfRule>
    <cfRule type="cellIs" dxfId="1989" priority="475" stopIfTrue="1" operator="equal">
      <formula>"C"</formula>
    </cfRule>
    <cfRule type="cellIs" dxfId="1988" priority="476" stopIfTrue="1" operator="equal">
      <formula>"B"</formula>
    </cfRule>
  </conditionalFormatting>
  <conditionalFormatting sqref="C18:D18">
    <cfRule type="cellIs" dxfId="1987" priority="418" stopIfTrue="1" operator="equal">
      <formula>"KXL"</formula>
    </cfRule>
    <cfRule type="cellIs" dxfId="1986" priority="419" stopIfTrue="1" operator="equal">
      <formula>"A DN"</formula>
    </cfRule>
    <cfRule type="cellIs" dxfId="1985" priority="420" stopIfTrue="1" operator="equal">
      <formula>"C"</formula>
    </cfRule>
    <cfRule type="cellIs" dxfId="1984" priority="421" stopIfTrue="1" operator="equal">
      <formula>"B"</formula>
    </cfRule>
  </conditionalFormatting>
  <conditionalFormatting sqref="C75:D75 C78:C80">
    <cfRule type="cellIs" dxfId="1983" priority="392" stopIfTrue="1" operator="equal">
      <formula>"KXL"</formula>
    </cfRule>
    <cfRule type="cellIs" dxfId="1982" priority="393" stopIfTrue="1" operator="equal">
      <formula>"A DN"</formula>
    </cfRule>
    <cfRule type="cellIs" dxfId="1981" priority="394" stopIfTrue="1" operator="equal">
      <formula>"C"</formula>
    </cfRule>
    <cfRule type="cellIs" dxfId="1980" priority="395" stopIfTrue="1" operator="equal">
      <formula>"B"</formula>
    </cfRule>
  </conditionalFormatting>
  <conditionalFormatting sqref="R74:R80">
    <cfRule type="cellIs" dxfId="1979" priority="301" stopIfTrue="1" operator="equal">
      <formula>"KXL"</formula>
    </cfRule>
    <cfRule type="cellIs" dxfId="1978" priority="302" stopIfTrue="1" operator="equal">
      <formula>"A DN"</formula>
    </cfRule>
    <cfRule type="cellIs" dxfId="1977" priority="303" stopIfTrue="1" operator="equal">
      <formula>"C"</formula>
    </cfRule>
    <cfRule type="cellIs" dxfId="1976" priority="304" stopIfTrue="1" operator="equal">
      <formula>"B"</formula>
    </cfRule>
  </conditionalFormatting>
  <conditionalFormatting sqref="C74:D80 W74:IL80">
    <cfRule type="cellIs" dxfId="1975" priority="297" stopIfTrue="1" operator="equal">
      <formula>"KXL"</formula>
    </cfRule>
    <cfRule type="cellIs" dxfId="1974" priority="298" stopIfTrue="1" operator="equal">
      <formula>"A DN"</formula>
    </cfRule>
    <cfRule type="cellIs" dxfId="1973" priority="299" stopIfTrue="1" operator="equal">
      <formula>"C"</formula>
    </cfRule>
    <cfRule type="cellIs" dxfId="1972" priority="300" stopIfTrue="1" operator="equal">
      <formula>"B"</formula>
    </cfRule>
  </conditionalFormatting>
  <conditionalFormatting sqref="F17:G18 I17:I18 I41:I46 F41:G46">
    <cfRule type="cellIs" dxfId="1971" priority="118" stopIfTrue="1" operator="equal">
      <formula>"KXL"</formula>
    </cfRule>
    <cfRule type="cellIs" dxfId="1970" priority="119" stopIfTrue="1" operator="equal">
      <formula>"A DN"</formula>
    </cfRule>
    <cfRule type="cellIs" dxfId="1969" priority="120" stopIfTrue="1" operator="equal">
      <formula>"C"</formula>
    </cfRule>
    <cfRule type="cellIs" dxfId="1968" priority="121" stopIfTrue="1" operator="equal">
      <formula>"B"</formula>
    </cfRule>
  </conditionalFormatting>
  <conditionalFormatting sqref="F65:G65 I65">
    <cfRule type="cellIs" dxfId="1967" priority="115" stopIfTrue="1" operator="equal">
      <formula>"C"</formula>
    </cfRule>
    <cfRule type="cellIs" dxfId="1966" priority="116" stopIfTrue="1" operator="equal">
      <formula>"B"</formula>
    </cfRule>
    <cfRule type="cellIs" dxfId="1965" priority="117" stopIfTrue="1" operator="equal">
      <formula>"A DN"</formula>
    </cfRule>
  </conditionalFormatting>
  <conditionalFormatting sqref="F62:G62 I62">
    <cfRule type="cellIs" dxfId="1964" priority="112" stopIfTrue="1" operator="equal">
      <formula>"C"</formula>
    </cfRule>
    <cfRule type="cellIs" dxfId="1963" priority="113" stopIfTrue="1" operator="equal">
      <formula>"B"</formula>
    </cfRule>
    <cfRule type="cellIs" dxfId="1962" priority="114" stopIfTrue="1" operator="equal">
      <formula>"A DN"</formula>
    </cfRule>
  </conditionalFormatting>
  <conditionalFormatting sqref="F43:F44 I43:I44">
    <cfRule type="cellIs" dxfId="1961" priority="109" stopIfTrue="1" operator="equal">
      <formula>"C"</formula>
    </cfRule>
    <cfRule type="cellIs" dxfId="1960" priority="110" stopIfTrue="1" operator="equal">
      <formula>"B"</formula>
    </cfRule>
    <cfRule type="cellIs" dxfId="1959" priority="111" stopIfTrue="1" operator="equal">
      <formula>"A DN"</formula>
    </cfRule>
  </conditionalFormatting>
  <conditionalFormatting sqref="F18:G18 I18">
    <cfRule type="cellIs" dxfId="1958" priority="105" stopIfTrue="1" operator="equal">
      <formula>"KXL"</formula>
    </cfRule>
    <cfRule type="cellIs" dxfId="1957" priority="106" stopIfTrue="1" operator="equal">
      <formula>"A DN"</formula>
    </cfRule>
    <cfRule type="cellIs" dxfId="1956" priority="107" stopIfTrue="1" operator="equal">
      <formula>"C"</formula>
    </cfRule>
    <cfRule type="cellIs" dxfId="1955" priority="108" stopIfTrue="1" operator="equal">
      <formula>"B"</formula>
    </cfRule>
  </conditionalFormatting>
  <conditionalFormatting sqref="F74:G80">
    <cfRule type="cellIs" dxfId="1954" priority="97" stopIfTrue="1" operator="equal">
      <formula>"KXL"</formula>
    </cfRule>
    <cfRule type="cellIs" dxfId="1953" priority="98" stopIfTrue="1" operator="equal">
      <formula>"A DN"</formula>
    </cfRule>
    <cfRule type="cellIs" dxfId="1952" priority="99" stopIfTrue="1" operator="equal">
      <formula>"C"</formula>
    </cfRule>
    <cfRule type="cellIs" dxfId="1951" priority="100" stopIfTrue="1" operator="equal">
      <formula>"B"</formula>
    </cfRule>
  </conditionalFormatting>
  <conditionalFormatting sqref="J13:J270">
    <cfRule type="cellIs" dxfId="1950" priority="21" operator="equal">
      <formula>"A DN"</formula>
    </cfRule>
    <cfRule type="cellIs" dxfId="1949" priority="22" operator="equal">
      <formula>"KXL"</formula>
    </cfRule>
    <cfRule type="cellIs" dxfId="1948" priority="23" operator="equal">
      <formula>"D"</formula>
    </cfRule>
    <cfRule type="cellIs" dxfId="1947" priority="24" operator="equal">
      <formula>"C2"</formula>
    </cfRule>
    <cfRule type="cellIs" dxfId="1946" priority="25" operator="equal">
      <formula>"C1"</formula>
    </cfRule>
    <cfRule type="cellIs" dxfId="1945" priority="26" operator="equal">
      <formula>"B2"</formula>
    </cfRule>
    <cfRule type="cellIs" dxfId="1944" priority="27" operator="equal">
      <formula>"B1"</formula>
    </cfRule>
  </conditionalFormatting>
  <conditionalFormatting sqref="E10">
    <cfRule type="cellIs" dxfId="1943" priority="13" stopIfTrue="1" operator="equal">
      <formula>"KXL"</formula>
    </cfRule>
    <cfRule type="cellIs" dxfId="1942" priority="14" stopIfTrue="1" operator="equal">
      <formula>"A DN"</formula>
    </cfRule>
    <cfRule type="cellIs" dxfId="1941" priority="15" stopIfTrue="1" operator="equal">
      <formula>"C"</formula>
    </cfRule>
    <cfRule type="cellIs" dxfId="1940" priority="16" stopIfTrue="1" operator="equal">
      <formula>"B"</formula>
    </cfRule>
  </conditionalFormatting>
  <conditionalFormatting sqref="K11">
    <cfRule type="cellIs" dxfId="1939" priority="5" stopIfTrue="1" operator="equal">
      <formula>"KXL"</formula>
    </cfRule>
    <cfRule type="cellIs" dxfId="1938" priority="6" stopIfTrue="1" operator="equal">
      <formula>"A DN"</formula>
    </cfRule>
    <cfRule type="cellIs" dxfId="1937" priority="7" stopIfTrue="1" operator="equal">
      <formula>"C"</formula>
    </cfRule>
    <cfRule type="cellIs" dxfId="1936" priority="8" stopIfTrue="1" operator="equal">
      <formula>"B"</formula>
    </cfRule>
  </conditionalFormatting>
  <conditionalFormatting sqref="G43:G44">
    <cfRule type="cellIs" dxfId="1935" priority="1" stopIfTrue="1" operator="equal">
      <formula>"KXL"</formula>
    </cfRule>
    <cfRule type="cellIs" dxfId="1934" priority="2" stopIfTrue="1" operator="equal">
      <formula>"A DN"</formula>
    </cfRule>
    <cfRule type="cellIs" dxfId="1933" priority="3" stopIfTrue="1" operator="equal">
      <formula>"C"</formula>
    </cfRule>
    <cfRule type="cellIs" dxfId="1932" priority="4" stopIfTrue="1" operator="equal">
      <formula>"B"</formula>
    </cfRule>
  </conditionalFormatting>
  <printOptions horizontalCentered="1"/>
  <pageMargins left="0.34" right="0.15748031496062992" top="0.28999999999999998" bottom="0.31496062992125984" header="0.15748031496062992" footer="0.15748031496062992"/>
  <pageSetup paperSize="9" scale="85" orientation="landscape" r:id="rId1"/>
  <headerFooter alignWithMargins="0">
    <oddFooter>Page &amp;P of &amp;N</oddFooter>
  </headerFooter>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
  <dimension ref="A1:AI27"/>
  <sheetViews>
    <sheetView zoomScale="120" zoomScaleNormal="120" workbookViewId="0">
      <selection activeCell="V14" sqref="V14"/>
    </sheetView>
  </sheetViews>
  <sheetFormatPr defaultColWidth="12.42578125" defaultRowHeight="12.75"/>
  <cols>
    <col min="1" max="1" width="4.42578125" style="2" customWidth="1"/>
    <col min="2" max="2" width="20.85546875" style="2" customWidth="1"/>
    <col min="3" max="5" width="12.42578125" style="2" hidden="1" customWidth="1"/>
    <col min="6" max="7" width="8.140625" style="2" hidden="1" customWidth="1"/>
    <col min="8" max="8" width="10" style="2" hidden="1" customWidth="1"/>
    <col min="9" max="9" width="10.42578125" style="2" hidden="1" customWidth="1"/>
    <col min="10" max="10" width="8.5703125" style="2" customWidth="1"/>
    <col min="11" max="11" width="12" style="2" hidden="1" customWidth="1"/>
    <col min="12" max="12" width="8.5703125" style="2" customWidth="1"/>
    <col min="13" max="13" width="12.42578125" style="2" customWidth="1"/>
    <col min="14" max="14" width="10.28515625" style="2" customWidth="1"/>
    <col min="15" max="15" width="9.85546875" style="2" customWidth="1"/>
    <col min="16" max="16" width="13.5703125" style="2" customWidth="1"/>
    <col min="17" max="17" width="12.140625" style="2" hidden="1" customWidth="1"/>
    <col min="18" max="18" width="9.7109375" style="2" customWidth="1"/>
    <col min="19" max="19" width="11.140625" style="2" hidden="1" customWidth="1"/>
    <col min="20" max="20" width="9" style="2" customWidth="1"/>
    <col min="21" max="22" width="12.42578125" style="2" customWidth="1"/>
    <col min="23" max="23" width="3.28515625" style="2" hidden="1" customWidth="1"/>
    <col min="24" max="24" width="4" style="2" customWidth="1"/>
    <col min="25" max="25" width="18.28515625" style="2" customWidth="1"/>
    <col min="26" max="16384" width="12.42578125" style="2"/>
  </cols>
  <sheetData>
    <row r="1" spans="1:35" ht="15">
      <c r="A1" s="1544" t="s">
        <v>492</v>
      </c>
      <c r="B1" s="1544"/>
      <c r="C1" s="1544"/>
      <c r="D1" s="1544"/>
      <c r="E1" s="1544"/>
      <c r="F1" s="1544"/>
      <c r="G1" s="1544"/>
      <c r="H1" s="1544"/>
      <c r="I1" s="1544"/>
      <c r="J1" s="1544"/>
      <c r="K1" s="1544"/>
      <c r="L1" s="1544"/>
      <c r="N1" s="14"/>
      <c r="O1" s="14"/>
      <c r="P1" s="14"/>
      <c r="Q1" s="14"/>
      <c r="R1" s="14"/>
      <c r="S1" s="14"/>
      <c r="T1" s="1543" t="s">
        <v>849</v>
      </c>
      <c r="U1" s="1543"/>
      <c r="V1" s="1543"/>
      <c r="W1" s="1543"/>
      <c r="X1" s="1543"/>
      <c r="Y1" s="1543"/>
    </row>
    <row r="2" spans="1:35" ht="14.25">
      <c r="A2" s="1543" t="s">
        <v>1563</v>
      </c>
      <c r="B2" s="1543"/>
      <c r="C2" s="1543"/>
      <c r="D2" s="1543"/>
      <c r="E2" s="1543"/>
      <c r="F2" s="1543"/>
      <c r="G2" s="1543"/>
      <c r="H2" s="1543"/>
      <c r="I2" s="1543"/>
      <c r="J2" s="1543"/>
      <c r="K2" s="1543"/>
      <c r="L2" s="1543"/>
      <c r="N2" s="14"/>
      <c r="O2" s="14"/>
      <c r="P2" s="14"/>
      <c r="Q2" s="14"/>
      <c r="R2" s="14"/>
      <c r="S2" s="14"/>
      <c r="T2" s="1543" t="s">
        <v>851</v>
      </c>
      <c r="U2" s="1543"/>
      <c r="V2" s="1543"/>
      <c r="W2" s="1543"/>
      <c r="X2" s="1543"/>
      <c r="Y2" s="1543"/>
    </row>
    <row r="3" spans="1:35" ht="14.25">
      <c r="A3" s="1543" t="s">
        <v>1565</v>
      </c>
      <c r="B3" s="1543"/>
      <c r="C3" s="1543"/>
      <c r="D3" s="1543"/>
      <c r="E3" s="1543"/>
      <c r="F3" s="1543"/>
      <c r="G3" s="1543"/>
      <c r="H3" s="1543"/>
      <c r="I3" s="1543"/>
      <c r="J3" s="1543"/>
      <c r="K3" s="1543"/>
      <c r="L3" s="1543"/>
      <c r="M3" s="3"/>
      <c r="N3" s="1"/>
      <c r="O3" s="1"/>
      <c r="P3" s="1"/>
      <c r="Q3" s="1"/>
      <c r="R3" s="1"/>
      <c r="S3" s="1"/>
      <c r="T3" s="1"/>
      <c r="U3" s="1"/>
      <c r="V3" s="3"/>
      <c r="W3" s="3"/>
    </row>
    <row r="4" spans="1:35" ht="13.5" customHeight="1">
      <c r="J4" s="1"/>
      <c r="K4" s="1"/>
      <c r="L4" s="1"/>
      <c r="M4" s="3"/>
      <c r="N4" s="1"/>
      <c r="O4" s="1"/>
      <c r="P4" s="1"/>
      <c r="Q4" s="1"/>
      <c r="R4" s="1"/>
      <c r="S4" s="1"/>
      <c r="T4" s="1"/>
      <c r="U4" s="1"/>
      <c r="V4" s="3"/>
      <c r="W4" s="3"/>
    </row>
    <row r="5" spans="1:35" ht="15.75">
      <c r="A5" s="1547" t="s">
        <v>2019</v>
      </c>
      <c r="B5" s="1547"/>
      <c r="C5" s="1547"/>
      <c r="D5" s="1547"/>
      <c r="E5" s="1547"/>
      <c r="F5" s="1547"/>
      <c r="G5" s="1547"/>
      <c r="H5" s="1547"/>
      <c r="I5" s="1547"/>
      <c r="J5" s="1547"/>
      <c r="K5" s="1547"/>
      <c r="L5" s="1547"/>
      <c r="M5" s="1547"/>
      <c r="N5" s="1547"/>
      <c r="O5" s="1547"/>
      <c r="P5" s="1547"/>
      <c r="Q5" s="1547"/>
      <c r="R5" s="1547"/>
      <c r="S5" s="1547"/>
      <c r="T5" s="1547"/>
      <c r="U5" s="1547"/>
      <c r="V5" s="1547"/>
      <c r="W5" s="1547"/>
      <c r="X5" s="1547"/>
      <c r="Y5" s="1547"/>
    </row>
    <row r="6" spans="1:35" ht="15.75">
      <c r="A6" s="1547" t="s">
        <v>1597</v>
      </c>
      <c r="B6" s="1547"/>
      <c r="C6" s="1547"/>
      <c r="D6" s="1547"/>
      <c r="E6" s="1547"/>
      <c r="F6" s="1547"/>
      <c r="G6" s="1547"/>
      <c r="H6" s="1547"/>
      <c r="I6" s="1547"/>
      <c r="J6" s="1547"/>
      <c r="K6" s="1547"/>
      <c r="L6" s="1547"/>
      <c r="M6" s="1547"/>
      <c r="N6" s="1547"/>
      <c r="O6" s="1547"/>
      <c r="P6" s="1547"/>
      <c r="Q6" s="1547"/>
      <c r="R6" s="1547"/>
      <c r="S6" s="1547"/>
      <c r="T6" s="1547"/>
      <c r="U6" s="1547"/>
      <c r="V6" s="1547"/>
      <c r="W6" s="1547"/>
      <c r="X6" s="1547"/>
      <c r="Y6" s="1547"/>
    </row>
    <row r="7" spans="1:35" ht="44.25" customHeight="1">
      <c r="A7" s="1605" t="s">
        <v>2008</v>
      </c>
      <c r="B7" s="1605"/>
      <c r="C7" s="1605"/>
      <c r="D7" s="1605"/>
      <c r="E7" s="1605"/>
      <c r="F7" s="1605"/>
      <c r="G7" s="1605"/>
      <c r="H7" s="1605"/>
      <c r="I7" s="1605"/>
      <c r="J7" s="1605"/>
      <c r="K7" s="1605"/>
      <c r="L7" s="1605"/>
      <c r="M7" s="1605"/>
      <c r="N7" s="1605"/>
      <c r="O7" s="1605"/>
      <c r="P7" s="1605"/>
      <c r="Q7" s="1605"/>
      <c r="R7" s="1605"/>
      <c r="S7" s="1605"/>
      <c r="T7" s="1605"/>
      <c r="U7" s="1605"/>
      <c r="V7" s="1605"/>
      <c r="W7" s="1605"/>
      <c r="X7" s="1605"/>
      <c r="Y7" s="1605"/>
    </row>
    <row r="8" spans="1:35" ht="11.25" customHeight="1">
      <c r="A8" s="5"/>
      <c r="B8" s="5"/>
      <c r="C8" s="5"/>
      <c r="D8" s="5"/>
      <c r="E8" s="5"/>
      <c r="F8" s="5"/>
      <c r="G8" s="5"/>
      <c r="H8" s="5"/>
      <c r="I8" s="5"/>
      <c r="J8" s="5"/>
      <c r="K8" s="5"/>
      <c r="L8" s="5"/>
      <c r="M8" s="5"/>
      <c r="N8" s="5"/>
      <c r="O8" s="5"/>
      <c r="P8" s="5"/>
      <c r="Q8" s="5"/>
      <c r="R8" s="5"/>
      <c r="S8" s="5"/>
      <c r="T8" s="5"/>
      <c r="U8" s="5"/>
      <c r="V8" s="5"/>
      <c r="W8" s="5"/>
      <c r="X8" s="5"/>
      <c r="Y8" s="5"/>
    </row>
    <row r="9" spans="1:35" s="16" customFormat="1" ht="15">
      <c r="A9" s="7" t="s">
        <v>1599</v>
      </c>
      <c r="C9" s="7"/>
      <c r="D9" s="346"/>
      <c r="E9" s="14"/>
      <c r="F9" s="14"/>
      <c r="G9" s="14"/>
      <c r="H9" s="39">
        <v>1800000</v>
      </c>
      <c r="I9" s="14"/>
      <c r="J9" s="498">
        <v>1490000</v>
      </c>
      <c r="K9" s="14"/>
      <c r="L9" s="14"/>
      <c r="N9" s="42"/>
      <c r="O9" s="14"/>
      <c r="P9" s="14"/>
      <c r="Q9" s="14"/>
      <c r="R9" s="14"/>
      <c r="S9" s="14"/>
      <c r="V9" s="14" t="s">
        <v>1181</v>
      </c>
      <c r="W9" s="17"/>
      <c r="X9" s="18"/>
      <c r="Y9" s="18"/>
    </row>
    <row r="10" spans="1:35">
      <c r="A10" s="1"/>
      <c r="B10" s="7"/>
      <c r="C10" s="7"/>
      <c r="D10" s="7"/>
      <c r="E10" s="7"/>
      <c r="F10" s="7"/>
      <c r="G10" s="7"/>
      <c r="H10" s="7"/>
      <c r="I10" s="7"/>
      <c r="J10" s="7"/>
      <c r="K10" s="7"/>
      <c r="L10" s="7"/>
      <c r="M10" s="7"/>
      <c r="N10" s="7"/>
      <c r="O10" s="7"/>
      <c r="P10" s="7"/>
      <c r="Q10" s="7"/>
      <c r="R10" s="7"/>
      <c r="S10" s="7"/>
      <c r="T10" s="7"/>
      <c r="U10" s="7"/>
      <c r="V10" s="3"/>
      <c r="W10" s="3"/>
      <c r="X10" s="1"/>
      <c r="Y10" s="1"/>
    </row>
    <row r="11" spans="1:35" s="108" customFormat="1" ht="63">
      <c r="A11" s="396" t="s">
        <v>853</v>
      </c>
      <c r="B11" s="1603" t="s">
        <v>854</v>
      </c>
      <c r="C11" s="1603"/>
      <c r="D11" s="405" t="s">
        <v>1598</v>
      </c>
      <c r="E11" s="405" t="s">
        <v>50</v>
      </c>
      <c r="F11" s="397" t="s">
        <v>1137</v>
      </c>
      <c r="G11" s="398" t="s">
        <v>1138</v>
      </c>
      <c r="H11" s="399" t="s">
        <v>1139</v>
      </c>
      <c r="I11" s="397" t="s">
        <v>1140</v>
      </c>
      <c r="J11" s="400" t="s">
        <v>855</v>
      </c>
      <c r="K11" s="397" t="s">
        <v>1141</v>
      </c>
      <c r="L11" s="400" t="s">
        <v>860</v>
      </c>
      <c r="M11" s="401" t="s">
        <v>1186</v>
      </c>
      <c r="N11" s="401" t="s">
        <v>861</v>
      </c>
      <c r="O11" s="401" t="s">
        <v>857</v>
      </c>
      <c r="P11" s="401" t="s">
        <v>1187</v>
      </c>
      <c r="Q11" s="402" t="s">
        <v>1183</v>
      </c>
      <c r="R11" s="401" t="s">
        <v>841</v>
      </c>
      <c r="S11" s="402" t="s">
        <v>1184</v>
      </c>
      <c r="T11" s="401" t="s">
        <v>1189</v>
      </c>
      <c r="U11" s="401" t="s">
        <v>1190</v>
      </c>
      <c r="V11" s="396" t="s">
        <v>1100</v>
      </c>
      <c r="W11" s="396"/>
      <c r="X11" s="1603" t="s">
        <v>40</v>
      </c>
      <c r="Y11" s="1603"/>
    </row>
    <row r="12" spans="1:35" s="108" customFormat="1">
      <c r="A12" s="29" t="s">
        <v>1110</v>
      </c>
      <c r="B12" s="1558" t="s">
        <v>1111</v>
      </c>
      <c r="C12" s="1558"/>
      <c r="D12" s="29"/>
      <c r="E12" s="29"/>
      <c r="F12" s="360" t="s">
        <v>1112</v>
      </c>
      <c r="G12" s="360" t="s">
        <v>1113</v>
      </c>
      <c r="H12" s="360" t="s">
        <v>1114</v>
      </c>
      <c r="I12" s="360" t="s">
        <v>1115</v>
      </c>
      <c r="J12" s="29" t="s">
        <v>1112</v>
      </c>
      <c r="K12" s="360" t="s">
        <v>1117</v>
      </c>
      <c r="L12" s="29" t="s">
        <v>1113</v>
      </c>
      <c r="M12" s="29" t="s">
        <v>1114</v>
      </c>
      <c r="N12" s="29" t="s">
        <v>1115</v>
      </c>
      <c r="O12" s="29" t="s">
        <v>1116</v>
      </c>
      <c r="P12" s="29" t="s">
        <v>1117</v>
      </c>
      <c r="Q12" s="361" t="s">
        <v>1125</v>
      </c>
      <c r="R12" s="29" t="s">
        <v>1118</v>
      </c>
      <c r="S12" s="361" t="s">
        <v>1127</v>
      </c>
      <c r="T12" s="29">
        <v>10</v>
      </c>
      <c r="U12" s="29">
        <v>11</v>
      </c>
      <c r="V12" s="29">
        <v>12</v>
      </c>
      <c r="W12" s="29"/>
      <c r="X12" s="1558" t="s">
        <v>1122</v>
      </c>
      <c r="Y12" s="1558"/>
      <c r="Z12" s="94"/>
    </row>
    <row r="13" spans="1:35" s="372" customFormat="1" ht="36.75" customHeight="1">
      <c r="A13" s="379" t="s">
        <v>1110</v>
      </c>
      <c r="B13" s="444" t="s">
        <v>1830</v>
      </c>
      <c r="C13" s="419" t="s">
        <v>1087</v>
      </c>
      <c r="D13" s="418" t="s">
        <v>1829</v>
      </c>
      <c r="E13" s="446">
        <v>1603205354978</v>
      </c>
      <c r="F13" s="366">
        <v>2.67</v>
      </c>
      <c r="G13" s="367"/>
      <c r="H13" s="368">
        <f>F13+(F13*G13)</f>
        <v>2.67</v>
      </c>
      <c r="I13" s="368">
        <v>0.45</v>
      </c>
      <c r="J13" s="369">
        <f>H13+I13</f>
        <v>3.12</v>
      </c>
      <c r="K13" s="362" t="e">
        <f>J13*CN!#REF!</f>
        <v>#REF!</v>
      </c>
      <c r="L13" s="366"/>
      <c r="M13" s="466">
        <f>IF(L13="A1",K13*1.6,IF(L13="A2",K13*1.4,IF(L13="A3",K13*1.2,IF(L13="A4",K13*1,IF(L13="B1",K13*0.7,IF(L13="B2",K13*0.5,IF(L13="C1",K13*0.3,IF(L13="C2",K13*0.2,0))))))))</f>
        <v>0</v>
      </c>
      <c r="N13" s="366"/>
      <c r="O13" s="440"/>
      <c r="P13" s="362">
        <f>IF(O13&gt;=N13,M13,M13/N13*O13)</f>
        <v>0</v>
      </c>
      <c r="Q13" s="392"/>
      <c r="R13" s="362" t="e">
        <f>Q13*CN!#REF!*1</f>
        <v>#REF!</v>
      </c>
      <c r="S13" s="370"/>
      <c r="T13" s="362">
        <f>S13*[3]CN!$G$8*0.65</f>
        <v>0</v>
      </c>
      <c r="U13" s="362" t="str">
        <f>IF(OR(L13="A DN",L13="KXL", L13=""),"0",ROUND(J13*0.01*CN!#REF!+Q13*1%*CN!#REF!+S13*1%*CN!#REF!,))</f>
        <v>0</v>
      </c>
      <c r="V13" s="371" t="e">
        <f>(P13+R13+T13+U13)</f>
        <v>#REF!</v>
      </c>
      <c r="W13" s="440">
        <v>17</v>
      </c>
      <c r="X13" s="516" t="str">
        <f>A13</f>
        <v>01</v>
      </c>
      <c r="Y13" s="393"/>
      <c r="Z13" s="108"/>
      <c r="AA13" s="155"/>
      <c r="AB13" s="108"/>
      <c r="AC13" s="108"/>
      <c r="AD13" s="108"/>
      <c r="AE13" s="108"/>
      <c r="AF13" s="108"/>
      <c r="AG13" s="108"/>
      <c r="AH13" s="108"/>
      <c r="AI13" s="108"/>
    </row>
    <row r="14" spans="1:35" s="108" customFormat="1" ht="39.75" customHeight="1">
      <c r="A14" s="20" t="s">
        <v>1111</v>
      </c>
      <c r="B14" s="33" t="s">
        <v>2005</v>
      </c>
      <c r="C14" s="149" t="s">
        <v>987</v>
      </c>
      <c r="D14" s="62" t="s">
        <v>1826</v>
      </c>
      <c r="E14" s="75" t="s">
        <v>12</v>
      </c>
      <c r="F14" s="81">
        <v>3.34</v>
      </c>
      <c r="G14" s="172"/>
      <c r="H14" s="81">
        <f>F14+(F14*G14)</f>
        <v>3.34</v>
      </c>
      <c r="I14" s="172">
        <v>0</v>
      </c>
      <c r="J14" s="10">
        <f>I14+H14</f>
        <v>3.34</v>
      </c>
      <c r="K14" s="31">
        <f>J14*$H$9</f>
        <v>6012000</v>
      </c>
      <c r="L14" s="366"/>
      <c r="M14" s="466">
        <f>IF(L14="A1",K14*1.6,IF(L14="A2",K14*1.4,IF(L14="A3",K14*1.2,IF(L14="A4",K14*1,IF(L14="B1",K14*0.7,IF(L14="B2",K14*0.5,IF(L14="C1",K14*0.3,IF(L14="C2",K14*0.2,0))))))))</f>
        <v>0</v>
      </c>
      <c r="N14" s="10"/>
      <c r="O14" s="62"/>
      <c r="P14" s="31">
        <f>IF(O14&gt;=N14,M14,M14/N14*O14)</f>
        <v>0</v>
      </c>
      <c r="Q14" s="517"/>
      <c r="R14" s="31">
        <f>Q14*$H$9*0.65</f>
        <v>0</v>
      </c>
      <c r="S14" s="74"/>
      <c r="T14" s="31">
        <f>S14*$H$9*0.65</f>
        <v>0</v>
      </c>
      <c r="U14" s="518">
        <v>0</v>
      </c>
      <c r="V14" s="371">
        <f>ROUND(P14+R14+T14+U14,0)</f>
        <v>0</v>
      </c>
      <c r="W14" s="62">
        <v>21</v>
      </c>
      <c r="X14" s="519" t="str">
        <f>A14</f>
        <v>02</v>
      </c>
      <c r="Y14" s="443"/>
    </row>
    <row r="15" spans="1:35" s="7" customFormat="1" ht="23.25" customHeight="1">
      <c r="A15" s="341"/>
      <c r="B15" s="1604" t="s">
        <v>866</v>
      </c>
      <c r="C15" s="1604"/>
      <c r="D15" s="341"/>
      <c r="E15" s="341"/>
      <c r="F15" s="341">
        <f>SUM(F13:F14)</f>
        <v>6.01</v>
      </c>
      <c r="G15" s="341">
        <f>SUM(G13:G14)</f>
        <v>0</v>
      </c>
      <c r="H15" s="341">
        <f>SUM(H13:H14)</f>
        <v>6.01</v>
      </c>
      <c r="I15" s="341">
        <f>SUM(I13:I14)</f>
        <v>0.45</v>
      </c>
      <c r="J15" s="520">
        <f>SUM(J13:J14)</f>
        <v>6.46</v>
      </c>
      <c r="K15" s="342">
        <f>J15*$H$9</f>
        <v>11628000</v>
      </c>
      <c r="L15" s="343"/>
      <c r="M15" s="164">
        <f t="shared" ref="M15:V15" si="0">SUM(M13:M14)</f>
        <v>0</v>
      </c>
      <c r="N15" s="341">
        <f t="shared" si="0"/>
        <v>0</v>
      </c>
      <c r="O15" s="521">
        <f t="shared" si="0"/>
        <v>0</v>
      </c>
      <c r="P15" s="164">
        <f t="shared" si="0"/>
        <v>0</v>
      </c>
      <c r="Q15" s="344">
        <f t="shared" si="0"/>
        <v>0</v>
      </c>
      <c r="R15" s="164" t="e">
        <f t="shared" si="0"/>
        <v>#REF!</v>
      </c>
      <c r="S15" s="344">
        <f t="shared" si="0"/>
        <v>0</v>
      </c>
      <c r="T15" s="164">
        <f t="shared" si="0"/>
        <v>0</v>
      </c>
      <c r="U15" s="164">
        <f t="shared" si="0"/>
        <v>0</v>
      </c>
      <c r="V15" s="164" t="e">
        <f t="shared" si="0"/>
        <v>#REF!</v>
      </c>
      <c r="W15" s="391"/>
      <c r="X15" s="345"/>
      <c r="Y15" s="110"/>
    </row>
    <row r="16" spans="1:35">
      <c r="J16" s="1"/>
      <c r="K16" s="1"/>
      <c r="L16" s="1"/>
      <c r="M16" s="3"/>
      <c r="N16" s="1"/>
      <c r="O16" s="1"/>
      <c r="P16" s="1"/>
      <c r="Q16" s="1"/>
      <c r="R16" s="1"/>
      <c r="S16" s="1"/>
      <c r="T16" s="1"/>
      <c r="U16" s="1"/>
      <c r="V16" s="3"/>
      <c r="W16" s="3"/>
    </row>
    <row r="17" spans="1:25" s="16" customFormat="1" ht="21" customHeight="1">
      <c r="B17" s="492" t="s">
        <v>2016</v>
      </c>
      <c r="C17" s="14"/>
      <c r="D17" s="14"/>
      <c r="E17" s="14"/>
      <c r="F17" s="15"/>
      <c r="G17" s="15"/>
      <c r="H17" s="15"/>
      <c r="I17" s="15"/>
      <c r="J17" s="106"/>
      <c r="K17" s="17"/>
      <c r="L17" s="18"/>
      <c r="N17" s="18"/>
      <c r="O17" s="18"/>
      <c r="P17" s="18"/>
      <c r="Q17" s="18"/>
      <c r="R17" s="18"/>
      <c r="S17" s="18"/>
      <c r="T17" s="18"/>
      <c r="U17" s="18"/>
      <c r="V17" s="43"/>
      <c r="W17" s="43"/>
    </row>
    <row r="18" spans="1:25" ht="15.75">
      <c r="V18" s="130" t="s">
        <v>2020</v>
      </c>
      <c r="W18" s="130"/>
    </row>
    <row r="19" spans="1:25" s="16" customFormat="1" ht="15">
      <c r="A19" s="1543" t="s">
        <v>859</v>
      </c>
      <c r="B19" s="1543"/>
      <c r="C19" s="1543" t="s">
        <v>1446</v>
      </c>
      <c r="D19" s="1543"/>
      <c r="E19" s="1543"/>
      <c r="F19" s="1543"/>
      <c r="G19" s="1543"/>
      <c r="H19" s="1543"/>
      <c r="I19" s="1543"/>
      <c r="J19" s="1543"/>
      <c r="K19" s="1543"/>
      <c r="L19" s="1543"/>
      <c r="M19" s="1543"/>
      <c r="N19" s="1543"/>
      <c r="O19" s="1543"/>
      <c r="P19" s="1543" t="s">
        <v>1191</v>
      </c>
      <c r="Q19" s="1543"/>
      <c r="R19" s="1543"/>
      <c r="S19" s="1543"/>
      <c r="T19" s="1543"/>
      <c r="U19" s="1543" t="s">
        <v>41</v>
      </c>
      <c r="V19" s="1543"/>
      <c r="W19" s="1543"/>
      <c r="X19" s="1543"/>
      <c r="Y19" s="1543"/>
    </row>
    <row r="20" spans="1:25" s="16" customFormat="1" ht="15">
      <c r="G20" s="21"/>
      <c r="H20" s="18"/>
      <c r="M20" s="18"/>
      <c r="N20" s="18"/>
      <c r="O20" s="18"/>
      <c r="P20" s="18"/>
      <c r="Q20" s="26"/>
      <c r="R20" s="18"/>
      <c r="S20" s="26"/>
      <c r="T20" s="18"/>
      <c r="U20" s="18"/>
      <c r="V20" s="13"/>
      <c r="W20" s="13"/>
      <c r="X20" s="18"/>
      <c r="Y20" s="18"/>
    </row>
    <row r="21" spans="1:25" s="16" customFormat="1" ht="15">
      <c r="G21" s="21"/>
      <c r="H21" s="18"/>
      <c r="M21" s="18"/>
      <c r="N21" s="18"/>
      <c r="O21" s="18"/>
      <c r="P21" s="18"/>
      <c r="Q21" s="26"/>
      <c r="R21" s="18"/>
      <c r="S21" s="26"/>
      <c r="T21" s="18"/>
      <c r="U21" s="18"/>
      <c r="V21" s="18"/>
      <c r="W21" s="18"/>
      <c r="X21" s="18"/>
      <c r="Y21" s="18"/>
    </row>
    <row r="22" spans="1:25" s="16" customFormat="1" ht="15">
      <c r="G22" s="21"/>
      <c r="H22" s="18"/>
      <c r="M22" s="18"/>
      <c r="N22" s="18"/>
      <c r="O22" s="18"/>
      <c r="P22" s="18"/>
      <c r="Q22" s="26"/>
      <c r="R22" s="18"/>
      <c r="S22" s="26"/>
      <c r="T22" s="18"/>
      <c r="U22" s="18"/>
      <c r="V22" s="18"/>
      <c r="W22" s="18"/>
      <c r="X22" s="18"/>
      <c r="Y22" s="18"/>
    </row>
    <row r="23" spans="1:25" s="16" customFormat="1" ht="11.45" customHeight="1">
      <c r="G23" s="21"/>
      <c r="H23" s="18"/>
      <c r="I23" s="18"/>
      <c r="J23" s="18"/>
      <c r="K23" s="18"/>
      <c r="L23" s="18"/>
      <c r="M23" s="18"/>
      <c r="N23" s="18"/>
      <c r="O23" s="18"/>
      <c r="P23" s="18"/>
      <c r="Q23" s="26"/>
      <c r="R23" s="18"/>
      <c r="S23" s="26"/>
      <c r="T23" s="18"/>
      <c r="U23" s="18"/>
      <c r="V23" s="18"/>
      <c r="W23" s="18"/>
      <c r="X23" s="18"/>
      <c r="Y23" s="18"/>
    </row>
    <row r="24" spans="1:25" s="16" customFormat="1" ht="15">
      <c r="G24" s="21"/>
      <c r="H24" s="18"/>
      <c r="I24" s="18"/>
      <c r="J24" s="18"/>
      <c r="K24" s="18"/>
      <c r="L24" s="18"/>
      <c r="M24" s="18"/>
      <c r="N24" s="18"/>
      <c r="O24" s="18"/>
      <c r="P24" s="18"/>
      <c r="Q24" s="26"/>
      <c r="R24" s="18"/>
      <c r="S24" s="26"/>
      <c r="T24" s="18"/>
      <c r="U24" s="18"/>
      <c r="V24" s="18"/>
      <c r="W24" s="18"/>
      <c r="X24" s="18"/>
      <c r="Y24" s="18"/>
    </row>
    <row r="25" spans="1:25" s="16" customFormat="1" ht="15">
      <c r="G25" s="21"/>
      <c r="H25" s="18"/>
      <c r="I25" s="18"/>
      <c r="J25" s="18"/>
      <c r="K25" s="18"/>
      <c r="L25" s="18"/>
      <c r="M25" s="18"/>
      <c r="N25" s="18"/>
      <c r="O25" s="18"/>
      <c r="P25" s="18"/>
      <c r="Q25" s="26"/>
      <c r="R25" s="18"/>
      <c r="S25" s="26"/>
      <c r="T25" s="18"/>
      <c r="U25" s="18"/>
      <c r="V25" s="18"/>
      <c r="W25" s="18"/>
      <c r="X25" s="18"/>
      <c r="Y25" s="18"/>
    </row>
    <row r="26" spans="1:25" s="16" customFormat="1" ht="15">
      <c r="A26" s="1543" t="s">
        <v>1827</v>
      </c>
      <c r="B26" s="1543"/>
      <c r="C26" s="1543" t="s">
        <v>1458</v>
      </c>
      <c r="D26" s="1543"/>
      <c r="E26" s="1543"/>
      <c r="F26" s="1543"/>
      <c r="G26" s="1543"/>
      <c r="H26" s="1543"/>
      <c r="I26" s="1543"/>
      <c r="J26" s="1543"/>
      <c r="K26" s="1543"/>
      <c r="L26" s="1543"/>
      <c r="M26" s="1543"/>
      <c r="N26" s="1543"/>
      <c r="O26" s="1543"/>
      <c r="P26" s="1543" t="s">
        <v>1445</v>
      </c>
      <c r="Q26" s="1543"/>
      <c r="R26" s="1543"/>
      <c r="S26" s="1543"/>
      <c r="T26" s="1543"/>
      <c r="U26" s="1543" t="s">
        <v>1433</v>
      </c>
      <c r="V26" s="1543"/>
      <c r="W26" s="1543"/>
      <c r="X26" s="1543"/>
      <c r="Y26" s="1543"/>
    </row>
    <row r="27" spans="1:25" ht="15.75">
      <c r="A27" s="6"/>
      <c r="G27" s="109"/>
      <c r="Q27" s="104"/>
      <c r="S27" s="104"/>
    </row>
  </sheetData>
  <mergeCells count="21">
    <mergeCell ref="A1:L1"/>
    <mergeCell ref="A2:L2"/>
    <mergeCell ref="A5:Y5"/>
    <mergeCell ref="A3:L3"/>
    <mergeCell ref="T1:Y1"/>
    <mergeCell ref="T2:Y2"/>
    <mergeCell ref="P26:T26"/>
    <mergeCell ref="A7:Y7"/>
    <mergeCell ref="B12:C12"/>
    <mergeCell ref="C26:O26"/>
    <mergeCell ref="A26:B26"/>
    <mergeCell ref="X12:Y12"/>
    <mergeCell ref="C19:O19"/>
    <mergeCell ref="U26:Y26"/>
    <mergeCell ref="A6:Y6"/>
    <mergeCell ref="U19:Y19"/>
    <mergeCell ref="X11:Y11"/>
    <mergeCell ref="B11:C11"/>
    <mergeCell ref="B15:C15"/>
    <mergeCell ref="A19:B19"/>
    <mergeCell ref="P19:T19"/>
  </mergeCells>
  <phoneticPr fontId="10" type="noConversion"/>
  <conditionalFormatting sqref="M14">
    <cfRule type="cellIs" dxfId="1931" priority="59" stopIfTrue="1" operator="equal">
      <formula>"KXL"</formula>
    </cfRule>
    <cfRule type="cellIs" dxfId="1930" priority="60" stopIfTrue="1" operator="equal">
      <formula>"A DN"</formula>
    </cfRule>
    <cfRule type="cellIs" dxfId="1929" priority="61" stopIfTrue="1" operator="equal">
      <formula>"C"</formula>
    </cfRule>
    <cfRule type="cellIs" dxfId="1928" priority="62" stopIfTrue="1" operator="equal">
      <formula>"B"</formula>
    </cfRule>
  </conditionalFormatting>
  <conditionalFormatting sqref="U13:V13 X13 P13:R13 K13:N13 A13 L14">
    <cfRule type="cellIs" dxfId="1927" priority="32" stopIfTrue="1" operator="equal">
      <formula>"KXL"</formula>
    </cfRule>
    <cfRule type="cellIs" dxfId="1926" priority="33" stopIfTrue="1" operator="equal">
      <formula>"A DN"</formula>
    </cfRule>
    <cfRule type="cellIs" dxfId="1925" priority="34" stopIfTrue="1" operator="equal">
      <formula>"C"</formula>
    </cfRule>
    <cfRule type="cellIs" dxfId="1924" priority="35" stopIfTrue="1" operator="equal">
      <formula>"B"</formula>
    </cfRule>
  </conditionalFormatting>
  <conditionalFormatting sqref="Z13:IV13 D13:J13 S13:T13">
    <cfRule type="cellIs" dxfId="1923" priority="28" stopIfTrue="1" operator="equal">
      <formula>"KXL"</formula>
    </cfRule>
    <cfRule type="cellIs" dxfId="1922" priority="29" stopIfTrue="1" operator="equal">
      <formula>"A DN"</formula>
    </cfRule>
    <cfRule type="cellIs" dxfId="1921" priority="30" stopIfTrue="1" operator="equal">
      <formula>"C"</formula>
    </cfRule>
    <cfRule type="cellIs" dxfId="1920" priority="31" stopIfTrue="1" operator="equal">
      <formula>"B"</formula>
    </cfRule>
  </conditionalFormatting>
  <conditionalFormatting sqref="L13:L14">
    <cfRule type="cellIs" dxfId="1919" priority="36" stopIfTrue="1" operator="equal">
      <formula>"C2"</formula>
    </cfRule>
    <cfRule type="cellIs" dxfId="1918" priority="37" stopIfTrue="1" operator="equal">
      <formula>"C1"</formula>
    </cfRule>
    <cfRule type="cellIs" dxfId="1917" priority="38" stopIfTrue="1" operator="equal">
      <formula>"C2"</formula>
    </cfRule>
    <cfRule type="cellIs" dxfId="1916" priority="39" stopIfTrue="1" operator="equal">
      <formula>"D"</formula>
    </cfRule>
    <cfRule type="cellIs" dxfId="1915" priority="40" stopIfTrue="1" operator="equal">
      <formula>"E"</formula>
    </cfRule>
    <cfRule type="cellIs" dxfId="1914" priority="41" stopIfTrue="1" operator="equal">
      <formula>"A DN"</formula>
    </cfRule>
    <cfRule type="cellIs" dxfId="1913" priority="42" stopIfTrue="1" operator="equal">
      <formula>"A DN"</formula>
    </cfRule>
    <cfRule type="cellIs" dxfId="1912" priority="43" stopIfTrue="1" operator="equal">
      <formula>"E"</formula>
    </cfRule>
    <cfRule type="cellIs" dxfId="1911" priority="44" stopIfTrue="1" operator="equal">
      <formula>"D"</formula>
    </cfRule>
    <cfRule type="cellIs" dxfId="1910" priority="45" stopIfTrue="1" operator="equal">
      <formula>"D1"</formula>
    </cfRule>
    <cfRule type="cellIs" dxfId="1909" priority="46" stopIfTrue="1" operator="equal">
      <formula>"C2"</formula>
    </cfRule>
    <cfRule type="cellIs" dxfId="1908" priority="47" stopIfTrue="1" operator="equal">
      <formula>"C1"</formula>
    </cfRule>
    <cfRule type="cellIs" dxfId="1907" priority="48" stopIfTrue="1" operator="equal">
      <formula>"B2"</formula>
    </cfRule>
    <cfRule type="cellIs" dxfId="1906" priority="49" stopIfTrue="1" operator="equal">
      <formula>"B1"</formula>
    </cfRule>
    <cfRule type="cellIs" dxfId="1905" priority="51" stopIfTrue="1" operator="equal">
      <formula>"D"</formula>
    </cfRule>
  </conditionalFormatting>
  <conditionalFormatting sqref="L13:L14">
    <cfRule type="cellIs" dxfId="1904" priority="52" stopIfTrue="1" operator="equal">
      <formula>"B1"</formula>
    </cfRule>
  </conditionalFormatting>
  <conditionalFormatting sqref="L13:L14">
    <cfRule type="cellIs" dxfId="1903" priority="54" stopIfTrue="1" operator="equal">
      <formula>"B2"</formula>
    </cfRule>
  </conditionalFormatting>
  <conditionalFormatting sqref="L13:L14">
    <cfRule type="expression" dxfId="1902" priority="56" stopIfTrue="1">
      <formula>"if=B1"</formula>
    </cfRule>
  </conditionalFormatting>
  <printOptions horizontalCentered="1"/>
  <pageMargins left="0.2" right="0" top="0.41" bottom="0.42" header="0.22" footer="0.19"/>
  <pageSetup paperSize="9" scale="95" orientation="landscape" r:id="rId1"/>
  <headerFooter alignWithMargins="0">
    <oddFooter>Page &amp;P of &amp;N</oddFooter>
  </headerFooter>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00"/>
  </sheetPr>
  <dimension ref="A1:AE324"/>
  <sheetViews>
    <sheetView workbookViewId="0">
      <selection activeCell="A7" sqref="A7"/>
    </sheetView>
  </sheetViews>
  <sheetFormatPr defaultRowHeight="12.75"/>
  <cols>
    <col min="1" max="1" width="5.5703125" style="2" customWidth="1"/>
    <col min="2" max="2" width="18.28515625" style="2" customWidth="1"/>
    <col min="3" max="3" width="11.85546875" style="2" customWidth="1"/>
    <col min="4" max="4" width="10.85546875" style="2" hidden="1" customWidth="1"/>
    <col min="5" max="5" width="18.140625" style="2" hidden="1" customWidth="1"/>
    <col min="6" max="6" width="16" style="2" hidden="1" customWidth="1"/>
    <col min="7" max="7" width="7.28515625" style="2" hidden="1" customWidth="1"/>
    <col min="8" max="8" width="7.42578125" style="109" hidden="1" customWidth="1"/>
    <col min="9" max="9" width="9.5703125" style="2" hidden="1" customWidth="1"/>
    <col min="10" max="10" width="29.28515625" style="2" hidden="1" customWidth="1"/>
    <col min="11" max="11" width="8.5703125" style="79" customWidth="1"/>
    <col min="12" max="12" width="10.85546875" style="2" customWidth="1"/>
    <col min="13" max="13" width="8.140625" style="2" customWidth="1"/>
    <col min="14" max="14" width="12.85546875" style="2" customWidth="1"/>
    <col min="15" max="15" width="12.42578125" style="2" customWidth="1"/>
    <col min="16" max="16" width="7.140625" style="2" customWidth="1"/>
    <col min="17" max="17" width="7.42578125" style="2" customWidth="1"/>
    <col min="18" max="18" width="12.42578125" style="2" customWidth="1"/>
    <col min="19" max="19" width="13.28515625" style="2" customWidth="1"/>
    <col min="20" max="20" width="8.85546875" style="140" customWidth="1"/>
    <col min="21" max="21" width="7.42578125" style="2" bestFit="1" customWidth="1"/>
    <col min="22" max="22" width="5.28515625" style="104" customWidth="1"/>
    <col min="23" max="23" width="8.140625" style="2" bestFit="1" customWidth="1"/>
    <col min="24" max="24" width="10.140625" style="2" bestFit="1" customWidth="1"/>
    <col min="25" max="25" width="13.42578125" style="2" customWidth="1"/>
    <col min="26" max="26" width="5.5703125" style="2" customWidth="1"/>
    <col min="27" max="27" width="20.42578125" style="96" customWidth="1"/>
    <col min="28" max="28" width="12.5703125" style="151" bestFit="1" customWidth="1"/>
    <col min="29" max="29" width="13.5703125" style="151" bestFit="1" customWidth="1"/>
    <col min="30" max="30" width="10" style="2" bestFit="1" customWidth="1"/>
    <col min="31" max="16384" width="9.140625" style="2"/>
  </cols>
  <sheetData>
    <row r="1" spans="1:30" ht="15">
      <c r="A1" s="1544" t="s">
        <v>492</v>
      </c>
      <c r="B1" s="1544"/>
      <c r="C1" s="1544"/>
      <c r="D1" s="1544"/>
      <c r="E1" s="1544"/>
      <c r="F1" s="1544"/>
      <c r="G1" s="1544"/>
      <c r="H1" s="1544"/>
      <c r="I1" s="1544"/>
      <c r="J1" s="1544"/>
      <c r="K1" s="1544"/>
      <c r="L1" s="1544"/>
      <c r="M1" s="1544"/>
      <c r="N1" s="1543" t="s">
        <v>849</v>
      </c>
      <c r="O1" s="1543"/>
      <c r="P1" s="1543"/>
      <c r="Q1" s="1543"/>
      <c r="R1" s="1543"/>
      <c r="S1" s="1543"/>
      <c r="T1" s="1543"/>
      <c r="U1" s="1543"/>
      <c r="V1" s="1543"/>
      <c r="W1" s="1543"/>
      <c r="X1" s="1543"/>
      <c r="Y1" s="1543"/>
      <c r="Z1" s="1543"/>
      <c r="AA1" s="1543"/>
    </row>
    <row r="2" spans="1:30" ht="15" customHeight="1">
      <c r="A2" s="1543" t="s">
        <v>850</v>
      </c>
      <c r="B2" s="1543"/>
      <c r="C2" s="1543"/>
      <c r="D2" s="1543"/>
      <c r="E2" s="1543"/>
      <c r="F2" s="1543"/>
      <c r="G2" s="1543"/>
      <c r="H2" s="1543"/>
      <c r="I2" s="1543"/>
      <c r="J2" s="1543"/>
      <c r="K2" s="1543"/>
      <c r="L2" s="1543"/>
      <c r="M2" s="1543"/>
      <c r="N2" s="1613" t="s">
        <v>851</v>
      </c>
      <c r="O2" s="1613"/>
      <c r="P2" s="1613"/>
      <c r="Q2" s="1613"/>
      <c r="R2" s="1613"/>
      <c r="S2" s="1613"/>
      <c r="T2" s="1613"/>
      <c r="U2" s="1613"/>
      <c r="V2" s="1613"/>
      <c r="W2" s="1613"/>
      <c r="X2" s="1613"/>
      <c r="Y2" s="1613"/>
      <c r="Z2" s="1613"/>
      <c r="AA2" s="1613"/>
    </row>
    <row r="3" spans="1:30" ht="19.5" customHeight="1">
      <c r="A3" s="1613" t="s">
        <v>852</v>
      </c>
      <c r="B3" s="1613"/>
      <c r="C3" s="1613"/>
      <c r="D3" s="1613"/>
      <c r="E3" s="1613"/>
      <c r="F3" s="1613"/>
      <c r="G3" s="1613"/>
      <c r="H3" s="1613"/>
      <c r="I3" s="1613"/>
      <c r="J3" s="1613"/>
      <c r="K3" s="1613"/>
      <c r="L3" s="1613"/>
      <c r="M3" s="1613"/>
      <c r="N3" s="99"/>
      <c r="O3" s="17"/>
      <c r="P3" s="18"/>
      <c r="Q3" s="18"/>
      <c r="R3" s="18"/>
      <c r="S3" s="17"/>
      <c r="T3" s="131"/>
      <c r="U3" s="17"/>
      <c r="V3" s="23"/>
      <c r="W3" s="17"/>
      <c r="X3" s="17"/>
      <c r="Y3" s="17"/>
      <c r="Z3" s="16"/>
    </row>
    <row r="4" spans="1:30" ht="15.75">
      <c r="A4" s="1547" t="s">
        <v>792</v>
      </c>
      <c r="B4" s="1547"/>
      <c r="C4" s="1547"/>
      <c r="D4" s="1547"/>
      <c r="E4" s="1547"/>
      <c r="F4" s="1547"/>
      <c r="G4" s="1547"/>
      <c r="H4" s="1547"/>
      <c r="I4" s="1547"/>
      <c r="J4" s="1547"/>
      <c r="K4" s="1547"/>
      <c r="L4" s="1547"/>
      <c r="M4" s="1547"/>
      <c r="N4" s="1547"/>
      <c r="O4" s="1547"/>
      <c r="P4" s="1547"/>
      <c r="Q4" s="1547"/>
      <c r="R4" s="1547"/>
      <c r="S4" s="1547"/>
      <c r="T4" s="1547"/>
      <c r="U4" s="1547"/>
      <c r="V4" s="1547"/>
      <c r="W4" s="1547"/>
      <c r="X4" s="1547"/>
      <c r="Y4" s="1547"/>
      <c r="Z4" s="1547"/>
      <c r="AA4" s="1547"/>
    </row>
    <row r="5" spans="1:30" ht="15.75">
      <c r="A5" s="1547" t="s">
        <v>1135</v>
      </c>
      <c r="B5" s="1547"/>
      <c r="C5" s="1547"/>
      <c r="D5" s="1547"/>
      <c r="E5" s="1547"/>
      <c r="F5" s="1547"/>
      <c r="G5" s="1547"/>
      <c r="H5" s="1547"/>
      <c r="I5" s="1547"/>
      <c r="J5" s="1547"/>
      <c r="K5" s="1547"/>
      <c r="L5" s="1547"/>
      <c r="M5" s="1547"/>
      <c r="N5" s="1547"/>
      <c r="O5" s="1547"/>
      <c r="P5" s="1547"/>
      <c r="Q5" s="1547"/>
      <c r="R5" s="1547"/>
      <c r="S5" s="1547"/>
      <c r="T5" s="1547"/>
      <c r="U5" s="1547"/>
      <c r="V5" s="1547"/>
      <c r="W5" s="1547"/>
      <c r="X5" s="1547"/>
      <c r="Y5" s="1547"/>
      <c r="Z5" s="1547"/>
      <c r="AA5" s="1547"/>
    </row>
    <row r="6" spans="1:30" ht="45" customHeight="1">
      <c r="A6" s="1610" t="s">
        <v>840</v>
      </c>
      <c r="B6" s="1547"/>
      <c r="C6" s="1547"/>
      <c r="D6" s="1547"/>
      <c r="E6" s="1547"/>
      <c r="F6" s="1547"/>
      <c r="G6" s="1547"/>
      <c r="H6" s="1547"/>
      <c r="I6" s="1547"/>
      <c r="J6" s="1547"/>
      <c r="K6" s="1547"/>
      <c r="L6" s="1547"/>
      <c r="M6" s="1547"/>
      <c r="N6" s="1547"/>
      <c r="O6" s="1547"/>
      <c r="P6" s="1547"/>
      <c r="Q6" s="1547"/>
      <c r="R6" s="1547"/>
      <c r="S6" s="1547"/>
      <c r="T6" s="1547"/>
      <c r="U6" s="1547"/>
      <c r="V6" s="1547"/>
      <c r="W6" s="1547"/>
      <c r="X6" s="1547"/>
      <c r="Y6" s="1547"/>
      <c r="Z6" s="1547"/>
      <c r="AA6" s="1547"/>
    </row>
    <row r="7" spans="1:30" s="16" customFormat="1" ht="15">
      <c r="A7" s="7" t="s">
        <v>556</v>
      </c>
      <c r="C7" s="14"/>
      <c r="D7" s="14"/>
      <c r="E7" s="14"/>
      <c r="F7" s="14"/>
      <c r="G7" s="13"/>
      <c r="H7" s="1611">
        <v>1050000</v>
      </c>
      <c r="I7" s="1611"/>
      <c r="J7" s="18"/>
      <c r="K7" s="71"/>
      <c r="L7" s="17"/>
      <c r="M7" s="18"/>
      <c r="N7" s="42" t="s">
        <v>1195</v>
      </c>
      <c r="O7" s="13"/>
      <c r="P7" s="1612" t="s">
        <v>834</v>
      </c>
      <c r="Q7" s="1612"/>
      <c r="R7" s="1612"/>
      <c r="S7" s="1612"/>
      <c r="T7" s="1612"/>
      <c r="U7" s="1612"/>
      <c r="V7" s="23"/>
      <c r="W7" s="17"/>
      <c r="X7" s="17"/>
      <c r="Y7" s="36" t="s">
        <v>1181</v>
      </c>
      <c r="Z7" s="18"/>
      <c r="AA7" s="96"/>
      <c r="AB7" s="152"/>
      <c r="AC7" s="152"/>
    </row>
    <row r="8" spans="1:30" ht="10.5" customHeight="1">
      <c r="A8" s="1"/>
      <c r="B8" s="7"/>
      <c r="C8" s="7"/>
      <c r="D8" s="7"/>
      <c r="E8" s="7"/>
      <c r="F8" s="7"/>
      <c r="G8" s="188"/>
      <c r="H8" s="222"/>
      <c r="I8" s="1"/>
      <c r="J8" s="1"/>
      <c r="K8" s="73"/>
      <c r="L8" s="3"/>
      <c r="M8" s="1"/>
      <c r="N8" s="3"/>
      <c r="O8" s="3"/>
      <c r="P8" s="1"/>
      <c r="Q8" s="1"/>
      <c r="R8" s="1"/>
      <c r="S8" s="3"/>
      <c r="T8" s="132"/>
      <c r="U8" s="3"/>
      <c r="V8" s="24"/>
      <c r="W8" s="3"/>
      <c r="X8" s="3"/>
      <c r="Y8" s="27"/>
      <c r="Z8" s="1"/>
    </row>
    <row r="9" spans="1:30" s="111" customFormat="1" ht="63">
      <c r="A9" s="28" t="s">
        <v>853</v>
      </c>
      <c r="B9" s="1550" t="s">
        <v>854</v>
      </c>
      <c r="C9" s="1550"/>
      <c r="D9" s="28"/>
      <c r="E9" s="88" t="s">
        <v>51</v>
      </c>
      <c r="F9" s="88" t="s">
        <v>50</v>
      </c>
      <c r="G9" s="40" t="s">
        <v>1137</v>
      </c>
      <c r="H9" s="220" t="s">
        <v>1138</v>
      </c>
      <c r="I9" s="40" t="s">
        <v>1139</v>
      </c>
      <c r="J9" s="40" t="s">
        <v>1140</v>
      </c>
      <c r="K9" s="78" t="s">
        <v>855</v>
      </c>
      <c r="L9" s="28" t="s">
        <v>1141</v>
      </c>
      <c r="M9" s="28" t="s">
        <v>860</v>
      </c>
      <c r="N9" s="28" t="s">
        <v>1186</v>
      </c>
      <c r="O9" s="28" t="s">
        <v>48</v>
      </c>
      <c r="P9" s="28" t="s">
        <v>861</v>
      </c>
      <c r="Q9" s="28" t="s">
        <v>857</v>
      </c>
      <c r="R9" s="28" t="s">
        <v>1182</v>
      </c>
      <c r="S9" s="28" t="s">
        <v>1187</v>
      </c>
      <c r="T9" s="133" t="s">
        <v>1247</v>
      </c>
      <c r="U9" s="93" t="s">
        <v>1188</v>
      </c>
      <c r="V9" s="90" t="s">
        <v>1184</v>
      </c>
      <c r="W9" s="28" t="s">
        <v>1189</v>
      </c>
      <c r="X9" s="28" t="s">
        <v>1190</v>
      </c>
      <c r="Y9" s="28" t="s">
        <v>1100</v>
      </c>
      <c r="Z9" s="1560" t="s">
        <v>40</v>
      </c>
      <c r="AA9" s="1561"/>
      <c r="AB9" s="153"/>
      <c r="AC9" s="153"/>
    </row>
    <row r="10" spans="1:30" s="108" customFormat="1" ht="15" customHeight="1">
      <c r="A10" s="29" t="s">
        <v>1110</v>
      </c>
      <c r="B10" s="1558" t="s">
        <v>1111</v>
      </c>
      <c r="C10" s="1558"/>
      <c r="D10" s="29"/>
      <c r="E10" s="29"/>
      <c r="F10" s="29"/>
      <c r="G10" s="29" t="s">
        <v>1112</v>
      </c>
      <c r="H10" s="29" t="s">
        <v>1113</v>
      </c>
      <c r="I10" s="29" t="s">
        <v>1114</v>
      </c>
      <c r="J10" s="29" t="s">
        <v>1115</v>
      </c>
      <c r="K10" s="72" t="s">
        <v>1112</v>
      </c>
      <c r="L10" s="29" t="s">
        <v>1117</v>
      </c>
      <c r="M10" s="29" t="s">
        <v>1113</v>
      </c>
      <c r="N10" s="29" t="s">
        <v>1114</v>
      </c>
      <c r="O10" s="29" t="s">
        <v>1120</v>
      </c>
      <c r="P10" s="29" t="s">
        <v>1115</v>
      </c>
      <c r="Q10" s="29" t="s">
        <v>1116</v>
      </c>
      <c r="R10" s="29" t="s">
        <v>1123</v>
      </c>
      <c r="S10" s="29" t="s">
        <v>1117</v>
      </c>
      <c r="T10" s="134" t="s">
        <v>1125</v>
      </c>
      <c r="U10" s="29" t="s">
        <v>1118</v>
      </c>
      <c r="V10" s="47" t="s">
        <v>1127</v>
      </c>
      <c r="W10" s="29">
        <v>10</v>
      </c>
      <c r="X10" s="29">
        <v>11</v>
      </c>
      <c r="Y10" s="29">
        <v>12</v>
      </c>
      <c r="Z10" s="1558">
        <v>13</v>
      </c>
      <c r="AA10" s="1558"/>
      <c r="AB10" s="154"/>
      <c r="AC10" s="154"/>
    </row>
    <row r="11" spans="1:30" s="108" customFormat="1" ht="48">
      <c r="A11" s="30" t="s">
        <v>1110</v>
      </c>
      <c r="B11" s="33" t="s">
        <v>720</v>
      </c>
      <c r="C11" s="149" t="s">
        <v>721</v>
      </c>
      <c r="D11" s="149" t="s">
        <v>722</v>
      </c>
      <c r="E11" s="75" t="s">
        <v>723</v>
      </c>
      <c r="F11" s="167" t="s">
        <v>724</v>
      </c>
      <c r="G11" s="10">
        <v>6.44</v>
      </c>
      <c r="H11" s="157"/>
      <c r="I11" s="81">
        <f t="shared" ref="I11:I74" si="0">G11+(G11*H11)</f>
        <v>6.44</v>
      </c>
      <c r="J11" s="81">
        <v>0.9</v>
      </c>
      <c r="K11" s="82">
        <f>I11+J11</f>
        <v>7.3400000000000007</v>
      </c>
      <c r="L11" s="31">
        <f t="shared" ref="L11:L74" si="1">K11*$H$7</f>
        <v>7707000.0000000009</v>
      </c>
      <c r="M11" s="184" t="s">
        <v>858</v>
      </c>
      <c r="N11" s="31">
        <f>IF(M11="A",L11*0.5,IF(M11="B",L11*0.5*0.75,IF(M11="C",L11*0.5*0.75*0.75,0)))</f>
        <v>3853500.0000000005</v>
      </c>
      <c r="O11" s="31">
        <f>IF(M11="A",1050000,IF(M11="B",735000,IF(M11="C",514500,0)))</f>
        <v>1050000</v>
      </c>
      <c r="P11" s="10">
        <v>21</v>
      </c>
      <c r="Q11" s="292">
        <v>26</v>
      </c>
      <c r="R11" s="158">
        <f>IF(N11&gt;O11,N11,O11)</f>
        <v>3853500.0000000005</v>
      </c>
      <c r="S11" s="31">
        <f>IF(Q11&gt;=P11,R11,R11/P11*Q11)</f>
        <v>3853500.0000000005</v>
      </c>
      <c r="T11" s="103"/>
      <c r="U11" s="31">
        <f>T11*$H$7*0.5</f>
        <v>0</v>
      </c>
      <c r="V11" s="74"/>
      <c r="W11" s="31">
        <f t="shared" ref="W11:W74" si="2">V11*$H$7*0.5</f>
        <v>0</v>
      </c>
      <c r="X11" s="31">
        <f>(K11*0.01*$H$7)+(T11*1%*$H$7)+(V11*1%*$H$7)</f>
        <v>77070</v>
      </c>
      <c r="Y11" s="46">
        <f>(S11+U11+W11+X11)</f>
        <v>3930570.0000000005</v>
      </c>
      <c r="Z11" s="196" t="str">
        <f>A11</f>
        <v>01</v>
      </c>
      <c r="AA11" s="245" t="s">
        <v>836</v>
      </c>
      <c r="AB11" s="155"/>
      <c r="AC11" s="155"/>
    </row>
    <row r="12" spans="1:30" s="108" customFormat="1" ht="22.5" customHeight="1">
      <c r="A12" s="30" t="s">
        <v>1111</v>
      </c>
      <c r="B12" s="33" t="s">
        <v>888</v>
      </c>
      <c r="C12" s="149" t="s">
        <v>889</v>
      </c>
      <c r="D12" s="149"/>
      <c r="E12" s="75" t="s">
        <v>262</v>
      </c>
      <c r="F12" s="75" t="s">
        <v>1252</v>
      </c>
      <c r="G12" s="10">
        <v>6.04</v>
      </c>
      <c r="H12" s="157"/>
      <c r="I12" s="81">
        <f t="shared" si="0"/>
        <v>6.04</v>
      </c>
      <c r="J12" s="81">
        <v>0.7</v>
      </c>
      <c r="K12" s="82">
        <f>I12+J12</f>
        <v>6.74</v>
      </c>
      <c r="L12" s="31">
        <f t="shared" si="1"/>
        <v>7077000</v>
      </c>
      <c r="M12" s="184" t="s">
        <v>858</v>
      </c>
      <c r="N12" s="31">
        <f>IF(M12="A",L12*0.5,IF(M12="B",L12*0.5*0.75,IF(M12="C",L12*0.5*0.75*0.75,0)))</f>
        <v>3538500</v>
      </c>
      <c r="O12" s="31">
        <f t="shared" ref="O12:O75" si="3">IF(M12="A",1050000,IF(M12="B",735000,IF(M12="C",514500,0)))</f>
        <v>1050000</v>
      </c>
      <c r="P12" s="10">
        <v>21</v>
      </c>
      <c r="Q12" s="291">
        <v>26</v>
      </c>
      <c r="R12" s="158">
        <f t="shared" ref="R12:R75" si="4">IF(N12&gt;O12,N12,O12)</f>
        <v>3538500</v>
      </c>
      <c r="S12" s="31">
        <f t="shared" ref="S12:S75" si="5">IF(Q12&gt;=P12,R12,R12/P12*Q12)</f>
        <v>3538500</v>
      </c>
      <c r="T12" s="103"/>
      <c r="U12" s="31">
        <f>T12*$H$7*0.5</f>
        <v>0</v>
      </c>
      <c r="V12" s="74"/>
      <c r="W12" s="31">
        <f t="shared" si="2"/>
        <v>0</v>
      </c>
      <c r="X12" s="31">
        <f t="shared" ref="X12:X54" si="6">(K12*0.01*$H$7)+(T12*1%*$H$7)+(V12*1%*$H$7)</f>
        <v>70770</v>
      </c>
      <c r="Y12" s="46">
        <f t="shared" ref="Y12:Y75" si="7">(S12+U12+W12+X12)</f>
        <v>3609270</v>
      </c>
      <c r="Z12" s="11" t="str">
        <f t="shared" ref="Z12:Z75" si="8">A12</f>
        <v>02</v>
      </c>
      <c r="AA12" s="112" t="s">
        <v>837</v>
      </c>
      <c r="AB12" s="155"/>
      <c r="AC12" s="155"/>
    </row>
    <row r="13" spans="1:30" s="108" customFormat="1" ht="24" customHeight="1">
      <c r="A13" s="30" t="s">
        <v>1112</v>
      </c>
      <c r="B13" s="33" t="s">
        <v>890</v>
      </c>
      <c r="C13" s="149" t="s">
        <v>891</v>
      </c>
      <c r="D13" s="149"/>
      <c r="E13" s="89" t="s">
        <v>52</v>
      </c>
      <c r="F13" s="85" t="s">
        <v>1253</v>
      </c>
      <c r="G13" s="10">
        <v>4.9800000000000004</v>
      </c>
      <c r="H13" s="157">
        <v>0.09</v>
      </c>
      <c r="I13" s="81">
        <f t="shared" si="0"/>
        <v>5.4282000000000004</v>
      </c>
      <c r="J13" s="81">
        <v>0.7</v>
      </c>
      <c r="K13" s="82">
        <f t="shared" ref="K13:K76" si="9">I13+J13</f>
        <v>6.1282000000000005</v>
      </c>
      <c r="L13" s="31">
        <f t="shared" si="1"/>
        <v>6434610.0000000009</v>
      </c>
      <c r="M13" s="184" t="s">
        <v>858</v>
      </c>
      <c r="N13" s="31">
        <f t="shared" ref="N13:N76" si="10">IF(M13="A",L13*0.5,IF(M13="B",L13*0.5*0.75,IF(M13="C",L13*0.5*0.75*0.75,0)))</f>
        <v>3217305.0000000005</v>
      </c>
      <c r="O13" s="31">
        <f t="shared" si="3"/>
        <v>1050000</v>
      </c>
      <c r="P13" s="10">
        <v>21</v>
      </c>
      <c r="Q13" s="62">
        <v>26</v>
      </c>
      <c r="R13" s="158">
        <f t="shared" si="4"/>
        <v>3217305.0000000005</v>
      </c>
      <c r="S13" s="31">
        <f t="shared" si="5"/>
        <v>3217305.0000000005</v>
      </c>
      <c r="T13" s="103"/>
      <c r="U13" s="31">
        <f t="shared" ref="U13:U76" si="11">T13*$H$7*0.5</f>
        <v>0</v>
      </c>
      <c r="V13" s="74"/>
      <c r="W13" s="31">
        <f t="shared" si="2"/>
        <v>0</v>
      </c>
      <c r="X13" s="31">
        <f t="shared" si="6"/>
        <v>64346.100000000013</v>
      </c>
      <c r="Y13" s="46">
        <f t="shared" si="7"/>
        <v>3281651.1000000006</v>
      </c>
      <c r="Z13" s="11" t="str">
        <f t="shared" si="8"/>
        <v>03</v>
      </c>
      <c r="AA13" s="112"/>
      <c r="AB13" s="1606" t="s">
        <v>775</v>
      </c>
      <c r="AC13" s="1607"/>
      <c r="AD13" s="1607"/>
    </row>
    <row r="14" spans="1:30" s="108" customFormat="1" ht="22.5" customHeight="1">
      <c r="A14" s="30" t="s">
        <v>1113</v>
      </c>
      <c r="B14" s="33" t="s">
        <v>892</v>
      </c>
      <c r="C14" s="149" t="s">
        <v>893</v>
      </c>
      <c r="D14" s="149"/>
      <c r="E14" s="89" t="s">
        <v>53</v>
      </c>
      <c r="F14" s="85" t="s">
        <v>1254</v>
      </c>
      <c r="G14" s="10">
        <v>4.9800000000000004</v>
      </c>
      <c r="H14" s="157"/>
      <c r="I14" s="81">
        <f t="shared" si="0"/>
        <v>4.9800000000000004</v>
      </c>
      <c r="J14" s="160">
        <v>0.7</v>
      </c>
      <c r="K14" s="82">
        <f t="shared" si="9"/>
        <v>5.6800000000000006</v>
      </c>
      <c r="L14" s="31">
        <f t="shared" si="1"/>
        <v>5964000.0000000009</v>
      </c>
      <c r="M14" s="184" t="s">
        <v>858</v>
      </c>
      <c r="N14" s="31">
        <f t="shared" si="10"/>
        <v>2982000.0000000005</v>
      </c>
      <c r="O14" s="31">
        <f t="shared" si="3"/>
        <v>1050000</v>
      </c>
      <c r="P14" s="10">
        <v>21</v>
      </c>
      <c r="Q14" s="62">
        <v>26</v>
      </c>
      <c r="R14" s="158">
        <f t="shared" si="4"/>
        <v>2982000.0000000005</v>
      </c>
      <c r="S14" s="31">
        <f t="shared" si="5"/>
        <v>2982000.0000000005</v>
      </c>
      <c r="T14" s="103"/>
      <c r="U14" s="31">
        <f t="shared" si="11"/>
        <v>0</v>
      </c>
      <c r="V14" s="74"/>
      <c r="W14" s="31">
        <f t="shared" si="2"/>
        <v>0</v>
      </c>
      <c r="X14" s="31">
        <f t="shared" si="6"/>
        <v>59640.000000000007</v>
      </c>
      <c r="Y14" s="46">
        <f t="shared" si="7"/>
        <v>3041640.0000000005</v>
      </c>
      <c r="Z14" s="11" t="str">
        <f t="shared" si="8"/>
        <v>04</v>
      </c>
      <c r="AA14" s="112"/>
      <c r="AB14" s="155" t="s">
        <v>727</v>
      </c>
      <c r="AC14" s="155"/>
    </row>
    <row r="15" spans="1:30" s="108" customFormat="1" ht="22.5" customHeight="1">
      <c r="A15" s="30" t="s">
        <v>1114</v>
      </c>
      <c r="B15" s="33" t="s">
        <v>894</v>
      </c>
      <c r="C15" s="149" t="s">
        <v>867</v>
      </c>
      <c r="D15" s="149" t="s">
        <v>527</v>
      </c>
      <c r="E15" s="62" t="s">
        <v>54</v>
      </c>
      <c r="F15" s="75" t="s">
        <v>1255</v>
      </c>
      <c r="G15" s="10">
        <v>3.99</v>
      </c>
      <c r="H15" s="157"/>
      <c r="I15" s="81">
        <f t="shared" si="0"/>
        <v>3.99</v>
      </c>
      <c r="J15" s="81">
        <v>0.45</v>
      </c>
      <c r="K15" s="82">
        <f t="shared" si="9"/>
        <v>4.4400000000000004</v>
      </c>
      <c r="L15" s="31">
        <f t="shared" si="1"/>
        <v>4662000</v>
      </c>
      <c r="M15" s="184" t="s">
        <v>858</v>
      </c>
      <c r="N15" s="31">
        <f t="shared" si="10"/>
        <v>2331000</v>
      </c>
      <c r="O15" s="31">
        <f t="shared" si="3"/>
        <v>1050000</v>
      </c>
      <c r="P15" s="10">
        <v>21</v>
      </c>
      <c r="Q15" s="62">
        <v>26</v>
      </c>
      <c r="R15" s="158">
        <f t="shared" si="4"/>
        <v>2331000</v>
      </c>
      <c r="S15" s="31">
        <f t="shared" si="5"/>
        <v>2331000</v>
      </c>
      <c r="T15" s="103"/>
      <c r="U15" s="31">
        <f t="shared" si="11"/>
        <v>0</v>
      </c>
      <c r="V15" s="74"/>
      <c r="W15" s="31">
        <f t="shared" si="2"/>
        <v>0</v>
      </c>
      <c r="X15" s="31">
        <f t="shared" si="6"/>
        <v>46620</v>
      </c>
      <c r="Y15" s="46">
        <f t="shared" si="7"/>
        <v>2377620</v>
      </c>
      <c r="Z15" s="11" t="str">
        <f t="shared" si="8"/>
        <v>05</v>
      </c>
      <c r="AA15" s="112"/>
      <c r="AB15" s="155"/>
      <c r="AC15" s="155"/>
    </row>
    <row r="16" spans="1:30" s="108" customFormat="1" ht="21" customHeight="1">
      <c r="A16" s="30" t="s">
        <v>1115</v>
      </c>
      <c r="B16" s="33" t="s">
        <v>1193</v>
      </c>
      <c r="C16" s="149" t="s">
        <v>885</v>
      </c>
      <c r="D16" s="149"/>
      <c r="E16" s="62" t="s">
        <v>55</v>
      </c>
      <c r="F16" s="75" t="s">
        <v>1256</v>
      </c>
      <c r="G16" s="10">
        <v>3.48</v>
      </c>
      <c r="H16" s="157">
        <v>0.06</v>
      </c>
      <c r="I16" s="81">
        <f t="shared" si="0"/>
        <v>3.6888000000000001</v>
      </c>
      <c r="J16" s="81">
        <v>0</v>
      </c>
      <c r="K16" s="82">
        <f t="shared" si="9"/>
        <v>3.6888000000000001</v>
      </c>
      <c r="L16" s="31">
        <f t="shared" si="1"/>
        <v>3873240</v>
      </c>
      <c r="M16" s="184" t="s">
        <v>858</v>
      </c>
      <c r="N16" s="31">
        <f t="shared" si="10"/>
        <v>1936620</v>
      </c>
      <c r="O16" s="31">
        <f t="shared" si="3"/>
        <v>1050000</v>
      </c>
      <c r="P16" s="10">
        <v>21</v>
      </c>
      <c r="Q16" s="62">
        <v>30</v>
      </c>
      <c r="R16" s="158">
        <f t="shared" si="4"/>
        <v>1936620</v>
      </c>
      <c r="S16" s="31">
        <f t="shared" si="5"/>
        <v>1936620</v>
      </c>
      <c r="T16" s="103"/>
      <c r="U16" s="31">
        <f t="shared" si="11"/>
        <v>0</v>
      </c>
      <c r="V16" s="74"/>
      <c r="W16" s="31">
        <f t="shared" si="2"/>
        <v>0</v>
      </c>
      <c r="X16" s="31">
        <f t="shared" si="6"/>
        <v>38732.400000000001</v>
      </c>
      <c r="Y16" s="46">
        <f t="shared" si="7"/>
        <v>1975352.4</v>
      </c>
      <c r="Z16" s="11" t="str">
        <f t="shared" si="8"/>
        <v>06</v>
      </c>
      <c r="AA16" s="126"/>
      <c r="AB16" s="155"/>
      <c r="AC16" s="155"/>
    </row>
    <row r="17" spans="1:29" s="108" customFormat="1" ht="19.5" customHeight="1">
      <c r="A17" s="30" t="s">
        <v>1116</v>
      </c>
      <c r="B17" s="33" t="s">
        <v>897</v>
      </c>
      <c r="C17" s="149" t="s">
        <v>898</v>
      </c>
      <c r="D17" s="149"/>
      <c r="E17" s="62" t="s">
        <v>56</v>
      </c>
      <c r="F17" s="75" t="s">
        <v>1257</v>
      </c>
      <c r="G17" s="10">
        <v>3.48</v>
      </c>
      <c r="H17" s="157">
        <v>0.06</v>
      </c>
      <c r="I17" s="81">
        <f t="shared" si="0"/>
        <v>3.6888000000000001</v>
      </c>
      <c r="J17" s="81">
        <v>0.25</v>
      </c>
      <c r="K17" s="82">
        <f t="shared" si="9"/>
        <v>3.9388000000000001</v>
      </c>
      <c r="L17" s="31">
        <f t="shared" si="1"/>
        <v>4135740</v>
      </c>
      <c r="M17" s="184" t="s">
        <v>858</v>
      </c>
      <c r="N17" s="31">
        <f t="shared" si="10"/>
        <v>2067870</v>
      </c>
      <c r="O17" s="31">
        <f t="shared" si="3"/>
        <v>1050000</v>
      </c>
      <c r="P17" s="10">
        <v>21</v>
      </c>
      <c r="Q17" s="62">
        <v>26</v>
      </c>
      <c r="R17" s="158">
        <f t="shared" si="4"/>
        <v>2067870</v>
      </c>
      <c r="S17" s="31">
        <f t="shared" si="5"/>
        <v>2067870</v>
      </c>
      <c r="T17" s="103"/>
      <c r="U17" s="31">
        <f t="shared" si="11"/>
        <v>0</v>
      </c>
      <c r="V17" s="74"/>
      <c r="W17" s="31">
        <f t="shared" si="2"/>
        <v>0</v>
      </c>
      <c r="X17" s="31">
        <f t="shared" si="6"/>
        <v>41357.4</v>
      </c>
      <c r="Y17" s="46">
        <f t="shared" si="7"/>
        <v>2109227.4</v>
      </c>
      <c r="Z17" s="11" t="str">
        <f t="shared" si="8"/>
        <v>07</v>
      </c>
      <c r="AA17" s="126"/>
      <c r="AB17" s="155"/>
      <c r="AC17" s="155"/>
    </row>
    <row r="18" spans="1:29" s="108" customFormat="1" ht="24">
      <c r="A18" s="30" t="s">
        <v>1117</v>
      </c>
      <c r="B18" s="33" t="s">
        <v>901</v>
      </c>
      <c r="C18" s="149" t="s">
        <v>871</v>
      </c>
      <c r="D18" s="149"/>
      <c r="E18" s="62" t="s">
        <v>58</v>
      </c>
      <c r="F18" s="75" t="s">
        <v>1259</v>
      </c>
      <c r="G18" s="10">
        <v>4.03</v>
      </c>
      <c r="H18" s="157">
        <v>0.1</v>
      </c>
      <c r="I18" s="81">
        <f t="shared" si="0"/>
        <v>4.4329999999999998</v>
      </c>
      <c r="J18" s="81">
        <v>0</v>
      </c>
      <c r="K18" s="82">
        <f t="shared" si="9"/>
        <v>4.4329999999999998</v>
      </c>
      <c r="L18" s="31">
        <f t="shared" si="1"/>
        <v>4654650</v>
      </c>
      <c r="M18" s="184" t="s">
        <v>858</v>
      </c>
      <c r="N18" s="31">
        <f t="shared" si="10"/>
        <v>2327325</v>
      </c>
      <c r="O18" s="31">
        <f t="shared" si="3"/>
        <v>1050000</v>
      </c>
      <c r="P18" s="10">
        <v>21</v>
      </c>
      <c r="Q18" s="62">
        <v>26</v>
      </c>
      <c r="R18" s="158">
        <f t="shared" si="4"/>
        <v>2327325</v>
      </c>
      <c r="S18" s="31">
        <f t="shared" si="5"/>
        <v>2327325</v>
      </c>
      <c r="T18" s="103"/>
      <c r="U18" s="31">
        <f t="shared" si="11"/>
        <v>0</v>
      </c>
      <c r="V18" s="74"/>
      <c r="W18" s="31">
        <f t="shared" si="2"/>
        <v>0</v>
      </c>
      <c r="X18" s="31">
        <f t="shared" si="6"/>
        <v>46546.5</v>
      </c>
      <c r="Y18" s="46">
        <f t="shared" si="7"/>
        <v>2373871.5</v>
      </c>
      <c r="Z18" s="11" t="str">
        <f t="shared" si="8"/>
        <v>08</v>
      </c>
      <c r="AA18" s="126" t="s">
        <v>838</v>
      </c>
      <c r="AB18" s="155"/>
      <c r="AC18" s="155"/>
    </row>
    <row r="19" spans="1:29" s="108" customFormat="1" ht="20.25" customHeight="1">
      <c r="A19" s="30" t="s">
        <v>1118</v>
      </c>
      <c r="B19" s="33" t="s">
        <v>902</v>
      </c>
      <c r="C19" s="149" t="s">
        <v>903</v>
      </c>
      <c r="D19" s="149"/>
      <c r="E19" s="62" t="s">
        <v>59</v>
      </c>
      <c r="F19" s="75" t="s">
        <v>1260</v>
      </c>
      <c r="G19" s="10">
        <v>3.99</v>
      </c>
      <c r="H19" s="157"/>
      <c r="I19" s="81">
        <f t="shared" si="0"/>
        <v>3.99</v>
      </c>
      <c r="J19" s="81">
        <v>0.35</v>
      </c>
      <c r="K19" s="82">
        <f t="shared" si="9"/>
        <v>4.34</v>
      </c>
      <c r="L19" s="31">
        <f t="shared" si="1"/>
        <v>4557000</v>
      </c>
      <c r="M19" s="184" t="s">
        <v>858</v>
      </c>
      <c r="N19" s="31">
        <f t="shared" si="10"/>
        <v>2278500</v>
      </c>
      <c r="O19" s="31">
        <f t="shared" si="3"/>
        <v>1050000</v>
      </c>
      <c r="P19" s="10">
        <v>21</v>
      </c>
      <c r="Q19" s="62">
        <v>26</v>
      </c>
      <c r="R19" s="158">
        <f t="shared" si="4"/>
        <v>2278500</v>
      </c>
      <c r="S19" s="31">
        <f t="shared" si="5"/>
        <v>2278500</v>
      </c>
      <c r="T19" s="103"/>
      <c r="U19" s="31">
        <f t="shared" si="11"/>
        <v>0</v>
      </c>
      <c r="V19" s="74"/>
      <c r="W19" s="31">
        <f t="shared" si="2"/>
        <v>0</v>
      </c>
      <c r="X19" s="31">
        <f t="shared" si="6"/>
        <v>45570</v>
      </c>
      <c r="Y19" s="46">
        <f t="shared" si="7"/>
        <v>2324070</v>
      </c>
      <c r="Z19" s="11" t="str">
        <f t="shared" si="8"/>
        <v>09</v>
      </c>
      <c r="AA19" s="112"/>
      <c r="AB19" s="155"/>
      <c r="AC19" s="155"/>
    </row>
    <row r="20" spans="1:29" s="108" customFormat="1" ht="26.25" customHeight="1">
      <c r="A20" s="30" t="s">
        <v>1119</v>
      </c>
      <c r="B20" s="33" t="s">
        <v>888</v>
      </c>
      <c r="C20" s="149" t="s">
        <v>555</v>
      </c>
      <c r="D20" s="149"/>
      <c r="E20" s="62" t="s">
        <v>61</v>
      </c>
      <c r="F20" s="75" t="s">
        <v>1262</v>
      </c>
      <c r="G20" s="10">
        <v>2.06</v>
      </c>
      <c r="H20" s="157"/>
      <c r="I20" s="81">
        <f t="shared" si="0"/>
        <v>2.06</v>
      </c>
      <c r="J20" s="81">
        <v>0</v>
      </c>
      <c r="K20" s="82">
        <f t="shared" si="9"/>
        <v>2.06</v>
      </c>
      <c r="L20" s="31">
        <f t="shared" si="1"/>
        <v>2163000</v>
      </c>
      <c r="M20" s="184" t="s">
        <v>858</v>
      </c>
      <c r="N20" s="31">
        <f t="shared" si="10"/>
        <v>1081500</v>
      </c>
      <c r="O20" s="31">
        <f t="shared" si="3"/>
        <v>1050000</v>
      </c>
      <c r="P20" s="10">
        <v>21</v>
      </c>
      <c r="Q20" s="291">
        <v>19</v>
      </c>
      <c r="R20" s="158">
        <f t="shared" si="4"/>
        <v>1081500</v>
      </c>
      <c r="S20" s="31">
        <f t="shared" si="5"/>
        <v>978500</v>
      </c>
      <c r="T20" s="103"/>
      <c r="U20" s="31">
        <f t="shared" si="11"/>
        <v>0</v>
      </c>
      <c r="V20" s="74"/>
      <c r="W20" s="31">
        <f t="shared" si="2"/>
        <v>0</v>
      </c>
      <c r="X20" s="31">
        <f t="shared" si="6"/>
        <v>21630</v>
      </c>
      <c r="Y20" s="46">
        <f t="shared" si="7"/>
        <v>1000130</v>
      </c>
      <c r="Z20" s="11" t="str">
        <f t="shared" si="8"/>
        <v>10</v>
      </c>
      <c r="AA20" s="112" t="s">
        <v>808</v>
      </c>
      <c r="AB20" s="155"/>
      <c r="AC20" s="155"/>
    </row>
    <row r="21" spans="1:29" s="108" customFormat="1" ht="27" customHeight="1">
      <c r="A21" s="30" t="s">
        <v>1120</v>
      </c>
      <c r="B21" s="33" t="s">
        <v>906</v>
      </c>
      <c r="C21" s="149" t="s">
        <v>883</v>
      </c>
      <c r="D21" s="149"/>
      <c r="E21" s="62" t="s">
        <v>62</v>
      </c>
      <c r="F21" s="75" t="s">
        <v>1263</v>
      </c>
      <c r="G21" s="10">
        <v>2.67</v>
      </c>
      <c r="H21" s="157"/>
      <c r="I21" s="81">
        <f t="shared" si="0"/>
        <v>2.67</v>
      </c>
      <c r="J21" s="81">
        <v>0</v>
      </c>
      <c r="K21" s="82">
        <f t="shared" si="9"/>
        <v>2.67</v>
      </c>
      <c r="L21" s="31">
        <f t="shared" si="1"/>
        <v>2803500</v>
      </c>
      <c r="M21" s="184" t="s">
        <v>858</v>
      </c>
      <c r="N21" s="31">
        <f t="shared" si="10"/>
        <v>1401750</v>
      </c>
      <c r="O21" s="31">
        <f t="shared" si="3"/>
        <v>1050000</v>
      </c>
      <c r="P21" s="10">
        <v>21</v>
      </c>
      <c r="Q21" s="62">
        <v>26</v>
      </c>
      <c r="R21" s="158">
        <f t="shared" si="4"/>
        <v>1401750</v>
      </c>
      <c r="S21" s="31">
        <f t="shared" si="5"/>
        <v>1401750</v>
      </c>
      <c r="T21" s="103"/>
      <c r="U21" s="31">
        <f t="shared" si="11"/>
        <v>0</v>
      </c>
      <c r="V21" s="74"/>
      <c r="W21" s="31">
        <f t="shared" si="2"/>
        <v>0</v>
      </c>
      <c r="X21" s="31">
        <f t="shared" si="6"/>
        <v>28035</v>
      </c>
      <c r="Y21" s="46">
        <f t="shared" si="7"/>
        <v>1429785</v>
      </c>
      <c r="Z21" s="11" t="str">
        <f t="shared" si="8"/>
        <v>11</v>
      </c>
      <c r="AA21" s="112"/>
      <c r="AB21" s="155"/>
      <c r="AC21" s="155"/>
    </row>
    <row r="22" spans="1:29" s="108" customFormat="1" ht="15.75">
      <c r="A22" s="30" t="s">
        <v>1121</v>
      </c>
      <c r="B22" s="33" t="s">
        <v>1167</v>
      </c>
      <c r="C22" s="149" t="s">
        <v>996</v>
      </c>
      <c r="D22" s="149"/>
      <c r="E22" s="62" t="s">
        <v>63</v>
      </c>
      <c r="F22" s="75" t="s">
        <v>1264</v>
      </c>
      <c r="G22" s="10">
        <v>2.2599999999999998</v>
      </c>
      <c r="H22" s="157"/>
      <c r="I22" s="81">
        <f t="shared" si="0"/>
        <v>2.2599999999999998</v>
      </c>
      <c r="J22" s="81">
        <v>0</v>
      </c>
      <c r="K22" s="82">
        <f t="shared" si="9"/>
        <v>2.2599999999999998</v>
      </c>
      <c r="L22" s="31">
        <f t="shared" si="1"/>
        <v>2373000</v>
      </c>
      <c r="M22" s="184" t="s">
        <v>858</v>
      </c>
      <c r="N22" s="31">
        <f t="shared" si="10"/>
        <v>1186500</v>
      </c>
      <c r="O22" s="31">
        <f t="shared" si="3"/>
        <v>1050000</v>
      </c>
      <c r="P22" s="10">
        <v>21</v>
      </c>
      <c r="Q22" s="62">
        <v>25</v>
      </c>
      <c r="R22" s="158">
        <f t="shared" si="4"/>
        <v>1186500</v>
      </c>
      <c r="S22" s="31">
        <f t="shared" si="5"/>
        <v>1186500</v>
      </c>
      <c r="T22" s="103"/>
      <c r="U22" s="31">
        <f t="shared" si="11"/>
        <v>0</v>
      </c>
      <c r="V22" s="74"/>
      <c r="W22" s="31">
        <f t="shared" si="2"/>
        <v>0</v>
      </c>
      <c r="X22" s="31">
        <f t="shared" si="6"/>
        <v>23730</v>
      </c>
      <c r="Y22" s="46">
        <f t="shared" si="7"/>
        <v>1210230</v>
      </c>
      <c r="Z22" s="11" t="str">
        <f t="shared" si="8"/>
        <v>12</v>
      </c>
      <c r="AA22" s="126" t="s">
        <v>798</v>
      </c>
      <c r="AB22" s="155"/>
      <c r="AC22" s="155"/>
    </row>
    <row r="23" spans="1:29" s="108" customFormat="1" ht="25.5" customHeight="1">
      <c r="A23" s="30" t="s">
        <v>1122</v>
      </c>
      <c r="B23" s="227" t="s">
        <v>1168</v>
      </c>
      <c r="C23" s="262" t="s">
        <v>1169</v>
      </c>
      <c r="D23" s="262"/>
      <c r="E23" s="229" t="s">
        <v>64</v>
      </c>
      <c r="F23" s="230" t="s">
        <v>1265</v>
      </c>
      <c r="G23" s="231">
        <v>2.04</v>
      </c>
      <c r="H23" s="232"/>
      <c r="I23" s="233">
        <f t="shared" si="0"/>
        <v>2.04</v>
      </c>
      <c r="J23" s="233">
        <v>0</v>
      </c>
      <c r="K23" s="234">
        <f t="shared" si="9"/>
        <v>2.04</v>
      </c>
      <c r="L23" s="235">
        <f t="shared" si="1"/>
        <v>2142000</v>
      </c>
      <c r="M23" s="184" t="s">
        <v>785</v>
      </c>
      <c r="N23" s="279">
        <f t="shared" si="10"/>
        <v>0</v>
      </c>
      <c r="O23" s="235">
        <f t="shared" si="3"/>
        <v>0</v>
      </c>
      <c r="P23" s="278">
        <v>21</v>
      </c>
      <c r="Q23" s="229">
        <v>0</v>
      </c>
      <c r="R23" s="236">
        <f t="shared" si="4"/>
        <v>0</v>
      </c>
      <c r="S23" s="235">
        <f t="shared" si="5"/>
        <v>0</v>
      </c>
      <c r="T23" s="237"/>
      <c r="U23" s="235">
        <f t="shared" si="11"/>
        <v>0</v>
      </c>
      <c r="V23" s="239"/>
      <c r="W23" s="235">
        <f t="shared" si="2"/>
        <v>0</v>
      </c>
      <c r="X23" s="235">
        <v>0</v>
      </c>
      <c r="Y23" s="240">
        <f t="shared" si="7"/>
        <v>0</v>
      </c>
      <c r="Z23" s="241" t="str">
        <f t="shared" si="8"/>
        <v>13</v>
      </c>
      <c r="AA23" s="248"/>
      <c r="AB23" s="155"/>
      <c r="AC23" s="155"/>
    </row>
    <row r="24" spans="1:29" s="108" customFormat="1" ht="22.5" customHeight="1">
      <c r="A24" s="30" t="s">
        <v>1123</v>
      </c>
      <c r="B24" s="33" t="s">
        <v>1054</v>
      </c>
      <c r="C24" s="149" t="s">
        <v>1172</v>
      </c>
      <c r="D24" s="149"/>
      <c r="E24" s="62" t="s">
        <v>66</v>
      </c>
      <c r="F24" s="75" t="s">
        <v>1267</v>
      </c>
      <c r="G24" s="10">
        <v>2.0099999999999998</v>
      </c>
      <c r="H24" s="157"/>
      <c r="I24" s="81">
        <f t="shared" si="0"/>
        <v>2.0099999999999998</v>
      </c>
      <c r="J24" s="81">
        <v>0</v>
      </c>
      <c r="K24" s="82">
        <f t="shared" si="9"/>
        <v>2.0099999999999998</v>
      </c>
      <c r="L24" s="31">
        <f t="shared" si="1"/>
        <v>2110500</v>
      </c>
      <c r="M24" s="184" t="s">
        <v>858</v>
      </c>
      <c r="N24" s="31">
        <f t="shared" si="10"/>
        <v>1055250</v>
      </c>
      <c r="O24" s="31">
        <f t="shared" si="3"/>
        <v>1050000</v>
      </c>
      <c r="P24" s="10">
        <v>21</v>
      </c>
      <c r="Q24" s="62">
        <v>25</v>
      </c>
      <c r="R24" s="158">
        <f t="shared" si="4"/>
        <v>1055250</v>
      </c>
      <c r="S24" s="31">
        <f t="shared" si="5"/>
        <v>1055250</v>
      </c>
      <c r="T24" s="103"/>
      <c r="U24" s="31">
        <f t="shared" si="11"/>
        <v>0</v>
      </c>
      <c r="V24" s="74"/>
      <c r="W24" s="31">
        <f t="shared" si="2"/>
        <v>0</v>
      </c>
      <c r="X24" s="31">
        <f t="shared" si="6"/>
        <v>21105</v>
      </c>
      <c r="Y24" s="46">
        <f t="shared" si="7"/>
        <v>1076355</v>
      </c>
      <c r="Z24" s="11" t="str">
        <f t="shared" si="8"/>
        <v>14</v>
      </c>
      <c r="AA24" s="112"/>
      <c r="AB24" s="155"/>
      <c r="AC24" s="155"/>
    </row>
    <row r="25" spans="1:29" s="108" customFormat="1" ht="21" customHeight="1">
      <c r="A25" s="30" t="s">
        <v>1124</v>
      </c>
      <c r="B25" s="33" t="s">
        <v>1173</v>
      </c>
      <c r="C25" s="149" t="s">
        <v>1035</v>
      </c>
      <c r="D25" s="149"/>
      <c r="E25" s="62" t="s">
        <v>67</v>
      </c>
      <c r="F25" s="75" t="s">
        <v>1268</v>
      </c>
      <c r="G25" s="10">
        <v>2.2599999999999998</v>
      </c>
      <c r="H25" s="157"/>
      <c r="I25" s="81">
        <f t="shared" si="0"/>
        <v>2.2599999999999998</v>
      </c>
      <c r="J25" s="81">
        <v>0</v>
      </c>
      <c r="K25" s="82">
        <f t="shared" si="9"/>
        <v>2.2599999999999998</v>
      </c>
      <c r="L25" s="31">
        <f t="shared" si="1"/>
        <v>2373000</v>
      </c>
      <c r="M25" s="184" t="s">
        <v>858</v>
      </c>
      <c r="N25" s="31">
        <f t="shared" si="10"/>
        <v>1186500</v>
      </c>
      <c r="O25" s="31">
        <f t="shared" si="3"/>
        <v>1050000</v>
      </c>
      <c r="P25" s="10">
        <v>21</v>
      </c>
      <c r="Q25" s="62">
        <v>26</v>
      </c>
      <c r="R25" s="158">
        <f t="shared" si="4"/>
        <v>1186500</v>
      </c>
      <c r="S25" s="31">
        <f t="shared" si="5"/>
        <v>1186500</v>
      </c>
      <c r="T25" s="103"/>
      <c r="U25" s="31">
        <f t="shared" si="11"/>
        <v>0</v>
      </c>
      <c r="V25" s="74"/>
      <c r="W25" s="31">
        <f t="shared" si="2"/>
        <v>0</v>
      </c>
      <c r="X25" s="31">
        <f t="shared" si="6"/>
        <v>23730</v>
      </c>
      <c r="Y25" s="46">
        <f t="shared" si="7"/>
        <v>1210230</v>
      </c>
      <c r="Z25" s="11" t="str">
        <f t="shared" si="8"/>
        <v>15</v>
      </c>
      <c r="AA25" s="112"/>
      <c r="AB25" s="155"/>
      <c r="AC25" s="155"/>
    </row>
    <row r="26" spans="1:29" s="108" customFormat="1" ht="21" customHeight="1">
      <c r="A26" s="30" t="s">
        <v>1125</v>
      </c>
      <c r="B26" s="33" t="s">
        <v>263</v>
      </c>
      <c r="C26" s="149" t="s">
        <v>1087</v>
      </c>
      <c r="D26" s="149"/>
      <c r="E26" s="62" t="s">
        <v>311</v>
      </c>
      <c r="F26" s="102" t="s">
        <v>367</v>
      </c>
      <c r="G26" s="10">
        <v>2.2599999999999998</v>
      </c>
      <c r="H26" s="157"/>
      <c r="I26" s="81">
        <f t="shared" si="0"/>
        <v>2.2599999999999998</v>
      </c>
      <c r="J26" s="81">
        <v>0</v>
      </c>
      <c r="K26" s="82">
        <f t="shared" si="9"/>
        <v>2.2599999999999998</v>
      </c>
      <c r="L26" s="31">
        <f t="shared" si="1"/>
        <v>2373000</v>
      </c>
      <c r="M26" s="184" t="s">
        <v>858</v>
      </c>
      <c r="N26" s="31">
        <f t="shared" si="10"/>
        <v>1186500</v>
      </c>
      <c r="O26" s="31">
        <f t="shared" si="3"/>
        <v>1050000</v>
      </c>
      <c r="P26" s="10">
        <v>21</v>
      </c>
      <c r="Q26" s="62">
        <v>24</v>
      </c>
      <c r="R26" s="158">
        <f t="shared" si="4"/>
        <v>1186500</v>
      </c>
      <c r="S26" s="31">
        <f t="shared" si="5"/>
        <v>1186500</v>
      </c>
      <c r="T26" s="103"/>
      <c r="U26" s="31">
        <f t="shared" si="11"/>
        <v>0</v>
      </c>
      <c r="V26" s="74"/>
      <c r="W26" s="31">
        <f t="shared" si="2"/>
        <v>0</v>
      </c>
      <c r="X26" s="31">
        <f t="shared" si="6"/>
        <v>23730</v>
      </c>
      <c r="Y26" s="46">
        <f t="shared" si="7"/>
        <v>1210230</v>
      </c>
      <c r="Z26" s="11" t="str">
        <f t="shared" si="8"/>
        <v>16</v>
      </c>
      <c r="AA26" s="127" t="s">
        <v>798</v>
      </c>
      <c r="AB26" s="155"/>
      <c r="AC26" s="155"/>
    </row>
    <row r="27" spans="1:29" s="108" customFormat="1" ht="23.25" customHeight="1">
      <c r="A27" s="30" t="s">
        <v>1126</v>
      </c>
      <c r="B27" s="33" t="s">
        <v>899</v>
      </c>
      <c r="C27" s="149" t="s">
        <v>900</v>
      </c>
      <c r="D27" s="149" t="s">
        <v>528</v>
      </c>
      <c r="E27" s="62" t="s">
        <v>57</v>
      </c>
      <c r="F27" s="75" t="s">
        <v>1258</v>
      </c>
      <c r="G27" s="83">
        <v>3.33</v>
      </c>
      <c r="H27" s="161"/>
      <c r="I27" s="81">
        <f t="shared" si="0"/>
        <v>3.33</v>
      </c>
      <c r="J27" s="81">
        <v>0.45</v>
      </c>
      <c r="K27" s="82">
        <f t="shared" si="9"/>
        <v>3.7800000000000002</v>
      </c>
      <c r="L27" s="31">
        <f t="shared" si="1"/>
        <v>3969000.0000000005</v>
      </c>
      <c r="M27" s="184" t="s">
        <v>858</v>
      </c>
      <c r="N27" s="31">
        <f t="shared" si="10"/>
        <v>1984500.0000000002</v>
      </c>
      <c r="O27" s="31">
        <f t="shared" si="3"/>
        <v>1050000</v>
      </c>
      <c r="P27" s="10">
        <v>21</v>
      </c>
      <c r="Q27" s="62">
        <v>24</v>
      </c>
      <c r="R27" s="158">
        <f t="shared" si="4"/>
        <v>1984500.0000000002</v>
      </c>
      <c r="S27" s="31">
        <f t="shared" si="5"/>
        <v>1984500.0000000002</v>
      </c>
      <c r="T27" s="103"/>
      <c r="U27" s="31">
        <f t="shared" si="11"/>
        <v>0</v>
      </c>
      <c r="V27" s="74"/>
      <c r="W27" s="31">
        <f t="shared" si="2"/>
        <v>0</v>
      </c>
      <c r="X27" s="31">
        <f t="shared" si="6"/>
        <v>39690</v>
      </c>
      <c r="Y27" s="46">
        <f>(S27+U27+W27+X27)</f>
        <v>2024190.0000000002</v>
      </c>
      <c r="Z27" s="11" t="str">
        <f t="shared" si="8"/>
        <v>17</v>
      </c>
      <c r="AA27" s="112"/>
      <c r="AB27" s="155">
        <v>1230390</v>
      </c>
      <c r="AC27" s="155"/>
    </row>
    <row r="28" spans="1:29" s="108" customFormat="1" ht="22.5" customHeight="1">
      <c r="A28" s="30" t="s">
        <v>1127</v>
      </c>
      <c r="B28" s="33" t="s">
        <v>264</v>
      </c>
      <c r="C28" s="149" t="s">
        <v>885</v>
      </c>
      <c r="D28" s="149"/>
      <c r="E28" s="62" t="s">
        <v>312</v>
      </c>
      <c r="F28" s="102">
        <v>1603205247426</v>
      </c>
      <c r="G28" s="10">
        <v>2.46</v>
      </c>
      <c r="H28" s="157"/>
      <c r="I28" s="81">
        <f t="shared" si="0"/>
        <v>2.46</v>
      </c>
      <c r="J28" s="81">
        <v>0</v>
      </c>
      <c r="K28" s="82">
        <f t="shared" si="9"/>
        <v>2.46</v>
      </c>
      <c r="L28" s="31">
        <f t="shared" si="1"/>
        <v>2583000</v>
      </c>
      <c r="M28" s="184" t="s">
        <v>858</v>
      </c>
      <c r="N28" s="31">
        <f t="shared" si="10"/>
        <v>1291500</v>
      </c>
      <c r="O28" s="31">
        <f t="shared" si="3"/>
        <v>1050000</v>
      </c>
      <c r="P28" s="10">
        <v>21</v>
      </c>
      <c r="Q28" s="62">
        <v>24</v>
      </c>
      <c r="R28" s="158">
        <f t="shared" si="4"/>
        <v>1291500</v>
      </c>
      <c r="S28" s="31">
        <f t="shared" si="5"/>
        <v>1291500</v>
      </c>
      <c r="T28" s="103"/>
      <c r="U28" s="31">
        <f t="shared" si="11"/>
        <v>0</v>
      </c>
      <c r="V28" s="74"/>
      <c r="W28" s="31">
        <f t="shared" si="2"/>
        <v>0</v>
      </c>
      <c r="X28" s="31">
        <f t="shared" si="6"/>
        <v>25830</v>
      </c>
      <c r="Y28" s="46">
        <f t="shared" si="7"/>
        <v>1317330</v>
      </c>
      <c r="Z28" s="11" t="str">
        <f t="shared" si="8"/>
        <v>18</v>
      </c>
      <c r="AA28" s="126"/>
      <c r="AB28" s="155"/>
      <c r="AC28" s="155"/>
    </row>
    <row r="29" spans="1:29" s="108" customFormat="1" ht="22.5" customHeight="1">
      <c r="A29" s="30" t="s">
        <v>1131</v>
      </c>
      <c r="B29" s="33" t="s">
        <v>907</v>
      </c>
      <c r="C29" s="149" t="s">
        <v>880</v>
      </c>
      <c r="D29" s="149" t="s">
        <v>529</v>
      </c>
      <c r="E29" s="89" t="s">
        <v>68</v>
      </c>
      <c r="F29" s="75" t="s">
        <v>1269</v>
      </c>
      <c r="G29" s="10">
        <v>4.32</v>
      </c>
      <c r="H29" s="157"/>
      <c r="I29" s="81">
        <f t="shared" si="0"/>
        <v>4.32</v>
      </c>
      <c r="J29" s="81">
        <v>0.55000000000000004</v>
      </c>
      <c r="K29" s="82">
        <f t="shared" si="9"/>
        <v>4.87</v>
      </c>
      <c r="L29" s="31">
        <f t="shared" si="1"/>
        <v>5113500</v>
      </c>
      <c r="M29" s="184" t="s">
        <v>858</v>
      </c>
      <c r="N29" s="31">
        <f t="shared" si="10"/>
        <v>2556750</v>
      </c>
      <c r="O29" s="31">
        <f t="shared" si="3"/>
        <v>1050000</v>
      </c>
      <c r="P29" s="10">
        <v>21</v>
      </c>
      <c r="Q29" s="62">
        <v>26</v>
      </c>
      <c r="R29" s="158">
        <f t="shared" si="4"/>
        <v>2556750</v>
      </c>
      <c r="S29" s="31">
        <f t="shared" si="5"/>
        <v>2556750</v>
      </c>
      <c r="T29" s="103"/>
      <c r="U29" s="31">
        <f t="shared" si="11"/>
        <v>0</v>
      </c>
      <c r="V29" s="74"/>
      <c r="W29" s="31">
        <f t="shared" si="2"/>
        <v>0</v>
      </c>
      <c r="X29" s="31">
        <f t="shared" si="6"/>
        <v>51135</v>
      </c>
      <c r="Y29" s="46">
        <f t="shared" si="7"/>
        <v>2607885</v>
      </c>
      <c r="Z29" s="11" t="str">
        <f t="shared" si="8"/>
        <v>19</v>
      </c>
      <c r="AA29" s="126"/>
      <c r="AB29" s="155" t="s">
        <v>727</v>
      </c>
      <c r="AC29" s="155"/>
    </row>
    <row r="30" spans="1:29" s="108" customFormat="1" ht="20.25" customHeight="1">
      <c r="A30" s="30" t="s">
        <v>1132</v>
      </c>
      <c r="B30" s="33" t="s">
        <v>908</v>
      </c>
      <c r="C30" s="149" t="s">
        <v>909</v>
      </c>
      <c r="D30" s="149"/>
      <c r="E30" s="62" t="s">
        <v>69</v>
      </c>
      <c r="F30" s="75" t="s">
        <v>1270</v>
      </c>
      <c r="G30" s="10">
        <v>3.33</v>
      </c>
      <c r="H30" s="157">
        <v>0.19</v>
      </c>
      <c r="I30" s="81">
        <f>G30+(G30*H30)</f>
        <v>3.9626999999999999</v>
      </c>
      <c r="J30" s="81">
        <v>0</v>
      </c>
      <c r="K30" s="82">
        <f t="shared" si="9"/>
        <v>3.9626999999999999</v>
      </c>
      <c r="L30" s="31">
        <f t="shared" si="1"/>
        <v>4160835</v>
      </c>
      <c r="M30" s="184" t="s">
        <v>858</v>
      </c>
      <c r="N30" s="31">
        <f t="shared" si="10"/>
        <v>2080417.5</v>
      </c>
      <c r="O30" s="31">
        <f t="shared" si="3"/>
        <v>1050000</v>
      </c>
      <c r="P30" s="10">
        <v>21</v>
      </c>
      <c r="Q30" s="62">
        <v>25</v>
      </c>
      <c r="R30" s="158">
        <f t="shared" si="4"/>
        <v>2080417.5</v>
      </c>
      <c r="S30" s="31">
        <f t="shared" si="5"/>
        <v>2080417.5</v>
      </c>
      <c r="T30" s="103"/>
      <c r="U30" s="31">
        <f t="shared" si="11"/>
        <v>0</v>
      </c>
      <c r="V30" s="74"/>
      <c r="W30" s="31">
        <f t="shared" si="2"/>
        <v>0</v>
      </c>
      <c r="X30" s="31">
        <f t="shared" si="6"/>
        <v>41608.350000000006</v>
      </c>
      <c r="Y30" s="46">
        <f t="shared" si="7"/>
        <v>2122025.85</v>
      </c>
      <c r="Z30" s="11" t="str">
        <f t="shared" si="8"/>
        <v>20</v>
      </c>
      <c r="AA30" s="112"/>
      <c r="AB30" s="340" t="s">
        <v>830</v>
      </c>
      <c r="AC30" s="155"/>
    </row>
    <row r="31" spans="1:29" s="108" customFormat="1" ht="27.75" customHeight="1">
      <c r="A31" s="30" t="s">
        <v>1133</v>
      </c>
      <c r="B31" s="33" t="s">
        <v>911</v>
      </c>
      <c r="C31" s="149" t="s">
        <v>912</v>
      </c>
      <c r="D31" s="149"/>
      <c r="E31" s="62" t="s">
        <v>70</v>
      </c>
      <c r="F31" s="75" t="s">
        <v>1271</v>
      </c>
      <c r="G31" s="184">
        <v>3</v>
      </c>
      <c r="H31" s="157"/>
      <c r="I31" s="81">
        <f t="shared" si="0"/>
        <v>3</v>
      </c>
      <c r="J31" s="81">
        <v>0.35</v>
      </c>
      <c r="K31" s="82">
        <f t="shared" si="9"/>
        <v>3.35</v>
      </c>
      <c r="L31" s="31">
        <f t="shared" si="1"/>
        <v>3517500</v>
      </c>
      <c r="M31" s="184" t="s">
        <v>858</v>
      </c>
      <c r="N31" s="31">
        <f t="shared" si="10"/>
        <v>1758750</v>
      </c>
      <c r="O31" s="31">
        <f t="shared" si="3"/>
        <v>1050000</v>
      </c>
      <c r="P31" s="10">
        <v>21</v>
      </c>
      <c r="Q31" s="62">
        <v>24</v>
      </c>
      <c r="R31" s="158">
        <f t="shared" si="4"/>
        <v>1758750</v>
      </c>
      <c r="S31" s="31">
        <f t="shared" si="5"/>
        <v>1758750</v>
      </c>
      <c r="T31" s="103"/>
      <c r="U31" s="31">
        <f t="shared" si="11"/>
        <v>0</v>
      </c>
      <c r="V31" s="74"/>
      <c r="W31" s="31">
        <f t="shared" si="2"/>
        <v>0</v>
      </c>
      <c r="X31" s="31">
        <f t="shared" si="6"/>
        <v>35175</v>
      </c>
      <c r="Y31" s="46">
        <f t="shared" si="7"/>
        <v>1793925</v>
      </c>
      <c r="Z31" s="11" t="str">
        <f t="shared" si="8"/>
        <v>21</v>
      </c>
      <c r="AA31" s="112"/>
      <c r="AB31" s="155"/>
      <c r="AC31" s="155"/>
    </row>
    <row r="32" spans="1:29" s="108" customFormat="1" ht="41.25" customHeight="1">
      <c r="A32" s="30" t="s">
        <v>1142</v>
      </c>
      <c r="B32" s="33" t="s">
        <v>913</v>
      </c>
      <c r="C32" s="149" t="s">
        <v>883</v>
      </c>
      <c r="D32" s="149"/>
      <c r="E32" s="89" t="s">
        <v>71</v>
      </c>
      <c r="F32" s="75" t="s">
        <v>1272</v>
      </c>
      <c r="G32" s="10">
        <v>3.99</v>
      </c>
      <c r="H32" s="157"/>
      <c r="I32" s="81">
        <f t="shared" si="0"/>
        <v>3.99</v>
      </c>
      <c r="J32" s="81">
        <v>0.35</v>
      </c>
      <c r="K32" s="82">
        <f t="shared" si="9"/>
        <v>4.34</v>
      </c>
      <c r="L32" s="31">
        <f t="shared" si="1"/>
        <v>4557000</v>
      </c>
      <c r="M32" s="184" t="s">
        <v>858</v>
      </c>
      <c r="N32" s="31">
        <f t="shared" si="10"/>
        <v>2278500</v>
      </c>
      <c r="O32" s="31">
        <f t="shared" si="3"/>
        <v>1050000</v>
      </c>
      <c r="P32" s="10">
        <v>21</v>
      </c>
      <c r="Q32" s="62">
        <v>24</v>
      </c>
      <c r="R32" s="158">
        <f t="shared" si="4"/>
        <v>2278500</v>
      </c>
      <c r="S32" s="31">
        <f t="shared" si="5"/>
        <v>2278500</v>
      </c>
      <c r="T32" s="103"/>
      <c r="U32" s="31">
        <f t="shared" si="11"/>
        <v>0</v>
      </c>
      <c r="V32" s="74"/>
      <c r="W32" s="31">
        <f t="shared" si="2"/>
        <v>0</v>
      </c>
      <c r="X32" s="31">
        <f t="shared" si="6"/>
        <v>45570</v>
      </c>
      <c r="Y32" s="46">
        <f t="shared" si="7"/>
        <v>2324070</v>
      </c>
      <c r="Z32" s="11" t="str">
        <f t="shared" si="8"/>
        <v>22</v>
      </c>
      <c r="AA32" s="112"/>
      <c r="AB32" s="155"/>
      <c r="AC32" s="155"/>
    </row>
    <row r="33" spans="1:30" s="108" customFormat="1" ht="15.75">
      <c r="A33" s="30" t="s">
        <v>1143</v>
      </c>
      <c r="B33" s="33" t="s">
        <v>265</v>
      </c>
      <c r="C33" s="149" t="s">
        <v>912</v>
      </c>
      <c r="D33" s="149"/>
      <c r="E33" s="62" t="s">
        <v>316</v>
      </c>
      <c r="F33" s="75" t="s">
        <v>368</v>
      </c>
      <c r="G33" s="10">
        <v>2.67</v>
      </c>
      <c r="H33" s="157"/>
      <c r="I33" s="81">
        <f t="shared" si="0"/>
        <v>2.67</v>
      </c>
      <c r="J33" s="81">
        <v>0</v>
      </c>
      <c r="K33" s="82">
        <f t="shared" si="9"/>
        <v>2.67</v>
      </c>
      <c r="L33" s="31">
        <f t="shared" si="1"/>
        <v>2803500</v>
      </c>
      <c r="M33" s="184" t="s">
        <v>858</v>
      </c>
      <c r="N33" s="31">
        <f t="shared" si="10"/>
        <v>1401750</v>
      </c>
      <c r="O33" s="31">
        <f t="shared" si="3"/>
        <v>1050000</v>
      </c>
      <c r="P33" s="10">
        <v>21</v>
      </c>
      <c r="Q33" s="62">
        <v>24</v>
      </c>
      <c r="R33" s="158">
        <f t="shared" si="4"/>
        <v>1401750</v>
      </c>
      <c r="S33" s="31">
        <f t="shared" si="5"/>
        <v>1401750</v>
      </c>
      <c r="T33" s="103"/>
      <c r="U33" s="31">
        <f t="shared" si="11"/>
        <v>0</v>
      </c>
      <c r="V33" s="74"/>
      <c r="W33" s="31">
        <f t="shared" si="2"/>
        <v>0</v>
      </c>
      <c r="X33" s="31">
        <f t="shared" si="6"/>
        <v>28035</v>
      </c>
      <c r="Y33" s="46">
        <f t="shared" si="7"/>
        <v>1429785</v>
      </c>
      <c r="Z33" s="11" t="str">
        <f t="shared" si="8"/>
        <v>23</v>
      </c>
      <c r="AA33" s="112"/>
      <c r="AB33" s="155"/>
      <c r="AC33" s="155"/>
    </row>
    <row r="34" spans="1:30" s="108" customFormat="1" ht="30" customHeight="1">
      <c r="A34" s="30" t="s">
        <v>1144</v>
      </c>
      <c r="B34" s="33" t="s">
        <v>493</v>
      </c>
      <c r="C34" s="149" t="s">
        <v>494</v>
      </c>
      <c r="D34" s="149"/>
      <c r="E34" s="162" t="s">
        <v>495</v>
      </c>
      <c r="F34" s="102">
        <v>1603205178873</v>
      </c>
      <c r="G34" s="10">
        <v>2.2599999999999998</v>
      </c>
      <c r="H34" s="157"/>
      <c r="I34" s="81">
        <f t="shared" si="0"/>
        <v>2.2599999999999998</v>
      </c>
      <c r="J34" s="81"/>
      <c r="K34" s="82">
        <f t="shared" si="9"/>
        <v>2.2599999999999998</v>
      </c>
      <c r="L34" s="31">
        <f t="shared" si="1"/>
        <v>2373000</v>
      </c>
      <c r="M34" s="184" t="s">
        <v>858</v>
      </c>
      <c r="N34" s="31">
        <f t="shared" si="10"/>
        <v>1186500</v>
      </c>
      <c r="O34" s="31">
        <f t="shared" si="3"/>
        <v>1050000</v>
      </c>
      <c r="P34" s="10">
        <v>21</v>
      </c>
      <c r="Q34" s="62">
        <v>24</v>
      </c>
      <c r="R34" s="158">
        <f t="shared" si="4"/>
        <v>1186500</v>
      </c>
      <c r="S34" s="31">
        <f t="shared" si="5"/>
        <v>1186500</v>
      </c>
      <c r="T34" s="103"/>
      <c r="U34" s="31">
        <f t="shared" si="11"/>
        <v>0</v>
      </c>
      <c r="V34" s="74"/>
      <c r="W34" s="31">
        <f t="shared" si="2"/>
        <v>0</v>
      </c>
      <c r="X34" s="31">
        <f t="shared" si="6"/>
        <v>23730</v>
      </c>
      <c r="Y34" s="46">
        <f t="shared" si="7"/>
        <v>1210230</v>
      </c>
      <c r="Z34" s="11" t="str">
        <f t="shared" si="8"/>
        <v>24</v>
      </c>
      <c r="AA34" s="112"/>
      <c r="AB34" s="155"/>
      <c r="AC34" s="155"/>
    </row>
    <row r="35" spans="1:30" s="108" customFormat="1" ht="39.75" customHeight="1">
      <c r="A35" s="30" t="s">
        <v>1145</v>
      </c>
      <c r="B35" s="33" t="s">
        <v>914</v>
      </c>
      <c r="C35" s="149" t="s">
        <v>882</v>
      </c>
      <c r="D35" s="149" t="s">
        <v>530</v>
      </c>
      <c r="E35" s="62" t="s">
        <v>72</v>
      </c>
      <c r="F35" s="75" t="s">
        <v>1273</v>
      </c>
      <c r="G35" s="184">
        <v>4.9800000000000004</v>
      </c>
      <c r="H35" s="157"/>
      <c r="I35" s="81">
        <f t="shared" si="0"/>
        <v>4.9800000000000004</v>
      </c>
      <c r="J35" s="81">
        <v>0.45</v>
      </c>
      <c r="K35" s="82">
        <f t="shared" si="9"/>
        <v>5.4300000000000006</v>
      </c>
      <c r="L35" s="31">
        <f t="shared" si="1"/>
        <v>5701500.0000000009</v>
      </c>
      <c r="M35" s="184" t="s">
        <v>858</v>
      </c>
      <c r="N35" s="31">
        <f t="shared" si="10"/>
        <v>2850750.0000000005</v>
      </c>
      <c r="O35" s="31">
        <f t="shared" si="3"/>
        <v>1050000</v>
      </c>
      <c r="P35" s="10">
        <v>21</v>
      </c>
      <c r="Q35" s="62">
        <v>22</v>
      </c>
      <c r="R35" s="158">
        <f t="shared" si="4"/>
        <v>2850750.0000000005</v>
      </c>
      <c r="S35" s="31">
        <f t="shared" si="5"/>
        <v>2850750.0000000005</v>
      </c>
      <c r="T35" s="103"/>
      <c r="U35" s="31">
        <f t="shared" si="11"/>
        <v>0</v>
      </c>
      <c r="V35" s="74"/>
      <c r="W35" s="31">
        <f t="shared" si="2"/>
        <v>0</v>
      </c>
      <c r="X35" s="31">
        <f t="shared" si="6"/>
        <v>57015.000000000007</v>
      </c>
      <c r="Y35" s="46">
        <f t="shared" si="7"/>
        <v>2907765.0000000005</v>
      </c>
      <c r="Z35" s="11" t="str">
        <f t="shared" si="8"/>
        <v>25</v>
      </c>
      <c r="AA35" s="112" t="s">
        <v>799</v>
      </c>
      <c r="AB35" s="155"/>
      <c r="AC35" s="155"/>
    </row>
    <row r="36" spans="1:30" s="108" customFormat="1" ht="24" customHeight="1">
      <c r="A36" s="30" t="s">
        <v>1146</v>
      </c>
      <c r="B36" s="33" t="s">
        <v>869</v>
      </c>
      <c r="C36" s="149" t="s">
        <v>915</v>
      </c>
      <c r="D36" s="149"/>
      <c r="E36" s="62" t="s">
        <v>73</v>
      </c>
      <c r="F36" s="75" t="s">
        <v>1274</v>
      </c>
      <c r="G36" s="10">
        <v>3.99</v>
      </c>
      <c r="H36" s="157"/>
      <c r="I36" s="81">
        <f t="shared" si="0"/>
        <v>3.99</v>
      </c>
      <c r="J36" s="81">
        <v>0.35</v>
      </c>
      <c r="K36" s="82">
        <f t="shared" si="9"/>
        <v>4.34</v>
      </c>
      <c r="L36" s="31">
        <f t="shared" si="1"/>
        <v>4557000</v>
      </c>
      <c r="M36" s="184" t="s">
        <v>858</v>
      </c>
      <c r="N36" s="31">
        <f t="shared" si="10"/>
        <v>2278500</v>
      </c>
      <c r="O36" s="31">
        <f t="shared" si="3"/>
        <v>1050000</v>
      </c>
      <c r="P36" s="10">
        <v>21</v>
      </c>
      <c r="Q36" s="62">
        <v>21</v>
      </c>
      <c r="R36" s="158">
        <f t="shared" si="4"/>
        <v>2278500</v>
      </c>
      <c r="S36" s="31">
        <f t="shared" si="5"/>
        <v>2278500</v>
      </c>
      <c r="T36" s="103"/>
      <c r="U36" s="31">
        <f t="shared" si="11"/>
        <v>0</v>
      </c>
      <c r="V36" s="74"/>
      <c r="W36" s="31">
        <f t="shared" si="2"/>
        <v>0</v>
      </c>
      <c r="X36" s="31">
        <f t="shared" si="6"/>
        <v>45570</v>
      </c>
      <c r="Y36" s="46">
        <f t="shared" si="7"/>
        <v>2324070</v>
      </c>
      <c r="Z36" s="11" t="str">
        <f t="shared" si="8"/>
        <v>26</v>
      </c>
      <c r="AA36" s="112"/>
      <c r="AB36" s="155"/>
      <c r="AC36" s="155"/>
    </row>
    <row r="37" spans="1:30" s="108" customFormat="1" ht="26.25" customHeight="1">
      <c r="A37" s="30" t="s">
        <v>1147</v>
      </c>
      <c r="B37" s="33" t="s">
        <v>916</v>
      </c>
      <c r="C37" s="149" t="s">
        <v>917</v>
      </c>
      <c r="D37" s="149"/>
      <c r="E37" s="62" t="s">
        <v>74</v>
      </c>
      <c r="F37" s="75" t="s">
        <v>1275</v>
      </c>
      <c r="G37" s="10">
        <v>2.19</v>
      </c>
      <c r="H37" s="157"/>
      <c r="I37" s="81">
        <f t="shared" si="0"/>
        <v>2.19</v>
      </c>
      <c r="J37" s="81">
        <v>0</v>
      </c>
      <c r="K37" s="82">
        <f t="shared" si="9"/>
        <v>2.19</v>
      </c>
      <c r="L37" s="31">
        <f t="shared" si="1"/>
        <v>2299500</v>
      </c>
      <c r="M37" s="184" t="s">
        <v>858</v>
      </c>
      <c r="N37" s="31">
        <f t="shared" si="10"/>
        <v>1149750</v>
      </c>
      <c r="O37" s="31">
        <f t="shared" si="3"/>
        <v>1050000</v>
      </c>
      <c r="P37" s="10">
        <v>21</v>
      </c>
      <c r="Q37" s="62">
        <v>20</v>
      </c>
      <c r="R37" s="158">
        <f t="shared" si="4"/>
        <v>1149750</v>
      </c>
      <c r="S37" s="31">
        <f t="shared" si="5"/>
        <v>1095000</v>
      </c>
      <c r="T37" s="103"/>
      <c r="U37" s="31">
        <f t="shared" si="11"/>
        <v>0</v>
      </c>
      <c r="V37" s="74"/>
      <c r="W37" s="31">
        <f t="shared" si="2"/>
        <v>0</v>
      </c>
      <c r="X37" s="31">
        <f t="shared" si="6"/>
        <v>22995</v>
      </c>
      <c r="Y37" s="46">
        <f t="shared" si="7"/>
        <v>1117995</v>
      </c>
      <c r="Z37" s="11" t="str">
        <f t="shared" si="8"/>
        <v>27</v>
      </c>
      <c r="AA37" s="112" t="s">
        <v>783</v>
      </c>
      <c r="AB37" s="155"/>
      <c r="AC37" s="155"/>
      <c r="AD37" s="108">
        <f>AD39-15343948</f>
        <v>-15343948</v>
      </c>
    </row>
    <row r="38" spans="1:30" s="108" customFormat="1" ht="25.5" customHeight="1">
      <c r="A38" s="30" t="s">
        <v>1148</v>
      </c>
      <c r="B38" s="33" t="s">
        <v>1093</v>
      </c>
      <c r="C38" s="149" t="s">
        <v>1094</v>
      </c>
      <c r="D38" s="149"/>
      <c r="E38" s="62" t="s">
        <v>229</v>
      </c>
      <c r="F38" s="75" t="s">
        <v>8</v>
      </c>
      <c r="G38" s="10">
        <v>2.2599999999999998</v>
      </c>
      <c r="H38" s="157"/>
      <c r="I38" s="81">
        <f>G38+(G38*H38)</f>
        <v>2.2599999999999998</v>
      </c>
      <c r="J38" s="81">
        <v>0</v>
      </c>
      <c r="K38" s="82">
        <f>I38+J38</f>
        <v>2.2599999999999998</v>
      </c>
      <c r="L38" s="31">
        <f>K38*$H$7</f>
        <v>2373000</v>
      </c>
      <c r="M38" s="184" t="s">
        <v>858</v>
      </c>
      <c r="N38" s="31">
        <f t="shared" si="10"/>
        <v>1186500</v>
      </c>
      <c r="O38" s="31">
        <f>IF(M38="A",1050000,IF(M38="B",735000,IF(M38="C",514500,0)))</f>
        <v>1050000</v>
      </c>
      <c r="P38" s="10">
        <v>21</v>
      </c>
      <c r="Q38" s="62">
        <v>20</v>
      </c>
      <c r="R38" s="158">
        <f>IF(N38&gt;O38,N38,O38)</f>
        <v>1186500</v>
      </c>
      <c r="S38" s="31">
        <f>IF(Q38&gt;=P38,R38,R38/P38*Q38)</f>
        <v>1130000</v>
      </c>
      <c r="T38" s="103"/>
      <c r="U38" s="31">
        <f>T38*$H$7*0.5</f>
        <v>0</v>
      </c>
      <c r="V38" s="74"/>
      <c r="W38" s="31">
        <f>V38*$H$7*0.5</f>
        <v>0</v>
      </c>
      <c r="X38" s="31">
        <f>(K38*0.01*$H$7)+(T38*1%*$H$7)+(V38*1%*$H$7)</f>
        <v>23730</v>
      </c>
      <c r="Y38" s="46">
        <f>(S38+U38+W38+X38)</f>
        <v>1153730</v>
      </c>
      <c r="Z38" s="11" t="str">
        <f t="shared" si="8"/>
        <v>28</v>
      </c>
      <c r="AA38" s="288" t="s">
        <v>783</v>
      </c>
      <c r="AB38" s="155"/>
      <c r="AC38" s="155"/>
    </row>
    <row r="39" spans="1:30" s="108" customFormat="1" ht="23.25" customHeight="1">
      <c r="A39" s="30" t="s">
        <v>1149</v>
      </c>
      <c r="B39" s="33" t="s">
        <v>862</v>
      </c>
      <c r="C39" s="149" t="s">
        <v>918</v>
      </c>
      <c r="D39" s="149"/>
      <c r="E39" s="10" t="s">
        <v>75</v>
      </c>
      <c r="F39" s="85" t="s">
        <v>1276</v>
      </c>
      <c r="G39" s="10">
        <v>4.9800000000000004</v>
      </c>
      <c r="H39" s="221">
        <v>0.06</v>
      </c>
      <c r="I39" s="81">
        <f t="shared" si="0"/>
        <v>5.2788000000000004</v>
      </c>
      <c r="J39" s="81">
        <v>0.45</v>
      </c>
      <c r="K39" s="82">
        <f t="shared" si="9"/>
        <v>5.7288000000000006</v>
      </c>
      <c r="L39" s="31">
        <f t="shared" si="1"/>
        <v>6015240.0000000009</v>
      </c>
      <c r="M39" s="184" t="s">
        <v>858</v>
      </c>
      <c r="N39" s="31">
        <f t="shared" si="10"/>
        <v>3007620.0000000005</v>
      </c>
      <c r="O39" s="31">
        <f t="shared" si="3"/>
        <v>1050000</v>
      </c>
      <c r="P39" s="10">
        <v>21</v>
      </c>
      <c r="Q39" s="62">
        <v>23</v>
      </c>
      <c r="R39" s="158">
        <f t="shared" si="4"/>
        <v>3007620.0000000005</v>
      </c>
      <c r="S39" s="31">
        <f t="shared" si="5"/>
        <v>3007620.0000000005</v>
      </c>
      <c r="T39" s="103"/>
      <c r="U39" s="31">
        <f t="shared" si="11"/>
        <v>0</v>
      </c>
      <c r="V39" s="74"/>
      <c r="W39" s="31">
        <f t="shared" si="2"/>
        <v>0</v>
      </c>
      <c r="X39" s="31">
        <f t="shared" si="6"/>
        <v>60152.400000000009</v>
      </c>
      <c r="Y39" s="46">
        <f t="shared" si="7"/>
        <v>3067772.4000000004</v>
      </c>
      <c r="Z39" s="11" t="str">
        <f t="shared" si="8"/>
        <v>29</v>
      </c>
      <c r="AA39" s="288" t="s">
        <v>780</v>
      </c>
      <c r="AB39" s="155"/>
      <c r="AC39" s="155"/>
      <c r="AD39" s="108">
        <f>SUM(AC29:AC39)</f>
        <v>0</v>
      </c>
    </row>
    <row r="40" spans="1:30" s="108" customFormat="1" ht="27" customHeight="1">
      <c r="A40" s="30" t="s">
        <v>1150</v>
      </c>
      <c r="B40" s="33" t="s">
        <v>933</v>
      </c>
      <c r="C40" s="149" t="s">
        <v>918</v>
      </c>
      <c r="D40" s="149" t="s">
        <v>531</v>
      </c>
      <c r="E40" s="62" t="s">
        <v>76</v>
      </c>
      <c r="F40" s="85" t="s">
        <v>1277</v>
      </c>
      <c r="G40" s="10">
        <v>4.9800000000000004</v>
      </c>
      <c r="H40" s="221">
        <v>0.05</v>
      </c>
      <c r="I40" s="81">
        <f t="shared" si="0"/>
        <v>5.2290000000000001</v>
      </c>
      <c r="J40" s="81">
        <v>0.45</v>
      </c>
      <c r="K40" s="82">
        <f t="shared" si="9"/>
        <v>5.6790000000000003</v>
      </c>
      <c r="L40" s="31">
        <f t="shared" si="1"/>
        <v>5962950</v>
      </c>
      <c r="M40" s="184" t="s">
        <v>858</v>
      </c>
      <c r="N40" s="31">
        <f t="shared" si="10"/>
        <v>2981475</v>
      </c>
      <c r="O40" s="31">
        <f t="shared" si="3"/>
        <v>1050000</v>
      </c>
      <c r="P40" s="10">
        <v>21</v>
      </c>
      <c r="Q40" s="62">
        <v>26</v>
      </c>
      <c r="R40" s="158">
        <f t="shared" si="4"/>
        <v>2981475</v>
      </c>
      <c r="S40" s="31">
        <f t="shared" si="5"/>
        <v>2981475</v>
      </c>
      <c r="T40" s="103"/>
      <c r="U40" s="31">
        <f t="shared" si="11"/>
        <v>0</v>
      </c>
      <c r="V40" s="74"/>
      <c r="W40" s="31">
        <f t="shared" si="2"/>
        <v>0</v>
      </c>
      <c r="X40" s="31">
        <f t="shared" si="6"/>
        <v>59629.500000000007</v>
      </c>
      <c r="Y40" s="46">
        <f t="shared" si="7"/>
        <v>3041104.5</v>
      </c>
      <c r="Z40" s="11" t="str">
        <f t="shared" si="8"/>
        <v>30</v>
      </c>
      <c r="AA40" s="112"/>
      <c r="AB40" s="155"/>
      <c r="AC40" s="155"/>
    </row>
    <row r="41" spans="1:30" s="108" customFormat="1" ht="25.5" customHeight="1">
      <c r="A41" s="30" t="s">
        <v>1151</v>
      </c>
      <c r="B41" s="33" t="s">
        <v>997</v>
      </c>
      <c r="C41" s="149" t="s">
        <v>1026</v>
      </c>
      <c r="D41" s="149"/>
      <c r="E41" s="62" t="s">
        <v>160</v>
      </c>
      <c r="F41" s="75" t="s">
        <v>1361</v>
      </c>
      <c r="G41" s="10">
        <v>3</v>
      </c>
      <c r="H41" s="157"/>
      <c r="I41" s="81">
        <f t="shared" si="0"/>
        <v>3</v>
      </c>
      <c r="J41" s="81">
        <v>0.35</v>
      </c>
      <c r="K41" s="82">
        <f t="shared" si="9"/>
        <v>3.35</v>
      </c>
      <c r="L41" s="31">
        <f t="shared" si="1"/>
        <v>3517500</v>
      </c>
      <c r="M41" s="184" t="s">
        <v>858</v>
      </c>
      <c r="N41" s="31">
        <f t="shared" si="10"/>
        <v>1758750</v>
      </c>
      <c r="O41" s="31">
        <f t="shared" si="3"/>
        <v>1050000</v>
      </c>
      <c r="P41" s="10">
        <v>21</v>
      </c>
      <c r="Q41" s="62">
        <v>25</v>
      </c>
      <c r="R41" s="158">
        <f t="shared" si="4"/>
        <v>1758750</v>
      </c>
      <c r="S41" s="31">
        <f t="shared" si="5"/>
        <v>1758750</v>
      </c>
      <c r="T41" s="103"/>
      <c r="U41" s="31">
        <f t="shared" si="11"/>
        <v>0</v>
      </c>
      <c r="V41" s="74"/>
      <c r="W41" s="31">
        <f t="shared" si="2"/>
        <v>0</v>
      </c>
      <c r="X41" s="31">
        <f t="shared" si="6"/>
        <v>35175</v>
      </c>
      <c r="Y41" s="46">
        <f t="shared" si="7"/>
        <v>1793925</v>
      </c>
      <c r="Z41" s="11" t="str">
        <f t="shared" si="8"/>
        <v>31</v>
      </c>
      <c r="AA41" s="112"/>
      <c r="AB41" s="155"/>
      <c r="AC41" s="155"/>
    </row>
    <row r="42" spans="1:30" s="108" customFormat="1" ht="21" customHeight="1">
      <c r="A42" s="30" t="s">
        <v>1152</v>
      </c>
      <c r="B42" s="33" t="s">
        <v>911</v>
      </c>
      <c r="C42" s="149" t="s">
        <v>885</v>
      </c>
      <c r="D42" s="149"/>
      <c r="E42" s="62" t="s">
        <v>315</v>
      </c>
      <c r="F42" s="102">
        <v>1603205189653</v>
      </c>
      <c r="G42" s="10">
        <v>2.67</v>
      </c>
      <c r="H42" s="157"/>
      <c r="I42" s="81">
        <f t="shared" si="0"/>
        <v>2.67</v>
      </c>
      <c r="J42" s="81">
        <v>0</v>
      </c>
      <c r="K42" s="82">
        <f t="shared" si="9"/>
        <v>2.67</v>
      </c>
      <c r="L42" s="31">
        <f t="shared" si="1"/>
        <v>2803500</v>
      </c>
      <c r="M42" s="184" t="s">
        <v>858</v>
      </c>
      <c r="N42" s="31">
        <f t="shared" si="10"/>
        <v>1401750</v>
      </c>
      <c r="O42" s="31">
        <f t="shared" si="3"/>
        <v>1050000</v>
      </c>
      <c r="P42" s="10">
        <v>21</v>
      </c>
      <c r="Q42" s="62">
        <v>24</v>
      </c>
      <c r="R42" s="158">
        <f t="shared" si="4"/>
        <v>1401750</v>
      </c>
      <c r="S42" s="31">
        <f t="shared" si="5"/>
        <v>1401750</v>
      </c>
      <c r="T42" s="103"/>
      <c r="U42" s="31">
        <f t="shared" si="11"/>
        <v>0</v>
      </c>
      <c r="V42" s="74"/>
      <c r="W42" s="31">
        <f t="shared" si="2"/>
        <v>0</v>
      </c>
      <c r="X42" s="31">
        <f t="shared" si="6"/>
        <v>28035</v>
      </c>
      <c r="Y42" s="46">
        <f t="shared" si="7"/>
        <v>1429785</v>
      </c>
      <c r="Z42" s="11" t="str">
        <f t="shared" si="8"/>
        <v>32</v>
      </c>
      <c r="AA42" s="112"/>
      <c r="AB42" s="155"/>
      <c r="AC42" s="155"/>
    </row>
    <row r="43" spans="1:30" s="108" customFormat="1" ht="25.5">
      <c r="A43" s="30" t="s">
        <v>1153</v>
      </c>
      <c r="B43" s="33" t="s">
        <v>1059</v>
      </c>
      <c r="C43" s="149" t="s">
        <v>1060</v>
      </c>
      <c r="D43" s="34"/>
      <c r="E43" s="62" t="s">
        <v>198</v>
      </c>
      <c r="F43" s="75" t="s">
        <v>1398</v>
      </c>
      <c r="G43" s="10">
        <v>4.9800000000000004</v>
      </c>
      <c r="H43" s="221">
        <v>0.05</v>
      </c>
      <c r="I43" s="81">
        <f>G43+(G43*H43)</f>
        <v>5.2290000000000001</v>
      </c>
      <c r="J43" s="81">
        <v>0.35</v>
      </c>
      <c r="K43" s="82">
        <f>I43+J43</f>
        <v>5.5789999999999997</v>
      </c>
      <c r="L43" s="31">
        <f>K43*$H$7</f>
        <v>5857950</v>
      </c>
      <c r="M43" s="184" t="s">
        <v>858</v>
      </c>
      <c r="N43" s="31">
        <f t="shared" si="10"/>
        <v>2928975</v>
      </c>
      <c r="O43" s="31">
        <f>IF(M43="A",1050000,IF(M43="B",735000,IF(M43="C",514500,0)))</f>
        <v>1050000</v>
      </c>
      <c r="P43" s="10">
        <v>21</v>
      </c>
      <c r="Q43" s="62">
        <v>26</v>
      </c>
      <c r="R43" s="158">
        <f>IF(N43&gt;O43,N43,O43)</f>
        <v>2928975</v>
      </c>
      <c r="S43" s="31">
        <f>IF(Q43&gt;=P43,R43,R43/P43*Q43)</f>
        <v>2928975</v>
      </c>
      <c r="T43" s="103"/>
      <c r="U43" s="31">
        <f>T43*$H$7*0.5</f>
        <v>0</v>
      </c>
      <c r="V43" s="74"/>
      <c r="W43" s="31">
        <f>V43*$H$7*0.5</f>
        <v>0</v>
      </c>
      <c r="X43" s="31">
        <f>(K43*0.01*$H$7)+(T43*1%*$H$7)+(V43*1%*$H$7)</f>
        <v>58579.5</v>
      </c>
      <c r="Y43" s="46">
        <f>(S43+U43+W43+X43)</f>
        <v>2987554.5</v>
      </c>
      <c r="Z43" s="11" t="str">
        <f>A43</f>
        <v>33</v>
      </c>
      <c r="AA43" s="125"/>
      <c r="AB43" s="261" t="s">
        <v>790</v>
      </c>
      <c r="AC43" s="155"/>
    </row>
    <row r="44" spans="1:30" s="108" customFormat="1" ht="21" customHeight="1">
      <c r="A44" s="30" t="s">
        <v>1154</v>
      </c>
      <c r="B44" s="33" t="s">
        <v>869</v>
      </c>
      <c r="C44" s="149" t="s">
        <v>1105</v>
      </c>
      <c r="D44" s="149" t="s">
        <v>1213</v>
      </c>
      <c r="E44" s="62" t="s">
        <v>77</v>
      </c>
      <c r="F44" s="75" t="s">
        <v>1278</v>
      </c>
      <c r="G44" s="10">
        <v>3.33</v>
      </c>
      <c r="H44" s="45"/>
      <c r="I44" s="81">
        <f t="shared" si="0"/>
        <v>3.33</v>
      </c>
      <c r="J44" s="45"/>
      <c r="K44" s="82">
        <f t="shared" si="9"/>
        <v>3.33</v>
      </c>
      <c r="L44" s="31">
        <f t="shared" si="1"/>
        <v>3496500</v>
      </c>
      <c r="M44" s="184" t="s">
        <v>858</v>
      </c>
      <c r="N44" s="31">
        <f t="shared" si="10"/>
        <v>1748250</v>
      </c>
      <c r="O44" s="31">
        <f t="shared" si="3"/>
        <v>1050000</v>
      </c>
      <c r="P44" s="10">
        <v>21</v>
      </c>
      <c r="Q44" s="10">
        <v>21</v>
      </c>
      <c r="R44" s="158">
        <f t="shared" si="4"/>
        <v>1748250</v>
      </c>
      <c r="S44" s="31">
        <f t="shared" si="5"/>
        <v>1748250</v>
      </c>
      <c r="T44" s="103"/>
      <c r="U44" s="31">
        <f t="shared" si="11"/>
        <v>0</v>
      </c>
      <c r="V44" s="74"/>
      <c r="W44" s="31">
        <f t="shared" si="2"/>
        <v>0</v>
      </c>
      <c r="X44" s="31">
        <f t="shared" si="6"/>
        <v>34965</v>
      </c>
      <c r="Y44" s="46">
        <f t="shared" si="7"/>
        <v>1783215</v>
      </c>
      <c r="Z44" s="11" t="str">
        <f t="shared" si="8"/>
        <v>34</v>
      </c>
      <c r="AA44" s="244" t="s">
        <v>798</v>
      </c>
      <c r="AB44" s="155"/>
      <c r="AC44" s="155"/>
    </row>
    <row r="45" spans="1:30" s="108" customFormat="1" ht="19.5" customHeight="1">
      <c r="A45" s="30" t="s">
        <v>1155</v>
      </c>
      <c r="B45" s="33" t="s">
        <v>919</v>
      </c>
      <c r="C45" s="149" t="s">
        <v>920</v>
      </c>
      <c r="D45" s="149" t="s">
        <v>532</v>
      </c>
      <c r="E45" s="62" t="s">
        <v>78</v>
      </c>
      <c r="F45" s="85" t="s">
        <v>1279</v>
      </c>
      <c r="G45" s="10">
        <v>4.74</v>
      </c>
      <c r="H45" s="157"/>
      <c r="I45" s="81">
        <f t="shared" si="0"/>
        <v>4.74</v>
      </c>
      <c r="J45" s="81">
        <v>0.45</v>
      </c>
      <c r="K45" s="82">
        <f t="shared" si="9"/>
        <v>5.19</v>
      </c>
      <c r="L45" s="31">
        <f t="shared" si="1"/>
        <v>5449500</v>
      </c>
      <c r="M45" s="184" t="s">
        <v>858</v>
      </c>
      <c r="N45" s="31">
        <f t="shared" si="10"/>
        <v>2724750</v>
      </c>
      <c r="O45" s="31">
        <f t="shared" si="3"/>
        <v>1050000</v>
      </c>
      <c r="P45" s="10">
        <v>21</v>
      </c>
      <c r="Q45" s="62">
        <v>26</v>
      </c>
      <c r="R45" s="158">
        <f t="shared" si="4"/>
        <v>2724750</v>
      </c>
      <c r="S45" s="31">
        <f t="shared" si="5"/>
        <v>2724750</v>
      </c>
      <c r="T45" s="103"/>
      <c r="U45" s="31">
        <f t="shared" si="11"/>
        <v>0</v>
      </c>
      <c r="V45" s="74"/>
      <c r="W45" s="31">
        <f t="shared" si="2"/>
        <v>0</v>
      </c>
      <c r="X45" s="31">
        <f t="shared" si="6"/>
        <v>54495</v>
      </c>
      <c r="Y45" s="46">
        <f t="shared" si="7"/>
        <v>2779245</v>
      </c>
      <c r="Z45" s="11" t="str">
        <f t="shared" si="8"/>
        <v>35</v>
      </c>
      <c r="AA45" s="112"/>
      <c r="AB45" s="155"/>
      <c r="AC45" s="155"/>
    </row>
    <row r="46" spans="1:30" s="108" customFormat="1" ht="21.75" customHeight="1">
      <c r="A46" s="30" t="s">
        <v>1156</v>
      </c>
      <c r="B46" s="33" t="s">
        <v>1174</v>
      </c>
      <c r="C46" s="149" t="s">
        <v>967</v>
      </c>
      <c r="D46" s="149"/>
      <c r="E46" s="62" t="s">
        <v>79</v>
      </c>
      <c r="F46" s="75" t="s">
        <v>1280</v>
      </c>
      <c r="G46" s="10">
        <v>2.67</v>
      </c>
      <c r="H46" s="157"/>
      <c r="I46" s="81">
        <f t="shared" si="0"/>
        <v>2.67</v>
      </c>
      <c r="J46" s="81">
        <v>0</v>
      </c>
      <c r="K46" s="82">
        <f t="shared" si="9"/>
        <v>2.67</v>
      </c>
      <c r="L46" s="31">
        <f t="shared" si="1"/>
        <v>2803500</v>
      </c>
      <c r="M46" s="184" t="s">
        <v>858</v>
      </c>
      <c r="N46" s="31">
        <f t="shared" si="10"/>
        <v>1401750</v>
      </c>
      <c r="O46" s="31">
        <f t="shared" si="3"/>
        <v>1050000</v>
      </c>
      <c r="P46" s="10">
        <v>21</v>
      </c>
      <c r="Q46" s="62">
        <v>19</v>
      </c>
      <c r="R46" s="158">
        <f t="shared" si="4"/>
        <v>1401750</v>
      </c>
      <c r="S46" s="31">
        <f t="shared" si="5"/>
        <v>1268250</v>
      </c>
      <c r="T46" s="103"/>
      <c r="U46" s="31">
        <f t="shared" si="11"/>
        <v>0</v>
      </c>
      <c r="V46" s="74"/>
      <c r="W46" s="31">
        <f t="shared" si="2"/>
        <v>0</v>
      </c>
      <c r="X46" s="31">
        <f t="shared" si="6"/>
        <v>28035</v>
      </c>
      <c r="Y46" s="46">
        <f t="shared" si="7"/>
        <v>1296285</v>
      </c>
      <c r="Z46" s="11" t="str">
        <f t="shared" si="8"/>
        <v>36</v>
      </c>
      <c r="AA46" s="289" t="s">
        <v>780</v>
      </c>
      <c r="AB46" s="155"/>
      <c r="AC46" s="155"/>
    </row>
    <row r="47" spans="1:30" s="108" customFormat="1" ht="24.75" customHeight="1">
      <c r="A47" s="30" t="s">
        <v>1157</v>
      </c>
      <c r="B47" s="33" t="s">
        <v>862</v>
      </c>
      <c r="C47" s="149" t="s">
        <v>921</v>
      </c>
      <c r="D47" s="149" t="s">
        <v>533</v>
      </c>
      <c r="E47" s="62" t="s">
        <v>80</v>
      </c>
      <c r="F47" s="75" t="s">
        <v>1281</v>
      </c>
      <c r="G47" s="10">
        <v>4.9800000000000004</v>
      </c>
      <c r="H47" s="157"/>
      <c r="I47" s="81">
        <f t="shared" si="0"/>
        <v>4.9800000000000004</v>
      </c>
      <c r="J47" s="81">
        <v>0.45</v>
      </c>
      <c r="K47" s="82">
        <f t="shared" si="9"/>
        <v>5.4300000000000006</v>
      </c>
      <c r="L47" s="31">
        <f t="shared" si="1"/>
        <v>5701500.0000000009</v>
      </c>
      <c r="M47" s="184" t="s">
        <v>858</v>
      </c>
      <c r="N47" s="31">
        <f t="shared" si="10"/>
        <v>2850750.0000000005</v>
      </c>
      <c r="O47" s="31">
        <f t="shared" si="3"/>
        <v>1050000</v>
      </c>
      <c r="P47" s="10">
        <v>21</v>
      </c>
      <c r="Q47" s="291">
        <v>24</v>
      </c>
      <c r="R47" s="158">
        <f t="shared" si="4"/>
        <v>2850750.0000000005</v>
      </c>
      <c r="S47" s="31">
        <f t="shared" si="5"/>
        <v>2850750.0000000005</v>
      </c>
      <c r="T47" s="103"/>
      <c r="U47" s="31">
        <f t="shared" si="11"/>
        <v>0</v>
      </c>
      <c r="V47" s="74"/>
      <c r="W47" s="31">
        <f t="shared" si="2"/>
        <v>0</v>
      </c>
      <c r="X47" s="31">
        <f t="shared" si="6"/>
        <v>57015.000000000007</v>
      </c>
      <c r="Y47" s="46">
        <f t="shared" si="7"/>
        <v>2907765.0000000005</v>
      </c>
      <c r="Z47" s="11" t="str">
        <f t="shared" si="8"/>
        <v>37</v>
      </c>
      <c r="AA47" s="288" t="s">
        <v>809</v>
      </c>
      <c r="AB47" s="155"/>
      <c r="AC47" s="155"/>
    </row>
    <row r="48" spans="1:30" s="108" customFormat="1" ht="22.5" customHeight="1">
      <c r="A48" s="30" t="s">
        <v>1158</v>
      </c>
      <c r="B48" s="33" t="s">
        <v>922</v>
      </c>
      <c r="C48" s="149" t="s">
        <v>923</v>
      </c>
      <c r="D48" s="149"/>
      <c r="E48" s="62" t="s">
        <v>81</v>
      </c>
      <c r="F48" s="85" t="s">
        <v>1282</v>
      </c>
      <c r="G48" s="10">
        <v>4.6500000000000004</v>
      </c>
      <c r="H48" s="157"/>
      <c r="I48" s="81">
        <f t="shared" si="0"/>
        <v>4.6500000000000004</v>
      </c>
      <c r="J48" s="81">
        <v>0.35</v>
      </c>
      <c r="K48" s="82">
        <f t="shared" si="9"/>
        <v>5</v>
      </c>
      <c r="L48" s="31">
        <f t="shared" si="1"/>
        <v>5250000</v>
      </c>
      <c r="M48" s="184" t="s">
        <v>858</v>
      </c>
      <c r="N48" s="31">
        <f t="shared" si="10"/>
        <v>2625000</v>
      </c>
      <c r="O48" s="31">
        <f t="shared" si="3"/>
        <v>1050000</v>
      </c>
      <c r="P48" s="10">
        <v>21</v>
      </c>
      <c r="Q48" s="62">
        <v>24</v>
      </c>
      <c r="R48" s="158">
        <f t="shared" si="4"/>
        <v>2625000</v>
      </c>
      <c r="S48" s="31">
        <f t="shared" si="5"/>
        <v>2625000</v>
      </c>
      <c r="T48" s="103"/>
      <c r="U48" s="31">
        <f t="shared" si="11"/>
        <v>0</v>
      </c>
      <c r="V48" s="74"/>
      <c r="W48" s="31">
        <f t="shared" si="2"/>
        <v>0</v>
      </c>
      <c r="X48" s="31">
        <f t="shared" si="6"/>
        <v>52500</v>
      </c>
      <c r="Y48" s="46">
        <f t="shared" si="7"/>
        <v>2677500</v>
      </c>
      <c r="Z48" s="11" t="str">
        <f t="shared" si="8"/>
        <v>38</v>
      </c>
      <c r="AA48" s="288"/>
      <c r="AB48" s="155"/>
      <c r="AC48" s="155"/>
    </row>
    <row r="49" spans="1:29" s="108" customFormat="1" ht="36">
      <c r="A49" s="30" t="s">
        <v>1159</v>
      </c>
      <c r="B49" s="33" t="s">
        <v>924</v>
      </c>
      <c r="C49" s="149" t="s">
        <v>925</v>
      </c>
      <c r="D49" s="149"/>
      <c r="E49" s="62" t="s">
        <v>82</v>
      </c>
      <c r="F49" s="75" t="s">
        <v>1283</v>
      </c>
      <c r="G49" s="10">
        <v>3.99</v>
      </c>
      <c r="H49" s="157"/>
      <c r="I49" s="81">
        <f t="shared" si="0"/>
        <v>3.99</v>
      </c>
      <c r="J49" s="81">
        <v>0.35</v>
      </c>
      <c r="K49" s="82">
        <f t="shared" si="9"/>
        <v>4.34</v>
      </c>
      <c r="L49" s="31">
        <f t="shared" si="1"/>
        <v>4557000</v>
      </c>
      <c r="M49" s="184" t="s">
        <v>858</v>
      </c>
      <c r="N49" s="31">
        <f t="shared" si="10"/>
        <v>2278500</v>
      </c>
      <c r="O49" s="31">
        <f t="shared" si="3"/>
        <v>1050000</v>
      </c>
      <c r="P49" s="10">
        <v>21</v>
      </c>
      <c r="Q49" s="291">
        <v>23</v>
      </c>
      <c r="R49" s="158">
        <f t="shared" si="4"/>
        <v>2278500</v>
      </c>
      <c r="S49" s="31">
        <f t="shared" si="5"/>
        <v>2278500</v>
      </c>
      <c r="T49" s="103"/>
      <c r="U49" s="31">
        <f t="shared" si="11"/>
        <v>0</v>
      </c>
      <c r="V49" s="74"/>
      <c r="W49" s="31">
        <f t="shared" si="2"/>
        <v>0</v>
      </c>
      <c r="X49" s="31">
        <f t="shared" si="6"/>
        <v>45570</v>
      </c>
      <c r="Y49" s="46">
        <f t="shared" si="7"/>
        <v>2324070</v>
      </c>
      <c r="Z49" s="11" t="str">
        <f t="shared" si="8"/>
        <v>39</v>
      </c>
      <c r="AA49" s="288" t="s">
        <v>839</v>
      </c>
      <c r="AB49" s="155"/>
      <c r="AC49" s="155"/>
    </row>
    <row r="50" spans="1:29" s="108" customFormat="1" ht="21" customHeight="1">
      <c r="A50" s="30" t="s">
        <v>1160</v>
      </c>
      <c r="B50" s="33" t="s">
        <v>926</v>
      </c>
      <c r="C50" s="149" t="s">
        <v>927</v>
      </c>
      <c r="D50" s="149"/>
      <c r="E50" s="62" t="s">
        <v>83</v>
      </c>
      <c r="F50" s="75" t="s">
        <v>1284</v>
      </c>
      <c r="G50" s="10">
        <v>4.9800000000000004</v>
      </c>
      <c r="H50" s="221">
        <v>0.09</v>
      </c>
      <c r="I50" s="81">
        <f t="shared" si="0"/>
        <v>5.4282000000000004</v>
      </c>
      <c r="J50" s="81">
        <v>0</v>
      </c>
      <c r="K50" s="82">
        <f t="shared" si="9"/>
        <v>5.4282000000000004</v>
      </c>
      <c r="L50" s="31">
        <f t="shared" si="1"/>
        <v>5699610</v>
      </c>
      <c r="M50" s="184" t="s">
        <v>858</v>
      </c>
      <c r="N50" s="31">
        <f t="shared" si="10"/>
        <v>2849805</v>
      </c>
      <c r="O50" s="31">
        <f t="shared" si="3"/>
        <v>1050000</v>
      </c>
      <c r="P50" s="10">
        <v>21</v>
      </c>
      <c r="Q50" s="62">
        <v>26</v>
      </c>
      <c r="R50" s="158">
        <f t="shared" si="4"/>
        <v>2849805</v>
      </c>
      <c r="S50" s="31">
        <f t="shared" si="5"/>
        <v>2849805</v>
      </c>
      <c r="T50" s="103"/>
      <c r="U50" s="31">
        <f t="shared" si="11"/>
        <v>0</v>
      </c>
      <c r="V50" s="74"/>
      <c r="W50" s="31">
        <f t="shared" si="2"/>
        <v>0</v>
      </c>
      <c r="X50" s="31">
        <f t="shared" si="6"/>
        <v>56996.100000000006</v>
      </c>
      <c r="Y50" s="46">
        <f t="shared" si="7"/>
        <v>2906801.1</v>
      </c>
      <c r="Z50" s="11" t="str">
        <f t="shared" si="8"/>
        <v>40</v>
      </c>
      <c r="AA50" s="112"/>
      <c r="AB50" s="155"/>
      <c r="AC50" s="155"/>
    </row>
    <row r="51" spans="1:29" s="108" customFormat="1" ht="23.25" customHeight="1">
      <c r="A51" s="30" t="s">
        <v>1161</v>
      </c>
      <c r="B51" s="33" t="s">
        <v>928</v>
      </c>
      <c r="C51" s="149" t="s">
        <v>929</v>
      </c>
      <c r="D51" s="149"/>
      <c r="E51" s="62" t="s">
        <v>84</v>
      </c>
      <c r="F51" s="75" t="s">
        <v>1285</v>
      </c>
      <c r="G51" s="10">
        <v>3.33</v>
      </c>
      <c r="H51" s="157"/>
      <c r="I51" s="81">
        <f t="shared" si="0"/>
        <v>3.33</v>
      </c>
      <c r="J51" s="81">
        <v>0</v>
      </c>
      <c r="K51" s="82">
        <f t="shared" si="9"/>
        <v>3.33</v>
      </c>
      <c r="L51" s="31">
        <f t="shared" si="1"/>
        <v>3496500</v>
      </c>
      <c r="M51" s="184" t="s">
        <v>858</v>
      </c>
      <c r="N51" s="31">
        <f t="shared" si="10"/>
        <v>1748250</v>
      </c>
      <c r="O51" s="31">
        <f t="shared" si="3"/>
        <v>1050000</v>
      </c>
      <c r="P51" s="10">
        <v>21</v>
      </c>
      <c r="Q51" s="62">
        <v>24</v>
      </c>
      <c r="R51" s="158">
        <f t="shared" si="4"/>
        <v>1748250</v>
      </c>
      <c r="S51" s="31">
        <f t="shared" si="5"/>
        <v>1748250</v>
      </c>
      <c r="T51" s="103"/>
      <c r="U51" s="31">
        <f t="shared" si="11"/>
        <v>0</v>
      </c>
      <c r="V51" s="74"/>
      <c r="W51" s="31">
        <f t="shared" si="2"/>
        <v>0</v>
      </c>
      <c r="X51" s="31">
        <f t="shared" si="6"/>
        <v>34965</v>
      </c>
      <c r="Y51" s="46">
        <f t="shared" si="7"/>
        <v>1783215</v>
      </c>
      <c r="Z51" s="11" t="str">
        <f t="shared" si="8"/>
        <v>41</v>
      </c>
      <c r="AA51" s="126"/>
      <c r="AB51" s="155" t="s">
        <v>727</v>
      </c>
      <c r="AC51" s="155"/>
    </row>
    <row r="52" spans="1:29" s="108" customFormat="1" ht="21.75" customHeight="1">
      <c r="A52" s="30" t="s">
        <v>1162</v>
      </c>
      <c r="B52" s="33" t="s">
        <v>890</v>
      </c>
      <c r="C52" s="149" t="s">
        <v>868</v>
      </c>
      <c r="D52" s="149"/>
      <c r="E52" s="62" t="s">
        <v>85</v>
      </c>
      <c r="F52" s="75" t="s">
        <v>1286</v>
      </c>
      <c r="G52" s="10">
        <v>4.6500000000000004</v>
      </c>
      <c r="H52" s="157"/>
      <c r="I52" s="81">
        <f t="shared" si="0"/>
        <v>4.6500000000000004</v>
      </c>
      <c r="J52" s="81">
        <v>0</v>
      </c>
      <c r="K52" s="82">
        <f t="shared" si="9"/>
        <v>4.6500000000000004</v>
      </c>
      <c r="L52" s="31">
        <f t="shared" si="1"/>
        <v>4882500</v>
      </c>
      <c r="M52" s="184" t="s">
        <v>858</v>
      </c>
      <c r="N52" s="31">
        <f t="shared" si="10"/>
        <v>2441250</v>
      </c>
      <c r="O52" s="31">
        <f t="shared" si="3"/>
        <v>1050000</v>
      </c>
      <c r="P52" s="10">
        <v>21</v>
      </c>
      <c r="Q52" s="62">
        <v>21</v>
      </c>
      <c r="R52" s="158">
        <f t="shared" si="4"/>
        <v>2441250</v>
      </c>
      <c r="S52" s="31">
        <f t="shared" si="5"/>
        <v>2441250</v>
      </c>
      <c r="T52" s="103"/>
      <c r="U52" s="31">
        <f t="shared" si="11"/>
        <v>0</v>
      </c>
      <c r="V52" s="74"/>
      <c r="W52" s="31">
        <f t="shared" si="2"/>
        <v>0</v>
      </c>
      <c r="X52" s="31">
        <f t="shared" si="6"/>
        <v>48825.000000000007</v>
      </c>
      <c r="Y52" s="46">
        <f t="shared" si="7"/>
        <v>2490075</v>
      </c>
      <c r="Z52" s="11" t="str">
        <f t="shared" si="8"/>
        <v>42</v>
      </c>
      <c r="AA52" s="126"/>
      <c r="AB52" s="155"/>
      <c r="AC52" s="155"/>
    </row>
    <row r="53" spans="1:29" s="108" customFormat="1" ht="27.75" customHeight="1">
      <c r="A53" s="30" t="s">
        <v>1163</v>
      </c>
      <c r="B53" s="33" t="s">
        <v>930</v>
      </c>
      <c r="C53" s="149" t="s">
        <v>917</v>
      </c>
      <c r="D53" s="149"/>
      <c r="E53" s="62" t="s">
        <v>86</v>
      </c>
      <c r="F53" s="75" t="s">
        <v>1287</v>
      </c>
      <c r="G53" s="10">
        <v>2.67</v>
      </c>
      <c r="H53" s="157"/>
      <c r="I53" s="81">
        <f t="shared" si="0"/>
        <v>2.67</v>
      </c>
      <c r="J53" s="81"/>
      <c r="K53" s="82">
        <f t="shared" si="9"/>
        <v>2.67</v>
      </c>
      <c r="L53" s="31">
        <f t="shared" si="1"/>
        <v>2803500</v>
      </c>
      <c r="M53" s="184" t="s">
        <v>858</v>
      </c>
      <c r="N53" s="31">
        <f t="shared" si="10"/>
        <v>1401750</v>
      </c>
      <c r="O53" s="31">
        <f t="shared" si="3"/>
        <v>1050000</v>
      </c>
      <c r="P53" s="10">
        <v>21</v>
      </c>
      <c r="Q53" s="62">
        <v>12</v>
      </c>
      <c r="R53" s="158">
        <f t="shared" si="4"/>
        <v>1401750</v>
      </c>
      <c r="S53" s="31">
        <f t="shared" si="5"/>
        <v>801000</v>
      </c>
      <c r="T53" s="103"/>
      <c r="U53" s="31">
        <f t="shared" si="11"/>
        <v>0</v>
      </c>
      <c r="V53" s="74"/>
      <c r="W53" s="31">
        <f t="shared" si="2"/>
        <v>0</v>
      </c>
      <c r="X53" s="31">
        <f t="shared" si="6"/>
        <v>28035</v>
      </c>
      <c r="Y53" s="46">
        <f t="shared" si="7"/>
        <v>829035</v>
      </c>
      <c r="Z53" s="11" t="str">
        <f t="shared" si="8"/>
        <v>43</v>
      </c>
      <c r="AA53" s="112" t="s">
        <v>800</v>
      </c>
      <c r="AB53" s="1608"/>
      <c r="AC53" s="1609"/>
    </row>
    <row r="54" spans="1:29" s="108" customFormat="1" ht="21" customHeight="1">
      <c r="A54" s="30" t="s">
        <v>1164</v>
      </c>
      <c r="B54" s="33" t="s">
        <v>268</v>
      </c>
      <c r="C54" s="149" t="s">
        <v>266</v>
      </c>
      <c r="D54" s="149"/>
      <c r="E54" s="62" t="s">
        <v>317</v>
      </c>
      <c r="F54" s="102">
        <v>1603205185719</v>
      </c>
      <c r="G54" s="10">
        <v>2.46</v>
      </c>
      <c r="H54" s="157"/>
      <c r="I54" s="81">
        <f t="shared" si="0"/>
        <v>2.46</v>
      </c>
      <c r="J54" s="81">
        <v>0</v>
      </c>
      <c r="K54" s="82">
        <f t="shared" si="9"/>
        <v>2.46</v>
      </c>
      <c r="L54" s="31">
        <f t="shared" si="1"/>
        <v>2583000</v>
      </c>
      <c r="M54" s="184" t="s">
        <v>858</v>
      </c>
      <c r="N54" s="31">
        <f t="shared" si="10"/>
        <v>1291500</v>
      </c>
      <c r="O54" s="31">
        <f t="shared" si="3"/>
        <v>1050000</v>
      </c>
      <c r="P54" s="10">
        <v>21</v>
      </c>
      <c r="Q54" s="62">
        <v>24</v>
      </c>
      <c r="R54" s="158">
        <f t="shared" si="4"/>
        <v>1291500</v>
      </c>
      <c r="S54" s="31">
        <f t="shared" si="5"/>
        <v>1291500</v>
      </c>
      <c r="T54" s="103"/>
      <c r="U54" s="31">
        <f t="shared" si="11"/>
        <v>0</v>
      </c>
      <c r="V54" s="74"/>
      <c r="W54" s="31">
        <f t="shared" si="2"/>
        <v>0</v>
      </c>
      <c r="X54" s="31">
        <f t="shared" si="6"/>
        <v>25830</v>
      </c>
      <c r="Y54" s="46">
        <f t="shared" si="7"/>
        <v>1317330</v>
      </c>
      <c r="Z54" s="11" t="str">
        <f t="shared" si="8"/>
        <v>44</v>
      </c>
      <c r="AA54" s="126"/>
      <c r="AB54" s="155"/>
      <c r="AC54" s="155"/>
    </row>
    <row r="55" spans="1:29" s="108" customFormat="1" ht="20.25" customHeight="1">
      <c r="A55" s="30" t="s">
        <v>1165</v>
      </c>
      <c r="B55" s="227" t="s">
        <v>269</v>
      </c>
      <c r="C55" s="262" t="s">
        <v>267</v>
      </c>
      <c r="D55" s="262"/>
      <c r="E55" s="229" t="s">
        <v>318</v>
      </c>
      <c r="F55" s="263" t="s">
        <v>369</v>
      </c>
      <c r="G55" s="231">
        <v>2.06</v>
      </c>
      <c r="H55" s="232"/>
      <c r="I55" s="233">
        <f t="shared" si="0"/>
        <v>2.06</v>
      </c>
      <c r="J55" s="233">
        <v>0</v>
      </c>
      <c r="K55" s="234">
        <f t="shared" si="9"/>
        <v>2.06</v>
      </c>
      <c r="L55" s="235">
        <f t="shared" si="1"/>
        <v>2163000</v>
      </c>
      <c r="M55" s="184" t="s">
        <v>785</v>
      </c>
      <c r="N55" s="279">
        <f t="shared" si="10"/>
        <v>0</v>
      </c>
      <c r="O55" s="235">
        <f t="shared" si="3"/>
        <v>0</v>
      </c>
      <c r="P55" s="278">
        <v>21</v>
      </c>
      <c r="Q55" s="229"/>
      <c r="R55" s="236">
        <f t="shared" si="4"/>
        <v>0</v>
      </c>
      <c r="S55" s="235">
        <f t="shared" si="5"/>
        <v>0</v>
      </c>
      <c r="T55" s="237"/>
      <c r="U55" s="235">
        <f t="shared" si="11"/>
        <v>0</v>
      </c>
      <c r="V55" s="239"/>
      <c r="W55" s="235">
        <f t="shared" si="2"/>
        <v>0</v>
      </c>
      <c r="X55" s="235">
        <v>0</v>
      </c>
      <c r="Y55" s="240">
        <f t="shared" si="7"/>
        <v>0</v>
      </c>
      <c r="Z55" s="241" t="str">
        <f t="shared" si="8"/>
        <v>45</v>
      </c>
      <c r="AA55" s="247"/>
      <c r="AB55" s="155"/>
      <c r="AC55" s="155"/>
    </row>
    <row r="56" spans="1:29" s="108" customFormat="1" ht="21.75" customHeight="1">
      <c r="A56" s="30" t="s">
        <v>1166</v>
      </c>
      <c r="B56" s="33" t="s">
        <v>988</v>
      </c>
      <c r="C56" s="149" t="s">
        <v>1103</v>
      </c>
      <c r="D56" s="149"/>
      <c r="E56" s="62" t="s">
        <v>341</v>
      </c>
      <c r="F56" s="102">
        <v>1603205182394</v>
      </c>
      <c r="G56" s="10">
        <v>2.46</v>
      </c>
      <c r="H56" s="157"/>
      <c r="I56" s="81">
        <f t="shared" si="0"/>
        <v>2.46</v>
      </c>
      <c r="J56" s="81"/>
      <c r="K56" s="82">
        <f t="shared" si="9"/>
        <v>2.46</v>
      </c>
      <c r="L56" s="31">
        <f t="shared" si="1"/>
        <v>2583000</v>
      </c>
      <c r="M56" s="184" t="s">
        <v>858</v>
      </c>
      <c r="N56" s="31">
        <f t="shared" si="10"/>
        <v>1291500</v>
      </c>
      <c r="O56" s="31">
        <f t="shared" si="3"/>
        <v>1050000</v>
      </c>
      <c r="P56" s="10">
        <v>21</v>
      </c>
      <c r="Q56" s="62">
        <v>25</v>
      </c>
      <c r="R56" s="158">
        <f t="shared" si="4"/>
        <v>1291500</v>
      </c>
      <c r="S56" s="31">
        <f t="shared" si="5"/>
        <v>1291500</v>
      </c>
      <c r="T56" s="103"/>
      <c r="U56" s="31">
        <f t="shared" si="11"/>
        <v>0</v>
      </c>
      <c r="V56" s="74"/>
      <c r="W56" s="31">
        <f t="shared" si="2"/>
        <v>0</v>
      </c>
      <c r="X56" s="31">
        <f t="shared" ref="X56:X119" si="12">(K56*0.01*$H$7)+(T56*1%*$H$7)+(V56*1%*$H$7)</f>
        <v>25830</v>
      </c>
      <c r="Y56" s="46">
        <f t="shared" si="7"/>
        <v>1317330</v>
      </c>
      <c r="Z56" s="11" t="str">
        <f t="shared" si="8"/>
        <v>46</v>
      </c>
      <c r="AA56" s="288"/>
      <c r="AB56" s="155"/>
      <c r="AC56" s="155"/>
    </row>
    <row r="57" spans="1:29" s="108" customFormat="1" ht="21" customHeight="1">
      <c r="A57" s="30" t="s">
        <v>409</v>
      </c>
      <c r="B57" s="33" t="s">
        <v>931</v>
      </c>
      <c r="C57" s="149" t="s">
        <v>932</v>
      </c>
      <c r="D57" s="149" t="s">
        <v>534</v>
      </c>
      <c r="E57" s="62" t="s">
        <v>87</v>
      </c>
      <c r="F57" s="75" t="s">
        <v>1289</v>
      </c>
      <c r="G57" s="10">
        <v>4.8899999999999997</v>
      </c>
      <c r="H57" s="157"/>
      <c r="I57" s="81">
        <f t="shared" si="0"/>
        <v>4.8899999999999997</v>
      </c>
      <c r="J57" s="81">
        <v>0.45</v>
      </c>
      <c r="K57" s="82">
        <f t="shared" si="9"/>
        <v>5.34</v>
      </c>
      <c r="L57" s="31">
        <f t="shared" si="1"/>
        <v>5607000</v>
      </c>
      <c r="M57" s="184" t="s">
        <v>858</v>
      </c>
      <c r="N57" s="31">
        <f t="shared" si="10"/>
        <v>2803500</v>
      </c>
      <c r="O57" s="31">
        <f t="shared" si="3"/>
        <v>1050000</v>
      </c>
      <c r="P57" s="10">
        <v>21</v>
      </c>
      <c r="Q57" s="62">
        <v>26</v>
      </c>
      <c r="R57" s="158">
        <f t="shared" si="4"/>
        <v>2803500</v>
      </c>
      <c r="S57" s="31">
        <f t="shared" si="5"/>
        <v>2803500</v>
      </c>
      <c r="T57" s="103"/>
      <c r="U57" s="31">
        <f t="shared" si="11"/>
        <v>0</v>
      </c>
      <c r="V57" s="74"/>
      <c r="W57" s="31">
        <f t="shared" si="2"/>
        <v>0</v>
      </c>
      <c r="X57" s="31">
        <f t="shared" si="12"/>
        <v>56070</v>
      </c>
      <c r="Y57" s="46">
        <f t="shared" si="7"/>
        <v>2859570</v>
      </c>
      <c r="Z57" s="11" t="str">
        <f t="shared" si="8"/>
        <v>47</v>
      </c>
      <c r="AA57" s="288"/>
      <c r="AB57" s="155"/>
      <c r="AC57" s="155"/>
    </row>
    <row r="58" spans="1:29" s="108" customFormat="1" ht="21.75" customHeight="1">
      <c r="A58" s="30" t="s">
        <v>410</v>
      </c>
      <c r="B58" s="33" t="s">
        <v>934</v>
      </c>
      <c r="C58" s="149" t="s">
        <v>856</v>
      </c>
      <c r="D58" s="149"/>
      <c r="E58" s="62" t="s">
        <v>88</v>
      </c>
      <c r="F58" s="75" t="s">
        <v>1290</v>
      </c>
      <c r="G58" s="10">
        <v>3.26</v>
      </c>
      <c r="H58" s="157"/>
      <c r="I58" s="81">
        <f t="shared" si="0"/>
        <v>3.26</v>
      </c>
      <c r="J58" s="81">
        <v>0</v>
      </c>
      <c r="K58" s="82">
        <f t="shared" si="9"/>
        <v>3.26</v>
      </c>
      <c r="L58" s="31">
        <f t="shared" si="1"/>
        <v>3423000</v>
      </c>
      <c r="M58" s="184" t="s">
        <v>858</v>
      </c>
      <c r="N58" s="31">
        <f t="shared" si="10"/>
        <v>1711500</v>
      </c>
      <c r="O58" s="31">
        <f t="shared" si="3"/>
        <v>1050000</v>
      </c>
      <c r="P58" s="10">
        <v>21</v>
      </c>
      <c r="Q58" s="62">
        <v>24</v>
      </c>
      <c r="R58" s="158">
        <f t="shared" si="4"/>
        <v>1711500</v>
      </c>
      <c r="S58" s="31">
        <f t="shared" si="5"/>
        <v>1711500</v>
      </c>
      <c r="T58" s="103"/>
      <c r="U58" s="31">
        <f t="shared" si="11"/>
        <v>0</v>
      </c>
      <c r="V58" s="74"/>
      <c r="W58" s="31">
        <f t="shared" si="2"/>
        <v>0</v>
      </c>
      <c r="X58" s="31">
        <f t="shared" si="12"/>
        <v>34230</v>
      </c>
      <c r="Y58" s="46">
        <f t="shared" si="7"/>
        <v>1745730</v>
      </c>
      <c r="Z58" s="11" t="str">
        <f t="shared" si="8"/>
        <v>48</v>
      </c>
      <c r="AA58" s="288"/>
      <c r="AB58" s="155"/>
      <c r="AC58" s="155"/>
    </row>
    <row r="59" spans="1:29" s="108" customFormat="1" ht="24" customHeight="1">
      <c r="A59" s="30" t="s">
        <v>411</v>
      </c>
      <c r="B59" s="33" t="s">
        <v>937</v>
      </c>
      <c r="C59" s="149" t="s">
        <v>871</v>
      </c>
      <c r="D59" s="149"/>
      <c r="E59" s="62" t="s">
        <v>89</v>
      </c>
      <c r="F59" s="75" t="s">
        <v>1291</v>
      </c>
      <c r="G59" s="10">
        <v>4.58</v>
      </c>
      <c r="H59" s="157"/>
      <c r="I59" s="81">
        <f t="shared" si="0"/>
        <v>4.58</v>
      </c>
      <c r="J59" s="81">
        <v>0</v>
      </c>
      <c r="K59" s="82">
        <f t="shared" si="9"/>
        <v>4.58</v>
      </c>
      <c r="L59" s="31">
        <f t="shared" si="1"/>
        <v>4809000</v>
      </c>
      <c r="M59" s="184" t="s">
        <v>858</v>
      </c>
      <c r="N59" s="31">
        <f t="shared" si="10"/>
        <v>2404500</v>
      </c>
      <c r="O59" s="31">
        <f t="shared" si="3"/>
        <v>1050000</v>
      </c>
      <c r="P59" s="10">
        <v>21</v>
      </c>
      <c r="Q59" s="62">
        <v>20</v>
      </c>
      <c r="R59" s="158">
        <f t="shared" si="4"/>
        <v>2404500</v>
      </c>
      <c r="S59" s="31">
        <f t="shared" si="5"/>
        <v>2290000</v>
      </c>
      <c r="T59" s="103"/>
      <c r="U59" s="31">
        <f t="shared" si="11"/>
        <v>0</v>
      </c>
      <c r="V59" s="74"/>
      <c r="W59" s="31">
        <f t="shared" si="2"/>
        <v>0</v>
      </c>
      <c r="X59" s="31">
        <f t="shared" si="12"/>
        <v>48090</v>
      </c>
      <c r="Y59" s="46">
        <f t="shared" si="7"/>
        <v>2338090</v>
      </c>
      <c r="Z59" s="11" t="str">
        <f t="shared" si="8"/>
        <v>49</v>
      </c>
      <c r="AA59" s="288" t="s">
        <v>810</v>
      </c>
      <c r="AB59" s="155" t="s">
        <v>727</v>
      </c>
      <c r="AC59" s="155"/>
    </row>
    <row r="60" spans="1:29" s="108" customFormat="1" ht="18.75" customHeight="1">
      <c r="A60" s="30" t="s">
        <v>412</v>
      </c>
      <c r="B60" s="33" t="s">
        <v>938</v>
      </c>
      <c r="C60" s="149" t="s">
        <v>939</v>
      </c>
      <c r="D60" s="149"/>
      <c r="E60" s="62" t="s">
        <v>90</v>
      </c>
      <c r="F60" s="75" t="s">
        <v>1292</v>
      </c>
      <c r="G60" s="10">
        <v>3.99</v>
      </c>
      <c r="H60" s="157"/>
      <c r="I60" s="81">
        <f t="shared" si="0"/>
        <v>3.99</v>
      </c>
      <c r="J60" s="81">
        <v>0.35</v>
      </c>
      <c r="K60" s="82">
        <f t="shared" si="9"/>
        <v>4.34</v>
      </c>
      <c r="L60" s="31">
        <f t="shared" si="1"/>
        <v>4557000</v>
      </c>
      <c r="M60" s="184" t="s">
        <v>858</v>
      </c>
      <c r="N60" s="31">
        <f t="shared" si="10"/>
        <v>2278500</v>
      </c>
      <c r="O60" s="31">
        <f t="shared" si="3"/>
        <v>1050000</v>
      </c>
      <c r="P60" s="10">
        <v>21</v>
      </c>
      <c r="Q60" s="62">
        <v>24</v>
      </c>
      <c r="R60" s="158">
        <f t="shared" si="4"/>
        <v>2278500</v>
      </c>
      <c r="S60" s="31">
        <f t="shared" si="5"/>
        <v>2278500</v>
      </c>
      <c r="T60" s="103"/>
      <c r="U60" s="31">
        <f t="shared" si="11"/>
        <v>0</v>
      </c>
      <c r="V60" s="74"/>
      <c r="W60" s="31">
        <f t="shared" si="2"/>
        <v>0</v>
      </c>
      <c r="X60" s="31">
        <f t="shared" si="12"/>
        <v>45570</v>
      </c>
      <c r="Y60" s="46">
        <f t="shared" si="7"/>
        <v>2324070</v>
      </c>
      <c r="Z60" s="11" t="str">
        <f t="shared" si="8"/>
        <v>50</v>
      </c>
      <c r="AA60" s="288"/>
      <c r="AB60" s="155"/>
      <c r="AC60" s="155"/>
    </row>
    <row r="61" spans="1:29" s="108" customFormat="1" ht="21" customHeight="1">
      <c r="A61" s="30" t="s">
        <v>413</v>
      </c>
      <c r="B61" s="33" t="s">
        <v>940</v>
      </c>
      <c r="C61" s="149" t="s">
        <v>880</v>
      </c>
      <c r="D61" s="149"/>
      <c r="E61" s="62" t="s">
        <v>91</v>
      </c>
      <c r="F61" s="75" t="s">
        <v>1293</v>
      </c>
      <c r="G61" s="10">
        <v>3.66</v>
      </c>
      <c r="H61" s="157"/>
      <c r="I61" s="81">
        <f t="shared" si="0"/>
        <v>3.66</v>
      </c>
      <c r="J61" s="81">
        <v>0</v>
      </c>
      <c r="K61" s="82">
        <f t="shared" si="9"/>
        <v>3.66</v>
      </c>
      <c r="L61" s="31">
        <f t="shared" si="1"/>
        <v>3843000</v>
      </c>
      <c r="M61" s="184" t="s">
        <v>858</v>
      </c>
      <c r="N61" s="31">
        <f t="shared" si="10"/>
        <v>1921500</v>
      </c>
      <c r="O61" s="31">
        <f t="shared" si="3"/>
        <v>1050000</v>
      </c>
      <c r="P61" s="10">
        <v>21</v>
      </c>
      <c r="Q61" s="62">
        <v>22</v>
      </c>
      <c r="R61" s="158">
        <f t="shared" si="4"/>
        <v>1921500</v>
      </c>
      <c r="S61" s="31">
        <f t="shared" si="5"/>
        <v>1921500</v>
      </c>
      <c r="T61" s="103"/>
      <c r="U61" s="31">
        <f t="shared" si="11"/>
        <v>0</v>
      </c>
      <c r="V61" s="74"/>
      <c r="W61" s="31">
        <f t="shared" si="2"/>
        <v>0</v>
      </c>
      <c r="X61" s="31">
        <f t="shared" si="12"/>
        <v>38430</v>
      </c>
      <c r="Y61" s="46">
        <f t="shared" si="7"/>
        <v>1959930</v>
      </c>
      <c r="Z61" s="11" t="str">
        <f t="shared" si="8"/>
        <v>51</v>
      </c>
      <c r="AA61" s="112"/>
      <c r="AB61" s="155"/>
      <c r="AC61" s="155"/>
    </row>
    <row r="62" spans="1:29" s="108" customFormat="1" ht="17.25" customHeight="1">
      <c r="A62" s="30" t="s">
        <v>414</v>
      </c>
      <c r="B62" s="33" t="s">
        <v>943</v>
      </c>
      <c r="C62" s="149" t="s">
        <v>944</v>
      </c>
      <c r="D62" s="149"/>
      <c r="E62" s="62" t="s">
        <v>92</v>
      </c>
      <c r="F62" s="75" t="s">
        <v>1294</v>
      </c>
      <c r="G62" s="10">
        <v>1.89</v>
      </c>
      <c r="H62" s="157"/>
      <c r="I62" s="81">
        <f t="shared" si="0"/>
        <v>1.89</v>
      </c>
      <c r="J62" s="81">
        <v>0</v>
      </c>
      <c r="K62" s="82">
        <f t="shared" si="9"/>
        <v>1.89</v>
      </c>
      <c r="L62" s="31">
        <f t="shared" si="1"/>
        <v>1984500</v>
      </c>
      <c r="M62" s="184" t="s">
        <v>858</v>
      </c>
      <c r="N62" s="31">
        <f t="shared" si="10"/>
        <v>992250</v>
      </c>
      <c r="O62" s="31">
        <f t="shared" si="3"/>
        <v>1050000</v>
      </c>
      <c r="P62" s="10">
        <v>21</v>
      </c>
      <c r="Q62" s="62">
        <v>21</v>
      </c>
      <c r="R62" s="158">
        <f t="shared" si="4"/>
        <v>1050000</v>
      </c>
      <c r="S62" s="31">
        <f t="shared" si="5"/>
        <v>1050000</v>
      </c>
      <c r="T62" s="103"/>
      <c r="U62" s="31">
        <f t="shared" si="11"/>
        <v>0</v>
      </c>
      <c r="V62" s="74"/>
      <c r="W62" s="31">
        <f t="shared" si="2"/>
        <v>0</v>
      </c>
      <c r="X62" s="31">
        <f t="shared" si="12"/>
        <v>19845</v>
      </c>
      <c r="Y62" s="46">
        <f t="shared" si="7"/>
        <v>1069845</v>
      </c>
      <c r="Z62" s="11" t="str">
        <f t="shared" si="8"/>
        <v>52</v>
      </c>
      <c r="AA62" s="288"/>
      <c r="AB62" s="155"/>
      <c r="AC62" s="155"/>
    </row>
    <row r="63" spans="1:29" s="108" customFormat="1" ht="22.5" customHeight="1">
      <c r="A63" s="30" t="s">
        <v>415</v>
      </c>
      <c r="B63" s="33" t="s">
        <v>288</v>
      </c>
      <c r="C63" s="149" t="s">
        <v>962</v>
      </c>
      <c r="D63" s="149"/>
      <c r="E63" s="62" t="s">
        <v>559</v>
      </c>
      <c r="F63" s="167" t="s">
        <v>560</v>
      </c>
      <c r="G63" s="10">
        <v>3</v>
      </c>
      <c r="H63" s="157"/>
      <c r="I63" s="81">
        <f t="shared" si="0"/>
        <v>3</v>
      </c>
      <c r="J63" s="81">
        <v>0</v>
      </c>
      <c r="K63" s="82">
        <f t="shared" si="9"/>
        <v>3</v>
      </c>
      <c r="L63" s="31">
        <f t="shared" si="1"/>
        <v>3150000</v>
      </c>
      <c r="M63" s="184" t="s">
        <v>858</v>
      </c>
      <c r="N63" s="31">
        <f t="shared" si="10"/>
        <v>1575000</v>
      </c>
      <c r="O63" s="31">
        <f t="shared" si="3"/>
        <v>1050000</v>
      </c>
      <c r="P63" s="10">
        <v>21</v>
      </c>
      <c r="Q63" s="62">
        <v>21</v>
      </c>
      <c r="R63" s="158">
        <f t="shared" si="4"/>
        <v>1575000</v>
      </c>
      <c r="S63" s="31">
        <f t="shared" si="5"/>
        <v>1575000</v>
      </c>
      <c r="T63" s="103"/>
      <c r="U63" s="31">
        <f t="shared" si="11"/>
        <v>0</v>
      </c>
      <c r="V63" s="74"/>
      <c r="W63" s="31">
        <f t="shared" si="2"/>
        <v>0</v>
      </c>
      <c r="X63" s="31">
        <f t="shared" si="12"/>
        <v>31500</v>
      </c>
      <c r="Y63" s="46">
        <f t="shared" si="7"/>
        <v>1606500</v>
      </c>
      <c r="Z63" s="11" t="str">
        <f t="shared" si="8"/>
        <v>53</v>
      </c>
      <c r="AA63" s="112"/>
      <c r="AB63" s="155"/>
      <c r="AC63" s="155"/>
    </row>
    <row r="64" spans="1:29" s="108" customFormat="1" ht="20.25" customHeight="1">
      <c r="A64" s="30" t="s">
        <v>416</v>
      </c>
      <c r="B64" s="33" t="s">
        <v>1020</v>
      </c>
      <c r="C64" s="149" t="s">
        <v>1021</v>
      </c>
      <c r="D64" s="149" t="s">
        <v>535</v>
      </c>
      <c r="E64" s="62" t="s">
        <v>141</v>
      </c>
      <c r="F64" s="75" t="s">
        <v>1343</v>
      </c>
      <c r="G64" s="10">
        <v>2.67</v>
      </c>
      <c r="H64" s="157"/>
      <c r="I64" s="81">
        <f t="shared" si="0"/>
        <v>2.67</v>
      </c>
      <c r="J64" s="81">
        <v>0.45</v>
      </c>
      <c r="K64" s="82">
        <f t="shared" si="9"/>
        <v>3.12</v>
      </c>
      <c r="L64" s="31">
        <f t="shared" si="1"/>
        <v>3276000</v>
      </c>
      <c r="M64" s="184" t="s">
        <v>858</v>
      </c>
      <c r="N64" s="31">
        <f t="shared" si="10"/>
        <v>1638000</v>
      </c>
      <c r="O64" s="31">
        <f t="shared" si="3"/>
        <v>1050000</v>
      </c>
      <c r="P64" s="10">
        <v>21</v>
      </c>
      <c r="Q64" s="62">
        <v>26</v>
      </c>
      <c r="R64" s="158">
        <f t="shared" si="4"/>
        <v>1638000</v>
      </c>
      <c r="S64" s="31">
        <f t="shared" si="5"/>
        <v>1638000</v>
      </c>
      <c r="T64" s="103"/>
      <c r="U64" s="31">
        <f t="shared" si="11"/>
        <v>0</v>
      </c>
      <c r="V64" s="74"/>
      <c r="W64" s="31">
        <f t="shared" si="2"/>
        <v>0</v>
      </c>
      <c r="X64" s="31">
        <f t="shared" si="12"/>
        <v>32760.000000000004</v>
      </c>
      <c r="Y64" s="46">
        <f t="shared" si="7"/>
        <v>1670760</v>
      </c>
      <c r="Z64" s="11" t="str">
        <f t="shared" si="8"/>
        <v>54</v>
      </c>
      <c r="AA64" s="289" t="s">
        <v>777</v>
      </c>
      <c r="AB64" s="155"/>
      <c r="AC64" s="155"/>
    </row>
    <row r="65" spans="1:29" s="108" customFormat="1" ht="24" customHeight="1">
      <c r="A65" s="30" t="s">
        <v>417</v>
      </c>
      <c r="B65" s="33" t="s">
        <v>1227</v>
      </c>
      <c r="C65" s="149" t="s">
        <v>1207</v>
      </c>
      <c r="D65" s="149"/>
      <c r="E65" s="62" t="s">
        <v>144</v>
      </c>
      <c r="F65" s="75" t="s">
        <v>1346</v>
      </c>
      <c r="G65" s="10">
        <v>2.67</v>
      </c>
      <c r="H65" s="157"/>
      <c r="I65" s="81">
        <f t="shared" si="0"/>
        <v>2.67</v>
      </c>
      <c r="J65" s="81">
        <v>0.35</v>
      </c>
      <c r="K65" s="82">
        <f t="shared" si="9"/>
        <v>3.02</v>
      </c>
      <c r="L65" s="31">
        <f t="shared" si="1"/>
        <v>3171000</v>
      </c>
      <c r="M65" s="184" t="s">
        <v>858</v>
      </c>
      <c r="N65" s="31">
        <f t="shared" si="10"/>
        <v>1585500</v>
      </c>
      <c r="O65" s="31">
        <f t="shared" si="3"/>
        <v>1050000</v>
      </c>
      <c r="P65" s="10">
        <v>21</v>
      </c>
      <c r="Q65" s="62">
        <v>26</v>
      </c>
      <c r="R65" s="158">
        <f t="shared" si="4"/>
        <v>1585500</v>
      </c>
      <c r="S65" s="31">
        <f t="shared" si="5"/>
        <v>1585500</v>
      </c>
      <c r="T65" s="103"/>
      <c r="U65" s="31">
        <f t="shared" si="11"/>
        <v>0</v>
      </c>
      <c r="V65" s="74"/>
      <c r="W65" s="31">
        <f t="shared" si="2"/>
        <v>0</v>
      </c>
      <c r="X65" s="31">
        <f t="shared" si="12"/>
        <v>31710</v>
      </c>
      <c r="Y65" s="46">
        <f t="shared" si="7"/>
        <v>1617210</v>
      </c>
      <c r="Z65" s="11" t="str">
        <f t="shared" si="8"/>
        <v>55</v>
      </c>
      <c r="AA65" s="288" t="s">
        <v>801</v>
      </c>
      <c r="AB65" s="155"/>
      <c r="AC65" s="155"/>
    </row>
    <row r="66" spans="1:29" s="108" customFormat="1" ht="19.5" customHeight="1">
      <c r="A66" s="30" t="s">
        <v>418</v>
      </c>
      <c r="B66" s="33" t="s">
        <v>1177</v>
      </c>
      <c r="C66" s="149" t="s">
        <v>903</v>
      </c>
      <c r="D66" s="149"/>
      <c r="E66" s="62" t="s">
        <v>155</v>
      </c>
      <c r="F66" s="75" t="s">
        <v>1357</v>
      </c>
      <c r="G66" s="10">
        <v>2.34</v>
      </c>
      <c r="H66" s="157"/>
      <c r="I66" s="81">
        <f t="shared" si="0"/>
        <v>2.34</v>
      </c>
      <c r="J66" s="81">
        <v>0.25</v>
      </c>
      <c r="K66" s="82">
        <f t="shared" si="9"/>
        <v>2.59</v>
      </c>
      <c r="L66" s="31">
        <f t="shared" si="1"/>
        <v>2719500</v>
      </c>
      <c r="M66" s="184" t="s">
        <v>858</v>
      </c>
      <c r="N66" s="31">
        <f t="shared" si="10"/>
        <v>1359750</v>
      </c>
      <c r="O66" s="31">
        <f t="shared" si="3"/>
        <v>1050000</v>
      </c>
      <c r="P66" s="10">
        <v>21</v>
      </c>
      <c r="Q66" s="62">
        <v>26</v>
      </c>
      <c r="R66" s="158">
        <f t="shared" si="4"/>
        <v>1359750</v>
      </c>
      <c r="S66" s="31">
        <f t="shared" si="5"/>
        <v>1359750</v>
      </c>
      <c r="T66" s="103"/>
      <c r="U66" s="31">
        <f t="shared" si="11"/>
        <v>0</v>
      </c>
      <c r="V66" s="74"/>
      <c r="W66" s="31">
        <f t="shared" si="2"/>
        <v>0</v>
      </c>
      <c r="X66" s="31">
        <f t="shared" si="12"/>
        <v>27195</v>
      </c>
      <c r="Y66" s="46">
        <f t="shared" si="7"/>
        <v>1386945</v>
      </c>
      <c r="Z66" s="11" t="str">
        <f t="shared" si="8"/>
        <v>56</v>
      </c>
      <c r="AA66" s="288"/>
      <c r="AB66" s="155"/>
      <c r="AC66" s="155"/>
    </row>
    <row r="67" spans="1:29" s="108" customFormat="1" ht="24" customHeight="1">
      <c r="A67" s="30" t="s">
        <v>419</v>
      </c>
      <c r="B67" s="33" t="s">
        <v>284</v>
      </c>
      <c r="C67" s="149" t="s">
        <v>1087</v>
      </c>
      <c r="D67" s="149"/>
      <c r="E67" s="62" t="s">
        <v>331</v>
      </c>
      <c r="F67" s="102" t="s">
        <v>382</v>
      </c>
      <c r="G67" s="10">
        <v>2.2599999999999998</v>
      </c>
      <c r="H67" s="157"/>
      <c r="I67" s="81">
        <f t="shared" si="0"/>
        <v>2.2599999999999998</v>
      </c>
      <c r="J67" s="81">
        <v>0.25</v>
      </c>
      <c r="K67" s="82">
        <f t="shared" si="9"/>
        <v>2.5099999999999998</v>
      </c>
      <c r="L67" s="31">
        <f t="shared" si="1"/>
        <v>2635500</v>
      </c>
      <c r="M67" s="184" t="s">
        <v>858</v>
      </c>
      <c r="N67" s="31">
        <f t="shared" si="10"/>
        <v>1317750</v>
      </c>
      <c r="O67" s="31">
        <f t="shared" si="3"/>
        <v>1050000</v>
      </c>
      <c r="P67" s="10">
        <v>21</v>
      </c>
      <c r="Q67" s="62">
        <v>26</v>
      </c>
      <c r="R67" s="158">
        <f t="shared" si="4"/>
        <v>1317750</v>
      </c>
      <c r="S67" s="31">
        <f t="shared" si="5"/>
        <v>1317750</v>
      </c>
      <c r="T67" s="103"/>
      <c r="U67" s="31">
        <f t="shared" si="11"/>
        <v>0</v>
      </c>
      <c r="V67" s="74"/>
      <c r="W67" s="31">
        <f t="shared" si="2"/>
        <v>0</v>
      </c>
      <c r="X67" s="31">
        <f t="shared" si="12"/>
        <v>26354.999999999996</v>
      </c>
      <c r="Y67" s="46">
        <f t="shared" si="7"/>
        <v>1344105</v>
      </c>
      <c r="Z67" s="11" t="str">
        <f t="shared" si="8"/>
        <v>57</v>
      </c>
      <c r="AA67" s="126"/>
      <c r="AB67" s="155"/>
      <c r="AC67" s="155"/>
    </row>
    <row r="68" spans="1:29" s="108" customFormat="1" ht="20.25" customHeight="1">
      <c r="A68" s="30" t="s">
        <v>420</v>
      </c>
      <c r="B68" s="33" t="s">
        <v>286</v>
      </c>
      <c r="C68" s="149" t="s">
        <v>939</v>
      </c>
      <c r="D68" s="149"/>
      <c r="E68" s="62" t="s">
        <v>333</v>
      </c>
      <c r="F68" s="102" t="s">
        <v>384</v>
      </c>
      <c r="G68" s="10">
        <v>2.34</v>
      </c>
      <c r="H68" s="157"/>
      <c r="I68" s="81">
        <f t="shared" si="0"/>
        <v>2.34</v>
      </c>
      <c r="J68" s="81"/>
      <c r="K68" s="82">
        <f t="shared" si="9"/>
        <v>2.34</v>
      </c>
      <c r="L68" s="31">
        <f t="shared" si="1"/>
        <v>2457000</v>
      </c>
      <c r="M68" s="184" t="s">
        <v>858</v>
      </c>
      <c r="N68" s="31">
        <f t="shared" si="10"/>
        <v>1228500</v>
      </c>
      <c r="O68" s="31">
        <f t="shared" si="3"/>
        <v>1050000</v>
      </c>
      <c r="P68" s="10">
        <v>21</v>
      </c>
      <c r="Q68" s="62">
        <v>26</v>
      </c>
      <c r="R68" s="158">
        <f t="shared" si="4"/>
        <v>1228500</v>
      </c>
      <c r="S68" s="31">
        <f t="shared" si="5"/>
        <v>1228500</v>
      </c>
      <c r="T68" s="103"/>
      <c r="U68" s="31">
        <f t="shared" si="11"/>
        <v>0</v>
      </c>
      <c r="V68" s="74"/>
      <c r="W68" s="31">
        <f t="shared" si="2"/>
        <v>0</v>
      </c>
      <c r="X68" s="31">
        <f t="shared" si="12"/>
        <v>24570</v>
      </c>
      <c r="Y68" s="46">
        <f t="shared" si="7"/>
        <v>1253070</v>
      </c>
      <c r="Z68" s="11" t="str">
        <f t="shared" si="8"/>
        <v>58</v>
      </c>
      <c r="AA68" s="126"/>
      <c r="AB68" s="155"/>
      <c r="AC68" s="155"/>
    </row>
    <row r="69" spans="1:29" s="108" customFormat="1" ht="20.25" customHeight="1">
      <c r="A69" s="30" t="s">
        <v>421</v>
      </c>
      <c r="B69" s="33" t="s">
        <v>892</v>
      </c>
      <c r="C69" s="149" t="s">
        <v>956</v>
      </c>
      <c r="D69" s="149"/>
      <c r="E69" s="62" t="s">
        <v>335</v>
      </c>
      <c r="F69" s="102">
        <v>1603205251380</v>
      </c>
      <c r="G69" s="10">
        <v>2.06</v>
      </c>
      <c r="H69" s="157"/>
      <c r="I69" s="81">
        <f t="shared" si="0"/>
        <v>2.06</v>
      </c>
      <c r="J69" s="81">
        <v>0.25</v>
      </c>
      <c r="K69" s="82">
        <f t="shared" si="9"/>
        <v>2.31</v>
      </c>
      <c r="L69" s="31">
        <f t="shared" si="1"/>
        <v>2425500</v>
      </c>
      <c r="M69" s="184" t="s">
        <v>858</v>
      </c>
      <c r="N69" s="31">
        <f t="shared" si="10"/>
        <v>1212750</v>
      </c>
      <c r="O69" s="31">
        <f t="shared" si="3"/>
        <v>1050000</v>
      </c>
      <c r="P69" s="10">
        <v>21</v>
      </c>
      <c r="Q69" s="62">
        <v>26</v>
      </c>
      <c r="R69" s="158">
        <f t="shared" si="4"/>
        <v>1212750</v>
      </c>
      <c r="S69" s="31">
        <f t="shared" si="5"/>
        <v>1212750</v>
      </c>
      <c r="T69" s="103"/>
      <c r="U69" s="31">
        <f t="shared" si="11"/>
        <v>0</v>
      </c>
      <c r="V69" s="74"/>
      <c r="W69" s="31">
        <f t="shared" si="2"/>
        <v>0</v>
      </c>
      <c r="X69" s="31">
        <f t="shared" si="12"/>
        <v>24255.000000000004</v>
      </c>
      <c r="Y69" s="46">
        <f t="shared" si="7"/>
        <v>1237005</v>
      </c>
      <c r="Z69" s="11" t="str">
        <f t="shared" si="8"/>
        <v>59</v>
      </c>
      <c r="AA69" s="126"/>
      <c r="AB69" s="155" t="s">
        <v>727</v>
      </c>
      <c r="AC69" s="155"/>
    </row>
    <row r="70" spans="1:29" s="108" customFormat="1" ht="24" customHeight="1">
      <c r="A70" s="30" t="s">
        <v>422</v>
      </c>
      <c r="B70" s="33" t="s">
        <v>1221</v>
      </c>
      <c r="C70" s="149" t="s">
        <v>996</v>
      </c>
      <c r="D70" s="149"/>
      <c r="E70" s="62" t="s">
        <v>334</v>
      </c>
      <c r="F70" s="102" t="s">
        <v>385</v>
      </c>
      <c r="G70" s="10">
        <v>2.06</v>
      </c>
      <c r="H70" s="157"/>
      <c r="I70" s="81">
        <f t="shared" si="0"/>
        <v>2.06</v>
      </c>
      <c r="J70" s="81"/>
      <c r="K70" s="82">
        <f t="shared" si="9"/>
        <v>2.06</v>
      </c>
      <c r="L70" s="31">
        <f t="shared" si="1"/>
        <v>2163000</v>
      </c>
      <c r="M70" s="184" t="s">
        <v>858</v>
      </c>
      <c r="N70" s="31">
        <f t="shared" si="10"/>
        <v>1081500</v>
      </c>
      <c r="O70" s="31">
        <f t="shared" si="3"/>
        <v>1050000</v>
      </c>
      <c r="P70" s="10">
        <v>21</v>
      </c>
      <c r="Q70" s="62">
        <v>26</v>
      </c>
      <c r="R70" s="158">
        <f t="shared" si="4"/>
        <v>1081500</v>
      </c>
      <c r="S70" s="31">
        <f t="shared" si="5"/>
        <v>1081500</v>
      </c>
      <c r="T70" s="103"/>
      <c r="U70" s="31">
        <f t="shared" si="11"/>
        <v>0</v>
      </c>
      <c r="V70" s="74"/>
      <c r="W70" s="31">
        <f t="shared" si="2"/>
        <v>0</v>
      </c>
      <c r="X70" s="31">
        <f t="shared" si="12"/>
        <v>21630</v>
      </c>
      <c r="Y70" s="46">
        <f t="shared" si="7"/>
        <v>1103130</v>
      </c>
      <c r="Z70" s="11" t="str">
        <f t="shared" si="8"/>
        <v>60</v>
      </c>
      <c r="AA70" s="126"/>
      <c r="AB70" s="155"/>
      <c r="AC70" s="155"/>
    </row>
    <row r="71" spans="1:29" s="108" customFormat="1" ht="24" customHeight="1">
      <c r="A71" s="30" t="s">
        <v>423</v>
      </c>
      <c r="B71" s="33" t="s">
        <v>1025</v>
      </c>
      <c r="C71" s="149" t="s">
        <v>876</v>
      </c>
      <c r="D71" s="149" t="s">
        <v>536</v>
      </c>
      <c r="E71" s="62" t="s">
        <v>157</v>
      </c>
      <c r="F71" s="75" t="s">
        <v>1359</v>
      </c>
      <c r="G71" s="10">
        <v>4.9800000000000004</v>
      </c>
      <c r="H71" s="221">
        <v>7.0000000000000007E-2</v>
      </c>
      <c r="I71" s="81">
        <f t="shared" si="0"/>
        <v>5.3286000000000007</v>
      </c>
      <c r="J71" s="81">
        <v>0.45</v>
      </c>
      <c r="K71" s="82">
        <f t="shared" si="9"/>
        <v>5.7786000000000008</v>
      </c>
      <c r="L71" s="31">
        <f t="shared" si="1"/>
        <v>6067530.0000000009</v>
      </c>
      <c r="M71" s="184" t="s">
        <v>858</v>
      </c>
      <c r="N71" s="31">
        <f t="shared" si="10"/>
        <v>3033765.0000000005</v>
      </c>
      <c r="O71" s="31">
        <f t="shared" si="3"/>
        <v>1050000</v>
      </c>
      <c r="P71" s="10">
        <v>21</v>
      </c>
      <c r="Q71" s="10">
        <v>26</v>
      </c>
      <c r="R71" s="158">
        <f t="shared" si="4"/>
        <v>3033765.0000000005</v>
      </c>
      <c r="S71" s="31">
        <f t="shared" si="5"/>
        <v>3033765.0000000005</v>
      </c>
      <c r="T71" s="103"/>
      <c r="U71" s="31">
        <f t="shared" si="11"/>
        <v>0</v>
      </c>
      <c r="V71" s="74"/>
      <c r="W71" s="31">
        <f t="shared" si="2"/>
        <v>0</v>
      </c>
      <c r="X71" s="31">
        <f t="shared" si="12"/>
        <v>60675.30000000001</v>
      </c>
      <c r="Y71" s="46">
        <f t="shared" si="7"/>
        <v>3094440.3000000003</v>
      </c>
      <c r="Z71" s="11" t="str">
        <f t="shared" si="8"/>
        <v>61</v>
      </c>
      <c r="AA71" s="112"/>
      <c r="AB71" s="155"/>
      <c r="AC71" s="155"/>
    </row>
    <row r="72" spans="1:29" s="108" customFormat="1" ht="24">
      <c r="A72" s="30" t="s">
        <v>424</v>
      </c>
      <c r="B72" s="33" t="s">
        <v>1088</v>
      </c>
      <c r="C72" s="149" t="s">
        <v>1197</v>
      </c>
      <c r="D72" s="149"/>
      <c r="E72" s="62" t="s">
        <v>158</v>
      </c>
      <c r="F72" s="75" t="s">
        <v>1288</v>
      </c>
      <c r="G72" s="10">
        <v>3.66</v>
      </c>
      <c r="H72" s="45"/>
      <c r="I72" s="81">
        <f t="shared" si="0"/>
        <v>3.66</v>
      </c>
      <c r="J72" s="45"/>
      <c r="K72" s="82">
        <f t="shared" si="9"/>
        <v>3.66</v>
      </c>
      <c r="L72" s="31">
        <f t="shared" si="1"/>
        <v>3843000</v>
      </c>
      <c r="M72" s="184" t="s">
        <v>858</v>
      </c>
      <c r="N72" s="31">
        <f t="shared" si="10"/>
        <v>1921500</v>
      </c>
      <c r="O72" s="31">
        <f t="shared" si="3"/>
        <v>1050000</v>
      </c>
      <c r="P72" s="10">
        <v>21</v>
      </c>
      <c r="Q72" s="62">
        <v>19</v>
      </c>
      <c r="R72" s="158">
        <f t="shared" si="4"/>
        <v>1921500</v>
      </c>
      <c r="S72" s="31">
        <f t="shared" si="5"/>
        <v>1738500</v>
      </c>
      <c r="T72" s="74"/>
      <c r="U72" s="31">
        <f t="shared" si="11"/>
        <v>0</v>
      </c>
      <c r="V72" s="74"/>
      <c r="W72" s="31">
        <f t="shared" si="2"/>
        <v>0</v>
      </c>
      <c r="X72" s="31">
        <f t="shared" si="12"/>
        <v>38430</v>
      </c>
      <c r="Y72" s="46">
        <f t="shared" si="7"/>
        <v>1776930</v>
      </c>
      <c r="Z72" s="11" t="str">
        <f t="shared" si="8"/>
        <v>62</v>
      </c>
      <c r="AA72" s="288" t="s">
        <v>808</v>
      </c>
      <c r="AB72" s="155"/>
      <c r="AC72" s="155"/>
    </row>
    <row r="73" spans="1:29" s="108" customFormat="1" ht="24" customHeight="1">
      <c r="A73" s="30" t="s">
        <v>425</v>
      </c>
      <c r="B73" s="33" t="s">
        <v>291</v>
      </c>
      <c r="C73" s="149" t="s">
        <v>874</v>
      </c>
      <c r="D73" s="149"/>
      <c r="E73" s="62" t="s">
        <v>444</v>
      </c>
      <c r="F73" s="75" t="s">
        <v>443</v>
      </c>
      <c r="G73" s="10">
        <v>3</v>
      </c>
      <c r="H73" s="157"/>
      <c r="I73" s="81">
        <f t="shared" si="0"/>
        <v>3</v>
      </c>
      <c r="J73" s="81"/>
      <c r="K73" s="82">
        <f t="shared" si="9"/>
        <v>3</v>
      </c>
      <c r="L73" s="31">
        <f t="shared" si="1"/>
        <v>3150000</v>
      </c>
      <c r="M73" s="184" t="s">
        <v>858</v>
      </c>
      <c r="N73" s="31">
        <f t="shared" si="10"/>
        <v>1575000</v>
      </c>
      <c r="O73" s="31">
        <f t="shared" si="3"/>
        <v>1050000</v>
      </c>
      <c r="P73" s="10">
        <v>21</v>
      </c>
      <c r="Q73" s="62">
        <v>22</v>
      </c>
      <c r="R73" s="158">
        <f t="shared" si="4"/>
        <v>1575000</v>
      </c>
      <c r="S73" s="31">
        <f t="shared" si="5"/>
        <v>1575000</v>
      </c>
      <c r="T73" s="103"/>
      <c r="U73" s="31">
        <f t="shared" si="11"/>
        <v>0</v>
      </c>
      <c r="V73" s="74"/>
      <c r="W73" s="31">
        <f t="shared" si="2"/>
        <v>0</v>
      </c>
      <c r="X73" s="31">
        <f t="shared" si="12"/>
        <v>31500</v>
      </c>
      <c r="Y73" s="46">
        <f t="shared" si="7"/>
        <v>1606500</v>
      </c>
      <c r="Z73" s="11" t="str">
        <f t="shared" si="8"/>
        <v>63</v>
      </c>
      <c r="AA73" s="112"/>
      <c r="AB73" s="155"/>
      <c r="AC73" s="155"/>
    </row>
    <row r="74" spans="1:29" s="108" customFormat="1" ht="24" customHeight="1">
      <c r="A74" s="30" t="s">
        <v>426</v>
      </c>
      <c r="B74" s="33" t="s">
        <v>1044</v>
      </c>
      <c r="C74" s="149" t="s">
        <v>498</v>
      </c>
      <c r="D74" s="149"/>
      <c r="E74" s="62" t="s">
        <v>170</v>
      </c>
      <c r="F74" s="75" t="s">
        <v>1370</v>
      </c>
      <c r="G74" s="10">
        <v>4.58</v>
      </c>
      <c r="H74" s="157"/>
      <c r="I74" s="81">
        <f t="shared" si="0"/>
        <v>4.58</v>
      </c>
      <c r="J74" s="81">
        <v>0</v>
      </c>
      <c r="K74" s="82">
        <f t="shared" si="9"/>
        <v>4.58</v>
      </c>
      <c r="L74" s="31">
        <f t="shared" si="1"/>
        <v>4809000</v>
      </c>
      <c r="M74" s="184" t="s">
        <v>858</v>
      </c>
      <c r="N74" s="31">
        <f t="shared" si="10"/>
        <v>2404500</v>
      </c>
      <c r="O74" s="31">
        <f t="shared" si="3"/>
        <v>1050000</v>
      </c>
      <c r="P74" s="10">
        <v>21</v>
      </c>
      <c r="Q74" s="62">
        <v>22</v>
      </c>
      <c r="R74" s="158">
        <f t="shared" si="4"/>
        <v>2404500</v>
      </c>
      <c r="S74" s="31">
        <f t="shared" si="5"/>
        <v>2404500</v>
      </c>
      <c r="T74" s="103"/>
      <c r="U74" s="31">
        <f t="shared" si="11"/>
        <v>0</v>
      </c>
      <c r="V74" s="74"/>
      <c r="W74" s="31">
        <f t="shared" si="2"/>
        <v>0</v>
      </c>
      <c r="X74" s="31">
        <f t="shared" si="12"/>
        <v>48090</v>
      </c>
      <c r="Y74" s="46">
        <f t="shared" si="7"/>
        <v>2452590</v>
      </c>
      <c r="Z74" s="11" t="str">
        <f t="shared" si="8"/>
        <v>64</v>
      </c>
      <c r="AA74" s="112"/>
      <c r="AB74" s="155"/>
      <c r="AC74" s="155"/>
    </row>
    <row r="75" spans="1:29" s="108" customFormat="1" ht="24" customHeight="1">
      <c r="A75" s="30" t="s">
        <v>427</v>
      </c>
      <c r="B75" s="33" t="s">
        <v>1044</v>
      </c>
      <c r="C75" s="149" t="s">
        <v>499</v>
      </c>
      <c r="D75" s="149"/>
      <c r="E75" s="62" t="s">
        <v>496</v>
      </c>
      <c r="F75" s="75" t="s">
        <v>497</v>
      </c>
      <c r="G75" s="10">
        <v>4.9800000000000004</v>
      </c>
      <c r="H75" s="221">
        <v>0.09</v>
      </c>
      <c r="I75" s="81">
        <f t="shared" ref="I75:I138" si="13">G75+(G75*H75)</f>
        <v>5.4282000000000004</v>
      </c>
      <c r="J75" s="81"/>
      <c r="K75" s="82">
        <f t="shared" si="9"/>
        <v>5.4282000000000004</v>
      </c>
      <c r="L75" s="31">
        <f t="shared" ref="L75:L138" si="14">K75*$H$7</f>
        <v>5699610</v>
      </c>
      <c r="M75" s="184" t="s">
        <v>858</v>
      </c>
      <c r="N75" s="31">
        <f t="shared" si="10"/>
        <v>2849805</v>
      </c>
      <c r="O75" s="31">
        <f t="shared" si="3"/>
        <v>1050000</v>
      </c>
      <c r="P75" s="10">
        <v>21</v>
      </c>
      <c r="Q75" s="62">
        <v>22</v>
      </c>
      <c r="R75" s="158">
        <f t="shared" si="4"/>
        <v>2849805</v>
      </c>
      <c r="S75" s="31">
        <f t="shared" si="5"/>
        <v>2849805</v>
      </c>
      <c r="T75" s="103"/>
      <c r="U75" s="31">
        <f t="shared" si="11"/>
        <v>0</v>
      </c>
      <c r="V75" s="74"/>
      <c r="W75" s="31">
        <f t="shared" ref="W75:W138" si="15">V75*$H$7*0.5</f>
        <v>0</v>
      </c>
      <c r="X75" s="31">
        <f t="shared" si="12"/>
        <v>56996.100000000006</v>
      </c>
      <c r="Y75" s="46">
        <f t="shared" si="7"/>
        <v>2906801.1</v>
      </c>
      <c r="Z75" s="11" t="str">
        <f t="shared" si="8"/>
        <v>65</v>
      </c>
      <c r="AA75" s="112"/>
      <c r="AB75" s="155"/>
      <c r="AC75" s="155"/>
    </row>
    <row r="76" spans="1:29" s="108" customFormat="1" ht="21.75" customHeight="1">
      <c r="A76" s="30" t="s">
        <v>428</v>
      </c>
      <c r="B76" s="33" t="s">
        <v>1045</v>
      </c>
      <c r="C76" s="149" t="s">
        <v>865</v>
      </c>
      <c r="D76" s="149" t="s">
        <v>537</v>
      </c>
      <c r="E76" s="62" t="s">
        <v>180</v>
      </c>
      <c r="F76" s="85" t="s">
        <v>1380</v>
      </c>
      <c r="G76" s="10">
        <v>4.9800000000000004</v>
      </c>
      <c r="H76" s="157">
        <v>0.06</v>
      </c>
      <c r="I76" s="81">
        <f t="shared" si="13"/>
        <v>5.2788000000000004</v>
      </c>
      <c r="J76" s="81">
        <v>0.45</v>
      </c>
      <c r="K76" s="82">
        <f t="shared" si="9"/>
        <v>5.7288000000000006</v>
      </c>
      <c r="L76" s="31">
        <f t="shared" si="14"/>
        <v>6015240.0000000009</v>
      </c>
      <c r="M76" s="184" t="s">
        <v>858</v>
      </c>
      <c r="N76" s="31">
        <f t="shared" si="10"/>
        <v>3007620.0000000005</v>
      </c>
      <c r="O76" s="31">
        <f t="shared" ref="O76:O139" si="16">IF(M76="A",1050000,IF(M76="B",735000,IF(M76="C",514500,0)))</f>
        <v>1050000</v>
      </c>
      <c r="P76" s="10">
        <v>21</v>
      </c>
      <c r="Q76" s="62">
        <v>26</v>
      </c>
      <c r="R76" s="158">
        <f t="shared" ref="R76:R142" si="17">IF(N76&gt;O76,N76,O76)</f>
        <v>3007620.0000000005</v>
      </c>
      <c r="S76" s="31">
        <f t="shared" ref="S76:S139" si="18">IF(Q76&gt;=P76,R76,R76/P76*Q76)</f>
        <v>3007620.0000000005</v>
      </c>
      <c r="T76" s="103"/>
      <c r="U76" s="31">
        <f t="shared" si="11"/>
        <v>0</v>
      </c>
      <c r="V76" s="74"/>
      <c r="W76" s="31">
        <f t="shared" si="15"/>
        <v>0</v>
      </c>
      <c r="X76" s="31">
        <f t="shared" si="12"/>
        <v>60152.400000000009</v>
      </c>
      <c r="Y76" s="46">
        <f t="shared" ref="Y76:Y142" si="19">(S76+U76+W76+X76)</f>
        <v>3067772.4000000004</v>
      </c>
      <c r="Z76" s="11" t="str">
        <f t="shared" ref="Z76:Z139" si="20">A76</f>
        <v>66</v>
      </c>
      <c r="AA76" s="112"/>
      <c r="AB76" s="155" t="s">
        <v>727</v>
      </c>
      <c r="AC76" s="155"/>
    </row>
    <row r="77" spans="1:29" s="108" customFormat="1" ht="27" customHeight="1">
      <c r="A77" s="30" t="s">
        <v>429</v>
      </c>
      <c r="B77" s="271" t="s">
        <v>271</v>
      </c>
      <c r="C77" s="293" t="s">
        <v>270</v>
      </c>
      <c r="D77" s="293"/>
      <c r="E77" s="294" t="s">
        <v>319</v>
      </c>
      <c r="F77" s="274" t="s">
        <v>370</v>
      </c>
      <c r="G77" s="278">
        <v>2.34</v>
      </c>
      <c r="H77" s="295"/>
      <c r="I77" s="277">
        <f t="shared" si="13"/>
        <v>2.34</v>
      </c>
      <c r="J77" s="277"/>
      <c r="K77" s="296">
        <f t="shared" ref="K77:K140" si="21">I77+J77</f>
        <v>2.34</v>
      </c>
      <c r="L77" s="279">
        <f t="shared" si="14"/>
        <v>2457000</v>
      </c>
      <c r="M77" s="278"/>
      <c r="N77" s="279">
        <f t="shared" ref="N77:N140" si="22">IF(M77="A",L77*0.5,IF(M77="B",L77*0.5*0.75,IF(M77="C",L77*0.5*0.75*0.75,0)))</f>
        <v>0</v>
      </c>
      <c r="O77" s="279">
        <f t="shared" si="16"/>
        <v>0</v>
      </c>
      <c r="P77" s="278">
        <v>21</v>
      </c>
      <c r="Q77" s="294">
        <v>0</v>
      </c>
      <c r="R77" s="297">
        <f t="shared" si="17"/>
        <v>0</v>
      </c>
      <c r="S77" s="279">
        <f t="shared" si="18"/>
        <v>0</v>
      </c>
      <c r="T77" s="298"/>
      <c r="U77" s="279">
        <f t="shared" ref="U77:U140" si="23">T77*$H$7*0.5</f>
        <v>0</v>
      </c>
      <c r="V77" s="283"/>
      <c r="W77" s="279">
        <f t="shared" si="15"/>
        <v>0</v>
      </c>
      <c r="X77" s="279">
        <v>0</v>
      </c>
      <c r="Y77" s="299">
        <f t="shared" si="19"/>
        <v>0</v>
      </c>
      <c r="Z77" s="285" t="str">
        <f t="shared" si="20"/>
        <v>67</v>
      </c>
      <c r="AA77" s="300" t="s">
        <v>811</v>
      </c>
      <c r="AB77" s="155"/>
      <c r="AC77" s="155"/>
    </row>
    <row r="78" spans="1:29" s="108" customFormat="1" ht="29.25" customHeight="1">
      <c r="A78" s="30" t="s">
        <v>430</v>
      </c>
      <c r="B78" s="33" t="s">
        <v>945</v>
      </c>
      <c r="C78" s="34" t="s">
        <v>920</v>
      </c>
      <c r="D78" s="149" t="s">
        <v>538</v>
      </c>
      <c r="E78" s="62" t="s">
        <v>93</v>
      </c>
      <c r="F78" s="75" t="s">
        <v>1295</v>
      </c>
      <c r="G78" s="10">
        <v>4.32</v>
      </c>
      <c r="H78" s="157"/>
      <c r="I78" s="81">
        <f t="shared" si="13"/>
        <v>4.32</v>
      </c>
      <c r="J78" s="81">
        <v>0.45</v>
      </c>
      <c r="K78" s="82">
        <f t="shared" si="21"/>
        <v>4.7700000000000005</v>
      </c>
      <c r="L78" s="31">
        <f t="shared" si="14"/>
        <v>5008500.0000000009</v>
      </c>
      <c r="M78" s="184" t="s">
        <v>858</v>
      </c>
      <c r="N78" s="31">
        <f t="shared" si="22"/>
        <v>2504250.0000000005</v>
      </c>
      <c r="O78" s="31">
        <f t="shared" si="16"/>
        <v>1050000</v>
      </c>
      <c r="P78" s="10">
        <v>26</v>
      </c>
      <c r="Q78" s="62">
        <v>26</v>
      </c>
      <c r="R78" s="158">
        <f t="shared" si="17"/>
        <v>2504250.0000000005</v>
      </c>
      <c r="S78" s="31">
        <f t="shared" si="18"/>
        <v>2504250.0000000005</v>
      </c>
      <c r="T78" s="103"/>
      <c r="U78" s="31">
        <f t="shared" si="23"/>
        <v>0</v>
      </c>
      <c r="V78" s="74"/>
      <c r="W78" s="31">
        <f t="shared" si="15"/>
        <v>0</v>
      </c>
      <c r="X78" s="31">
        <f t="shared" si="12"/>
        <v>50085.000000000007</v>
      </c>
      <c r="Y78" s="46">
        <f t="shared" si="19"/>
        <v>2554335.0000000005</v>
      </c>
      <c r="Z78" s="11" t="str">
        <f t="shared" si="20"/>
        <v>68</v>
      </c>
      <c r="AA78" s="112"/>
      <c r="AB78" s="155"/>
      <c r="AC78" s="155"/>
    </row>
    <row r="79" spans="1:29" s="108" customFormat="1" ht="21.75" customHeight="1">
      <c r="A79" s="30" t="s">
        <v>431</v>
      </c>
      <c r="B79" s="33" t="s">
        <v>273</v>
      </c>
      <c r="C79" s="34" t="s">
        <v>272</v>
      </c>
      <c r="D79" s="149"/>
      <c r="E79" s="62" t="s">
        <v>320</v>
      </c>
      <c r="F79" s="75" t="s">
        <v>371</v>
      </c>
      <c r="G79" s="10">
        <v>2.34</v>
      </c>
      <c r="H79" s="157"/>
      <c r="I79" s="81">
        <f t="shared" si="13"/>
        <v>2.34</v>
      </c>
      <c r="J79" s="81"/>
      <c r="K79" s="82">
        <f t="shared" si="21"/>
        <v>2.34</v>
      </c>
      <c r="L79" s="31">
        <f t="shared" si="14"/>
        <v>2457000</v>
      </c>
      <c r="M79" s="184" t="s">
        <v>858</v>
      </c>
      <c r="N79" s="31">
        <f t="shared" si="22"/>
        <v>1228500</v>
      </c>
      <c r="O79" s="31">
        <f t="shared" si="16"/>
        <v>1050000</v>
      </c>
      <c r="P79" s="10">
        <v>26</v>
      </c>
      <c r="Q79" s="62">
        <v>26</v>
      </c>
      <c r="R79" s="158">
        <f t="shared" si="17"/>
        <v>1228500</v>
      </c>
      <c r="S79" s="31">
        <f t="shared" si="18"/>
        <v>1228500</v>
      </c>
      <c r="T79" s="103"/>
      <c r="U79" s="31">
        <f t="shared" si="23"/>
        <v>0</v>
      </c>
      <c r="V79" s="74"/>
      <c r="W79" s="31">
        <f t="shared" si="15"/>
        <v>0</v>
      </c>
      <c r="X79" s="31">
        <f t="shared" si="12"/>
        <v>24570</v>
      </c>
      <c r="Y79" s="46">
        <f t="shared" si="19"/>
        <v>1253070</v>
      </c>
      <c r="Z79" s="11" t="str">
        <f t="shared" si="20"/>
        <v>69</v>
      </c>
      <c r="AA79" s="126"/>
      <c r="AB79" s="155"/>
      <c r="AC79" s="155"/>
    </row>
    <row r="80" spans="1:29" s="108" customFormat="1" ht="21.75" customHeight="1">
      <c r="A80" s="30" t="s">
        <v>432</v>
      </c>
      <c r="B80" s="33" t="s">
        <v>274</v>
      </c>
      <c r="C80" s="34" t="s">
        <v>912</v>
      </c>
      <c r="D80" s="149"/>
      <c r="E80" s="62" t="s">
        <v>321</v>
      </c>
      <c r="F80" s="75" t="s">
        <v>372</v>
      </c>
      <c r="G80" s="10">
        <v>2.34</v>
      </c>
      <c r="H80" s="157"/>
      <c r="I80" s="81">
        <f t="shared" si="13"/>
        <v>2.34</v>
      </c>
      <c r="J80" s="81">
        <v>0.35</v>
      </c>
      <c r="K80" s="82">
        <f t="shared" si="21"/>
        <v>2.69</v>
      </c>
      <c r="L80" s="31">
        <f t="shared" si="14"/>
        <v>2824500</v>
      </c>
      <c r="M80" s="184" t="s">
        <v>858</v>
      </c>
      <c r="N80" s="31">
        <f t="shared" si="22"/>
        <v>1412250</v>
      </c>
      <c r="O80" s="31">
        <f t="shared" si="16"/>
        <v>1050000</v>
      </c>
      <c r="P80" s="10">
        <v>26</v>
      </c>
      <c r="Q80" s="62">
        <v>26</v>
      </c>
      <c r="R80" s="158">
        <f t="shared" si="17"/>
        <v>1412250</v>
      </c>
      <c r="S80" s="31">
        <f t="shared" si="18"/>
        <v>1412250</v>
      </c>
      <c r="T80" s="103"/>
      <c r="U80" s="31">
        <f t="shared" si="23"/>
        <v>0</v>
      </c>
      <c r="V80" s="74"/>
      <c r="W80" s="31">
        <f t="shared" si="15"/>
        <v>0</v>
      </c>
      <c r="X80" s="31">
        <f t="shared" si="12"/>
        <v>28245</v>
      </c>
      <c r="Y80" s="46">
        <f t="shared" si="19"/>
        <v>1440495</v>
      </c>
      <c r="Z80" s="11" t="str">
        <f t="shared" si="20"/>
        <v>70</v>
      </c>
      <c r="AA80" s="126"/>
      <c r="AB80" s="155"/>
      <c r="AC80" s="155"/>
    </row>
    <row r="81" spans="1:29" s="108" customFormat="1" ht="21.75" customHeight="1">
      <c r="A81" s="30" t="s">
        <v>433</v>
      </c>
      <c r="B81" s="33" t="s">
        <v>938</v>
      </c>
      <c r="C81" s="34" t="s">
        <v>733</v>
      </c>
      <c r="D81" s="149"/>
      <c r="E81" s="62" t="s">
        <v>734</v>
      </c>
      <c r="F81" s="191" t="s">
        <v>735</v>
      </c>
      <c r="G81" s="10">
        <f>2.34*85%</f>
        <v>1.9889999999999999</v>
      </c>
      <c r="H81" s="157"/>
      <c r="I81" s="81">
        <f t="shared" si="13"/>
        <v>1.9889999999999999</v>
      </c>
      <c r="J81" s="81"/>
      <c r="K81" s="82">
        <f t="shared" si="21"/>
        <v>1.9889999999999999</v>
      </c>
      <c r="L81" s="31">
        <f t="shared" si="14"/>
        <v>2088449.9999999998</v>
      </c>
      <c r="M81" s="184" t="s">
        <v>858</v>
      </c>
      <c r="N81" s="31">
        <f t="shared" si="22"/>
        <v>1044224.9999999999</v>
      </c>
      <c r="O81" s="31">
        <f t="shared" si="16"/>
        <v>1050000</v>
      </c>
      <c r="P81" s="10">
        <v>26</v>
      </c>
      <c r="Q81" s="242">
        <v>26</v>
      </c>
      <c r="R81" s="158">
        <f t="shared" si="17"/>
        <v>1050000</v>
      </c>
      <c r="S81" s="31">
        <f t="shared" si="18"/>
        <v>1050000</v>
      </c>
      <c r="T81" s="103"/>
      <c r="U81" s="31">
        <f t="shared" si="23"/>
        <v>0</v>
      </c>
      <c r="V81" s="74"/>
      <c r="W81" s="31">
        <f t="shared" si="15"/>
        <v>0</v>
      </c>
      <c r="X81" s="31">
        <f t="shared" si="12"/>
        <v>20884.499999999996</v>
      </c>
      <c r="Y81" s="46">
        <f t="shared" si="19"/>
        <v>1070884.5</v>
      </c>
      <c r="Z81" s="11" t="str">
        <f t="shared" si="20"/>
        <v>71</v>
      </c>
      <c r="AA81" s="112"/>
      <c r="AB81" s="155"/>
      <c r="AC81" s="155"/>
    </row>
    <row r="82" spans="1:29" s="108" customFormat="1" ht="21.75" customHeight="1">
      <c r="A82" s="30" t="s">
        <v>558</v>
      </c>
      <c r="B82" s="33" t="s">
        <v>1014</v>
      </c>
      <c r="C82" s="34" t="s">
        <v>736</v>
      </c>
      <c r="D82" s="149"/>
      <c r="E82" s="62" t="s">
        <v>739</v>
      </c>
      <c r="F82" s="192">
        <v>1603205353742</v>
      </c>
      <c r="G82" s="10">
        <f>2.34*85%</f>
        <v>1.9889999999999999</v>
      </c>
      <c r="H82" s="157"/>
      <c r="I82" s="81">
        <f t="shared" si="13"/>
        <v>1.9889999999999999</v>
      </c>
      <c r="J82" s="81"/>
      <c r="K82" s="82">
        <f t="shared" si="21"/>
        <v>1.9889999999999999</v>
      </c>
      <c r="L82" s="31">
        <f t="shared" si="14"/>
        <v>2088449.9999999998</v>
      </c>
      <c r="M82" s="184" t="s">
        <v>858</v>
      </c>
      <c r="N82" s="31">
        <f t="shared" si="22"/>
        <v>1044224.9999999999</v>
      </c>
      <c r="O82" s="31">
        <f t="shared" si="16"/>
        <v>1050000</v>
      </c>
      <c r="P82" s="10">
        <v>26</v>
      </c>
      <c r="Q82" s="242">
        <v>26</v>
      </c>
      <c r="R82" s="158">
        <f>IF(N82&gt;O82,N82,O82)</f>
        <v>1050000</v>
      </c>
      <c r="S82" s="31">
        <f t="shared" si="18"/>
        <v>1050000</v>
      </c>
      <c r="T82" s="103"/>
      <c r="U82" s="31">
        <f t="shared" si="23"/>
        <v>0</v>
      </c>
      <c r="V82" s="74"/>
      <c r="W82" s="31">
        <f t="shared" si="15"/>
        <v>0</v>
      </c>
      <c r="X82" s="31">
        <f t="shared" si="12"/>
        <v>20884.499999999996</v>
      </c>
      <c r="Y82" s="46">
        <f t="shared" si="19"/>
        <v>1070884.5</v>
      </c>
      <c r="Z82" s="11" t="str">
        <f t="shared" si="20"/>
        <v>72</v>
      </c>
      <c r="AA82" s="112"/>
      <c r="AB82" s="155"/>
      <c r="AC82" s="155"/>
    </row>
    <row r="83" spans="1:29" s="108" customFormat="1" ht="21.75" customHeight="1">
      <c r="A83" s="30" t="s">
        <v>561</v>
      </c>
      <c r="B83" s="33" t="s">
        <v>738</v>
      </c>
      <c r="C83" s="34" t="s">
        <v>737</v>
      </c>
      <c r="D83" s="149"/>
      <c r="E83" s="62" t="s">
        <v>740</v>
      </c>
      <c r="F83" s="192">
        <v>1603205357136</v>
      </c>
      <c r="G83" s="10">
        <f>2.34*85%</f>
        <v>1.9889999999999999</v>
      </c>
      <c r="H83" s="157"/>
      <c r="I83" s="81">
        <f t="shared" si="13"/>
        <v>1.9889999999999999</v>
      </c>
      <c r="J83" s="81"/>
      <c r="K83" s="82">
        <f t="shared" si="21"/>
        <v>1.9889999999999999</v>
      </c>
      <c r="L83" s="31">
        <f t="shared" si="14"/>
        <v>2088449.9999999998</v>
      </c>
      <c r="M83" s="184" t="s">
        <v>858</v>
      </c>
      <c r="N83" s="31">
        <f t="shared" si="22"/>
        <v>1044224.9999999999</v>
      </c>
      <c r="O83" s="31">
        <f t="shared" si="16"/>
        <v>1050000</v>
      </c>
      <c r="P83" s="10">
        <v>26</v>
      </c>
      <c r="Q83" s="10">
        <v>26</v>
      </c>
      <c r="R83" s="158">
        <f>IF(N83&gt;O83,N83,O83)</f>
        <v>1050000</v>
      </c>
      <c r="S83" s="31">
        <f t="shared" si="18"/>
        <v>1050000</v>
      </c>
      <c r="T83" s="103"/>
      <c r="U83" s="31">
        <f t="shared" si="23"/>
        <v>0</v>
      </c>
      <c r="V83" s="74"/>
      <c r="W83" s="31">
        <f t="shared" si="15"/>
        <v>0</v>
      </c>
      <c r="X83" s="31">
        <f t="shared" si="12"/>
        <v>20884.499999999996</v>
      </c>
      <c r="Y83" s="46">
        <f t="shared" si="19"/>
        <v>1070884.5</v>
      </c>
      <c r="Z83" s="11" t="str">
        <f t="shared" si="20"/>
        <v>73</v>
      </c>
      <c r="AA83" s="126"/>
      <c r="AB83" s="155"/>
      <c r="AC83" s="155"/>
    </row>
    <row r="84" spans="1:29" s="108" customFormat="1" ht="22.5" customHeight="1">
      <c r="A84" s="30" t="s">
        <v>562</v>
      </c>
      <c r="B84" s="33" t="s">
        <v>1034</v>
      </c>
      <c r="C84" s="149" t="s">
        <v>1035</v>
      </c>
      <c r="D84" s="34"/>
      <c r="E84" s="62" t="s">
        <v>165</v>
      </c>
      <c r="F84" s="85" t="s">
        <v>1365</v>
      </c>
      <c r="G84" s="10">
        <v>4.58</v>
      </c>
      <c r="H84" s="157"/>
      <c r="I84" s="81">
        <f t="shared" si="13"/>
        <v>4.58</v>
      </c>
      <c r="J84" s="81">
        <v>0.45</v>
      </c>
      <c r="K84" s="82">
        <f t="shared" si="21"/>
        <v>5.03</v>
      </c>
      <c r="L84" s="31">
        <f t="shared" si="14"/>
        <v>5281500</v>
      </c>
      <c r="M84" s="184" t="s">
        <v>858</v>
      </c>
      <c r="N84" s="31">
        <f t="shared" si="22"/>
        <v>2640750</v>
      </c>
      <c r="O84" s="31">
        <f t="shared" si="16"/>
        <v>1050000</v>
      </c>
      <c r="P84" s="10">
        <v>21</v>
      </c>
      <c r="Q84" s="62">
        <v>25</v>
      </c>
      <c r="R84" s="158">
        <f t="shared" si="17"/>
        <v>2640750</v>
      </c>
      <c r="S84" s="31">
        <f t="shared" si="18"/>
        <v>2640750</v>
      </c>
      <c r="T84" s="135"/>
      <c r="U84" s="31">
        <f t="shared" si="23"/>
        <v>0</v>
      </c>
      <c r="V84" s="74"/>
      <c r="W84" s="31">
        <f t="shared" si="15"/>
        <v>0</v>
      </c>
      <c r="X84" s="31">
        <f t="shared" si="12"/>
        <v>52815.000000000007</v>
      </c>
      <c r="Y84" s="46">
        <f t="shared" si="19"/>
        <v>2693565</v>
      </c>
      <c r="Z84" s="11" t="str">
        <f t="shared" si="20"/>
        <v>74</v>
      </c>
      <c r="AA84" s="126"/>
      <c r="AB84" s="155"/>
      <c r="AC84" s="155"/>
    </row>
    <row r="85" spans="1:29" s="108" customFormat="1" ht="22.5" customHeight="1">
      <c r="A85" s="30" t="s">
        <v>563</v>
      </c>
      <c r="B85" s="33" t="s">
        <v>890</v>
      </c>
      <c r="C85" s="149" t="s">
        <v>1028</v>
      </c>
      <c r="D85" s="149"/>
      <c r="E85" s="62" t="s">
        <v>193</v>
      </c>
      <c r="F85" s="75" t="s">
        <v>1393</v>
      </c>
      <c r="G85" s="10">
        <v>3.99</v>
      </c>
      <c r="H85" s="157"/>
      <c r="I85" s="81">
        <f t="shared" si="13"/>
        <v>3.99</v>
      </c>
      <c r="J85" s="81">
        <v>0</v>
      </c>
      <c r="K85" s="82">
        <f t="shared" si="21"/>
        <v>3.99</v>
      </c>
      <c r="L85" s="31">
        <f t="shared" si="14"/>
        <v>4189500</v>
      </c>
      <c r="M85" s="184" t="s">
        <v>858</v>
      </c>
      <c r="N85" s="31">
        <f t="shared" si="22"/>
        <v>2094750</v>
      </c>
      <c r="O85" s="31">
        <f t="shared" si="16"/>
        <v>1050000</v>
      </c>
      <c r="P85" s="10">
        <v>21</v>
      </c>
      <c r="Q85" s="62">
        <v>25</v>
      </c>
      <c r="R85" s="158">
        <f t="shared" si="17"/>
        <v>2094750</v>
      </c>
      <c r="S85" s="31">
        <f t="shared" si="18"/>
        <v>2094750</v>
      </c>
      <c r="T85" s="103"/>
      <c r="U85" s="31">
        <f t="shared" si="23"/>
        <v>0</v>
      </c>
      <c r="V85" s="74"/>
      <c r="W85" s="31">
        <f t="shared" si="15"/>
        <v>0</v>
      </c>
      <c r="X85" s="31">
        <f t="shared" si="12"/>
        <v>41895.000000000007</v>
      </c>
      <c r="Y85" s="46">
        <f t="shared" si="19"/>
        <v>2136645</v>
      </c>
      <c r="Z85" s="11" t="str">
        <f t="shared" si="20"/>
        <v>75</v>
      </c>
      <c r="AA85" s="126"/>
      <c r="AB85" s="155"/>
      <c r="AC85" s="155"/>
    </row>
    <row r="86" spans="1:29" s="108" customFormat="1" ht="20.25" customHeight="1">
      <c r="A86" s="30" t="s">
        <v>564</v>
      </c>
      <c r="B86" s="33" t="s">
        <v>1170</v>
      </c>
      <c r="C86" s="149" t="s">
        <v>1171</v>
      </c>
      <c r="D86" s="149"/>
      <c r="E86" s="62" t="s">
        <v>65</v>
      </c>
      <c r="F86" s="75" t="s">
        <v>1266</v>
      </c>
      <c r="G86" s="10">
        <v>1.86</v>
      </c>
      <c r="H86" s="157"/>
      <c r="I86" s="81">
        <f t="shared" si="13"/>
        <v>1.86</v>
      </c>
      <c r="J86" s="81">
        <v>0</v>
      </c>
      <c r="K86" s="82">
        <f t="shared" si="21"/>
        <v>1.86</v>
      </c>
      <c r="L86" s="31">
        <f t="shared" si="14"/>
        <v>1953000</v>
      </c>
      <c r="M86" s="184" t="s">
        <v>858</v>
      </c>
      <c r="N86" s="31">
        <f t="shared" si="22"/>
        <v>976500</v>
      </c>
      <c r="O86" s="31">
        <f t="shared" si="16"/>
        <v>1050000</v>
      </c>
      <c r="P86" s="10">
        <v>21</v>
      </c>
      <c r="Q86" s="243">
        <v>25</v>
      </c>
      <c r="R86" s="158">
        <f t="shared" si="17"/>
        <v>1050000</v>
      </c>
      <c r="S86" s="31">
        <f t="shared" si="18"/>
        <v>1050000</v>
      </c>
      <c r="T86" s="103"/>
      <c r="U86" s="31">
        <f t="shared" si="23"/>
        <v>0</v>
      </c>
      <c r="V86" s="74"/>
      <c r="W86" s="31">
        <f t="shared" si="15"/>
        <v>0</v>
      </c>
      <c r="X86" s="31">
        <f t="shared" si="12"/>
        <v>19530.000000000004</v>
      </c>
      <c r="Y86" s="46">
        <f t="shared" si="19"/>
        <v>1069530</v>
      </c>
      <c r="Z86" s="11" t="str">
        <f t="shared" si="20"/>
        <v>76</v>
      </c>
      <c r="AA86" s="112"/>
      <c r="AB86" s="155"/>
      <c r="AC86" s="155"/>
    </row>
    <row r="87" spans="1:29" s="108" customFormat="1" ht="15.75">
      <c r="A87" s="30" t="s">
        <v>565</v>
      </c>
      <c r="B87" s="33" t="s">
        <v>948</v>
      </c>
      <c r="C87" s="34" t="s">
        <v>949</v>
      </c>
      <c r="D87" s="34" t="s">
        <v>539</v>
      </c>
      <c r="E87" s="62" t="s">
        <v>94</v>
      </c>
      <c r="F87" s="75" t="s">
        <v>1297</v>
      </c>
      <c r="G87" s="10">
        <v>6.38</v>
      </c>
      <c r="H87" s="157">
        <v>0.06</v>
      </c>
      <c r="I87" s="81">
        <f t="shared" si="13"/>
        <v>6.7627999999999995</v>
      </c>
      <c r="J87" s="81">
        <v>0.45</v>
      </c>
      <c r="K87" s="82">
        <f t="shared" si="21"/>
        <v>7.2127999999999997</v>
      </c>
      <c r="L87" s="31">
        <f t="shared" si="14"/>
        <v>7573440</v>
      </c>
      <c r="M87" s="184" t="s">
        <v>858</v>
      </c>
      <c r="N87" s="31">
        <f t="shared" si="22"/>
        <v>3786720</v>
      </c>
      <c r="O87" s="31">
        <f t="shared" si="16"/>
        <v>1050000</v>
      </c>
      <c r="P87" s="10">
        <v>26</v>
      </c>
      <c r="Q87" s="62">
        <v>26</v>
      </c>
      <c r="R87" s="158">
        <f t="shared" si="17"/>
        <v>3786720</v>
      </c>
      <c r="S87" s="31">
        <f t="shared" si="18"/>
        <v>3786720</v>
      </c>
      <c r="T87" s="103"/>
      <c r="U87" s="31">
        <f t="shared" si="23"/>
        <v>0</v>
      </c>
      <c r="V87" s="74"/>
      <c r="W87" s="31">
        <f t="shared" si="15"/>
        <v>0</v>
      </c>
      <c r="X87" s="31">
        <f t="shared" si="12"/>
        <v>75734.399999999994</v>
      </c>
      <c r="Y87" s="46">
        <f t="shared" si="19"/>
        <v>3862454.4</v>
      </c>
      <c r="Z87" s="11" t="str">
        <f t="shared" si="20"/>
        <v>77</v>
      </c>
      <c r="AA87" s="112"/>
      <c r="AB87" s="165" t="s">
        <v>812</v>
      </c>
      <c r="AC87" s="155"/>
    </row>
    <row r="88" spans="1:29" s="108" customFormat="1" ht="20.25" customHeight="1">
      <c r="A88" s="30" t="s">
        <v>566</v>
      </c>
      <c r="B88" s="33" t="s">
        <v>950</v>
      </c>
      <c r="C88" s="34" t="s">
        <v>951</v>
      </c>
      <c r="D88" s="34" t="s">
        <v>540</v>
      </c>
      <c r="E88" s="62" t="s">
        <v>95</v>
      </c>
      <c r="F88" s="75" t="s">
        <v>1298</v>
      </c>
      <c r="G88" s="10">
        <v>5.36</v>
      </c>
      <c r="H88" s="157"/>
      <c r="I88" s="81">
        <f t="shared" si="13"/>
        <v>5.36</v>
      </c>
      <c r="J88" s="81">
        <v>0.35</v>
      </c>
      <c r="K88" s="82">
        <f t="shared" si="21"/>
        <v>5.71</v>
      </c>
      <c r="L88" s="31">
        <f t="shared" si="14"/>
        <v>5995500</v>
      </c>
      <c r="M88" s="184" t="s">
        <v>858</v>
      </c>
      <c r="N88" s="31">
        <f t="shared" si="22"/>
        <v>2997750</v>
      </c>
      <c r="O88" s="31">
        <f t="shared" si="16"/>
        <v>1050000</v>
      </c>
      <c r="P88" s="10">
        <v>26</v>
      </c>
      <c r="Q88" s="62">
        <v>26</v>
      </c>
      <c r="R88" s="158">
        <f t="shared" si="17"/>
        <v>2997750</v>
      </c>
      <c r="S88" s="31">
        <f t="shared" si="18"/>
        <v>2997750</v>
      </c>
      <c r="T88" s="103"/>
      <c r="U88" s="31">
        <f t="shared" si="23"/>
        <v>0</v>
      </c>
      <c r="V88" s="74"/>
      <c r="W88" s="31">
        <f t="shared" si="15"/>
        <v>0</v>
      </c>
      <c r="X88" s="31">
        <f t="shared" si="12"/>
        <v>59955</v>
      </c>
      <c r="Y88" s="46">
        <f t="shared" si="19"/>
        <v>3057705</v>
      </c>
      <c r="Z88" s="11" t="str">
        <f t="shared" si="20"/>
        <v>78</v>
      </c>
      <c r="AA88" s="112"/>
      <c r="AB88" s="165" t="s">
        <v>813</v>
      </c>
      <c r="AC88" s="155"/>
    </row>
    <row r="89" spans="1:29" s="108" customFormat="1" ht="22.5" customHeight="1">
      <c r="A89" s="30" t="s">
        <v>567</v>
      </c>
      <c r="B89" s="33" t="s">
        <v>952</v>
      </c>
      <c r="C89" s="34" t="s">
        <v>883</v>
      </c>
      <c r="D89" s="34"/>
      <c r="E89" s="62" t="s">
        <v>96</v>
      </c>
      <c r="F89" s="85" t="s">
        <v>1299</v>
      </c>
      <c r="G89" s="10">
        <v>3</v>
      </c>
      <c r="H89" s="157"/>
      <c r="I89" s="81">
        <f t="shared" si="13"/>
        <v>3</v>
      </c>
      <c r="J89" s="81">
        <v>0</v>
      </c>
      <c r="K89" s="82">
        <f t="shared" si="21"/>
        <v>3</v>
      </c>
      <c r="L89" s="31">
        <f t="shared" si="14"/>
        <v>3150000</v>
      </c>
      <c r="M89" s="184" t="s">
        <v>858</v>
      </c>
      <c r="N89" s="31">
        <f t="shared" si="22"/>
        <v>1575000</v>
      </c>
      <c r="O89" s="31">
        <f t="shared" si="16"/>
        <v>1050000</v>
      </c>
      <c r="P89" s="10">
        <v>26</v>
      </c>
      <c r="Q89" s="62">
        <v>26</v>
      </c>
      <c r="R89" s="158">
        <f t="shared" si="17"/>
        <v>1575000</v>
      </c>
      <c r="S89" s="31">
        <f t="shared" si="18"/>
        <v>1575000</v>
      </c>
      <c r="T89" s="103"/>
      <c r="U89" s="31">
        <f t="shared" si="23"/>
        <v>0</v>
      </c>
      <c r="V89" s="74"/>
      <c r="W89" s="31">
        <f t="shared" si="15"/>
        <v>0</v>
      </c>
      <c r="X89" s="31">
        <f t="shared" si="12"/>
        <v>31500</v>
      </c>
      <c r="Y89" s="46">
        <f t="shared" si="19"/>
        <v>1606500</v>
      </c>
      <c r="Z89" s="11" t="str">
        <f t="shared" si="20"/>
        <v>79</v>
      </c>
      <c r="AA89" s="126"/>
      <c r="AB89" s="165" t="s">
        <v>814</v>
      </c>
      <c r="AC89" s="155"/>
    </row>
    <row r="90" spans="1:29" s="108" customFormat="1" ht="24.75" customHeight="1">
      <c r="A90" s="30" t="s">
        <v>568</v>
      </c>
      <c r="B90" s="33" t="s">
        <v>953</v>
      </c>
      <c r="C90" s="34" t="s">
        <v>873</v>
      </c>
      <c r="D90" s="34"/>
      <c r="E90" s="62" t="s">
        <v>97</v>
      </c>
      <c r="F90" s="75" t="s">
        <v>1300</v>
      </c>
      <c r="G90" s="10">
        <v>3.99</v>
      </c>
      <c r="H90" s="157"/>
      <c r="I90" s="81">
        <f t="shared" si="13"/>
        <v>3.99</v>
      </c>
      <c r="J90" s="81">
        <v>0.25</v>
      </c>
      <c r="K90" s="82">
        <f t="shared" si="21"/>
        <v>4.24</v>
      </c>
      <c r="L90" s="31">
        <f t="shared" si="14"/>
        <v>4452000</v>
      </c>
      <c r="M90" s="184" t="s">
        <v>858</v>
      </c>
      <c r="N90" s="31">
        <f t="shared" si="22"/>
        <v>2226000</v>
      </c>
      <c r="O90" s="31">
        <f t="shared" si="16"/>
        <v>1050000</v>
      </c>
      <c r="P90" s="10">
        <v>26</v>
      </c>
      <c r="Q90" s="62">
        <v>26</v>
      </c>
      <c r="R90" s="158">
        <f t="shared" si="17"/>
        <v>2226000</v>
      </c>
      <c r="S90" s="31">
        <f t="shared" si="18"/>
        <v>2226000</v>
      </c>
      <c r="T90" s="103"/>
      <c r="U90" s="31">
        <f t="shared" si="23"/>
        <v>0</v>
      </c>
      <c r="V90" s="74"/>
      <c r="W90" s="31">
        <f t="shared" si="15"/>
        <v>0</v>
      </c>
      <c r="X90" s="31">
        <f t="shared" si="12"/>
        <v>44520</v>
      </c>
      <c r="Y90" s="46">
        <f t="shared" si="19"/>
        <v>2270520</v>
      </c>
      <c r="Z90" s="11" t="str">
        <f t="shared" si="20"/>
        <v>80</v>
      </c>
      <c r="AA90" s="126"/>
      <c r="AB90" s="165" t="s">
        <v>815</v>
      </c>
      <c r="AC90" s="155"/>
    </row>
    <row r="91" spans="1:29" s="108" customFormat="1" ht="23.25" customHeight="1">
      <c r="A91" s="30" t="s">
        <v>569</v>
      </c>
      <c r="B91" s="33" t="s">
        <v>1220</v>
      </c>
      <c r="C91" s="34" t="s">
        <v>1203</v>
      </c>
      <c r="D91" s="34"/>
      <c r="E91" s="62" t="s">
        <v>98</v>
      </c>
      <c r="F91" s="75" t="s">
        <v>1301</v>
      </c>
      <c r="G91" s="83">
        <v>3</v>
      </c>
      <c r="H91" s="157"/>
      <c r="I91" s="161">
        <f t="shared" si="13"/>
        <v>3</v>
      </c>
      <c r="J91" s="81"/>
      <c r="K91" s="82">
        <f t="shared" si="21"/>
        <v>3</v>
      </c>
      <c r="L91" s="31">
        <f t="shared" si="14"/>
        <v>3150000</v>
      </c>
      <c r="M91" s="184" t="s">
        <v>858</v>
      </c>
      <c r="N91" s="31">
        <f t="shared" si="22"/>
        <v>1575000</v>
      </c>
      <c r="O91" s="31">
        <f t="shared" si="16"/>
        <v>1050000</v>
      </c>
      <c r="P91" s="10">
        <v>26</v>
      </c>
      <c r="Q91" s="62">
        <v>26</v>
      </c>
      <c r="R91" s="158">
        <f t="shared" si="17"/>
        <v>1575000</v>
      </c>
      <c r="S91" s="31">
        <f t="shared" si="18"/>
        <v>1575000</v>
      </c>
      <c r="T91" s="103"/>
      <c r="U91" s="31">
        <f t="shared" si="23"/>
        <v>0</v>
      </c>
      <c r="V91" s="74"/>
      <c r="W91" s="31">
        <f t="shared" si="15"/>
        <v>0</v>
      </c>
      <c r="X91" s="31">
        <f t="shared" si="12"/>
        <v>31500</v>
      </c>
      <c r="Y91" s="46">
        <f t="shared" si="19"/>
        <v>1606500</v>
      </c>
      <c r="Z91" s="11" t="str">
        <f t="shared" si="20"/>
        <v>81</v>
      </c>
      <c r="AA91" s="185"/>
      <c r="AB91" s="165" t="s">
        <v>816</v>
      </c>
      <c r="AC91" s="155"/>
    </row>
    <row r="92" spans="1:29" s="108" customFormat="1" ht="20.25" customHeight="1">
      <c r="A92" s="30" t="s">
        <v>570</v>
      </c>
      <c r="B92" s="33" t="s">
        <v>275</v>
      </c>
      <c r="C92" s="34" t="s">
        <v>1009</v>
      </c>
      <c r="D92" s="34"/>
      <c r="E92" s="62" t="s">
        <v>322</v>
      </c>
      <c r="F92" s="75" t="s">
        <v>373</v>
      </c>
      <c r="G92" s="10">
        <f>2.67</f>
        <v>2.67</v>
      </c>
      <c r="H92" s="157"/>
      <c r="I92" s="81">
        <f t="shared" si="13"/>
        <v>2.67</v>
      </c>
      <c r="J92" s="81"/>
      <c r="K92" s="82">
        <f t="shared" si="21"/>
        <v>2.67</v>
      </c>
      <c r="L92" s="31">
        <f t="shared" si="14"/>
        <v>2803500</v>
      </c>
      <c r="M92" s="184" t="s">
        <v>858</v>
      </c>
      <c r="N92" s="31">
        <f t="shared" si="22"/>
        <v>1401750</v>
      </c>
      <c r="O92" s="31">
        <f t="shared" si="16"/>
        <v>1050000</v>
      </c>
      <c r="P92" s="10">
        <v>26</v>
      </c>
      <c r="Q92" s="62">
        <v>26</v>
      </c>
      <c r="R92" s="158">
        <f t="shared" si="17"/>
        <v>1401750</v>
      </c>
      <c r="S92" s="31">
        <f t="shared" si="18"/>
        <v>1401750</v>
      </c>
      <c r="T92" s="103"/>
      <c r="U92" s="31">
        <f t="shared" si="23"/>
        <v>0</v>
      </c>
      <c r="V92" s="74"/>
      <c r="W92" s="31">
        <f t="shared" si="15"/>
        <v>0</v>
      </c>
      <c r="X92" s="31">
        <f t="shared" si="12"/>
        <v>28035</v>
      </c>
      <c r="Y92" s="46">
        <f t="shared" si="19"/>
        <v>1429785</v>
      </c>
      <c r="Z92" s="11" t="str">
        <f t="shared" si="20"/>
        <v>82</v>
      </c>
      <c r="AA92" s="126"/>
      <c r="AB92" s="165" t="s">
        <v>817</v>
      </c>
      <c r="AC92" s="155"/>
    </row>
    <row r="93" spans="1:29" s="108" customFormat="1" ht="22.5" customHeight="1">
      <c r="A93" s="30" t="s">
        <v>571</v>
      </c>
      <c r="B93" s="33" t="s">
        <v>954</v>
      </c>
      <c r="C93" s="34" t="s">
        <v>955</v>
      </c>
      <c r="D93" s="34" t="s">
        <v>541</v>
      </c>
      <c r="E93" s="62" t="s">
        <v>99</v>
      </c>
      <c r="F93" s="75" t="s">
        <v>1302</v>
      </c>
      <c r="G93" s="10">
        <v>5.42</v>
      </c>
      <c r="H93" s="157"/>
      <c r="I93" s="81">
        <f t="shared" si="13"/>
        <v>5.42</v>
      </c>
      <c r="J93" s="81">
        <v>0.25</v>
      </c>
      <c r="K93" s="82">
        <f t="shared" si="21"/>
        <v>5.67</v>
      </c>
      <c r="L93" s="31">
        <f t="shared" si="14"/>
        <v>5953500</v>
      </c>
      <c r="M93" s="184" t="s">
        <v>858</v>
      </c>
      <c r="N93" s="31">
        <f t="shared" si="22"/>
        <v>2976750</v>
      </c>
      <c r="O93" s="31">
        <f t="shared" si="16"/>
        <v>1050000</v>
      </c>
      <c r="P93" s="10">
        <v>26</v>
      </c>
      <c r="Q93" s="62">
        <v>26</v>
      </c>
      <c r="R93" s="158">
        <f t="shared" si="17"/>
        <v>2976750</v>
      </c>
      <c r="S93" s="31">
        <f t="shared" si="18"/>
        <v>2976750</v>
      </c>
      <c r="T93" s="103"/>
      <c r="U93" s="31">
        <f t="shared" si="23"/>
        <v>0</v>
      </c>
      <c r="V93" s="74"/>
      <c r="W93" s="31">
        <f t="shared" si="15"/>
        <v>0</v>
      </c>
      <c r="X93" s="31">
        <f t="shared" si="12"/>
        <v>59535</v>
      </c>
      <c r="Y93" s="46">
        <f t="shared" si="19"/>
        <v>3036285</v>
      </c>
      <c r="Z93" s="11" t="str">
        <f t="shared" si="20"/>
        <v>83</v>
      </c>
      <c r="AA93" s="112"/>
      <c r="AB93" s="165" t="s">
        <v>818</v>
      </c>
      <c r="AC93" s="155"/>
    </row>
    <row r="94" spans="1:29" s="108" customFormat="1" ht="27" customHeight="1">
      <c r="A94" s="30" t="s">
        <v>572</v>
      </c>
      <c r="B94" s="33" t="s">
        <v>862</v>
      </c>
      <c r="C94" s="34" t="s">
        <v>956</v>
      </c>
      <c r="D94" s="34"/>
      <c r="E94" s="62" t="s">
        <v>100</v>
      </c>
      <c r="F94" s="75" t="s">
        <v>1303</v>
      </c>
      <c r="G94" s="10">
        <v>3.33</v>
      </c>
      <c r="H94" s="157"/>
      <c r="I94" s="81">
        <f t="shared" si="13"/>
        <v>3.33</v>
      </c>
      <c r="J94" s="81">
        <v>0</v>
      </c>
      <c r="K94" s="82">
        <f t="shared" si="21"/>
        <v>3.33</v>
      </c>
      <c r="L94" s="31">
        <f t="shared" si="14"/>
        <v>3496500</v>
      </c>
      <c r="M94" s="184" t="s">
        <v>525</v>
      </c>
      <c r="N94" s="31">
        <f t="shared" si="22"/>
        <v>1311187.5</v>
      </c>
      <c r="O94" s="31">
        <f t="shared" si="16"/>
        <v>735000</v>
      </c>
      <c r="P94" s="10">
        <v>26</v>
      </c>
      <c r="Q94" s="62">
        <v>26</v>
      </c>
      <c r="R94" s="158">
        <f t="shared" si="17"/>
        <v>1311187.5</v>
      </c>
      <c r="S94" s="31">
        <f t="shared" si="18"/>
        <v>1311187.5</v>
      </c>
      <c r="T94" s="103"/>
      <c r="U94" s="31">
        <f t="shared" si="23"/>
        <v>0</v>
      </c>
      <c r="V94" s="74"/>
      <c r="W94" s="31">
        <f t="shared" si="15"/>
        <v>0</v>
      </c>
      <c r="X94" s="31">
        <f t="shared" si="12"/>
        <v>34965</v>
      </c>
      <c r="Y94" s="46">
        <f t="shared" si="19"/>
        <v>1346152.5</v>
      </c>
      <c r="Z94" s="11" t="str">
        <f t="shared" si="20"/>
        <v>84</v>
      </c>
      <c r="AA94" s="126" t="s">
        <v>824</v>
      </c>
      <c r="AB94" s="165" t="s">
        <v>819</v>
      </c>
      <c r="AC94" s="155"/>
    </row>
    <row r="95" spans="1:29" s="108" customFormat="1" ht="26.25" customHeight="1">
      <c r="A95" s="30" t="s">
        <v>573</v>
      </c>
      <c r="B95" s="33" t="s">
        <v>957</v>
      </c>
      <c r="C95" s="34" t="s">
        <v>958</v>
      </c>
      <c r="D95" s="34"/>
      <c r="E95" s="62" t="s">
        <v>101</v>
      </c>
      <c r="F95" s="85" t="s">
        <v>1304</v>
      </c>
      <c r="G95" s="83">
        <v>3</v>
      </c>
      <c r="H95" s="157"/>
      <c r="I95" s="161">
        <f t="shared" si="13"/>
        <v>3</v>
      </c>
      <c r="J95" s="81">
        <v>0</v>
      </c>
      <c r="K95" s="82">
        <f t="shared" si="21"/>
        <v>3</v>
      </c>
      <c r="L95" s="31">
        <f t="shared" si="14"/>
        <v>3150000</v>
      </c>
      <c r="M95" s="184" t="s">
        <v>858</v>
      </c>
      <c r="N95" s="31">
        <f t="shared" si="22"/>
        <v>1575000</v>
      </c>
      <c r="O95" s="31">
        <f t="shared" si="16"/>
        <v>1050000</v>
      </c>
      <c r="P95" s="10">
        <v>26</v>
      </c>
      <c r="Q95" s="62">
        <v>26</v>
      </c>
      <c r="R95" s="158">
        <f t="shared" si="17"/>
        <v>1575000</v>
      </c>
      <c r="S95" s="31">
        <f t="shared" si="18"/>
        <v>1575000</v>
      </c>
      <c r="T95" s="103"/>
      <c r="U95" s="31">
        <f t="shared" si="23"/>
        <v>0</v>
      </c>
      <c r="V95" s="74"/>
      <c r="W95" s="31">
        <f t="shared" si="15"/>
        <v>0</v>
      </c>
      <c r="X95" s="31">
        <f t="shared" si="12"/>
        <v>31500</v>
      </c>
      <c r="Y95" s="46">
        <f t="shared" si="19"/>
        <v>1606500</v>
      </c>
      <c r="Z95" s="11" t="str">
        <f t="shared" si="20"/>
        <v>85</v>
      </c>
      <c r="AA95" s="186"/>
      <c r="AB95" s="165" t="s">
        <v>820</v>
      </c>
      <c r="AC95" s="155"/>
    </row>
    <row r="96" spans="1:29" s="108" customFormat="1" ht="20.25" customHeight="1">
      <c r="A96" s="30" t="s">
        <v>574</v>
      </c>
      <c r="B96" s="33" t="s">
        <v>959</v>
      </c>
      <c r="C96" s="34" t="s">
        <v>960</v>
      </c>
      <c r="D96" s="34"/>
      <c r="E96" s="62" t="s">
        <v>102</v>
      </c>
      <c r="F96" s="75" t="s">
        <v>1305</v>
      </c>
      <c r="G96" s="83">
        <v>4.74</v>
      </c>
      <c r="H96" s="157"/>
      <c r="I96" s="161">
        <f t="shared" si="13"/>
        <v>4.74</v>
      </c>
      <c r="J96" s="81">
        <v>0</v>
      </c>
      <c r="K96" s="82">
        <f t="shared" si="21"/>
        <v>4.74</v>
      </c>
      <c r="L96" s="31">
        <f t="shared" si="14"/>
        <v>4977000</v>
      </c>
      <c r="M96" s="184" t="s">
        <v>858</v>
      </c>
      <c r="N96" s="31">
        <f t="shared" si="22"/>
        <v>2488500</v>
      </c>
      <c r="O96" s="31">
        <f t="shared" si="16"/>
        <v>1050000</v>
      </c>
      <c r="P96" s="10">
        <v>26</v>
      </c>
      <c r="Q96" s="62">
        <v>26</v>
      </c>
      <c r="R96" s="158">
        <f t="shared" si="17"/>
        <v>2488500</v>
      </c>
      <c r="S96" s="31">
        <f t="shared" si="18"/>
        <v>2488500</v>
      </c>
      <c r="T96" s="103"/>
      <c r="U96" s="31">
        <f t="shared" si="23"/>
        <v>0</v>
      </c>
      <c r="V96" s="74"/>
      <c r="W96" s="31">
        <f t="shared" si="15"/>
        <v>0</v>
      </c>
      <c r="X96" s="31">
        <f t="shared" si="12"/>
        <v>49770.000000000007</v>
      </c>
      <c r="Y96" s="46">
        <f t="shared" si="19"/>
        <v>2538270</v>
      </c>
      <c r="Z96" s="11" t="str">
        <f t="shared" si="20"/>
        <v>86</v>
      </c>
      <c r="AA96" s="126"/>
      <c r="AB96" s="165" t="s">
        <v>1119</v>
      </c>
      <c r="AC96" s="155"/>
    </row>
    <row r="97" spans="1:29" s="108" customFormat="1" ht="26.25" customHeight="1">
      <c r="A97" s="30" t="s">
        <v>575</v>
      </c>
      <c r="B97" s="33" t="s">
        <v>933</v>
      </c>
      <c r="C97" s="34" t="s">
        <v>967</v>
      </c>
      <c r="D97" s="34"/>
      <c r="E97" s="62" t="s">
        <v>103</v>
      </c>
      <c r="F97" s="75" t="s">
        <v>1306</v>
      </c>
      <c r="G97" s="10">
        <v>3.99</v>
      </c>
      <c r="H97" s="157"/>
      <c r="I97" s="81">
        <f t="shared" si="13"/>
        <v>3.99</v>
      </c>
      <c r="J97" s="81">
        <v>0</v>
      </c>
      <c r="K97" s="82">
        <f t="shared" si="21"/>
        <v>3.99</v>
      </c>
      <c r="L97" s="31">
        <f t="shared" si="14"/>
        <v>4189500</v>
      </c>
      <c r="M97" s="184" t="s">
        <v>858</v>
      </c>
      <c r="N97" s="31">
        <f t="shared" si="22"/>
        <v>2094750</v>
      </c>
      <c r="O97" s="31">
        <f t="shared" si="16"/>
        <v>1050000</v>
      </c>
      <c r="P97" s="10">
        <v>26</v>
      </c>
      <c r="Q97" s="62">
        <v>26</v>
      </c>
      <c r="R97" s="158">
        <f t="shared" si="17"/>
        <v>2094750</v>
      </c>
      <c r="S97" s="31">
        <f t="shared" si="18"/>
        <v>2094750</v>
      </c>
      <c r="T97" s="103"/>
      <c r="U97" s="31">
        <f t="shared" si="23"/>
        <v>0</v>
      </c>
      <c r="V97" s="74"/>
      <c r="W97" s="31">
        <f t="shared" si="15"/>
        <v>0</v>
      </c>
      <c r="X97" s="31">
        <f t="shared" si="12"/>
        <v>41895.000000000007</v>
      </c>
      <c r="Y97" s="46">
        <f t="shared" si="19"/>
        <v>2136645</v>
      </c>
      <c r="Z97" s="11" t="str">
        <f t="shared" si="20"/>
        <v>87</v>
      </c>
      <c r="AA97" s="112"/>
      <c r="AB97" s="165" t="s">
        <v>1120</v>
      </c>
      <c r="AC97" s="155"/>
    </row>
    <row r="98" spans="1:29" s="108" customFormat="1" ht="21" customHeight="1">
      <c r="A98" s="30" t="s">
        <v>576</v>
      </c>
      <c r="B98" s="33" t="s">
        <v>1221</v>
      </c>
      <c r="C98" s="34" t="s">
        <v>896</v>
      </c>
      <c r="D98" s="34"/>
      <c r="E98" s="62" t="s">
        <v>104</v>
      </c>
      <c r="F98" s="75" t="s">
        <v>1307</v>
      </c>
      <c r="G98" s="10">
        <v>2.67</v>
      </c>
      <c r="H98" s="157"/>
      <c r="I98" s="81">
        <f t="shared" si="13"/>
        <v>2.67</v>
      </c>
      <c r="J98" s="81"/>
      <c r="K98" s="82">
        <f t="shared" si="21"/>
        <v>2.67</v>
      </c>
      <c r="L98" s="31">
        <f t="shared" si="14"/>
        <v>2803500</v>
      </c>
      <c r="M98" s="184" t="s">
        <v>858</v>
      </c>
      <c r="N98" s="31">
        <f t="shared" si="22"/>
        <v>1401750</v>
      </c>
      <c r="O98" s="31">
        <f t="shared" si="16"/>
        <v>1050000</v>
      </c>
      <c r="P98" s="10">
        <v>26</v>
      </c>
      <c r="Q98" s="62">
        <v>26</v>
      </c>
      <c r="R98" s="158">
        <f t="shared" si="17"/>
        <v>1401750</v>
      </c>
      <c r="S98" s="31">
        <f t="shared" si="18"/>
        <v>1401750</v>
      </c>
      <c r="T98" s="103"/>
      <c r="U98" s="31">
        <f t="shared" si="23"/>
        <v>0</v>
      </c>
      <c r="V98" s="74"/>
      <c r="W98" s="31">
        <f t="shared" si="15"/>
        <v>0</v>
      </c>
      <c r="X98" s="31">
        <f t="shared" si="12"/>
        <v>28035</v>
      </c>
      <c r="Y98" s="46">
        <f t="shared" si="19"/>
        <v>1429785</v>
      </c>
      <c r="Z98" s="11" t="str">
        <f t="shared" si="20"/>
        <v>88</v>
      </c>
      <c r="AA98" s="126"/>
      <c r="AB98" s="165" t="s">
        <v>1121</v>
      </c>
      <c r="AC98" s="155"/>
    </row>
    <row r="99" spans="1:29" s="108" customFormat="1" ht="25.5" customHeight="1">
      <c r="A99" s="30" t="s">
        <v>577</v>
      </c>
      <c r="B99" s="33" t="s">
        <v>961</v>
      </c>
      <c r="C99" s="34" t="s">
        <v>962</v>
      </c>
      <c r="D99" s="34" t="s">
        <v>542</v>
      </c>
      <c r="E99" s="62" t="s">
        <v>105</v>
      </c>
      <c r="F99" s="75" t="s">
        <v>1308</v>
      </c>
      <c r="G99" s="10">
        <v>4.9800000000000004</v>
      </c>
      <c r="H99" s="221">
        <v>0.11</v>
      </c>
      <c r="I99" s="81">
        <f t="shared" si="13"/>
        <v>5.5278000000000009</v>
      </c>
      <c r="J99" s="81">
        <v>0.35</v>
      </c>
      <c r="K99" s="82">
        <f t="shared" si="21"/>
        <v>5.8778000000000006</v>
      </c>
      <c r="L99" s="31">
        <f t="shared" si="14"/>
        <v>6171690.0000000009</v>
      </c>
      <c r="M99" s="184" t="s">
        <v>858</v>
      </c>
      <c r="N99" s="31">
        <f t="shared" si="22"/>
        <v>3085845.0000000005</v>
      </c>
      <c r="O99" s="31">
        <f t="shared" si="16"/>
        <v>1050000</v>
      </c>
      <c r="P99" s="10">
        <v>26</v>
      </c>
      <c r="Q99" s="62">
        <v>26</v>
      </c>
      <c r="R99" s="158">
        <f t="shared" si="17"/>
        <v>3085845.0000000005</v>
      </c>
      <c r="S99" s="31">
        <f t="shared" si="18"/>
        <v>3085845.0000000005</v>
      </c>
      <c r="T99" s="103"/>
      <c r="U99" s="31">
        <f t="shared" si="23"/>
        <v>0</v>
      </c>
      <c r="V99" s="74"/>
      <c r="W99" s="31">
        <f t="shared" si="15"/>
        <v>0</v>
      </c>
      <c r="X99" s="31">
        <f t="shared" si="12"/>
        <v>61716.9</v>
      </c>
      <c r="Y99" s="46">
        <f t="shared" si="19"/>
        <v>3147561.9000000004</v>
      </c>
      <c r="Z99" s="11" t="str">
        <f t="shared" si="20"/>
        <v>89</v>
      </c>
      <c r="AA99" s="112"/>
      <c r="AB99" s="165" t="s">
        <v>1122</v>
      </c>
      <c r="AC99" s="155"/>
    </row>
    <row r="100" spans="1:29" s="108" customFormat="1" ht="28.5" customHeight="1">
      <c r="A100" s="30" t="s">
        <v>578</v>
      </c>
      <c r="B100" s="33" t="s">
        <v>963</v>
      </c>
      <c r="C100" s="34" t="s">
        <v>873</v>
      </c>
      <c r="D100" s="34"/>
      <c r="E100" s="62" t="s">
        <v>106</v>
      </c>
      <c r="F100" s="75" t="s">
        <v>1309</v>
      </c>
      <c r="G100" s="10">
        <v>3.33</v>
      </c>
      <c r="H100" s="157"/>
      <c r="I100" s="81">
        <f t="shared" si="13"/>
        <v>3.33</v>
      </c>
      <c r="J100" s="81">
        <v>0.25</v>
      </c>
      <c r="K100" s="82">
        <f t="shared" si="21"/>
        <v>3.58</v>
      </c>
      <c r="L100" s="31">
        <f t="shared" si="14"/>
        <v>3759000</v>
      </c>
      <c r="M100" s="184" t="s">
        <v>858</v>
      </c>
      <c r="N100" s="31">
        <f t="shared" si="22"/>
        <v>1879500</v>
      </c>
      <c r="O100" s="31">
        <f t="shared" si="16"/>
        <v>1050000</v>
      </c>
      <c r="P100" s="10">
        <v>26</v>
      </c>
      <c r="Q100" s="62">
        <v>26</v>
      </c>
      <c r="R100" s="158">
        <f t="shared" si="17"/>
        <v>1879500</v>
      </c>
      <c r="S100" s="31">
        <f t="shared" si="18"/>
        <v>1879500</v>
      </c>
      <c r="T100" s="103"/>
      <c r="U100" s="31">
        <f t="shared" si="23"/>
        <v>0</v>
      </c>
      <c r="V100" s="74"/>
      <c r="W100" s="31">
        <f t="shared" si="15"/>
        <v>0</v>
      </c>
      <c r="X100" s="31">
        <f t="shared" si="12"/>
        <v>37590</v>
      </c>
      <c r="Y100" s="46">
        <f t="shared" si="19"/>
        <v>1917090</v>
      </c>
      <c r="Z100" s="11" t="str">
        <f t="shared" si="20"/>
        <v>90</v>
      </c>
      <c r="AA100" s="126"/>
      <c r="AB100" s="165" t="s">
        <v>1123</v>
      </c>
      <c r="AC100" s="155"/>
    </row>
    <row r="101" spans="1:29" s="108" customFormat="1" ht="20.25" customHeight="1">
      <c r="A101" s="30" t="s">
        <v>579</v>
      </c>
      <c r="B101" s="33" t="s">
        <v>964</v>
      </c>
      <c r="C101" s="34" t="s">
        <v>873</v>
      </c>
      <c r="D101" s="34"/>
      <c r="E101" s="62" t="s">
        <v>107</v>
      </c>
      <c r="F101" s="75" t="s">
        <v>1310</v>
      </c>
      <c r="G101" s="10">
        <v>3.99</v>
      </c>
      <c r="H101" s="157"/>
      <c r="I101" s="81">
        <f t="shared" si="13"/>
        <v>3.99</v>
      </c>
      <c r="J101" s="81">
        <v>0</v>
      </c>
      <c r="K101" s="82">
        <f t="shared" si="21"/>
        <v>3.99</v>
      </c>
      <c r="L101" s="31">
        <f t="shared" si="14"/>
        <v>4189500</v>
      </c>
      <c r="M101" s="184" t="s">
        <v>858</v>
      </c>
      <c r="N101" s="31">
        <f t="shared" si="22"/>
        <v>2094750</v>
      </c>
      <c r="O101" s="31">
        <f t="shared" si="16"/>
        <v>1050000</v>
      </c>
      <c r="P101" s="10">
        <v>26</v>
      </c>
      <c r="Q101" s="62">
        <v>26</v>
      </c>
      <c r="R101" s="158">
        <f t="shared" si="17"/>
        <v>2094750</v>
      </c>
      <c r="S101" s="31">
        <f t="shared" si="18"/>
        <v>2094750</v>
      </c>
      <c r="T101" s="103"/>
      <c r="U101" s="31">
        <f t="shared" si="23"/>
        <v>0</v>
      </c>
      <c r="V101" s="74"/>
      <c r="W101" s="31">
        <f t="shared" si="15"/>
        <v>0</v>
      </c>
      <c r="X101" s="31">
        <f t="shared" si="12"/>
        <v>41895.000000000007</v>
      </c>
      <c r="Y101" s="46">
        <f t="shared" si="19"/>
        <v>2136645</v>
      </c>
      <c r="Z101" s="11" t="str">
        <f t="shared" si="20"/>
        <v>91</v>
      </c>
      <c r="AA101" s="126"/>
      <c r="AB101" s="165" t="s">
        <v>1124</v>
      </c>
      <c r="AC101" s="155"/>
    </row>
    <row r="102" spans="1:29" s="108" customFormat="1" ht="21" customHeight="1">
      <c r="A102" s="30" t="s">
        <v>580</v>
      </c>
      <c r="B102" s="33" t="s">
        <v>965</v>
      </c>
      <c r="C102" s="34" t="s">
        <v>966</v>
      </c>
      <c r="D102" s="34"/>
      <c r="E102" s="62" t="s">
        <v>108</v>
      </c>
      <c r="F102" s="75" t="s">
        <v>1311</v>
      </c>
      <c r="G102" s="10">
        <v>3.99</v>
      </c>
      <c r="H102" s="157"/>
      <c r="I102" s="81">
        <f t="shared" si="13"/>
        <v>3.99</v>
      </c>
      <c r="J102" s="81">
        <v>0</v>
      </c>
      <c r="K102" s="82">
        <f t="shared" si="21"/>
        <v>3.99</v>
      </c>
      <c r="L102" s="31">
        <f t="shared" si="14"/>
        <v>4189500</v>
      </c>
      <c r="M102" s="184" t="s">
        <v>858</v>
      </c>
      <c r="N102" s="31">
        <f t="shared" si="22"/>
        <v>2094750</v>
      </c>
      <c r="O102" s="31">
        <f t="shared" si="16"/>
        <v>1050000</v>
      </c>
      <c r="P102" s="10">
        <v>26</v>
      </c>
      <c r="Q102" s="62">
        <v>26</v>
      </c>
      <c r="R102" s="158">
        <f t="shared" si="17"/>
        <v>2094750</v>
      </c>
      <c r="S102" s="31">
        <f t="shared" si="18"/>
        <v>2094750</v>
      </c>
      <c r="T102" s="103"/>
      <c r="U102" s="31">
        <f t="shared" si="23"/>
        <v>0</v>
      </c>
      <c r="V102" s="74"/>
      <c r="W102" s="31">
        <f t="shared" si="15"/>
        <v>0</v>
      </c>
      <c r="X102" s="31">
        <f t="shared" si="12"/>
        <v>41895.000000000007</v>
      </c>
      <c r="Y102" s="46">
        <f t="shared" si="19"/>
        <v>2136645</v>
      </c>
      <c r="Z102" s="11" t="str">
        <f t="shared" si="20"/>
        <v>92</v>
      </c>
      <c r="AA102" s="126"/>
      <c r="AB102" s="165" t="s">
        <v>1125</v>
      </c>
      <c r="AC102" s="155"/>
    </row>
    <row r="103" spans="1:29" s="108" customFormat="1" ht="19.5" customHeight="1">
      <c r="A103" s="30" t="s">
        <v>581</v>
      </c>
      <c r="B103" s="33" t="s">
        <v>1222</v>
      </c>
      <c r="C103" s="34" t="s">
        <v>917</v>
      </c>
      <c r="D103" s="34"/>
      <c r="E103" s="62" t="s">
        <v>109</v>
      </c>
      <c r="F103" s="75" t="s">
        <v>1312</v>
      </c>
      <c r="G103" s="10">
        <v>2.67</v>
      </c>
      <c r="H103" s="157"/>
      <c r="I103" s="81">
        <f t="shared" si="13"/>
        <v>2.67</v>
      </c>
      <c r="J103" s="81"/>
      <c r="K103" s="82">
        <f t="shared" si="21"/>
        <v>2.67</v>
      </c>
      <c r="L103" s="31">
        <f t="shared" si="14"/>
        <v>2803500</v>
      </c>
      <c r="M103" s="184" t="s">
        <v>858</v>
      </c>
      <c r="N103" s="31">
        <f t="shared" si="22"/>
        <v>1401750</v>
      </c>
      <c r="O103" s="31">
        <f t="shared" si="16"/>
        <v>1050000</v>
      </c>
      <c r="P103" s="10">
        <v>26</v>
      </c>
      <c r="Q103" s="62">
        <v>26</v>
      </c>
      <c r="R103" s="158">
        <f t="shared" si="17"/>
        <v>1401750</v>
      </c>
      <c r="S103" s="31">
        <f t="shared" si="18"/>
        <v>1401750</v>
      </c>
      <c r="T103" s="103"/>
      <c r="U103" s="31">
        <f t="shared" si="23"/>
        <v>0</v>
      </c>
      <c r="V103" s="74"/>
      <c r="W103" s="31">
        <f t="shared" si="15"/>
        <v>0</v>
      </c>
      <c r="X103" s="31">
        <f t="shared" si="12"/>
        <v>28035</v>
      </c>
      <c r="Y103" s="46">
        <f t="shared" si="19"/>
        <v>1429785</v>
      </c>
      <c r="Z103" s="11" t="str">
        <f t="shared" si="20"/>
        <v>93</v>
      </c>
      <c r="AA103" s="126"/>
      <c r="AB103" s="165" t="s">
        <v>1126</v>
      </c>
      <c r="AC103" s="155"/>
    </row>
    <row r="104" spans="1:29" s="108" customFormat="1" ht="23.25" customHeight="1">
      <c r="A104" s="30" t="s">
        <v>582</v>
      </c>
      <c r="B104" s="33" t="s">
        <v>1014</v>
      </c>
      <c r="C104" s="34" t="s">
        <v>874</v>
      </c>
      <c r="D104" s="34"/>
      <c r="E104" s="62" t="s">
        <v>323</v>
      </c>
      <c r="F104" s="75" t="s">
        <v>374</v>
      </c>
      <c r="G104" s="10">
        <v>2.34</v>
      </c>
      <c r="H104" s="157"/>
      <c r="I104" s="81">
        <f t="shared" si="13"/>
        <v>2.34</v>
      </c>
      <c r="J104" s="81"/>
      <c r="K104" s="82">
        <f t="shared" si="21"/>
        <v>2.34</v>
      </c>
      <c r="L104" s="31">
        <f t="shared" si="14"/>
        <v>2457000</v>
      </c>
      <c r="M104" s="184" t="s">
        <v>858</v>
      </c>
      <c r="N104" s="31">
        <f t="shared" si="22"/>
        <v>1228500</v>
      </c>
      <c r="O104" s="31">
        <f t="shared" si="16"/>
        <v>1050000</v>
      </c>
      <c r="P104" s="10">
        <v>26</v>
      </c>
      <c r="Q104" s="62">
        <v>26</v>
      </c>
      <c r="R104" s="158">
        <f t="shared" si="17"/>
        <v>1228500</v>
      </c>
      <c r="S104" s="31">
        <f t="shared" si="18"/>
        <v>1228500</v>
      </c>
      <c r="T104" s="103"/>
      <c r="U104" s="31">
        <f t="shared" si="23"/>
        <v>0</v>
      </c>
      <c r="V104" s="74"/>
      <c r="W104" s="31">
        <f t="shared" si="15"/>
        <v>0</v>
      </c>
      <c r="X104" s="31">
        <f t="shared" si="12"/>
        <v>24570</v>
      </c>
      <c r="Y104" s="46">
        <f t="shared" si="19"/>
        <v>1253070</v>
      </c>
      <c r="Z104" s="11" t="str">
        <f t="shared" si="20"/>
        <v>94</v>
      </c>
      <c r="AA104" s="126"/>
      <c r="AB104" s="165" t="s">
        <v>1127</v>
      </c>
      <c r="AC104" s="155"/>
    </row>
    <row r="105" spans="1:29" s="108" customFormat="1" ht="24" customHeight="1">
      <c r="A105" s="30" t="s">
        <v>583</v>
      </c>
      <c r="B105" s="33" t="s">
        <v>968</v>
      </c>
      <c r="C105" s="34" t="s">
        <v>883</v>
      </c>
      <c r="D105" s="34" t="s">
        <v>543</v>
      </c>
      <c r="E105" s="62" t="s">
        <v>110</v>
      </c>
      <c r="F105" s="75" t="s">
        <v>1313</v>
      </c>
      <c r="G105" s="10">
        <v>4.9800000000000004</v>
      </c>
      <c r="H105" s="157"/>
      <c r="I105" s="81">
        <f t="shared" si="13"/>
        <v>4.9800000000000004</v>
      </c>
      <c r="J105" s="81">
        <v>0</v>
      </c>
      <c r="K105" s="82">
        <f t="shared" si="21"/>
        <v>4.9800000000000004</v>
      </c>
      <c r="L105" s="31">
        <f t="shared" si="14"/>
        <v>5229000</v>
      </c>
      <c r="M105" s="184" t="s">
        <v>858</v>
      </c>
      <c r="N105" s="31">
        <f t="shared" si="22"/>
        <v>2614500</v>
      </c>
      <c r="O105" s="31">
        <f t="shared" si="16"/>
        <v>1050000</v>
      </c>
      <c r="P105" s="10">
        <v>26</v>
      </c>
      <c r="Q105" s="62">
        <v>26</v>
      </c>
      <c r="R105" s="158">
        <f t="shared" si="17"/>
        <v>2614500</v>
      </c>
      <c r="S105" s="31">
        <f t="shared" si="18"/>
        <v>2614500</v>
      </c>
      <c r="T105" s="103"/>
      <c r="U105" s="31">
        <f t="shared" si="23"/>
        <v>0</v>
      </c>
      <c r="V105" s="74"/>
      <c r="W105" s="31">
        <f t="shared" si="15"/>
        <v>0</v>
      </c>
      <c r="X105" s="31">
        <f t="shared" si="12"/>
        <v>52290.000000000007</v>
      </c>
      <c r="Y105" s="46">
        <f t="shared" si="19"/>
        <v>2666790</v>
      </c>
      <c r="Z105" s="11" t="str">
        <f t="shared" si="20"/>
        <v>95</v>
      </c>
      <c r="AA105" s="126"/>
      <c r="AB105" s="165" t="s">
        <v>1131</v>
      </c>
      <c r="AC105" s="155"/>
    </row>
    <row r="106" spans="1:29" s="108" customFormat="1" ht="21" customHeight="1">
      <c r="A106" s="30" t="s">
        <v>584</v>
      </c>
      <c r="B106" s="33" t="s">
        <v>969</v>
      </c>
      <c r="C106" s="34" t="s">
        <v>970</v>
      </c>
      <c r="D106" s="34"/>
      <c r="E106" s="62" t="s">
        <v>111</v>
      </c>
      <c r="F106" s="85" t="s">
        <v>1314</v>
      </c>
      <c r="G106" s="10">
        <v>3.33</v>
      </c>
      <c r="H106" s="157"/>
      <c r="I106" s="81">
        <f t="shared" si="13"/>
        <v>3.33</v>
      </c>
      <c r="J106" s="81">
        <v>0.25</v>
      </c>
      <c r="K106" s="82">
        <f t="shared" si="21"/>
        <v>3.58</v>
      </c>
      <c r="L106" s="31">
        <f t="shared" si="14"/>
        <v>3759000</v>
      </c>
      <c r="M106" s="184" t="s">
        <v>858</v>
      </c>
      <c r="N106" s="31">
        <f t="shared" si="22"/>
        <v>1879500</v>
      </c>
      <c r="O106" s="31">
        <f t="shared" si="16"/>
        <v>1050000</v>
      </c>
      <c r="P106" s="10">
        <v>26</v>
      </c>
      <c r="Q106" s="62">
        <v>26</v>
      </c>
      <c r="R106" s="158">
        <f t="shared" si="17"/>
        <v>1879500</v>
      </c>
      <c r="S106" s="31">
        <f t="shared" si="18"/>
        <v>1879500</v>
      </c>
      <c r="T106" s="103"/>
      <c r="U106" s="31">
        <f t="shared" si="23"/>
        <v>0</v>
      </c>
      <c r="V106" s="74"/>
      <c r="W106" s="31">
        <f t="shared" si="15"/>
        <v>0</v>
      </c>
      <c r="X106" s="31">
        <f t="shared" si="12"/>
        <v>37590</v>
      </c>
      <c r="Y106" s="46">
        <f t="shared" si="19"/>
        <v>1917090</v>
      </c>
      <c r="Z106" s="11" t="str">
        <f t="shared" si="20"/>
        <v>96</v>
      </c>
      <c r="AA106" s="126"/>
      <c r="AB106" s="165" t="s">
        <v>1132</v>
      </c>
      <c r="AC106" s="155"/>
    </row>
    <row r="107" spans="1:29" s="108" customFormat="1" ht="24.75" customHeight="1">
      <c r="A107" s="30" t="s">
        <v>585</v>
      </c>
      <c r="B107" s="33" t="s">
        <v>971</v>
      </c>
      <c r="C107" s="34" t="s">
        <v>927</v>
      </c>
      <c r="D107" s="34"/>
      <c r="E107" s="62" t="s">
        <v>112</v>
      </c>
      <c r="F107" s="75" t="s">
        <v>1315</v>
      </c>
      <c r="G107" s="10">
        <v>2.67</v>
      </c>
      <c r="H107" s="157"/>
      <c r="I107" s="81">
        <f t="shared" si="13"/>
        <v>2.67</v>
      </c>
      <c r="J107" s="81">
        <v>0.25</v>
      </c>
      <c r="K107" s="82">
        <f t="shared" si="21"/>
        <v>2.92</v>
      </c>
      <c r="L107" s="31">
        <f t="shared" si="14"/>
        <v>3066000</v>
      </c>
      <c r="M107" s="184" t="s">
        <v>858</v>
      </c>
      <c r="N107" s="31">
        <f t="shared" si="22"/>
        <v>1533000</v>
      </c>
      <c r="O107" s="31">
        <f t="shared" si="16"/>
        <v>1050000</v>
      </c>
      <c r="P107" s="10">
        <v>26</v>
      </c>
      <c r="Q107" s="62">
        <v>26</v>
      </c>
      <c r="R107" s="158">
        <f t="shared" si="17"/>
        <v>1533000</v>
      </c>
      <c r="S107" s="31">
        <f t="shared" si="18"/>
        <v>1533000</v>
      </c>
      <c r="T107" s="103"/>
      <c r="U107" s="31">
        <f t="shared" si="23"/>
        <v>0</v>
      </c>
      <c r="V107" s="74"/>
      <c r="W107" s="31">
        <f t="shared" si="15"/>
        <v>0</v>
      </c>
      <c r="X107" s="31">
        <f t="shared" si="12"/>
        <v>30660</v>
      </c>
      <c r="Y107" s="46">
        <f t="shared" si="19"/>
        <v>1563660</v>
      </c>
      <c r="Z107" s="11" t="str">
        <f t="shared" si="20"/>
        <v>97</v>
      </c>
      <c r="AA107" s="126"/>
      <c r="AB107" s="165" t="s">
        <v>1133</v>
      </c>
      <c r="AC107" s="155"/>
    </row>
    <row r="108" spans="1:29" s="108" customFormat="1" ht="22.5" customHeight="1">
      <c r="A108" s="30" t="s">
        <v>586</v>
      </c>
      <c r="B108" s="33" t="s">
        <v>972</v>
      </c>
      <c r="C108" s="34" t="s">
        <v>865</v>
      </c>
      <c r="D108" s="34"/>
      <c r="E108" s="62" t="s">
        <v>113</v>
      </c>
      <c r="F108" s="75" t="s">
        <v>1316</v>
      </c>
      <c r="G108" s="10">
        <v>2.67</v>
      </c>
      <c r="H108" s="157"/>
      <c r="I108" s="81">
        <f t="shared" si="13"/>
        <v>2.67</v>
      </c>
      <c r="J108" s="81">
        <v>0.25</v>
      </c>
      <c r="K108" s="82">
        <f t="shared" si="21"/>
        <v>2.92</v>
      </c>
      <c r="L108" s="31">
        <f t="shared" si="14"/>
        <v>3066000</v>
      </c>
      <c r="M108" s="184" t="s">
        <v>858</v>
      </c>
      <c r="N108" s="31">
        <f t="shared" si="22"/>
        <v>1533000</v>
      </c>
      <c r="O108" s="31">
        <f t="shared" si="16"/>
        <v>1050000</v>
      </c>
      <c r="P108" s="10">
        <v>26</v>
      </c>
      <c r="Q108" s="62">
        <v>26</v>
      </c>
      <c r="R108" s="158">
        <f t="shared" si="17"/>
        <v>1533000</v>
      </c>
      <c r="S108" s="31">
        <f t="shared" si="18"/>
        <v>1533000</v>
      </c>
      <c r="T108" s="103"/>
      <c r="U108" s="31">
        <f t="shared" si="23"/>
        <v>0</v>
      </c>
      <c r="V108" s="74"/>
      <c r="W108" s="31">
        <f t="shared" si="15"/>
        <v>0</v>
      </c>
      <c r="X108" s="31">
        <f t="shared" si="12"/>
        <v>30660</v>
      </c>
      <c r="Y108" s="46">
        <f t="shared" si="19"/>
        <v>1563660</v>
      </c>
      <c r="Z108" s="11" t="str">
        <f t="shared" si="20"/>
        <v>98</v>
      </c>
      <c r="AA108" s="126"/>
      <c r="AB108" s="165" t="s">
        <v>1142</v>
      </c>
      <c r="AC108" s="155"/>
    </row>
    <row r="109" spans="1:29" s="108" customFormat="1" ht="26.25" customHeight="1">
      <c r="A109" s="30" t="s">
        <v>587</v>
      </c>
      <c r="B109" s="33" t="s">
        <v>1223</v>
      </c>
      <c r="C109" s="34" t="s">
        <v>920</v>
      </c>
      <c r="D109" s="34"/>
      <c r="E109" s="62" t="s">
        <v>114</v>
      </c>
      <c r="F109" s="75" t="s">
        <v>1317</v>
      </c>
      <c r="G109" s="10">
        <v>2.67</v>
      </c>
      <c r="H109" s="157"/>
      <c r="I109" s="81">
        <f t="shared" si="13"/>
        <v>2.67</v>
      </c>
      <c r="J109" s="81"/>
      <c r="K109" s="82">
        <f t="shared" si="21"/>
        <v>2.67</v>
      </c>
      <c r="L109" s="31">
        <f t="shared" si="14"/>
        <v>2803500</v>
      </c>
      <c r="M109" s="184" t="s">
        <v>858</v>
      </c>
      <c r="N109" s="31">
        <f t="shared" si="22"/>
        <v>1401750</v>
      </c>
      <c r="O109" s="31">
        <f t="shared" si="16"/>
        <v>1050000</v>
      </c>
      <c r="P109" s="10">
        <v>26</v>
      </c>
      <c r="Q109" s="62">
        <v>26</v>
      </c>
      <c r="R109" s="158">
        <f t="shared" si="17"/>
        <v>1401750</v>
      </c>
      <c r="S109" s="31">
        <f t="shared" si="18"/>
        <v>1401750</v>
      </c>
      <c r="T109" s="103"/>
      <c r="U109" s="31">
        <f t="shared" si="23"/>
        <v>0</v>
      </c>
      <c r="V109" s="74"/>
      <c r="W109" s="31">
        <f t="shared" si="15"/>
        <v>0</v>
      </c>
      <c r="X109" s="31">
        <f t="shared" si="12"/>
        <v>28035</v>
      </c>
      <c r="Y109" s="46">
        <f t="shared" si="19"/>
        <v>1429785</v>
      </c>
      <c r="Z109" s="11" t="str">
        <f t="shared" si="20"/>
        <v>99</v>
      </c>
      <c r="AA109" s="126"/>
      <c r="AB109" s="165" t="s">
        <v>1143</v>
      </c>
      <c r="AC109" s="155"/>
    </row>
    <row r="110" spans="1:29" s="108" customFormat="1" ht="29.25" customHeight="1">
      <c r="A110" s="30" t="s">
        <v>588</v>
      </c>
      <c r="B110" s="33" t="s">
        <v>1224</v>
      </c>
      <c r="C110" s="34" t="s">
        <v>1205</v>
      </c>
      <c r="D110" s="34"/>
      <c r="E110" s="62" t="s">
        <v>115</v>
      </c>
      <c r="F110" s="75" t="s">
        <v>1318</v>
      </c>
      <c r="G110" s="10">
        <v>2.67</v>
      </c>
      <c r="H110" s="157"/>
      <c r="I110" s="81">
        <f t="shared" si="13"/>
        <v>2.67</v>
      </c>
      <c r="J110" s="81"/>
      <c r="K110" s="82">
        <f t="shared" si="21"/>
        <v>2.67</v>
      </c>
      <c r="L110" s="31">
        <f t="shared" si="14"/>
        <v>2803500</v>
      </c>
      <c r="M110" s="184" t="s">
        <v>858</v>
      </c>
      <c r="N110" s="31">
        <f t="shared" si="22"/>
        <v>1401750</v>
      </c>
      <c r="O110" s="31">
        <f t="shared" si="16"/>
        <v>1050000</v>
      </c>
      <c r="P110" s="10">
        <v>26</v>
      </c>
      <c r="Q110" s="62">
        <v>26</v>
      </c>
      <c r="R110" s="158">
        <f t="shared" si="17"/>
        <v>1401750</v>
      </c>
      <c r="S110" s="31">
        <f t="shared" si="18"/>
        <v>1401750</v>
      </c>
      <c r="T110" s="103"/>
      <c r="U110" s="31">
        <f t="shared" si="23"/>
        <v>0</v>
      </c>
      <c r="V110" s="74"/>
      <c r="W110" s="31">
        <f t="shared" si="15"/>
        <v>0</v>
      </c>
      <c r="X110" s="31">
        <f t="shared" si="12"/>
        <v>28035</v>
      </c>
      <c r="Y110" s="46">
        <f t="shared" si="19"/>
        <v>1429785</v>
      </c>
      <c r="Z110" s="11" t="str">
        <f t="shared" si="20"/>
        <v>100</v>
      </c>
      <c r="AA110" s="112"/>
      <c r="AB110" s="165" t="s">
        <v>1144</v>
      </c>
      <c r="AC110" s="155"/>
    </row>
    <row r="111" spans="1:29" s="108" customFormat="1" ht="29.25" customHeight="1">
      <c r="A111" s="30" t="s">
        <v>589</v>
      </c>
      <c r="B111" s="271" t="s">
        <v>278</v>
      </c>
      <c r="C111" s="272" t="s">
        <v>1178</v>
      </c>
      <c r="D111" s="272"/>
      <c r="E111" s="294" t="s">
        <v>324</v>
      </c>
      <c r="F111" s="274" t="s">
        <v>375</v>
      </c>
      <c r="G111" s="278">
        <v>2.34</v>
      </c>
      <c r="H111" s="295"/>
      <c r="I111" s="277">
        <f t="shared" si="13"/>
        <v>2.34</v>
      </c>
      <c r="J111" s="277"/>
      <c r="K111" s="296">
        <f t="shared" si="21"/>
        <v>2.34</v>
      </c>
      <c r="L111" s="279">
        <f t="shared" si="14"/>
        <v>2457000</v>
      </c>
      <c r="M111" s="184" t="s">
        <v>785</v>
      </c>
      <c r="N111" s="279">
        <f t="shared" si="22"/>
        <v>0</v>
      </c>
      <c r="O111" s="279">
        <f t="shared" si="16"/>
        <v>0</v>
      </c>
      <c r="P111" s="278">
        <v>0</v>
      </c>
      <c r="Q111" s="294">
        <v>0</v>
      </c>
      <c r="R111" s="297">
        <f t="shared" si="17"/>
        <v>0</v>
      </c>
      <c r="S111" s="279">
        <f t="shared" si="18"/>
        <v>0</v>
      </c>
      <c r="T111" s="298"/>
      <c r="U111" s="279">
        <f t="shared" si="23"/>
        <v>0</v>
      </c>
      <c r="V111" s="283"/>
      <c r="W111" s="279">
        <f t="shared" si="15"/>
        <v>0</v>
      </c>
      <c r="X111" s="279">
        <v>0</v>
      </c>
      <c r="Y111" s="299">
        <f t="shared" si="19"/>
        <v>0</v>
      </c>
      <c r="Z111" s="285" t="str">
        <f t="shared" si="20"/>
        <v>101</v>
      </c>
      <c r="AA111" s="300" t="s">
        <v>778</v>
      </c>
      <c r="AB111" s="165" t="s">
        <v>1145</v>
      </c>
      <c r="AC111" s="155"/>
    </row>
    <row r="112" spans="1:29" s="108" customFormat="1" ht="31.5" customHeight="1">
      <c r="A112" s="30" t="s">
        <v>590</v>
      </c>
      <c r="B112" s="227" t="s">
        <v>1245</v>
      </c>
      <c r="C112" s="228" t="s">
        <v>276</v>
      </c>
      <c r="D112" s="228"/>
      <c r="E112" s="229" t="s">
        <v>325</v>
      </c>
      <c r="F112" s="230" t="s">
        <v>376</v>
      </c>
      <c r="G112" s="231">
        <v>2.34</v>
      </c>
      <c r="H112" s="232"/>
      <c r="I112" s="233">
        <f t="shared" si="13"/>
        <v>2.34</v>
      </c>
      <c r="J112" s="233"/>
      <c r="K112" s="234">
        <f t="shared" si="21"/>
        <v>2.34</v>
      </c>
      <c r="L112" s="235">
        <f t="shared" si="14"/>
        <v>2457000</v>
      </c>
      <c r="M112" s="184" t="s">
        <v>785</v>
      </c>
      <c r="N112" s="279">
        <f t="shared" si="22"/>
        <v>0</v>
      </c>
      <c r="O112" s="235">
        <f t="shared" si="16"/>
        <v>0</v>
      </c>
      <c r="P112" s="278">
        <v>0</v>
      </c>
      <c r="Q112" s="294">
        <v>0</v>
      </c>
      <c r="R112" s="297">
        <f t="shared" si="17"/>
        <v>0</v>
      </c>
      <c r="S112" s="279">
        <f t="shared" si="18"/>
        <v>0</v>
      </c>
      <c r="T112" s="298"/>
      <c r="U112" s="279">
        <f t="shared" si="23"/>
        <v>0</v>
      </c>
      <c r="V112" s="283"/>
      <c r="W112" s="279">
        <f t="shared" si="15"/>
        <v>0</v>
      </c>
      <c r="X112" s="279">
        <v>0</v>
      </c>
      <c r="Y112" s="299">
        <f t="shared" si="19"/>
        <v>0</v>
      </c>
      <c r="Z112" s="285" t="str">
        <f t="shared" si="20"/>
        <v>102</v>
      </c>
      <c r="AA112" s="300" t="s">
        <v>779</v>
      </c>
      <c r="AB112" s="165" t="s">
        <v>1146</v>
      </c>
      <c r="AC112" s="155"/>
    </row>
    <row r="113" spans="1:29" s="108" customFormat="1" ht="20.25" customHeight="1">
      <c r="A113" s="30" t="s">
        <v>591</v>
      </c>
      <c r="B113" s="33" t="s">
        <v>279</v>
      </c>
      <c r="C113" s="34" t="s">
        <v>277</v>
      </c>
      <c r="D113" s="34"/>
      <c r="E113" s="62" t="s">
        <v>326</v>
      </c>
      <c r="F113" s="75" t="s">
        <v>377</v>
      </c>
      <c r="G113" s="10">
        <v>2.34</v>
      </c>
      <c r="H113" s="157"/>
      <c r="I113" s="81">
        <f t="shared" si="13"/>
        <v>2.34</v>
      </c>
      <c r="J113" s="81"/>
      <c r="K113" s="82">
        <f t="shared" si="21"/>
        <v>2.34</v>
      </c>
      <c r="L113" s="31">
        <f t="shared" si="14"/>
        <v>2457000</v>
      </c>
      <c r="M113" s="184" t="s">
        <v>858</v>
      </c>
      <c r="N113" s="31">
        <f t="shared" si="22"/>
        <v>1228500</v>
      </c>
      <c r="O113" s="31">
        <f t="shared" si="16"/>
        <v>1050000</v>
      </c>
      <c r="P113" s="10">
        <v>26</v>
      </c>
      <c r="Q113" s="62">
        <v>26</v>
      </c>
      <c r="R113" s="158">
        <f t="shared" si="17"/>
        <v>1228500</v>
      </c>
      <c r="S113" s="31">
        <f t="shared" si="18"/>
        <v>1228500</v>
      </c>
      <c r="T113" s="103"/>
      <c r="U113" s="31">
        <f t="shared" si="23"/>
        <v>0</v>
      </c>
      <c r="V113" s="74"/>
      <c r="W113" s="31">
        <f t="shared" si="15"/>
        <v>0</v>
      </c>
      <c r="X113" s="31">
        <f t="shared" si="12"/>
        <v>24570</v>
      </c>
      <c r="Y113" s="46">
        <f t="shared" si="19"/>
        <v>1253070</v>
      </c>
      <c r="Z113" s="11" t="str">
        <f t="shared" si="20"/>
        <v>103</v>
      </c>
      <c r="AA113" s="126"/>
      <c r="AB113" s="165" t="s">
        <v>1147</v>
      </c>
      <c r="AC113" s="155"/>
    </row>
    <row r="114" spans="1:29" s="108" customFormat="1" ht="29.25" customHeight="1">
      <c r="A114" s="30" t="s">
        <v>592</v>
      </c>
      <c r="B114" s="33" t="s">
        <v>919</v>
      </c>
      <c r="C114" s="92" t="s">
        <v>365</v>
      </c>
      <c r="D114" s="92"/>
      <c r="E114" s="62" t="s">
        <v>327</v>
      </c>
      <c r="F114" s="75" t="s">
        <v>378</v>
      </c>
      <c r="G114" s="10">
        <v>2.34</v>
      </c>
      <c r="H114" s="157"/>
      <c r="I114" s="81">
        <f t="shared" si="13"/>
        <v>2.34</v>
      </c>
      <c r="J114" s="81"/>
      <c r="K114" s="82">
        <f t="shared" si="21"/>
        <v>2.34</v>
      </c>
      <c r="L114" s="31">
        <f t="shared" si="14"/>
        <v>2457000</v>
      </c>
      <c r="M114" s="184" t="s">
        <v>858</v>
      </c>
      <c r="N114" s="31">
        <f t="shared" si="22"/>
        <v>1228500</v>
      </c>
      <c r="O114" s="31">
        <f t="shared" si="16"/>
        <v>1050000</v>
      </c>
      <c r="P114" s="10">
        <v>26</v>
      </c>
      <c r="Q114" s="62">
        <v>25</v>
      </c>
      <c r="R114" s="158">
        <f t="shared" si="17"/>
        <v>1228500</v>
      </c>
      <c r="S114" s="31">
        <f t="shared" si="18"/>
        <v>1181250</v>
      </c>
      <c r="T114" s="103"/>
      <c r="U114" s="31">
        <f t="shared" si="23"/>
        <v>0</v>
      </c>
      <c r="V114" s="74"/>
      <c r="W114" s="31">
        <f t="shared" si="15"/>
        <v>0</v>
      </c>
      <c r="X114" s="31">
        <f t="shared" si="12"/>
        <v>24570</v>
      </c>
      <c r="Y114" s="46">
        <f t="shared" si="19"/>
        <v>1205820</v>
      </c>
      <c r="Z114" s="11" t="str">
        <f t="shared" si="20"/>
        <v>104</v>
      </c>
      <c r="AA114" s="126" t="s">
        <v>783</v>
      </c>
      <c r="AB114" s="165" t="s">
        <v>1148</v>
      </c>
      <c r="AC114" s="155"/>
    </row>
    <row r="115" spans="1:29" s="108" customFormat="1" ht="26.25" customHeight="1">
      <c r="A115" s="30" t="s">
        <v>593</v>
      </c>
      <c r="B115" s="33" t="s">
        <v>995</v>
      </c>
      <c r="C115" s="34" t="s">
        <v>1041</v>
      </c>
      <c r="D115" s="34"/>
      <c r="E115" s="75" t="s">
        <v>434</v>
      </c>
      <c r="F115" s="10" t="s">
        <v>503</v>
      </c>
      <c r="G115" s="83">
        <v>3</v>
      </c>
      <c r="H115" s="157"/>
      <c r="I115" s="161">
        <f t="shared" si="13"/>
        <v>3</v>
      </c>
      <c r="J115" s="81"/>
      <c r="K115" s="82">
        <f t="shared" si="21"/>
        <v>3</v>
      </c>
      <c r="L115" s="31">
        <f t="shared" si="14"/>
        <v>3150000</v>
      </c>
      <c r="M115" s="184" t="s">
        <v>858</v>
      </c>
      <c r="N115" s="31">
        <f t="shared" si="22"/>
        <v>1575000</v>
      </c>
      <c r="O115" s="31">
        <f t="shared" si="16"/>
        <v>1050000</v>
      </c>
      <c r="P115" s="10">
        <v>26</v>
      </c>
      <c r="Q115" s="62">
        <v>26</v>
      </c>
      <c r="R115" s="158">
        <f t="shared" si="17"/>
        <v>1575000</v>
      </c>
      <c r="S115" s="31">
        <f t="shared" si="18"/>
        <v>1575000</v>
      </c>
      <c r="T115" s="103"/>
      <c r="U115" s="31">
        <f t="shared" si="23"/>
        <v>0</v>
      </c>
      <c r="V115" s="74"/>
      <c r="W115" s="31">
        <f t="shared" si="15"/>
        <v>0</v>
      </c>
      <c r="X115" s="31">
        <f t="shared" si="12"/>
        <v>31500</v>
      </c>
      <c r="Y115" s="46">
        <f t="shared" si="19"/>
        <v>1606500</v>
      </c>
      <c r="Z115" s="11" t="str">
        <f t="shared" si="20"/>
        <v>105</v>
      </c>
      <c r="AA115" s="112"/>
      <c r="AB115" s="165" t="s">
        <v>1149</v>
      </c>
      <c r="AC115" s="155"/>
    </row>
    <row r="116" spans="1:29" s="108" customFormat="1" ht="21" customHeight="1">
      <c r="A116" s="30" t="s">
        <v>594</v>
      </c>
      <c r="B116" s="33" t="s">
        <v>869</v>
      </c>
      <c r="C116" s="34" t="s">
        <v>917</v>
      </c>
      <c r="D116" s="34" t="s">
        <v>544</v>
      </c>
      <c r="E116" s="62" t="s">
        <v>116</v>
      </c>
      <c r="F116" s="85" t="s">
        <v>1319</v>
      </c>
      <c r="G116" s="10">
        <v>6.44</v>
      </c>
      <c r="H116" s="157"/>
      <c r="I116" s="81">
        <f t="shared" si="13"/>
        <v>6.44</v>
      </c>
      <c r="J116" s="81">
        <v>0.25</v>
      </c>
      <c r="K116" s="82">
        <f t="shared" si="21"/>
        <v>6.69</v>
      </c>
      <c r="L116" s="31">
        <f t="shared" si="14"/>
        <v>7024500</v>
      </c>
      <c r="M116" s="184" t="s">
        <v>858</v>
      </c>
      <c r="N116" s="31">
        <f t="shared" si="22"/>
        <v>3512250</v>
      </c>
      <c r="O116" s="31">
        <f t="shared" si="16"/>
        <v>1050000</v>
      </c>
      <c r="P116" s="10">
        <v>26</v>
      </c>
      <c r="Q116" s="62">
        <v>26</v>
      </c>
      <c r="R116" s="158">
        <f t="shared" si="17"/>
        <v>3512250</v>
      </c>
      <c r="S116" s="31">
        <f t="shared" si="18"/>
        <v>3512250</v>
      </c>
      <c r="T116" s="103"/>
      <c r="U116" s="31">
        <f t="shared" si="23"/>
        <v>0</v>
      </c>
      <c r="V116" s="74"/>
      <c r="W116" s="31">
        <f t="shared" si="15"/>
        <v>0</v>
      </c>
      <c r="X116" s="31">
        <f t="shared" si="12"/>
        <v>70245</v>
      </c>
      <c r="Y116" s="46">
        <f t="shared" si="19"/>
        <v>3582495</v>
      </c>
      <c r="Z116" s="11" t="str">
        <f t="shared" si="20"/>
        <v>106</v>
      </c>
      <c r="AA116" s="126"/>
      <c r="AB116" s="165" t="s">
        <v>1150</v>
      </c>
      <c r="AC116" s="155"/>
    </row>
    <row r="117" spans="1:29" s="108" customFormat="1" ht="24" customHeight="1">
      <c r="A117" s="30" t="s">
        <v>595</v>
      </c>
      <c r="B117" s="33" t="s">
        <v>869</v>
      </c>
      <c r="C117" s="34" t="s">
        <v>973</v>
      </c>
      <c r="D117" s="34"/>
      <c r="E117" s="62" t="s">
        <v>117</v>
      </c>
      <c r="F117" s="85" t="s">
        <v>1320</v>
      </c>
      <c r="G117" s="10">
        <v>3.33</v>
      </c>
      <c r="H117" s="157"/>
      <c r="I117" s="81">
        <f t="shared" si="13"/>
        <v>3.33</v>
      </c>
      <c r="J117" s="81">
        <v>0</v>
      </c>
      <c r="K117" s="82">
        <f t="shared" si="21"/>
        <v>3.33</v>
      </c>
      <c r="L117" s="31">
        <f t="shared" si="14"/>
        <v>3496500</v>
      </c>
      <c r="M117" s="184" t="s">
        <v>858</v>
      </c>
      <c r="N117" s="31">
        <f t="shared" si="22"/>
        <v>1748250</v>
      </c>
      <c r="O117" s="31">
        <f t="shared" si="16"/>
        <v>1050000</v>
      </c>
      <c r="P117" s="10">
        <v>26</v>
      </c>
      <c r="Q117" s="62">
        <v>26</v>
      </c>
      <c r="R117" s="158">
        <f t="shared" si="17"/>
        <v>1748250</v>
      </c>
      <c r="S117" s="31">
        <f t="shared" si="18"/>
        <v>1748250</v>
      </c>
      <c r="T117" s="103"/>
      <c r="U117" s="31">
        <f t="shared" si="23"/>
        <v>0</v>
      </c>
      <c r="V117" s="74"/>
      <c r="W117" s="31">
        <f t="shared" si="15"/>
        <v>0</v>
      </c>
      <c r="X117" s="31">
        <f t="shared" si="12"/>
        <v>34965</v>
      </c>
      <c r="Y117" s="46">
        <f t="shared" si="19"/>
        <v>1783215</v>
      </c>
      <c r="Z117" s="11" t="str">
        <f t="shared" si="20"/>
        <v>107</v>
      </c>
      <c r="AA117" s="112"/>
      <c r="AB117" s="165" t="s">
        <v>1151</v>
      </c>
      <c r="AC117" s="155"/>
    </row>
    <row r="118" spans="1:29" s="108" customFormat="1" ht="24" customHeight="1">
      <c r="A118" s="30" t="s">
        <v>596</v>
      </c>
      <c r="B118" s="33" t="s">
        <v>280</v>
      </c>
      <c r="C118" s="34" t="s">
        <v>891</v>
      </c>
      <c r="D118" s="34"/>
      <c r="E118" s="62" t="s">
        <v>328</v>
      </c>
      <c r="F118" s="75" t="s">
        <v>379</v>
      </c>
      <c r="G118" s="10">
        <v>2.34</v>
      </c>
      <c r="H118" s="157"/>
      <c r="I118" s="81">
        <f t="shared" si="13"/>
        <v>2.34</v>
      </c>
      <c r="J118" s="81"/>
      <c r="K118" s="82">
        <f t="shared" si="21"/>
        <v>2.34</v>
      </c>
      <c r="L118" s="31">
        <f t="shared" si="14"/>
        <v>2457000</v>
      </c>
      <c r="M118" s="184" t="s">
        <v>858</v>
      </c>
      <c r="N118" s="31">
        <f t="shared" si="22"/>
        <v>1228500</v>
      </c>
      <c r="O118" s="31">
        <f t="shared" si="16"/>
        <v>1050000</v>
      </c>
      <c r="P118" s="10">
        <v>26</v>
      </c>
      <c r="Q118" s="62">
        <v>26</v>
      </c>
      <c r="R118" s="158">
        <f t="shared" si="17"/>
        <v>1228500</v>
      </c>
      <c r="S118" s="31">
        <f t="shared" si="18"/>
        <v>1228500</v>
      </c>
      <c r="T118" s="103"/>
      <c r="U118" s="31">
        <f t="shared" si="23"/>
        <v>0</v>
      </c>
      <c r="V118" s="74"/>
      <c r="W118" s="31">
        <f t="shared" si="15"/>
        <v>0</v>
      </c>
      <c r="X118" s="31">
        <f t="shared" si="12"/>
        <v>24570</v>
      </c>
      <c r="Y118" s="46">
        <f t="shared" si="19"/>
        <v>1253070</v>
      </c>
      <c r="Z118" s="11" t="str">
        <f t="shared" si="20"/>
        <v>108</v>
      </c>
      <c r="AA118" s="112"/>
      <c r="AB118" s="165" t="s">
        <v>1152</v>
      </c>
      <c r="AC118" s="155"/>
    </row>
    <row r="119" spans="1:29" s="108" customFormat="1" ht="27" customHeight="1">
      <c r="A119" s="30" t="s">
        <v>597</v>
      </c>
      <c r="B119" s="33" t="s">
        <v>946</v>
      </c>
      <c r="C119" s="34" t="s">
        <v>867</v>
      </c>
      <c r="D119" s="34"/>
      <c r="E119" s="62" t="s">
        <v>118</v>
      </c>
      <c r="F119" s="75" t="s">
        <v>1296</v>
      </c>
      <c r="G119" s="10">
        <v>4.6500000000000004</v>
      </c>
      <c r="H119" s="157"/>
      <c r="I119" s="81">
        <f t="shared" si="13"/>
        <v>4.6500000000000004</v>
      </c>
      <c r="J119" s="81">
        <v>0</v>
      </c>
      <c r="K119" s="82">
        <f t="shared" si="21"/>
        <v>4.6500000000000004</v>
      </c>
      <c r="L119" s="31">
        <f t="shared" si="14"/>
        <v>4882500</v>
      </c>
      <c r="M119" s="184" t="s">
        <v>858</v>
      </c>
      <c r="N119" s="31">
        <f t="shared" si="22"/>
        <v>2441250</v>
      </c>
      <c r="O119" s="31">
        <f t="shared" si="16"/>
        <v>1050000</v>
      </c>
      <c r="P119" s="10">
        <v>26</v>
      </c>
      <c r="Q119" s="62">
        <v>26</v>
      </c>
      <c r="R119" s="158">
        <f t="shared" si="17"/>
        <v>2441250</v>
      </c>
      <c r="S119" s="31">
        <f t="shared" si="18"/>
        <v>2441250</v>
      </c>
      <c r="T119" s="103"/>
      <c r="U119" s="31">
        <f t="shared" si="23"/>
        <v>0</v>
      </c>
      <c r="V119" s="74"/>
      <c r="W119" s="31">
        <f t="shared" si="15"/>
        <v>0</v>
      </c>
      <c r="X119" s="31">
        <f t="shared" si="12"/>
        <v>48825.000000000007</v>
      </c>
      <c r="Y119" s="46">
        <f t="shared" si="19"/>
        <v>2490075</v>
      </c>
      <c r="Z119" s="11" t="str">
        <f t="shared" si="20"/>
        <v>109</v>
      </c>
      <c r="AA119" s="112"/>
      <c r="AB119" s="165" t="s">
        <v>1153</v>
      </c>
      <c r="AC119" s="155"/>
    </row>
    <row r="120" spans="1:29" s="108" customFormat="1" ht="24.75" customHeight="1">
      <c r="A120" s="30" t="s">
        <v>598</v>
      </c>
      <c r="B120" s="33" t="s">
        <v>975</v>
      </c>
      <c r="C120" s="34" t="s">
        <v>942</v>
      </c>
      <c r="D120" s="34" t="s">
        <v>545</v>
      </c>
      <c r="E120" s="62" t="s">
        <v>119</v>
      </c>
      <c r="F120" s="75" t="s">
        <v>1321</v>
      </c>
      <c r="G120" s="10">
        <v>4.6500000000000004</v>
      </c>
      <c r="H120" s="157"/>
      <c r="I120" s="81">
        <f t="shared" si="13"/>
        <v>4.6500000000000004</v>
      </c>
      <c r="J120" s="81">
        <v>0.25</v>
      </c>
      <c r="K120" s="82">
        <f t="shared" si="21"/>
        <v>4.9000000000000004</v>
      </c>
      <c r="L120" s="31">
        <f t="shared" si="14"/>
        <v>5145000</v>
      </c>
      <c r="M120" s="184" t="s">
        <v>858</v>
      </c>
      <c r="N120" s="31">
        <f t="shared" si="22"/>
        <v>2572500</v>
      </c>
      <c r="O120" s="31">
        <f t="shared" si="16"/>
        <v>1050000</v>
      </c>
      <c r="P120" s="10">
        <v>26</v>
      </c>
      <c r="Q120" s="62">
        <v>26</v>
      </c>
      <c r="R120" s="158">
        <f t="shared" si="17"/>
        <v>2572500</v>
      </c>
      <c r="S120" s="31">
        <f t="shared" si="18"/>
        <v>2572500</v>
      </c>
      <c r="T120" s="103"/>
      <c r="U120" s="31">
        <f t="shared" si="23"/>
        <v>0</v>
      </c>
      <c r="V120" s="74"/>
      <c r="W120" s="31">
        <f t="shared" si="15"/>
        <v>0</v>
      </c>
      <c r="X120" s="31">
        <f t="shared" ref="X120:X183" si="24">(K120*0.01*$H$7)+(T120*1%*$H$7)+(V120*1%*$H$7)</f>
        <v>51450</v>
      </c>
      <c r="Y120" s="46">
        <f t="shared" si="19"/>
        <v>2623950</v>
      </c>
      <c r="Z120" s="11" t="str">
        <f t="shared" si="20"/>
        <v>110</v>
      </c>
      <c r="AA120" s="112"/>
      <c r="AB120" s="165" t="s">
        <v>1154</v>
      </c>
      <c r="AC120" s="155"/>
    </row>
    <row r="121" spans="1:29" s="108" customFormat="1" ht="21.75" customHeight="1">
      <c r="A121" s="30" t="s">
        <v>599</v>
      </c>
      <c r="B121" s="33" t="s">
        <v>976</v>
      </c>
      <c r="C121" s="34" t="s">
        <v>889</v>
      </c>
      <c r="D121" s="34"/>
      <c r="E121" s="62" t="s">
        <v>120</v>
      </c>
      <c r="F121" s="75" t="s">
        <v>1322</v>
      </c>
      <c r="G121" s="10">
        <v>3</v>
      </c>
      <c r="H121" s="157"/>
      <c r="I121" s="81">
        <f t="shared" si="13"/>
        <v>3</v>
      </c>
      <c r="J121" s="81">
        <v>0</v>
      </c>
      <c r="K121" s="82">
        <f t="shared" si="21"/>
        <v>3</v>
      </c>
      <c r="L121" s="31">
        <f t="shared" si="14"/>
        <v>3150000</v>
      </c>
      <c r="M121" s="184" t="s">
        <v>858</v>
      </c>
      <c r="N121" s="31">
        <f t="shared" si="22"/>
        <v>1575000</v>
      </c>
      <c r="O121" s="31">
        <f t="shared" si="16"/>
        <v>1050000</v>
      </c>
      <c r="P121" s="10">
        <v>26</v>
      </c>
      <c r="Q121" s="62">
        <v>26</v>
      </c>
      <c r="R121" s="158">
        <f t="shared" si="17"/>
        <v>1575000</v>
      </c>
      <c r="S121" s="31">
        <f t="shared" si="18"/>
        <v>1575000</v>
      </c>
      <c r="T121" s="103"/>
      <c r="U121" s="31">
        <f t="shared" si="23"/>
        <v>0</v>
      </c>
      <c r="V121" s="74"/>
      <c r="W121" s="31">
        <f t="shared" si="15"/>
        <v>0</v>
      </c>
      <c r="X121" s="31">
        <f t="shared" si="24"/>
        <v>31500</v>
      </c>
      <c r="Y121" s="46">
        <f t="shared" si="19"/>
        <v>1606500</v>
      </c>
      <c r="Z121" s="11" t="str">
        <f t="shared" si="20"/>
        <v>111</v>
      </c>
      <c r="AA121" s="126"/>
      <c r="AB121" s="165" t="s">
        <v>1155</v>
      </c>
      <c r="AC121" s="155"/>
    </row>
    <row r="122" spans="1:29" s="108" customFormat="1" ht="23.25" customHeight="1">
      <c r="A122" s="30" t="s">
        <v>600</v>
      </c>
      <c r="B122" s="33" t="s">
        <v>1225</v>
      </c>
      <c r="C122" s="34" t="s">
        <v>1206</v>
      </c>
      <c r="D122" s="34"/>
      <c r="E122" s="62" t="s">
        <v>121</v>
      </c>
      <c r="F122" s="75" t="s">
        <v>1323</v>
      </c>
      <c r="G122" s="10">
        <v>3</v>
      </c>
      <c r="H122" s="157"/>
      <c r="I122" s="81">
        <f t="shared" si="13"/>
        <v>3</v>
      </c>
      <c r="J122" s="81"/>
      <c r="K122" s="82">
        <f t="shared" si="21"/>
        <v>3</v>
      </c>
      <c r="L122" s="31">
        <f t="shared" si="14"/>
        <v>3150000</v>
      </c>
      <c r="M122" s="184" t="s">
        <v>858</v>
      </c>
      <c r="N122" s="31">
        <f t="shared" si="22"/>
        <v>1575000</v>
      </c>
      <c r="O122" s="31">
        <f t="shared" si="16"/>
        <v>1050000</v>
      </c>
      <c r="P122" s="10">
        <v>26</v>
      </c>
      <c r="Q122" s="62">
        <v>26</v>
      </c>
      <c r="R122" s="158">
        <f t="shared" si="17"/>
        <v>1575000</v>
      </c>
      <c r="S122" s="31">
        <f t="shared" si="18"/>
        <v>1575000</v>
      </c>
      <c r="T122" s="103"/>
      <c r="U122" s="31">
        <f t="shared" si="23"/>
        <v>0</v>
      </c>
      <c r="V122" s="74"/>
      <c r="W122" s="31">
        <f t="shared" si="15"/>
        <v>0</v>
      </c>
      <c r="X122" s="31">
        <f t="shared" si="24"/>
        <v>31500</v>
      </c>
      <c r="Y122" s="46">
        <f t="shared" si="19"/>
        <v>1606500</v>
      </c>
      <c r="Z122" s="11" t="str">
        <f t="shared" si="20"/>
        <v>112</v>
      </c>
      <c r="AA122" s="112"/>
      <c r="AB122" s="165" t="s">
        <v>1156</v>
      </c>
      <c r="AC122" s="155"/>
    </row>
    <row r="123" spans="1:29" s="108" customFormat="1" ht="20.25" customHeight="1">
      <c r="A123" s="30" t="s">
        <v>601</v>
      </c>
      <c r="B123" s="33" t="s">
        <v>1226</v>
      </c>
      <c r="C123" s="34" t="s">
        <v>992</v>
      </c>
      <c r="D123" s="34"/>
      <c r="E123" s="62" t="s">
        <v>122</v>
      </c>
      <c r="F123" s="75" t="s">
        <v>1324</v>
      </c>
      <c r="G123" s="10">
        <v>2.67</v>
      </c>
      <c r="H123" s="157"/>
      <c r="I123" s="81">
        <f t="shared" si="13"/>
        <v>2.67</v>
      </c>
      <c r="J123" s="81"/>
      <c r="K123" s="82">
        <f t="shared" si="21"/>
        <v>2.67</v>
      </c>
      <c r="L123" s="31">
        <f t="shared" si="14"/>
        <v>2803500</v>
      </c>
      <c r="M123" s="184" t="s">
        <v>858</v>
      </c>
      <c r="N123" s="31">
        <f t="shared" si="22"/>
        <v>1401750</v>
      </c>
      <c r="O123" s="31">
        <f t="shared" si="16"/>
        <v>1050000</v>
      </c>
      <c r="P123" s="10">
        <v>26</v>
      </c>
      <c r="Q123" s="62">
        <v>26</v>
      </c>
      <c r="R123" s="158">
        <f t="shared" si="17"/>
        <v>1401750</v>
      </c>
      <c r="S123" s="31">
        <f t="shared" si="18"/>
        <v>1401750</v>
      </c>
      <c r="T123" s="103"/>
      <c r="U123" s="31">
        <f t="shared" si="23"/>
        <v>0</v>
      </c>
      <c r="V123" s="74"/>
      <c r="W123" s="31">
        <f t="shared" si="15"/>
        <v>0</v>
      </c>
      <c r="X123" s="31">
        <f t="shared" si="24"/>
        <v>28035</v>
      </c>
      <c r="Y123" s="46">
        <f t="shared" si="19"/>
        <v>1429785</v>
      </c>
      <c r="Z123" s="11" t="str">
        <f t="shared" si="20"/>
        <v>113</v>
      </c>
      <c r="AA123" s="126"/>
      <c r="AB123" s="165" t="s">
        <v>1157</v>
      </c>
      <c r="AC123" s="155"/>
    </row>
    <row r="124" spans="1:29" s="108" customFormat="1" ht="20.25" customHeight="1">
      <c r="A124" s="30" t="s">
        <v>602</v>
      </c>
      <c r="B124" s="33" t="s">
        <v>281</v>
      </c>
      <c r="C124" s="34" t="s">
        <v>889</v>
      </c>
      <c r="D124" s="34"/>
      <c r="E124" s="62" t="s">
        <v>329</v>
      </c>
      <c r="F124" s="75" t="s">
        <v>380</v>
      </c>
      <c r="G124" s="10">
        <v>2.67</v>
      </c>
      <c r="H124" s="157"/>
      <c r="I124" s="81">
        <f t="shared" si="13"/>
        <v>2.67</v>
      </c>
      <c r="J124" s="81"/>
      <c r="K124" s="82">
        <f t="shared" si="21"/>
        <v>2.67</v>
      </c>
      <c r="L124" s="31">
        <f t="shared" si="14"/>
        <v>2803500</v>
      </c>
      <c r="M124" s="184" t="s">
        <v>858</v>
      </c>
      <c r="N124" s="31">
        <f t="shared" si="22"/>
        <v>1401750</v>
      </c>
      <c r="O124" s="31">
        <f t="shared" si="16"/>
        <v>1050000</v>
      </c>
      <c r="P124" s="10">
        <v>26</v>
      </c>
      <c r="Q124" s="62">
        <v>26</v>
      </c>
      <c r="R124" s="158">
        <f t="shared" si="17"/>
        <v>1401750</v>
      </c>
      <c r="S124" s="31">
        <f t="shared" si="18"/>
        <v>1401750</v>
      </c>
      <c r="T124" s="103"/>
      <c r="U124" s="31">
        <f t="shared" si="23"/>
        <v>0</v>
      </c>
      <c r="V124" s="74"/>
      <c r="W124" s="31">
        <f t="shared" si="15"/>
        <v>0</v>
      </c>
      <c r="X124" s="31">
        <f t="shared" si="24"/>
        <v>28035</v>
      </c>
      <c r="Y124" s="46">
        <f t="shared" si="19"/>
        <v>1429785</v>
      </c>
      <c r="Z124" s="11" t="str">
        <f t="shared" si="20"/>
        <v>114</v>
      </c>
      <c r="AA124" s="126"/>
      <c r="AB124" s="165" t="s">
        <v>1158</v>
      </c>
      <c r="AC124" s="155"/>
    </row>
    <row r="125" spans="1:29" s="108" customFormat="1" ht="18.75" customHeight="1">
      <c r="A125" s="30" t="s">
        <v>603</v>
      </c>
      <c r="B125" s="33" t="s">
        <v>943</v>
      </c>
      <c r="C125" s="34" t="s">
        <v>949</v>
      </c>
      <c r="D125" s="34" t="s">
        <v>546</v>
      </c>
      <c r="E125" s="62" t="s">
        <v>123</v>
      </c>
      <c r="F125" s="75" t="s">
        <v>1325</v>
      </c>
      <c r="G125" s="10">
        <v>4.9800000000000004</v>
      </c>
      <c r="H125" s="157">
        <v>0.08</v>
      </c>
      <c r="I125" s="81">
        <f t="shared" si="13"/>
        <v>5.3784000000000001</v>
      </c>
      <c r="J125" s="81">
        <v>0.25</v>
      </c>
      <c r="K125" s="82">
        <f t="shared" si="21"/>
        <v>5.6284000000000001</v>
      </c>
      <c r="L125" s="31">
        <f t="shared" si="14"/>
        <v>5909820</v>
      </c>
      <c r="M125" s="184" t="s">
        <v>858</v>
      </c>
      <c r="N125" s="31">
        <f t="shared" si="22"/>
        <v>2954910</v>
      </c>
      <c r="O125" s="31">
        <f t="shared" si="16"/>
        <v>1050000</v>
      </c>
      <c r="P125" s="10">
        <v>26</v>
      </c>
      <c r="Q125" s="62">
        <v>26</v>
      </c>
      <c r="R125" s="158">
        <f t="shared" si="17"/>
        <v>2954910</v>
      </c>
      <c r="S125" s="31">
        <f t="shared" si="18"/>
        <v>2954910</v>
      </c>
      <c r="T125" s="103"/>
      <c r="U125" s="31">
        <f t="shared" si="23"/>
        <v>0</v>
      </c>
      <c r="V125" s="74"/>
      <c r="W125" s="31">
        <f t="shared" si="15"/>
        <v>0</v>
      </c>
      <c r="X125" s="31">
        <f t="shared" si="24"/>
        <v>59098.200000000004</v>
      </c>
      <c r="Y125" s="46">
        <f t="shared" si="19"/>
        <v>3014008.2</v>
      </c>
      <c r="Z125" s="11" t="str">
        <f t="shared" si="20"/>
        <v>115</v>
      </c>
      <c r="AA125" s="126"/>
      <c r="AB125" s="165" t="s">
        <v>1159</v>
      </c>
      <c r="AC125" s="155"/>
    </row>
    <row r="126" spans="1:29" s="108" customFormat="1" ht="24.75" customHeight="1">
      <c r="A126" s="30" t="s">
        <v>604</v>
      </c>
      <c r="B126" s="33" t="s">
        <v>977</v>
      </c>
      <c r="C126" s="34" t="s">
        <v>978</v>
      </c>
      <c r="D126" s="34"/>
      <c r="E126" s="62" t="s">
        <v>124</v>
      </c>
      <c r="F126" s="75" t="s">
        <v>1326</v>
      </c>
      <c r="G126" s="10">
        <v>3.66</v>
      </c>
      <c r="H126" s="157"/>
      <c r="I126" s="81">
        <f t="shared" si="13"/>
        <v>3.66</v>
      </c>
      <c r="J126" s="81">
        <v>0</v>
      </c>
      <c r="K126" s="82">
        <f t="shared" si="21"/>
        <v>3.66</v>
      </c>
      <c r="L126" s="31">
        <f t="shared" si="14"/>
        <v>3843000</v>
      </c>
      <c r="M126" s="184" t="s">
        <v>858</v>
      </c>
      <c r="N126" s="31">
        <f t="shared" si="22"/>
        <v>1921500</v>
      </c>
      <c r="O126" s="31">
        <f t="shared" si="16"/>
        <v>1050000</v>
      </c>
      <c r="P126" s="10">
        <v>26</v>
      </c>
      <c r="Q126" s="62">
        <v>26</v>
      </c>
      <c r="R126" s="158">
        <f t="shared" si="17"/>
        <v>1921500</v>
      </c>
      <c r="S126" s="31">
        <f t="shared" si="18"/>
        <v>1921500</v>
      </c>
      <c r="T126" s="103"/>
      <c r="U126" s="31">
        <f t="shared" si="23"/>
        <v>0</v>
      </c>
      <c r="V126" s="74"/>
      <c r="W126" s="31">
        <f t="shared" si="15"/>
        <v>0</v>
      </c>
      <c r="X126" s="31">
        <f t="shared" si="24"/>
        <v>38430</v>
      </c>
      <c r="Y126" s="46">
        <f t="shared" si="19"/>
        <v>1959930</v>
      </c>
      <c r="Z126" s="11" t="str">
        <f t="shared" si="20"/>
        <v>116</v>
      </c>
      <c r="AA126" s="112"/>
      <c r="AB126" s="165" t="s">
        <v>1160</v>
      </c>
      <c r="AC126" s="155"/>
    </row>
    <row r="127" spans="1:29" s="108" customFormat="1" ht="23.25" customHeight="1">
      <c r="A127" s="30" t="s">
        <v>605</v>
      </c>
      <c r="B127" s="33" t="s">
        <v>980</v>
      </c>
      <c r="C127" s="34" t="s">
        <v>981</v>
      </c>
      <c r="D127" s="34" t="s">
        <v>547</v>
      </c>
      <c r="E127" s="62" t="s">
        <v>125</v>
      </c>
      <c r="F127" s="75" t="s">
        <v>1327</v>
      </c>
      <c r="G127" s="10">
        <v>4.9800000000000004</v>
      </c>
      <c r="H127" s="221">
        <v>7.0000000000000007E-2</v>
      </c>
      <c r="I127" s="81">
        <f t="shared" si="13"/>
        <v>5.3286000000000007</v>
      </c>
      <c r="J127" s="81">
        <v>0.25</v>
      </c>
      <c r="K127" s="82">
        <f t="shared" si="21"/>
        <v>5.5786000000000007</v>
      </c>
      <c r="L127" s="31">
        <f t="shared" si="14"/>
        <v>5857530.0000000009</v>
      </c>
      <c r="M127" s="184" t="s">
        <v>858</v>
      </c>
      <c r="N127" s="31">
        <f t="shared" si="22"/>
        <v>2928765.0000000005</v>
      </c>
      <c r="O127" s="31">
        <f t="shared" si="16"/>
        <v>1050000</v>
      </c>
      <c r="P127" s="10">
        <v>26</v>
      </c>
      <c r="Q127" s="62">
        <v>26</v>
      </c>
      <c r="R127" s="158">
        <f t="shared" si="17"/>
        <v>2928765.0000000005</v>
      </c>
      <c r="S127" s="31">
        <f t="shared" si="18"/>
        <v>2928765.0000000005</v>
      </c>
      <c r="T127" s="103"/>
      <c r="U127" s="31">
        <f t="shared" si="23"/>
        <v>0</v>
      </c>
      <c r="V127" s="74"/>
      <c r="W127" s="31">
        <f t="shared" si="15"/>
        <v>0</v>
      </c>
      <c r="X127" s="31">
        <f t="shared" si="24"/>
        <v>58575.30000000001</v>
      </c>
      <c r="Y127" s="46">
        <f t="shared" si="19"/>
        <v>2987340.3000000003</v>
      </c>
      <c r="Z127" s="11" t="str">
        <f t="shared" si="20"/>
        <v>117</v>
      </c>
      <c r="AA127" s="288" t="s">
        <v>802</v>
      </c>
      <c r="AB127" s="165" t="s">
        <v>1161</v>
      </c>
      <c r="AC127" s="155"/>
    </row>
    <row r="128" spans="1:29" s="108" customFormat="1" ht="26.25" customHeight="1">
      <c r="A128" s="30" t="s">
        <v>606</v>
      </c>
      <c r="B128" s="33" t="s">
        <v>982</v>
      </c>
      <c r="C128" s="34" t="s">
        <v>883</v>
      </c>
      <c r="D128" s="34"/>
      <c r="E128" s="62" t="s">
        <v>126</v>
      </c>
      <c r="F128" s="75" t="s">
        <v>1328</v>
      </c>
      <c r="G128" s="10">
        <v>4.9800000000000004</v>
      </c>
      <c r="H128" s="157"/>
      <c r="I128" s="81">
        <f t="shared" si="13"/>
        <v>4.9800000000000004</v>
      </c>
      <c r="J128" s="81">
        <v>0</v>
      </c>
      <c r="K128" s="82">
        <f t="shared" si="21"/>
        <v>4.9800000000000004</v>
      </c>
      <c r="L128" s="31">
        <f t="shared" si="14"/>
        <v>5229000</v>
      </c>
      <c r="M128" s="184" t="s">
        <v>858</v>
      </c>
      <c r="N128" s="31">
        <f t="shared" si="22"/>
        <v>2614500</v>
      </c>
      <c r="O128" s="31">
        <f t="shared" si="16"/>
        <v>1050000</v>
      </c>
      <c r="P128" s="10">
        <v>26</v>
      </c>
      <c r="Q128" s="62">
        <v>26</v>
      </c>
      <c r="R128" s="158">
        <f t="shared" si="17"/>
        <v>2614500</v>
      </c>
      <c r="S128" s="31">
        <f t="shared" si="18"/>
        <v>2614500</v>
      </c>
      <c r="T128" s="103"/>
      <c r="U128" s="31">
        <f t="shared" si="23"/>
        <v>0</v>
      </c>
      <c r="V128" s="74"/>
      <c r="W128" s="31">
        <f t="shared" si="15"/>
        <v>0</v>
      </c>
      <c r="X128" s="31">
        <f t="shared" si="24"/>
        <v>52290.000000000007</v>
      </c>
      <c r="Y128" s="46">
        <f t="shared" si="19"/>
        <v>2666790</v>
      </c>
      <c r="Z128" s="11" t="str">
        <f t="shared" si="20"/>
        <v>118</v>
      </c>
      <c r="AA128" s="112" t="s">
        <v>803</v>
      </c>
      <c r="AB128" s="165" t="s">
        <v>1162</v>
      </c>
      <c r="AC128" s="155"/>
    </row>
    <row r="129" spans="1:31" s="108" customFormat="1" ht="19.5" customHeight="1">
      <c r="A129" s="30" t="s">
        <v>607</v>
      </c>
      <c r="B129" s="33" t="s">
        <v>983</v>
      </c>
      <c r="C129" s="34" t="s">
        <v>896</v>
      </c>
      <c r="D129" s="34"/>
      <c r="E129" s="62" t="s">
        <v>127</v>
      </c>
      <c r="F129" s="75" t="s">
        <v>1329</v>
      </c>
      <c r="G129" s="10">
        <v>4.9800000000000004</v>
      </c>
      <c r="H129" s="221">
        <v>7.0000000000000007E-2</v>
      </c>
      <c r="I129" s="81">
        <f t="shared" si="13"/>
        <v>5.3286000000000007</v>
      </c>
      <c r="J129" s="81"/>
      <c r="K129" s="82">
        <f t="shared" si="21"/>
        <v>5.3286000000000007</v>
      </c>
      <c r="L129" s="31">
        <f t="shared" si="14"/>
        <v>5595030.0000000009</v>
      </c>
      <c r="M129" s="184" t="s">
        <v>858</v>
      </c>
      <c r="N129" s="31">
        <f t="shared" si="22"/>
        <v>2797515.0000000005</v>
      </c>
      <c r="O129" s="31">
        <f t="shared" si="16"/>
        <v>1050000</v>
      </c>
      <c r="P129" s="10">
        <v>26</v>
      </c>
      <c r="Q129" s="62">
        <v>26</v>
      </c>
      <c r="R129" s="158">
        <f>IF(N129&gt;O129,N129,O129)</f>
        <v>2797515.0000000005</v>
      </c>
      <c r="S129" s="31">
        <f t="shared" si="18"/>
        <v>2797515.0000000005</v>
      </c>
      <c r="T129" s="103"/>
      <c r="U129" s="31">
        <f t="shared" si="23"/>
        <v>0</v>
      </c>
      <c r="V129" s="74"/>
      <c r="W129" s="31">
        <f t="shared" si="15"/>
        <v>0</v>
      </c>
      <c r="X129" s="31">
        <f t="shared" si="24"/>
        <v>55950.30000000001</v>
      </c>
      <c r="Y129" s="46">
        <f t="shared" si="19"/>
        <v>2853465.3000000003</v>
      </c>
      <c r="Z129" s="11" t="str">
        <f t="shared" si="20"/>
        <v>119</v>
      </c>
      <c r="AA129" s="288" t="s">
        <v>804</v>
      </c>
      <c r="AB129" s="165" t="s">
        <v>1163</v>
      </c>
      <c r="AC129" s="155"/>
    </row>
    <row r="130" spans="1:31" s="108" customFormat="1" ht="39.75" customHeight="1">
      <c r="A130" s="30" t="s">
        <v>608</v>
      </c>
      <c r="B130" s="33" t="s">
        <v>984</v>
      </c>
      <c r="C130" s="34" t="s">
        <v>874</v>
      </c>
      <c r="D130" s="34"/>
      <c r="E130" s="62" t="s">
        <v>128</v>
      </c>
      <c r="F130" s="75" t="s">
        <v>1330</v>
      </c>
      <c r="G130" s="10">
        <v>3.33</v>
      </c>
      <c r="H130" s="157"/>
      <c r="I130" s="81">
        <f t="shared" si="13"/>
        <v>3.33</v>
      </c>
      <c r="J130" s="81"/>
      <c r="K130" s="82">
        <f t="shared" si="21"/>
        <v>3.33</v>
      </c>
      <c r="L130" s="31">
        <f>K130*$H$7</f>
        <v>3496500</v>
      </c>
      <c r="M130" s="184" t="s">
        <v>525</v>
      </c>
      <c r="N130" s="31">
        <f t="shared" si="22"/>
        <v>1311187.5</v>
      </c>
      <c r="O130" s="31">
        <f>IF(M130="A",1050000,IF(M130="B",735000,IF(M130="C",514500,0)))</f>
        <v>735000</v>
      </c>
      <c r="P130" s="10">
        <v>26</v>
      </c>
      <c r="Q130" s="62">
        <v>26</v>
      </c>
      <c r="R130" s="158">
        <f>IF(N130&gt;O130,N130,O130)</f>
        <v>1311187.5</v>
      </c>
      <c r="S130" s="31">
        <f t="shared" si="18"/>
        <v>1311187.5</v>
      </c>
      <c r="T130" s="103"/>
      <c r="U130" s="31">
        <f t="shared" si="23"/>
        <v>0</v>
      </c>
      <c r="V130" s="74"/>
      <c r="W130" s="31">
        <f t="shared" si="15"/>
        <v>0</v>
      </c>
      <c r="X130" s="31">
        <f t="shared" si="24"/>
        <v>34965</v>
      </c>
      <c r="Y130" s="46">
        <f>(S130+U130+W130+X130)</f>
        <v>1346152.5</v>
      </c>
      <c r="Z130" s="11" t="str">
        <f t="shared" si="20"/>
        <v>120</v>
      </c>
      <c r="AA130" s="112" t="s">
        <v>825</v>
      </c>
      <c r="AB130" s="165" t="s">
        <v>1164</v>
      </c>
      <c r="AC130" s="155">
        <v>384615</v>
      </c>
      <c r="AD130" s="193">
        <f>AB130-AC130</f>
        <v>-384571</v>
      </c>
    </row>
    <row r="131" spans="1:31" s="108" customFormat="1" ht="27.75" customHeight="1">
      <c r="A131" s="30" t="s">
        <v>609</v>
      </c>
      <c r="B131" s="33" t="s">
        <v>985</v>
      </c>
      <c r="C131" s="34" t="s">
        <v>986</v>
      </c>
      <c r="D131" s="34"/>
      <c r="E131" s="62" t="s">
        <v>129</v>
      </c>
      <c r="F131" s="85" t="s">
        <v>1331</v>
      </c>
      <c r="G131" s="10">
        <v>3.33</v>
      </c>
      <c r="H131" s="157"/>
      <c r="I131" s="81">
        <f t="shared" si="13"/>
        <v>3.33</v>
      </c>
      <c r="J131" s="81">
        <v>0</v>
      </c>
      <c r="K131" s="82">
        <f t="shared" si="21"/>
        <v>3.33</v>
      </c>
      <c r="L131" s="31">
        <f t="shared" si="14"/>
        <v>3496500</v>
      </c>
      <c r="M131" s="184" t="s">
        <v>858</v>
      </c>
      <c r="N131" s="31">
        <f t="shared" si="22"/>
        <v>1748250</v>
      </c>
      <c r="O131" s="31">
        <f t="shared" si="16"/>
        <v>1050000</v>
      </c>
      <c r="P131" s="10">
        <v>26</v>
      </c>
      <c r="Q131" s="62">
        <v>26</v>
      </c>
      <c r="R131" s="158">
        <f t="shared" si="17"/>
        <v>1748250</v>
      </c>
      <c r="S131" s="31">
        <f t="shared" si="18"/>
        <v>1748250</v>
      </c>
      <c r="T131" s="103"/>
      <c r="U131" s="31">
        <f t="shared" si="23"/>
        <v>0</v>
      </c>
      <c r="V131" s="74"/>
      <c r="W131" s="31">
        <f t="shared" si="15"/>
        <v>0</v>
      </c>
      <c r="X131" s="31">
        <f t="shared" si="24"/>
        <v>34965</v>
      </c>
      <c r="Y131" s="46">
        <f t="shared" si="19"/>
        <v>1783215</v>
      </c>
      <c r="Z131" s="11" t="str">
        <f t="shared" si="20"/>
        <v>121</v>
      </c>
      <c r="AA131" s="288"/>
      <c r="AB131" s="165" t="s">
        <v>1165</v>
      </c>
      <c r="AC131" s="155" t="s">
        <v>772</v>
      </c>
      <c r="AD131" s="108" t="s">
        <v>773</v>
      </c>
      <c r="AE131" s="108" t="s">
        <v>774</v>
      </c>
    </row>
    <row r="132" spans="1:31" s="108" customFormat="1" ht="24.75" customHeight="1">
      <c r="A132" s="30" t="s">
        <v>610</v>
      </c>
      <c r="B132" s="33" t="s">
        <v>977</v>
      </c>
      <c r="C132" s="34" t="s">
        <v>987</v>
      </c>
      <c r="D132" s="34"/>
      <c r="E132" s="62" t="s">
        <v>130</v>
      </c>
      <c r="F132" s="75" t="s">
        <v>1332</v>
      </c>
      <c r="G132" s="10">
        <v>3.33</v>
      </c>
      <c r="H132" s="157"/>
      <c r="I132" s="81">
        <f t="shared" si="13"/>
        <v>3.33</v>
      </c>
      <c r="J132" s="81">
        <v>0</v>
      </c>
      <c r="K132" s="82">
        <f t="shared" si="21"/>
        <v>3.33</v>
      </c>
      <c r="L132" s="31">
        <f t="shared" si="14"/>
        <v>3496500</v>
      </c>
      <c r="M132" s="184" t="s">
        <v>858</v>
      </c>
      <c r="N132" s="31">
        <f t="shared" si="22"/>
        <v>1748250</v>
      </c>
      <c r="O132" s="31">
        <f t="shared" si="16"/>
        <v>1050000</v>
      </c>
      <c r="P132" s="10">
        <v>26</v>
      </c>
      <c r="Q132" s="62">
        <v>26</v>
      </c>
      <c r="R132" s="158">
        <f t="shared" si="17"/>
        <v>1748250</v>
      </c>
      <c r="S132" s="31">
        <f t="shared" si="18"/>
        <v>1748250</v>
      </c>
      <c r="T132" s="103"/>
      <c r="U132" s="31">
        <f t="shared" si="23"/>
        <v>0</v>
      </c>
      <c r="V132" s="74"/>
      <c r="W132" s="31">
        <f t="shared" si="15"/>
        <v>0</v>
      </c>
      <c r="X132" s="31">
        <f t="shared" si="24"/>
        <v>34965</v>
      </c>
      <c r="Y132" s="46">
        <f t="shared" si="19"/>
        <v>1783215</v>
      </c>
      <c r="Z132" s="11" t="str">
        <f t="shared" si="20"/>
        <v>122</v>
      </c>
      <c r="AA132" s="288" t="s">
        <v>804</v>
      </c>
      <c r="AB132" s="165" t="s">
        <v>1166</v>
      </c>
      <c r="AC132" s="155">
        <v>384615</v>
      </c>
      <c r="AD132" s="193">
        <v>384615</v>
      </c>
      <c r="AE132" s="193">
        <f>AB131-AC132-AD132</f>
        <v>-769185</v>
      </c>
    </row>
    <row r="133" spans="1:31" s="108" customFormat="1" ht="28.5" customHeight="1">
      <c r="A133" s="30" t="s">
        <v>611</v>
      </c>
      <c r="B133" s="33" t="s">
        <v>988</v>
      </c>
      <c r="C133" s="34" t="s">
        <v>967</v>
      </c>
      <c r="D133" s="34"/>
      <c r="E133" s="62" t="s">
        <v>131</v>
      </c>
      <c r="F133" s="75" t="s">
        <v>1333</v>
      </c>
      <c r="G133" s="10">
        <v>2.67</v>
      </c>
      <c r="H133" s="157"/>
      <c r="I133" s="81">
        <f t="shared" si="13"/>
        <v>2.67</v>
      </c>
      <c r="J133" s="81">
        <v>0</v>
      </c>
      <c r="K133" s="82">
        <f t="shared" si="21"/>
        <v>2.67</v>
      </c>
      <c r="L133" s="31">
        <f t="shared" si="14"/>
        <v>2803500</v>
      </c>
      <c r="M133" s="184" t="s">
        <v>858</v>
      </c>
      <c r="N133" s="31">
        <f t="shared" si="22"/>
        <v>1401750</v>
      </c>
      <c r="O133" s="31">
        <f t="shared" si="16"/>
        <v>1050000</v>
      </c>
      <c r="P133" s="10">
        <v>26</v>
      </c>
      <c r="Q133" s="62">
        <v>26</v>
      </c>
      <c r="R133" s="158">
        <f t="shared" si="17"/>
        <v>1401750</v>
      </c>
      <c r="S133" s="31">
        <f t="shared" si="18"/>
        <v>1401750</v>
      </c>
      <c r="T133" s="103"/>
      <c r="U133" s="31">
        <f t="shared" si="23"/>
        <v>0</v>
      </c>
      <c r="V133" s="74"/>
      <c r="W133" s="31">
        <f t="shared" si="15"/>
        <v>0</v>
      </c>
      <c r="X133" s="31">
        <f t="shared" si="24"/>
        <v>28035</v>
      </c>
      <c r="Y133" s="46">
        <f t="shared" si="19"/>
        <v>1429785</v>
      </c>
      <c r="Z133" s="11" t="str">
        <f t="shared" si="20"/>
        <v>123</v>
      </c>
      <c r="AA133" s="288" t="s">
        <v>804</v>
      </c>
      <c r="AB133" s="165" t="s">
        <v>409</v>
      </c>
      <c r="AC133" s="155"/>
    </row>
    <row r="134" spans="1:31" s="108" customFormat="1" ht="21" customHeight="1">
      <c r="A134" s="30" t="s">
        <v>612</v>
      </c>
      <c r="B134" s="33" t="s">
        <v>1202</v>
      </c>
      <c r="C134" s="34" t="s">
        <v>1200</v>
      </c>
      <c r="D134" s="34"/>
      <c r="E134" s="62" t="s">
        <v>133</v>
      </c>
      <c r="F134" s="75" t="s">
        <v>1335</v>
      </c>
      <c r="G134" s="10">
        <v>3.66</v>
      </c>
      <c r="H134" s="157"/>
      <c r="I134" s="81">
        <f t="shared" si="13"/>
        <v>3.66</v>
      </c>
      <c r="J134" s="81">
        <v>0</v>
      </c>
      <c r="K134" s="82">
        <f t="shared" si="21"/>
        <v>3.66</v>
      </c>
      <c r="L134" s="31">
        <f t="shared" si="14"/>
        <v>3843000</v>
      </c>
      <c r="M134" s="184" t="s">
        <v>858</v>
      </c>
      <c r="N134" s="31">
        <f t="shared" si="22"/>
        <v>1921500</v>
      </c>
      <c r="O134" s="31">
        <f t="shared" si="16"/>
        <v>1050000</v>
      </c>
      <c r="P134" s="10">
        <v>26</v>
      </c>
      <c r="Q134" s="62">
        <v>26</v>
      </c>
      <c r="R134" s="158">
        <f>IF(N134&gt;O134,N134,O134)</f>
        <v>1921500</v>
      </c>
      <c r="S134" s="31">
        <f t="shared" si="18"/>
        <v>1921500</v>
      </c>
      <c r="T134" s="103"/>
      <c r="U134" s="31">
        <f t="shared" si="23"/>
        <v>0</v>
      </c>
      <c r="V134" s="74"/>
      <c r="W134" s="31">
        <f t="shared" si="15"/>
        <v>0</v>
      </c>
      <c r="X134" s="31">
        <f t="shared" si="24"/>
        <v>38430</v>
      </c>
      <c r="Y134" s="46">
        <f t="shared" si="19"/>
        <v>1959930</v>
      </c>
      <c r="Z134" s="11" t="str">
        <f t="shared" si="20"/>
        <v>124</v>
      </c>
      <c r="AA134" s="288" t="s">
        <v>804</v>
      </c>
      <c r="AB134" s="165" t="s">
        <v>410</v>
      </c>
      <c r="AC134" s="155"/>
    </row>
    <row r="135" spans="1:31" s="108" customFormat="1" ht="22.5" customHeight="1">
      <c r="A135" s="30" t="s">
        <v>613</v>
      </c>
      <c r="B135" s="33" t="s">
        <v>449</v>
      </c>
      <c r="C135" s="34" t="s">
        <v>448</v>
      </c>
      <c r="D135" s="34"/>
      <c r="E135" s="62" t="s">
        <v>450</v>
      </c>
      <c r="F135" s="75" t="s">
        <v>504</v>
      </c>
      <c r="G135" s="10">
        <f>2.67</f>
        <v>2.67</v>
      </c>
      <c r="H135" s="157"/>
      <c r="I135" s="81">
        <f t="shared" si="13"/>
        <v>2.67</v>
      </c>
      <c r="J135" s="81">
        <v>0.2</v>
      </c>
      <c r="K135" s="82">
        <f t="shared" si="21"/>
        <v>2.87</v>
      </c>
      <c r="L135" s="31">
        <f t="shared" si="14"/>
        <v>3013500</v>
      </c>
      <c r="M135" s="184" t="s">
        <v>858</v>
      </c>
      <c r="N135" s="31">
        <f t="shared" si="22"/>
        <v>1506750</v>
      </c>
      <c r="O135" s="31">
        <f t="shared" si="16"/>
        <v>1050000</v>
      </c>
      <c r="P135" s="10">
        <v>26</v>
      </c>
      <c r="Q135" s="62">
        <v>26</v>
      </c>
      <c r="R135" s="158">
        <f t="shared" si="17"/>
        <v>1506750</v>
      </c>
      <c r="S135" s="31">
        <f t="shared" si="18"/>
        <v>1506750</v>
      </c>
      <c r="T135" s="103"/>
      <c r="U135" s="31">
        <f t="shared" si="23"/>
        <v>0</v>
      </c>
      <c r="V135" s="74"/>
      <c r="W135" s="31">
        <f t="shared" si="15"/>
        <v>0</v>
      </c>
      <c r="X135" s="31">
        <f t="shared" si="24"/>
        <v>30135.000000000004</v>
      </c>
      <c r="Y135" s="46">
        <f t="shared" si="19"/>
        <v>1536885</v>
      </c>
      <c r="Z135" s="11" t="str">
        <f t="shared" si="20"/>
        <v>125</v>
      </c>
      <c r="AA135" s="288" t="s">
        <v>803</v>
      </c>
      <c r="AB135" s="165" t="s">
        <v>411</v>
      </c>
      <c r="AC135" s="155"/>
    </row>
    <row r="136" spans="1:31" s="108" customFormat="1" ht="22.5" customHeight="1">
      <c r="A136" s="30" t="s">
        <v>614</v>
      </c>
      <c r="B136" s="33" t="s">
        <v>1010</v>
      </c>
      <c r="C136" s="34" t="s">
        <v>1011</v>
      </c>
      <c r="D136" s="34" t="s">
        <v>548</v>
      </c>
      <c r="E136" s="62" t="s">
        <v>134</v>
      </c>
      <c r="F136" s="75" t="s">
        <v>1336</v>
      </c>
      <c r="G136" s="10">
        <v>5.0199999999999996</v>
      </c>
      <c r="H136" s="157"/>
      <c r="I136" s="81">
        <f t="shared" si="13"/>
        <v>5.0199999999999996</v>
      </c>
      <c r="J136" s="81">
        <v>0.45</v>
      </c>
      <c r="K136" s="82">
        <f t="shared" si="21"/>
        <v>5.47</v>
      </c>
      <c r="L136" s="31">
        <f t="shared" si="14"/>
        <v>5743500</v>
      </c>
      <c r="M136" s="184" t="s">
        <v>858</v>
      </c>
      <c r="N136" s="31">
        <f t="shared" si="22"/>
        <v>2871750</v>
      </c>
      <c r="O136" s="31">
        <f t="shared" si="16"/>
        <v>1050000</v>
      </c>
      <c r="P136" s="10">
        <v>26</v>
      </c>
      <c r="Q136" s="62">
        <v>26</v>
      </c>
      <c r="R136" s="158">
        <f t="shared" si="17"/>
        <v>2871750</v>
      </c>
      <c r="S136" s="31">
        <f t="shared" si="18"/>
        <v>2871750</v>
      </c>
      <c r="T136" s="103"/>
      <c r="U136" s="31">
        <f t="shared" si="23"/>
        <v>0</v>
      </c>
      <c r="V136" s="74"/>
      <c r="W136" s="31">
        <f t="shared" si="15"/>
        <v>0</v>
      </c>
      <c r="X136" s="31">
        <f t="shared" si="24"/>
        <v>57435</v>
      </c>
      <c r="Y136" s="46">
        <f t="shared" si="19"/>
        <v>2929185</v>
      </c>
      <c r="Z136" s="11" t="str">
        <f t="shared" si="20"/>
        <v>126</v>
      </c>
      <c r="AA136" s="112"/>
      <c r="AB136" s="165" t="s">
        <v>812</v>
      </c>
      <c r="AC136" s="155"/>
    </row>
    <row r="137" spans="1:31" s="108" customFormat="1" ht="20.25" customHeight="1">
      <c r="A137" s="30" t="s">
        <v>615</v>
      </c>
      <c r="B137" s="33" t="s">
        <v>1012</v>
      </c>
      <c r="C137" s="34" t="s">
        <v>1013</v>
      </c>
      <c r="D137" s="34"/>
      <c r="E137" s="62" t="s">
        <v>135</v>
      </c>
      <c r="F137" s="75" t="s">
        <v>1337</v>
      </c>
      <c r="G137" s="10">
        <v>3.33</v>
      </c>
      <c r="H137" s="157"/>
      <c r="I137" s="81">
        <f t="shared" si="13"/>
        <v>3.33</v>
      </c>
      <c r="J137" s="81">
        <v>0.35</v>
      </c>
      <c r="K137" s="82">
        <f t="shared" si="21"/>
        <v>3.68</v>
      </c>
      <c r="L137" s="31">
        <f t="shared" si="14"/>
        <v>3864000</v>
      </c>
      <c r="M137" s="184" t="s">
        <v>858</v>
      </c>
      <c r="N137" s="31">
        <f t="shared" si="22"/>
        <v>1932000</v>
      </c>
      <c r="O137" s="31">
        <f t="shared" si="16"/>
        <v>1050000</v>
      </c>
      <c r="P137" s="10">
        <v>26</v>
      </c>
      <c r="Q137" s="62">
        <v>26</v>
      </c>
      <c r="R137" s="158">
        <f t="shared" si="17"/>
        <v>1932000</v>
      </c>
      <c r="S137" s="31">
        <f t="shared" si="18"/>
        <v>1932000</v>
      </c>
      <c r="T137" s="103"/>
      <c r="U137" s="31">
        <f t="shared" si="23"/>
        <v>0</v>
      </c>
      <c r="V137" s="74"/>
      <c r="W137" s="31">
        <f t="shared" si="15"/>
        <v>0</v>
      </c>
      <c r="X137" s="31">
        <f t="shared" si="24"/>
        <v>38640</v>
      </c>
      <c r="Y137" s="46">
        <f t="shared" si="19"/>
        <v>1970640</v>
      </c>
      <c r="Z137" s="11" t="str">
        <f t="shared" si="20"/>
        <v>127</v>
      </c>
      <c r="AA137" s="126"/>
      <c r="AB137" s="165" t="s">
        <v>813</v>
      </c>
      <c r="AC137" s="155"/>
    </row>
    <row r="138" spans="1:31" s="108" customFormat="1" ht="21.75" customHeight="1">
      <c r="A138" s="30" t="s">
        <v>616</v>
      </c>
      <c r="B138" s="33" t="s">
        <v>1014</v>
      </c>
      <c r="C138" s="34" t="s">
        <v>874</v>
      </c>
      <c r="D138" s="34"/>
      <c r="E138" s="62" t="s">
        <v>136</v>
      </c>
      <c r="F138" s="75" t="s">
        <v>1338</v>
      </c>
      <c r="G138" s="10">
        <v>3</v>
      </c>
      <c r="H138" s="157"/>
      <c r="I138" s="81">
        <f t="shared" si="13"/>
        <v>3</v>
      </c>
      <c r="J138" s="81">
        <v>0.25</v>
      </c>
      <c r="K138" s="82">
        <f t="shared" si="21"/>
        <v>3.25</v>
      </c>
      <c r="L138" s="31">
        <f t="shared" si="14"/>
        <v>3412500</v>
      </c>
      <c r="M138" s="184" t="s">
        <v>858</v>
      </c>
      <c r="N138" s="31">
        <f t="shared" si="22"/>
        <v>1706250</v>
      </c>
      <c r="O138" s="31">
        <f t="shared" si="16"/>
        <v>1050000</v>
      </c>
      <c r="P138" s="10">
        <v>26</v>
      </c>
      <c r="Q138" s="62">
        <v>26</v>
      </c>
      <c r="R138" s="158">
        <f t="shared" si="17"/>
        <v>1706250</v>
      </c>
      <c r="S138" s="31">
        <f t="shared" si="18"/>
        <v>1706250</v>
      </c>
      <c r="T138" s="103"/>
      <c r="U138" s="31">
        <f t="shared" si="23"/>
        <v>0</v>
      </c>
      <c r="V138" s="74"/>
      <c r="W138" s="31">
        <f t="shared" si="15"/>
        <v>0</v>
      </c>
      <c r="X138" s="31">
        <f t="shared" si="24"/>
        <v>34125</v>
      </c>
      <c r="Y138" s="46">
        <f t="shared" si="19"/>
        <v>1740375</v>
      </c>
      <c r="Z138" s="11" t="str">
        <f t="shared" si="20"/>
        <v>128</v>
      </c>
      <c r="AA138" s="126"/>
      <c r="AB138" s="165" t="s">
        <v>814</v>
      </c>
      <c r="AC138" s="155"/>
    </row>
    <row r="139" spans="1:31" s="108" customFormat="1" ht="22.5" customHeight="1">
      <c r="A139" s="30" t="s">
        <v>617</v>
      </c>
      <c r="B139" s="33" t="s">
        <v>1015</v>
      </c>
      <c r="C139" s="34" t="s">
        <v>920</v>
      </c>
      <c r="D139" s="34"/>
      <c r="E139" s="62" t="s">
        <v>137</v>
      </c>
      <c r="F139" s="75" t="s">
        <v>1339</v>
      </c>
      <c r="G139" s="10">
        <v>3</v>
      </c>
      <c r="H139" s="157"/>
      <c r="I139" s="81">
        <f t="shared" ref="I139:I202" si="25">G139+(G139*H139)</f>
        <v>3</v>
      </c>
      <c r="J139" s="81">
        <v>0</v>
      </c>
      <c r="K139" s="82">
        <f t="shared" si="21"/>
        <v>3</v>
      </c>
      <c r="L139" s="31">
        <f t="shared" ref="L139:L202" si="26">K139*$H$7</f>
        <v>3150000</v>
      </c>
      <c r="M139" s="184" t="s">
        <v>858</v>
      </c>
      <c r="N139" s="31">
        <f t="shared" si="22"/>
        <v>1575000</v>
      </c>
      <c r="O139" s="31">
        <f t="shared" si="16"/>
        <v>1050000</v>
      </c>
      <c r="P139" s="10">
        <v>26</v>
      </c>
      <c r="Q139" s="62">
        <v>26</v>
      </c>
      <c r="R139" s="158">
        <f t="shared" si="17"/>
        <v>1575000</v>
      </c>
      <c r="S139" s="31">
        <f t="shared" si="18"/>
        <v>1575000</v>
      </c>
      <c r="T139" s="103"/>
      <c r="U139" s="31">
        <f t="shared" si="23"/>
        <v>0</v>
      </c>
      <c r="V139" s="74"/>
      <c r="W139" s="31">
        <f t="shared" ref="W139:W202" si="27">V139*$H$7*0.5</f>
        <v>0</v>
      </c>
      <c r="X139" s="31">
        <f t="shared" si="24"/>
        <v>31500</v>
      </c>
      <c r="Y139" s="46">
        <f t="shared" si="19"/>
        <v>1606500</v>
      </c>
      <c r="Z139" s="11" t="str">
        <f t="shared" si="20"/>
        <v>129</v>
      </c>
      <c r="AA139" s="126"/>
      <c r="AB139" s="165" t="s">
        <v>815</v>
      </c>
      <c r="AC139" s="155"/>
    </row>
    <row r="140" spans="1:31" s="108" customFormat="1" ht="32.25" customHeight="1">
      <c r="A140" s="30" t="s">
        <v>618</v>
      </c>
      <c r="B140" s="33" t="s">
        <v>1101</v>
      </c>
      <c r="C140" s="34" t="s">
        <v>1016</v>
      </c>
      <c r="D140" s="34"/>
      <c r="E140" s="62" t="s">
        <v>138</v>
      </c>
      <c r="F140" s="75" t="s">
        <v>1340</v>
      </c>
      <c r="G140" s="10">
        <v>3</v>
      </c>
      <c r="H140" s="157"/>
      <c r="I140" s="81">
        <f t="shared" si="25"/>
        <v>3</v>
      </c>
      <c r="J140" s="81">
        <v>0</v>
      </c>
      <c r="K140" s="82">
        <f t="shared" si="21"/>
        <v>3</v>
      </c>
      <c r="L140" s="31">
        <f t="shared" si="26"/>
        <v>3150000</v>
      </c>
      <c r="M140" s="184" t="s">
        <v>858</v>
      </c>
      <c r="N140" s="31">
        <f t="shared" si="22"/>
        <v>1575000</v>
      </c>
      <c r="O140" s="31">
        <f t="shared" ref="O140:O203" si="28">IF(M140="A",1050000,IF(M140="B",735000,IF(M140="C",514500,0)))</f>
        <v>1050000</v>
      </c>
      <c r="P140" s="10">
        <v>26</v>
      </c>
      <c r="Q140" s="62">
        <v>26</v>
      </c>
      <c r="R140" s="158">
        <f t="shared" si="17"/>
        <v>1575000</v>
      </c>
      <c r="S140" s="31">
        <f t="shared" ref="S140:S203" si="29">IF(Q140&gt;=P140,R140,R140/P140*Q140)</f>
        <v>1575000</v>
      </c>
      <c r="T140" s="103"/>
      <c r="U140" s="31">
        <f t="shared" si="23"/>
        <v>0</v>
      </c>
      <c r="V140" s="74"/>
      <c r="W140" s="31">
        <f t="shared" si="27"/>
        <v>0</v>
      </c>
      <c r="X140" s="31">
        <f t="shared" si="24"/>
        <v>31500</v>
      </c>
      <c r="Y140" s="46">
        <f t="shared" si="19"/>
        <v>1606500</v>
      </c>
      <c r="Z140" s="11" t="str">
        <f t="shared" ref="Z140:Z204" si="30">A140</f>
        <v>130</v>
      </c>
      <c r="AA140" s="126"/>
      <c r="AB140" s="165" t="s">
        <v>816</v>
      </c>
      <c r="AC140" s="155"/>
    </row>
    <row r="141" spans="1:31" s="108" customFormat="1" ht="23.25" customHeight="1">
      <c r="A141" s="30" t="s">
        <v>619</v>
      </c>
      <c r="B141" s="33" t="s">
        <v>1017</v>
      </c>
      <c r="C141" s="34" t="s">
        <v>947</v>
      </c>
      <c r="D141" s="34"/>
      <c r="E141" s="62" t="s">
        <v>139</v>
      </c>
      <c r="F141" s="75" t="s">
        <v>1341</v>
      </c>
      <c r="G141" s="10">
        <v>2.67</v>
      </c>
      <c r="H141" s="157"/>
      <c r="I141" s="81">
        <f t="shared" si="25"/>
        <v>2.67</v>
      </c>
      <c r="J141" s="81">
        <v>0</v>
      </c>
      <c r="K141" s="82">
        <f t="shared" ref="K141:K203" si="31">I141+J141</f>
        <v>2.67</v>
      </c>
      <c r="L141" s="31">
        <f t="shared" si="26"/>
        <v>2803500</v>
      </c>
      <c r="M141" s="184" t="s">
        <v>858</v>
      </c>
      <c r="N141" s="31">
        <f t="shared" ref="N141:N204" si="32">IF(M141="A",L141*0.5,IF(M141="B",L141*0.5*0.75,IF(M141="C",L141*0.5*0.75*0.75,0)))</f>
        <v>1401750</v>
      </c>
      <c r="O141" s="31">
        <f t="shared" si="28"/>
        <v>1050000</v>
      </c>
      <c r="P141" s="10">
        <v>26</v>
      </c>
      <c r="Q141" s="62">
        <v>26</v>
      </c>
      <c r="R141" s="158">
        <f t="shared" si="17"/>
        <v>1401750</v>
      </c>
      <c r="S141" s="31">
        <f t="shared" si="29"/>
        <v>1401750</v>
      </c>
      <c r="T141" s="103"/>
      <c r="U141" s="31">
        <f t="shared" ref="U141:U204" si="33">T141*$H$7*0.5</f>
        <v>0</v>
      </c>
      <c r="V141" s="74"/>
      <c r="W141" s="31">
        <f t="shared" si="27"/>
        <v>0</v>
      </c>
      <c r="X141" s="31">
        <f t="shared" si="24"/>
        <v>28035</v>
      </c>
      <c r="Y141" s="46">
        <f t="shared" si="19"/>
        <v>1429785</v>
      </c>
      <c r="Z141" s="11" t="str">
        <f t="shared" si="30"/>
        <v>131</v>
      </c>
      <c r="AA141" s="126"/>
      <c r="AB141" s="165" t="s">
        <v>817</v>
      </c>
      <c r="AC141" s="155"/>
    </row>
    <row r="142" spans="1:31" s="108" customFormat="1" ht="20.25" customHeight="1">
      <c r="A142" s="30" t="s">
        <v>620</v>
      </c>
      <c r="B142" s="33" t="s">
        <v>1018</v>
      </c>
      <c r="C142" s="34" t="s">
        <v>1019</v>
      </c>
      <c r="D142" s="34"/>
      <c r="E142" s="62" t="s">
        <v>140</v>
      </c>
      <c r="F142" s="75" t="s">
        <v>1342</v>
      </c>
      <c r="G142" s="10">
        <v>2.67</v>
      </c>
      <c r="H142" s="157"/>
      <c r="I142" s="81">
        <f t="shared" si="25"/>
        <v>2.67</v>
      </c>
      <c r="J142" s="81">
        <v>0.25</v>
      </c>
      <c r="K142" s="82">
        <f t="shared" si="31"/>
        <v>2.92</v>
      </c>
      <c r="L142" s="31">
        <f t="shared" si="26"/>
        <v>3066000</v>
      </c>
      <c r="M142" s="184" t="s">
        <v>858</v>
      </c>
      <c r="N142" s="31">
        <f t="shared" si="32"/>
        <v>1533000</v>
      </c>
      <c r="O142" s="31">
        <f t="shared" si="28"/>
        <v>1050000</v>
      </c>
      <c r="P142" s="10">
        <v>26</v>
      </c>
      <c r="Q142" s="62">
        <v>26</v>
      </c>
      <c r="R142" s="158">
        <f t="shared" si="17"/>
        <v>1533000</v>
      </c>
      <c r="S142" s="31">
        <f t="shared" si="29"/>
        <v>1533000</v>
      </c>
      <c r="T142" s="103"/>
      <c r="U142" s="31">
        <f t="shared" si="33"/>
        <v>0</v>
      </c>
      <c r="V142" s="74"/>
      <c r="W142" s="31">
        <f t="shared" si="27"/>
        <v>0</v>
      </c>
      <c r="X142" s="31">
        <f t="shared" si="24"/>
        <v>30660</v>
      </c>
      <c r="Y142" s="46">
        <f t="shared" si="19"/>
        <v>1563660</v>
      </c>
      <c r="Z142" s="11" t="str">
        <f t="shared" si="30"/>
        <v>132</v>
      </c>
      <c r="AA142" s="126"/>
      <c r="AB142" s="165" t="s">
        <v>818</v>
      </c>
      <c r="AC142" s="155"/>
    </row>
    <row r="143" spans="1:31" s="108" customFormat="1" ht="19.5" customHeight="1">
      <c r="A143" s="30" t="s">
        <v>621</v>
      </c>
      <c r="B143" s="33" t="s">
        <v>1022</v>
      </c>
      <c r="C143" s="34" t="s">
        <v>1023</v>
      </c>
      <c r="D143" s="34"/>
      <c r="E143" s="62" t="s">
        <v>142</v>
      </c>
      <c r="F143" s="75" t="s">
        <v>1344</v>
      </c>
      <c r="G143" s="10">
        <v>2.67</v>
      </c>
      <c r="H143" s="157"/>
      <c r="I143" s="81">
        <f t="shared" si="25"/>
        <v>2.67</v>
      </c>
      <c r="J143" s="81">
        <v>0.25</v>
      </c>
      <c r="K143" s="82">
        <f t="shared" si="31"/>
        <v>2.92</v>
      </c>
      <c r="L143" s="31">
        <f t="shared" si="26"/>
        <v>3066000</v>
      </c>
      <c r="M143" s="184" t="s">
        <v>858</v>
      </c>
      <c r="N143" s="31">
        <f t="shared" si="32"/>
        <v>1533000</v>
      </c>
      <c r="O143" s="31">
        <f t="shared" si="28"/>
        <v>1050000</v>
      </c>
      <c r="P143" s="10">
        <v>26</v>
      </c>
      <c r="Q143" s="62">
        <v>26</v>
      </c>
      <c r="R143" s="158">
        <f t="shared" ref="R143:R211" si="34">IF(N143&gt;O143,N143,O143)</f>
        <v>1533000</v>
      </c>
      <c r="S143" s="31">
        <f t="shared" si="29"/>
        <v>1533000</v>
      </c>
      <c r="T143" s="103"/>
      <c r="U143" s="31">
        <f t="shared" si="33"/>
        <v>0</v>
      </c>
      <c r="V143" s="74"/>
      <c r="W143" s="31">
        <f t="shared" si="27"/>
        <v>0</v>
      </c>
      <c r="X143" s="31">
        <f t="shared" si="24"/>
        <v>30660</v>
      </c>
      <c r="Y143" s="46">
        <f t="shared" ref="Y143:Y212" si="35">(S143+U143+W143+X143)</f>
        <v>1563660</v>
      </c>
      <c r="Z143" s="11" t="str">
        <f t="shared" si="30"/>
        <v>133</v>
      </c>
      <c r="AA143" s="126"/>
      <c r="AB143" s="165" t="s">
        <v>819</v>
      </c>
      <c r="AC143" s="155"/>
    </row>
    <row r="144" spans="1:31" s="108" customFormat="1" ht="19.5" customHeight="1">
      <c r="A144" s="30" t="s">
        <v>622</v>
      </c>
      <c r="B144" s="33" t="s">
        <v>1228</v>
      </c>
      <c r="C144" s="34" t="s">
        <v>891</v>
      </c>
      <c r="D144" s="34"/>
      <c r="E144" s="62" t="s">
        <v>145</v>
      </c>
      <c r="F144" s="75" t="s">
        <v>1347</v>
      </c>
      <c r="G144" s="10">
        <v>2.67</v>
      </c>
      <c r="H144" s="157"/>
      <c r="I144" s="81">
        <f t="shared" si="25"/>
        <v>2.67</v>
      </c>
      <c r="J144" s="81"/>
      <c r="K144" s="82">
        <f t="shared" si="31"/>
        <v>2.67</v>
      </c>
      <c r="L144" s="31">
        <f t="shared" si="26"/>
        <v>2803500</v>
      </c>
      <c r="M144" s="184" t="s">
        <v>858</v>
      </c>
      <c r="N144" s="31">
        <f t="shared" si="32"/>
        <v>1401750</v>
      </c>
      <c r="O144" s="31">
        <f t="shared" si="28"/>
        <v>1050000</v>
      </c>
      <c r="P144" s="10">
        <v>26</v>
      </c>
      <c r="Q144" s="62">
        <v>26</v>
      </c>
      <c r="R144" s="158">
        <f t="shared" si="34"/>
        <v>1401750</v>
      </c>
      <c r="S144" s="31">
        <f t="shared" si="29"/>
        <v>1401750</v>
      </c>
      <c r="T144" s="103"/>
      <c r="U144" s="31">
        <f t="shared" si="33"/>
        <v>0</v>
      </c>
      <c r="V144" s="74"/>
      <c r="W144" s="31">
        <f t="shared" si="27"/>
        <v>0</v>
      </c>
      <c r="X144" s="31">
        <f t="shared" si="24"/>
        <v>28035</v>
      </c>
      <c r="Y144" s="46">
        <f t="shared" si="35"/>
        <v>1429785</v>
      </c>
      <c r="Z144" s="11" t="str">
        <f t="shared" si="30"/>
        <v>134</v>
      </c>
      <c r="AA144" s="112"/>
      <c r="AB144" s="165" t="s">
        <v>820</v>
      </c>
      <c r="AC144" s="155"/>
    </row>
    <row r="145" spans="1:29" s="108" customFormat="1" ht="20.25" customHeight="1">
      <c r="A145" s="30" t="s">
        <v>623</v>
      </c>
      <c r="B145" s="33" t="s">
        <v>1229</v>
      </c>
      <c r="C145" s="34" t="s">
        <v>1208</v>
      </c>
      <c r="D145" s="34"/>
      <c r="E145" s="62" t="s">
        <v>146</v>
      </c>
      <c r="F145" s="75" t="s">
        <v>1348</v>
      </c>
      <c r="G145" s="10">
        <v>2.67</v>
      </c>
      <c r="H145" s="157"/>
      <c r="I145" s="81">
        <f t="shared" si="25"/>
        <v>2.67</v>
      </c>
      <c r="J145" s="81"/>
      <c r="K145" s="82">
        <f t="shared" si="31"/>
        <v>2.67</v>
      </c>
      <c r="L145" s="31">
        <f t="shared" si="26"/>
        <v>2803500</v>
      </c>
      <c r="M145" s="184" t="s">
        <v>858</v>
      </c>
      <c r="N145" s="31">
        <f t="shared" si="32"/>
        <v>1401750</v>
      </c>
      <c r="O145" s="31">
        <f t="shared" si="28"/>
        <v>1050000</v>
      </c>
      <c r="P145" s="10">
        <v>26</v>
      </c>
      <c r="Q145" s="290">
        <v>25.5</v>
      </c>
      <c r="R145" s="158">
        <f t="shared" si="34"/>
        <v>1401750</v>
      </c>
      <c r="S145" s="31">
        <f t="shared" si="29"/>
        <v>1374793.2692307692</v>
      </c>
      <c r="T145" s="103"/>
      <c r="U145" s="31">
        <f t="shared" si="33"/>
        <v>0</v>
      </c>
      <c r="V145" s="74"/>
      <c r="W145" s="31">
        <f t="shared" si="27"/>
        <v>0</v>
      </c>
      <c r="X145" s="31">
        <f t="shared" si="24"/>
        <v>28035</v>
      </c>
      <c r="Y145" s="46">
        <f t="shared" si="35"/>
        <v>1402828.2692307692</v>
      </c>
      <c r="Z145" s="11" t="str">
        <f t="shared" si="30"/>
        <v>135</v>
      </c>
      <c r="AA145" s="126"/>
      <c r="AB145" s="165" t="s">
        <v>1119</v>
      </c>
      <c r="AC145" s="340" t="s">
        <v>831</v>
      </c>
    </row>
    <row r="146" spans="1:29" s="108" customFormat="1" ht="20.25" customHeight="1">
      <c r="A146" s="30" t="s">
        <v>624</v>
      </c>
      <c r="B146" s="33" t="s">
        <v>890</v>
      </c>
      <c r="C146" s="34" t="s">
        <v>867</v>
      </c>
      <c r="D146" s="34"/>
      <c r="E146" s="62" t="s">
        <v>147</v>
      </c>
      <c r="F146" s="75" t="s">
        <v>1349</v>
      </c>
      <c r="G146" s="10">
        <v>2.67</v>
      </c>
      <c r="H146" s="157"/>
      <c r="I146" s="81">
        <f t="shared" si="25"/>
        <v>2.67</v>
      </c>
      <c r="J146" s="81">
        <v>0.25</v>
      </c>
      <c r="K146" s="82">
        <f t="shared" si="31"/>
        <v>2.92</v>
      </c>
      <c r="L146" s="31">
        <f t="shared" si="26"/>
        <v>3066000</v>
      </c>
      <c r="M146" s="184" t="s">
        <v>858</v>
      </c>
      <c r="N146" s="31">
        <f t="shared" si="32"/>
        <v>1533000</v>
      </c>
      <c r="O146" s="31">
        <f t="shared" si="28"/>
        <v>1050000</v>
      </c>
      <c r="P146" s="10">
        <v>26</v>
      </c>
      <c r="Q146" s="62">
        <v>26</v>
      </c>
      <c r="R146" s="158">
        <f t="shared" si="34"/>
        <v>1533000</v>
      </c>
      <c r="S146" s="31">
        <f t="shared" si="29"/>
        <v>1533000</v>
      </c>
      <c r="T146" s="103"/>
      <c r="U146" s="31">
        <f t="shared" si="33"/>
        <v>0</v>
      </c>
      <c r="V146" s="74"/>
      <c r="W146" s="31">
        <f t="shared" si="27"/>
        <v>0</v>
      </c>
      <c r="X146" s="31">
        <f t="shared" si="24"/>
        <v>30660</v>
      </c>
      <c r="Y146" s="46">
        <f t="shared" si="35"/>
        <v>1563660</v>
      </c>
      <c r="Z146" s="11" t="str">
        <f t="shared" si="30"/>
        <v>136</v>
      </c>
      <c r="AA146" s="112"/>
      <c r="AB146" s="165" t="s">
        <v>1120</v>
      </c>
      <c r="AC146" s="155"/>
    </row>
    <row r="147" spans="1:29" s="108" customFormat="1" ht="21.75" customHeight="1">
      <c r="A147" s="30" t="s">
        <v>625</v>
      </c>
      <c r="B147" s="33" t="s">
        <v>1230</v>
      </c>
      <c r="C147" s="34" t="s">
        <v>1209</v>
      </c>
      <c r="D147" s="34"/>
      <c r="E147" s="62" t="s">
        <v>148</v>
      </c>
      <c r="F147" s="75" t="s">
        <v>1350</v>
      </c>
      <c r="G147" s="10">
        <v>2.67</v>
      </c>
      <c r="H147" s="157"/>
      <c r="I147" s="81">
        <f t="shared" si="25"/>
        <v>2.67</v>
      </c>
      <c r="J147" s="81"/>
      <c r="K147" s="82">
        <f t="shared" si="31"/>
        <v>2.67</v>
      </c>
      <c r="L147" s="31">
        <f t="shared" si="26"/>
        <v>2803500</v>
      </c>
      <c r="M147" s="184" t="s">
        <v>858</v>
      </c>
      <c r="N147" s="31">
        <f t="shared" si="32"/>
        <v>1401750</v>
      </c>
      <c r="O147" s="31">
        <f t="shared" si="28"/>
        <v>1050000</v>
      </c>
      <c r="P147" s="10">
        <v>26</v>
      </c>
      <c r="Q147" s="62">
        <v>26</v>
      </c>
      <c r="R147" s="158">
        <f t="shared" si="34"/>
        <v>1401750</v>
      </c>
      <c r="S147" s="31">
        <f t="shared" si="29"/>
        <v>1401750</v>
      </c>
      <c r="T147" s="103"/>
      <c r="U147" s="31">
        <f t="shared" si="33"/>
        <v>0</v>
      </c>
      <c r="V147" s="74"/>
      <c r="W147" s="31">
        <f t="shared" si="27"/>
        <v>0</v>
      </c>
      <c r="X147" s="31">
        <f t="shared" si="24"/>
        <v>28035</v>
      </c>
      <c r="Y147" s="46">
        <f t="shared" si="35"/>
        <v>1429785</v>
      </c>
      <c r="Z147" s="11" t="str">
        <f t="shared" si="30"/>
        <v>137</v>
      </c>
      <c r="AA147" s="126"/>
      <c r="AB147" s="165" t="s">
        <v>1121</v>
      </c>
      <c r="AC147" s="155"/>
    </row>
    <row r="148" spans="1:29" s="108" customFormat="1" ht="21" customHeight="1">
      <c r="A148" s="30" t="s">
        <v>626</v>
      </c>
      <c r="B148" s="33" t="s">
        <v>977</v>
      </c>
      <c r="C148" s="34" t="s">
        <v>884</v>
      </c>
      <c r="D148" s="34"/>
      <c r="E148" s="62" t="s">
        <v>149</v>
      </c>
      <c r="F148" s="75" t="s">
        <v>1351</v>
      </c>
      <c r="G148" s="10">
        <v>2.67</v>
      </c>
      <c r="H148" s="157"/>
      <c r="I148" s="81">
        <f t="shared" si="25"/>
        <v>2.67</v>
      </c>
      <c r="J148" s="81"/>
      <c r="K148" s="82">
        <f t="shared" si="31"/>
        <v>2.67</v>
      </c>
      <c r="L148" s="31">
        <f t="shared" si="26"/>
        <v>2803500</v>
      </c>
      <c r="M148" s="184" t="s">
        <v>858</v>
      </c>
      <c r="N148" s="31">
        <f t="shared" si="32"/>
        <v>1401750</v>
      </c>
      <c r="O148" s="31">
        <f t="shared" si="28"/>
        <v>1050000</v>
      </c>
      <c r="P148" s="10">
        <v>26</v>
      </c>
      <c r="Q148" s="62">
        <v>26</v>
      </c>
      <c r="R148" s="158">
        <f t="shared" si="34"/>
        <v>1401750</v>
      </c>
      <c r="S148" s="31">
        <f t="shared" si="29"/>
        <v>1401750</v>
      </c>
      <c r="T148" s="103"/>
      <c r="U148" s="31">
        <f t="shared" si="33"/>
        <v>0</v>
      </c>
      <c r="V148" s="74"/>
      <c r="W148" s="31">
        <f t="shared" si="27"/>
        <v>0</v>
      </c>
      <c r="X148" s="31">
        <f t="shared" si="24"/>
        <v>28035</v>
      </c>
      <c r="Y148" s="46">
        <f t="shared" si="35"/>
        <v>1429785</v>
      </c>
      <c r="Z148" s="11" t="str">
        <f t="shared" si="30"/>
        <v>138</v>
      </c>
      <c r="AA148" s="112"/>
      <c r="AB148" s="165" t="s">
        <v>1122</v>
      </c>
      <c r="AC148" s="155"/>
    </row>
    <row r="149" spans="1:29" s="108" customFormat="1" ht="25.5" customHeight="1">
      <c r="A149" s="30" t="s">
        <v>627</v>
      </c>
      <c r="B149" s="33" t="s">
        <v>1250</v>
      </c>
      <c r="C149" s="34" t="s">
        <v>1210</v>
      </c>
      <c r="D149" s="34"/>
      <c r="E149" s="62" t="s">
        <v>150</v>
      </c>
      <c r="F149" s="75" t="s">
        <v>1352</v>
      </c>
      <c r="G149" s="10">
        <v>3</v>
      </c>
      <c r="H149" s="157"/>
      <c r="I149" s="81">
        <f t="shared" si="25"/>
        <v>3</v>
      </c>
      <c r="J149" s="81"/>
      <c r="K149" s="82">
        <f t="shared" si="31"/>
        <v>3</v>
      </c>
      <c r="L149" s="31">
        <f t="shared" si="26"/>
        <v>3150000</v>
      </c>
      <c r="M149" s="184" t="s">
        <v>858</v>
      </c>
      <c r="N149" s="31">
        <f t="shared" si="32"/>
        <v>1575000</v>
      </c>
      <c r="O149" s="31">
        <f t="shared" si="28"/>
        <v>1050000</v>
      </c>
      <c r="P149" s="10">
        <v>26</v>
      </c>
      <c r="Q149" s="62">
        <v>26</v>
      </c>
      <c r="R149" s="158">
        <f t="shared" si="34"/>
        <v>1575000</v>
      </c>
      <c r="S149" s="31">
        <f t="shared" si="29"/>
        <v>1575000</v>
      </c>
      <c r="T149" s="103"/>
      <c r="U149" s="31">
        <f t="shared" si="33"/>
        <v>0</v>
      </c>
      <c r="V149" s="74"/>
      <c r="W149" s="31">
        <f t="shared" si="27"/>
        <v>0</v>
      </c>
      <c r="X149" s="31">
        <f t="shared" si="24"/>
        <v>31500</v>
      </c>
      <c r="Y149" s="46">
        <f t="shared" si="35"/>
        <v>1606500</v>
      </c>
      <c r="Z149" s="11" t="str">
        <f t="shared" si="30"/>
        <v>139</v>
      </c>
      <c r="AA149" s="126"/>
      <c r="AB149" s="165" t="s">
        <v>1123</v>
      </c>
      <c r="AC149" s="155"/>
    </row>
    <row r="150" spans="1:29" s="108" customFormat="1" ht="19.5" customHeight="1">
      <c r="A150" s="30" t="s">
        <v>628</v>
      </c>
      <c r="B150" s="33" t="s">
        <v>1231</v>
      </c>
      <c r="C150" s="34" t="s">
        <v>1211</v>
      </c>
      <c r="D150" s="34"/>
      <c r="E150" s="62" t="s">
        <v>151</v>
      </c>
      <c r="F150" s="75" t="s">
        <v>1353</v>
      </c>
      <c r="G150" s="10">
        <v>2.67</v>
      </c>
      <c r="H150" s="157"/>
      <c r="I150" s="81">
        <f t="shared" si="25"/>
        <v>2.67</v>
      </c>
      <c r="J150" s="81"/>
      <c r="K150" s="82">
        <f t="shared" si="31"/>
        <v>2.67</v>
      </c>
      <c r="L150" s="31">
        <f t="shared" si="26"/>
        <v>2803500</v>
      </c>
      <c r="M150" s="184" t="s">
        <v>858</v>
      </c>
      <c r="N150" s="31">
        <f t="shared" si="32"/>
        <v>1401750</v>
      </c>
      <c r="O150" s="31">
        <f t="shared" si="28"/>
        <v>1050000</v>
      </c>
      <c r="P150" s="10">
        <v>26</v>
      </c>
      <c r="Q150" s="62">
        <v>26</v>
      </c>
      <c r="R150" s="158">
        <f t="shared" si="34"/>
        <v>1401750</v>
      </c>
      <c r="S150" s="31">
        <f t="shared" si="29"/>
        <v>1401750</v>
      </c>
      <c r="T150" s="103"/>
      <c r="U150" s="31">
        <f t="shared" si="33"/>
        <v>0</v>
      </c>
      <c r="V150" s="74"/>
      <c r="W150" s="31">
        <f t="shared" si="27"/>
        <v>0</v>
      </c>
      <c r="X150" s="31">
        <f t="shared" si="24"/>
        <v>28035</v>
      </c>
      <c r="Y150" s="46">
        <f t="shared" si="35"/>
        <v>1429785</v>
      </c>
      <c r="Z150" s="11" t="str">
        <f t="shared" si="30"/>
        <v>140</v>
      </c>
      <c r="AA150" s="112"/>
      <c r="AB150" s="165" t="s">
        <v>1124</v>
      </c>
      <c r="AC150" s="155"/>
    </row>
    <row r="151" spans="1:29" s="108" customFormat="1" ht="25.5" customHeight="1">
      <c r="A151" s="30" t="s">
        <v>629</v>
      </c>
      <c r="B151" s="33" t="s">
        <v>1232</v>
      </c>
      <c r="C151" s="34" t="s">
        <v>979</v>
      </c>
      <c r="D151" s="34"/>
      <c r="E151" s="62" t="s">
        <v>152</v>
      </c>
      <c r="F151" s="75" t="s">
        <v>1354</v>
      </c>
      <c r="G151" s="10">
        <v>2.67</v>
      </c>
      <c r="H151" s="157"/>
      <c r="I151" s="81">
        <f t="shared" si="25"/>
        <v>2.67</v>
      </c>
      <c r="J151" s="81"/>
      <c r="K151" s="82">
        <f t="shared" si="31"/>
        <v>2.67</v>
      </c>
      <c r="L151" s="31">
        <f t="shared" si="26"/>
        <v>2803500</v>
      </c>
      <c r="M151" s="184" t="s">
        <v>858</v>
      </c>
      <c r="N151" s="31">
        <f t="shared" si="32"/>
        <v>1401750</v>
      </c>
      <c r="O151" s="31">
        <f t="shared" si="28"/>
        <v>1050000</v>
      </c>
      <c r="P151" s="10">
        <v>26</v>
      </c>
      <c r="Q151" s="62">
        <v>26</v>
      </c>
      <c r="R151" s="158">
        <f t="shared" si="34"/>
        <v>1401750</v>
      </c>
      <c r="S151" s="31">
        <f t="shared" si="29"/>
        <v>1401750</v>
      </c>
      <c r="T151" s="103"/>
      <c r="U151" s="31">
        <f t="shared" si="33"/>
        <v>0</v>
      </c>
      <c r="V151" s="74"/>
      <c r="W151" s="31">
        <f t="shared" si="27"/>
        <v>0</v>
      </c>
      <c r="X151" s="31">
        <f t="shared" si="24"/>
        <v>28035</v>
      </c>
      <c r="Y151" s="46">
        <f t="shared" si="35"/>
        <v>1429785</v>
      </c>
      <c r="Z151" s="11" t="str">
        <f t="shared" si="30"/>
        <v>141</v>
      </c>
      <c r="AA151" s="112"/>
      <c r="AB151" s="165" t="s">
        <v>1125</v>
      </c>
      <c r="AC151" s="155"/>
    </row>
    <row r="152" spans="1:29" s="108" customFormat="1" ht="25.5" customHeight="1">
      <c r="A152" s="30" t="s">
        <v>630</v>
      </c>
      <c r="B152" s="33" t="s">
        <v>1045</v>
      </c>
      <c r="C152" s="34" t="s">
        <v>1212</v>
      </c>
      <c r="D152" s="34"/>
      <c r="E152" s="62" t="s">
        <v>153</v>
      </c>
      <c r="F152" s="75" t="s">
        <v>1355</v>
      </c>
      <c r="G152" s="10">
        <v>2.67</v>
      </c>
      <c r="H152" s="157"/>
      <c r="I152" s="81">
        <f t="shared" si="25"/>
        <v>2.67</v>
      </c>
      <c r="J152" s="81"/>
      <c r="K152" s="82">
        <f t="shared" si="31"/>
        <v>2.67</v>
      </c>
      <c r="L152" s="31">
        <f t="shared" si="26"/>
        <v>2803500</v>
      </c>
      <c r="M152" s="184" t="s">
        <v>858</v>
      </c>
      <c r="N152" s="31">
        <f t="shared" si="32"/>
        <v>1401750</v>
      </c>
      <c r="O152" s="31">
        <f t="shared" si="28"/>
        <v>1050000</v>
      </c>
      <c r="P152" s="10">
        <v>26</v>
      </c>
      <c r="Q152" s="62">
        <v>26</v>
      </c>
      <c r="R152" s="158">
        <f t="shared" si="34"/>
        <v>1401750</v>
      </c>
      <c r="S152" s="31">
        <f t="shared" si="29"/>
        <v>1401750</v>
      </c>
      <c r="T152" s="103"/>
      <c r="U152" s="31">
        <f t="shared" si="33"/>
        <v>0</v>
      </c>
      <c r="V152" s="74"/>
      <c r="W152" s="31">
        <f t="shared" si="27"/>
        <v>0</v>
      </c>
      <c r="X152" s="31">
        <f t="shared" si="24"/>
        <v>28035</v>
      </c>
      <c r="Y152" s="46">
        <f t="shared" si="35"/>
        <v>1429785</v>
      </c>
      <c r="Z152" s="11" t="str">
        <f t="shared" si="30"/>
        <v>142</v>
      </c>
      <c r="AA152" s="112"/>
      <c r="AB152" s="165" t="s">
        <v>1126</v>
      </c>
      <c r="AC152" s="155"/>
    </row>
    <row r="153" spans="1:29" s="108" customFormat="1" ht="26.25" customHeight="1">
      <c r="A153" s="30" t="s">
        <v>631</v>
      </c>
      <c r="B153" s="33" t="s">
        <v>1233</v>
      </c>
      <c r="C153" s="34" t="s">
        <v>1213</v>
      </c>
      <c r="D153" s="34"/>
      <c r="E153" s="62" t="s">
        <v>154</v>
      </c>
      <c r="F153" s="75" t="s">
        <v>1356</v>
      </c>
      <c r="G153" s="184">
        <v>2.67</v>
      </c>
      <c r="H153" s="157"/>
      <c r="I153" s="81">
        <f t="shared" si="25"/>
        <v>2.67</v>
      </c>
      <c r="J153" s="81"/>
      <c r="K153" s="82">
        <f t="shared" si="31"/>
        <v>2.67</v>
      </c>
      <c r="L153" s="31">
        <f t="shared" si="26"/>
        <v>2803500</v>
      </c>
      <c r="M153" s="184" t="s">
        <v>858</v>
      </c>
      <c r="N153" s="31">
        <f t="shared" si="32"/>
        <v>1401750</v>
      </c>
      <c r="O153" s="31">
        <f t="shared" si="28"/>
        <v>1050000</v>
      </c>
      <c r="P153" s="10">
        <v>26</v>
      </c>
      <c r="Q153" s="62">
        <v>26</v>
      </c>
      <c r="R153" s="158">
        <f t="shared" si="34"/>
        <v>1401750</v>
      </c>
      <c r="S153" s="31">
        <f t="shared" si="29"/>
        <v>1401750</v>
      </c>
      <c r="T153" s="103"/>
      <c r="U153" s="31">
        <f t="shared" si="33"/>
        <v>0</v>
      </c>
      <c r="V153" s="74"/>
      <c r="W153" s="31">
        <f t="shared" si="27"/>
        <v>0</v>
      </c>
      <c r="X153" s="31">
        <f t="shared" si="24"/>
        <v>28035</v>
      </c>
      <c r="Y153" s="46">
        <f t="shared" si="35"/>
        <v>1429785</v>
      </c>
      <c r="Z153" s="11" t="str">
        <f t="shared" si="30"/>
        <v>143</v>
      </c>
      <c r="AA153" s="112"/>
      <c r="AB153" s="165" t="s">
        <v>1127</v>
      </c>
      <c r="AC153" s="155"/>
    </row>
    <row r="154" spans="1:29" s="108" customFormat="1" ht="24" customHeight="1">
      <c r="A154" s="30" t="s">
        <v>632</v>
      </c>
      <c r="B154" s="33" t="s">
        <v>890</v>
      </c>
      <c r="C154" s="34" t="s">
        <v>282</v>
      </c>
      <c r="D154" s="34"/>
      <c r="E154" s="62" t="s">
        <v>330</v>
      </c>
      <c r="F154" s="75" t="s">
        <v>381</v>
      </c>
      <c r="G154" s="10">
        <v>2.34</v>
      </c>
      <c r="H154" s="157"/>
      <c r="I154" s="81">
        <f t="shared" si="25"/>
        <v>2.34</v>
      </c>
      <c r="J154" s="81"/>
      <c r="K154" s="82">
        <f t="shared" si="31"/>
        <v>2.34</v>
      </c>
      <c r="L154" s="31">
        <f t="shared" si="26"/>
        <v>2457000</v>
      </c>
      <c r="M154" s="184" t="s">
        <v>858</v>
      </c>
      <c r="N154" s="31">
        <f t="shared" si="32"/>
        <v>1228500</v>
      </c>
      <c r="O154" s="31">
        <f t="shared" si="28"/>
        <v>1050000</v>
      </c>
      <c r="P154" s="10">
        <v>26</v>
      </c>
      <c r="Q154" s="62">
        <v>26</v>
      </c>
      <c r="R154" s="158">
        <f t="shared" si="34"/>
        <v>1228500</v>
      </c>
      <c r="S154" s="31">
        <f t="shared" si="29"/>
        <v>1228500</v>
      </c>
      <c r="T154" s="103"/>
      <c r="U154" s="31">
        <f t="shared" si="33"/>
        <v>0</v>
      </c>
      <c r="V154" s="74"/>
      <c r="W154" s="31">
        <f t="shared" si="27"/>
        <v>0</v>
      </c>
      <c r="X154" s="31">
        <f t="shared" si="24"/>
        <v>24570</v>
      </c>
      <c r="Y154" s="46">
        <f t="shared" si="35"/>
        <v>1253070</v>
      </c>
      <c r="Z154" s="11" t="str">
        <f t="shared" si="30"/>
        <v>144</v>
      </c>
      <c r="AA154" s="112"/>
      <c r="AB154" s="165" t="s">
        <v>1131</v>
      </c>
      <c r="AC154" s="155"/>
    </row>
    <row r="155" spans="1:29" s="108" customFormat="1" ht="24.75" customHeight="1">
      <c r="A155" s="30" t="s">
        <v>633</v>
      </c>
      <c r="B155" s="33" t="s">
        <v>890</v>
      </c>
      <c r="C155" s="34" t="s">
        <v>451</v>
      </c>
      <c r="D155" s="34"/>
      <c r="E155" s="62" t="s">
        <v>453</v>
      </c>
      <c r="F155" s="75" t="s">
        <v>452</v>
      </c>
      <c r="G155" s="10">
        <f>2.34</f>
        <v>2.34</v>
      </c>
      <c r="H155" s="157"/>
      <c r="I155" s="81">
        <f t="shared" si="25"/>
        <v>2.34</v>
      </c>
      <c r="J155" s="81"/>
      <c r="K155" s="82">
        <f t="shared" si="31"/>
        <v>2.34</v>
      </c>
      <c r="L155" s="31">
        <f t="shared" si="26"/>
        <v>2457000</v>
      </c>
      <c r="M155" s="184" t="s">
        <v>858</v>
      </c>
      <c r="N155" s="31">
        <f t="shared" si="32"/>
        <v>1228500</v>
      </c>
      <c r="O155" s="31">
        <f t="shared" si="28"/>
        <v>1050000</v>
      </c>
      <c r="P155" s="10">
        <v>26</v>
      </c>
      <c r="Q155" s="62">
        <v>26</v>
      </c>
      <c r="R155" s="158">
        <f t="shared" si="34"/>
        <v>1228500</v>
      </c>
      <c r="S155" s="31">
        <f t="shared" si="29"/>
        <v>1228500</v>
      </c>
      <c r="T155" s="103"/>
      <c r="U155" s="31">
        <f t="shared" si="33"/>
        <v>0</v>
      </c>
      <c r="V155" s="74"/>
      <c r="W155" s="31">
        <f t="shared" si="27"/>
        <v>0</v>
      </c>
      <c r="X155" s="31">
        <f t="shared" si="24"/>
        <v>24570</v>
      </c>
      <c r="Y155" s="46">
        <f t="shared" si="35"/>
        <v>1253070</v>
      </c>
      <c r="Z155" s="11" t="str">
        <f t="shared" si="30"/>
        <v>145</v>
      </c>
      <c r="AA155" s="112"/>
      <c r="AB155" s="165" t="s">
        <v>1132</v>
      </c>
      <c r="AC155" s="155"/>
    </row>
    <row r="156" spans="1:29" s="108" customFormat="1" ht="21" customHeight="1">
      <c r="A156" s="30" t="s">
        <v>634</v>
      </c>
      <c r="B156" s="33" t="s">
        <v>941</v>
      </c>
      <c r="C156" s="149" t="s">
        <v>942</v>
      </c>
      <c r="D156" s="149"/>
      <c r="E156" s="62" t="s">
        <v>156</v>
      </c>
      <c r="F156" s="102" t="s">
        <v>1358</v>
      </c>
      <c r="G156" s="10">
        <v>3</v>
      </c>
      <c r="H156" s="157"/>
      <c r="I156" s="81">
        <f t="shared" si="25"/>
        <v>3</v>
      </c>
      <c r="J156" s="81">
        <v>0</v>
      </c>
      <c r="K156" s="82">
        <f t="shared" si="31"/>
        <v>3</v>
      </c>
      <c r="L156" s="31">
        <f t="shared" si="26"/>
        <v>3150000</v>
      </c>
      <c r="M156" s="184" t="s">
        <v>858</v>
      </c>
      <c r="N156" s="31">
        <f t="shared" si="32"/>
        <v>1575000</v>
      </c>
      <c r="O156" s="31">
        <f t="shared" si="28"/>
        <v>1050000</v>
      </c>
      <c r="P156" s="10">
        <v>21</v>
      </c>
      <c r="Q156" s="62">
        <v>15.5</v>
      </c>
      <c r="R156" s="158">
        <f t="shared" si="34"/>
        <v>1575000</v>
      </c>
      <c r="S156" s="31">
        <f t="shared" si="29"/>
        <v>1162500</v>
      </c>
      <c r="T156" s="103"/>
      <c r="U156" s="31">
        <f t="shared" si="33"/>
        <v>0</v>
      </c>
      <c r="V156" s="74"/>
      <c r="W156" s="31">
        <f t="shared" si="27"/>
        <v>0</v>
      </c>
      <c r="X156" s="31">
        <f t="shared" si="24"/>
        <v>31500</v>
      </c>
      <c r="Y156" s="46">
        <f t="shared" si="35"/>
        <v>1194000</v>
      </c>
      <c r="Z156" s="11" t="str">
        <f t="shared" si="30"/>
        <v>146</v>
      </c>
      <c r="AA156" s="112" t="s">
        <v>805</v>
      </c>
      <c r="AB156" s="165" t="s">
        <v>1133</v>
      </c>
      <c r="AC156" s="155"/>
    </row>
    <row r="157" spans="1:29" s="108" customFormat="1" ht="27" customHeight="1">
      <c r="A157" s="30" t="s">
        <v>635</v>
      </c>
      <c r="B157" s="33" t="s">
        <v>285</v>
      </c>
      <c r="C157" s="34" t="s">
        <v>283</v>
      </c>
      <c r="D157" s="149"/>
      <c r="E157" s="62" t="s">
        <v>332</v>
      </c>
      <c r="F157" s="102" t="s">
        <v>383</v>
      </c>
      <c r="G157" s="10">
        <v>2.34</v>
      </c>
      <c r="H157" s="157"/>
      <c r="I157" s="81">
        <f t="shared" si="25"/>
        <v>2.34</v>
      </c>
      <c r="J157" s="81"/>
      <c r="K157" s="82">
        <f t="shared" si="31"/>
        <v>2.34</v>
      </c>
      <c r="L157" s="31">
        <f t="shared" si="26"/>
        <v>2457000</v>
      </c>
      <c r="M157" s="184" t="s">
        <v>786</v>
      </c>
      <c r="N157" s="31">
        <f t="shared" si="32"/>
        <v>691031.25</v>
      </c>
      <c r="O157" s="31">
        <f t="shared" si="28"/>
        <v>514500</v>
      </c>
      <c r="P157" s="10">
        <v>26</v>
      </c>
      <c r="Q157" s="62">
        <v>26</v>
      </c>
      <c r="R157" s="158">
        <f t="shared" si="34"/>
        <v>691031.25</v>
      </c>
      <c r="S157" s="31">
        <f t="shared" si="29"/>
        <v>691031.25</v>
      </c>
      <c r="T157" s="103"/>
      <c r="U157" s="31">
        <f t="shared" si="33"/>
        <v>0</v>
      </c>
      <c r="V157" s="74"/>
      <c r="W157" s="31">
        <f t="shared" si="27"/>
        <v>0</v>
      </c>
      <c r="X157" s="31">
        <f t="shared" si="24"/>
        <v>24570</v>
      </c>
      <c r="Y157" s="46">
        <f t="shared" si="35"/>
        <v>715601.25</v>
      </c>
      <c r="Z157" s="11" t="str">
        <f t="shared" si="30"/>
        <v>147</v>
      </c>
      <c r="AA157" s="112" t="s">
        <v>823</v>
      </c>
      <c r="AB157" s="165" t="s">
        <v>1142</v>
      </c>
      <c r="AC157" s="155"/>
    </row>
    <row r="158" spans="1:29" s="108" customFormat="1" ht="24" customHeight="1">
      <c r="A158" s="30" t="s">
        <v>636</v>
      </c>
      <c r="B158" s="33" t="s">
        <v>1176</v>
      </c>
      <c r="C158" s="34" t="s">
        <v>1175</v>
      </c>
      <c r="D158" s="34"/>
      <c r="E158" s="62" t="s">
        <v>143</v>
      </c>
      <c r="F158" s="75" t="s">
        <v>1345</v>
      </c>
      <c r="G158" s="10">
        <v>2.67</v>
      </c>
      <c r="H158" s="157"/>
      <c r="I158" s="81">
        <f t="shared" si="25"/>
        <v>2.67</v>
      </c>
      <c r="J158" s="81"/>
      <c r="K158" s="82">
        <f t="shared" si="31"/>
        <v>2.67</v>
      </c>
      <c r="L158" s="31">
        <f t="shared" si="26"/>
        <v>2803500</v>
      </c>
      <c r="M158" s="184" t="s">
        <v>858</v>
      </c>
      <c r="N158" s="31">
        <f t="shared" si="32"/>
        <v>1401750</v>
      </c>
      <c r="O158" s="31">
        <f t="shared" si="28"/>
        <v>1050000</v>
      </c>
      <c r="P158" s="10">
        <v>26</v>
      </c>
      <c r="Q158" s="62">
        <v>26</v>
      </c>
      <c r="R158" s="158">
        <f t="shared" si="34"/>
        <v>1401750</v>
      </c>
      <c r="S158" s="31">
        <f t="shared" si="29"/>
        <v>1401750</v>
      </c>
      <c r="T158" s="103"/>
      <c r="U158" s="31">
        <f t="shared" si="33"/>
        <v>0</v>
      </c>
      <c r="V158" s="74"/>
      <c r="W158" s="31">
        <f t="shared" si="27"/>
        <v>0</v>
      </c>
      <c r="X158" s="31">
        <f t="shared" si="24"/>
        <v>28035</v>
      </c>
      <c r="Y158" s="46">
        <f t="shared" si="35"/>
        <v>1429785</v>
      </c>
      <c r="Z158" s="11" t="str">
        <f t="shared" si="30"/>
        <v>148</v>
      </c>
      <c r="AA158" s="126"/>
      <c r="AB158" s="165" t="s">
        <v>1143</v>
      </c>
      <c r="AC158" s="155"/>
    </row>
    <row r="159" spans="1:29" s="108" customFormat="1" ht="24" customHeight="1">
      <c r="A159" s="30" t="s">
        <v>637</v>
      </c>
      <c r="B159" s="33" t="s">
        <v>938</v>
      </c>
      <c r="C159" s="34" t="s">
        <v>731</v>
      </c>
      <c r="D159" s="34"/>
      <c r="E159" s="62" t="s">
        <v>732</v>
      </c>
      <c r="F159" s="194">
        <v>1603205286594</v>
      </c>
      <c r="G159" s="10">
        <f>2.34*85%</f>
        <v>1.9889999999999999</v>
      </c>
      <c r="H159" s="157"/>
      <c r="I159" s="81">
        <f t="shared" si="25"/>
        <v>1.9889999999999999</v>
      </c>
      <c r="J159" s="81"/>
      <c r="K159" s="82">
        <f t="shared" si="31"/>
        <v>1.9889999999999999</v>
      </c>
      <c r="L159" s="31">
        <f t="shared" si="26"/>
        <v>2088449.9999999998</v>
      </c>
      <c r="M159" s="184" t="s">
        <v>858</v>
      </c>
      <c r="N159" s="31">
        <f t="shared" si="32"/>
        <v>1044224.9999999999</v>
      </c>
      <c r="O159" s="31">
        <f>IF(M159="A",1050000,IF(M159="B",735000,IF(M159="C",514500,0)))</f>
        <v>1050000</v>
      </c>
      <c r="P159" s="10">
        <v>26</v>
      </c>
      <c r="Q159" s="62">
        <v>26</v>
      </c>
      <c r="R159" s="158">
        <f>IF(N159&gt;O159,N159,O159)</f>
        <v>1050000</v>
      </c>
      <c r="S159" s="31">
        <f>IF(Q159&gt;=P159,R159,R159/P159*Q159)</f>
        <v>1050000</v>
      </c>
      <c r="T159" s="103"/>
      <c r="U159" s="31">
        <f t="shared" si="33"/>
        <v>0</v>
      </c>
      <c r="V159" s="74"/>
      <c r="W159" s="31">
        <f t="shared" si="27"/>
        <v>0</v>
      </c>
      <c r="X159" s="31">
        <f>(K159*0.01*$H$7)+(T159*1%*$H$7)+(V159*1%*$H$7)</f>
        <v>20884.499999999996</v>
      </c>
      <c r="Y159" s="46">
        <f>(S159+U159+W159+X159)</f>
        <v>1070884.5</v>
      </c>
      <c r="Z159" s="11" t="str">
        <f t="shared" si="30"/>
        <v>149</v>
      </c>
      <c r="AA159" s="126"/>
      <c r="AB159" s="165" t="s">
        <v>1144</v>
      </c>
      <c r="AC159" s="155"/>
    </row>
    <row r="160" spans="1:29" s="108" customFormat="1" ht="24" customHeight="1">
      <c r="A160" s="30" t="s">
        <v>638</v>
      </c>
      <c r="B160" s="33" t="s">
        <v>729</v>
      </c>
      <c r="C160" s="34" t="s">
        <v>728</v>
      </c>
      <c r="D160" s="34"/>
      <c r="E160" s="195" t="s">
        <v>730</v>
      </c>
      <c r="F160" s="75" t="s">
        <v>771</v>
      </c>
      <c r="G160" s="10">
        <f>2.67*85%</f>
        <v>2.2694999999999999</v>
      </c>
      <c r="H160" s="157"/>
      <c r="I160" s="81">
        <f t="shared" si="25"/>
        <v>2.2694999999999999</v>
      </c>
      <c r="J160" s="81"/>
      <c r="K160" s="82">
        <f t="shared" si="31"/>
        <v>2.2694999999999999</v>
      </c>
      <c r="L160" s="31">
        <f t="shared" si="26"/>
        <v>2382975</v>
      </c>
      <c r="M160" s="184" t="s">
        <v>858</v>
      </c>
      <c r="N160" s="31">
        <f t="shared" si="32"/>
        <v>1191487.5</v>
      </c>
      <c r="O160" s="31">
        <f t="shared" si="28"/>
        <v>1050000</v>
      </c>
      <c r="P160" s="10">
        <v>26</v>
      </c>
      <c r="Q160" s="62">
        <v>26</v>
      </c>
      <c r="R160" s="158">
        <f t="shared" si="34"/>
        <v>1191487.5</v>
      </c>
      <c r="S160" s="31">
        <f t="shared" si="29"/>
        <v>1191487.5</v>
      </c>
      <c r="T160" s="103"/>
      <c r="U160" s="31">
        <f t="shared" si="33"/>
        <v>0</v>
      </c>
      <c r="V160" s="74"/>
      <c r="W160" s="31">
        <f t="shared" si="27"/>
        <v>0</v>
      </c>
      <c r="X160" s="31">
        <f t="shared" si="24"/>
        <v>23829.75</v>
      </c>
      <c r="Y160" s="46">
        <f t="shared" si="35"/>
        <v>1215317.25</v>
      </c>
      <c r="Z160" s="11" t="str">
        <f t="shared" si="30"/>
        <v>150</v>
      </c>
      <c r="AA160" s="126"/>
      <c r="AB160" s="165" t="s">
        <v>1145</v>
      </c>
      <c r="AC160" s="155"/>
    </row>
    <row r="161" spans="1:29" s="108" customFormat="1" ht="29.25" customHeight="1">
      <c r="A161" s="30" t="s">
        <v>639</v>
      </c>
      <c r="B161" s="33" t="s">
        <v>961</v>
      </c>
      <c r="C161" s="34" t="s">
        <v>1026</v>
      </c>
      <c r="D161" s="34" t="s">
        <v>549</v>
      </c>
      <c r="E161" s="62" t="s">
        <v>159</v>
      </c>
      <c r="F161" s="75" t="s">
        <v>1360</v>
      </c>
      <c r="G161" s="184">
        <v>3.33</v>
      </c>
      <c r="H161" s="157"/>
      <c r="I161" s="81">
        <f t="shared" si="25"/>
        <v>3.33</v>
      </c>
      <c r="J161" s="81">
        <v>0.45</v>
      </c>
      <c r="K161" s="82">
        <f t="shared" si="31"/>
        <v>3.7800000000000002</v>
      </c>
      <c r="L161" s="31">
        <f t="shared" si="26"/>
        <v>3969000.0000000005</v>
      </c>
      <c r="M161" s="184" t="s">
        <v>858</v>
      </c>
      <c r="N161" s="31">
        <f t="shared" si="32"/>
        <v>1984500.0000000002</v>
      </c>
      <c r="O161" s="31">
        <f t="shared" si="28"/>
        <v>1050000</v>
      </c>
      <c r="P161" s="10">
        <v>26</v>
      </c>
      <c r="Q161" s="62">
        <v>26</v>
      </c>
      <c r="R161" s="158">
        <f t="shared" si="34"/>
        <v>1984500.0000000002</v>
      </c>
      <c r="S161" s="31">
        <f t="shared" si="29"/>
        <v>1984500.0000000002</v>
      </c>
      <c r="T161" s="103"/>
      <c r="U161" s="31">
        <f t="shared" si="33"/>
        <v>0</v>
      </c>
      <c r="V161" s="74"/>
      <c r="W161" s="31">
        <f t="shared" si="27"/>
        <v>0</v>
      </c>
      <c r="X161" s="31">
        <f t="shared" si="24"/>
        <v>39690</v>
      </c>
      <c r="Y161" s="46">
        <f t="shared" si="35"/>
        <v>2024190.0000000002</v>
      </c>
      <c r="Z161" s="11" t="str">
        <f t="shared" si="30"/>
        <v>151</v>
      </c>
      <c r="AA161" s="112"/>
      <c r="AB161" s="165" t="s">
        <v>812</v>
      </c>
      <c r="AC161" s="155"/>
    </row>
    <row r="162" spans="1:29" s="108" customFormat="1" ht="21.75" customHeight="1">
      <c r="A162" s="30" t="s">
        <v>640</v>
      </c>
      <c r="B162" s="33" t="s">
        <v>1027</v>
      </c>
      <c r="C162" s="34" t="s">
        <v>1028</v>
      </c>
      <c r="D162" s="34"/>
      <c r="E162" s="62" t="s">
        <v>161</v>
      </c>
      <c r="F162" s="75" t="s">
        <v>42</v>
      </c>
      <c r="G162" s="10">
        <v>4.9800000000000004</v>
      </c>
      <c r="H162" s="157"/>
      <c r="I162" s="81">
        <f t="shared" si="25"/>
        <v>4.9800000000000004</v>
      </c>
      <c r="J162" s="81">
        <v>0.25</v>
      </c>
      <c r="K162" s="82">
        <f t="shared" si="31"/>
        <v>5.23</v>
      </c>
      <c r="L162" s="31">
        <f t="shared" si="26"/>
        <v>5491500</v>
      </c>
      <c r="M162" s="184" t="s">
        <v>858</v>
      </c>
      <c r="N162" s="31">
        <f t="shared" si="32"/>
        <v>2745750</v>
      </c>
      <c r="O162" s="31">
        <f t="shared" si="28"/>
        <v>1050000</v>
      </c>
      <c r="P162" s="10">
        <v>26</v>
      </c>
      <c r="Q162" s="62">
        <v>26</v>
      </c>
      <c r="R162" s="158">
        <f t="shared" si="34"/>
        <v>2745750</v>
      </c>
      <c r="S162" s="31">
        <f t="shared" si="29"/>
        <v>2745750</v>
      </c>
      <c r="T162" s="103"/>
      <c r="U162" s="31">
        <f t="shared" si="33"/>
        <v>0</v>
      </c>
      <c r="V162" s="74"/>
      <c r="W162" s="31">
        <f t="shared" si="27"/>
        <v>0</v>
      </c>
      <c r="X162" s="31">
        <f t="shared" si="24"/>
        <v>54915.000000000007</v>
      </c>
      <c r="Y162" s="46">
        <f t="shared" si="35"/>
        <v>2800665</v>
      </c>
      <c r="Z162" s="11" t="str">
        <f t="shared" si="30"/>
        <v>152</v>
      </c>
      <c r="AA162" s="112"/>
      <c r="AB162" s="165" t="s">
        <v>813</v>
      </c>
      <c r="AC162" s="155"/>
    </row>
    <row r="163" spans="1:29" s="108" customFormat="1" ht="21.75" customHeight="1">
      <c r="A163" s="30" t="s">
        <v>641</v>
      </c>
      <c r="B163" s="33" t="s">
        <v>1029</v>
      </c>
      <c r="C163" s="149" t="s">
        <v>1030</v>
      </c>
      <c r="D163" s="34"/>
      <c r="E163" s="62" t="s">
        <v>162</v>
      </c>
      <c r="F163" s="85" t="s">
        <v>1362</v>
      </c>
      <c r="G163" s="10">
        <v>4.8899999999999997</v>
      </c>
      <c r="H163" s="157"/>
      <c r="I163" s="81">
        <f t="shared" si="25"/>
        <v>4.8899999999999997</v>
      </c>
      <c r="J163" s="81">
        <v>0</v>
      </c>
      <c r="K163" s="82">
        <f t="shared" si="31"/>
        <v>4.8899999999999997</v>
      </c>
      <c r="L163" s="31">
        <f t="shared" si="26"/>
        <v>5134500</v>
      </c>
      <c r="M163" s="184" t="s">
        <v>858</v>
      </c>
      <c r="N163" s="31">
        <f t="shared" si="32"/>
        <v>2567250</v>
      </c>
      <c r="O163" s="31">
        <f t="shared" si="28"/>
        <v>1050000</v>
      </c>
      <c r="P163" s="10">
        <v>21</v>
      </c>
      <c r="Q163" s="62">
        <v>26</v>
      </c>
      <c r="R163" s="158">
        <f t="shared" si="34"/>
        <v>2567250</v>
      </c>
      <c r="S163" s="31">
        <f t="shared" si="29"/>
        <v>2567250</v>
      </c>
      <c r="T163" s="103"/>
      <c r="U163" s="31">
        <f t="shared" si="33"/>
        <v>0</v>
      </c>
      <c r="V163" s="74"/>
      <c r="W163" s="31">
        <f t="shared" si="27"/>
        <v>0</v>
      </c>
      <c r="X163" s="31">
        <f t="shared" si="24"/>
        <v>51345</v>
      </c>
      <c r="Y163" s="46">
        <f t="shared" si="35"/>
        <v>2618595</v>
      </c>
      <c r="Z163" s="11" t="str">
        <f t="shared" si="30"/>
        <v>153</v>
      </c>
      <c r="AA163" s="112"/>
      <c r="AB163" s="165" t="s">
        <v>814</v>
      </c>
      <c r="AC163" s="155"/>
    </row>
    <row r="164" spans="1:29" s="108" customFormat="1" ht="27.75" customHeight="1">
      <c r="A164" s="30" t="s">
        <v>642</v>
      </c>
      <c r="B164" s="33" t="s">
        <v>1031</v>
      </c>
      <c r="C164" s="34" t="s">
        <v>1032</v>
      </c>
      <c r="D164" s="34"/>
      <c r="E164" s="62" t="s">
        <v>163</v>
      </c>
      <c r="F164" s="85" t="s">
        <v>1363</v>
      </c>
      <c r="G164" s="10">
        <v>3.99</v>
      </c>
      <c r="H164" s="157"/>
      <c r="I164" s="81">
        <f t="shared" si="25"/>
        <v>3.99</v>
      </c>
      <c r="J164" s="81">
        <v>0.25</v>
      </c>
      <c r="K164" s="82">
        <f t="shared" si="31"/>
        <v>4.24</v>
      </c>
      <c r="L164" s="31">
        <f t="shared" si="26"/>
        <v>4452000</v>
      </c>
      <c r="M164" s="184" t="s">
        <v>858</v>
      </c>
      <c r="N164" s="31">
        <f t="shared" si="32"/>
        <v>2226000</v>
      </c>
      <c r="O164" s="31">
        <f t="shared" si="28"/>
        <v>1050000</v>
      </c>
      <c r="P164" s="10">
        <v>26</v>
      </c>
      <c r="Q164" s="62">
        <v>26</v>
      </c>
      <c r="R164" s="158">
        <f t="shared" si="34"/>
        <v>2226000</v>
      </c>
      <c r="S164" s="31">
        <f t="shared" si="29"/>
        <v>2226000</v>
      </c>
      <c r="T164" s="103"/>
      <c r="U164" s="31">
        <f t="shared" si="33"/>
        <v>0</v>
      </c>
      <c r="V164" s="74"/>
      <c r="W164" s="31">
        <f t="shared" si="27"/>
        <v>0</v>
      </c>
      <c r="X164" s="31">
        <f t="shared" si="24"/>
        <v>44520</v>
      </c>
      <c r="Y164" s="46">
        <f t="shared" si="35"/>
        <v>2270520</v>
      </c>
      <c r="Z164" s="11" t="str">
        <f t="shared" si="30"/>
        <v>154</v>
      </c>
      <c r="AA164" s="126"/>
      <c r="AB164" s="165" t="s">
        <v>815</v>
      </c>
      <c r="AC164" s="155"/>
    </row>
    <row r="165" spans="1:29" s="108" customFormat="1" ht="30.75" customHeight="1">
      <c r="A165" s="30" t="s">
        <v>643</v>
      </c>
      <c r="B165" s="33" t="s">
        <v>1033</v>
      </c>
      <c r="C165" s="34" t="s">
        <v>884</v>
      </c>
      <c r="D165" s="34"/>
      <c r="E165" s="62" t="s">
        <v>164</v>
      </c>
      <c r="F165" s="75" t="s">
        <v>1364</v>
      </c>
      <c r="G165" s="10">
        <v>3.99</v>
      </c>
      <c r="H165" s="157"/>
      <c r="I165" s="81">
        <f t="shared" si="25"/>
        <v>3.99</v>
      </c>
      <c r="J165" s="81">
        <v>0.25</v>
      </c>
      <c r="K165" s="82">
        <f t="shared" si="31"/>
        <v>4.24</v>
      </c>
      <c r="L165" s="31">
        <f t="shared" si="26"/>
        <v>4452000</v>
      </c>
      <c r="M165" s="184" t="s">
        <v>858</v>
      </c>
      <c r="N165" s="31">
        <f t="shared" si="32"/>
        <v>2226000</v>
      </c>
      <c r="O165" s="31">
        <f t="shared" si="28"/>
        <v>1050000</v>
      </c>
      <c r="P165" s="10">
        <v>26</v>
      </c>
      <c r="Q165" s="62">
        <v>26</v>
      </c>
      <c r="R165" s="158">
        <f t="shared" si="34"/>
        <v>2226000</v>
      </c>
      <c r="S165" s="31">
        <f t="shared" si="29"/>
        <v>2226000</v>
      </c>
      <c r="T165" s="103"/>
      <c r="U165" s="31">
        <f t="shared" si="33"/>
        <v>0</v>
      </c>
      <c r="V165" s="74"/>
      <c r="W165" s="31">
        <f t="shared" si="27"/>
        <v>0</v>
      </c>
      <c r="X165" s="31">
        <f t="shared" si="24"/>
        <v>44520</v>
      </c>
      <c r="Y165" s="46">
        <f t="shared" si="35"/>
        <v>2270520</v>
      </c>
      <c r="Z165" s="11" t="str">
        <f t="shared" si="30"/>
        <v>155</v>
      </c>
      <c r="AA165" s="112"/>
      <c r="AB165" s="165" t="s">
        <v>816</v>
      </c>
      <c r="AC165" s="155"/>
    </row>
    <row r="166" spans="1:29" s="316" customFormat="1" ht="24">
      <c r="A166" s="30" t="s">
        <v>644</v>
      </c>
      <c r="B166" s="301" t="s">
        <v>1036</v>
      </c>
      <c r="C166" s="302" t="s">
        <v>1037</v>
      </c>
      <c r="D166" s="302"/>
      <c r="E166" s="290" t="s">
        <v>166</v>
      </c>
      <c r="F166" s="303" t="s">
        <v>1366</v>
      </c>
      <c r="G166" s="304">
        <v>3.33</v>
      </c>
      <c r="H166" s="305"/>
      <c r="I166" s="306">
        <f t="shared" si="25"/>
        <v>3.33</v>
      </c>
      <c r="J166" s="306">
        <v>0.35</v>
      </c>
      <c r="K166" s="307">
        <f t="shared" si="31"/>
        <v>3.68</v>
      </c>
      <c r="L166" s="308">
        <f t="shared" si="26"/>
        <v>3864000</v>
      </c>
      <c r="M166" s="184" t="s">
        <v>858</v>
      </c>
      <c r="N166" s="31">
        <f t="shared" si="32"/>
        <v>1932000</v>
      </c>
      <c r="O166" s="308">
        <f t="shared" si="28"/>
        <v>1050000</v>
      </c>
      <c r="P166" s="304">
        <v>26</v>
      </c>
      <c r="Q166" s="290">
        <v>20</v>
      </c>
      <c r="R166" s="309">
        <f t="shared" si="34"/>
        <v>1932000</v>
      </c>
      <c r="S166" s="308">
        <f t="shared" si="29"/>
        <v>1486153.8461538462</v>
      </c>
      <c r="T166" s="310"/>
      <c r="U166" s="308">
        <f t="shared" si="33"/>
        <v>0</v>
      </c>
      <c r="V166" s="311"/>
      <c r="W166" s="308">
        <f t="shared" si="27"/>
        <v>0</v>
      </c>
      <c r="X166" s="308">
        <f t="shared" si="24"/>
        <v>38640</v>
      </c>
      <c r="Y166" s="312">
        <f t="shared" si="35"/>
        <v>1524793.8461538462</v>
      </c>
      <c r="Z166" s="313" t="str">
        <f t="shared" si="30"/>
        <v>156</v>
      </c>
      <c r="AA166" s="314" t="s">
        <v>806</v>
      </c>
      <c r="AB166" s="165" t="s">
        <v>817</v>
      </c>
      <c r="AC166" s="315"/>
    </row>
    <row r="167" spans="1:29" s="108" customFormat="1" ht="21.75" customHeight="1">
      <c r="A167" s="30" t="s">
        <v>645</v>
      </c>
      <c r="B167" s="33" t="s">
        <v>1038</v>
      </c>
      <c r="C167" s="34" t="s">
        <v>1039</v>
      </c>
      <c r="D167" s="34"/>
      <c r="E167" s="62" t="s">
        <v>167</v>
      </c>
      <c r="F167" s="85" t="s">
        <v>1367</v>
      </c>
      <c r="G167" s="10">
        <v>3</v>
      </c>
      <c r="H167" s="157"/>
      <c r="I167" s="81">
        <f t="shared" si="25"/>
        <v>3</v>
      </c>
      <c r="J167" s="81">
        <v>0</v>
      </c>
      <c r="K167" s="82">
        <f t="shared" si="31"/>
        <v>3</v>
      </c>
      <c r="L167" s="31">
        <f t="shared" si="26"/>
        <v>3150000</v>
      </c>
      <c r="M167" s="184" t="s">
        <v>858</v>
      </c>
      <c r="N167" s="31">
        <f t="shared" si="32"/>
        <v>1575000</v>
      </c>
      <c r="O167" s="31">
        <f t="shared" si="28"/>
        <v>1050000</v>
      </c>
      <c r="P167" s="10">
        <v>26</v>
      </c>
      <c r="Q167" s="62">
        <v>26</v>
      </c>
      <c r="R167" s="158">
        <f t="shared" si="34"/>
        <v>1575000</v>
      </c>
      <c r="S167" s="31">
        <f t="shared" si="29"/>
        <v>1575000</v>
      </c>
      <c r="T167" s="103"/>
      <c r="U167" s="31">
        <f t="shared" si="33"/>
        <v>0</v>
      </c>
      <c r="V167" s="74"/>
      <c r="W167" s="31">
        <f t="shared" si="27"/>
        <v>0</v>
      </c>
      <c r="X167" s="31">
        <f t="shared" si="24"/>
        <v>31500</v>
      </c>
      <c r="Y167" s="46">
        <f t="shared" si="35"/>
        <v>1606500</v>
      </c>
      <c r="Z167" s="11" t="str">
        <f t="shared" si="30"/>
        <v>157</v>
      </c>
      <c r="AA167" s="126"/>
      <c r="AB167" s="165" t="s">
        <v>818</v>
      </c>
      <c r="AC167" s="155"/>
    </row>
    <row r="168" spans="1:29" s="108" customFormat="1" ht="20.25" customHeight="1">
      <c r="A168" s="30" t="s">
        <v>646</v>
      </c>
      <c r="B168" s="33" t="s">
        <v>1040</v>
      </c>
      <c r="C168" s="34" t="s">
        <v>1041</v>
      </c>
      <c r="D168" s="34"/>
      <c r="E168" s="62" t="s">
        <v>168</v>
      </c>
      <c r="F168" s="85" t="s">
        <v>1368</v>
      </c>
      <c r="G168" s="10">
        <v>3</v>
      </c>
      <c r="H168" s="157"/>
      <c r="I168" s="81">
        <f t="shared" si="25"/>
        <v>3</v>
      </c>
      <c r="J168" s="81">
        <v>0.35</v>
      </c>
      <c r="K168" s="82">
        <f t="shared" si="31"/>
        <v>3.35</v>
      </c>
      <c r="L168" s="31">
        <f t="shared" si="26"/>
        <v>3517500</v>
      </c>
      <c r="M168" s="184" t="s">
        <v>858</v>
      </c>
      <c r="N168" s="31">
        <f t="shared" si="32"/>
        <v>1758750</v>
      </c>
      <c r="O168" s="31">
        <f t="shared" si="28"/>
        <v>1050000</v>
      </c>
      <c r="P168" s="10">
        <v>26</v>
      </c>
      <c r="Q168" s="62">
        <v>26</v>
      </c>
      <c r="R168" s="158">
        <f t="shared" si="34"/>
        <v>1758750</v>
      </c>
      <c r="S168" s="31">
        <f t="shared" si="29"/>
        <v>1758750</v>
      </c>
      <c r="T168" s="103"/>
      <c r="U168" s="31">
        <f t="shared" si="33"/>
        <v>0</v>
      </c>
      <c r="V168" s="74"/>
      <c r="W168" s="31">
        <f t="shared" si="27"/>
        <v>0</v>
      </c>
      <c r="X168" s="31">
        <f t="shared" si="24"/>
        <v>35175</v>
      </c>
      <c r="Y168" s="46">
        <f t="shared" si="35"/>
        <v>1793925</v>
      </c>
      <c r="Z168" s="11" t="str">
        <f t="shared" si="30"/>
        <v>158</v>
      </c>
      <c r="AA168" s="112"/>
      <c r="AB168" s="165" t="s">
        <v>819</v>
      </c>
      <c r="AC168" s="155"/>
    </row>
    <row r="169" spans="1:29" s="108" customFormat="1" ht="20.25" customHeight="1">
      <c r="A169" s="30" t="s">
        <v>647</v>
      </c>
      <c r="B169" s="33" t="s">
        <v>1042</v>
      </c>
      <c r="C169" s="34" t="s">
        <v>1043</v>
      </c>
      <c r="D169" s="34"/>
      <c r="E169" s="62" t="s">
        <v>169</v>
      </c>
      <c r="F169" s="85" t="s">
        <v>1369</v>
      </c>
      <c r="G169" s="10">
        <v>3</v>
      </c>
      <c r="H169" s="157"/>
      <c r="I169" s="81">
        <f t="shared" si="25"/>
        <v>3</v>
      </c>
      <c r="J169" s="81">
        <v>0</v>
      </c>
      <c r="K169" s="82">
        <f t="shared" si="31"/>
        <v>3</v>
      </c>
      <c r="L169" s="31">
        <f t="shared" si="26"/>
        <v>3150000</v>
      </c>
      <c r="M169" s="184" t="s">
        <v>858</v>
      </c>
      <c r="N169" s="31">
        <f t="shared" si="32"/>
        <v>1575000</v>
      </c>
      <c r="O169" s="31">
        <f t="shared" si="28"/>
        <v>1050000</v>
      </c>
      <c r="P169" s="10">
        <v>26</v>
      </c>
      <c r="Q169" s="62">
        <v>26</v>
      </c>
      <c r="R169" s="158">
        <f t="shared" si="34"/>
        <v>1575000</v>
      </c>
      <c r="S169" s="31">
        <f t="shared" si="29"/>
        <v>1575000</v>
      </c>
      <c r="T169" s="103"/>
      <c r="U169" s="31">
        <f t="shared" si="33"/>
        <v>0</v>
      </c>
      <c r="V169" s="74"/>
      <c r="W169" s="31">
        <f t="shared" si="27"/>
        <v>0</v>
      </c>
      <c r="X169" s="31">
        <f t="shared" si="24"/>
        <v>31500</v>
      </c>
      <c r="Y169" s="46">
        <f t="shared" si="35"/>
        <v>1606500</v>
      </c>
      <c r="Z169" s="11" t="str">
        <f t="shared" si="30"/>
        <v>159</v>
      </c>
      <c r="AA169" s="112"/>
      <c r="AB169" s="165" t="s">
        <v>820</v>
      </c>
      <c r="AC169" s="155"/>
    </row>
    <row r="170" spans="1:29" s="108" customFormat="1" ht="21.75" customHeight="1">
      <c r="A170" s="30" t="s">
        <v>648</v>
      </c>
      <c r="B170" s="33" t="s">
        <v>997</v>
      </c>
      <c r="C170" s="34" t="s">
        <v>998</v>
      </c>
      <c r="D170" s="34"/>
      <c r="E170" s="62" t="s">
        <v>171</v>
      </c>
      <c r="F170" s="75" t="s">
        <v>1371</v>
      </c>
      <c r="G170" s="10">
        <v>4.32</v>
      </c>
      <c r="H170" s="157"/>
      <c r="I170" s="81">
        <f t="shared" si="25"/>
        <v>4.32</v>
      </c>
      <c r="J170" s="81">
        <v>0</v>
      </c>
      <c r="K170" s="82">
        <f t="shared" si="31"/>
        <v>4.32</v>
      </c>
      <c r="L170" s="31">
        <f t="shared" si="26"/>
        <v>4536000</v>
      </c>
      <c r="M170" s="184" t="s">
        <v>858</v>
      </c>
      <c r="N170" s="31">
        <f t="shared" si="32"/>
        <v>2268000</v>
      </c>
      <c r="O170" s="31">
        <f t="shared" si="28"/>
        <v>1050000</v>
      </c>
      <c r="P170" s="10">
        <v>26</v>
      </c>
      <c r="Q170" s="62">
        <v>26</v>
      </c>
      <c r="R170" s="158">
        <f t="shared" si="34"/>
        <v>2268000</v>
      </c>
      <c r="S170" s="31">
        <f t="shared" si="29"/>
        <v>2268000</v>
      </c>
      <c r="T170" s="135"/>
      <c r="U170" s="31">
        <f t="shared" si="33"/>
        <v>0</v>
      </c>
      <c r="V170" s="74"/>
      <c r="W170" s="31">
        <f t="shared" si="27"/>
        <v>0</v>
      </c>
      <c r="X170" s="31">
        <f t="shared" si="24"/>
        <v>45360</v>
      </c>
      <c r="Y170" s="46">
        <f t="shared" si="35"/>
        <v>2313360</v>
      </c>
      <c r="Z170" s="11" t="str">
        <f t="shared" si="30"/>
        <v>160</v>
      </c>
      <c r="AA170" s="126"/>
      <c r="AB170" s="165" t="s">
        <v>1119</v>
      </c>
      <c r="AC170" s="155"/>
    </row>
    <row r="171" spans="1:29" s="108" customFormat="1" ht="24.75" customHeight="1">
      <c r="A171" s="30" t="s">
        <v>649</v>
      </c>
      <c r="B171" s="33" t="s">
        <v>1008</v>
      </c>
      <c r="C171" s="34" t="s">
        <v>1009</v>
      </c>
      <c r="D171" s="34"/>
      <c r="E171" s="62" t="s">
        <v>172</v>
      </c>
      <c r="F171" s="75" t="s">
        <v>1372</v>
      </c>
      <c r="G171" s="10">
        <v>2.67</v>
      </c>
      <c r="H171" s="157"/>
      <c r="I171" s="81">
        <f t="shared" si="25"/>
        <v>2.67</v>
      </c>
      <c r="J171" s="81"/>
      <c r="K171" s="82">
        <f t="shared" si="31"/>
        <v>2.67</v>
      </c>
      <c r="L171" s="31">
        <f t="shared" si="26"/>
        <v>2803500</v>
      </c>
      <c r="M171" s="184" t="s">
        <v>858</v>
      </c>
      <c r="N171" s="31">
        <f t="shared" si="32"/>
        <v>1401750</v>
      </c>
      <c r="O171" s="31">
        <f t="shared" si="28"/>
        <v>1050000</v>
      </c>
      <c r="P171" s="10">
        <v>26</v>
      </c>
      <c r="Q171" s="62">
        <v>26</v>
      </c>
      <c r="R171" s="158">
        <f t="shared" si="34"/>
        <v>1401750</v>
      </c>
      <c r="S171" s="31">
        <f t="shared" si="29"/>
        <v>1401750</v>
      </c>
      <c r="T171" s="103"/>
      <c r="U171" s="31">
        <f t="shared" si="33"/>
        <v>0</v>
      </c>
      <c r="V171" s="74"/>
      <c r="W171" s="31">
        <f t="shared" si="27"/>
        <v>0</v>
      </c>
      <c r="X171" s="31">
        <f t="shared" si="24"/>
        <v>28035</v>
      </c>
      <c r="Y171" s="46">
        <f t="shared" si="35"/>
        <v>1429785</v>
      </c>
      <c r="Z171" s="11" t="str">
        <f t="shared" si="30"/>
        <v>161</v>
      </c>
      <c r="AA171" s="126"/>
      <c r="AB171" s="165" t="s">
        <v>1120</v>
      </c>
      <c r="AC171" s="155"/>
    </row>
    <row r="172" spans="1:29" s="108" customFormat="1" ht="22.5" customHeight="1">
      <c r="A172" s="30" t="s">
        <v>650</v>
      </c>
      <c r="B172" s="33" t="s">
        <v>995</v>
      </c>
      <c r="C172" s="34" t="s">
        <v>996</v>
      </c>
      <c r="D172" s="34"/>
      <c r="E172" s="62" t="s">
        <v>173</v>
      </c>
      <c r="F172" s="75" t="s">
        <v>1373</v>
      </c>
      <c r="G172" s="10">
        <v>4.9800000000000004</v>
      </c>
      <c r="H172" s="221">
        <v>0.06</v>
      </c>
      <c r="I172" s="81">
        <f t="shared" si="25"/>
        <v>5.2788000000000004</v>
      </c>
      <c r="J172" s="81">
        <v>0</v>
      </c>
      <c r="K172" s="82">
        <f t="shared" si="31"/>
        <v>5.2788000000000004</v>
      </c>
      <c r="L172" s="31">
        <f t="shared" si="26"/>
        <v>5542740</v>
      </c>
      <c r="M172" s="184" t="s">
        <v>858</v>
      </c>
      <c r="N172" s="31">
        <f t="shared" si="32"/>
        <v>2771370</v>
      </c>
      <c r="O172" s="31">
        <f t="shared" si="28"/>
        <v>1050000</v>
      </c>
      <c r="P172" s="10">
        <v>26</v>
      </c>
      <c r="Q172" s="62">
        <v>26</v>
      </c>
      <c r="R172" s="158">
        <f t="shared" si="34"/>
        <v>2771370</v>
      </c>
      <c r="S172" s="31">
        <f t="shared" si="29"/>
        <v>2771370</v>
      </c>
      <c r="T172" s="103"/>
      <c r="U172" s="31">
        <f t="shared" si="33"/>
        <v>0</v>
      </c>
      <c r="V172" s="74"/>
      <c r="W172" s="31">
        <f t="shared" si="27"/>
        <v>0</v>
      </c>
      <c r="X172" s="31">
        <f t="shared" si="24"/>
        <v>55427.4</v>
      </c>
      <c r="Y172" s="46">
        <f t="shared" si="35"/>
        <v>2826797.4</v>
      </c>
      <c r="Z172" s="11" t="str">
        <f t="shared" si="30"/>
        <v>162</v>
      </c>
      <c r="AA172" s="126"/>
      <c r="AB172" s="165" t="s">
        <v>1121</v>
      </c>
      <c r="AC172" s="155"/>
    </row>
    <row r="173" spans="1:29" s="108" customFormat="1" ht="22.5" customHeight="1">
      <c r="A173" s="30" t="s">
        <v>651</v>
      </c>
      <c r="B173" s="33" t="s">
        <v>1001</v>
      </c>
      <c r="C173" s="34" t="s">
        <v>920</v>
      </c>
      <c r="D173" s="34"/>
      <c r="E173" s="62" t="s">
        <v>174</v>
      </c>
      <c r="F173" s="85" t="s">
        <v>1374</v>
      </c>
      <c r="G173" s="10">
        <v>3.99</v>
      </c>
      <c r="H173" s="157"/>
      <c r="I173" s="81">
        <f t="shared" si="25"/>
        <v>3.99</v>
      </c>
      <c r="J173" s="81">
        <v>0</v>
      </c>
      <c r="K173" s="82">
        <f t="shared" si="31"/>
        <v>3.99</v>
      </c>
      <c r="L173" s="31">
        <f t="shared" si="26"/>
        <v>4189500</v>
      </c>
      <c r="M173" s="184" t="s">
        <v>858</v>
      </c>
      <c r="N173" s="31">
        <f t="shared" si="32"/>
        <v>2094750</v>
      </c>
      <c r="O173" s="31">
        <f t="shared" si="28"/>
        <v>1050000</v>
      </c>
      <c r="P173" s="10">
        <v>26</v>
      </c>
      <c r="Q173" s="62">
        <v>26</v>
      </c>
      <c r="R173" s="158">
        <f t="shared" si="34"/>
        <v>2094750</v>
      </c>
      <c r="S173" s="31">
        <f t="shared" si="29"/>
        <v>2094750</v>
      </c>
      <c r="T173" s="103"/>
      <c r="U173" s="31">
        <f t="shared" si="33"/>
        <v>0</v>
      </c>
      <c r="V173" s="74"/>
      <c r="W173" s="31">
        <f t="shared" si="27"/>
        <v>0</v>
      </c>
      <c r="X173" s="31">
        <f t="shared" si="24"/>
        <v>41895.000000000007</v>
      </c>
      <c r="Y173" s="46">
        <f t="shared" si="35"/>
        <v>2136645</v>
      </c>
      <c r="Z173" s="11" t="str">
        <f t="shared" si="30"/>
        <v>163</v>
      </c>
      <c r="AA173" s="112"/>
      <c r="AB173" s="165" t="s">
        <v>1122</v>
      </c>
      <c r="AC173" s="155"/>
    </row>
    <row r="174" spans="1:29" s="108" customFormat="1" ht="21" customHeight="1">
      <c r="A174" s="30" t="s">
        <v>652</v>
      </c>
      <c r="B174" s="33" t="s">
        <v>993</v>
      </c>
      <c r="C174" s="34" t="s">
        <v>994</v>
      </c>
      <c r="D174" s="34"/>
      <c r="E174" s="62" t="s">
        <v>175</v>
      </c>
      <c r="F174" s="75" t="s">
        <v>1375</v>
      </c>
      <c r="G174" s="10">
        <v>4.9800000000000004</v>
      </c>
      <c r="H174" s="221">
        <v>0.1</v>
      </c>
      <c r="I174" s="81">
        <f t="shared" si="25"/>
        <v>5.4780000000000006</v>
      </c>
      <c r="J174" s="81">
        <v>0.25</v>
      </c>
      <c r="K174" s="82">
        <f t="shared" si="31"/>
        <v>5.7280000000000006</v>
      </c>
      <c r="L174" s="31">
        <f t="shared" si="26"/>
        <v>6014400.0000000009</v>
      </c>
      <c r="M174" s="184" t="s">
        <v>858</v>
      </c>
      <c r="N174" s="31">
        <f t="shared" si="32"/>
        <v>3007200.0000000005</v>
      </c>
      <c r="O174" s="31">
        <f t="shared" si="28"/>
        <v>1050000</v>
      </c>
      <c r="P174" s="10">
        <v>26</v>
      </c>
      <c r="Q174" s="62">
        <v>26</v>
      </c>
      <c r="R174" s="158">
        <f t="shared" si="34"/>
        <v>3007200.0000000005</v>
      </c>
      <c r="S174" s="31">
        <f t="shared" si="29"/>
        <v>3007200.0000000005</v>
      </c>
      <c r="T174" s="103"/>
      <c r="U174" s="31">
        <f t="shared" si="33"/>
        <v>0</v>
      </c>
      <c r="V174" s="74"/>
      <c r="W174" s="31">
        <f t="shared" si="27"/>
        <v>0</v>
      </c>
      <c r="X174" s="31">
        <f t="shared" si="24"/>
        <v>60144.000000000007</v>
      </c>
      <c r="Y174" s="46">
        <f t="shared" si="35"/>
        <v>3067344.0000000005</v>
      </c>
      <c r="Z174" s="11" t="str">
        <f t="shared" si="30"/>
        <v>164</v>
      </c>
      <c r="AA174" s="112"/>
      <c r="AB174" s="165" t="s">
        <v>1123</v>
      </c>
      <c r="AC174" s="155"/>
    </row>
    <row r="175" spans="1:29" s="108" customFormat="1" ht="15.75">
      <c r="A175" s="30" t="s">
        <v>726</v>
      </c>
      <c r="B175" s="33" t="s">
        <v>991</v>
      </c>
      <c r="C175" s="34" t="s">
        <v>992</v>
      </c>
      <c r="D175" s="34"/>
      <c r="E175" s="62" t="s">
        <v>176</v>
      </c>
      <c r="F175" s="75" t="s">
        <v>1376</v>
      </c>
      <c r="G175" s="10">
        <v>4.9800000000000004</v>
      </c>
      <c r="H175" s="221">
        <v>0.06</v>
      </c>
      <c r="I175" s="81">
        <f t="shared" si="25"/>
        <v>5.2788000000000004</v>
      </c>
      <c r="J175" s="81">
        <v>0</v>
      </c>
      <c r="K175" s="82">
        <f t="shared" si="31"/>
        <v>5.2788000000000004</v>
      </c>
      <c r="L175" s="31">
        <f t="shared" si="26"/>
        <v>5542740</v>
      </c>
      <c r="M175" s="184" t="s">
        <v>858</v>
      </c>
      <c r="N175" s="31">
        <f t="shared" si="32"/>
        <v>2771370</v>
      </c>
      <c r="O175" s="31">
        <f t="shared" si="28"/>
        <v>1050000</v>
      </c>
      <c r="P175" s="10">
        <v>26</v>
      </c>
      <c r="Q175" s="62">
        <v>26</v>
      </c>
      <c r="R175" s="158">
        <f t="shared" si="34"/>
        <v>2771370</v>
      </c>
      <c r="S175" s="31">
        <f t="shared" si="29"/>
        <v>2771370</v>
      </c>
      <c r="T175" s="103"/>
      <c r="U175" s="31">
        <f t="shared" si="33"/>
        <v>0</v>
      </c>
      <c r="V175" s="74"/>
      <c r="W175" s="31">
        <f t="shared" si="27"/>
        <v>0</v>
      </c>
      <c r="X175" s="31">
        <f t="shared" si="24"/>
        <v>55427.4</v>
      </c>
      <c r="Y175" s="46">
        <f t="shared" si="35"/>
        <v>2826797.4</v>
      </c>
      <c r="Z175" s="11" t="str">
        <f t="shared" si="30"/>
        <v>165</v>
      </c>
      <c r="AA175" s="112"/>
      <c r="AB175" s="165" t="s">
        <v>1124</v>
      </c>
      <c r="AC175" s="155"/>
    </row>
    <row r="176" spans="1:29" s="108" customFormat="1" ht="20.25" customHeight="1">
      <c r="A176" s="30" t="s">
        <v>653</v>
      </c>
      <c r="B176" s="33" t="s">
        <v>999</v>
      </c>
      <c r="C176" s="34" t="s">
        <v>1000</v>
      </c>
      <c r="D176" s="34"/>
      <c r="E176" s="62" t="s">
        <v>177</v>
      </c>
      <c r="F176" s="75" t="s">
        <v>1377</v>
      </c>
      <c r="G176" s="10">
        <v>3.99</v>
      </c>
      <c r="H176" s="157"/>
      <c r="I176" s="81">
        <f t="shared" si="25"/>
        <v>3.99</v>
      </c>
      <c r="J176" s="81">
        <v>0.25</v>
      </c>
      <c r="K176" s="82">
        <f t="shared" si="31"/>
        <v>4.24</v>
      </c>
      <c r="L176" s="31">
        <f t="shared" si="26"/>
        <v>4452000</v>
      </c>
      <c r="M176" s="184" t="s">
        <v>858</v>
      </c>
      <c r="N176" s="31">
        <f t="shared" si="32"/>
        <v>2226000</v>
      </c>
      <c r="O176" s="31">
        <f t="shared" si="28"/>
        <v>1050000</v>
      </c>
      <c r="P176" s="10">
        <v>26</v>
      </c>
      <c r="Q176" s="62">
        <v>26</v>
      </c>
      <c r="R176" s="158">
        <f t="shared" si="34"/>
        <v>2226000</v>
      </c>
      <c r="S176" s="31">
        <f t="shared" si="29"/>
        <v>2226000</v>
      </c>
      <c r="T176" s="103"/>
      <c r="U176" s="31">
        <f t="shared" si="33"/>
        <v>0</v>
      </c>
      <c r="V176" s="74"/>
      <c r="W176" s="31">
        <f t="shared" si="27"/>
        <v>0</v>
      </c>
      <c r="X176" s="31">
        <f t="shared" si="24"/>
        <v>44520</v>
      </c>
      <c r="Y176" s="46">
        <f t="shared" si="35"/>
        <v>2270520</v>
      </c>
      <c r="Z176" s="11" t="str">
        <f t="shared" si="30"/>
        <v>166</v>
      </c>
      <c r="AA176" s="126"/>
      <c r="AB176" s="165" t="s">
        <v>1125</v>
      </c>
      <c r="AC176" s="155"/>
    </row>
    <row r="177" spans="1:29" s="108" customFormat="1" ht="21" customHeight="1">
      <c r="A177" s="30" t="s">
        <v>654</v>
      </c>
      <c r="B177" s="33" t="s">
        <v>1234</v>
      </c>
      <c r="C177" s="34" t="s">
        <v>1214</v>
      </c>
      <c r="D177" s="34"/>
      <c r="E177" s="62" t="s">
        <v>178</v>
      </c>
      <c r="F177" s="75" t="s">
        <v>1378</v>
      </c>
      <c r="G177" s="10">
        <v>2.67</v>
      </c>
      <c r="H177" s="157"/>
      <c r="I177" s="81">
        <f t="shared" si="25"/>
        <v>2.67</v>
      </c>
      <c r="J177" s="81"/>
      <c r="K177" s="82">
        <f t="shared" si="31"/>
        <v>2.67</v>
      </c>
      <c r="L177" s="31">
        <f t="shared" si="26"/>
        <v>2803500</v>
      </c>
      <c r="M177" s="184" t="s">
        <v>858</v>
      </c>
      <c r="N177" s="31">
        <f t="shared" si="32"/>
        <v>1401750</v>
      </c>
      <c r="O177" s="31">
        <f t="shared" si="28"/>
        <v>1050000</v>
      </c>
      <c r="P177" s="10">
        <v>26</v>
      </c>
      <c r="Q177" s="62">
        <v>26</v>
      </c>
      <c r="R177" s="158">
        <f t="shared" si="34"/>
        <v>1401750</v>
      </c>
      <c r="S177" s="31">
        <f t="shared" si="29"/>
        <v>1401750</v>
      </c>
      <c r="T177" s="103"/>
      <c r="U177" s="31">
        <f t="shared" si="33"/>
        <v>0</v>
      </c>
      <c r="V177" s="74"/>
      <c r="W177" s="31">
        <f t="shared" si="27"/>
        <v>0</v>
      </c>
      <c r="X177" s="31">
        <f t="shared" si="24"/>
        <v>28035</v>
      </c>
      <c r="Y177" s="46">
        <f t="shared" si="35"/>
        <v>1429785</v>
      </c>
      <c r="Z177" s="11" t="str">
        <f t="shared" si="30"/>
        <v>167</v>
      </c>
      <c r="AA177" s="126"/>
      <c r="AB177" s="165" t="s">
        <v>1126</v>
      </c>
      <c r="AC177" s="155"/>
    </row>
    <row r="178" spans="1:29" s="108" customFormat="1" ht="26.25" customHeight="1">
      <c r="A178" s="30" t="s">
        <v>655</v>
      </c>
      <c r="B178" s="33" t="s">
        <v>1251</v>
      </c>
      <c r="C178" s="34" t="s">
        <v>1009</v>
      </c>
      <c r="D178" s="34"/>
      <c r="E178" s="62" t="s">
        <v>179</v>
      </c>
      <c r="F178" s="75" t="s">
        <v>1379</v>
      </c>
      <c r="G178" s="10">
        <v>2.67</v>
      </c>
      <c r="H178" s="157"/>
      <c r="I178" s="81">
        <f t="shared" si="25"/>
        <v>2.67</v>
      </c>
      <c r="J178" s="81"/>
      <c r="K178" s="82">
        <f t="shared" si="31"/>
        <v>2.67</v>
      </c>
      <c r="L178" s="31">
        <f t="shared" si="26"/>
        <v>2803500</v>
      </c>
      <c r="M178" s="184" t="s">
        <v>858</v>
      </c>
      <c r="N178" s="31">
        <f t="shared" si="32"/>
        <v>1401750</v>
      </c>
      <c r="O178" s="31">
        <f>IF(M178="A",1050000,IF(M178="B",735000,IF(M178="C",514500,0)))</f>
        <v>1050000</v>
      </c>
      <c r="P178" s="10">
        <v>26</v>
      </c>
      <c r="Q178" s="62">
        <v>26</v>
      </c>
      <c r="R178" s="158">
        <f>IF(N178&gt;O178,N178,O178)</f>
        <v>1401750</v>
      </c>
      <c r="S178" s="31">
        <f t="shared" si="29"/>
        <v>1401750</v>
      </c>
      <c r="T178" s="103"/>
      <c r="U178" s="31">
        <f t="shared" si="33"/>
        <v>0</v>
      </c>
      <c r="V178" s="74"/>
      <c r="W178" s="31">
        <f t="shared" si="27"/>
        <v>0</v>
      </c>
      <c r="X178" s="31">
        <f t="shared" si="24"/>
        <v>28035</v>
      </c>
      <c r="Y178" s="46">
        <f t="shared" si="35"/>
        <v>1429785</v>
      </c>
      <c r="Z178" s="11" t="str">
        <f t="shared" si="30"/>
        <v>168</v>
      </c>
      <c r="AA178" s="112"/>
      <c r="AB178" s="165" t="s">
        <v>1127</v>
      </c>
      <c r="AC178" s="155"/>
    </row>
    <row r="179" spans="1:29" s="108" customFormat="1" ht="24" customHeight="1">
      <c r="A179" s="30" t="s">
        <v>656</v>
      </c>
      <c r="B179" s="33" t="s">
        <v>938</v>
      </c>
      <c r="C179" s="163" t="s">
        <v>364</v>
      </c>
      <c r="D179" s="163"/>
      <c r="E179" s="62" t="s">
        <v>336</v>
      </c>
      <c r="F179" s="75" t="s">
        <v>386</v>
      </c>
      <c r="G179" s="10">
        <v>2.34</v>
      </c>
      <c r="H179" s="157"/>
      <c r="I179" s="81">
        <f t="shared" si="25"/>
        <v>2.34</v>
      </c>
      <c r="J179" s="81"/>
      <c r="K179" s="82">
        <f t="shared" si="31"/>
        <v>2.34</v>
      </c>
      <c r="L179" s="31">
        <f t="shared" si="26"/>
        <v>2457000</v>
      </c>
      <c r="M179" s="184" t="s">
        <v>858</v>
      </c>
      <c r="N179" s="31">
        <f t="shared" si="32"/>
        <v>1228500</v>
      </c>
      <c r="O179" s="31">
        <f t="shared" si="28"/>
        <v>1050000</v>
      </c>
      <c r="P179" s="10">
        <v>26</v>
      </c>
      <c r="Q179" s="62">
        <v>26</v>
      </c>
      <c r="R179" s="158">
        <f t="shared" si="34"/>
        <v>1228500</v>
      </c>
      <c r="S179" s="31">
        <f t="shared" si="29"/>
        <v>1228500</v>
      </c>
      <c r="T179" s="103"/>
      <c r="U179" s="31">
        <f t="shared" si="33"/>
        <v>0</v>
      </c>
      <c r="V179" s="74"/>
      <c r="W179" s="31">
        <f t="shared" si="27"/>
        <v>0</v>
      </c>
      <c r="X179" s="31">
        <f t="shared" si="24"/>
        <v>24570</v>
      </c>
      <c r="Y179" s="46">
        <f t="shared" si="35"/>
        <v>1253070</v>
      </c>
      <c r="Z179" s="11" t="str">
        <f t="shared" si="30"/>
        <v>169</v>
      </c>
      <c r="AA179" s="126"/>
      <c r="AB179" s="165" t="s">
        <v>1131</v>
      </c>
      <c r="AC179" s="155"/>
    </row>
    <row r="180" spans="1:29" s="108" customFormat="1" ht="21.75" customHeight="1">
      <c r="A180" s="30" t="s">
        <v>657</v>
      </c>
      <c r="B180" s="33" t="s">
        <v>961</v>
      </c>
      <c r="C180" s="34" t="s">
        <v>891</v>
      </c>
      <c r="D180" s="34"/>
      <c r="E180" s="62" t="s">
        <v>337</v>
      </c>
      <c r="F180" s="75" t="s">
        <v>387</v>
      </c>
      <c r="G180" s="10">
        <v>2.34</v>
      </c>
      <c r="H180" s="157"/>
      <c r="I180" s="81">
        <f t="shared" si="25"/>
        <v>2.34</v>
      </c>
      <c r="J180" s="81"/>
      <c r="K180" s="82">
        <f t="shared" si="31"/>
        <v>2.34</v>
      </c>
      <c r="L180" s="31">
        <f t="shared" si="26"/>
        <v>2457000</v>
      </c>
      <c r="M180" s="184" t="s">
        <v>858</v>
      </c>
      <c r="N180" s="31">
        <f t="shared" si="32"/>
        <v>1228500</v>
      </c>
      <c r="O180" s="31">
        <f t="shared" si="28"/>
        <v>1050000</v>
      </c>
      <c r="P180" s="10">
        <v>26</v>
      </c>
      <c r="Q180" s="62">
        <v>26</v>
      </c>
      <c r="R180" s="158">
        <f t="shared" si="34"/>
        <v>1228500</v>
      </c>
      <c r="S180" s="31">
        <f t="shared" si="29"/>
        <v>1228500</v>
      </c>
      <c r="T180" s="103"/>
      <c r="U180" s="31">
        <f t="shared" si="33"/>
        <v>0</v>
      </c>
      <c r="V180" s="74"/>
      <c r="W180" s="31">
        <f t="shared" si="27"/>
        <v>0</v>
      </c>
      <c r="X180" s="31">
        <f t="shared" si="24"/>
        <v>24570</v>
      </c>
      <c r="Y180" s="46">
        <f t="shared" si="35"/>
        <v>1253070</v>
      </c>
      <c r="Z180" s="11" t="str">
        <f t="shared" si="30"/>
        <v>170</v>
      </c>
      <c r="AA180" s="112"/>
      <c r="AB180" s="165" t="s">
        <v>1132</v>
      </c>
      <c r="AC180" s="155"/>
    </row>
    <row r="181" spans="1:29" s="108" customFormat="1" ht="21.75" customHeight="1">
      <c r="A181" s="30" t="s">
        <v>658</v>
      </c>
      <c r="B181" s="33" t="s">
        <v>1236</v>
      </c>
      <c r="C181" s="34" t="s">
        <v>880</v>
      </c>
      <c r="D181" s="34"/>
      <c r="E181" s="62" t="s">
        <v>338</v>
      </c>
      <c r="F181" s="75" t="s">
        <v>388</v>
      </c>
      <c r="G181" s="10">
        <v>2.34</v>
      </c>
      <c r="H181" s="157"/>
      <c r="I181" s="81">
        <f t="shared" si="25"/>
        <v>2.34</v>
      </c>
      <c r="J181" s="81"/>
      <c r="K181" s="82">
        <f t="shared" si="31"/>
        <v>2.34</v>
      </c>
      <c r="L181" s="31">
        <f t="shared" si="26"/>
        <v>2457000</v>
      </c>
      <c r="M181" s="184" t="s">
        <v>858</v>
      </c>
      <c r="N181" s="31">
        <f t="shared" si="32"/>
        <v>1228500</v>
      </c>
      <c r="O181" s="31">
        <f t="shared" si="28"/>
        <v>1050000</v>
      </c>
      <c r="P181" s="10">
        <v>26</v>
      </c>
      <c r="Q181" s="62">
        <v>26</v>
      </c>
      <c r="R181" s="158">
        <f t="shared" si="34"/>
        <v>1228500</v>
      </c>
      <c r="S181" s="31">
        <f t="shared" si="29"/>
        <v>1228500</v>
      </c>
      <c r="T181" s="103"/>
      <c r="U181" s="31">
        <f t="shared" si="33"/>
        <v>0</v>
      </c>
      <c r="V181" s="74"/>
      <c r="W181" s="31">
        <f t="shared" si="27"/>
        <v>0</v>
      </c>
      <c r="X181" s="31">
        <f t="shared" si="24"/>
        <v>24570</v>
      </c>
      <c r="Y181" s="46">
        <f t="shared" si="35"/>
        <v>1253070</v>
      </c>
      <c r="Z181" s="11" t="str">
        <f t="shared" si="30"/>
        <v>171</v>
      </c>
      <c r="AA181" s="112"/>
      <c r="AB181" s="165" t="s">
        <v>1133</v>
      </c>
      <c r="AC181" s="155"/>
    </row>
    <row r="182" spans="1:29" s="108" customFormat="1" ht="24">
      <c r="A182" s="30" t="s">
        <v>659</v>
      </c>
      <c r="B182" s="33" t="s">
        <v>454</v>
      </c>
      <c r="C182" s="34" t="s">
        <v>455</v>
      </c>
      <c r="D182" s="34"/>
      <c r="E182" s="62" t="s">
        <v>457</v>
      </c>
      <c r="F182" s="75" t="s">
        <v>456</v>
      </c>
      <c r="G182" s="10">
        <f>2.34</f>
        <v>2.34</v>
      </c>
      <c r="H182" s="157"/>
      <c r="I182" s="81">
        <f t="shared" si="25"/>
        <v>2.34</v>
      </c>
      <c r="J182" s="81"/>
      <c r="K182" s="82">
        <f t="shared" si="31"/>
        <v>2.34</v>
      </c>
      <c r="L182" s="31">
        <f t="shared" si="26"/>
        <v>2457000</v>
      </c>
      <c r="M182" s="184" t="s">
        <v>525</v>
      </c>
      <c r="N182" s="31">
        <f t="shared" si="32"/>
        <v>921375</v>
      </c>
      <c r="O182" s="31">
        <f t="shared" si="28"/>
        <v>735000</v>
      </c>
      <c r="P182" s="10">
        <v>26</v>
      </c>
      <c r="Q182" s="62">
        <v>26</v>
      </c>
      <c r="R182" s="158">
        <f t="shared" si="34"/>
        <v>921375</v>
      </c>
      <c r="S182" s="31">
        <f t="shared" si="29"/>
        <v>921375</v>
      </c>
      <c r="T182" s="103"/>
      <c r="U182" s="31">
        <f t="shared" si="33"/>
        <v>0</v>
      </c>
      <c r="V182" s="74"/>
      <c r="W182" s="31">
        <f t="shared" si="27"/>
        <v>0</v>
      </c>
      <c r="X182" s="31">
        <f t="shared" si="24"/>
        <v>24570</v>
      </c>
      <c r="Y182" s="46">
        <f t="shared" si="35"/>
        <v>945945</v>
      </c>
      <c r="Z182" s="11" t="str">
        <f t="shared" si="30"/>
        <v>172</v>
      </c>
      <c r="AA182" s="126" t="s">
        <v>821</v>
      </c>
      <c r="AB182" s="165" t="s">
        <v>1142</v>
      </c>
      <c r="AC182" s="155"/>
    </row>
    <row r="183" spans="1:29" s="108" customFormat="1" ht="19.5" customHeight="1">
      <c r="A183" s="30" t="s">
        <v>660</v>
      </c>
      <c r="B183" s="33" t="s">
        <v>287</v>
      </c>
      <c r="C183" s="149" t="s">
        <v>883</v>
      </c>
      <c r="D183" s="149"/>
      <c r="E183" s="62" t="s">
        <v>339</v>
      </c>
      <c r="F183" s="102">
        <v>1603205182178</v>
      </c>
      <c r="G183" s="184">
        <v>2.41</v>
      </c>
      <c r="H183" s="157"/>
      <c r="I183" s="81">
        <f t="shared" si="25"/>
        <v>2.41</v>
      </c>
      <c r="J183" s="81"/>
      <c r="K183" s="82">
        <f t="shared" si="31"/>
        <v>2.41</v>
      </c>
      <c r="L183" s="31">
        <f t="shared" si="26"/>
        <v>2530500</v>
      </c>
      <c r="M183" s="184" t="s">
        <v>858</v>
      </c>
      <c r="N183" s="31">
        <f t="shared" si="32"/>
        <v>1265250</v>
      </c>
      <c r="O183" s="31">
        <f t="shared" si="28"/>
        <v>1050000</v>
      </c>
      <c r="P183" s="10">
        <v>21</v>
      </c>
      <c r="Q183" s="62">
        <v>23</v>
      </c>
      <c r="R183" s="158">
        <f t="shared" si="34"/>
        <v>1265250</v>
      </c>
      <c r="S183" s="31">
        <f t="shared" si="29"/>
        <v>1265250</v>
      </c>
      <c r="T183" s="103"/>
      <c r="U183" s="31">
        <f t="shared" si="33"/>
        <v>0</v>
      </c>
      <c r="V183" s="74"/>
      <c r="W183" s="31">
        <f t="shared" si="27"/>
        <v>0</v>
      </c>
      <c r="X183" s="31">
        <f t="shared" si="24"/>
        <v>25305.000000000004</v>
      </c>
      <c r="Y183" s="46">
        <f t="shared" si="35"/>
        <v>1290555</v>
      </c>
      <c r="Z183" s="11" t="str">
        <f t="shared" si="30"/>
        <v>173</v>
      </c>
      <c r="AA183" s="126"/>
      <c r="AB183" s="165" t="s">
        <v>1143</v>
      </c>
      <c r="AC183" s="155"/>
    </row>
    <row r="184" spans="1:29" s="108" customFormat="1" ht="22.5" customHeight="1">
      <c r="A184" s="30" t="s">
        <v>661</v>
      </c>
      <c r="B184" s="33" t="s">
        <v>742</v>
      </c>
      <c r="C184" s="34" t="s">
        <v>876</v>
      </c>
      <c r="D184" s="149"/>
      <c r="E184" s="197" t="s">
        <v>741</v>
      </c>
      <c r="F184" s="198" t="s">
        <v>743</v>
      </c>
      <c r="G184" s="10">
        <f>2.34*85%</f>
        <v>1.9889999999999999</v>
      </c>
      <c r="H184" s="157"/>
      <c r="I184" s="81">
        <f t="shared" si="25"/>
        <v>1.9889999999999999</v>
      </c>
      <c r="J184" s="81"/>
      <c r="K184" s="82">
        <f t="shared" si="31"/>
        <v>1.9889999999999999</v>
      </c>
      <c r="L184" s="31">
        <f t="shared" si="26"/>
        <v>2088449.9999999998</v>
      </c>
      <c r="M184" s="184" t="s">
        <v>858</v>
      </c>
      <c r="N184" s="31">
        <f t="shared" si="32"/>
        <v>1044224.9999999999</v>
      </c>
      <c r="O184" s="31">
        <f>IF(M184="A",1050000,IF(M184="B",735000,IF(M184="C",514500,0)))</f>
        <v>1050000</v>
      </c>
      <c r="P184" s="10">
        <v>26</v>
      </c>
      <c r="Q184" s="62">
        <v>26</v>
      </c>
      <c r="R184" s="158">
        <f>IF(N184&gt;O184,N184,O184)</f>
        <v>1050000</v>
      </c>
      <c r="S184" s="31">
        <f>IF(Q184&gt;=P184,R184,R184/P184*Q184)</f>
        <v>1050000</v>
      </c>
      <c r="T184" s="103"/>
      <c r="U184" s="31">
        <f t="shared" si="33"/>
        <v>0</v>
      </c>
      <c r="V184" s="74"/>
      <c r="W184" s="31">
        <f t="shared" si="27"/>
        <v>0</v>
      </c>
      <c r="X184" s="31">
        <f>(K184*0.01*$H$7)+(T184*1%*$H$7)+(V184*1%*$H$7)</f>
        <v>20884.499999999996</v>
      </c>
      <c r="Y184" s="46">
        <f>(S184+U184+W184+X184)</f>
        <v>1070884.5</v>
      </c>
      <c r="Z184" s="11" t="str">
        <f t="shared" si="30"/>
        <v>174</v>
      </c>
      <c r="AA184" s="126"/>
      <c r="AB184" s="165" t="s">
        <v>1144</v>
      </c>
      <c r="AC184" s="155"/>
    </row>
    <row r="185" spans="1:29" s="108" customFormat="1" ht="22.5" customHeight="1">
      <c r="A185" s="30" t="s">
        <v>662</v>
      </c>
      <c r="B185" s="33" t="s">
        <v>1002</v>
      </c>
      <c r="C185" s="34" t="s">
        <v>886</v>
      </c>
      <c r="D185" s="149"/>
      <c r="E185" s="197" t="s">
        <v>744</v>
      </c>
      <c r="F185" s="199">
        <v>1603205357641</v>
      </c>
      <c r="G185" s="10">
        <f>2.67*85%</f>
        <v>2.2694999999999999</v>
      </c>
      <c r="H185" s="157"/>
      <c r="I185" s="81">
        <f t="shared" si="25"/>
        <v>2.2694999999999999</v>
      </c>
      <c r="J185" s="81"/>
      <c r="K185" s="82">
        <f t="shared" si="31"/>
        <v>2.2694999999999999</v>
      </c>
      <c r="L185" s="31">
        <f t="shared" si="26"/>
        <v>2382975</v>
      </c>
      <c r="M185" s="184" t="s">
        <v>858</v>
      </c>
      <c r="N185" s="31">
        <f t="shared" si="32"/>
        <v>1191487.5</v>
      </c>
      <c r="O185" s="31">
        <f>IF(M185="A",1050000,IF(M185="B",735000,IF(M185="C",514500,0)))</f>
        <v>1050000</v>
      </c>
      <c r="P185" s="10">
        <v>26</v>
      </c>
      <c r="Q185" s="62">
        <v>26</v>
      </c>
      <c r="R185" s="158">
        <f>IF(N185&gt;O185,N185,O185)</f>
        <v>1191487.5</v>
      </c>
      <c r="S185" s="31">
        <f>IF(Q185&gt;=P185,R185,R185/P185*Q185)</f>
        <v>1191487.5</v>
      </c>
      <c r="T185" s="103"/>
      <c r="U185" s="31">
        <f t="shared" si="33"/>
        <v>0</v>
      </c>
      <c r="V185" s="74"/>
      <c r="W185" s="31">
        <f t="shared" si="27"/>
        <v>0</v>
      </c>
      <c r="X185" s="31">
        <f>(K185*0.01*$H$7)+(T185*1%*$H$7)+(V185*1%*$H$7)</f>
        <v>23829.75</v>
      </c>
      <c r="Y185" s="46">
        <f>(S185+U185+W185+X185)</f>
        <v>1215317.25</v>
      </c>
      <c r="Z185" s="11" t="str">
        <f t="shared" si="30"/>
        <v>175</v>
      </c>
      <c r="AA185" s="126"/>
      <c r="AB185" s="165" t="s">
        <v>1145</v>
      </c>
      <c r="AC185" s="155"/>
    </row>
    <row r="186" spans="1:29" s="108" customFormat="1" ht="22.5" customHeight="1">
      <c r="A186" s="30" t="s">
        <v>663</v>
      </c>
      <c r="B186" s="33" t="s">
        <v>467</v>
      </c>
      <c r="C186" s="34" t="s">
        <v>746</v>
      </c>
      <c r="D186" s="149"/>
      <c r="E186" s="197" t="s">
        <v>745</v>
      </c>
      <c r="F186" s="199">
        <v>1603205357120</v>
      </c>
      <c r="G186" s="10">
        <f>2.34*85%</f>
        <v>1.9889999999999999</v>
      </c>
      <c r="H186" s="157"/>
      <c r="I186" s="81">
        <f>G186+(G186*H186)</f>
        <v>1.9889999999999999</v>
      </c>
      <c r="J186" s="81"/>
      <c r="K186" s="82">
        <f>I186+J186</f>
        <v>1.9889999999999999</v>
      </c>
      <c r="L186" s="31">
        <f t="shared" si="26"/>
        <v>2088449.9999999998</v>
      </c>
      <c r="M186" s="184" t="s">
        <v>858</v>
      </c>
      <c r="N186" s="31">
        <f t="shared" si="32"/>
        <v>1044224.9999999999</v>
      </c>
      <c r="O186" s="31">
        <f>IF(M186="A",1050000,IF(M186="B",735000,IF(M186="C",514500,0)))</f>
        <v>1050000</v>
      </c>
      <c r="P186" s="10">
        <v>26</v>
      </c>
      <c r="Q186" s="62">
        <v>26</v>
      </c>
      <c r="R186" s="158">
        <f>IF(N186&gt;O186,N186,O186)</f>
        <v>1050000</v>
      </c>
      <c r="S186" s="31">
        <f>IF(Q186&gt;=P186,R186,R186/P186*Q186)</f>
        <v>1050000</v>
      </c>
      <c r="T186" s="103"/>
      <c r="U186" s="31">
        <f t="shared" si="33"/>
        <v>0</v>
      </c>
      <c r="V186" s="74"/>
      <c r="W186" s="31">
        <f t="shared" si="27"/>
        <v>0</v>
      </c>
      <c r="X186" s="31">
        <f>(K186*0.01*$H$7)+(T186*1%*$H$7)+(V186*1%*$H$7)</f>
        <v>20884.499999999996</v>
      </c>
      <c r="Y186" s="46">
        <f>(S186+U186+W186+X186)</f>
        <v>1070884.5</v>
      </c>
      <c r="Z186" s="11" t="str">
        <f t="shared" si="30"/>
        <v>176</v>
      </c>
      <c r="AA186" s="126"/>
      <c r="AB186" s="165" t="s">
        <v>1146</v>
      </c>
      <c r="AC186" s="155"/>
    </row>
    <row r="187" spans="1:29" s="108" customFormat="1" ht="15.75">
      <c r="A187" s="30" t="s">
        <v>664</v>
      </c>
      <c r="B187" s="33" t="s">
        <v>904</v>
      </c>
      <c r="C187" s="149" t="s">
        <v>905</v>
      </c>
      <c r="D187" s="149"/>
      <c r="E187" s="62" t="s">
        <v>60</v>
      </c>
      <c r="F187" s="85" t="s">
        <v>1261</v>
      </c>
      <c r="G187" s="10">
        <v>4.32</v>
      </c>
      <c r="H187" s="157"/>
      <c r="I187" s="81">
        <f>G187+(G187*H187)</f>
        <v>4.32</v>
      </c>
      <c r="J187" s="81">
        <v>0</v>
      </c>
      <c r="K187" s="82">
        <f>I187+J187</f>
        <v>4.32</v>
      </c>
      <c r="L187" s="31">
        <f>K187*$H$7</f>
        <v>4536000</v>
      </c>
      <c r="M187" s="184" t="s">
        <v>858</v>
      </c>
      <c r="N187" s="31">
        <f t="shared" si="32"/>
        <v>2268000</v>
      </c>
      <c r="O187" s="31">
        <f>IF(M187="A",1050000,IF(M187="B",735000,IF(M187="C",514500,0)))</f>
        <v>1050000</v>
      </c>
      <c r="P187" s="10">
        <v>21</v>
      </c>
      <c r="Q187" s="62">
        <v>26</v>
      </c>
      <c r="R187" s="158">
        <f>IF(N187&gt;O187,N187,O187)</f>
        <v>2268000</v>
      </c>
      <c r="S187" s="31">
        <f>IF(Q187&gt;=P187,R187,R187/P187*Q187)</f>
        <v>2268000</v>
      </c>
      <c r="T187" s="103"/>
      <c r="U187" s="31">
        <f>T187*$H$7*0.5</f>
        <v>0</v>
      </c>
      <c r="V187" s="74"/>
      <c r="W187" s="31">
        <f>V187*$H$7*0.5</f>
        <v>0</v>
      </c>
      <c r="X187" s="31">
        <f>(K187*0.01*$H$7)+(T187*1%*$H$7)+(V187*1%*$H$7)</f>
        <v>45360</v>
      </c>
      <c r="Y187" s="46">
        <f>(S187+U187+W187+X187)</f>
        <v>2313360</v>
      </c>
      <c r="Z187" s="11" t="str">
        <f>A187</f>
        <v>177</v>
      </c>
      <c r="AA187" s="112"/>
      <c r="AB187" s="165" t="s">
        <v>1147</v>
      </c>
      <c r="AC187" s="155"/>
    </row>
    <row r="188" spans="1:29" s="108" customFormat="1" ht="18" customHeight="1">
      <c r="A188" s="30" t="s">
        <v>665</v>
      </c>
      <c r="B188" s="33" t="s">
        <v>989</v>
      </c>
      <c r="C188" s="34" t="s">
        <v>990</v>
      </c>
      <c r="D188" s="34" t="s">
        <v>550</v>
      </c>
      <c r="E188" s="62" t="s">
        <v>182</v>
      </c>
      <c r="F188" s="75" t="s">
        <v>1382</v>
      </c>
      <c r="G188" s="10">
        <v>4.9800000000000004</v>
      </c>
      <c r="H188" s="221">
        <v>0.06</v>
      </c>
      <c r="I188" s="81">
        <f t="shared" si="25"/>
        <v>5.2788000000000004</v>
      </c>
      <c r="J188" s="81">
        <v>0.45</v>
      </c>
      <c r="K188" s="82">
        <f t="shared" si="31"/>
        <v>5.7288000000000006</v>
      </c>
      <c r="L188" s="31">
        <f t="shared" si="26"/>
        <v>6015240.0000000009</v>
      </c>
      <c r="M188" s="184" t="s">
        <v>858</v>
      </c>
      <c r="N188" s="31">
        <f t="shared" si="32"/>
        <v>3007620.0000000005</v>
      </c>
      <c r="O188" s="31">
        <f t="shared" si="28"/>
        <v>1050000</v>
      </c>
      <c r="P188" s="10">
        <v>26</v>
      </c>
      <c r="Q188" s="62">
        <v>26</v>
      </c>
      <c r="R188" s="158">
        <f t="shared" si="34"/>
        <v>3007620.0000000005</v>
      </c>
      <c r="S188" s="31">
        <f t="shared" si="29"/>
        <v>3007620.0000000005</v>
      </c>
      <c r="T188" s="103"/>
      <c r="U188" s="31">
        <f t="shared" si="33"/>
        <v>0</v>
      </c>
      <c r="V188" s="74"/>
      <c r="W188" s="31">
        <f t="shared" si="27"/>
        <v>0</v>
      </c>
      <c r="X188" s="31">
        <f t="shared" ref="X188:X250" si="36">(K188*0.01*$H$7)+(T188*1%*$H$7)+(V188*1%*$H$7)</f>
        <v>60152.400000000009</v>
      </c>
      <c r="Y188" s="46">
        <f t="shared" si="35"/>
        <v>3067772.4000000004</v>
      </c>
      <c r="Z188" s="11" t="str">
        <f t="shared" si="30"/>
        <v>178</v>
      </c>
      <c r="AA188" s="126"/>
      <c r="AB188" s="165" t="s">
        <v>812</v>
      </c>
      <c r="AC188" s="155"/>
    </row>
    <row r="189" spans="1:29" s="108" customFormat="1" ht="18" customHeight="1">
      <c r="A189" s="30" t="s">
        <v>666</v>
      </c>
      <c r="B189" s="33" t="s">
        <v>862</v>
      </c>
      <c r="C189" s="34" t="s">
        <v>1046</v>
      </c>
      <c r="D189" s="34"/>
      <c r="E189" s="62" t="s">
        <v>181</v>
      </c>
      <c r="F189" s="85" t="s">
        <v>1381</v>
      </c>
      <c r="G189" s="10">
        <v>3.99</v>
      </c>
      <c r="H189" s="157"/>
      <c r="I189" s="81">
        <f t="shared" si="25"/>
        <v>3.99</v>
      </c>
      <c r="J189" s="81">
        <v>0.35</v>
      </c>
      <c r="K189" s="82">
        <f t="shared" si="31"/>
        <v>4.34</v>
      </c>
      <c r="L189" s="31">
        <f t="shared" si="26"/>
        <v>4557000</v>
      </c>
      <c r="M189" s="184" t="s">
        <v>858</v>
      </c>
      <c r="N189" s="31">
        <f t="shared" si="32"/>
        <v>2278500</v>
      </c>
      <c r="O189" s="31">
        <f t="shared" si="28"/>
        <v>1050000</v>
      </c>
      <c r="P189" s="10">
        <v>26</v>
      </c>
      <c r="Q189" s="62">
        <v>26</v>
      </c>
      <c r="R189" s="158">
        <f t="shared" si="34"/>
        <v>2278500</v>
      </c>
      <c r="S189" s="31">
        <f t="shared" si="29"/>
        <v>2278500</v>
      </c>
      <c r="T189" s="103"/>
      <c r="U189" s="31">
        <f t="shared" si="33"/>
        <v>0</v>
      </c>
      <c r="V189" s="74"/>
      <c r="W189" s="31">
        <f t="shared" si="27"/>
        <v>0</v>
      </c>
      <c r="X189" s="31">
        <f t="shared" si="36"/>
        <v>45570</v>
      </c>
      <c r="Y189" s="46">
        <f t="shared" si="35"/>
        <v>2324070</v>
      </c>
      <c r="Z189" s="11" t="str">
        <f t="shared" si="30"/>
        <v>179</v>
      </c>
      <c r="AA189" s="126"/>
      <c r="AB189" s="165" t="s">
        <v>813</v>
      </c>
      <c r="AC189" s="155"/>
    </row>
    <row r="190" spans="1:29" s="108" customFormat="1" ht="18" customHeight="1">
      <c r="A190" s="30" t="s">
        <v>667</v>
      </c>
      <c r="B190" s="33" t="s">
        <v>1047</v>
      </c>
      <c r="C190" s="34" t="s">
        <v>1048</v>
      </c>
      <c r="D190" s="34"/>
      <c r="E190" s="62" t="s">
        <v>183</v>
      </c>
      <c r="F190" s="75" t="s">
        <v>1383</v>
      </c>
      <c r="G190" s="10">
        <v>4.9800000000000004</v>
      </c>
      <c r="H190" s="221">
        <v>0.06</v>
      </c>
      <c r="I190" s="81">
        <f t="shared" si="25"/>
        <v>5.2788000000000004</v>
      </c>
      <c r="J190" s="81">
        <v>0.25</v>
      </c>
      <c r="K190" s="82">
        <f t="shared" si="31"/>
        <v>5.5288000000000004</v>
      </c>
      <c r="L190" s="31">
        <f t="shared" si="26"/>
        <v>5805240</v>
      </c>
      <c r="M190" s="184" t="s">
        <v>858</v>
      </c>
      <c r="N190" s="31">
        <f t="shared" si="32"/>
        <v>2902620</v>
      </c>
      <c r="O190" s="31">
        <f t="shared" si="28"/>
        <v>1050000</v>
      </c>
      <c r="P190" s="10">
        <v>26</v>
      </c>
      <c r="Q190" s="62">
        <v>26</v>
      </c>
      <c r="R190" s="158">
        <f t="shared" si="34"/>
        <v>2902620</v>
      </c>
      <c r="S190" s="31">
        <f t="shared" si="29"/>
        <v>2902620</v>
      </c>
      <c r="T190" s="103"/>
      <c r="U190" s="31">
        <f t="shared" si="33"/>
        <v>0</v>
      </c>
      <c r="V190" s="74"/>
      <c r="W190" s="31">
        <f t="shared" si="27"/>
        <v>0</v>
      </c>
      <c r="X190" s="31">
        <f t="shared" si="36"/>
        <v>58052.4</v>
      </c>
      <c r="Y190" s="46">
        <f t="shared" si="35"/>
        <v>2960672.4</v>
      </c>
      <c r="Z190" s="11" t="str">
        <f t="shared" si="30"/>
        <v>180</v>
      </c>
      <c r="AA190" s="126"/>
      <c r="AB190" s="165" t="s">
        <v>814</v>
      </c>
      <c r="AC190" s="155"/>
    </row>
    <row r="191" spans="1:29" s="108" customFormat="1" ht="20.25" customHeight="1">
      <c r="A191" s="30" t="s">
        <v>668</v>
      </c>
      <c r="B191" s="33" t="s">
        <v>1047</v>
      </c>
      <c r="C191" s="34" t="s">
        <v>1185</v>
      </c>
      <c r="D191" s="34"/>
      <c r="E191" s="62" t="s">
        <v>184</v>
      </c>
      <c r="F191" s="75" t="s">
        <v>1384</v>
      </c>
      <c r="G191" s="10">
        <v>3.99</v>
      </c>
      <c r="H191" s="157"/>
      <c r="I191" s="81">
        <f t="shared" si="25"/>
        <v>3.99</v>
      </c>
      <c r="J191" s="81">
        <v>0</v>
      </c>
      <c r="K191" s="82">
        <f t="shared" si="31"/>
        <v>3.99</v>
      </c>
      <c r="L191" s="31">
        <f t="shared" si="26"/>
        <v>4189500</v>
      </c>
      <c r="M191" s="184" t="s">
        <v>858</v>
      </c>
      <c r="N191" s="31">
        <f t="shared" si="32"/>
        <v>2094750</v>
      </c>
      <c r="O191" s="31">
        <f t="shared" si="28"/>
        <v>1050000</v>
      </c>
      <c r="P191" s="10">
        <v>26</v>
      </c>
      <c r="Q191" s="62">
        <v>26</v>
      </c>
      <c r="R191" s="158">
        <f t="shared" si="34"/>
        <v>2094750</v>
      </c>
      <c r="S191" s="31">
        <f t="shared" si="29"/>
        <v>2094750</v>
      </c>
      <c r="T191" s="103"/>
      <c r="U191" s="31">
        <f t="shared" si="33"/>
        <v>0</v>
      </c>
      <c r="V191" s="74"/>
      <c r="W191" s="31">
        <f t="shared" si="27"/>
        <v>0</v>
      </c>
      <c r="X191" s="31">
        <f t="shared" si="36"/>
        <v>41895.000000000007</v>
      </c>
      <c r="Y191" s="46">
        <f t="shared" si="35"/>
        <v>2136645</v>
      </c>
      <c r="Z191" s="11" t="str">
        <f t="shared" si="30"/>
        <v>181</v>
      </c>
      <c r="AA191" s="126"/>
      <c r="AB191" s="165" t="s">
        <v>815</v>
      </c>
      <c r="AC191" s="155"/>
    </row>
    <row r="192" spans="1:29" s="108" customFormat="1" ht="20.25" customHeight="1">
      <c r="A192" s="30" t="s">
        <v>669</v>
      </c>
      <c r="B192" s="33" t="s">
        <v>969</v>
      </c>
      <c r="C192" s="34" t="s">
        <v>1049</v>
      </c>
      <c r="D192" s="34"/>
      <c r="E192" s="62" t="s">
        <v>185</v>
      </c>
      <c r="F192" s="75" t="s">
        <v>1385</v>
      </c>
      <c r="G192" s="10">
        <v>3.33</v>
      </c>
      <c r="H192" s="157"/>
      <c r="I192" s="81">
        <f t="shared" si="25"/>
        <v>3.33</v>
      </c>
      <c r="J192" s="81">
        <v>0.25</v>
      </c>
      <c r="K192" s="82">
        <f t="shared" si="31"/>
        <v>3.58</v>
      </c>
      <c r="L192" s="31">
        <f t="shared" si="26"/>
        <v>3759000</v>
      </c>
      <c r="M192" s="184" t="s">
        <v>858</v>
      </c>
      <c r="N192" s="31">
        <f t="shared" si="32"/>
        <v>1879500</v>
      </c>
      <c r="O192" s="31">
        <f t="shared" si="28"/>
        <v>1050000</v>
      </c>
      <c r="P192" s="10">
        <v>26</v>
      </c>
      <c r="Q192" s="62">
        <v>26</v>
      </c>
      <c r="R192" s="158">
        <f t="shared" si="34"/>
        <v>1879500</v>
      </c>
      <c r="S192" s="31">
        <f t="shared" si="29"/>
        <v>1879500</v>
      </c>
      <c r="T192" s="103"/>
      <c r="U192" s="31">
        <f t="shared" si="33"/>
        <v>0</v>
      </c>
      <c r="V192" s="74"/>
      <c r="W192" s="31">
        <f t="shared" si="27"/>
        <v>0</v>
      </c>
      <c r="X192" s="31">
        <f t="shared" si="36"/>
        <v>37590</v>
      </c>
      <c r="Y192" s="46">
        <f t="shared" si="35"/>
        <v>1917090</v>
      </c>
      <c r="Z192" s="11" t="str">
        <f t="shared" si="30"/>
        <v>182</v>
      </c>
      <c r="AA192" s="126"/>
      <c r="AB192" s="165" t="s">
        <v>816</v>
      </c>
      <c r="AC192" s="155"/>
    </row>
    <row r="193" spans="1:29" s="108" customFormat="1" ht="21.75" customHeight="1">
      <c r="A193" s="30" t="s">
        <v>670</v>
      </c>
      <c r="B193" s="33" t="s">
        <v>1050</v>
      </c>
      <c r="C193" s="34" t="s">
        <v>1019</v>
      </c>
      <c r="D193" s="34"/>
      <c r="E193" s="62" t="s">
        <v>186</v>
      </c>
      <c r="F193" s="75" t="s">
        <v>1386</v>
      </c>
      <c r="G193" s="10">
        <v>3.33</v>
      </c>
      <c r="H193" s="157"/>
      <c r="I193" s="81">
        <f t="shared" si="25"/>
        <v>3.33</v>
      </c>
      <c r="J193" s="81"/>
      <c r="K193" s="82">
        <f t="shared" si="31"/>
        <v>3.33</v>
      </c>
      <c r="L193" s="31">
        <f t="shared" si="26"/>
        <v>3496500</v>
      </c>
      <c r="M193" s="184" t="s">
        <v>858</v>
      </c>
      <c r="N193" s="31">
        <f t="shared" si="32"/>
        <v>1748250</v>
      </c>
      <c r="O193" s="31">
        <f t="shared" si="28"/>
        <v>1050000</v>
      </c>
      <c r="P193" s="10">
        <v>26</v>
      </c>
      <c r="Q193" s="62">
        <v>26</v>
      </c>
      <c r="R193" s="158">
        <f t="shared" si="34"/>
        <v>1748250</v>
      </c>
      <c r="S193" s="31">
        <f t="shared" si="29"/>
        <v>1748250</v>
      </c>
      <c r="T193" s="103"/>
      <c r="U193" s="31">
        <f t="shared" si="33"/>
        <v>0</v>
      </c>
      <c r="V193" s="74"/>
      <c r="W193" s="31">
        <f t="shared" si="27"/>
        <v>0</v>
      </c>
      <c r="X193" s="31">
        <f t="shared" si="36"/>
        <v>34965</v>
      </c>
      <c r="Y193" s="46">
        <f t="shared" si="35"/>
        <v>1783215</v>
      </c>
      <c r="Z193" s="11" t="str">
        <f t="shared" si="30"/>
        <v>183</v>
      </c>
      <c r="AA193" s="126"/>
      <c r="AB193" s="165" t="s">
        <v>817</v>
      </c>
      <c r="AC193" s="155"/>
    </row>
    <row r="194" spans="1:29" s="108" customFormat="1" ht="20.25" customHeight="1">
      <c r="A194" s="30" t="s">
        <v>671</v>
      </c>
      <c r="B194" s="33" t="s">
        <v>935</v>
      </c>
      <c r="C194" s="34" t="s">
        <v>1051</v>
      </c>
      <c r="D194" s="34"/>
      <c r="E194" s="62" t="s">
        <v>187</v>
      </c>
      <c r="F194" s="75" t="s">
        <v>1387</v>
      </c>
      <c r="G194" s="10">
        <v>3</v>
      </c>
      <c r="H194" s="157"/>
      <c r="I194" s="81">
        <f t="shared" si="25"/>
        <v>3</v>
      </c>
      <c r="J194" s="81">
        <v>0</v>
      </c>
      <c r="K194" s="82">
        <f t="shared" si="31"/>
        <v>3</v>
      </c>
      <c r="L194" s="31">
        <f t="shared" si="26"/>
        <v>3150000</v>
      </c>
      <c r="M194" s="184" t="s">
        <v>858</v>
      </c>
      <c r="N194" s="31">
        <f t="shared" si="32"/>
        <v>1575000</v>
      </c>
      <c r="O194" s="31">
        <f t="shared" si="28"/>
        <v>1050000</v>
      </c>
      <c r="P194" s="10">
        <v>26</v>
      </c>
      <c r="Q194" s="62">
        <v>26</v>
      </c>
      <c r="R194" s="158">
        <f t="shared" si="34"/>
        <v>1575000</v>
      </c>
      <c r="S194" s="31">
        <f t="shared" si="29"/>
        <v>1575000</v>
      </c>
      <c r="T194" s="103"/>
      <c r="U194" s="31">
        <f t="shared" si="33"/>
        <v>0</v>
      </c>
      <c r="V194" s="74"/>
      <c r="W194" s="31">
        <f t="shared" si="27"/>
        <v>0</v>
      </c>
      <c r="X194" s="31">
        <f t="shared" si="36"/>
        <v>31500</v>
      </c>
      <c r="Y194" s="46">
        <f t="shared" si="35"/>
        <v>1606500</v>
      </c>
      <c r="Z194" s="11" t="str">
        <f t="shared" si="30"/>
        <v>184</v>
      </c>
      <c r="AA194" s="126"/>
      <c r="AB194" s="165" t="s">
        <v>818</v>
      </c>
      <c r="AC194" s="155"/>
    </row>
    <row r="195" spans="1:29" s="108" customFormat="1" ht="21" customHeight="1">
      <c r="A195" s="30" t="s">
        <v>672</v>
      </c>
      <c r="B195" s="33" t="s">
        <v>1052</v>
      </c>
      <c r="C195" s="34" t="s">
        <v>1053</v>
      </c>
      <c r="D195" s="34"/>
      <c r="E195" s="62" t="s">
        <v>188</v>
      </c>
      <c r="F195" s="75" t="s">
        <v>1388</v>
      </c>
      <c r="G195" s="10">
        <v>3.33</v>
      </c>
      <c r="H195" s="157"/>
      <c r="I195" s="81">
        <f t="shared" si="25"/>
        <v>3.33</v>
      </c>
      <c r="J195" s="81">
        <v>0</v>
      </c>
      <c r="K195" s="82">
        <f t="shared" si="31"/>
        <v>3.33</v>
      </c>
      <c r="L195" s="31">
        <f t="shared" si="26"/>
        <v>3496500</v>
      </c>
      <c r="M195" s="184" t="s">
        <v>858</v>
      </c>
      <c r="N195" s="31">
        <f t="shared" si="32"/>
        <v>1748250</v>
      </c>
      <c r="O195" s="31">
        <f t="shared" si="28"/>
        <v>1050000</v>
      </c>
      <c r="P195" s="10">
        <v>26</v>
      </c>
      <c r="Q195" s="62">
        <v>26</v>
      </c>
      <c r="R195" s="158">
        <f t="shared" si="34"/>
        <v>1748250</v>
      </c>
      <c r="S195" s="31">
        <f t="shared" si="29"/>
        <v>1748250</v>
      </c>
      <c r="T195" s="103"/>
      <c r="U195" s="31">
        <f t="shared" si="33"/>
        <v>0</v>
      </c>
      <c r="V195" s="74"/>
      <c r="W195" s="31">
        <f t="shared" si="27"/>
        <v>0</v>
      </c>
      <c r="X195" s="31">
        <f t="shared" si="36"/>
        <v>34965</v>
      </c>
      <c r="Y195" s="46">
        <f t="shared" si="35"/>
        <v>1783215</v>
      </c>
      <c r="Z195" s="11" t="str">
        <f t="shared" si="30"/>
        <v>185</v>
      </c>
      <c r="AA195" s="126"/>
      <c r="AB195" s="165" t="s">
        <v>819</v>
      </c>
      <c r="AC195" s="155"/>
    </row>
    <row r="196" spans="1:29" s="108" customFormat="1" ht="20.25" customHeight="1">
      <c r="A196" s="30" t="s">
        <v>673</v>
      </c>
      <c r="B196" s="33" t="s">
        <v>1054</v>
      </c>
      <c r="C196" s="34" t="s">
        <v>1051</v>
      </c>
      <c r="D196" s="34"/>
      <c r="E196" s="62" t="s">
        <v>189</v>
      </c>
      <c r="F196" s="75" t="s">
        <v>1389</v>
      </c>
      <c r="G196" s="10">
        <v>3</v>
      </c>
      <c r="H196" s="157"/>
      <c r="I196" s="81">
        <f t="shared" si="25"/>
        <v>3</v>
      </c>
      <c r="J196" s="81">
        <v>0</v>
      </c>
      <c r="K196" s="82">
        <f t="shared" si="31"/>
        <v>3</v>
      </c>
      <c r="L196" s="31">
        <f t="shared" si="26"/>
        <v>3150000</v>
      </c>
      <c r="M196" s="184" t="s">
        <v>858</v>
      </c>
      <c r="N196" s="31">
        <f t="shared" si="32"/>
        <v>1575000</v>
      </c>
      <c r="O196" s="31">
        <f t="shared" si="28"/>
        <v>1050000</v>
      </c>
      <c r="P196" s="10">
        <v>26</v>
      </c>
      <c r="Q196" s="62">
        <v>26</v>
      </c>
      <c r="R196" s="158">
        <f t="shared" si="34"/>
        <v>1575000</v>
      </c>
      <c r="S196" s="31">
        <f t="shared" si="29"/>
        <v>1575000</v>
      </c>
      <c r="T196" s="103"/>
      <c r="U196" s="31">
        <f t="shared" si="33"/>
        <v>0</v>
      </c>
      <c r="V196" s="74"/>
      <c r="W196" s="31">
        <f t="shared" si="27"/>
        <v>0</v>
      </c>
      <c r="X196" s="31">
        <f t="shared" si="36"/>
        <v>31500</v>
      </c>
      <c r="Y196" s="46">
        <f t="shared" si="35"/>
        <v>1606500</v>
      </c>
      <c r="Z196" s="11" t="str">
        <f t="shared" si="30"/>
        <v>186</v>
      </c>
      <c r="AA196" s="126"/>
      <c r="AB196" s="165" t="s">
        <v>820</v>
      </c>
      <c r="AC196" s="155"/>
    </row>
    <row r="197" spans="1:29" s="108" customFormat="1" ht="19.5" customHeight="1">
      <c r="A197" s="30" t="s">
        <v>674</v>
      </c>
      <c r="B197" s="33" t="s">
        <v>1054</v>
      </c>
      <c r="C197" s="34" t="s">
        <v>1024</v>
      </c>
      <c r="D197" s="34"/>
      <c r="E197" s="62" t="s">
        <v>190</v>
      </c>
      <c r="F197" s="75" t="s">
        <v>1390</v>
      </c>
      <c r="G197" s="83">
        <v>3</v>
      </c>
      <c r="H197" s="157"/>
      <c r="I197" s="161">
        <f t="shared" si="25"/>
        <v>3</v>
      </c>
      <c r="J197" s="81">
        <v>0.2</v>
      </c>
      <c r="K197" s="82">
        <f t="shared" si="31"/>
        <v>3.2</v>
      </c>
      <c r="L197" s="31">
        <f t="shared" si="26"/>
        <v>3360000</v>
      </c>
      <c r="M197" s="184" t="s">
        <v>858</v>
      </c>
      <c r="N197" s="31">
        <f t="shared" si="32"/>
        <v>1680000</v>
      </c>
      <c r="O197" s="31">
        <f t="shared" si="28"/>
        <v>1050000</v>
      </c>
      <c r="P197" s="10">
        <v>26</v>
      </c>
      <c r="Q197" s="62">
        <v>26</v>
      </c>
      <c r="R197" s="158">
        <f t="shared" si="34"/>
        <v>1680000</v>
      </c>
      <c r="S197" s="31">
        <f t="shared" si="29"/>
        <v>1680000</v>
      </c>
      <c r="T197" s="103"/>
      <c r="U197" s="31">
        <f t="shared" si="33"/>
        <v>0</v>
      </c>
      <c r="V197" s="74"/>
      <c r="W197" s="31">
        <f t="shared" si="27"/>
        <v>0</v>
      </c>
      <c r="X197" s="31">
        <f t="shared" si="36"/>
        <v>33600</v>
      </c>
      <c r="Y197" s="46">
        <f t="shared" si="35"/>
        <v>1713600</v>
      </c>
      <c r="Z197" s="11" t="str">
        <f t="shared" si="30"/>
        <v>187</v>
      </c>
      <c r="AA197" s="126"/>
      <c r="AB197" s="165" t="s">
        <v>1119</v>
      </c>
      <c r="AC197" s="155"/>
    </row>
    <row r="198" spans="1:29" s="108" customFormat="1" ht="20.25" customHeight="1">
      <c r="A198" s="30" t="s">
        <v>675</v>
      </c>
      <c r="B198" s="33" t="s">
        <v>1055</v>
      </c>
      <c r="C198" s="34" t="s">
        <v>1056</v>
      </c>
      <c r="D198" s="34"/>
      <c r="E198" s="62" t="s">
        <v>191</v>
      </c>
      <c r="F198" s="75" t="s">
        <v>1391</v>
      </c>
      <c r="G198" s="10">
        <v>2.67</v>
      </c>
      <c r="H198" s="157"/>
      <c r="I198" s="81">
        <f t="shared" si="25"/>
        <v>2.67</v>
      </c>
      <c r="J198" s="81">
        <v>0.25</v>
      </c>
      <c r="K198" s="82">
        <f t="shared" si="31"/>
        <v>2.92</v>
      </c>
      <c r="L198" s="31">
        <f t="shared" si="26"/>
        <v>3066000</v>
      </c>
      <c r="M198" s="184" t="s">
        <v>858</v>
      </c>
      <c r="N198" s="31">
        <f t="shared" si="32"/>
        <v>1533000</v>
      </c>
      <c r="O198" s="31">
        <f t="shared" si="28"/>
        <v>1050000</v>
      </c>
      <c r="P198" s="10">
        <v>26</v>
      </c>
      <c r="Q198" s="62">
        <v>26</v>
      </c>
      <c r="R198" s="158">
        <f t="shared" si="34"/>
        <v>1533000</v>
      </c>
      <c r="S198" s="31">
        <f t="shared" si="29"/>
        <v>1533000</v>
      </c>
      <c r="T198" s="103"/>
      <c r="U198" s="31">
        <f t="shared" si="33"/>
        <v>0</v>
      </c>
      <c r="V198" s="74"/>
      <c r="W198" s="31">
        <f t="shared" si="27"/>
        <v>0</v>
      </c>
      <c r="X198" s="31">
        <f t="shared" si="36"/>
        <v>30660</v>
      </c>
      <c r="Y198" s="46">
        <f t="shared" si="35"/>
        <v>1563660</v>
      </c>
      <c r="Z198" s="11" t="str">
        <f t="shared" si="30"/>
        <v>188</v>
      </c>
      <c r="AA198" s="126"/>
      <c r="AB198" s="165" t="s">
        <v>1120</v>
      </c>
      <c r="AC198" s="155"/>
    </row>
    <row r="199" spans="1:29" s="108" customFormat="1" ht="22.5" customHeight="1">
      <c r="A199" s="30" t="s">
        <v>676</v>
      </c>
      <c r="B199" s="33" t="s">
        <v>1057</v>
      </c>
      <c r="C199" s="34" t="s">
        <v>1058</v>
      </c>
      <c r="D199" s="34"/>
      <c r="E199" s="62" t="s">
        <v>192</v>
      </c>
      <c r="F199" s="75" t="s">
        <v>1392</v>
      </c>
      <c r="G199" s="83">
        <v>3</v>
      </c>
      <c r="H199" s="157"/>
      <c r="I199" s="161">
        <f t="shared" si="25"/>
        <v>3</v>
      </c>
      <c r="J199" s="81">
        <v>0</v>
      </c>
      <c r="K199" s="82">
        <f t="shared" si="31"/>
        <v>3</v>
      </c>
      <c r="L199" s="31">
        <f t="shared" si="26"/>
        <v>3150000</v>
      </c>
      <c r="M199" s="184" t="s">
        <v>858</v>
      </c>
      <c r="N199" s="31">
        <f t="shared" si="32"/>
        <v>1575000</v>
      </c>
      <c r="O199" s="31">
        <f t="shared" si="28"/>
        <v>1050000</v>
      </c>
      <c r="P199" s="10">
        <v>26</v>
      </c>
      <c r="Q199" s="62">
        <v>26</v>
      </c>
      <c r="R199" s="158">
        <f t="shared" si="34"/>
        <v>1575000</v>
      </c>
      <c r="S199" s="31">
        <f t="shared" si="29"/>
        <v>1575000</v>
      </c>
      <c r="T199" s="103"/>
      <c r="U199" s="31">
        <f t="shared" si="33"/>
        <v>0</v>
      </c>
      <c r="V199" s="74"/>
      <c r="W199" s="31">
        <f t="shared" si="27"/>
        <v>0</v>
      </c>
      <c r="X199" s="31">
        <f t="shared" si="36"/>
        <v>31500</v>
      </c>
      <c r="Y199" s="46">
        <f t="shared" si="35"/>
        <v>1606500</v>
      </c>
      <c r="Z199" s="11" t="str">
        <f t="shared" si="30"/>
        <v>189</v>
      </c>
      <c r="AA199" s="126"/>
      <c r="AB199" s="165" t="s">
        <v>1121</v>
      </c>
      <c r="AC199" s="155"/>
    </row>
    <row r="200" spans="1:29" s="108" customFormat="1" ht="20.25" customHeight="1">
      <c r="A200" s="30" t="s">
        <v>677</v>
      </c>
      <c r="B200" s="33" t="s">
        <v>1004</v>
      </c>
      <c r="C200" s="34" t="s">
        <v>1005</v>
      </c>
      <c r="D200" s="34"/>
      <c r="E200" s="62" t="s">
        <v>194</v>
      </c>
      <c r="F200" s="75" t="s">
        <v>1394</v>
      </c>
      <c r="G200" s="10">
        <v>4.9800000000000004</v>
      </c>
      <c r="H200" s="157"/>
      <c r="I200" s="81">
        <f t="shared" si="25"/>
        <v>4.9800000000000004</v>
      </c>
      <c r="J200" s="81">
        <v>0</v>
      </c>
      <c r="K200" s="82">
        <f t="shared" si="31"/>
        <v>4.9800000000000004</v>
      </c>
      <c r="L200" s="31">
        <f t="shared" si="26"/>
        <v>5229000</v>
      </c>
      <c r="M200" s="184" t="s">
        <v>858</v>
      </c>
      <c r="N200" s="31">
        <f t="shared" si="32"/>
        <v>2614500</v>
      </c>
      <c r="O200" s="31">
        <f t="shared" si="28"/>
        <v>1050000</v>
      </c>
      <c r="P200" s="10">
        <v>26</v>
      </c>
      <c r="Q200" s="62">
        <v>26</v>
      </c>
      <c r="R200" s="158">
        <f t="shared" si="34"/>
        <v>2614500</v>
      </c>
      <c r="S200" s="31">
        <f t="shared" si="29"/>
        <v>2614500</v>
      </c>
      <c r="T200" s="103"/>
      <c r="U200" s="31">
        <f t="shared" si="33"/>
        <v>0</v>
      </c>
      <c r="V200" s="74"/>
      <c r="W200" s="31">
        <f t="shared" si="27"/>
        <v>0</v>
      </c>
      <c r="X200" s="31">
        <f t="shared" si="36"/>
        <v>52290.000000000007</v>
      </c>
      <c r="Y200" s="46">
        <f t="shared" si="35"/>
        <v>2666790</v>
      </c>
      <c r="Z200" s="11" t="str">
        <f t="shared" si="30"/>
        <v>190</v>
      </c>
      <c r="AA200" s="126"/>
      <c r="AB200" s="165" t="s">
        <v>1122</v>
      </c>
      <c r="AC200" s="155"/>
    </row>
    <row r="201" spans="1:29" s="108" customFormat="1" ht="19.5" customHeight="1">
      <c r="A201" s="30" t="s">
        <v>678</v>
      </c>
      <c r="B201" s="33" t="s">
        <v>895</v>
      </c>
      <c r="C201" s="34" t="s">
        <v>1006</v>
      </c>
      <c r="D201" s="34"/>
      <c r="E201" s="62" t="s">
        <v>195</v>
      </c>
      <c r="F201" s="75" t="s">
        <v>1395</v>
      </c>
      <c r="G201" s="10">
        <v>4.9800000000000004</v>
      </c>
      <c r="H201" s="221">
        <v>0.06</v>
      </c>
      <c r="I201" s="81">
        <f t="shared" si="25"/>
        <v>5.2788000000000004</v>
      </c>
      <c r="J201" s="81">
        <v>0</v>
      </c>
      <c r="K201" s="82">
        <f t="shared" si="31"/>
        <v>5.2788000000000004</v>
      </c>
      <c r="L201" s="31">
        <f t="shared" si="26"/>
        <v>5542740</v>
      </c>
      <c r="M201" s="184" t="s">
        <v>858</v>
      </c>
      <c r="N201" s="31">
        <f t="shared" si="32"/>
        <v>2771370</v>
      </c>
      <c r="O201" s="31">
        <f t="shared" si="28"/>
        <v>1050000</v>
      </c>
      <c r="P201" s="10">
        <v>26</v>
      </c>
      <c r="Q201" s="62">
        <v>26</v>
      </c>
      <c r="R201" s="158">
        <f t="shared" si="34"/>
        <v>2771370</v>
      </c>
      <c r="S201" s="31">
        <f t="shared" si="29"/>
        <v>2771370</v>
      </c>
      <c r="T201" s="103"/>
      <c r="U201" s="31">
        <f t="shared" si="33"/>
        <v>0</v>
      </c>
      <c r="V201" s="74"/>
      <c r="W201" s="31">
        <f t="shared" si="27"/>
        <v>0</v>
      </c>
      <c r="X201" s="31">
        <f t="shared" si="36"/>
        <v>55427.4</v>
      </c>
      <c r="Y201" s="46">
        <f t="shared" si="35"/>
        <v>2826797.4</v>
      </c>
      <c r="Z201" s="11" t="str">
        <f t="shared" si="30"/>
        <v>191</v>
      </c>
      <c r="AA201" s="112"/>
      <c r="AB201" s="165" t="s">
        <v>1123</v>
      </c>
      <c r="AC201" s="155"/>
    </row>
    <row r="202" spans="1:29" s="108" customFormat="1" ht="20.25" customHeight="1">
      <c r="A202" s="30" t="s">
        <v>679</v>
      </c>
      <c r="B202" s="33" t="s">
        <v>1007</v>
      </c>
      <c r="C202" s="34" t="s">
        <v>885</v>
      </c>
      <c r="D202" s="34"/>
      <c r="E202" s="62" t="s">
        <v>196</v>
      </c>
      <c r="F202" s="75" t="s">
        <v>1396</v>
      </c>
      <c r="G202" s="10">
        <v>3.33</v>
      </c>
      <c r="H202" s="157"/>
      <c r="I202" s="81">
        <f t="shared" si="25"/>
        <v>3.33</v>
      </c>
      <c r="J202" s="81">
        <v>0.25</v>
      </c>
      <c r="K202" s="82">
        <f t="shared" si="31"/>
        <v>3.58</v>
      </c>
      <c r="L202" s="31">
        <f t="shared" si="26"/>
        <v>3759000</v>
      </c>
      <c r="M202" s="184" t="s">
        <v>858</v>
      </c>
      <c r="N202" s="31">
        <f t="shared" si="32"/>
        <v>1879500</v>
      </c>
      <c r="O202" s="31">
        <f t="shared" si="28"/>
        <v>1050000</v>
      </c>
      <c r="P202" s="10">
        <v>26</v>
      </c>
      <c r="Q202" s="62">
        <v>26</v>
      </c>
      <c r="R202" s="158">
        <f t="shared" si="34"/>
        <v>1879500</v>
      </c>
      <c r="S202" s="31">
        <f t="shared" si="29"/>
        <v>1879500</v>
      </c>
      <c r="T202" s="103"/>
      <c r="U202" s="31">
        <f t="shared" si="33"/>
        <v>0</v>
      </c>
      <c r="V202" s="74"/>
      <c r="W202" s="31">
        <f t="shared" si="27"/>
        <v>0</v>
      </c>
      <c r="X202" s="31">
        <f t="shared" si="36"/>
        <v>37590</v>
      </c>
      <c r="Y202" s="46">
        <f t="shared" si="35"/>
        <v>1917090</v>
      </c>
      <c r="Z202" s="11" t="str">
        <f t="shared" si="30"/>
        <v>192</v>
      </c>
      <c r="AA202" s="126"/>
      <c r="AB202" s="165" t="s">
        <v>1124</v>
      </c>
      <c r="AC202" s="155"/>
    </row>
    <row r="203" spans="1:29" s="108" customFormat="1" ht="19.5" customHeight="1">
      <c r="A203" s="30" t="s">
        <v>680</v>
      </c>
      <c r="B203" s="33" t="s">
        <v>1002</v>
      </c>
      <c r="C203" s="34" t="s">
        <v>1003</v>
      </c>
      <c r="D203" s="34"/>
      <c r="E203" s="62" t="s">
        <v>197</v>
      </c>
      <c r="F203" s="75" t="s">
        <v>1397</v>
      </c>
      <c r="G203" s="10">
        <v>4.9800000000000004</v>
      </c>
      <c r="H203" s="221">
        <v>0.06</v>
      </c>
      <c r="I203" s="81">
        <f t="shared" ref="I203:I253" si="37">G203+(G203*H203)</f>
        <v>5.2788000000000004</v>
      </c>
      <c r="J203" s="81">
        <v>0</v>
      </c>
      <c r="K203" s="82">
        <f t="shared" si="31"/>
        <v>5.2788000000000004</v>
      </c>
      <c r="L203" s="31">
        <f t="shared" ref="L203:L253" si="38">K203*$H$7</f>
        <v>5542740</v>
      </c>
      <c r="M203" s="184" t="s">
        <v>858</v>
      </c>
      <c r="N203" s="31">
        <f t="shared" si="32"/>
        <v>2771370</v>
      </c>
      <c r="O203" s="31">
        <f t="shared" si="28"/>
        <v>1050000</v>
      </c>
      <c r="P203" s="10">
        <v>26</v>
      </c>
      <c r="Q203" s="62">
        <v>26</v>
      </c>
      <c r="R203" s="158">
        <f t="shared" si="34"/>
        <v>2771370</v>
      </c>
      <c r="S203" s="31">
        <f t="shared" si="29"/>
        <v>2771370</v>
      </c>
      <c r="T203" s="103"/>
      <c r="U203" s="31">
        <f t="shared" si="33"/>
        <v>0</v>
      </c>
      <c r="V203" s="74"/>
      <c r="W203" s="31">
        <f t="shared" ref="W203:W253" si="39">V203*$H$7*0.5</f>
        <v>0</v>
      </c>
      <c r="X203" s="31">
        <f t="shared" si="36"/>
        <v>55427.4</v>
      </c>
      <c r="Y203" s="46">
        <f t="shared" si="35"/>
        <v>2826797.4</v>
      </c>
      <c r="Z203" s="11" t="str">
        <f t="shared" si="30"/>
        <v>193</v>
      </c>
      <c r="AA203" s="126"/>
      <c r="AB203" s="165" t="s">
        <v>1125</v>
      </c>
      <c r="AC203" s="155"/>
    </row>
    <row r="204" spans="1:29" s="108" customFormat="1" ht="24.75" customHeight="1">
      <c r="A204" s="30" t="s">
        <v>681</v>
      </c>
      <c r="B204" s="33" t="s">
        <v>288</v>
      </c>
      <c r="C204" s="34" t="s">
        <v>947</v>
      </c>
      <c r="D204" s="34"/>
      <c r="E204" s="62" t="s">
        <v>340</v>
      </c>
      <c r="F204" s="75" t="s">
        <v>389</v>
      </c>
      <c r="G204" s="10">
        <v>2.34</v>
      </c>
      <c r="H204" s="157"/>
      <c r="I204" s="81">
        <f t="shared" si="37"/>
        <v>2.34</v>
      </c>
      <c r="J204" s="81"/>
      <c r="K204" s="82">
        <f>I204+J204</f>
        <v>2.34</v>
      </c>
      <c r="L204" s="31">
        <f t="shared" si="38"/>
        <v>2457000</v>
      </c>
      <c r="M204" s="184" t="s">
        <v>858</v>
      </c>
      <c r="N204" s="31">
        <f t="shared" si="32"/>
        <v>1228500</v>
      </c>
      <c r="O204" s="31">
        <f t="shared" ref="O204:O250" si="40">IF(M204="A",1050000,IF(M204="B",735000,IF(M204="C",514500,0)))</f>
        <v>1050000</v>
      </c>
      <c r="P204" s="10">
        <v>26</v>
      </c>
      <c r="Q204" s="62">
        <v>26</v>
      </c>
      <c r="R204" s="158">
        <f t="shared" si="34"/>
        <v>1228500</v>
      </c>
      <c r="S204" s="31">
        <f t="shared" ref="S204:S250" si="41">IF(Q204&gt;=P204,R204,R204/P204*Q204)</f>
        <v>1228500</v>
      </c>
      <c r="T204" s="103"/>
      <c r="U204" s="31">
        <f t="shared" si="33"/>
        <v>0</v>
      </c>
      <c r="V204" s="74"/>
      <c r="W204" s="31">
        <f t="shared" si="39"/>
        <v>0</v>
      </c>
      <c r="X204" s="31">
        <f t="shared" si="36"/>
        <v>24570</v>
      </c>
      <c r="Y204" s="46">
        <f t="shared" si="35"/>
        <v>1253070</v>
      </c>
      <c r="Z204" s="11" t="str">
        <f t="shared" si="30"/>
        <v>194</v>
      </c>
      <c r="AA204" s="126"/>
      <c r="AB204" s="165" t="s">
        <v>1126</v>
      </c>
      <c r="AC204" s="155"/>
    </row>
    <row r="205" spans="1:29" s="108" customFormat="1" ht="20.25" customHeight="1">
      <c r="A205" s="30" t="s">
        <v>682</v>
      </c>
      <c r="B205" s="33" t="s">
        <v>1201</v>
      </c>
      <c r="C205" s="34" t="s">
        <v>1199</v>
      </c>
      <c r="D205" s="34"/>
      <c r="E205" s="62" t="s">
        <v>132</v>
      </c>
      <c r="F205" s="75" t="s">
        <v>1334</v>
      </c>
      <c r="G205" s="83">
        <v>3</v>
      </c>
      <c r="H205" s="157"/>
      <c r="I205" s="161">
        <f>G205+(G205*H205)</f>
        <v>3</v>
      </c>
      <c r="J205" s="81">
        <v>0</v>
      </c>
      <c r="K205" s="82">
        <f>I205+J205</f>
        <v>3</v>
      </c>
      <c r="L205" s="31">
        <f>K205*$H$7</f>
        <v>3150000</v>
      </c>
      <c r="M205" s="184" t="s">
        <v>858</v>
      </c>
      <c r="N205" s="31">
        <f t="shared" ref="N205:N253" si="42">IF(M205="A",L205*0.5,IF(M205="B",L205*0.5*0.75,IF(M205="C",L205*0.5*0.75*0.75,0)))</f>
        <v>1575000</v>
      </c>
      <c r="O205" s="31">
        <f t="shared" si="40"/>
        <v>1050000</v>
      </c>
      <c r="P205" s="10">
        <v>26</v>
      </c>
      <c r="Q205" s="62">
        <v>26</v>
      </c>
      <c r="R205" s="158">
        <f t="shared" si="34"/>
        <v>1575000</v>
      </c>
      <c r="S205" s="31">
        <f t="shared" si="41"/>
        <v>1575000</v>
      </c>
      <c r="T205" s="103"/>
      <c r="U205" s="31">
        <f t="shared" ref="U205:U249" si="43">T205*$H$7*0.5</f>
        <v>0</v>
      </c>
      <c r="V205" s="74"/>
      <c r="W205" s="31">
        <f t="shared" si="39"/>
        <v>0</v>
      </c>
      <c r="X205" s="31">
        <f t="shared" si="36"/>
        <v>31500</v>
      </c>
      <c r="Y205" s="46">
        <f t="shared" si="35"/>
        <v>1606500</v>
      </c>
      <c r="Z205" s="11" t="str">
        <f t="shared" ref="Z205:Z253" si="44">A205</f>
        <v>195</v>
      </c>
      <c r="AA205" s="112"/>
      <c r="AB205" s="165" t="s">
        <v>1127</v>
      </c>
      <c r="AC205" s="155"/>
    </row>
    <row r="206" spans="1:29" s="108" customFormat="1" ht="20.25" customHeight="1">
      <c r="A206" s="30" t="s">
        <v>683</v>
      </c>
      <c r="B206" s="33" t="s">
        <v>458</v>
      </c>
      <c r="C206" s="34" t="s">
        <v>459</v>
      </c>
      <c r="D206" s="34"/>
      <c r="E206" s="62" t="s">
        <v>464</v>
      </c>
      <c r="F206" s="102" t="s">
        <v>462</v>
      </c>
      <c r="G206" s="10">
        <f>2.67</f>
        <v>2.67</v>
      </c>
      <c r="H206" s="157"/>
      <c r="I206" s="81">
        <f>G206+(G206*H206)</f>
        <v>2.67</v>
      </c>
      <c r="J206" s="81"/>
      <c r="K206" s="82">
        <f>I206+J206</f>
        <v>2.67</v>
      </c>
      <c r="L206" s="31">
        <f>K206*$H$7</f>
        <v>2803500</v>
      </c>
      <c r="M206" s="184" t="s">
        <v>858</v>
      </c>
      <c r="N206" s="31">
        <f t="shared" si="42"/>
        <v>1401750</v>
      </c>
      <c r="O206" s="31">
        <f t="shared" si="40"/>
        <v>1050000</v>
      </c>
      <c r="P206" s="10">
        <v>26</v>
      </c>
      <c r="Q206" s="62">
        <v>26</v>
      </c>
      <c r="R206" s="158">
        <f t="shared" si="34"/>
        <v>1401750</v>
      </c>
      <c r="S206" s="31">
        <f t="shared" si="41"/>
        <v>1401750</v>
      </c>
      <c r="T206" s="103"/>
      <c r="U206" s="31">
        <f t="shared" si="43"/>
        <v>0</v>
      </c>
      <c r="V206" s="74"/>
      <c r="W206" s="31">
        <f t="shared" si="39"/>
        <v>0</v>
      </c>
      <c r="X206" s="31">
        <f>(K206*0.01*$H$7)+(T206*1%*$H$7)+(V206*1%*$H$7)</f>
        <v>28035</v>
      </c>
      <c r="Y206" s="46">
        <f t="shared" si="35"/>
        <v>1429785</v>
      </c>
      <c r="Z206" s="11" t="str">
        <f t="shared" si="44"/>
        <v>196</v>
      </c>
      <c r="AA206" s="126"/>
      <c r="AB206" s="165" t="s">
        <v>1131</v>
      </c>
      <c r="AC206" s="155"/>
    </row>
    <row r="207" spans="1:29" s="108" customFormat="1" ht="24" customHeight="1">
      <c r="A207" s="30" t="s">
        <v>684</v>
      </c>
      <c r="B207" s="33" t="s">
        <v>460</v>
      </c>
      <c r="C207" s="34" t="s">
        <v>1207</v>
      </c>
      <c r="D207" s="34"/>
      <c r="E207" s="62" t="s">
        <v>466</v>
      </c>
      <c r="F207" s="102" t="s">
        <v>463</v>
      </c>
      <c r="G207" s="10">
        <v>2.34</v>
      </c>
      <c r="H207" s="157"/>
      <c r="I207" s="81">
        <f>G207+(G207*H207)</f>
        <v>2.34</v>
      </c>
      <c r="J207" s="81"/>
      <c r="K207" s="82">
        <f>I207+J207</f>
        <v>2.34</v>
      </c>
      <c r="L207" s="31">
        <f>K207*$H$7</f>
        <v>2457000</v>
      </c>
      <c r="M207" s="184" t="s">
        <v>858</v>
      </c>
      <c r="N207" s="31">
        <f t="shared" si="42"/>
        <v>1228500</v>
      </c>
      <c r="O207" s="31">
        <f t="shared" si="40"/>
        <v>1050000</v>
      </c>
      <c r="P207" s="10">
        <v>26</v>
      </c>
      <c r="Q207" s="62">
        <v>26</v>
      </c>
      <c r="R207" s="158">
        <f t="shared" si="34"/>
        <v>1228500</v>
      </c>
      <c r="S207" s="31">
        <f t="shared" si="41"/>
        <v>1228500</v>
      </c>
      <c r="T207" s="103"/>
      <c r="U207" s="31">
        <f t="shared" si="43"/>
        <v>0</v>
      </c>
      <c r="V207" s="74"/>
      <c r="W207" s="31">
        <f t="shared" si="39"/>
        <v>0</v>
      </c>
      <c r="X207" s="31">
        <f>(K207*0.01*$H$7)+(T207*1%*$H$7)+(V207*1%*$H$7)</f>
        <v>24570</v>
      </c>
      <c r="Y207" s="46">
        <f t="shared" si="35"/>
        <v>1253070</v>
      </c>
      <c r="Z207" s="11" t="str">
        <f t="shared" si="44"/>
        <v>197</v>
      </c>
      <c r="AA207" s="126"/>
      <c r="AB207" s="165" t="s">
        <v>1132</v>
      </c>
      <c r="AC207" s="155"/>
    </row>
    <row r="208" spans="1:29" s="108" customFormat="1" ht="21" customHeight="1">
      <c r="A208" s="30" t="s">
        <v>685</v>
      </c>
      <c r="B208" s="33" t="s">
        <v>461</v>
      </c>
      <c r="C208" s="34" t="s">
        <v>1019</v>
      </c>
      <c r="D208" s="34"/>
      <c r="E208" s="62" t="s">
        <v>465</v>
      </c>
      <c r="F208" s="102" t="s">
        <v>510</v>
      </c>
      <c r="G208" s="10">
        <v>2.34</v>
      </c>
      <c r="H208" s="157"/>
      <c r="I208" s="81">
        <f>G208+(G208*H208)</f>
        <v>2.34</v>
      </c>
      <c r="J208" s="81"/>
      <c r="K208" s="82">
        <f>I208+J208</f>
        <v>2.34</v>
      </c>
      <c r="L208" s="31">
        <f>K208*$H$7</f>
        <v>2457000</v>
      </c>
      <c r="M208" s="184" t="s">
        <v>858</v>
      </c>
      <c r="N208" s="31">
        <f t="shared" si="42"/>
        <v>1228500</v>
      </c>
      <c r="O208" s="31">
        <f t="shared" si="40"/>
        <v>1050000</v>
      </c>
      <c r="P208" s="10">
        <v>26</v>
      </c>
      <c r="Q208" s="62">
        <v>26</v>
      </c>
      <c r="R208" s="158">
        <f t="shared" si="34"/>
        <v>1228500</v>
      </c>
      <c r="S208" s="31">
        <f t="shared" si="41"/>
        <v>1228500</v>
      </c>
      <c r="T208" s="103"/>
      <c r="U208" s="31">
        <f t="shared" si="43"/>
        <v>0</v>
      </c>
      <c r="V208" s="74"/>
      <c r="W208" s="31">
        <f t="shared" si="39"/>
        <v>0</v>
      </c>
      <c r="X208" s="31">
        <f>(K208*0.01*$H$7)+(T208*1%*$H$7)+(V208*1%*$H$7)</f>
        <v>24570</v>
      </c>
      <c r="Y208" s="46">
        <f t="shared" si="35"/>
        <v>1253070</v>
      </c>
      <c r="Z208" s="11" t="str">
        <f t="shared" si="44"/>
        <v>198</v>
      </c>
      <c r="AA208" s="126"/>
      <c r="AB208" s="165" t="s">
        <v>1133</v>
      </c>
      <c r="AC208" s="155"/>
    </row>
    <row r="209" spans="1:29" s="108" customFormat="1" ht="24" customHeight="1">
      <c r="A209" s="30" t="s">
        <v>686</v>
      </c>
      <c r="B209" s="33" t="s">
        <v>1061</v>
      </c>
      <c r="C209" s="34" t="s">
        <v>917</v>
      </c>
      <c r="D209" s="34"/>
      <c r="E209" s="62" t="s">
        <v>199</v>
      </c>
      <c r="F209" s="75" t="s">
        <v>1399</v>
      </c>
      <c r="G209" s="10">
        <v>4.32</v>
      </c>
      <c r="H209" s="157"/>
      <c r="I209" s="81">
        <f t="shared" si="37"/>
        <v>4.32</v>
      </c>
      <c r="J209" s="81">
        <v>0.25</v>
      </c>
      <c r="K209" s="82">
        <f t="shared" ref="K209:K253" si="45">I209+J209</f>
        <v>4.57</v>
      </c>
      <c r="L209" s="31">
        <f t="shared" si="38"/>
        <v>4798500</v>
      </c>
      <c r="M209" s="184" t="s">
        <v>858</v>
      </c>
      <c r="N209" s="31">
        <f t="shared" si="42"/>
        <v>2399250</v>
      </c>
      <c r="O209" s="31">
        <f t="shared" si="40"/>
        <v>1050000</v>
      </c>
      <c r="P209" s="10">
        <v>26</v>
      </c>
      <c r="Q209" s="62">
        <v>26</v>
      </c>
      <c r="R209" s="158">
        <f t="shared" si="34"/>
        <v>2399250</v>
      </c>
      <c r="S209" s="31">
        <f t="shared" si="41"/>
        <v>2399250</v>
      </c>
      <c r="T209" s="103"/>
      <c r="U209" s="31">
        <f t="shared" si="43"/>
        <v>0</v>
      </c>
      <c r="V209" s="74"/>
      <c r="W209" s="31">
        <f t="shared" si="39"/>
        <v>0</v>
      </c>
      <c r="X209" s="31">
        <f t="shared" si="36"/>
        <v>47985.000000000007</v>
      </c>
      <c r="Y209" s="46">
        <f t="shared" si="35"/>
        <v>2447235</v>
      </c>
      <c r="Z209" s="11" t="str">
        <f t="shared" si="44"/>
        <v>199</v>
      </c>
      <c r="AA209" s="126"/>
      <c r="AB209" s="165" t="s">
        <v>1142</v>
      </c>
      <c r="AC209" s="155"/>
    </row>
    <row r="210" spans="1:29" s="108" customFormat="1" ht="21.75" customHeight="1">
      <c r="A210" s="30" t="s">
        <v>687</v>
      </c>
      <c r="B210" s="33" t="s">
        <v>1062</v>
      </c>
      <c r="C210" s="34" t="s">
        <v>878</v>
      </c>
      <c r="D210" s="34"/>
      <c r="E210" s="62" t="s">
        <v>200</v>
      </c>
      <c r="F210" s="75" t="s">
        <v>1400</v>
      </c>
      <c r="G210" s="10">
        <v>4.6500000000000004</v>
      </c>
      <c r="H210" s="157"/>
      <c r="I210" s="81">
        <f t="shared" si="37"/>
        <v>4.6500000000000004</v>
      </c>
      <c r="J210" s="81">
        <v>0</v>
      </c>
      <c r="K210" s="82">
        <f t="shared" si="45"/>
        <v>4.6500000000000004</v>
      </c>
      <c r="L210" s="31">
        <f t="shared" si="38"/>
        <v>4882500</v>
      </c>
      <c r="M210" s="184" t="s">
        <v>858</v>
      </c>
      <c r="N210" s="31">
        <f t="shared" si="42"/>
        <v>2441250</v>
      </c>
      <c r="O210" s="31">
        <f t="shared" si="40"/>
        <v>1050000</v>
      </c>
      <c r="P210" s="10">
        <v>26</v>
      </c>
      <c r="Q210" s="62">
        <v>26</v>
      </c>
      <c r="R210" s="158">
        <f t="shared" si="34"/>
        <v>2441250</v>
      </c>
      <c r="S210" s="31">
        <f t="shared" si="41"/>
        <v>2441250</v>
      </c>
      <c r="T210" s="103"/>
      <c r="U210" s="31">
        <f t="shared" si="43"/>
        <v>0</v>
      </c>
      <c r="V210" s="74"/>
      <c r="W210" s="31">
        <f t="shared" si="39"/>
        <v>0</v>
      </c>
      <c r="X210" s="31">
        <f t="shared" si="36"/>
        <v>48825.000000000007</v>
      </c>
      <c r="Y210" s="46">
        <f t="shared" si="35"/>
        <v>2490075</v>
      </c>
      <c r="Z210" s="11" t="str">
        <f t="shared" si="44"/>
        <v>200</v>
      </c>
      <c r="AA210" s="126"/>
      <c r="AB210" s="165" t="s">
        <v>1143</v>
      </c>
      <c r="AC210" s="155"/>
    </row>
    <row r="211" spans="1:29" s="108" customFormat="1" ht="22.5" customHeight="1">
      <c r="A211" s="30" t="s">
        <v>688</v>
      </c>
      <c r="B211" s="33" t="s">
        <v>1063</v>
      </c>
      <c r="C211" s="34" t="s">
        <v>1064</v>
      </c>
      <c r="D211" s="34"/>
      <c r="E211" s="62" t="s">
        <v>201</v>
      </c>
      <c r="F211" s="75" t="s">
        <v>1401</v>
      </c>
      <c r="G211" s="10">
        <v>4.32</v>
      </c>
      <c r="H211" s="157"/>
      <c r="I211" s="81">
        <f t="shared" si="37"/>
        <v>4.32</v>
      </c>
      <c r="J211" s="81">
        <v>0.2</v>
      </c>
      <c r="K211" s="82">
        <f t="shared" si="45"/>
        <v>4.5200000000000005</v>
      </c>
      <c r="L211" s="31">
        <f t="shared" si="38"/>
        <v>4746000.0000000009</v>
      </c>
      <c r="M211" s="184" t="s">
        <v>858</v>
      </c>
      <c r="N211" s="31">
        <f t="shared" si="42"/>
        <v>2373000.0000000005</v>
      </c>
      <c r="O211" s="31">
        <f t="shared" si="40"/>
        <v>1050000</v>
      </c>
      <c r="P211" s="10">
        <v>26</v>
      </c>
      <c r="Q211" s="62">
        <v>26</v>
      </c>
      <c r="R211" s="158">
        <f t="shared" si="34"/>
        <v>2373000.0000000005</v>
      </c>
      <c r="S211" s="31">
        <f t="shared" si="41"/>
        <v>2373000.0000000005</v>
      </c>
      <c r="T211" s="103"/>
      <c r="U211" s="31">
        <f t="shared" si="43"/>
        <v>0</v>
      </c>
      <c r="V211" s="74"/>
      <c r="W211" s="31">
        <f t="shared" si="39"/>
        <v>0</v>
      </c>
      <c r="X211" s="31">
        <f t="shared" si="36"/>
        <v>47460.000000000007</v>
      </c>
      <c r="Y211" s="46">
        <f t="shared" si="35"/>
        <v>2420460.0000000005</v>
      </c>
      <c r="Z211" s="11" t="str">
        <f t="shared" si="44"/>
        <v>201</v>
      </c>
      <c r="AA211" s="126"/>
      <c r="AB211" s="165" t="s">
        <v>1144</v>
      </c>
      <c r="AC211" s="155"/>
    </row>
    <row r="212" spans="1:29" s="108" customFormat="1" ht="21" customHeight="1">
      <c r="A212" s="30" t="s">
        <v>689</v>
      </c>
      <c r="B212" s="33" t="s">
        <v>1065</v>
      </c>
      <c r="C212" s="34" t="s">
        <v>1066</v>
      </c>
      <c r="D212" s="34"/>
      <c r="E212" s="62" t="s">
        <v>202</v>
      </c>
      <c r="F212" s="85" t="s">
        <v>1402</v>
      </c>
      <c r="G212" s="10">
        <v>3.99</v>
      </c>
      <c r="H212" s="157"/>
      <c r="I212" s="81">
        <f t="shared" si="37"/>
        <v>3.99</v>
      </c>
      <c r="J212" s="81">
        <v>0</v>
      </c>
      <c r="K212" s="82">
        <f t="shared" si="45"/>
        <v>3.99</v>
      </c>
      <c r="L212" s="31">
        <f t="shared" si="38"/>
        <v>4189500</v>
      </c>
      <c r="M212" s="184" t="s">
        <v>858</v>
      </c>
      <c r="N212" s="31">
        <f t="shared" si="42"/>
        <v>2094750</v>
      </c>
      <c r="O212" s="31">
        <f t="shared" si="40"/>
        <v>1050000</v>
      </c>
      <c r="P212" s="10">
        <v>26</v>
      </c>
      <c r="Q212" s="62">
        <v>26</v>
      </c>
      <c r="R212" s="158">
        <f t="shared" ref="R212:R250" si="46">IF(N212&gt;O212,N212,O212)</f>
        <v>2094750</v>
      </c>
      <c r="S212" s="31">
        <f t="shared" si="41"/>
        <v>2094750</v>
      </c>
      <c r="T212" s="103"/>
      <c r="U212" s="31">
        <f t="shared" si="43"/>
        <v>0</v>
      </c>
      <c r="V212" s="74"/>
      <c r="W212" s="31">
        <f t="shared" si="39"/>
        <v>0</v>
      </c>
      <c r="X212" s="31">
        <f t="shared" si="36"/>
        <v>41895.000000000007</v>
      </c>
      <c r="Y212" s="46">
        <f t="shared" si="35"/>
        <v>2136645</v>
      </c>
      <c r="Z212" s="11" t="str">
        <f t="shared" si="44"/>
        <v>202</v>
      </c>
      <c r="AA212" s="126"/>
      <c r="AB212" s="165" t="s">
        <v>1145</v>
      </c>
      <c r="AC212" s="155"/>
    </row>
    <row r="213" spans="1:29" s="108" customFormat="1" ht="21" customHeight="1">
      <c r="A213" s="30" t="s">
        <v>690</v>
      </c>
      <c r="B213" s="33" t="s">
        <v>1067</v>
      </c>
      <c r="C213" s="34" t="s">
        <v>1019</v>
      </c>
      <c r="D213" s="34"/>
      <c r="E213" s="62" t="s">
        <v>203</v>
      </c>
      <c r="F213" s="75" t="s">
        <v>1403</v>
      </c>
      <c r="G213" s="10">
        <v>3.33</v>
      </c>
      <c r="H213" s="157"/>
      <c r="I213" s="81">
        <f t="shared" si="37"/>
        <v>3.33</v>
      </c>
      <c r="J213" s="81">
        <v>0.25</v>
      </c>
      <c r="K213" s="82">
        <f t="shared" si="45"/>
        <v>3.58</v>
      </c>
      <c r="L213" s="31">
        <f t="shared" si="38"/>
        <v>3759000</v>
      </c>
      <c r="M213" s="184" t="s">
        <v>858</v>
      </c>
      <c r="N213" s="31">
        <f t="shared" si="42"/>
        <v>1879500</v>
      </c>
      <c r="O213" s="31">
        <f t="shared" si="40"/>
        <v>1050000</v>
      </c>
      <c r="P213" s="10">
        <v>26</v>
      </c>
      <c r="Q213" s="62">
        <v>26</v>
      </c>
      <c r="R213" s="158">
        <f t="shared" si="46"/>
        <v>1879500</v>
      </c>
      <c r="S213" s="31">
        <f t="shared" si="41"/>
        <v>1879500</v>
      </c>
      <c r="T213" s="103"/>
      <c r="U213" s="31">
        <f t="shared" si="43"/>
        <v>0</v>
      </c>
      <c r="V213" s="74"/>
      <c r="W213" s="31">
        <f t="shared" si="39"/>
        <v>0</v>
      </c>
      <c r="X213" s="31">
        <f t="shared" si="36"/>
        <v>37590</v>
      </c>
      <c r="Y213" s="46">
        <f t="shared" ref="Y213:Y250" si="47">(S213+U213+W213+X213)</f>
        <v>1917090</v>
      </c>
      <c r="Z213" s="11" t="str">
        <f t="shared" si="44"/>
        <v>203</v>
      </c>
      <c r="AA213" s="126"/>
      <c r="AB213" s="165" t="s">
        <v>1146</v>
      </c>
      <c r="AC213" s="155"/>
    </row>
    <row r="214" spans="1:29" s="108" customFormat="1" ht="15.75">
      <c r="A214" s="30" t="s">
        <v>691</v>
      </c>
      <c r="B214" s="33" t="s">
        <v>1068</v>
      </c>
      <c r="C214" s="34" t="s">
        <v>1069</v>
      </c>
      <c r="D214" s="34"/>
      <c r="E214" s="62" t="s">
        <v>204</v>
      </c>
      <c r="F214" s="75" t="s">
        <v>1404</v>
      </c>
      <c r="G214" s="10">
        <v>3.33</v>
      </c>
      <c r="H214" s="200"/>
      <c r="I214" s="81">
        <f t="shared" si="37"/>
        <v>3.33</v>
      </c>
      <c r="J214" s="81">
        <v>0</v>
      </c>
      <c r="K214" s="82">
        <f t="shared" si="45"/>
        <v>3.33</v>
      </c>
      <c r="L214" s="31">
        <f t="shared" si="38"/>
        <v>3496500</v>
      </c>
      <c r="M214" s="184" t="s">
        <v>858</v>
      </c>
      <c r="N214" s="31">
        <f t="shared" si="42"/>
        <v>1748250</v>
      </c>
      <c r="O214" s="31">
        <f t="shared" si="40"/>
        <v>1050000</v>
      </c>
      <c r="P214" s="10">
        <v>26</v>
      </c>
      <c r="Q214" s="62">
        <v>26</v>
      </c>
      <c r="R214" s="158">
        <f t="shared" si="46"/>
        <v>1748250</v>
      </c>
      <c r="S214" s="31">
        <f t="shared" si="41"/>
        <v>1748250</v>
      </c>
      <c r="T214" s="103"/>
      <c r="U214" s="31">
        <f t="shared" si="43"/>
        <v>0</v>
      </c>
      <c r="V214" s="74"/>
      <c r="W214" s="31">
        <f t="shared" si="39"/>
        <v>0</v>
      </c>
      <c r="X214" s="31">
        <f t="shared" si="36"/>
        <v>34965</v>
      </c>
      <c r="Y214" s="46">
        <f t="shared" si="47"/>
        <v>1783215</v>
      </c>
      <c r="Z214" s="11" t="str">
        <f t="shared" si="44"/>
        <v>204</v>
      </c>
      <c r="AA214" s="112"/>
      <c r="AB214" s="165" t="s">
        <v>1147</v>
      </c>
      <c r="AC214" s="155"/>
    </row>
    <row r="215" spans="1:29" s="339" customFormat="1" ht="27" customHeight="1">
      <c r="A215" s="30" t="s">
        <v>692</v>
      </c>
      <c r="B215" s="323" t="s">
        <v>1070</v>
      </c>
      <c r="C215" s="324" t="s">
        <v>910</v>
      </c>
      <c r="D215" s="324"/>
      <c r="E215" s="291" t="s">
        <v>205</v>
      </c>
      <c r="F215" s="325" t="s">
        <v>1405</v>
      </c>
      <c r="G215" s="326">
        <v>3.33</v>
      </c>
      <c r="H215" s="327"/>
      <c r="I215" s="328">
        <f t="shared" si="37"/>
        <v>3.33</v>
      </c>
      <c r="J215" s="328">
        <v>0.2</v>
      </c>
      <c r="K215" s="329">
        <f t="shared" si="45"/>
        <v>3.5300000000000002</v>
      </c>
      <c r="L215" s="330">
        <f t="shared" si="38"/>
        <v>3706500.0000000005</v>
      </c>
      <c r="M215" s="326" t="s">
        <v>525</v>
      </c>
      <c r="N215" s="31">
        <f t="shared" si="42"/>
        <v>1389937.5000000002</v>
      </c>
      <c r="O215" s="330">
        <f t="shared" si="40"/>
        <v>735000</v>
      </c>
      <c r="P215" s="326">
        <v>26</v>
      </c>
      <c r="Q215" s="291">
        <v>26</v>
      </c>
      <c r="R215" s="331">
        <f t="shared" si="46"/>
        <v>1389937.5000000002</v>
      </c>
      <c r="S215" s="330">
        <f t="shared" si="41"/>
        <v>1389937.5000000002</v>
      </c>
      <c r="T215" s="332"/>
      <c r="U215" s="330">
        <f t="shared" si="43"/>
        <v>0</v>
      </c>
      <c r="V215" s="333"/>
      <c r="W215" s="330">
        <f t="shared" si="39"/>
        <v>0</v>
      </c>
      <c r="X215" s="330">
        <f t="shared" si="36"/>
        <v>37065.000000000007</v>
      </c>
      <c r="Y215" s="334">
        <f t="shared" si="47"/>
        <v>1427002.5000000002</v>
      </c>
      <c r="Z215" s="335" t="str">
        <f t="shared" si="44"/>
        <v>205</v>
      </c>
      <c r="AA215" s="336" t="s">
        <v>822</v>
      </c>
      <c r="AB215" s="337" t="s">
        <v>1148</v>
      </c>
      <c r="AC215" s="338"/>
    </row>
    <row r="216" spans="1:29" s="108" customFormat="1" ht="26.25" customHeight="1">
      <c r="A216" s="30" t="s">
        <v>693</v>
      </c>
      <c r="B216" s="33" t="s">
        <v>1071</v>
      </c>
      <c r="C216" s="34" t="s">
        <v>1072</v>
      </c>
      <c r="D216" s="34"/>
      <c r="E216" s="62" t="s">
        <v>206</v>
      </c>
      <c r="F216" s="85" t="s">
        <v>1406</v>
      </c>
      <c r="G216" s="10">
        <v>3.33</v>
      </c>
      <c r="H216" s="157"/>
      <c r="I216" s="81">
        <f t="shared" si="37"/>
        <v>3.33</v>
      </c>
      <c r="J216" s="81">
        <v>0</v>
      </c>
      <c r="K216" s="82">
        <f t="shared" si="45"/>
        <v>3.33</v>
      </c>
      <c r="L216" s="31">
        <f t="shared" si="38"/>
        <v>3496500</v>
      </c>
      <c r="M216" s="184" t="s">
        <v>858</v>
      </c>
      <c r="N216" s="31">
        <f t="shared" si="42"/>
        <v>1748250</v>
      </c>
      <c r="O216" s="31">
        <f t="shared" si="40"/>
        <v>1050000</v>
      </c>
      <c r="P216" s="10">
        <v>26</v>
      </c>
      <c r="Q216" s="62">
        <v>26</v>
      </c>
      <c r="R216" s="158">
        <f t="shared" si="46"/>
        <v>1748250</v>
      </c>
      <c r="S216" s="31">
        <f t="shared" si="41"/>
        <v>1748250</v>
      </c>
      <c r="T216" s="103"/>
      <c r="U216" s="31">
        <f t="shared" si="43"/>
        <v>0</v>
      </c>
      <c r="V216" s="74"/>
      <c r="W216" s="31">
        <f t="shared" si="39"/>
        <v>0</v>
      </c>
      <c r="X216" s="31">
        <f t="shared" si="36"/>
        <v>34965</v>
      </c>
      <c r="Y216" s="46">
        <f t="shared" si="47"/>
        <v>1783215</v>
      </c>
      <c r="Z216" s="11" t="str">
        <f t="shared" si="44"/>
        <v>206</v>
      </c>
      <c r="AA216" s="112"/>
      <c r="AB216" s="165" t="s">
        <v>1149</v>
      </c>
      <c r="AC216" s="155"/>
    </row>
    <row r="217" spans="1:29" s="108" customFormat="1" ht="23.25" customHeight="1">
      <c r="A217" s="30" t="s">
        <v>694</v>
      </c>
      <c r="B217" s="271" t="s">
        <v>1073</v>
      </c>
      <c r="C217" s="272" t="s">
        <v>873</v>
      </c>
      <c r="D217" s="272"/>
      <c r="E217" s="294" t="s">
        <v>207</v>
      </c>
      <c r="F217" s="274" t="s">
        <v>1407</v>
      </c>
      <c r="G217" s="278">
        <v>3</v>
      </c>
      <c r="H217" s="295"/>
      <c r="I217" s="277">
        <f t="shared" si="37"/>
        <v>3</v>
      </c>
      <c r="J217" s="277">
        <v>0</v>
      </c>
      <c r="K217" s="296">
        <f t="shared" si="45"/>
        <v>3</v>
      </c>
      <c r="L217" s="279">
        <f t="shared" si="38"/>
        <v>3150000</v>
      </c>
      <c r="M217" s="184" t="s">
        <v>785</v>
      </c>
      <c r="N217" s="31">
        <f t="shared" si="42"/>
        <v>0</v>
      </c>
      <c r="O217" s="279">
        <f t="shared" si="40"/>
        <v>0</v>
      </c>
      <c r="P217" s="278">
        <v>0</v>
      </c>
      <c r="Q217" s="294">
        <v>0</v>
      </c>
      <c r="R217" s="297">
        <f t="shared" si="46"/>
        <v>0</v>
      </c>
      <c r="S217" s="279">
        <f t="shared" si="41"/>
        <v>0</v>
      </c>
      <c r="T217" s="298"/>
      <c r="U217" s="279">
        <f t="shared" si="43"/>
        <v>0</v>
      </c>
      <c r="V217" s="283"/>
      <c r="W217" s="279">
        <f t="shared" si="39"/>
        <v>0</v>
      </c>
      <c r="X217" s="279">
        <v>0</v>
      </c>
      <c r="Y217" s="299">
        <f t="shared" si="47"/>
        <v>0</v>
      </c>
      <c r="Z217" s="285" t="str">
        <f t="shared" si="44"/>
        <v>207</v>
      </c>
      <c r="AA217" s="300" t="s">
        <v>782</v>
      </c>
      <c r="AB217" s="165" t="s">
        <v>1150</v>
      </c>
      <c r="AC217" s="155"/>
    </row>
    <row r="218" spans="1:29" s="108" customFormat="1" ht="18" customHeight="1">
      <c r="A218" s="30" t="s">
        <v>695</v>
      </c>
      <c r="B218" s="33" t="s">
        <v>1074</v>
      </c>
      <c r="C218" s="34" t="s">
        <v>1075</v>
      </c>
      <c r="D218" s="34"/>
      <c r="E218" s="62" t="s">
        <v>208</v>
      </c>
      <c r="F218" s="75" t="s">
        <v>1408</v>
      </c>
      <c r="G218" s="10">
        <v>3.33</v>
      </c>
      <c r="H218" s="157"/>
      <c r="I218" s="81">
        <f t="shared" si="37"/>
        <v>3.33</v>
      </c>
      <c r="J218" s="81">
        <v>0</v>
      </c>
      <c r="K218" s="82">
        <f t="shared" si="45"/>
        <v>3.33</v>
      </c>
      <c r="L218" s="31">
        <f t="shared" si="38"/>
        <v>3496500</v>
      </c>
      <c r="M218" s="184" t="s">
        <v>858</v>
      </c>
      <c r="N218" s="31">
        <f t="shared" si="42"/>
        <v>1748250</v>
      </c>
      <c r="O218" s="31">
        <f t="shared" si="40"/>
        <v>1050000</v>
      </c>
      <c r="P218" s="10">
        <v>26</v>
      </c>
      <c r="Q218" s="62">
        <v>26</v>
      </c>
      <c r="R218" s="158">
        <f t="shared" si="46"/>
        <v>1748250</v>
      </c>
      <c r="S218" s="31">
        <f t="shared" si="41"/>
        <v>1748250</v>
      </c>
      <c r="T218" s="103"/>
      <c r="U218" s="31">
        <f t="shared" si="43"/>
        <v>0</v>
      </c>
      <c r="V218" s="74"/>
      <c r="W218" s="31">
        <f t="shared" si="39"/>
        <v>0</v>
      </c>
      <c r="X218" s="31">
        <f t="shared" si="36"/>
        <v>34965</v>
      </c>
      <c r="Y218" s="46">
        <f t="shared" si="47"/>
        <v>1783215</v>
      </c>
      <c r="Z218" s="11" t="str">
        <f t="shared" si="44"/>
        <v>208</v>
      </c>
      <c r="AA218" s="112"/>
      <c r="AB218" s="165" t="s">
        <v>1151</v>
      </c>
      <c r="AC218" s="155"/>
    </row>
    <row r="219" spans="1:29" s="108" customFormat="1" ht="20.25" customHeight="1">
      <c r="A219" s="30" t="s">
        <v>696</v>
      </c>
      <c r="B219" s="33" t="s">
        <v>1076</v>
      </c>
      <c r="C219" s="34" t="s">
        <v>867</v>
      </c>
      <c r="D219" s="34"/>
      <c r="E219" s="62" t="s">
        <v>209</v>
      </c>
      <c r="F219" s="75" t="s">
        <v>1409</v>
      </c>
      <c r="G219" s="10">
        <v>3</v>
      </c>
      <c r="H219" s="157"/>
      <c r="I219" s="81">
        <f t="shared" si="37"/>
        <v>3</v>
      </c>
      <c r="J219" s="81">
        <v>0</v>
      </c>
      <c r="K219" s="82">
        <f t="shared" si="45"/>
        <v>3</v>
      </c>
      <c r="L219" s="31">
        <f t="shared" si="38"/>
        <v>3150000</v>
      </c>
      <c r="M219" s="184" t="s">
        <v>858</v>
      </c>
      <c r="N219" s="31">
        <f t="shared" si="42"/>
        <v>1575000</v>
      </c>
      <c r="O219" s="31">
        <f t="shared" si="40"/>
        <v>1050000</v>
      </c>
      <c r="P219" s="10">
        <v>26</v>
      </c>
      <c r="Q219" s="62">
        <v>26</v>
      </c>
      <c r="R219" s="158">
        <f t="shared" si="46"/>
        <v>1575000</v>
      </c>
      <c r="S219" s="31">
        <f t="shared" si="41"/>
        <v>1575000</v>
      </c>
      <c r="T219" s="103"/>
      <c r="U219" s="31">
        <f t="shared" si="43"/>
        <v>0</v>
      </c>
      <c r="V219" s="74"/>
      <c r="W219" s="31">
        <f t="shared" si="39"/>
        <v>0</v>
      </c>
      <c r="X219" s="31">
        <f t="shared" si="36"/>
        <v>31500</v>
      </c>
      <c r="Y219" s="46">
        <f t="shared" si="47"/>
        <v>1606500</v>
      </c>
      <c r="Z219" s="11" t="str">
        <f t="shared" si="44"/>
        <v>209</v>
      </c>
      <c r="AA219" s="112"/>
      <c r="AB219" s="165" t="s">
        <v>1152</v>
      </c>
      <c r="AC219" s="155"/>
    </row>
    <row r="220" spans="1:29" s="108" customFormat="1" ht="24" customHeight="1">
      <c r="A220" s="30" t="s">
        <v>697</v>
      </c>
      <c r="B220" s="271" t="s">
        <v>1077</v>
      </c>
      <c r="C220" s="272" t="s">
        <v>1078</v>
      </c>
      <c r="D220" s="272"/>
      <c r="E220" s="294" t="s">
        <v>210</v>
      </c>
      <c r="F220" s="274" t="s">
        <v>1410</v>
      </c>
      <c r="G220" s="278">
        <v>3</v>
      </c>
      <c r="H220" s="295"/>
      <c r="I220" s="277">
        <f t="shared" si="37"/>
        <v>3</v>
      </c>
      <c r="J220" s="277">
        <v>0</v>
      </c>
      <c r="K220" s="296">
        <f t="shared" si="45"/>
        <v>3</v>
      </c>
      <c r="L220" s="279">
        <f t="shared" si="38"/>
        <v>3150000</v>
      </c>
      <c r="M220" s="184" t="s">
        <v>785</v>
      </c>
      <c r="N220" s="31">
        <f t="shared" si="42"/>
        <v>0</v>
      </c>
      <c r="O220" s="279">
        <f t="shared" si="40"/>
        <v>0</v>
      </c>
      <c r="P220" s="278">
        <v>0</v>
      </c>
      <c r="Q220" s="294">
        <v>0</v>
      </c>
      <c r="R220" s="297">
        <f t="shared" si="46"/>
        <v>0</v>
      </c>
      <c r="S220" s="279">
        <f t="shared" si="41"/>
        <v>0</v>
      </c>
      <c r="T220" s="298"/>
      <c r="U220" s="279">
        <f t="shared" si="43"/>
        <v>0</v>
      </c>
      <c r="V220" s="283"/>
      <c r="W220" s="279">
        <f t="shared" si="39"/>
        <v>0</v>
      </c>
      <c r="X220" s="279">
        <v>0</v>
      </c>
      <c r="Y220" s="299">
        <f t="shared" si="47"/>
        <v>0</v>
      </c>
      <c r="Z220" s="285" t="str">
        <f t="shared" si="44"/>
        <v>210</v>
      </c>
      <c r="AA220" s="300" t="s">
        <v>784</v>
      </c>
      <c r="AB220" s="165" t="s">
        <v>1153</v>
      </c>
      <c r="AC220" s="155"/>
    </row>
    <row r="221" spans="1:29" s="108" customFormat="1" ht="19.5" customHeight="1">
      <c r="A221" s="30" t="s">
        <v>698</v>
      </c>
      <c r="B221" s="33" t="s">
        <v>1079</v>
      </c>
      <c r="C221" s="34" t="s">
        <v>1024</v>
      </c>
      <c r="D221" s="34"/>
      <c r="E221" s="62" t="s">
        <v>211</v>
      </c>
      <c r="F221" s="75" t="s">
        <v>1411</v>
      </c>
      <c r="G221" s="10">
        <v>2.67</v>
      </c>
      <c r="H221" s="157"/>
      <c r="I221" s="81">
        <f t="shared" si="37"/>
        <v>2.67</v>
      </c>
      <c r="J221" s="81">
        <v>0</v>
      </c>
      <c r="K221" s="82">
        <f t="shared" si="45"/>
        <v>2.67</v>
      </c>
      <c r="L221" s="31">
        <f t="shared" si="38"/>
        <v>2803500</v>
      </c>
      <c r="M221" s="184" t="s">
        <v>858</v>
      </c>
      <c r="N221" s="31">
        <f t="shared" si="42"/>
        <v>1401750</v>
      </c>
      <c r="O221" s="31">
        <f t="shared" si="40"/>
        <v>1050000</v>
      </c>
      <c r="P221" s="10">
        <v>26</v>
      </c>
      <c r="Q221" s="62">
        <v>26</v>
      </c>
      <c r="R221" s="158">
        <f t="shared" si="46"/>
        <v>1401750</v>
      </c>
      <c r="S221" s="31">
        <f t="shared" si="41"/>
        <v>1401750</v>
      </c>
      <c r="T221" s="103"/>
      <c r="U221" s="31">
        <f t="shared" si="43"/>
        <v>0</v>
      </c>
      <c r="V221" s="74"/>
      <c r="W221" s="31">
        <f t="shared" si="39"/>
        <v>0</v>
      </c>
      <c r="X221" s="31">
        <f t="shared" si="36"/>
        <v>28035</v>
      </c>
      <c r="Y221" s="46">
        <f t="shared" si="47"/>
        <v>1429785</v>
      </c>
      <c r="Z221" s="11" t="str">
        <f t="shared" si="44"/>
        <v>211</v>
      </c>
      <c r="AA221" s="126"/>
      <c r="AB221" s="165" t="s">
        <v>1154</v>
      </c>
      <c r="AC221" s="155"/>
    </row>
    <row r="222" spans="1:29" s="108" customFormat="1" ht="19.5" customHeight="1">
      <c r="A222" s="30" t="s">
        <v>699</v>
      </c>
      <c r="B222" s="33" t="s">
        <v>1080</v>
      </c>
      <c r="C222" s="34" t="s">
        <v>1019</v>
      </c>
      <c r="D222" s="34"/>
      <c r="E222" s="62" t="s">
        <v>212</v>
      </c>
      <c r="F222" s="75" t="s">
        <v>1412</v>
      </c>
      <c r="G222" s="10">
        <v>2.67</v>
      </c>
      <c r="H222" s="157"/>
      <c r="I222" s="81">
        <f t="shared" si="37"/>
        <v>2.67</v>
      </c>
      <c r="J222" s="81"/>
      <c r="K222" s="82">
        <f t="shared" si="45"/>
        <v>2.67</v>
      </c>
      <c r="L222" s="31">
        <f t="shared" si="38"/>
        <v>2803500</v>
      </c>
      <c r="M222" s="184" t="s">
        <v>858</v>
      </c>
      <c r="N222" s="31">
        <f t="shared" si="42"/>
        <v>1401750</v>
      </c>
      <c r="O222" s="31">
        <f t="shared" si="40"/>
        <v>1050000</v>
      </c>
      <c r="P222" s="10">
        <v>26</v>
      </c>
      <c r="Q222" s="62">
        <v>26</v>
      </c>
      <c r="R222" s="158">
        <f t="shared" si="46"/>
        <v>1401750</v>
      </c>
      <c r="S222" s="31">
        <f t="shared" si="41"/>
        <v>1401750</v>
      </c>
      <c r="T222" s="103"/>
      <c r="U222" s="31">
        <f t="shared" si="43"/>
        <v>0</v>
      </c>
      <c r="V222" s="74"/>
      <c r="W222" s="31">
        <f t="shared" si="39"/>
        <v>0</v>
      </c>
      <c r="X222" s="31">
        <f t="shared" si="36"/>
        <v>28035</v>
      </c>
      <c r="Y222" s="46">
        <f t="shared" si="47"/>
        <v>1429785</v>
      </c>
      <c r="Z222" s="11" t="str">
        <f t="shared" si="44"/>
        <v>212</v>
      </c>
      <c r="AA222" s="126"/>
      <c r="AB222" s="165" t="s">
        <v>1155</v>
      </c>
      <c r="AC222" s="155"/>
    </row>
    <row r="223" spans="1:29" s="108" customFormat="1" ht="20.25" customHeight="1">
      <c r="A223" s="30" t="s">
        <v>700</v>
      </c>
      <c r="B223" s="33" t="s">
        <v>366</v>
      </c>
      <c r="C223" s="149" t="s">
        <v>883</v>
      </c>
      <c r="D223" s="149"/>
      <c r="E223" s="62" t="s">
        <v>391</v>
      </c>
      <c r="F223" s="75" t="s">
        <v>390</v>
      </c>
      <c r="G223" s="184">
        <v>2.67</v>
      </c>
      <c r="H223" s="157"/>
      <c r="I223" s="81">
        <f t="shared" si="37"/>
        <v>2.67</v>
      </c>
      <c r="J223" s="81"/>
      <c r="K223" s="82">
        <f t="shared" si="45"/>
        <v>2.67</v>
      </c>
      <c r="L223" s="31">
        <f t="shared" si="38"/>
        <v>2803500</v>
      </c>
      <c r="M223" s="184" t="s">
        <v>858</v>
      </c>
      <c r="N223" s="31">
        <f t="shared" si="42"/>
        <v>1401750</v>
      </c>
      <c r="O223" s="31">
        <f t="shared" si="40"/>
        <v>1050000</v>
      </c>
      <c r="P223" s="10">
        <v>21</v>
      </c>
      <c r="Q223" s="62">
        <v>26</v>
      </c>
      <c r="R223" s="158">
        <f t="shared" si="46"/>
        <v>1401750</v>
      </c>
      <c r="S223" s="31">
        <f t="shared" si="41"/>
        <v>1401750</v>
      </c>
      <c r="T223" s="103"/>
      <c r="U223" s="31">
        <f t="shared" si="43"/>
        <v>0</v>
      </c>
      <c r="V223" s="74"/>
      <c r="W223" s="31">
        <f t="shared" si="39"/>
        <v>0</v>
      </c>
      <c r="X223" s="31">
        <f t="shared" si="36"/>
        <v>28035</v>
      </c>
      <c r="Y223" s="46">
        <f t="shared" si="47"/>
        <v>1429785</v>
      </c>
      <c r="Z223" s="11" t="str">
        <f t="shared" si="44"/>
        <v>213</v>
      </c>
      <c r="AA223" s="112"/>
      <c r="AB223" s="165" t="s">
        <v>1156</v>
      </c>
      <c r="AC223" s="155"/>
    </row>
    <row r="224" spans="1:29" s="108" customFormat="1" ht="20.25" customHeight="1">
      <c r="A224" s="30" t="s">
        <v>701</v>
      </c>
      <c r="B224" s="33" t="s">
        <v>1081</v>
      </c>
      <c r="C224" s="34" t="s">
        <v>1035</v>
      </c>
      <c r="D224" s="34" t="s">
        <v>551</v>
      </c>
      <c r="E224" s="62" t="s">
        <v>213</v>
      </c>
      <c r="F224" s="75" t="s">
        <v>1413</v>
      </c>
      <c r="G224" s="10">
        <v>4.9800000000000004</v>
      </c>
      <c r="H224" s="157">
        <v>0.06</v>
      </c>
      <c r="I224" s="81">
        <f t="shared" si="37"/>
        <v>5.2788000000000004</v>
      </c>
      <c r="J224" s="81">
        <v>0.45</v>
      </c>
      <c r="K224" s="82">
        <f t="shared" si="45"/>
        <v>5.7288000000000006</v>
      </c>
      <c r="L224" s="31">
        <f t="shared" si="38"/>
        <v>6015240.0000000009</v>
      </c>
      <c r="M224" s="184" t="s">
        <v>858</v>
      </c>
      <c r="N224" s="31">
        <f t="shared" si="42"/>
        <v>3007620.0000000005</v>
      </c>
      <c r="O224" s="31">
        <f t="shared" si="40"/>
        <v>1050000</v>
      </c>
      <c r="P224" s="10">
        <v>26</v>
      </c>
      <c r="Q224" s="62">
        <v>26</v>
      </c>
      <c r="R224" s="158">
        <f t="shared" si="46"/>
        <v>3007620.0000000005</v>
      </c>
      <c r="S224" s="31">
        <f>IF(Q224&gt;=P224,R224,R224/P224*Q224)</f>
        <v>3007620.0000000005</v>
      </c>
      <c r="T224" s="103"/>
      <c r="U224" s="31">
        <f t="shared" si="43"/>
        <v>0</v>
      </c>
      <c r="V224" s="74"/>
      <c r="W224" s="31">
        <f t="shared" si="39"/>
        <v>0</v>
      </c>
      <c r="X224" s="31">
        <f t="shared" si="36"/>
        <v>60152.400000000009</v>
      </c>
      <c r="Y224" s="46">
        <f t="shared" si="47"/>
        <v>3067772.4000000004</v>
      </c>
      <c r="Z224" s="11" t="str">
        <f t="shared" si="44"/>
        <v>214</v>
      </c>
      <c r="AA224" s="126"/>
      <c r="AB224" s="155" t="s">
        <v>727</v>
      </c>
      <c r="AC224" s="155"/>
    </row>
    <row r="225" spans="1:29" s="108" customFormat="1" ht="20.25" customHeight="1">
      <c r="A225" s="30" t="s">
        <v>702</v>
      </c>
      <c r="B225" s="33" t="s">
        <v>1082</v>
      </c>
      <c r="C225" s="34" t="s">
        <v>1051</v>
      </c>
      <c r="D225" s="34"/>
      <c r="E225" s="62" t="s">
        <v>214</v>
      </c>
      <c r="F225" s="75" t="s">
        <v>1414</v>
      </c>
      <c r="G225" s="10">
        <v>3.33</v>
      </c>
      <c r="H225" s="157"/>
      <c r="I225" s="81">
        <f t="shared" si="37"/>
        <v>3.33</v>
      </c>
      <c r="J225" s="81">
        <v>0</v>
      </c>
      <c r="K225" s="82">
        <f t="shared" si="45"/>
        <v>3.33</v>
      </c>
      <c r="L225" s="31">
        <f t="shared" si="38"/>
        <v>3496500</v>
      </c>
      <c r="M225" s="184" t="s">
        <v>858</v>
      </c>
      <c r="N225" s="31">
        <f t="shared" si="42"/>
        <v>1748250</v>
      </c>
      <c r="O225" s="31">
        <f t="shared" si="40"/>
        <v>1050000</v>
      </c>
      <c r="P225" s="10">
        <v>26</v>
      </c>
      <c r="Q225" s="62">
        <v>26</v>
      </c>
      <c r="R225" s="158">
        <f t="shared" si="46"/>
        <v>1748250</v>
      </c>
      <c r="S225" s="31">
        <f>IF(Q225&gt;=P225,R225,R225/P225*Q225)</f>
        <v>1748250</v>
      </c>
      <c r="T225" s="103"/>
      <c r="U225" s="31">
        <f t="shared" si="43"/>
        <v>0</v>
      </c>
      <c r="V225" s="74"/>
      <c r="W225" s="31">
        <f t="shared" si="39"/>
        <v>0</v>
      </c>
      <c r="X225" s="31">
        <f t="shared" si="36"/>
        <v>34965</v>
      </c>
      <c r="Y225" s="46">
        <f t="shared" si="47"/>
        <v>1783215</v>
      </c>
      <c r="Z225" s="11" t="str">
        <f t="shared" si="44"/>
        <v>215</v>
      </c>
      <c r="AA225" s="126"/>
      <c r="AB225" s="226"/>
      <c r="AC225" s="155"/>
    </row>
    <row r="226" spans="1:29" s="108" customFormat="1" ht="27" customHeight="1">
      <c r="A226" s="30" t="s">
        <v>703</v>
      </c>
      <c r="B226" s="33" t="s">
        <v>1015</v>
      </c>
      <c r="C226" s="34" t="s">
        <v>1083</v>
      </c>
      <c r="D226" s="34"/>
      <c r="E226" s="62" t="s">
        <v>215</v>
      </c>
      <c r="F226" s="75" t="s">
        <v>1415</v>
      </c>
      <c r="G226" s="10">
        <v>3.33</v>
      </c>
      <c r="H226" s="157"/>
      <c r="I226" s="81">
        <f t="shared" si="37"/>
        <v>3.33</v>
      </c>
      <c r="J226" s="81">
        <v>0.25</v>
      </c>
      <c r="K226" s="82">
        <f t="shared" si="45"/>
        <v>3.58</v>
      </c>
      <c r="L226" s="31">
        <f t="shared" si="38"/>
        <v>3759000</v>
      </c>
      <c r="M226" s="184" t="s">
        <v>858</v>
      </c>
      <c r="N226" s="31">
        <f t="shared" si="42"/>
        <v>1879500</v>
      </c>
      <c r="O226" s="31">
        <f t="shared" si="40"/>
        <v>1050000</v>
      </c>
      <c r="P226" s="10">
        <v>26</v>
      </c>
      <c r="Q226" s="62">
        <v>26</v>
      </c>
      <c r="R226" s="158">
        <f t="shared" si="46"/>
        <v>1879500</v>
      </c>
      <c r="S226" s="31">
        <f>IF(Q226&gt;=P226,R226,R226/P226*Q226)</f>
        <v>1879500</v>
      </c>
      <c r="T226" s="103"/>
      <c r="U226" s="31">
        <f t="shared" si="43"/>
        <v>0</v>
      </c>
      <c r="V226" s="74"/>
      <c r="W226" s="31">
        <f t="shared" si="39"/>
        <v>0</v>
      </c>
      <c r="X226" s="31">
        <f t="shared" si="36"/>
        <v>37590</v>
      </c>
      <c r="Y226" s="46">
        <f t="shared" si="47"/>
        <v>1917090</v>
      </c>
      <c r="Z226" s="11" t="str">
        <f t="shared" si="44"/>
        <v>216</v>
      </c>
      <c r="AA226" s="112"/>
      <c r="AB226" s="155"/>
      <c r="AC226" s="155"/>
    </row>
    <row r="227" spans="1:29" s="108" customFormat="1" ht="15.75">
      <c r="A227" s="30" t="s">
        <v>704</v>
      </c>
      <c r="B227" s="33" t="s">
        <v>1084</v>
      </c>
      <c r="C227" s="34" t="s">
        <v>887</v>
      </c>
      <c r="D227" s="34"/>
      <c r="E227" s="62" t="s">
        <v>216</v>
      </c>
      <c r="F227" s="75" t="s">
        <v>1416</v>
      </c>
      <c r="G227" s="10">
        <v>3</v>
      </c>
      <c r="H227" s="157"/>
      <c r="I227" s="81">
        <f t="shared" si="37"/>
        <v>3</v>
      </c>
      <c r="J227" s="81">
        <v>0.25</v>
      </c>
      <c r="K227" s="82">
        <f t="shared" si="45"/>
        <v>3.25</v>
      </c>
      <c r="L227" s="31">
        <f t="shared" si="38"/>
        <v>3412500</v>
      </c>
      <c r="M227" s="184" t="s">
        <v>858</v>
      </c>
      <c r="N227" s="31">
        <f t="shared" si="42"/>
        <v>1706250</v>
      </c>
      <c r="O227" s="31">
        <f t="shared" si="40"/>
        <v>1050000</v>
      </c>
      <c r="P227" s="10">
        <v>26</v>
      </c>
      <c r="Q227" s="62">
        <v>26</v>
      </c>
      <c r="R227" s="158">
        <f t="shared" si="46"/>
        <v>1706250</v>
      </c>
      <c r="S227" s="31">
        <f>IF(Q227&gt;=P227,R227,R227/P227*Q227)</f>
        <v>1706250</v>
      </c>
      <c r="T227" s="103"/>
      <c r="U227" s="31">
        <f t="shared" si="43"/>
        <v>0</v>
      </c>
      <c r="V227" s="74"/>
      <c r="W227" s="31">
        <f t="shared" si="39"/>
        <v>0</v>
      </c>
      <c r="X227" s="31">
        <f t="shared" si="36"/>
        <v>34125</v>
      </c>
      <c r="Y227" s="46">
        <f t="shared" si="47"/>
        <v>1740375</v>
      </c>
      <c r="Z227" s="11" t="str">
        <f t="shared" si="44"/>
        <v>217</v>
      </c>
      <c r="AA227" s="112"/>
      <c r="AB227" s="155"/>
      <c r="AC227" s="155"/>
    </row>
    <row r="228" spans="1:29" s="108" customFormat="1" ht="28.5" customHeight="1">
      <c r="A228" s="30" t="s">
        <v>705</v>
      </c>
      <c r="B228" s="271" t="s">
        <v>1085</v>
      </c>
      <c r="C228" s="272" t="s">
        <v>949</v>
      </c>
      <c r="D228" s="272"/>
      <c r="E228" s="294" t="s">
        <v>217</v>
      </c>
      <c r="F228" s="274" t="s">
        <v>1417</v>
      </c>
      <c r="G228" s="278">
        <v>3</v>
      </c>
      <c r="H228" s="295"/>
      <c r="I228" s="277">
        <f t="shared" si="37"/>
        <v>3</v>
      </c>
      <c r="J228" s="277">
        <v>0.25</v>
      </c>
      <c r="K228" s="296">
        <f t="shared" si="45"/>
        <v>3.25</v>
      </c>
      <c r="L228" s="279">
        <f t="shared" si="38"/>
        <v>3412500</v>
      </c>
      <c r="M228" s="184" t="s">
        <v>858</v>
      </c>
      <c r="N228" s="31">
        <f t="shared" si="42"/>
        <v>1706250</v>
      </c>
      <c r="O228" s="279">
        <f t="shared" si="40"/>
        <v>1050000</v>
      </c>
      <c r="P228" s="278">
        <v>26</v>
      </c>
      <c r="Q228" s="294">
        <v>3</v>
      </c>
      <c r="R228" s="297">
        <f t="shared" si="46"/>
        <v>1706250</v>
      </c>
      <c r="S228" s="279">
        <f t="shared" si="41"/>
        <v>196875</v>
      </c>
      <c r="T228" s="298"/>
      <c r="U228" s="279">
        <f t="shared" si="43"/>
        <v>0</v>
      </c>
      <c r="V228" s="283"/>
      <c r="W228" s="279">
        <f t="shared" si="39"/>
        <v>0</v>
      </c>
      <c r="X228" s="279">
        <f t="shared" si="36"/>
        <v>34125</v>
      </c>
      <c r="Y228" s="299">
        <f t="shared" si="47"/>
        <v>231000</v>
      </c>
      <c r="Z228" s="285" t="str">
        <f t="shared" si="44"/>
        <v>218</v>
      </c>
      <c r="AA228" s="300" t="s">
        <v>807</v>
      </c>
      <c r="AB228" s="155" t="s">
        <v>727</v>
      </c>
      <c r="AC228" s="155"/>
    </row>
    <row r="229" spans="1:29" s="108" customFormat="1" ht="26.25" customHeight="1">
      <c r="A229" s="30" t="s">
        <v>706</v>
      </c>
      <c r="B229" s="33" t="s">
        <v>1249</v>
      </c>
      <c r="C229" s="34" t="s">
        <v>981</v>
      </c>
      <c r="D229" s="34"/>
      <c r="E229" s="62" t="s">
        <v>218</v>
      </c>
      <c r="F229" s="75" t="s">
        <v>1418</v>
      </c>
      <c r="G229" s="10">
        <v>3</v>
      </c>
      <c r="H229" s="157"/>
      <c r="I229" s="81">
        <f t="shared" si="37"/>
        <v>3</v>
      </c>
      <c r="J229" s="81">
        <v>0.25</v>
      </c>
      <c r="K229" s="82">
        <f t="shared" si="45"/>
        <v>3.25</v>
      </c>
      <c r="L229" s="31">
        <f t="shared" si="38"/>
        <v>3412500</v>
      </c>
      <c r="M229" s="184" t="s">
        <v>858</v>
      </c>
      <c r="N229" s="31">
        <f t="shared" si="42"/>
        <v>1706250</v>
      </c>
      <c r="O229" s="31">
        <f t="shared" si="40"/>
        <v>1050000</v>
      </c>
      <c r="P229" s="10">
        <v>26</v>
      </c>
      <c r="Q229" s="62">
        <v>26</v>
      </c>
      <c r="R229" s="158">
        <f t="shared" si="46"/>
        <v>1706250</v>
      </c>
      <c r="S229" s="31">
        <f t="shared" si="41"/>
        <v>1706250</v>
      </c>
      <c r="T229" s="103"/>
      <c r="U229" s="31">
        <f t="shared" si="43"/>
        <v>0</v>
      </c>
      <c r="V229" s="74"/>
      <c r="W229" s="31">
        <f t="shared" si="39"/>
        <v>0</v>
      </c>
      <c r="X229" s="31">
        <f t="shared" si="36"/>
        <v>34125</v>
      </c>
      <c r="Y229" s="46">
        <f t="shared" si="47"/>
        <v>1740375</v>
      </c>
      <c r="Z229" s="11" t="str">
        <f t="shared" si="44"/>
        <v>219</v>
      </c>
      <c r="AA229" s="112"/>
      <c r="AB229" s="155"/>
      <c r="AC229" s="155"/>
    </row>
    <row r="230" spans="1:29" s="108" customFormat="1" ht="22.5" customHeight="1">
      <c r="A230" s="30" t="s">
        <v>707</v>
      </c>
      <c r="B230" s="33" t="s">
        <v>1027</v>
      </c>
      <c r="C230" s="34" t="s">
        <v>863</v>
      </c>
      <c r="D230" s="34"/>
      <c r="E230" s="62" t="s">
        <v>342</v>
      </c>
      <c r="F230" s="75" t="s">
        <v>392</v>
      </c>
      <c r="G230" s="10">
        <v>2.34</v>
      </c>
      <c r="H230" s="157"/>
      <c r="I230" s="81">
        <f t="shared" si="37"/>
        <v>2.34</v>
      </c>
      <c r="J230" s="81"/>
      <c r="K230" s="82">
        <f>I230+J230</f>
        <v>2.34</v>
      </c>
      <c r="L230" s="31">
        <f t="shared" si="38"/>
        <v>2457000</v>
      </c>
      <c r="M230" s="184" t="s">
        <v>858</v>
      </c>
      <c r="N230" s="31">
        <f t="shared" si="42"/>
        <v>1228500</v>
      </c>
      <c r="O230" s="31">
        <f t="shared" si="40"/>
        <v>1050000</v>
      </c>
      <c r="P230" s="10">
        <v>26</v>
      </c>
      <c r="Q230" s="62">
        <v>26</v>
      </c>
      <c r="R230" s="158">
        <f t="shared" si="46"/>
        <v>1228500</v>
      </c>
      <c r="S230" s="31">
        <f t="shared" si="41"/>
        <v>1228500</v>
      </c>
      <c r="T230" s="103"/>
      <c r="U230" s="31">
        <f t="shared" si="43"/>
        <v>0</v>
      </c>
      <c r="V230" s="74"/>
      <c r="W230" s="31">
        <f t="shared" si="39"/>
        <v>0</v>
      </c>
      <c r="X230" s="31">
        <f t="shared" si="36"/>
        <v>24570</v>
      </c>
      <c r="Y230" s="46">
        <f t="shared" si="47"/>
        <v>1253070</v>
      </c>
      <c r="Z230" s="11" t="str">
        <f t="shared" si="44"/>
        <v>220</v>
      </c>
      <c r="AA230" s="126"/>
      <c r="AB230" s="155"/>
      <c r="AC230" s="155"/>
    </row>
    <row r="231" spans="1:29" s="108" customFormat="1" ht="23.25" customHeight="1">
      <c r="A231" s="30" t="s">
        <v>708</v>
      </c>
      <c r="B231" s="33" t="s">
        <v>500</v>
      </c>
      <c r="C231" s="34" t="s">
        <v>501</v>
      </c>
      <c r="D231" s="34"/>
      <c r="E231" s="62" t="s">
        <v>502</v>
      </c>
      <c r="F231" s="102">
        <v>1603205246186</v>
      </c>
      <c r="G231" s="10">
        <v>3.99</v>
      </c>
      <c r="H231" s="157"/>
      <c r="I231" s="81">
        <f>G231+(G231*H231)</f>
        <v>3.99</v>
      </c>
      <c r="J231" s="81"/>
      <c r="K231" s="82">
        <f>I231+J231</f>
        <v>3.99</v>
      </c>
      <c r="L231" s="31">
        <f>K231*$H$7</f>
        <v>4189500</v>
      </c>
      <c r="M231" s="184" t="s">
        <v>858</v>
      </c>
      <c r="N231" s="31">
        <f t="shared" si="42"/>
        <v>2094750</v>
      </c>
      <c r="O231" s="31">
        <f t="shared" si="40"/>
        <v>1050000</v>
      </c>
      <c r="P231" s="10">
        <v>26</v>
      </c>
      <c r="Q231" s="62">
        <v>26</v>
      </c>
      <c r="R231" s="158">
        <f t="shared" si="46"/>
        <v>2094750</v>
      </c>
      <c r="S231" s="31">
        <f>IF(Q231&gt;=P231,R231,R231/P231*Q231)</f>
        <v>2094750</v>
      </c>
      <c r="T231" s="103"/>
      <c r="U231" s="31">
        <f t="shared" si="43"/>
        <v>0</v>
      </c>
      <c r="V231" s="74"/>
      <c r="W231" s="31">
        <f>V231*$H$7*0.5</f>
        <v>0</v>
      </c>
      <c r="X231" s="31">
        <f>(K231*0.01*$H$7)+(T231*1%*$H$7)+(V231*1%*$H$7)</f>
        <v>41895.000000000007</v>
      </c>
      <c r="Y231" s="46">
        <f t="shared" si="47"/>
        <v>2136645</v>
      </c>
      <c r="Z231" s="11" t="str">
        <f t="shared" si="44"/>
        <v>221</v>
      </c>
      <c r="AA231" s="126"/>
      <c r="AB231" s="155"/>
      <c r="AC231" s="155"/>
    </row>
    <row r="232" spans="1:29" s="108" customFormat="1" ht="24" customHeight="1">
      <c r="A232" s="30" t="s">
        <v>709</v>
      </c>
      <c r="B232" s="33" t="s">
        <v>1234</v>
      </c>
      <c r="C232" s="34" t="s">
        <v>1013</v>
      </c>
      <c r="D232" s="34"/>
      <c r="E232" s="62" t="s">
        <v>512</v>
      </c>
      <c r="F232" s="102" t="s">
        <v>511</v>
      </c>
      <c r="G232" s="10">
        <v>2.34</v>
      </c>
      <c r="H232" s="157"/>
      <c r="I232" s="81">
        <f>G232+(G232*H232)</f>
        <v>2.34</v>
      </c>
      <c r="J232" s="81"/>
      <c r="K232" s="82">
        <f>I232+J232</f>
        <v>2.34</v>
      </c>
      <c r="L232" s="31">
        <f>K232*$H$7</f>
        <v>2457000</v>
      </c>
      <c r="M232" s="184" t="s">
        <v>786</v>
      </c>
      <c r="N232" s="31">
        <f t="shared" si="42"/>
        <v>691031.25</v>
      </c>
      <c r="O232" s="31">
        <f t="shared" si="40"/>
        <v>514500</v>
      </c>
      <c r="P232" s="10">
        <v>26</v>
      </c>
      <c r="Q232" s="62">
        <v>26</v>
      </c>
      <c r="R232" s="158">
        <f t="shared" si="46"/>
        <v>691031.25</v>
      </c>
      <c r="S232" s="31">
        <f>IF(Q232&gt;=P232,R232,R232/P232*Q232)</f>
        <v>691031.25</v>
      </c>
      <c r="T232" s="103"/>
      <c r="U232" s="31">
        <f t="shared" si="43"/>
        <v>0</v>
      </c>
      <c r="V232" s="74"/>
      <c r="W232" s="31">
        <f>V232*$H$7*0.5</f>
        <v>0</v>
      </c>
      <c r="X232" s="31">
        <f>(K232*0.01*$H$7)+(T232*1%*$H$7)+(V232*1%*$H$7)</f>
        <v>24570</v>
      </c>
      <c r="Y232" s="46">
        <f t="shared" si="47"/>
        <v>715601.25</v>
      </c>
      <c r="Z232" s="11" t="str">
        <f t="shared" si="44"/>
        <v>222</v>
      </c>
      <c r="AA232" s="112" t="s">
        <v>823</v>
      </c>
      <c r="AB232" s="155"/>
      <c r="AC232" s="155"/>
    </row>
    <row r="233" spans="1:29" s="108" customFormat="1" ht="19.5" customHeight="1">
      <c r="A233" s="30" t="s">
        <v>710</v>
      </c>
      <c r="B233" s="33" t="s">
        <v>1004</v>
      </c>
      <c r="C233" s="149" t="s">
        <v>962</v>
      </c>
      <c r="D233" s="149"/>
      <c r="E233" s="62" t="s">
        <v>343</v>
      </c>
      <c r="F233" s="102">
        <v>1603205182619</v>
      </c>
      <c r="G233" s="10">
        <v>2.46</v>
      </c>
      <c r="H233" s="157"/>
      <c r="I233" s="81">
        <f t="shared" si="37"/>
        <v>2.46</v>
      </c>
      <c r="J233" s="81"/>
      <c r="K233" s="82">
        <f>I233+J233</f>
        <v>2.46</v>
      </c>
      <c r="L233" s="31">
        <f t="shared" si="38"/>
        <v>2583000</v>
      </c>
      <c r="M233" s="184" t="s">
        <v>858</v>
      </c>
      <c r="N233" s="31">
        <f t="shared" si="42"/>
        <v>1291500</v>
      </c>
      <c r="O233" s="31">
        <f t="shared" si="40"/>
        <v>1050000</v>
      </c>
      <c r="P233" s="10">
        <v>21</v>
      </c>
      <c r="Q233" s="62">
        <v>26</v>
      </c>
      <c r="R233" s="158">
        <f t="shared" si="46"/>
        <v>1291500</v>
      </c>
      <c r="S233" s="31">
        <f t="shared" si="41"/>
        <v>1291500</v>
      </c>
      <c r="T233" s="103"/>
      <c r="U233" s="31">
        <f t="shared" si="43"/>
        <v>0</v>
      </c>
      <c r="V233" s="74"/>
      <c r="W233" s="31">
        <f t="shared" si="39"/>
        <v>0</v>
      </c>
      <c r="X233" s="31">
        <f t="shared" si="36"/>
        <v>25830</v>
      </c>
      <c r="Y233" s="46">
        <f t="shared" si="47"/>
        <v>1317330</v>
      </c>
      <c r="Z233" s="11" t="str">
        <f t="shared" si="44"/>
        <v>223</v>
      </c>
      <c r="AA233" s="126"/>
      <c r="AB233" s="155"/>
      <c r="AC233" s="155"/>
    </row>
    <row r="234" spans="1:29" s="108" customFormat="1" ht="15.75">
      <c r="A234" s="30" t="s">
        <v>711</v>
      </c>
      <c r="B234" s="271" t="s">
        <v>938</v>
      </c>
      <c r="C234" s="272" t="s">
        <v>992</v>
      </c>
      <c r="D234" s="272" t="s">
        <v>552</v>
      </c>
      <c r="E234" s="294" t="s">
        <v>219</v>
      </c>
      <c r="F234" s="317" t="s">
        <v>1419</v>
      </c>
      <c r="G234" s="278">
        <v>4.9800000000000004</v>
      </c>
      <c r="H234" s="295">
        <v>7.0000000000000007E-2</v>
      </c>
      <c r="I234" s="277">
        <f t="shared" si="37"/>
        <v>5.3286000000000007</v>
      </c>
      <c r="J234" s="277">
        <v>0.45</v>
      </c>
      <c r="K234" s="296">
        <f t="shared" si="45"/>
        <v>5.7786000000000008</v>
      </c>
      <c r="L234" s="279">
        <f t="shared" si="38"/>
        <v>6067530.0000000009</v>
      </c>
      <c r="M234" s="184" t="s">
        <v>858</v>
      </c>
      <c r="N234" s="31">
        <f t="shared" si="42"/>
        <v>3033765.0000000005</v>
      </c>
      <c r="O234" s="279">
        <f t="shared" si="40"/>
        <v>1050000</v>
      </c>
      <c r="P234" s="278">
        <v>26</v>
      </c>
      <c r="Q234" s="294">
        <v>24</v>
      </c>
      <c r="R234" s="297">
        <f t="shared" si="46"/>
        <v>3033765.0000000005</v>
      </c>
      <c r="S234" s="279">
        <f t="shared" si="41"/>
        <v>2800398.461538462</v>
      </c>
      <c r="T234" s="298"/>
      <c r="U234" s="279">
        <f t="shared" si="43"/>
        <v>0</v>
      </c>
      <c r="V234" s="283"/>
      <c r="W234" s="279">
        <f t="shared" si="39"/>
        <v>0</v>
      </c>
      <c r="X234" s="279">
        <f t="shared" si="36"/>
        <v>60675.30000000001</v>
      </c>
      <c r="Y234" s="299">
        <f t="shared" si="47"/>
        <v>2861073.7615384618</v>
      </c>
      <c r="Z234" s="285" t="str">
        <f t="shared" si="44"/>
        <v>224</v>
      </c>
      <c r="AA234" s="300" t="s">
        <v>780</v>
      </c>
      <c r="AB234" s="165" t="s">
        <v>812</v>
      </c>
      <c r="AC234" s="155"/>
    </row>
    <row r="235" spans="1:29" s="108" customFormat="1" ht="29.25" customHeight="1">
      <c r="A235" s="30" t="s">
        <v>712</v>
      </c>
      <c r="B235" s="33" t="s">
        <v>1086</v>
      </c>
      <c r="C235" s="34" t="s">
        <v>1087</v>
      </c>
      <c r="D235" s="34"/>
      <c r="E235" s="62" t="s">
        <v>220</v>
      </c>
      <c r="F235" s="75" t="s">
        <v>1420</v>
      </c>
      <c r="G235" s="10">
        <v>3.33</v>
      </c>
      <c r="H235" s="157"/>
      <c r="I235" s="81">
        <f t="shared" si="37"/>
        <v>3.33</v>
      </c>
      <c r="J235" s="81">
        <v>0.35</v>
      </c>
      <c r="K235" s="82">
        <f t="shared" si="45"/>
        <v>3.68</v>
      </c>
      <c r="L235" s="31">
        <f t="shared" si="38"/>
        <v>3864000</v>
      </c>
      <c r="M235" s="184" t="s">
        <v>858</v>
      </c>
      <c r="N235" s="31">
        <f t="shared" si="42"/>
        <v>1932000</v>
      </c>
      <c r="O235" s="31">
        <f t="shared" si="40"/>
        <v>1050000</v>
      </c>
      <c r="P235" s="10">
        <v>26</v>
      </c>
      <c r="Q235" s="62">
        <v>26</v>
      </c>
      <c r="R235" s="158">
        <f t="shared" si="46"/>
        <v>1932000</v>
      </c>
      <c r="S235" s="31">
        <f t="shared" si="41"/>
        <v>1932000</v>
      </c>
      <c r="T235" s="103"/>
      <c r="U235" s="31">
        <f t="shared" si="43"/>
        <v>0</v>
      </c>
      <c r="V235" s="74"/>
      <c r="W235" s="31">
        <f t="shared" si="39"/>
        <v>0</v>
      </c>
      <c r="X235" s="31">
        <f t="shared" si="36"/>
        <v>38640</v>
      </c>
      <c r="Y235" s="46">
        <f t="shared" si="47"/>
        <v>1970640</v>
      </c>
      <c r="Z235" s="11" t="str">
        <f t="shared" si="44"/>
        <v>225</v>
      </c>
      <c r="AA235" s="112"/>
      <c r="AB235" s="165" t="s">
        <v>813</v>
      </c>
      <c r="AC235" s="155"/>
    </row>
    <row r="236" spans="1:29" s="108" customFormat="1" ht="15.75">
      <c r="A236" s="30" t="s">
        <v>713</v>
      </c>
      <c r="B236" s="33" t="s">
        <v>969</v>
      </c>
      <c r="C236" s="34" t="s">
        <v>876</v>
      </c>
      <c r="D236" s="34"/>
      <c r="E236" s="62" t="s">
        <v>221</v>
      </c>
      <c r="F236" s="75" t="s">
        <v>0</v>
      </c>
      <c r="G236" s="10">
        <v>3</v>
      </c>
      <c r="H236" s="157"/>
      <c r="I236" s="81">
        <f t="shared" si="37"/>
        <v>3</v>
      </c>
      <c r="J236" s="81">
        <v>0.25</v>
      </c>
      <c r="K236" s="82">
        <f t="shared" si="45"/>
        <v>3.25</v>
      </c>
      <c r="L236" s="31">
        <f t="shared" si="38"/>
        <v>3412500</v>
      </c>
      <c r="M236" s="184" t="s">
        <v>858</v>
      </c>
      <c r="N236" s="31">
        <f t="shared" si="42"/>
        <v>1706250</v>
      </c>
      <c r="O236" s="31">
        <f t="shared" si="40"/>
        <v>1050000</v>
      </c>
      <c r="P236" s="10">
        <v>26</v>
      </c>
      <c r="Q236" s="62">
        <v>24</v>
      </c>
      <c r="R236" s="158">
        <f t="shared" si="46"/>
        <v>1706250</v>
      </c>
      <c r="S236" s="31">
        <f t="shared" si="41"/>
        <v>1575000</v>
      </c>
      <c r="T236" s="103"/>
      <c r="U236" s="31">
        <f t="shared" si="43"/>
        <v>0</v>
      </c>
      <c r="V236" s="74"/>
      <c r="W236" s="31">
        <f t="shared" si="39"/>
        <v>0</v>
      </c>
      <c r="X236" s="31">
        <f t="shared" si="36"/>
        <v>34125</v>
      </c>
      <c r="Y236" s="46">
        <f t="shared" si="47"/>
        <v>1609125</v>
      </c>
      <c r="Z236" s="11" t="str">
        <f t="shared" si="44"/>
        <v>226</v>
      </c>
      <c r="AA236" s="112"/>
      <c r="AB236" s="165" t="s">
        <v>814</v>
      </c>
      <c r="AC236" s="155"/>
    </row>
    <row r="237" spans="1:29" s="108" customFormat="1" ht="25.5" customHeight="1">
      <c r="A237" s="30" t="s">
        <v>714</v>
      </c>
      <c r="B237" s="33" t="s">
        <v>1089</v>
      </c>
      <c r="C237" s="34" t="s">
        <v>1090</v>
      </c>
      <c r="D237" s="34"/>
      <c r="E237" s="62" t="s">
        <v>222</v>
      </c>
      <c r="F237" s="75" t="s">
        <v>1</v>
      </c>
      <c r="G237" s="10">
        <v>2.67</v>
      </c>
      <c r="H237" s="157"/>
      <c r="I237" s="81">
        <f t="shared" si="37"/>
        <v>2.67</v>
      </c>
      <c r="J237" s="81">
        <v>0.25</v>
      </c>
      <c r="K237" s="82">
        <f t="shared" si="45"/>
        <v>2.92</v>
      </c>
      <c r="L237" s="31">
        <f t="shared" si="38"/>
        <v>3066000</v>
      </c>
      <c r="M237" s="184" t="s">
        <v>858</v>
      </c>
      <c r="N237" s="31">
        <f t="shared" si="42"/>
        <v>1533000</v>
      </c>
      <c r="O237" s="31">
        <f t="shared" si="40"/>
        <v>1050000</v>
      </c>
      <c r="P237" s="10">
        <v>26</v>
      </c>
      <c r="Q237" s="62">
        <v>21</v>
      </c>
      <c r="R237" s="158">
        <f t="shared" si="46"/>
        <v>1533000</v>
      </c>
      <c r="S237" s="31">
        <f t="shared" si="41"/>
        <v>1238192.3076923077</v>
      </c>
      <c r="T237" s="103"/>
      <c r="U237" s="31">
        <f t="shared" si="43"/>
        <v>0</v>
      </c>
      <c r="V237" s="74"/>
      <c r="W237" s="31">
        <f t="shared" si="39"/>
        <v>0</v>
      </c>
      <c r="X237" s="31">
        <f t="shared" si="36"/>
        <v>30660</v>
      </c>
      <c r="Y237" s="46">
        <f t="shared" si="47"/>
        <v>1268852.3076923077</v>
      </c>
      <c r="Z237" s="11" t="str">
        <f t="shared" si="44"/>
        <v>227</v>
      </c>
      <c r="AA237" s="112"/>
      <c r="AB237" s="165" t="s">
        <v>815</v>
      </c>
      <c r="AC237" s="155"/>
    </row>
    <row r="238" spans="1:29" s="108" customFormat="1" ht="30.75" customHeight="1">
      <c r="A238" s="30" t="s">
        <v>715</v>
      </c>
      <c r="B238" s="271" t="s">
        <v>1091</v>
      </c>
      <c r="C238" s="272" t="s">
        <v>1092</v>
      </c>
      <c r="D238" s="272"/>
      <c r="E238" s="294" t="s">
        <v>223</v>
      </c>
      <c r="F238" s="274" t="s">
        <v>2</v>
      </c>
      <c r="G238" s="275">
        <v>3</v>
      </c>
      <c r="H238" s="295"/>
      <c r="I238" s="318">
        <f t="shared" si="37"/>
        <v>3</v>
      </c>
      <c r="J238" s="277">
        <v>0</v>
      </c>
      <c r="K238" s="296">
        <f t="shared" si="45"/>
        <v>3</v>
      </c>
      <c r="L238" s="279">
        <f t="shared" si="38"/>
        <v>3150000</v>
      </c>
      <c r="M238" s="184" t="s">
        <v>785</v>
      </c>
      <c r="N238" s="31">
        <f t="shared" si="42"/>
        <v>0</v>
      </c>
      <c r="O238" s="279">
        <f t="shared" si="40"/>
        <v>0</v>
      </c>
      <c r="P238" s="278">
        <v>0</v>
      </c>
      <c r="Q238" s="294">
        <v>0</v>
      </c>
      <c r="R238" s="297">
        <f t="shared" si="46"/>
        <v>0</v>
      </c>
      <c r="S238" s="279">
        <f t="shared" si="41"/>
        <v>0</v>
      </c>
      <c r="T238" s="298"/>
      <c r="U238" s="279">
        <f t="shared" si="43"/>
        <v>0</v>
      </c>
      <c r="V238" s="283"/>
      <c r="W238" s="279">
        <f t="shared" si="39"/>
        <v>0</v>
      </c>
      <c r="X238" s="279">
        <v>0</v>
      </c>
      <c r="Y238" s="299">
        <f t="shared" si="47"/>
        <v>0</v>
      </c>
      <c r="Z238" s="285" t="str">
        <f t="shared" si="44"/>
        <v>228</v>
      </c>
      <c r="AA238" s="300" t="s">
        <v>781</v>
      </c>
      <c r="AB238" s="165" t="s">
        <v>816</v>
      </c>
      <c r="AC238" s="155"/>
    </row>
    <row r="239" spans="1:29" s="108" customFormat="1" ht="30.75" customHeight="1">
      <c r="A239" s="30" t="s">
        <v>716</v>
      </c>
      <c r="B239" s="33" t="s">
        <v>1095</v>
      </c>
      <c r="C239" s="34" t="s">
        <v>970</v>
      </c>
      <c r="D239" s="34"/>
      <c r="E239" s="62" t="s">
        <v>224</v>
      </c>
      <c r="F239" s="75" t="s">
        <v>3</v>
      </c>
      <c r="G239" s="10">
        <v>2.67</v>
      </c>
      <c r="H239" s="157"/>
      <c r="I239" s="81">
        <f t="shared" si="37"/>
        <v>2.67</v>
      </c>
      <c r="J239" s="81">
        <v>0.25</v>
      </c>
      <c r="K239" s="82">
        <f t="shared" si="45"/>
        <v>2.92</v>
      </c>
      <c r="L239" s="31">
        <f t="shared" si="38"/>
        <v>3066000</v>
      </c>
      <c r="M239" s="184" t="s">
        <v>858</v>
      </c>
      <c r="N239" s="31">
        <f t="shared" si="42"/>
        <v>1533000</v>
      </c>
      <c r="O239" s="31">
        <f t="shared" si="40"/>
        <v>1050000</v>
      </c>
      <c r="P239" s="10">
        <v>26</v>
      </c>
      <c r="Q239" s="62">
        <v>26</v>
      </c>
      <c r="R239" s="158">
        <f t="shared" si="46"/>
        <v>1533000</v>
      </c>
      <c r="S239" s="31">
        <f t="shared" si="41"/>
        <v>1533000</v>
      </c>
      <c r="T239" s="103"/>
      <c r="U239" s="31">
        <f t="shared" si="43"/>
        <v>0</v>
      </c>
      <c r="V239" s="74"/>
      <c r="W239" s="31">
        <f t="shared" si="39"/>
        <v>0</v>
      </c>
      <c r="X239" s="31">
        <f t="shared" si="36"/>
        <v>30660</v>
      </c>
      <c r="Y239" s="46">
        <f t="shared" si="47"/>
        <v>1563660</v>
      </c>
      <c r="Z239" s="11" t="str">
        <f t="shared" si="44"/>
        <v>229</v>
      </c>
      <c r="AA239" s="112"/>
      <c r="AB239" s="165" t="s">
        <v>817</v>
      </c>
      <c r="AC239" s="155"/>
    </row>
    <row r="240" spans="1:29" s="108" customFormat="1" ht="26.25" customHeight="1">
      <c r="A240" s="30" t="s">
        <v>717</v>
      </c>
      <c r="B240" s="33" t="s">
        <v>1235</v>
      </c>
      <c r="C240" s="34" t="s">
        <v>1215</v>
      </c>
      <c r="D240" s="34"/>
      <c r="E240" s="62" t="s">
        <v>225</v>
      </c>
      <c r="F240" s="75" t="s">
        <v>4</v>
      </c>
      <c r="G240" s="10">
        <v>2.67</v>
      </c>
      <c r="H240" s="157"/>
      <c r="I240" s="81">
        <f t="shared" si="37"/>
        <v>2.67</v>
      </c>
      <c r="J240" s="81">
        <v>0.25</v>
      </c>
      <c r="K240" s="82">
        <f t="shared" si="45"/>
        <v>2.92</v>
      </c>
      <c r="L240" s="31">
        <f t="shared" si="38"/>
        <v>3066000</v>
      </c>
      <c r="M240" s="184" t="s">
        <v>858</v>
      </c>
      <c r="N240" s="31">
        <f t="shared" si="42"/>
        <v>1533000</v>
      </c>
      <c r="O240" s="31">
        <f t="shared" si="40"/>
        <v>1050000</v>
      </c>
      <c r="P240" s="10">
        <v>26</v>
      </c>
      <c r="Q240" s="62">
        <v>26</v>
      </c>
      <c r="R240" s="158">
        <f t="shared" si="46"/>
        <v>1533000</v>
      </c>
      <c r="S240" s="31">
        <f t="shared" si="41"/>
        <v>1533000</v>
      </c>
      <c r="T240" s="103"/>
      <c r="U240" s="31">
        <f t="shared" si="43"/>
        <v>0</v>
      </c>
      <c r="V240" s="74"/>
      <c r="W240" s="31">
        <f t="shared" si="39"/>
        <v>0</v>
      </c>
      <c r="X240" s="31">
        <f t="shared" si="36"/>
        <v>30660</v>
      </c>
      <c r="Y240" s="46">
        <f t="shared" si="47"/>
        <v>1563660</v>
      </c>
      <c r="Z240" s="11" t="str">
        <f t="shared" si="44"/>
        <v>230</v>
      </c>
      <c r="AA240" s="112"/>
      <c r="AB240" s="165" t="s">
        <v>818</v>
      </c>
      <c r="AC240" s="155"/>
    </row>
    <row r="241" spans="1:29" s="108" customFormat="1" ht="21.75" customHeight="1">
      <c r="A241" s="30" t="s">
        <v>718</v>
      </c>
      <c r="B241" s="33" t="s">
        <v>1236</v>
      </c>
      <c r="C241" s="34" t="s">
        <v>878</v>
      </c>
      <c r="D241" s="34"/>
      <c r="E241" s="62" t="s">
        <v>226</v>
      </c>
      <c r="F241" s="75" t="s">
        <v>5</v>
      </c>
      <c r="G241" s="10">
        <v>2.67</v>
      </c>
      <c r="H241" s="157"/>
      <c r="I241" s="81">
        <f t="shared" si="37"/>
        <v>2.67</v>
      </c>
      <c r="J241" s="81"/>
      <c r="K241" s="82">
        <f t="shared" si="45"/>
        <v>2.67</v>
      </c>
      <c r="L241" s="31">
        <f t="shared" si="38"/>
        <v>2803500</v>
      </c>
      <c r="M241" s="184" t="s">
        <v>858</v>
      </c>
      <c r="N241" s="31">
        <f t="shared" si="42"/>
        <v>1401750</v>
      </c>
      <c r="O241" s="31">
        <f t="shared" si="40"/>
        <v>1050000</v>
      </c>
      <c r="P241" s="10">
        <v>26</v>
      </c>
      <c r="Q241" s="62">
        <v>26</v>
      </c>
      <c r="R241" s="158">
        <f t="shared" si="46"/>
        <v>1401750</v>
      </c>
      <c r="S241" s="31">
        <f t="shared" si="41"/>
        <v>1401750</v>
      </c>
      <c r="T241" s="103"/>
      <c r="U241" s="31">
        <f t="shared" si="43"/>
        <v>0</v>
      </c>
      <c r="V241" s="74"/>
      <c r="W241" s="31">
        <f t="shared" si="39"/>
        <v>0</v>
      </c>
      <c r="X241" s="31">
        <f t="shared" si="36"/>
        <v>28035</v>
      </c>
      <c r="Y241" s="46">
        <f t="shared" si="47"/>
        <v>1429785</v>
      </c>
      <c r="Z241" s="11" t="str">
        <f t="shared" si="44"/>
        <v>231</v>
      </c>
      <c r="AA241" s="112"/>
      <c r="AB241" s="165" t="s">
        <v>819</v>
      </c>
      <c r="AC241" s="155"/>
    </row>
    <row r="242" spans="1:29" s="108" customFormat="1" ht="22.5" customHeight="1">
      <c r="A242" s="30" t="s">
        <v>719</v>
      </c>
      <c r="B242" s="33" t="s">
        <v>1237</v>
      </c>
      <c r="C242" s="34" t="s">
        <v>1204</v>
      </c>
      <c r="D242" s="34"/>
      <c r="E242" s="62" t="s">
        <v>227</v>
      </c>
      <c r="F242" s="75" t="s">
        <v>6</v>
      </c>
      <c r="G242" s="10">
        <v>2.67</v>
      </c>
      <c r="H242" s="157"/>
      <c r="I242" s="81">
        <f t="shared" si="37"/>
        <v>2.67</v>
      </c>
      <c r="J242" s="81"/>
      <c r="K242" s="82">
        <f t="shared" si="45"/>
        <v>2.67</v>
      </c>
      <c r="L242" s="31">
        <f t="shared" si="38"/>
        <v>2803500</v>
      </c>
      <c r="M242" s="184" t="s">
        <v>858</v>
      </c>
      <c r="N242" s="31">
        <f t="shared" si="42"/>
        <v>1401750</v>
      </c>
      <c r="O242" s="31">
        <f t="shared" si="40"/>
        <v>1050000</v>
      </c>
      <c r="P242" s="10">
        <v>26</v>
      </c>
      <c r="Q242" s="62">
        <v>26</v>
      </c>
      <c r="R242" s="158">
        <f t="shared" si="46"/>
        <v>1401750</v>
      </c>
      <c r="S242" s="31">
        <f t="shared" si="41"/>
        <v>1401750</v>
      </c>
      <c r="T242" s="103"/>
      <c r="U242" s="31">
        <f t="shared" si="43"/>
        <v>0</v>
      </c>
      <c r="V242" s="74"/>
      <c r="W242" s="31">
        <f t="shared" si="39"/>
        <v>0</v>
      </c>
      <c r="X242" s="31">
        <f t="shared" si="36"/>
        <v>28035</v>
      </c>
      <c r="Y242" s="46">
        <f t="shared" si="47"/>
        <v>1429785</v>
      </c>
      <c r="Z242" s="11" t="str">
        <f t="shared" si="44"/>
        <v>232</v>
      </c>
      <c r="AA242" s="112"/>
      <c r="AB242" s="165" t="s">
        <v>820</v>
      </c>
      <c r="AC242" s="155"/>
    </row>
    <row r="243" spans="1:29" s="108" customFormat="1" ht="21.75" customHeight="1">
      <c r="A243" s="30" t="s">
        <v>760</v>
      </c>
      <c r="B243" s="33" t="s">
        <v>289</v>
      </c>
      <c r="C243" s="34" t="s">
        <v>868</v>
      </c>
      <c r="D243" s="34"/>
      <c r="E243" s="62" t="s">
        <v>344</v>
      </c>
      <c r="F243" s="75" t="s">
        <v>393</v>
      </c>
      <c r="G243" s="10">
        <v>2.34</v>
      </c>
      <c r="H243" s="157"/>
      <c r="I243" s="81">
        <f t="shared" si="37"/>
        <v>2.34</v>
      </c>
      <c r="J243" s="81"/>
      <c r="K243" s="82">
        <f t="shared" si="45"/>
        <v>2.34</v>
      </c>
      <c r="L243" s="31">
        <f t="shared" si="38"/>
        <v>2457000</v>
      </c>
      <c r="M243" s="184" t="s">
        <v>858</v>
      </c>
      <c r="N243" s="31">
        <f t="shared" si="42"/>
        <v>1228500</v>
      </c>
      <c r="O243" s="31">
        <f t="shared" si="40"/>
        <v>1050000</v>
      </c>
      <c r="P243" s="10">
        <v>26</v>
      </c>
      <c r="Q243" s="62">
        <v>26</v>
      </c>
      <c r="R243" s="158">
        <f t="shared" si="46"/>
        <v>1228500</v>
      </c>
      <c r="S243" s="31">
        <f t="shared" si="41"/>
        <v>1228500</v>
      </c>
      <c r="T243" s="103"/>
      <c r="U243" s="31">
        <f t="shared" si="43"/>
        <v>0</v>
      </c>
      <c r="V243" s="74"/>
      <c r="W243" s="31">
        <f t="shared" si="39"/>
        <v>0</v>
      </c>
      <c r="X243" s="31">
        <f t="shared" si="36"/>
        <v>24570</v>
      </c>
      <c r="Y243" s="46">
        <f t="shared" si="47"/>
        <v>1253070</v>
      </c>
      <c r="Z243" s="11" t="str">
        <f t="shared" si="44"/>
        <v>233</v>
      </c>
      <c r="AA243" s="126"/>
      <c r="AB243" s="165" t="s">
        <v>1119</v>
      </c>
      <c r="AC243" s="155"/>
    </row>
    <row r="244" spans="1:29" s="108" customFormat="1" ht="22.5" customHeight="1">
      <c r="A244" s="30" t="s">
        <v>761</v>
      </c>
      <c r="B244" s="33" t="s">
        <v>1047</v>
      </c>
      <c r="C244" s="34" t="s">
        <v>1212</v>
      </c>
      <c r="D244" s="34"/>
      <c r="E244" s="62" t="s">
        <v>345</v>
      </c>
      <c r="F244" s="75" t="s">
        <v>394</v>
      </c>
      <c r="G244" s="10">
        <v>2.34</v>
      </c>
      <c r="H244" s="157"/>
      <c r="I244" s="81">
        <f>G244+(G244*H244)</f>
        <v>2.34</v>
      </c>
      <c r="J244" s="81"/>
      <c r="K244" s="82">
        <f>I244+J244</f>
        <v>2.34</v>
      </c>
      <c r="L244" s="31">
        <f t="shared" si="38"/>
        <v>2457000</v>
      </c>
      <c r="M244" s="184" t="s">
        <v>858</v>
      </c>
      <c r="N244" s="31">
        <f t="shared" si="42"/>
        <v>1228500</v>
      </c>
      <c r="O244" s="31">
        <f t="shared" si="40"/>
        <v>1050000</v>
      </c>
      <c r="P244" s="10">
        <v>26</v>
      </c>
      <c r="Q244" s="62">
        <v>26</v>
      </c>
      <c r="R244" s="158">
        <f t="shared" si="46"/>
        <v>1228500</v>
      </c>
      <c r="S244" s="31">
        <f t="shared" si="41"/>
        <v>1228500</v>
      </c>
      <c r="T244" s="103"/>
      <c r="U244" s="31">
        <f t="shared" si="43"/>
        <v>0</v>
      </c>
      <c r="V244" s="74"/>
      <c r="W244" s="31">
        <f t="shared" si="39"/>
        <v>0</v>
      </c>
      <c r="X244" s="31">
        <f t="shared" si="36"/>
        <v>24570</v>
      </c>
      <c r="Y244" s="46">
        <f t="shared" si="47"/>
        <v>1253070</v>
      </c>
      <c r="Z244" s="11" t="str">
        <f t="shared" si="44"/>
        <v>234</v>
      </c>
      <c r="AA244" s="126"/>
      <c r="AB244" s="165" t="s">
        <v>1120</v>
      </c>
      <c r="AC244" s="155"/>
    </row>
    <row r="245" spans="1:29" s="108" customFormat="1" ht="27.75" customHeight="1">
      <c r="A245" s="30" t="s">
        <v>762</v>
      </c>
      <c r="B245" s="33" t="s">
        <v>290</v>
      </c>
      <c r="C245" s="34" t="s">
        <v>1218</v>
      </c>
      <c r="D245" s="34"/>
      <c r="E245" s="62" t="s">
        <v>346</v>
      </c>
      <c r="F245" s="75" t="s">
        <v>395</v>
      </c>
      <c r="G245" s="10">
        <v>2.34</v>
      </c>
      <c r="H245" s="157"/>
      <c r="I245" s="81">
        <f>G245+(G245*H245)</f>
        <v>2.34</v>
      </c>
      <c r="J245" s="81"/>
      <c r="K245" s="82">
        <f>I245+J245</f>
        <v>2.34</v>
      </c>
      <c r="L245" s="31">
        <f t="shared" si="38"/>
        <v>2457000</v>
      </c>
      <c r="M245" s="184" t="s">
        <v>858</v>
      </c>
      <c r="N245" s="31">
        <f t="shared" si="42"/>
        <v>1228500</v>
      </c>
      <c r="O245" s="31">
        <f t="shared" si="40"/>
        <v>1050000</v>
      </c>
      <c r="P245" s="10">
        <v>26</v>
      </c>
      <c r="Q245" s="62">
        <v>26</v>
      </c>
      <c r="R245" s="158">
        <f t="shared" si="46"/>
        <v>1228500</v>
      </c>
      <c r="S245" s="31">
        <f t="shared" si="41"/>
        <v>1228500</v>
      </c>
      <c r="T245" s="103"/>
      <c r="U245" s="31">
        <f t="shared" si="43"/>
        <v>0</v>
      </c>
      <c r="V245" s="74"/>
      <c r="W245" s="31">
        <f t="shared" si="39"/>
        <v>0</v>
      </c>
      <c r="X245" s="31">
        <f t="shared" si="36"/>
        <v>24570</v>
      </c>
      <c r="Y245" s="46">
        <f t="shared" si="47"/>
        <v>1253070</v>
      </c>
      <c r="Z245" s="11" t="str">
        <f t="shared" si="44"/>
        <v>235</v>
      </c>
      <c r="AA245" s="126"/>
      <c r="AB245" s="165" t="s">
        <v>1121</v>
      </c>
      <c r="AC245" s="155"/>
    </row>
    <row r="246" spans="1:29" s="108" customFormat="1" ht="27.75" customHeight="1">
      <c r="A246" s="30" t="s">
        <v>763</v>
      </c>
      <c r="B246" s="33" t="s">
        <v>467</v>
      </c>
      <c r="C246" s="34" t="s">
        <v>876</v>
      </c>
      <c r="D246" s="34"/>
      <c r="E246" s="62" t="s">
        <v>470</v>
      </c>
      <c r="F246" s="75" t="s">
        <v>472</v>
      </c>
      <c r="G246" s="10">
        <v>2.34</v>
      </c>
      <c r="H246" s="157"/>
      <c r="I246" s="81">
        <f>G246+(G246*H246)</f>
        <v>2.34</v>
      </c>
      <c r="J246" s="81"/>
      <c r="K246" s="82">
        <f>I246+J246</f>
        <v>2.34</v>
      </c>
      <c r="L246" s="31">
        <f t="shared" si="38"/>
        <v>2457000</v>
      </c>
      <c r="M246" s="184" t="s">
        <v>858</v>
      </c>
      <c r="N246" s="31">
        <f t="shared" si="42"/>
        <v>1228500</v>
      </c>
      <c r="O246" s="31">
        <f t="shared" si="40"/>
        <v>1050000</v>
      </c>
      <c r="P246" s="10">
        <v>26</v>
      </c>
      <c r="Q246" s="62">
        <v>26</v>
      </c>
      <c r="R246" s="158">
        <f t="shared" si="46"/>
        <v>1228500</v>
      </c>
      <c r="S246" s="31">
        <f t="shared" si="41"/>
        <v>1228500</v>
      </c>
      <c r="T246" s="103"/>
      <c r="U246" s="31">
        <f t="shared" si="43"/>
        <v>0</v>
      </c>
      <c r="V246" s="74"/>
      <c r="W246" s="31">
        <f t="shared" si="39"/>
        <v>0</v>
      </c>
      <c r="X246" s="31">
        <f t="shared" si="36"/>
        <v>24570</v>
      </c>
      <c r="Y246" s="46">
        <f t="shared" si="47"/>
        <v>1253070</v>
      </c>
      <c r="Z246" s="11" t="str">
        <f t="shared" si="44"/>
        <v>236</v>
      </c>
      <c r="AA246" s="126"/>
      <c r="AB246" s="165" t="s">
        <v>1122</v>
      </c>
      <c r="AC246" s="155"/>
    </row>
    <row r="247" spans="1:29" s="108" customFormat="1" ht="27.75" customHeight="1">
      <c r="A247" s="30" t="s">
        <v>764</v>
      </c>
      <c r="B247" s="271" t="s">
        <v>468</v>
      </c>
      <c r="C247" s="272" t="s">
        <v>469</v>
      </c>
      <c r="D247" s="272"/>
      <c r="E247" s="294" t="s">
        <v>471</v>
      </c>
      <c r="F247" s="274" t="s">
        <v>473</v>
      </c>
      <c r="G247" s="278">
        <v>2.34</v>
      </c>
      <c r="H247" s="295"/>
      <c r="I247" s="277">
        <f>G247+(G247*H247)</f>
        <v>2.34</v>
      </c>
      <c r="J247" s="277"/>
      <c r="K247" s="296">
        <f>I247+J247</f>
        <v>2.34</v>
      </c>
      <c r="L247" s="279">
        <f t="shared" si="38"/>
        <v>2457000</v>
      </c>
      <c r="M247" s="184" t="s">
        <v>858</v>
      </c>
      <c r="N247" s="31">
        <f t="shared" si="42"/>
        <v>1228500</v>
      </c>
      <c r="O247" s="279">
        <f t="shared" si="40"/>
        <v>1050000</v>
      </c>
      <c r="P247" s="278">
        <v>26</v>
      </c>
      <c r="Q247" s="294">
        <v>25</v>
      </c>
      <c r="R247" s="297">
        <f t="shared" si="46"/>
        <v>1228500</v>
      </c>
      <c r="S247" s="279">
        <f t="shared" si="41"/>
        <v>1181250</v>
      </c>
      <c r="T247" s="298"/>
      <c r="U247" s="279">
        <f t="shared" si="43"/>
        <v>0</v>
      </c>
      <c r="V247" s="283"/>
      <c r="W247" s="279">
        <f t="shared" si="39"/>
        <v>0</v>
      </c>
      <c r="X247" s="279">
        <f t="shared" si="36"/>
        <v>24570</v>
      </c>
      <c r="Y247" s="299">
        <f t="shared" si="47"/>
        <v>1205820</v>
      </c>
      <c r="Z247" s="285" t="str">
        <f t="shared" si="44"/>
        <v>237</v>
      </c>
      <c r="AA247" s="300" t="s">
        <v>783</v>
      </c>
      <c r="AB247" s="165" t="s">
        <v>1123</v>
      </c>
      <c r="AC247" s="155"/>
    </row>
    <row r="248" spans="1:29" s="108" customFormat="1" ht="27.75" customHeight="1">
      <c r="A248" s="30" t="s">
        <v>765</v>
      </c>
      <c r="B248" s="33" t="s">
        <v>489</v>
      </c>
      <c r="C248" s="34" t="s">
        <v>1196</v>
      </c>
      <c r="D248" s="34"/>
      <c r="E248" s="75" t="s">
        <v>491</v>
      </c>
      <c r="F248" s="62" t="s">
        <v>490</v>
      </c>
      <c r="G248" s="10">
        <v>2.34</v>
      </c>
      <c r="H248" s="157"/>
      <c r="I248" s="81">
        <f>G248+(G248*H248)</f>
        <v>2.34</v>
      </c>
      <c r="J248" s="81"/>
      <c r="K248" s="82">
        <f>I248+J248</f>
        <v>2.34</v>
      </c>
      <c r="L248" s="31">
        <f t="shared" si="38"/>
        <v>2457000</v>
      </c>
      <c r="M248" s="184" t="s">
        <v>858</v>
      </c>
      <c r="N248" s="31">
        <f t="shared" si="42"/>
        <v>1228500</v>
      </c>
      <c r="O248" s="31">
        <f t="shared" si="40"/>
        <v>1050000</v>
      </c>
      <c r="P248" s="10">
        <v>26</v>
      </c>
      <c r="Q248" s="62">
        <v>26</v>
      </c>
      <c r="R248" s="158">
        <f t="shared" si="46"/>
        <v>1228500</v>
      </c>
      <c r="S248" s="31">
        <f t="shared" si="41"/>
        <v>1228500</v>
      </c>
      <c r="T248" s="103"/>
      <c r="U248" s="31">
        <f t="shared" si="43"/>
        <v>0</v>
      </c>
      <c r="V248" s="74"/>
      <c r="W248" s="31">
        <f t="shared" si="39"/>
        <v>0</v>
      </c>
      <c r="X248" s="31">
        <f t="shared" si="36"/>
        <v>24570</v>
      </c>
      <c r="Y248" s="46">
        <f t="shared" si="47"/>
        <v>1253070</v>
      </c>
      <c r="Z248" s="11" t="str">
        <f t="shared" si="44"/>
        <v>238</v>
      </c>
      <c r="AA248" s="126"/>
      <c r="AB248" s="165" t="s">
        <v>1124</v>
      </c>
      <c r="AC248" s="155"/>
    </row>
    <row r="249" spans="1:29" s="108" customFormat="1" ht="27.75" customHeight="1">
      <c r="A249" s="30" t="s">
        <v>766</v>
      </c>
      <c r="B249" s="33" t="s">
        <v>935</v>
      </c>
      <c r="C249" s="149" t="s">
        <v>936</v>
      </c>
      <c r="D249" s="149"/>
      <c r="E249" s="62" t="s">
        <v>228</v>
      </c>
      <c r="F249" s="75" t="s">
        <v>7</v>
      </c>
      <c r="G249" s="10">
        <v>4.32</v>
      </c>
      <c r="H249" s="157"/>
      <c r="I249" s="81">
        <f t="shared" si="37"/>
        <v>4.32</v>
      </c>
      <c r="J249" s="81">
        <v>0</v>
      </c>
      <c r="K249" s="82">
        <f t="shared" si="45"/>
        <v>4.32</v>
      </c>
      <c r="L249" s="31">
        <f t="shared" si="38"/>
        <v>4536000</v>
      </c>
      <c r="M249" s="184" t="s">
        <v>858</v>
      </c>
      <c r="N249" s="31">
        <f t="shared" si="42"/>
        <v>2268000</v>
      </c>
      <c r="O249" s="31">
        <f t="shared" si="40"/>
        <v>1050000</v>
      </c>
      <c r="P249" s="10">
        <v>21</v>
      </c>
      <c r="Q249" s="62">
        <v>26</v>
      </c>
      <c r="R249" s="158">
        <f t="shared" si="46"/>
        <v>2268000</v>
      </c>
      <c r="S249" s="31">
        <f t="shared" si="41"/>
        <v>2268000</v>
      </c>
      <c r="T249" s="103"/>
      <c r="U249" s="31">
        <f t="shared" si="43"/>
        <v>0</v>
      </c>
      <c r="V249" s="74"/>
      <c r="W249" s="31">
        <f t="shared" si="39"/>
        <v>0</v>
      </c>
      <c r="X249" s="31">
        <f t="shared" si="36"/>
        <v>45360</v>
      </c>
      <c r="Y249" s="46">
        <f t="shared" si="47"/>
        <v>2313360</v>
      </c>
      <c r="Z249" s="11" t="str">
        <f t="shared" si="44"/>
        <v>239</v>
      </c>
      <c r="AA249" s="126"/>
      <c r="AB249" s="165" t="s">
        <v>1125</v>
      </c>
      <c r="AC249" s="155"/>
    </row>
    <row r="250" spans="1:29" s="108" customFormat="1" ht="27.75" customHeight="1">
      <c r="A250" s="30" t="s">
        <v>767</v>
      </c>
      <c r="B250" s="33" t="s">
        <v>445</v>
      </c>
      <c r="C250" s="149" t="s">
        <v>874</v>
      </c>
      <c r="D250" s="34"/>
      <c r="E250" s="62" t="s">
        <v>347</v>
      </c>
      <c r="F250" s="75" t="s">
        <v>396</v>
      </c>
      <c r="G250" s="10">
        <v>2.2599999999999998</v>
      </c>
      <c r="H250" s="157"/>
      <c r="I250" s="81">
        <f t="shared" si="37"/>
        <v>2.2599999999999998</v>
      </c>
      <c r="J250" s="81"/>
      <c r="K250" s="82">
        <f t="shared" si="45"/>
        <v>2.2599999999999998</v>
      </c>
      <c r="L250" s="31">
        <f t="shared" si="38"/>
        <v>2373000</v>
      </c>
      <c r="M250" s="184" t="s">
        <v>858</v>
      </c>
      <c r="N250" s="31">
        <f t="shared" si="42"/>
        <v>1186500</v>
      </c>
      <c r="O250" s="31">
        <f t="shared" si="40"/>
        <v>1050000</v>
      </c>
      <c r="P250" s="10">
        <v>21</v>
      </c>
      <c r="Q250" s="62">
        <v>26</v>
      </c>
      <c r="R250" s="158">
        <f t="shared" si="46"/>
        <v>1186500</v>
      </c>
      <c r="S250" s="31">
        <f t="shared" si="41"/>
        <v>1186500</v>
      </c>
      <c r="T250" s="103"/>
      <c r="U250" s="31">
        <f>T250*$H$7*0.5</f>
        <v>0</v>
      </c>
      <c r="V250" s="74"/>
      <c r="W250" s="31">
        <f t="shared" si="39"/>
        <v>0</v>
      </c>
      <c r="X250" s="31">
        <f t="shared" si="36"/>
        <v>23730</v>
      </c>
      <c r="Y250" s="46">
        <f t="shared" si="47"/>
        <v>1210230</v>
      </c>
      <c r="Z250" s="11" t="str">
        <f t="shared" si="44"/>
        <v>240</v>
      </c>
      <c r="AA250" s="126"/>
      <c r="AB250" s="165" t="s">
        <v>1126</v>
      </c>
      <c r="AC250" s="155"/>
    </row>
    <row r="251" spans="1:29" s="108" customFormat="1" ht="27.75" customHeight="1">
      <c r="A251" s="30" t="s">
        <v>768</v>
      </c>
      <c r="B251" s="33" t="s">
        <v>458</v>
      </c>
      <c r="C251" s="34" t="s">
        <v>755</v>
      </c>
      <c r="D251" s="34"/>
      <c r="E251" s="197" t="s">
        <v>747</v>
      </c>
      <c r="F251" s="198" t="s">
        <v>750</v>
      </c>
      <c r="G251" s="10">
        <f>2.34*85%</f>
        <v>1.9889999999999999</v>
      </c>
      <c r="H251" s="157"/>
      <c r="I251" s="81">
        <f t="shared" si="37"/>
        <v>1.9889999999999999</v>
      </c>
      <c r="J251" s="81"/>
      <c r="K251" s="82">
        <f t="shared" si="45"/>
        <v>1.9889999999999999</v>
      </c>
      <c r="L251" s="31">
        <f t="shared" si="38"/>
        <v>2088449.9999999998</v>
      </c>
      <c r="M251" s="184" t="s">
        <v>858</v>
      </c>
      <c r="N251" s="31">
        <f t="shared" si="42"/>
        <v>1044224.9999999999</v>
      </c>
      <c r="O251" s="31">
        <f>IF(M251="A",1050000,IF(M251="B",735000,IF(M251="C",514500,0)))</f>
        <v>1050000</v>
      </c>
      <c r="P251" s="10">
        <v>26</v>
      </c>
      <c r="Q251" s="62">
        <v>26</v>
      </c>
      <c r="R251" s="158">
        <f>IF(N251&gt;O251,N251,O251)</f>
        <v>1050000</v>
      </c>
      <c r="S251" s="31">
        <f>IF(Q251&gt;=P251,R251,R251/P251*Q251)</f>
        <v>1050000</v>
      </c>
      <c r="T251" s="103"/>
      <c r="U251" s="31">
        <f>T251*$H$7*0.5</f>
        <v>0</v>
      </c>
      <c r="V251" s="74"/>
      <c r="W251" s="31">
        <f t="shared" si="39"/>
        <v>0</v>
      </c>
      <c r="X251" s="31">
        <f>(K251*0.01*$H$7)+(T251*1%*$H$7)+(V251*1%*$H$7)</f>
        <v>20884.499999999996</v>
      </c>
      <c r="Y251" s="46">
        <f>(S251+U251+W251+X251)</f>
        <v>1070884.5</v>
      </c>
      <c r="Z251" s="11" t="str">
        <f t="shared" si="44"/>
        <v>241</v>
      </c>
      <c r="AA251" s="126"/>
      <c r="AB251" s="165" t="s">
        <v>1127</v>
      </c>
      <c r="AC251" s="155"/>
    </row>
    <row r="252" spans="1:29" s="108" customFormat="1" ht="27.75" customHeight="1">
      <c r="A252" s="30" t="s">
        <v>769</v>
      </c>
      <c r="B252" s="33" t="s">
        <v>753</v>
      </c>
      <c r="C252" s="34" t="s">
        <v>754</v>
      </c>
      <c r="D252" s="34"/>
      <c r="E252" s="197" t="s">
        <v>748</v>
      </c>
      <c r="F252" s="201" t="s">
        <v>751</v>
      </c>
      <c r="G252" s="10">
        <f>2.34*85%</f>
        <v>1.9889999999999999</v>
      </c>
      <c r="H252" s="157"/>
      <c r="I252" s="81">
        <f t="shared" si="37"/>
        <v>1.9889999999999999</v>
      </c>
      <c r="J252" s="81"/>
      <c r="K252" s="82">
        <f t="shared" si="45"/>
        <v>1.9889999999999999</v>
      </c>
      <c r="L252" s="31">
        <f t="shared" si="38"/>
        <v>2088449.9999999998</v>
      </c>
      <c r="M252" s="184" t="s">
        <v>858</v>
      </c>
      <c r="N252" s="31">
        <f t="shared" si="42"/>
        <v>1044224.9999999999</v>
      </c>
      <c r="O252" s="31">
        <f>IF(M252="A",1050000,IF(M252="B",735000,IF(M252="C",514500,0)))</f>
        <v>1050000</v>
      </c>
      <c r="P252" s="10">
        <v>26</v>
      </c>
      <c r="Q252" s="62">
        <v>26</v>
      </c>
      <c r="R252" s="158">
        <f>IF(N252&gt;O252,N252,O252)</f>
        <v>1050000</v>
      </c>
      <c r="S252" s="31">
        <f>IF(Q252&gt;=P252,R252,R252/P252*Q252)</f>
        <v>1050000</v>
      </c>
      <c r="T252" s="103"/>
      <c r="U252" s="31">
        <f>T252*$H$7*0.5</f>
        <v>0</v>
      </c>
      <c r="V252" s="74"/>
      <c r="W252" s="31">
        <f t="shared" si="39"/>
        <v>0</v>
      </c>
      <c r="X252" s="31">
        <f>(K252*0.01*$H$7)+(T252*1%*$H$7)+(V252*1%*$H$7)</f>
        <v>20884.499999999996</v>
      </c>
      <c r="Y252" s="46">
        <f>(S252+U252+W252+X252)</f>
        <v>1070884.5</v>
      </c>
      <c r="Z252" s="11" t="str">
        <f t="shared" si="44"/>
        <v>242</v>
      </c>
      <c r="AA252" s="112"/>
      <c r="AB252" s="165" t="s">
        <v>1131</v>
      </c>
      <c r="AC252" s="155"/>
    </row>
    <row r="253" spans="1:29" s="108" customFormat="1" ht="26.25" customHeight="1">
      <c r="A253" s="30" t="s">
        <v>770</v>
      </c>
      <c r="B253" s="61" t="s">
        <v>1008</v>
      </c>
      <c r="C253" s="204" t="s">
        <v>889</v>
      </c>
      <c r="D253" s="204"/>
      <c r="E253" s="205" t="s">
        <v>749</v>
      </c>
      <c r="F253" s="206" t="s">
        <v>752</v>
      </c>
      <c r="G253" s="35">
        <f>2.34*85%</f>
        <v>1.9889999999999999</v>
      </c>
      <c r="H253" s="207"/>
      <c r="I253" s="84">
        <f t="shared" si="37"/>
        <v>1.9889999999999999</v>
      </c>
      <c r="J253" s="84"/>
      <c r="K253" s="208">
        <f t="shared" si="45"/>
        <v>1.9889999999999999</v>
      </c>
      <c r="L253" s="32">
        <f t="shared" si="38"/>
        <v>2088449.9999999998</v>
      </c>
      <c r="M253" s="319" t="s">
        <v>858</v>
      </c>
      <c r="N253" s="32">
        <f t="shared" si="42"/>
        <v>1044224.9999999999</v>
      </c>
      <c r="O253" s="32">
        <f>IF(M253="A",1050000,IF(M253="B",735000,IF(M253="C",514500,0)))</f>
        <v>1050000</v>
      </c>
      <c r="P253" s="35">
        <v>26</v>
      </c>
      <c r="Q253" s="238">
        <v>26</v>
      </c>
      <c r="R253" s="209">
        <f>IF(N253&gt;O253,N253,O253)</f>
        <v>1050000</v>
      </c>
      <c r="S253" s="32">
        <f>IF(Q253&gt;=P253,R253,R253/P253*Q253)</f>
        <v>1050000</v>
      </c>
      <c r="T253" s="210"/>
      <c r="U253" s="32">
        <f>T253*$H$7*0.5</f>
        <v>0</v>
      </c>
      <c r="V253" s="114"/>
      <c r="W253" s="32">
        <f t="shared" si="39"/>
        <v>0</v>
      </c>
      <c r="X253" s="32">
        <f>(K253*0.01*$H$7)+(T253*1%*$H$7)+(V253*1%*$H$7)</f>
        <v>20884.499999999996</v>
      </c>
      <c r="Y253" s="211">
        <f>(S253+U253+W253+X253)</f>
        <v>1070884.5</v>
      </c>
      <c r="Z253" s="19" t="str">
        <f t="shared" si="44"/>
        <v>243</v>
      </c>
      <c r="AA253" s="212"/>
      <c r="AB253" s="165" t="s">
        <v>1132</v>
      </c>
      <c r="AC253" s="155"/>
    </row>
    <row r="254" spans="1:29" s="124" customFormat="1" ht="24.75" customHeight="1">
      <c r="A254" s="115"/>
      <c r="B254" s="116" t="s">
        <v>1109</v>
      </c>
      <c r="C254" s="117"/>
      <c r="D254" s="150"/>
      <c r="E254" s="203"/>
      <c r="F254" s="117"/>
      <c r="G254" s="118">
        <f>SUM(G11:G253)</f>
        <v>805.39000000000124</v>
      </c>
      <c r="H254" s="224">
        <f>SUM(H11:H253)</f>
        <v>1.9500000000000008</v>
      </c>
      <c r="I254" s="119">
        <f>SUM(I11:I253)</f>
        <v>814.59650000000147</v>
      </c>
      <c r="J254" s="119">
        <f>SUM(J11:J253)</f>
        <v>28.449999999999992</v>
      </c>
      <c r="K254" s="120">
        <f>SUM(K11:K253)</f>
        <v>843.04650000000106</v>
      </c>
      <c r="L254" s="121">
        <f>SUM(I12:K250)</f>
        <v>1659.4789999999989</v>
      </c>
      <c r="M254" s="121"/>
      <c r="N254" s="121">
        <f>SUM(K12:M250)</f>
        <v>871227304.73950088</v>
      </c>
      <c r="O254" s="122">
        <f t="shared" ref="O254:V254" si="48">SUM(O12:O253)</f>
        <v>243369000</v>
      </c>
      <c r="P254" s="122">
        <f>SUM(P11:P253)</f>
        <v>5798</v>
      </c>
      <c r="Q254" s="122">
        <f>SUM(Q11:Q253)</f>
        <v>5920</v>
      </c>
      <c r="R254" s="122">
        <f t="shared" si="48"/>
        <v>425646637.5</v>
      </c>
      <c r="S254" s="122">
        <f>SUM(S11:S253)</f>
        <v>425105535.38461536</v>
      </c>
      <c r="T254" s="122">
        <f t="shared" si="48"/>
        <v>0</v>
      </c>
      <c r="U254" s="122">
        <f>SUM(U11:U253)</f>
        <v>0</v>
      </c>
      <c r="V254" s="122">
        <f t="shared" si="48"/>
        <v>0</v>
      </c>
      <c r="W254" s="122">
        <f>SUM(W11:W253)</f>
        <v>0</v>
      </c>
      <c r="X254" s="122">
        <f>SUM(X11:X253)</f>
        <v>8640728.2500000019</v>
      </c>
      <c r="Y254" s="122">
        <f>SUM(Y11:Y253)</f>
        <v>433746263.63461524</v>
      </c>
      <c r="Z254" s="123"/>
      <c r="AA254" s="117"/>
      <c r="AB254" s="156"/>
      <c r="AC254" s="156"/>
    </row>
    <row r="255" spans="1:29" ht="14.25" customHeight="1">
      <c r="G255" s="1"/>
      <c r="H255" s="4"/>
      <c r="L255" s="202"/>
      <c r="M255" s="1"/>
      <c r="N255" s="3"/>
      <c r="O255" s="3"/>
      <c r="P255" s="1"/>
      <c r="Q255" s="1"/>
      <c r="R255" s="1"/>
      <c r="S255" s="3"/>
      <c r="T255" s="132"/>
      <c r="U255" s="3"/>
      <c r="V255" s="24"/>
      <c r="W255" s="3"/>
      <c r="X255" s="3"/>
      <c r="Y255" s="3"/>
      <c r="AB255" s="151">
        <f>COUNTIF(AB11:AC250,"x")</f>
        <v>8</v>
      </c>
    </row>
    <row r="256" spans="1:29" s="16" customFormat="1" ht="16.5" customHeight="1"/>
    <row r="257" spans="1:29" s="16" customFormat="1" ht="10.5" customHeight="1">
      <c r="B257" s="37"/>
      <c r="C257" s="14"/>
      <c r="D257" s="14"/>
      <c r="E257" s="14"/>
      <c r="F257" s="14"/>
      <c r="G257" s="15"/>
      <c r="H257" s="15"/>
      <c r="I257" s="15"/>
      <c r="J257" s="15"/>
      <c r="K257" s="80"/>
      <c r="L257" s="17"/>
      <c r="M257" s="18"/>
      <c r="N257" s="17"/>
      <c r="O257" s="17"/>
      <c r="P257" s="18"/>
      <c r="Q257" s="18"/>
      <c r="R257" s="18"/>
      <c r="S257" s="43"/>
      <c r="T257" s="131"/>
      <c r="U257" s="17"/>
      <c r="V257" s="23"/>
      <c r="W257" s="17"/>
      <c r="X257" s="17"/>
      <c r="Y257" s="43"/>
      <c r="AA257" s="97"/>
      <c r="AB257" s="152"/>
      <c r="AC257" s="152"/>
    </row>
    <row r="258" spans="1:29" ht="15.75">
      <c r="G258" s="1"/>
      <c r="H258" s="4"/>
      <c r="L258" s="3"/>
      <c r="M258" s="1"/>
      <c r="N258" s="3"/>
      <c r="O258" s="3"/>
      <c r="P258" s="1"/>
      <c r="Q258" s="1"/>
      <c r="R258" s="1"/>
      <c r="S258" s="1"/>
      <c r="T258" s="137"/>
      <c r="U258" s="1"/>
      <c r="V258" s="25"/>
      <c r="Y258" s="130" t="s">
        <v>793</v>
      </c>
    </row>
    <row r="259" spans="1:29" s="16" customFormat="1" ht="15">
      <c r="A259" s="1543" t="s">
        <v>859</v>
      </c>
      <c r="B259" s="1543"/>
      <c r="C259" s="14"/>
      <c r="D259" s="14"/>
      <c r="E259" s="14"/>
      <c r="F259" s="14"/>
      <c r="G259" s="14"/>
      <c r="H259" s="14"/>
      <c r="I259" s="14"/>
      <c r="J259" s="13" t="s">
        <v>447</v>
      </c>
      <c r="K259" s="1552" t="s">
        <v>446</v>
      </c>
      <c r="L259" s="1552"/>
      <c r="M259" s="1552"/>
      <c r="N259" s="1552"/>
      <c r="O259" s="14"/>
      <c r="P259" s="13"/>
      <c r="R259" s="14"/>
      <c r="S259" s="13" t="s">
        <v>1191</v>
      </c>
      <c r="T259" s="14"/>
      <c r="U259" s="13"/>
      <c r="V259" s="14"/>
      <c r="W259" s="14"/>
      <c r="X259" s="1543" t="s">
        <v>41</v>
      </c>
      <c r="Y259" s="1543"/>
      <c r="Z259" s="1543"/>
      <c r="AA259" s="98"/>
      <c r="AB259" s="152"/>
      <c r="AC259" s="152"/>
    </row>
    <row r="260" spans="1:29" s="16" customFormat="1" ht="15">
      <c r="A260" s="13"/>
      <c r="B260" s="13"/>
      <c r="C260" s="14"/>
      <c r="D260" s="14"/>
      <c r="E260" s="14"/>
      <c r="F260" s="14"/>
      <c r="G260" s="14"/>
      <c r="H260" s="14"/>
      <c r="I260" s="14"/>
      <c r="J260" s="13"/>
      <c r="K260" s="178"/>
      <c r="L260" s="14"/>
      <c r="M260" s="14"/>
      <c r="N260" s="14"/>
      <c r="O260" s="14"/>
      <c r="P260" s="13"/>
      <c r="Q260" s="14"/>
      <c r="R260" s="13"/>
      <c r="S260" s="13"/>
      <c r="T260" s="138"/>
      <c r="U260" s="13"/>
      <c r="V260" s="14"/>
      <c r="X260" s="14"/>
      <c r="Y260" s="13"/>
      <c r="AA260" s="98"/>
      <c r="AB260" s="152"/>
      <c r="AC260" s="152"/>
    </row>
    <row r="261" spans="1:29" s="16" customFormat="1" ht="15">
      <c r="H261" s="21"/>
      <c r="I261" s="18"/>
      <c r="K261" s="178"/>
      <c r="L261" s="14"/>
      <c r="M261" s="14"/>
      <c r="N261" s="13"/>
      <c r="O261" s="18"/>
      <c r="P261" s="18"/>
      <c r="Q261" s="18"/>
      <c r="R261" s="18"/>
      <c r="S261" s="18"/>
      <c r="T261" s="139"/>
      <c r="U261" s="18"/>
      <c r="V261" s="26"/>
      <c r="W261" s="18"/>
      <c r="X261" s="18"/>
      <c r="Y261" s="18"/>
      <c r="AA261" s="96"/>
      <c r="AB261" s="152"/>
      <c r="AC261" s="152"/>
    </row>
    <row r="262" spans="1:29" s="16" customFormat="1" ht="15">
      <c r="H262" s="21"/>
      <c r="I262" s="18"/>
      <c r="K262" s="178"/>
      <c r="L262" s="14"/>
      <c r="M262" s="14"/>
      <c r="N262" s="13"/>
      <c r="O262" s="18"/>
      <c r="P262" s="18"/>
      <c r="Q262" s="18"/>
      <c r="R262" s="18"/>
      <c r="S262" s="18"/>
      <c r="T262" s="139"/>
      <c r="U262" s="18"/>
      <c r="V262" s="26"/>
      <c r="W262" s="18"/>
      <c r="X262" s="18"/>
      <c r="Y262" s="18"/>
      <c r="AA262" s="96"/>
      <c r="AB262" s="152"/>
      <c r="AC262" s="152"/>
    </row>
    <row r="263" spans="1:29" s="16" customFormat="1" ht="15">
      <c r="H263" s="21"/>
      <c r="I263" s="18"/>
      <c r="K263" s="178"/>
      <c r="L263" s="14"/>
      <c r="M263" s="14"/>
      <c r="N263" s="13"/>
      <c r="O263" s="18"/>
      <c r="P263" s="44"/>
      <c r="Q263" s="18"/>
      <c r="R263" s="18"/>
      <c r="S263" s="44"/>
      <c r="T263" s="139"/>
      <c r="U263" s="18"/>
      <c r="V263" s="26"/>
      <c r="W263" s="18"/>
      <c r="X263" s="18"/>
      <c r="Y263" s="44"/>
      <c r="AA263" s="96"/>
      <c r="AB263" s="152"/>
      <c r="AC263" s="152"/>
    </row>
    <row r="264" spans="1:29" s="16" customFormat="1" ht="15">
      <c r="H264" s="21"/>
      <c r="I264" s="18"/>
      <c r="J264" s="18"/>
      <c r="K264" s="225"/>
      <c r="L264" s="13"/>
      <c r="M264" s="14"/>
      <c r="N264" s="13"/>
      <c r="O264" s="18"/>
      <c r="P264" s="18"/>
      <c r="Q264" s="18"/>
      <c r="R264" s="18"/>
      <c r="S264" s="18"/>
      <c r="T264" s="139"/>
      <c r="U264" s="18"/>
      <c r="V264" s="26"/>
      <c r="W264" s="18"/>
      <c r="X264" s="18"/>
      <c r="Y264" s="18"/>
      <c r="AA264" s="96"/>
      <c r="AB264" s="152"/>
      <c r="AC264" s="152"/>
    </row>
    <row r="265" spans="1:29" s="16" customFormat="1" ht="15">
      <c r="H265" s="1553"/>
      <c r="I265" s="1553"/>
      <c r="J265" s="18"/>
      <c r="K265" s="225"/>
      <c r="L265" s="13"/>
      <c r="M265" s="14"/>
      <c r="N265" s="13"/>
      <c r="O265" s="18"/>
      <c r="P265" s="18"/>
      <c r="Q265" s="18"/>
      <c r="R265" s="18"/>
      <c r="S265" s="18"/>
      <c r="T265" s="139"/>
      <c r="U265" s="18"/>
      <c r="V265" s="26"/>
      <c r="W265" s="18"/>
      <c r="X265" s="18"/>
      <c r="Y265" s="18"/>
      <c r="AA265" s="96"/>
      <c r="AB265" s="152"/>
      <c r="AC265" s="152"/>
    </row>
    <row r="266" spans="1:29" s="16" customFormat="1" ht="15">
      <c r="A266" s="1543" t="s">
        <v>553</v>
      </c>
      <c r="B266" s="1543"/>
      <c r="C266" s="13"/>
      <c r="D266" s="13"/>
      <c r="E266" s="13"/>
      <c r="F266" s="13"/>
      <c r="G266" s="14"/>
      <c r="H266" s="14"/>
      <c r="I266" s="14"/>
      <c r="J266" s="13" t="s">
        <v>526</v>
      </c>
      <c r="K266" s="1552" t="s">
        <v>526</v>
      </c>
      <c r="L266" s="1552"/>
      <c r="M266" s="1552"/>
      <c r="N266" s="1552"/>
      <c r="O266" s="14"/>
      <c r="P266" s="13"/>
      <c r="R266" s="14"/>
      <c r="S266" s="13" t="s">
        <v>1102</v>
      </c>
      <c r="T266" s="14"/>
      <c r="U266" s="14"/>
      <c r="V266" s="14"/>
      <c r="W266" s="14"/>
      <c r="X266" s="1543" t="s">
        <v>725</v>
      </c>
      <c r="Y266" s="1543"/>
      <c r="Z266" s="1543"/>
      <c r="AA266" s="98"/>
      <c r="AB266" s="152"/>
      <c r="AC266" s="152"/>
    </row>
    <row r="267" spans="1:29" ht="15.75">
      <c r="A267" s="6"/>
      <c r="K267" s="179"/>
      <c r="L267" s="7"/>
      <c r="M267" s="7"/>
      <c r="N267" s="7"/>
    </row>
    <row r="268" spans="1:29" ht="15.75" customHeight="1">
      <c r="A268" s="6"/>
      <c r="K268" s="179"/>
      <c r="L268" s="7"/>
      <c r="M268" s="7"/>
      <c r="N268" s="7"/>
    </row>
    <row r="271" spans="1:29">
      <c r="L271" s="219"/>
    </row>
    <row r="324" ht="15.75" customHeight="1"/>
  </sheetData>
  <mergeCells count="23">
    <mergeCell ref="A1:M1"/>
    <mergeCell ref="N1:AA1"/>
    <mergeCell ref="A2:M2"/>
    <mergeCell ref="N2:AA2"/>
    <mergeCell ref="A5:AA5"/>
    <mergeCell ref="A3:M3"/>
    <mergeCell ref="A4:AA4"/>
    <mergeCell ref="A6:AA6"/>
    <mergeCell ref="H7:I7"/>
    <mergeCell ref="P7:U7"/>
    <mergeCell ref="X259:Z259"/>
    <mergeCell ref="Z10:AA10"/>
    <mergeCell ref="B9:C9"/>
    <mergeCell ref="Z9:AA9"/>
    <mergeCell ref="AB13:AD13"/>
    <mergeCell ref="AB53:AC53"/>
    <mergeCell ref="B10:C10"/>
    <mergeCell ref="H265:I265"/>
    <mergeCell ref="A266:B266"/>
    <mergeCell ref="K266:N266"/>
    <mergeCell ref="X266:Z266"/>
    <mergeCell ref="A259:B259"/>
    <mergeCell ref="K259:N259"/>
  </mergeCells>
  <phoneticPr fontId="48" type="noConversion"/>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FF00"/>
  </sheetPr>
  <dimension ref="A1:AC90"/>
  <sheetViews>
    <sheetView topLeftCell="F4" workbookViewId="0">
      <selection activeCell="R12" sqref="R12"/>
    </sheetView>
  </sheetViews>
  <sheetFormatPr defaultRowHeight="12.75"/>
  <cols>
    <col min="1" max="1" width="2.7109375" style="2" customWidth="1"/>
    <col min="2" max="2" width="18.85546875" style="2" customWidth="1"/>
    <col min="3" max="3" width="11.28515625" style="2" customWidth="1"/>
    <col min="4" max="4" width="17.140625" style="2" customWidth="1"/>
    <col min="5" max="5" width="20.7109375" style="2" customWidth="1"/>
    <col min="6" max="6" width="8.140625" style="1" customWidth="1"/>
    <col min="7" max="7" width="5.85546875" style="2" customWidth="1"/>
    <col min="8" max="8" width="8.140625" style="2" customWidth="1"/>
    <col min="9" max="9" width="13.140625" style="1" customWidth="1"/>
    <col min="10" max="10" width="7.7109375" style="2" customWidth="1"/>
    <col min="11" max="11" width="14.42578125" style="2" customWidth="1"/>
    <col min="12" max="12" width="7.85546875" style="2" customWidth="1"/>
    <col min="13" max="13" width="13.5703125" style="2" customWidth="1"/>
    <col min="14" max="14" width="11.28515625" style="2" customWidth="1"/>
    <col min="15" max="15" width="7.28515625" style="2" customWidth="1"/>
    <col min="16" max="16" width="8" style="2" customWidth="1"/>
    <col min="17" max="17" width="12.28515625" style="2" customWidth="1"/>
    <col min="18" max="18" width="12.42578125" style="2" customWidth="1"/>
    <col min="19" max="19" width="9.140625" style="79"/>
    <col min="20" max="20" width="8.140625" style="2" customWidth="1"/>
    <col min="21" max="21" width="8.42578125" style="2" customWidth="1"/>
    <col min="22" max="22" width="7.85546875" style="2" customWidth="1"/>
    <col min="23" max="23" width="10.7109375" style="2" customWidth="1"/>
    <col min="24" max="24" width="13.28515625" style="2" customWidth="1"/>
    <col min="25" max="25" width="3.85546875" style="2" customWidth="1"/>
    <col min="26" max="26" width="20.140625" style="2" customWidth="1"/>
    <col min="27" max="16384" width="9.140625" style="2"/>
  </cols>
  <sheetData>
    <row r="1" spans="1:26" ht="15">
      <c r="A1" s="1544" t="s">
        <v>492</v>
      </c>
      <c r="B1" s="1544"/>
      <c r="C1" s="1544"/>
      <c r="D1" s="1544"/>
      <c r="E1" s="1544"/>
      <c r="F1" s="1544"/>
      <c r="G1" s="1544"/>
      <c r="H1" s="1544"/>
      <c r="I1" s="1544"/>
      <c r="J1" s="1544"/>
      <c r="K1" s="1544"/>
      <c r="L1" s="1544"/>
      <c r="M1" s="1543" t="s">
        <v>849</v>
      </c>
      <c r="N1" s="1543"/>
      <c r="O1" s="1543"/>
      <c r="P1" s="1543"/>
      <c r="Q1" s="1543"/>
      <c r="R1" s="1543"/>
      <c r="S1" s="1543"/>
      <c r="T1" s="1543"/>
      <c r="U1" s="1543"/>
      <c r="V1" s="1543"/>
      <c r="W1" s="1543"/>
      <c r="X1" s="1543"/>
      <c r="Y1" s="1543"/>
      <c r="Z1" s="1543"/>
    </row>
    <row r="2" spans="1:26" ht="14.25">
      <c r="A2" s="1543" t="s">
        <v>850</v>
      </c>
      <c r="B2" s="1543"/>
      <c r="C2" s="1543"/>
      <c r="D2" s="1543"/>
      <c r="E2" s="1543"/>
      <c r="F2" s="1543"/>
      <c r="G2" s="1543"/>
      <c r="H2" s="1543"/>
      <c r="I2" s="1543"/>
      <c r="J2" s="1543"/>
      <c r="K2" s="1543"/>
      <c r="L2" s="1543"/>
      <c r="M2" s="1613" t="s">
        <v>851</v>
      </c>
      <c r="N2" s="1613"/>
      <c r="O2" s="1613"/>
      <c r="P2" s="1613"/>
      <c r="Q2" s="1613"/>
      <c r="R2" s="1613"/>
      <c r="S2" s="1613"/>
      <c r="T2" s="1613"/>
      <c r="U2" s="1613"/>
      <c r="V2" s="1613"/>
      <c r="W2" s="1613"/>
      <c r="X2" s="1613"/>
      <c r="Y2" s="1613"/>
      <c r="Z2" s="1613"/>
    </row>
    <row r="3" spans="1:26" ht="15">
      <c r="A3" s="1613" t="s">
        <v>852</v>
      </c>
      <c r="B3" s="1613"/>
      <c r="C3" s="1613"/>
      <c r="D3" s="1613"/>
      <c r="E3" s="1613"/>
      <c r="F3" s="1613"/>
      <c r="G3" s="1613"/>
      <c r="H3" s="1613"/>
      <c r="I3" s="1613"/>
      <c r="J3" s="1613"/>
      <c r="K3" s="1613"/>
      <c r="L3" s="1613"/>
      <c r="M3" s="18"/>
      <c r="N3" s="18"/>
      <c r="O3" s="18"/>
      <c r="P3" s="18"/>
      <c r="Q3" s="18"/>
      <c r="R3" s="18"/>
      <c r="S3" s="71"/>
      <c r="T3" s="18"/>
      <c r="U3" s="18"/>
      <c r="V3" s="18"/>
      <c r="W3" s="17"/>
      <c r="X3" s="17"/>
      <c r="Y3" s="16"/>
      <c r="Z3" s="16"/>
    </row>
    <row r="4" spans="1:26" ht="12" customHeight="1">
      <c r="A4" s="94"/>
      <c r="B4" s="94"/>
      <c r="C4" s="1"/>
      <c r="D4" s="1"/>
      <c r="E4" s="1"/>
      <c r="G4" s="1"/>
      <c r="H4" s="1"/>
      <c r="J4" s="12"/>
      <c r="K4" s="12"/>
      <c r="L4" s="12"/>
      <c r="M4" s="12"/>
      <c r="N4" s="12"/>
      <c r="O4" s="12"/>
      <c r="P4" s="12"/>
      <c r="Q4" s="12"/>
      <c r="R4" s="12"/>
      <c r="S4" s="95"/>
      <c r="T4" s="12"/>
      <c r="U4" s="12"/>
      <c r="V4" s="12"/>
      <c r="W4" s="12"/>
      <c r="X4" s="12"/>
      <c r="Y4" s="12"/>
      <c r="Z4" s="18"/>
    </row>
    <row r="5" spans="1:26" s="107" customFormat="1" ht="16.5">
      <c r="A5" s="1614" t="s">
        <v>789</v>
      </c>
      <c r="B5" s="1614"/>
      <c r="C5" s="1614"/>
      <c r="D5" s="1614"/>
      <c r="E5" s="1614"/>
      <c r="F5" s="1614"/>
      <c r="G5" s="1614"/>
      <c r="H5" s="1614"/>
      <c r="I5" s="1614"/>
      <c r="J5" s="1614"/>
      <c r="K5" s="1614"/>
      <c r="L5" s="1614"/>
      <c r="M5" s="1614"/>
      <c r="N5" s="1614"/>
      <c r="O5" s="1614"/>
      <c r="P5" s="1614"/>
      <c r="Q5" s="1614"/>
      <c r="R5" s="1614"/>
      <c r="S5" s="1614"/>
      <c r="T5" s="1614"/>
      <c r="U5" s="1614"/>
      <c r="V5" s="1614"/>
      <c r="W5" s="1614"/>
      <c r="X5" s="1614"/>
      <c r="Y5" s="1614"/>
      <c r="Z5" s="1614"/>
    </row>
    <row r="6" spans="1:26" s="107" customFormat="1" ht="16.5">
      <c r="A6" s="1614" t="s">
        <v>1134</v>
      </c>
      <c r="B6" s="1614"/>
      <c r="C6" s="1614"/>
      <c r="D6" s="1614"/>
      <c r="E6" s="1614"/>
      <c r="F6" s="1614"/>
      <c r="G6" s="1614"/>
      <c r="H6" s="1614"/>
      <c r="I6" s="1614"/>
      <c r="J6" s="1614"/>
      <c r="K6" s="1614"/>
      <c r="L6" s="1614"/>
      <c r="M6" s="1614"/>
      <c r="N6" s="1614"/>
      <c r="O6" s="1614"/>
      <c r="P6" s="1614"/>
      <c r="Q6" s="1614"/>
      <c r="R6" s="1614"/>
      <c r="S6" s="1614"/>
      <c r="T6" s="1614"/>
      <c r="U6" s="1614"/>
      <c r="V6" s="1614"/>
      <c r="W6" s="1614"/>
      <c r="X6" s="1614"/>
      <c r="Y6" s="1614"/>
      <c r="Z6" s="1614"/>
    </row>
    <row r="7" spans="1:26" ht="33" customHeight="1">
      <c r="A7" s="1610" t="s">
        <v>832</v>
      </c>
      <c r="B7" s="1547"/>
      <c r="C7" s="1547"/>
      <c r="D7" s="1547"/>
      <c r="E7" s="1547"/>
      <c r="F7" s="1547"/>
      <c r="G7" s="1547"/>
      <c r="H7" s="1547"/>
      <c r="I7" s="1547"/>
      <c r="J7" s="1547"/>
      <c r="K7" s="1547"/>
      <c r="L7" s="1547"/>
      <c r="M7" s="1547"/>
      <c r="N7" s="1547"/>
      <c r="O7" s="1547"/>
      <c r="P7" s="1547"/>
      <c r="Q7" s="1547"/>
      <c r="R7" s="1547"/>
      <c r="S7" s="1547"/>
      <c r="T7" s="1547"/>
      <c r="U7" s="1547"/>
      <c r="V7" s="1547"/>
      <c r="W7" s="1547"/>
      <c r="X7" s="1547"/>
      <c r="Y7" s="1547"/>
      <c r="Z7" s="1547"/>
    </row>
    <row r="8" spans="1:26" s="16" customFormat="1" ht="18" customHeight="1">
      <c r="A8" s="18"/>
      <c r="B8" s="14" t="s">
        <v>557</v>
      </c>
      <c r="C8" s="14"/>
      <c r="D8" s="14"/>
      <c r="E8" s="14"/>
      <c r="F8" s="13"/>
      <c r="G8" s="14"/>
      <c r="H8" s="14"/>
      <c r="I8" s="13">
        <v>1050000</v>
      </c>
      <c r="J8" s="14"/>
      <c r="K8" s="14"/>
      <c r="L8" s="14"/>
      <c r="M8" s="14"/>
      <c r="N8" s="14"/>
      <c r="O8" s="42" t="s">
        <v>1195</v>
      </c>
      <c r="P8" s="36" t="s">
        <v>834</v>
      </c>
      <c r="Q8" s="14"/>
      <c r="R8" s="14"/>
      <c r="S8" s="178"/>
      <c r="T8" s="14"/>
      <c r="U8" s="14"/>
      <c r="V8" s="14"/>
      <c r="W8" s="14"/>
      <c r="X8" s="36" t="s">
        <v>1181</v>
      </c>
      <c r="Y8" s="18"/>
      <c r="Z8" s="18"/>
    </row>
    <row r="9" spans="1:26" ht="10.5" customHeight="1">
      <c r="A9" s="6"/>
      <c r="B9" s="7"/>
      <c r="C9" s="7"/>
      <c r="D9" s="7"/>
      <c r="E9" s="7"/>
      <c r="F9" s="188"/>
      <c r="G9" s="7"/>
      <c r="H9" s="7"/>
      <c r="I9" s="188"/>
      <c r="J9" s="7"/>
      <c r="K9" s="7"/>
      <c r="L9" s="7"/>
      <c r="M9" s="7"/>
      <c r="N9" s="7"/>
      <c r="O9" s="7"/>
      <c r="P9" s="7"/>
      <c r="Q9" s="7"/>
      <c r="R9" s="7"/>
      <c r="S9" s="179"/>
      <c r="T9" s="7"/>
      <c r="U9" s="7"/>
      <c r="V9" s="7"/>
      <c r="W9" s="6"/>
      <c r="X9" s="6"/>
      <c r="Y9" s="6"/>
      <c r="Z9" s="6"/>
    </row>
    <row r="10" spans="1:26" s="108" customFormat="1" ht="55.5" customHeight="1">
      <c r="A10" s="8" t="s">
        <v>853</v>
      </c>
      <c r="B10" s="1615" t="s">
        <v>854</v>
      </c>
      <c r="C10" s="1615"/>
      <c r="D10" s="88" t="s">
        <v>51</v>
      </c>
      <c r="E10" s="88" t="s">
        <v>50</v>
      </c>
      <c r="F10" s="8" t="s">
        <v>1137</v>
      </c>
      <c r="G10" s="180" t="s">
        <v>1138</v>
      </c>
      <c r="H10" s="9" t="s">
        <v>1139</v>
      </c>
      <c r="I10" s="8" t="s">
        <v>1140</v>
      </c>
      <c r="J10" s="9" t="s">
        <v>855</v>
      </c>
      <c r="K10" s="8" t="s">
        <v>1141</v>
      </c>
      <c r="L10" s="9" t="s">
        <v>860</v>
      </c>
      <c r="M10" s="28" t="s">
        <v>1186</v>
      </c>
      <c r="N10" s="28" t="s">
        <v>48</v>
      </c>
      <c r="O10" s="28" t="s">
        <v>861</v>
      </c>
      <c r="P10" s="28" t="s">
        <v>857</v>
      </c>
      <c r="Q10" s="28" t="s">
        <v>1182</v>
      </c>
      <c r="R10" s="28" t="s">
        <v>1187</v>
      </c>
      <c r="S10" s="181" t="s">
        <v>1248</v>
      </c>
      <c r="T10" s="93" t="s">
        <v>1194</v>
      </c>
      <c r="U10" s="90" t="s">
        <v>1192</v>
      </c>
      <c r="V10" s="28" t="s">
        <v>1189</v>
      </c>
      <c r="W10" s="28" t="s">
        <v>1190</v>
      </c>
      <c r="X10" s="8" t="s">
        <v>1100</v>
      </c>
      <c r="Y10" s="1616" t="s">
        <v>40</v>
      </c>
      <c r="Z10" s="1617"/>
    </row>
    <row r="11" spans="1:26" s="108" customFormat="1" ht="17.25" customHeight="1">
      <c r="A11" s="29" t="s">
        <v>1110</v>
      </c>
      <c r="B11" s="1558" t="s">
        <v>1111</v>
      </c>
      <c r="C11" s="1558"/>
      <c r="D11" s="29"/>
      <c r="E11" s="29"/>
      <c r="F11" s="29" t="s">
        <v>1112</v>
      </c>
      <c r="G11" s="29" t="s">
        <v>1113</v>
      </c>
      <c r="H11" s="29" t="s">
        <v>1114</v>
      </c>
      <c r="I11" s="29" t="s">
        <v>1115</v>
      </c>
      <c r="J11" s="29" t="s">
        <v>1112</v>
      </c>
      <c r="K11" s="29" t="s">
        <v>1117</v>
      </c>
      <c r="L11" s="29" t="s">
        <v>1113</v>
      </c>
      <c r="M11" s="29" t="s">
        <v>1114</v>
      </c>
      <c r="N11" s="29" t="s">
        <v>1120</v>
      </c>
      <c r="O11" s="29" t="s">
        <v>1115</v>
      </c>
      <c r="P11" s="29" t="s">
        <v>1116</v>
      </c>
      <c r="Q11" s="29" t="s">
        <v>1123</v>
      </c>
      <c r="R11" s="29" t="s">
        <v>1117</v>
      </c>
      <c r="S11" s="72" t="s">
        <v>1125</v>
      </c>
      <c r="T11" s="29" t="s">
        <v>1118</v>
      </c>
      <c r="U11" s="47" t="s">
        <v>1127</v>
      </c>
      <c r="V11" s="29">
        <v>10</v>
      </c>
      <c r="W11" s="29">
        <v>11</v>
      </c>
      <c r="X11" s="29">
        <v>12</v>
      </c>
      <c r="Y11" s="1558" t="s">
        <v>1122</v>
      </c>
      <c r="Z11" s="1558"/>
    </row>
    <row r="12" spans="1:26" s="108" customFormat="1" ht="36">
      <c r="A12" s="58" t="s">
        <v>1110</v>
      </c>
      <c r="B12" s="59" t="s">
        <v>963</v>
      </c>
      <c r="C12" s="166" t="s">
        <v>1103</v>
      </c>
      <c r="D12" s="91" t="s">
        <v>230</v>
      </c>
      <c r="E12" s="76" t="s">
        <v>13</v>
      </c>
      <c r="F12" s="49">
        <v>5.7</v>
      </c>
      <c r="G12" s="53"/>
      <c r="H12" s="54">
        <f>F12+(F12*G12)</f>
        <v>5.7</v>
      </c>
      <c r="I12" s="49">
        <v>0.7</v>
      </c>
      <c r="J12" s="57">
        <f t="shared" ref="J12:J60" si="0">H12+I12</f>
        <v>6.4</v>
      </c>
      <c r="K12" s="55">
        <f t="shared" ref="K12:K37" si="1">J12*$I$8</f>
        <v>6720000</v>
      </c>
      <c r="L12" s="320" t="s">
        <v>858</v>
      </c>
      <c r="M12" s="55">
        <f>IF(L12="A",K12*0.5,IF(L12="B",K12*0.5*0.75,IF(L12="C",K12*0.5*0.75*0.75,0)))</f>
        <v>3360000</v>
      </c>
      <c r="N12" s="55">
        <f>IF(L12="A",1050000,IF(L12="B",735000,IF(L12="C",514500,0)))</f>
        <v>1050000</v>
      </c>
      <c r="O12" s="49">
        <v>26</v>
      </c>
      <c r="P12" s="49">
        <v>26</v>
      </c>
      <c r="Q12" s="169">
        <f t="shared" ref="Q12:Q60" si="2">IF(M12&gt;N12,M12,N12)</f>
        <v>3360000</v>
      </c>
      <c r="R12" s="55">
        <f t="shared" ref="R12:R69" si="3">ROUND(IF(P12&gt;=O12,Q12,Q12/O12*P12),0)</f>
        <v>3360000</v>
      </c>
      <c r="S12" s="182"/>
      <c r="T12" s="55">
        <f>S12*$I$8*0.5</f>
        <v>0</v>
      </c>
      <c r="U12" s="101"/>
      <c r="V12" s="55">
        <f>U12*$I$8*0.5</f>
        <v>0</v>
      </c>
      <c r="W12" s="31">
        <f>(J12*$I$8*0.01)+(S12*$I$8*1%)+(U12*1%*$I$8)</f>
        <v>67200</v>
      </c>
      <c r="X12" s="56">
        <f>R12+T12+V12+W12</f>
        <v>3427200</v>
      </c>
      <c r="Y12" s="60" t="str">
        <f t="shared" ref="Y12:Y60" si="4">A12</f>
        <v>01</v>
      </c>
      <c r="Z12" s="245" t="s">
        <v>835</v>
      </c>
    </row>
    <row r="13" spans="1:26" s="108" customFormat="1" ht="18" customHeight="1">
      <c r="A13" s="20" t="s">
        <v>1111</v>
      </c>
      <c r="B13" s="33" t="s">
        <v>1096</v>
      </c>
      <c r="C13" s="34" t="s">
        <v>1104</v>
      </c>
      <c r="D13" s="10" t="s">
        <v>231</v>
      </c>
      <c r="E13" s="75" t="s">
        <v>15</v>
      </c>
      <c r="F13" s="10">
        <v>3.33</v>
      </c>
      <c r="G13" s="45"/>
      <c r="H13" s="81">
        <f t="shared" ref="H13:H37" si="5">F13+(F13*G13)</f>
        <v>3.33</v>
      </c>
      <c r="I13" s="10">
        <v>0.15</v>
      </c>
      <c r="J13" s="83">
        <f t="shared" si="0"/>
        <v>3.48</v>
      </c>
      <c r="K13" s="31">
        <f t="shared" si="1"/>
        <v>3654000</v>
      </c>
      <c r="L13" s="321" t="s">
        <v>858</v>
      </c>
      <c r="M13" s="31">
        <f>IF(L13="A",K13*0.5,IF(L13="B",K13*0.5*0.75,IF(L13="C",K13*0.5*0.75*0.75,0)))</f>
        <v>1827000</v>
      </c>
      <c r="N13" s="31">
        <f>IF(L13="A",1050000,IF(L13="B",735000,IF(L13="C",514500,0)))</f>
        <v>1050000</v>
      </c>
      <c r="O13" s="146">
        <v>26</v>
      </c>
      <c r="P13" s="10">
        <v>26</v>
      </c>
      <c r="Q13" s="173">
        <f t="shared" si="2"/>
        <v>1827000</v>
      </c>
      <c r="R13" s="31">
        <f t="shared" si="3"/>
        <v>1827000</v>
      </c>
      <c r="S13" s="100"/>
      <c r="T13" s="31">
        <f t="shared" ref="T13:T71" si="6">S13*$I$8*0.5</f>
        <v>0</v>
      </c>
      <c r="U13" s="74"/>
      <c r="V13" s="31">
        <f t="shared" ref="V13:V71" si="7">U13*$I$8*0.5</f>
        <v>0</v>
      </c>
      <c r="W13" s="31">
        <f t="shared" ref="W13:W58" si="8">(J13*$I$8*0.01)+(S13*$I$8*1%)+(U13*1%*$I$8)</f>
        <v>36540</v>
      </c>
      <c r="X13" s="46">
        <f t="shared" ref="X13:X69" si="9">R13+T13+V13+W13</f>
        <v>1863540</v>
      </c>
      <c r="Y13" s="11" t="str">
        <f t="shared" si="4"/>
        <v>02</v>
      </c>
      <c r="Z13" s="125"/>
    </row>
    <row r="14" spans="1:26" s="108" customFormat="1" ht="21.75" customHeight="1">
      <c r="A14" s="20" t="s">
        <v>1112</v>
      </c>
      <c r="B14" s="33" t="s">
        <v>870</v>
      </c>
      <c r="C14" s="34" t="s">
        <v>871</v>
      </c>
      <c r="D14" s="10" t="s">
        <v>232</v>
      </c>
      <c r="E14" s="75" t="s">
        <v>16</v>
      </c>
      <c r="F14" s="10">
        <v>4.32</v>
      </c>
      <c r="G14" s="45"/>
      <c r="H14" s="81">
        <f t="shared" si="5"/>
        <v>4.32</v>
      </c>
      <c r="I14" s="10"/>
      <c r="J14" s="83">
        <f t="shared" si="0"/>
        <v>4.32</v>
      </c>
      <c r="K14" s="31">
        <f t="shared" si="1"/>
        <v>4536000</v>
      </c>
      <c r="L14" s="321" t="s">
        <v>858</v>
      </c>
      <c r="M14" s="31">
        <f t="shared" ref="M14:M71" si="10">IF(L14="A",K14*0.5,IF(L14="B",K14*0.5*0.75,IF(L14="C",K14*0.5*0.75*0.75,0)))</f>
        <v>2268000</v>
      </c>
      <c r="N14" s="147">
        <f t="shared" ref="N14:N69" si="11">IF(L14="A",1050000,IF(L14="B",735000,IF(L14="C",514500,0)))</f>
        <v>1050000</v>
      </c>
      <c r="O14" s="146">
        <v>26</v>
      </c>
      <c r="P14" s="10">
        <v>26</v>
      </c>
      <c r="Q14" s="173">
        <f t="shared" si="2"/>
        <v>2268000</v>
      </c>
      <c r="R14" s="31">
        <f t="shared" si="3"/>
        <v>2268000</v>
      </c>
      <c r="S14" s="100"/>
      <c r="T14" s="31">
        <f t="shared" si="6"/>
        <v>0</v>
      </c>
      <c r="U14" s="74"/>
      <c r="V14" s="31">
        <f t="shared" si="7"/>
        <v>0</v>
      </c>
      <c r="W14" s="31">
        <f t="shared" si="8"/>
        <v>45360</v>
      </c>
      <c r="X14" s="148">
        <f t="shared" si="9"/>
        <v>2313360</v>
      </c>
      <c r="Y14" s="11" t="str">
        <f t="shared" si="4"/>
        <v>03</v>
      </c>
      <c r="Z14" s="125"/>
    </row>
    <row r="15" spans="1:26" s="108" customFormat="1" ht="21.75" customHeight="1">
      <c r="A15" s="20" t="s">
        <v>1113</v>
      </c>
      <c r="B15" s="33" t="s">
        <v>872</v>
      </c>
      <c r="C15" s="34" t="s">
        <v>873</v>
      </c>
      <c r="D15" s="10" t="s">
        <v>233</v>
      </c>
      <c r="E15" s="75" t="s">
        <v>17</v>
      </c>
      <c r="F15" s="10">
        <v>4.32</v>
      </c>
      <c r="G15" s="45"/>
      <c r="H15" s="81">
        <f t="shared" si="5"/>
        <v>4.32</v>
      </c>
      <c r="I15" s="10"/>
      <c r="J15" s="83">
        <f t="shared" si="0"/>
        <v>4.32</v>
      </c>
      <c r="K15" s="31">
        <f t="shared" si="1"/>
        <v>4536000</v>
      </c>
      <c r="L15" s="321" t="s">
        <v>858</v>
      </c>
      <c r="M15" s="31">
        <f t="shared" si="10"/>
        <v>2268000</v>
      </c>
      <c r="N15" s="31">
        <f t="shared" si="11"/>
        <v>1050000</v>
      </c>
      <c r="O15" s="146">
        <v>26</v>
      </c>
      <c r="P15" s="10">
        <v>26</v>
      </c>
      <c r="Q15" s="173">
        <f t="shared" si="2"/>
        <v>2268000</v>
      </c>
      <c r="R15" s="31">
        <f t="shared" si="3"/>
        <v>2268000</v>
      </c>
      <c r="S15" s="100"/>
      <c r="T15" s="31">
        <f t="shared" si="6"/>
        <v>0</v>
      </c>
      <c r="U15" s="74"/>
      <c r="V15" s="31">
        <f t="shared" si="7"/>
        <v>0</v>
      </c>
      <c r="W15" s="31">
        <f t="shared" si="8"/>
        <v>45360</v>
      </c>
      <c r="X15" s="46">
        <f t="shared" si="9"/>
        <v>2313360</v>
      </c>
      <c r="Y15" s="11" t="str">
        <f t="shared" si="4"/>
        <v>04</v>
      </c>
      <c r="Z15" s="125"/>
    </row>
    <row r="16" spans="1:26" s="108" customFormat="1" ht="21.75" customHeight="1">
      <c r="A16" s="20" t="s">
        <v>1114</v>
      </c>
      <c r="B16" s="33" t="s">
        <v>875</v>
      </c>
      <c r="C16" s="34" t="s">
        <v>1106</v>
      </c>
      <c r="D16" s="10" t="s">
        <v>234</v>
      </c>
      <c r="E16" s="75" t="s">
        <v>18</v>
      </c>
      <c r="F16" s="10">
        <v>3</v>
      </c>
      <c r="G16" s="45"/>
      <c r="H16" s="81">
        <f t="shared" si="5"/>
        <v>3</v>
      </c>
      <c r="I16" s="10">
        <v>0.25</v>
      </c>
      <c r="J16" s="83">
        <f t="shared" si="0"/>
        <v>3.25</v>
      </c>
      <c r="K16" s="31">
        <f t="shared" si="1"/>
        <v>3412500</v>
      </c>
      <c r="L16" s="321" t="s">
        <v>858</v>
      </c>
      <c r="M16" s="31">
        <f t="shared" si="10"/>
        <v>1706250</v>
      </c>
      <c r="N16" s="147">
        <f t="shared" si="11"/>
        <v>1050000</v>
      </c>
      <c r="O16" s="146">
        <v>26</v>
      </c>
      <c r="P16" s="10">
        <v>26</v>
      </c>
      <c r="Q16" s="173">
        <f t="shared" si="2"/>
        <v>1706250</v>
      </c>
      <c r="R16" s="31">
        <f t="shared" si="3"/>
        <v>1706250</v>
      </c>
      <c r="S16" s="100"/>
      <c r="T16" s="31">
        <f t="shared" si="6"/>
        <v>0</v>
      </c>
      <c r="U16" s="74"/>
      <c r="V16" s="31">
        <f t="shared" si="7"/>
        <v>0</v>
      </c>
      <c r="W16" s="31">
        <f t="shared" si="8"/>
        <v>34125</v>
      </c>
      <c r="X16" s="148">
        <f t="shared" si="9"/>
        <v>1740375</v>
      </c>
      <c r="Y16" s="11" t="str">
        <f t="shared" si="4"/>
        <v>05</v>
      </c>
      <c r="Z16" s="125"/>
    </row>
    <row r="17" spans="1:28" s="108" customFormat="1" ht="21.75" customHeight="1">
      <c r="A17" s="20" t="s">
        <v>1115</v>
      </c>
      <c r="B17" s="33" t="s">
        <v>877</v>
      </c>
      <c r="C17" s="34" t="s">
        <v>863</v>
      </c>
      <c r="D17" s="10" t="s">
        <v>235</v>
      </c>
      <c r="E17" s="75" t="s">
        <v>19</v>
      </c>
      <c r="F17" s="10">
        <v>3</v>
      </c>
      <c r="G17" s="45"/>
      <c r="H17" s="81">
        <f t="shared" si="5"/>
        <v>3</v>
      </c>
      <c r="I17" s="10"/>
      <c r="J17" s="83">
        <f t="shared" si="0"/>
        <v>3</v>
      </c>
      <c r="K17" s="31">
        <f t="shared" si="1"/>
        <v>3150000</v>
      </c>
      <c r="L17" s="321" t="s">
        <v>858</v>
      </c>
      <c r="M17" s="31">
        <f t="shared" si="10"/>
        <v>1575000</v>
      </c>
      <c r="N17" s="31">
        <f t="shared" si="11"/>
        <v>1050000</v>
      </c>
      <c r="O17" s="146">
        <v>26</v>
      </c>
      <c r="P17" s="10">
        <v>25</v>
      </c>
      <c r="Q17" s="173">
        <f t="shared" si="2"/>
        <v>1575000</v>
      </c>
      <c r="R17" s="31">
        <f t="shared" si="3"/>
        <v>1514423</v>
      </c>
      <c r="S17" s="100"/>
      <c r="T17" s="31">
        <f t="shared" si="6"/>
        <v>0</v>
      </c>
      <c r="U17" s="74"/>
      <c r="V17" s="31">
        <f t="shared" si="7"/>
        <v>0</v>
      </c>
      <c r="W17" s="31">
        <f t="shared" si="8"/>
        <v>31500</v>
      </c>
      <c r="X17" s="46">
        <f t="shared" si="9"/>
        <v>1545923</v>
      </c>
      <c r="Y17" s="11" t="str">
        <f t="shared" si="4"/>
        <v>06</v>
      </c>
      <c r="Z17" s="267" t="s">
        <v>783</v>
      </c>
      <c r="AA17" s="1618"/>
      <c r="AB17" s="1619"/>
    </row>
    <row r="18" spans="1:28" s="108" customFormat="1" ht="21.75" customHeight="1">
      <c r="A18" s="20" t="s">
        <v>1116</v>
      </c>
      <c r="B18" s="33" t="s">
        <v>877</v>
      </c>
      <c r="C18" s="34" t="s">
        <v>878</v>
      </c>
      <c r="D18" s="10" t="s">
        <v>236</v>
      </c>
      <c r="E18" s="75" t="s">
        <v>20</v>
      </c>
      <c r="F18" s="10">
        <v>3</v>
      </c>
      <c r="G18" s="45"/>
      <c r="H18" s="81">
        <f t="shared" si="5"/>
        <v>3</v>
      </c>
      <c r="I18" s="10">
        <v>0.25</v>
      </c>
      <c r="J18" s="83">
        <f t="shared" si="0"/>
        <v>3.25</v>
      </c>
      <c r="K18" s="31">
        <f t="shared" si="1"/>
        <v>3412500</v>
      </c>
      <c r="L18" s="321" t="s">
        <v>858</v>
      </c>
      <c r="M18" s="31">
        <f t="shared" si="10"/>
        <v>1706250</v>
      </c>
      <c r="N18" s="147">
        <f t="shared" si="11"/>
        <v>1050000</v>
      </c>
      <c r="O18" s="146">
        <v>26</v>
      </c>
      <c r="P18" s="10">
        <v>26</v>
      </c>
      <c r="Q18" s="173">
        <f t="shared" si="2"/>
        <v>1706250</v>
      </c>
      <c r="R18" s="31">
        <f t="shared" si="3"/>
        <v>1706250</v>
      </c>
      <c r="S18" s="100"/>
      <c r="T18" s="31">
        <f t="shared" si="6"/>
        <v>0</v>
      </c>
      <c r="U18" s="74"/>
      <c r="V18" s="31">
        <f t="shared" si="7"/>
        <v>0</v>
      </c>
      <c r="W18" s="31">
        <f t="shared" si="8"/>
        <v>34125</v>
      </c>
      <c r="X18" s="148">
        <f t="shared" si="9"/>
        <v>1740375</v>
      </c>
      <c r="Y18" s="11" t="str">
        <f t="shared" si="4"/>
        <v>07</v>
      </c>
      <c r="Z18" s="125"/>
    </row>
    <row r="19" spans="1:28" s="108" customFormat="1" ht="21.75" customHeight="1">
      <c r="A19" s="20" t="s">
        <v>1117</v>
      </c>
      <c r="B19" s="33" t="s">
        <v>1097</v>
      </c>
      <c r="C19" s="34" t="s">
        <v>1107</v>
      </c>
      <c r="D19" s="10" t="s">
        <v>237</v>
      </c>
      <c r="E19" s="75" t="s">
        <v>21</v>
      </c>
      <c r="F19" s="10">
        <v>3</v>
      </c>
      <c r="G19" s="45"/>
      <c r="H19" s="81">
        <f t="shared" si="5"/>
        <v>3</v>
      </c>
      <c r="I19" s="10">
        <v>0.25</v>
      </c>
      <c r="J19" s="83">
        <f t="shared" si="0"/>
        <v>3.25</v>
      </c>
      <c r="K19" s="31">
        <f t="shared" si="1"/>
        <v>3412500</v>
      </c>
      <c r="L19" s="321" t="s">
        <v>858</v>
      </c>
      <c r="M19" s="31">
        <f t="shared" si="10"/>
        <v>1706250</v>
      </c>
      <c r="N19" s="31">
        <f t="shared" si="11"/>
        <v>1050000</v>
      </c>
      <c r="O19" s="146">
        <v>26</v>
      </c>
      <c r="P19" s="10">
        <v>26</v>
      </c>
      <c r="Q19" s="173">
        <f t="shared" si="2"/>
        <v>1706250</v>
      </c>
      <c r="R19" s="31">
        <f t="shared" si="3"/>
        <v>1706250</v>
      </c>
      <c r="S19" s="100"/>
      <c r="T19" s="31">
        <f t="shared" si="6"/>
        <v>0</v>
      </c>
      <c r="U19" s="74"/>
      <c r="V19" s="31">
        <f t="shared" si="7"/>
        <v>0</v>
      </c>
      <c r="W19" s="31">
        <f t="shared" si="8"/>
        <v>34125</v>
      </c>
      <c r="X19" s="46">
        <f t="shared" si="9"/>
        <v>1740375</v>
      </c>
      <c r="Y19" s="11" t="str">
        <f t="shared" si="4"/>
        <v>08</v>
      </c>
      <c r="Z19" s="125"/>
    </row>
    <row r="20" spans="1:28" s="108" customFormat="1" ht="21.75" customHeight="1">
      <c r="A20" s="20" t="s">
        <v>1118</v>
      </c>
      <c r="B20" s="33" t="s">
        <v>1098</v>
      </c>
      <c r="C20" s="34" t="s">
        <v>871</v>
      </c>
      <c r="D20" s="10" t="s">
        <v>238</v>
      </c>
      <c r="E20" s="75" t="s">
        <v>22</v>
      </c>
      <c r="F20" s="10">
        <v>3</v>
      </c>
      <c r="G20" s="45"/>
      <c r="H20" s="81">
        <f t="shared" si="5"/>
        <v>3</v>
      </c>
      <c r="I20" s="10">
        <v>0.15</v>
      </c>
      <c r="J20" s="83">
        <f t="shared" si="0"/>
        <v>3.15</v>
      </c>
      <c r="K20" s="31">
        <f t="shared" si="1"/>
        <v>3307500</v>
      </c>
      <c r="L20" s="321" t="s">
        <v>858</v>
      </c>
      <c r="M20" s="31">
        <f t="shared" si="10"/>
        <v>1653750</v>
      </c>
      <c r="N20" s="147">
        <f t="shared" si="11"/>
        <v>1050000</v>
      </c>
      <c r="O20" s="146">
        <v>26</v>
      </c>
      <c r="P20" s="10">
        <v>26</v>
      </c>
      <c r="Q20" s="173">
        <f t="shared" si="2"/>
        <v>1653750</v>
      </c>
      <c r="R20" s="31">
        <f t="shared" si="3"/>
        <v>1653750</v>
      </c>
      <c r="S20" s="100"/>
      <c r="T20" s="31">
        <f t="shared" si="6"/>
        <v>0</v>
      </c>
      <c r="U20" s="74"/>
      <c r="V20" s="31">
        <f t="shared" si="7"/>
        <v>0</v>
      </c>
      <c r="W20" s="31">
        <f t="shared" si="8"/>
        <v>33075</v>
      </c>
      <c r="X20" s="148">
        <f t="shared" si="9"/>
        <v>1686825</v>
      </c>
      <c r="Y20" s="11" t="str">
        <f t="shared" si="4"/>
        <v>09</v>
      </c>
      <c r="Z20" s="125"/>
    </row>
    <row r="21" spans="1:28" s="108" customFormat="1" ht="21.75" customHeight="1">
      <c r="A21" s="20" t="s">
        <v>1119</v>
      </c>
      <c r="B21" s="33" t="s">
        <v>879</v>
      </c>
      <c r="C21" s="34" t="s">
        <v>880</v>
      </c>
      <c r="D21" s="10" t="s">
        <v>239</v>
      </c>
      <c r="E21" s="75" t="s">
        <v>23</v>
      </c>
      <c r="F21" s="10">
        <v>4.32</v>
      </c>
      <c r="G21" s="45"/>
      <c r="H21" s="81">
        <f t="shared" si="5"/>
        <v>4.32</v>
      </c>
      <c r="I21" s="10">
        <v>0</v>
      </c>
      <c r="J21" s="83">
        <f t="shared" si="0"/>
        <v>4.32</v>
      </c>
      <c r="K21" s="31">
        <f t="shared" si="1"/>
        <v>4536000</v>
      </c>
      <c r="L21" s="321" t="s">
        <v>858</v>
      </c>
      <c r="M21" s="31">
        <f t="shared" si="10"/>
        <v>2268000</v>
      </c>
      <c r="N21" s="31">
        <f t="shared" si="11"/>
        <v>1050000</v>
      </c>
      <c r="O21" s="146">
        <v>26</v>
      </c>
      <c r="P21" s="10">
        <v>26</v>
      </c>
      <c r="Q21" s="173">
        <f t="shared" si="2"/>
        <v>2268000</v>
      </c>
      <c r="R21" s="31">
        <f t="shared" si="3"/>
        <v>2268000</v>
      </c>
      <c r="S21" s="100"/>
      <c r="T21" s="31">
        <f t="shared" si="6"/>
        <v>0</v>
      </c>
      <c r="U21" s="74"/>
      <c r="V21" s="31">
        <f t="shared" si="7"/>
        <v>0</v>
      </c>
      <c r="W21" s="31">
        <f t="shared" si="8"/>
        <v>45360</v>
      </c>
      <c r="X21" s="46">
        <f t="shared" si="9"/>
        <v>2313360</v>
      </c>
      <c r="Y21" s="11" t="str">
        <f t="shared" si="4"/>
        <v>10</v>
      </c>
      <c r="Z21" s="125"/>
    </row>
    <row r="22" spans="1:28" s="108" customFormat="1" ht="21.75" customHeight="1">
      <c r="A22" s="20" t="s">
        <v>1120</v>
      </c>
      <c r="B22" s="33" t="s">
        <v>881</v>
      </c>
      <c r="C22" s="34" t="s">
        <v>863</v>
      </c>
      <c r="D22" s="10" t="s">
        <v>240</v>
      </c>
      <c r="E22" s="75" t="s">
        <v>24</v>
      </c>
      <c r="F22" s="10">
        <v>2.67</v>
      </c>
      <c r="G22" s="45"/>
      <c r="H22" s="81">
        <f t="shared" si="5"/>
        <v>2.67</v>
      </c>
      <c r="I22" s="10"/>
      <c r="J22" s="83">
        <f t="shared" si="0"/>
        <v>2.67</v>
      </c>
      <c r="K22" s="31">
        <f t="shared" si="1"/>
        <v>2803500</v>
      </c>
      <c r="L22" s="321" t="s">
        <v>858</v>
      </c>
      <c r="M22" s="31">
        <f t="shared" si="10"/>
        <v>1401750</v>
      </c>
      <c r="N22" s="147">
        <f t="shared" si="11"/>
        <v>1050000</v>
      </c>
      <c r="O22" s="146">
        <v>26</v>
      </c>
      <c r="P22" s="10">
        <v>26</v>
      </c>
      <c r="Q22" s="173">
        <f t="shared" si="2"/>
        <v>1401750</v>
      </c>
      <c r="R22" s="31">
        <f t="shared" si="3"/>
        <v>1401750</v>
      </c>
      <c r="S22" s="100"/>
      <c r="T22" s="31">
        <f t="shared" si="6"/>
        <v>0</v>
      </c>
      <c r="U22" s="74"/>
      <c r="V22" s="31">
        <f t="shared" si="7"/>
        <v>0</v>
      </c>
      <c r="W22" s="31">
        <f t="shared" si="8"/>
        <v>28035</v>
      </c>
      <c r="X22" s="148">
        <f t="shared" si="9"/>
        <v>1429785</v>
      </c>
      <c r="Y22" s="11" t="str">
        <f t="shared" si="4"/>
        <v>11</v>
      </c>
      <c r="Z22" s="125"/>
    </row>
    <row r="23" spans="1:28" s="108" customFormat="1" ht="17.25" customHeight="1">
      <c r="A23" s="20" t="s">
        <v>1121</v>
      </c>
      <c r="B23" s="33" t="s">
        <v>1099</v>
      </c>
      <c r="C23" s="34" t="s">
        <v>882</v>
      </c>
      <c r="D23" s="10" t="s">
        <v>241</v>
      </c>
      <c r="E23" s="75" t="s">
        <v>25</v>
      </c>
      <c r="F23" s="83">
        <v>2.67</v>
      </c>
      <c r="G23" s="45"/>
      <c r="H23" s="81">
        <f t="shared" si="5"/>
        <v>2.67</v>
      </c>
      <c r="I23" s="10"/>
      <c r="J23" s="83">
        <f t="shared" si="0"/>
        <v>2.67</v>
      </c>
      <c r="K23" s="31">
        <f t="shared" si="1"/>
        <v>2803500</v>
      </c>
      <c r="L23" s="321" t="s">
        <v>858</v>
      </c>
      <c r="M23" s="31">
        <f t="shared" si="10"/>
        <v>1401750</v>
      </c>
      <c r="N23" s="31">
        <f t="shared" si="11"/>
        <v>1050000</v>
      </c>
      <c r="O23" s="146">
        <v>26</v>
      </c>
      <c r="P23" s="10">
        <v>26</v>
      </c>
      <c r="Q23" s="173">
        <f t="shared" si="2"/>
        <v>1401750</v>
      </c>
      <c r="R23" s="31">
        <f t="shared" si="3"/>
        <v>1401750</v>
      </c>
      <c r="S23" s="100"/>
      <c r="T23" s="31">
        <f t="shared" si="6"/>
        <v>0</v>
      </c>
      <c r="U23" s="74"/>
      <c r="V23" s="31">
        <f t="shared" si="7"/>
        <v>0</v>
      </c>
      <c r="W23" s="31">
        <f t="shared" si="8"/>
        <v>28035</v>
      </c>
      <c r="X23" s="46">
        <f t="shared" si="9"/>
        <v>1429785</v>
      </c>
      <c r="Y23" s="11" t="str">
        <f t="shared" si="4"/>
        <v>12</v>
      </c>
      <c r="Z23" s="125"/>
    </row>
    <row r="24" spans="1:28" s="108" customFormat="1" ht="25.5">
      <c r="A24" s="20" t="s">
        <v>1122</v>
      </c>
      <c r="B24" s="33" t="s">
        <v>1108</v>
      </c>
      <c r="C24" s="34" t="s">
        <v>883</v>
      </c>
      <c r="D24" s="10" t="s">
        <v>242</v>
      </c>
      <c r="E24" s="75" t="s">
        <v>26</v>
      </c>
      <c r="F24" s="10">
        <v>2.67</v>
      </c>
      <c r="G24" s="45"/>
      <c r="H24" s="81">
        <f t="shared" si="5"/>
        <v>2.67</v>
      </c>
      <c r="I24" s="10"/>
      <c r="J24" s="83">
        <f t="shared" si="0"/>
        <v>2.67</v>
      </c>
      <c r="K24" s="31">
        <f t="shared" si="1"/>
        <v>2803500</v>
      </c>
      <c r="L24" s="321" t="s">
        <v>525</v>
      </c>
      <c r="M24" s="31">
        <f t="shared" si="10"/>
        <v>1051312.5</v>
      </c>
      <c r="N24" s="147">
        <f t="shared" si="11"/>
        <v>735000</v>
      </c>
      <c r="O24" s="146">
        <v>26</v>
      </c>
      <c r="P24" s="10">
        <v>25</v>
      </c>
      <c r="Q24" s="173">
        <f t="shared" si="2"/>
        <v>1051312.5</v>
      </c>
      <c r="R24" s="31">
        <f t="shared" si="3"/>
        <v>1010877</v>
      </c>
      <c r="S24" s="100"/>
      <c r="T24" s="31">
        <f t="shared" si="6"/>
        <v>0</v>
      </c>
      <c r="U24" s="74"/>
      <c r="V24" s="31">
        <f t="shared" si="7"/>
        <v>0</v>
      </c>
      <c r="W24" s="31">
        <f t="shared" si="8"/>
        <v>28035</v>
      </c>
      <c r="X24" s="148">
        <f t="shared" si="9"/>
        <v>1038912</v>
      </c>
      <c r="Y24" s="11" t="str">
        <f t="shared" si="4"/>
        <v>13</v>
      </c>
      <c r="Z24" s="125" t="s">
        <v>827</v>
      </c>
    </row>
    <row r="25" spans="1:28" s="108" customFormat="1" ht="29.25" customHeight="1">
      <c r="A25" s="20" t="s">
        <v>1123</v>
      </c>
      <c r="B25" s="33" t="s">
        <v>1077</v>
      </c>
      <c r="C25" s="34" t="s">
        <v>1128</v>
      </c>
      <c r="D25" s="10" t="s">
        <v>243</v>
      </c>
      <c r="E25" s="75" t="s">
        <v>27</v>
      </c>
      <c r="F25" s="83">
        <v>3.66</v>
      </c>
      <c r="G25" s="45"/>
      <c r="H25" s="81">
        <f t="shared" si="5"/>
        <v>3.66</v>
      </c>
      <c r="I25" s="10">
        <v>0.25</v>
      </c>
      <c r="J25" s="83">
        <f t="shared" si="0"/>
        <v>3.91</v>
      </c>
      <c r="K25" s="31">
        <f t="shared" si="1"/>
        <v>4105500</v>
      </c>
      <c r="L25" s="321" t="s">
        <v>858</v>
      </c>
      <c r="M25" s="31">
        <f t="shared" si="10"/>
        <v>2052750</v>
      </c>
      <c r="N25" s="31">
        <f t="shared" si="11"/>
        <v>1050000</v>
      </c>
      <c r="O25" s="146">
        <v>26</v>
      </c>
      <c r="P25" s="10">
        <v>26</v>
      </c>
      <c r="Q25" s="173">
        <f t="shared" si="2"/>
        <v>2052750</v>
      </c>
      <c r="R25" s="31">
        <f t="shared" si="3"/>
        <v>2052750</v>
      </c>
      <c r="S25" s="100"/>
      <c r="T25" s="31">
        <f t="shared" si="6"/>
        <v>0</v>
      </c>
      <c r="U25" s="74"/>
      <c r="V25" s="31">
        <f t="shared" si="7"/>
        <v>0</v>
      </c>
      <c r="W25" s="31">
        <f t="shared" si="8"/>
        <v>41055</v>
      </c>
      <c r="X25" s="46">
        <f t="shared" si="9"/>
        <v>2093805</v>
      </c>
      <c r="Y25" s="11" t="str">
        <f t="shared" si="4"/>
        <v>14</v>
      </c>
      <c r="Z25" s="125"/>
    </row>
    <row r="26" spans="1:28" s="108" customFormat="1" ht="51">
      <c r="A26" s="254" t="s">
        <v>1124</v>
      </c>
      <c r="B26" s="227" t="s">
        <v>1129</v>
      </c>
      <c r="C26" s="228" t="s">
        <v>885</v>
      </c>
      <c r="D26" s="231" t="s">
        <v>244</v>
      </c>
      <c r="E26" s="230" t="s">
        <v>28</v>
      </c>
      <c r="F26" s="231">
        <v>2.67</v>
      </c>
      <c r="G26" s="256"/>
      <c r="H26" s="233">
        <f t="shared" si="5"/>
        <v>2.67</v>
      </c>
      <c r="I26" s="231"/>
      <c r="J26" s="255">
        <f t="shared" si="0"/>
        <v>2.67</v>
      </c>
      <c r="K26" s="235">
        <f t="shared" si="1"/>
        <v>2803500</v>
      </c>
      <c r="L26" s="321" t="s">
        <v>785</v>
      </c>
      <c r="M26" s="31">
        <f t="shared" si="10"/>
        <v>0</v>
      </c>
      <c r="N26" s="264">
        <f t="shared" si="11"/>
        <v>0</v>
      </c>
      <c r="O26" s="268">
        <v>0</v>
      </c>
      <c r="P26" s="231">
        <v>0</v>
      </c>
      <c r="Q26" s="257">
        <f t="shared" si="2"/>
        <v>0</v>
      </c>
      <c r="R26" s="235">
        <f t="shared" si="3"/>
        <v>0</v>
      </c>
      <c r="S26" s="258"/>
      <c r="T26" s="235">
        <f t="shared" si="6"/>
        <v>0</v>
      </c>
      <c r="U26" s="239"/>
      <c r="V26" s="235">
        <f t="shared" si="7"/>
        <v>0</v>
      </c>
      <c r="W26" s="235">
        <v>0</v>
      </c>
      <c r="X26" s="265">
        <f t="shared" si="9"/>
        <v>0</v>
      </c>
      <c r="Y26" s="241" t="str">
        <f t="shared" si="4"/>
        <v>15</v>
      </c>
      <c r="Z26" s="259" t="s">
        <v>795</v>
      </c>
      <c r="AA26" s="1618"/>
      <c r="AB26" s="1619"/>
    </row>
    <row r="27" spans="1:28" s="108" customFormat="1" ht="24.75" customHeight="1">
      <c r="A27" s="20" t="s">
        <v>1125</v>
      </c>
      <c r="B27" s="33" t="s">
        <v>1130</v>
      </c>
      <c r="C27" s="34" t="s">
        <v>886</v>
      </c>
      <c r="D27" s="10" t="s">
        <v>245</v>
      </c>
      <c r="E27" s="75" t="s">
        <v>29</v>
      </c>
      <c r="F27" s="10">
        <v>2.67</v>
      </c>
      <c r="G27" s="45"/>
      <c r="H27" s="81">
        <f t="shared" si="5"/>
        <v>2.67</v>
      </c>
      <c r="I27" s="10">
        <v>0.25</v>
      </c>
      <c r="J27" s="83">
        <f t="shared" si="0"/>
        <v>2.92</v>
      </c>
      <c r="K27" s="31">
        <f t="shared" si="1"/>
        <v>3066000</v>
      </c>
      <c r="L27" s="321" t="s">
        <v>858</v>
      </c>
      <c r="M27" s="31">
        <f t="shared" si="10"/>
        <v>1533000</v>
      </c>
      <c r="N27" s="31">
        <f t="shared" si="11"/>
        <v>1050000</v>
      </c>
      <c r="O27" s="146">
        <v>26</v>
      </c>
      <c r="P27" s="10">
        <v>26</v>
      </c>
      <c r="Q27" s="173">
        <f t="shared" si="2"/>
        <v>1533000</v>
      </c>
      <c r="R27" s="31">
        <f t="shared" si="3"/>
        <v>1533000</v>
      </c>
      <c r="S27" s="100"/>
      <c r="T27" s="31">
        <f t="shared" si="6"/>
        <v>0</v>
      </c>
      <c r="U27" s="74"/>
      <c r="V27" s="31">
        <f t="shared" si="7"/>
        <v>0</v>
      </c>
      <c r="W27" s="31">
        <f t="shared" si="8"/>
        <v>30660</v>
      </c>
      <c r="X27" s="46">
        <f t="shared" si="9"/>
        <v>1563660</v>
      </c>
      <c r="Y27" s="11" t="str">
        <f t="shared" si="4"/>
        <v>16</v>
      </c>
      <c r="Z27" s="246"/>
    </row>
    <row r="28" spans="1:28" s="108" customFormat="1" ht="20.25" customHeight="1">
      <c r="A28" s="20" t="s">
        <v>1126</v>
      </c>
      <c r="B28" s="33" t="s">
        <v>1198</v>
      </c>
      <c r="C28" s="34" t="s">
        <v>912</v>
      </c>
      <c r="D28" s="10" t="s">
        <v>246</v>
      </c>
      <c r="E28" s="75" t="s">
        <v>30</v>
      </c>
      <c r="F28" s="10">
        <v>3</v>
      </c>
      <c r="G28" s="45"/>
      <c r="H28" s="81">
        <f t="shared" si="5"/>
        <v>3</v>
      </c>
      <c r="I28" s="10">
        <v>0.15</v>
      </c>
      <c r="J28" s="83">
        <f t="shared" si="0"/>
        <v>3.15</v>
      </c>
      <c r="K28" s="31">
        <f t="shared" si="1"/>
        <v>3307500</v>
      </c>
      <c r="L28" s="321" t="s">
        <v>858</v>
      </c>
      <c r="M28" s="31">
        <f t="shared" si="10"/>
        <v>1653750</v>
      </c>
      <c r="N28" s="147">
        <f t="shared" si="11"/>
        <v>1050000</v>
      </c>
      <c r="O28" s="146">
        <v>26</v>
      </c>
      <c r="P28" s="10">
        <v>26</v>
      </c>
      <c r="Q28" s="173">
        <f t="shared" si="2"/>
        <v>1653750</v>
      </c>
      <c r="R28" s="31">
        <f t="shared" si="3"/>
        <v>1653750</v>
      </c>
      <c r="S28" s="100"/>
      <c r="T28" s="31">
        <f t="shared" si="6"/>
        <v>0</v>
      </c>
      <c r="U28" s="74"/>
      <c r="V28" s="31">
        <f t="shared" si="7"/>
        <v>0</v>
      </c>
      <c r="W28" s="31">
        <f t="shared" si="8"/>
        <v>33075</v>
      </c>
      <c r="X28" s="148">
        <f t="shared" si="9"/>
        <v>1686825</v>
      </c>
      <c r="Y28" s="11" t="str">
        <f t="shared" si="4"/>
        <v>17</v>
      </c>
      <c r="Z28" s="125"/>
    </row>
    <row r="29" spans="1:28" s="108" customFormat="1" ht="20.25" customHeight="1">
      <c r="A29" s="20" t="s">
        <v>1127</v>
      </c>
      <c r="B29" s="33" t="s">
        <v>1238</v>
      </c>
      <c r="C29" s="34" t="s">
        <v>1216</v>
      </c>
      <c r="D29" s="10" t="s">
        <v>247</v>
      </c>
      <c r="E29" s="75" t="s">
        <v>31</v>
      </c>
      <c r="F29" s="184">
        <v>2.67</v>
      </c>
      <c r="G29" s="45"/>
      <c r="H29" s="81">
        <f t="shared" si="5"/>
        <v>2.67</v>
      </c>
      <c r="I29" s="10"/>
      <c r="J29" s="83">
        <f t="shared" si="0"/>
        <v>2.67</v>
      </c>
      <c r="K29" s="31">
        <f t="shared" si="1"/>
        <v>2803500</v>
      </c>
      <c r="L29" s="321" t="s">
        <v>858</v>
      </c>
      <c r="M29" s="31">
        <f t="shared" si="10"/>
        <v>1401750</v>
      </c>
      <c r="N29" s="31">
        <f t="shared" si="11"/>
        <v>1050000</v>
      </c>
      <c r="O29" s="146">
        <v>26</v>
      </c>
      <c r="P29" s="10">
        <v>26</v>
      </c>
      <c r="Q29" s="173">
        <f t="shared" si="2"/>
        <v>1401750</v>
      </c>
      <c r="R29" s="31">
        <f t="shared" si="3"/>
        <v>1401750</v>
      </c>
      <c r="S29" s="100"/>
      <c r="T29" s="31">
        <f t="shared" si="6"/>
        <v>0</v>
      </c>
      <c r="U29" s="74"/>
      <c r="V29" s="31">
        <f t="shared" si="7"/>
        <v>0</v>
      </c>
      <c r="W29" s="31">
        <f t="shared" si="8"/>
        <v>28035</v>
      </c>
      <c r="X29" s="46">
        <f t="shared" si="9"/>
        <v>1429785</v>
      </c>
      <c r="Y29" s="11" t="str">
        <f t="shared" si="4"/>
        <v>18</v>
      </c>
      <c r="Z29" s="125"/>
    </row>
    <row r="30" spans="1:28" s="108" customFormat="1" ht="20.25" customHeight="1">
      <c r="A30" s="20" t="s">
        <v>1131</v>
      </c>
      <c r="B30" s="33" t="s">
        <v>1239</v>
      </c>
      <c r="C30" s="34" t="s">
        <v>1217</v>
      </c>
      <c r="D30" s="10" t="s">
        <v>248</v>
      </c>
      <c r="E30" s="75" t="s">
        <v>32</v>
      </c>
      <c r="F30" s="10">
        <v>3</v>
      </c>
      <c r="G30" s="45"/>
      <c r="H30" s="81">
        <f t="shared" si="5"/>
        <v>3</v>
      </c>
      <c r="I30" s="10">
        <v>0.15</v>
      </c>
      <c r="J30" s="83">
        <f t="shared" si="0"/>
        <v>3.15</v>
      </c>
      <c r="K30" s="31">
        <f t="shared" si="1"/>
        <v>3307500</v>
      </c>
      <c r="L30" s="321" t="s">
        <v>858</v>
      </c>
      <c r="M30" s="31">
        <f t="shared" si="10"/>
        <v>1653750</v>
      </c>
      <c r="N30" s="147">
        <f t="shared" si="11"/>
        <v>1050000</v>
      </c>
      <c r="O30" s="146">
        <v>26</v>
      </c>
      <c r="P30" s="10">
        <v>26</v>
      </c>
      <c r="Q30" s="173">
        <f t="shared" si="2"/>
        <v>1653750</v>
      </c>
      <c r="R30" s="31">
        <f t="shared" si="3"/>
        <v>1653750</v>
      </c>
      <c r="S30" s="100"/>
      <c r="T30" s="31">
        <f t="shared" si="6"/>
        <v>0</v>
      </c>
      <c r="U30" s="74"/>
      <c r="V30" s="31">
        <f t="shared" si="7"/>
        <v>0</v>
      </c>
      <c r="W30" s="31">
        <f t="shared" si="8"/>
        <v>33075</v>
      </c>
      <c r="X30" s="148">
        <f t="shared" si="9"/>
        <v>1686825</v>
      </c>
      <c r="Y30" s="11" t="str">
        <f t="shared" si="4"/>
        <v>19</v>
      </c>
      <c r="Z30" s="125"/>
    </row>
    <row r="31" spans="1:28" s="108" customFormat="1" ht="20.25" customHeight="1">
      <c r="A31" s="20" t="s">
        <v>1132</v>
      </c>
      <c r="B31" s="33" t="s">
        <v>1240</v>
      </c>
      <c r="C31" s="34" t="s">
        <v>1218</v>
      </c>
      <c r="D31" s="10" t="s">
        <v>249</v>
      </c>
      <c r="E31" s="75" t="s">
        <v>33</v>
      </c>
      <c r="F31" s="10">
        <v>2.67</v>
      </c>
      <c r="G31" s="45"/>
      <c r="H31" s="81">
        <f t="shared" si="5"/>
        <v>2.67</v>
      </c>
      <c r="I31" s="10"/>
      <c r="J31" s="83">
        <f t="shared" si="0"/>
        <v>2.67</v>
      </c>
      <c r="K31" s="31">
        <f t="shared" si="1"/>
        <v>2803500</v>
      </c>
      <c r="L31" s="321" t="s">
        <v>858</v>
      </c>
      <c r="M31" s="31">
        <f t="shared" si="10"/>
        <v>1401750</v>
      </c>
      <c r="N31" s="31">
        <f t="shared" si="11"/>
        <v>1050000</v>
      </c>
      <c r="O31" s="146">
        <v>26</v>
      </c>
      <c r="P31" s="10">
        <v>26</v>
      </c>
      <c r="Q31" s="173">
        <f t="shared" si="2"/>
        <v>1401750</v>
      </c>
      <c r="R31" s="31">
        <f t="shared" si="3"/>
        <v>1401750</v>
      </c>
      <c r="S31" s="100"/>
      <c r="T31" s="31">
        <f t="shared" si="6"/>
        <v>0</v>
      </c>
      <c r="U31" s="74"/>
      <c r="V31" s="31">
        <f t="shared" si="7"/>
        <v>0</v>
      </c>
      <c r="W31" s="31">
        <f t="shared" si="8"/>
        <v>28035</v>
      </c>
      <c r="X31" s="46">
        <f t="shared" si="9"/>
        <v>1429785</v>
      </c>
      <c r="Y31" s="11" t="str">
        <f t="shared" si="4"/>
        <v>20</v>
      </c>
      <c r="Z31" s="125"/>
    </row>
    <row r="32" spans="1:28" s="108" customFormat="1" ht="20.25" customHeight="1">
      <c r="A32" s="20" t="s">
        <v>1133</v>
      </c>
      <c r="B32" s="33" t="s">
        <v>1241</v>
      </c>
      <c r="C32" s="34" t="s">
        <v>990</v>
      </c>
      <c r="D32" s="10" t="s">
        <v>250</v>
      </c>
      <c r="E32" s="75" t="s">
        <v>34</v>
      </c>
      <c r="F32" s="10">
        <v>2.67</v>
      </c>
      <c r="G32" s="45"/>
      <c r="H32" s="81">
        <f t="shared" si="5"/>
        <v>2.67</v>
      </c>
      <c r="I32" s="10">
        <v>0.15</v>
      </c>
      <c r="J32" s="83">
        <f t="shared" si="0"/>
        <v>2.82</v>
      </c>
      <c r="K32" s="31">
        <f t="shared" si="1"/>
        <v>2961000</v>
      </c>
      <c r="L32" s="321" t="s">
        <v>858</v>
      </c>
      <c r="M32" s="31">
        <f t="shared" si="10"/>
        <v>1480500</v>
      </c>
      <c r="N32" s="147">
        <f t="shared" si="11"/>
        <v>1050000</v>
      </c>
      <c r="O32" s="146">
        <v>26</v>
      </c>
      <c r="P32" s="10">
        <v>26</v>
      </c>
      <c r="Q32" s="173">
        <f t="shared" si="2"/>
        <v>1480500</v>
      </c>
      <c r="R32" s="31">
        <f t="shared" si="3"/>
        <v>1480500</v>
      </c>
      <c r="S32" s="100"/>
      <c r="T32" s="31">
        <f t="shared" si="6"/>
        <v>0</v>
      </c>
      <c r="U32" s="74"/>
      <c r="V32" s="31">
        <f t="shared" si="7"/>
        <v>0</v>
      </c>
      <c r="W32" s="31">
        <f t="shared" si="8"/>
        <v>29610</v>
      </c>
      <c r="X32" s="148">
        <f t="shared" si="9"/>
        <v>1510110</v>
      </c>
      <c r="Y32" s="11" t="str">
        <f t="shared" si="4"/>
        <v>21</v>
      </c>
      <c r="Z32" s="125"/>
    </row>
    <row r="33" spans="1:29" s="108" customFormat="1" ht="15.75">
      <c r="A33" s="20" t="s">
        <v>1142</v>
      </c>
      <c r="B33" s="33" t="s">
        <v>1242</v>
      </c>
      <c r="C33" s="34" t="s">
        <v>1103</v>
      </c>
      <c r="D33" s="10" t="s">
        <v>251</v>
      </c>
      <c r="E33" s="75" t="s">
        <v>35</v>
      </c>
      <c r="F33" s="10">
        <v>2.67</v>
      </c>
      <c r="G33" s="45"/>
      <c r="H33" s="81">
        <f t="shared" si="5"/>
        <v>2.67</v>
      </c>
      <c r="I33" s="83">
        <v>0.25</v>
      </c>
      <c r="J33" s="83">
        <f t="shared" si="0"/>
        <v>2.92</v>
      </c>
      <c r="K33" s="31">
        <f t="shared" si="1"/>
        <v>3066000</v>
      </c>
      <c r="L33" s="321" t="s">
        <v>525</v>
      </c>
      <c r="M33" s="31">
        <f t="shared" si="10"/>
        <v>1149750</v>
      </c>
      <c r="N33" s="31">
        <f t="shared" si="11"/>
        <v>735000</v>
      </c>
      <c r="O33" s="146">
        <v>26</v>
      </c>
      <c r="P33" s="10">
        <v>26</v>
      </c>
      <c r="Q33" s="173">
        <f t="shared" si="2"/>
        <v>1149750</v>
      </c>
      <c r="R33" s="31">
        <f t="shared" si="3"/>
        <v>1149750</v>
      </c>
      <c r="S33" s="100"/>
      <c r="T33" s="31">
        <f t="shared" si="6"/>
        <v>0</v>
      </c>
      <c r="U33" s="74"/>
      <c r="V33" s="31">
        <f t="shared" si="7"/>
        <v>0</v>
      </c>
      <c r="W33" s="31">
        <f t="shared" si="8"/>
        <v>30660</v>
      </c>
      <c r="X33" s="46">
        <f t="shared" si="9"/>
        <v>1180410</v>
      </c>
      <c r="Y33" s="11" t="str">
        <f t="shared" si="4"/>
        <v>22</v>
      </c>
      <c r="Z33" s="125" t="s">
        <v>828</v>
      </c>
      <c r="AA33" s="322" t="s">
        <v>791</v>
      </c>
    </row>
    <row r="34" spans="1:29" s="108" customFormat="1" ht="20.25" customHeight="1">
      <c r="A34" s="20" t="s">
        <v>1143</v>
      </c>
      <c r="B34" s="33" t="s">
        <v>1243</v>
      </c>
      <c r="C34" s="34" t="s">
        <v>996</v>
      </c>
      <c r="D34" s="10" t="s">
        <v>252</v>
      </c>
      <c r="E34" s="75" t="s">
        <v>36</v>
      </c>
      <c r="F34" s="10">
        <v>2.67</v>
      </c>
      <c r="G34" s="45"/>
      <c r="H34" s="81">
        <f t="shared" si="5"/>
        <v>2.67</v>
      </c>
      <c r="I34" s="10">
        <v>0.15</v>
      </c>
      <c r="J34" s="83">
        <f t="shared" si="0"/>
        <v>2.82</v>
      </c>
      <c r="K34" s="31">
        <f t="shared" si="1"/>
        <v>2961000</v>
      </c>
      <c r="L34" s="321" t="s">
        <v>858</v>
      </c>
      <c r="M34" s="31">
        <f t="shared" si="10"/>
        <v>1480500</v>
      </c>
      <c r="N34" s="147">
        <f t="shared" si="11"/>
        <v>1050000</v>
      </c>
      <c r="O34" s="146">
        <v>26</v>
      </c>
      <c r="P34" s="10">
        <v>26</v>
      </c>
      <c r="Q34" s="173">
        <f t="shared" si="2"/>
        <v>1480500</v>
      </c>
      <c r="R34" s="31">
        <f t="shared" si="3"/>
        <v>1480500</v>
      </c>
      <c r="S34" s="100"/>
      <c r="T34" s="31">
        <f t="shared" si="6"/>
        <v>0</v>
      </c>
      <c r="U34" s="74"/>
      <c r="V34" s="31">
        <f t="shared" si="7"/>
        <v>0</v>
      </c>
      <c r="W34" s="31">
        <f t="shared" si="8"/>
        <v>29610</v>
      </c>
      <c r="X34" s="148">
        <f t="shared" si="9"/>
        <v>1510110</v>
      </c>
      <c r="Y34" s="11" t="str">
        <f t="shared" si="4"/>
        <v>23</v>
      </c>
      <c r="Z34" s="125"/>
    </row>
    <row r="35" spans="1:29" s="108" customFormat="1" ht="20.25" customHeight="1">
      <c r="A35" s="20" t="s">
        <v>1144</v>
      </c>
      <c r="B35" s="33" t="s">
        <v>1244</v>
      </c>
      <c r="C35" s="34" t="s">
        <v>1106</v>
      </c>
      <c r="D35" s="10" t="s">
        <v>253</v>
      </c>
      <c r="E35" s="75" t="s">
        <v>37</v>
      </c>
      <c r="F35" s="10">
        <v>2.67</v>
      </c>
      <c r="G35" s="45"/>
      <c r="H35" s="81">
        <f t="shared" si="5"/>
        <v>2.67</v>
      </c>
      <c r="I35" s="10"/>
      <c r="J35" s="83">
        <f t="shared" si="0"/>
        <v>2.67</v>
      </c>
      <c r="K35" s="31">
        <f t="shared" si="1"/>
        <v>2803500</v>
      </c>
      <c r="L35" s="321" t="s">
        <v>858</v>
      </c>
      <c r="M35" s="31">
        <f t="shared" si="10"/>
        <v>1401750</v>
      </c>
      <c r="N35" s="31">
        <f t="shared" si="11"/>
        <v>1050000</v>
      </c>
      <c r="O35" s="146">
        <v>26</v>
      </c>
      <c r="P35" s="10">
        <v>26</v>
      </c>
      <c r="Q35" s="173">
        <f t="shared" si="2"/>
        <v>1401750</v>
      </c>
      <c r="R35" s="31">
        <f t="shared" si="3"/>
        <v>1401750</v>
      </c>
      <c r="S35" s="100"/>
      <c r="T35" s="31">
        <f t="shared" si="6"/>
        <v>0</v>
      </c>
      <c r="U35" s="74"/>
      <c r="V35" s="31">
        <f t="shared" si="7"/>
        <v>0</v>
      </c>
      <c r="W35" s="31">
        <f t="shared" si="8"/>
        <v>28035</v>
      </c>
      <c r="X35" s="46">
        <f t="shared" si="9"/>
        <v>1429785</v>
      </c>
      <c r="Y35" s="11" t="str">
        <f t="shared" si="4"/>
        <v>24</v>
      </c>
      <c r="Z35" s="125"/>
    </row>
    <row r="36" spans="1:29" s="108" customFormat="1" ht="15.75">
      <c r="A36" s="20" t="s">
        <v>1145</v>
      </c>
      <c r="B36" s="33" t="s">
        <v>1245</v>
      </c>
      <c r="C36" s="34" t="s">
        <v>865</v>
      </c>
      <c r="D36" s="10" t="s">
        <v>254</v>
      </c>
      <c r="E36" s="75" t="s">
        <v>38</v>
      </c>
      <c r="F36" s="10">
        <v>2.67</v>
      </c>
      <c r="G36" s="45"/>
      <c r="H36" s="81">
        <f t="shared" si="5"/>
        <v>2.67</v>
      </c>
      <c r="I36" s="10"/>
      <c r="J36" s="83">
        <f t="shared" si="0"/>
        <v>2.67</v>
      </c>
      <c r="K36" s="31">
        <f t="shared" si="1"/>
        <v>2803500</v>
      </c>
      <c r="L36" s="321" t="s">
        <v>858</v>
      </c>
      <c r="M36" s="31">
        <f t="shared" si="10"/>
        <v>1401750</v>
      </c>
      <c r="N36" s="147">
        <f t="shared" si="11"/>
        <v>1050000</v>
      </c>
      <c r="O36" s="146">
        <v>26</v>
      </c>
      <c r="P36" s="10">
        <v>26</v>
      </c>
      <c r="Q36" s="173">
        <f t="shared" si="2"/>
        <v>1401750</v>
      </c>
      <c r="R36" s="31">
        <f t="shared" si="3"/>
        <v>1401750</v>
      </c>
      <c r="S36" s="100"/>
      <c r="T36" s="31">
        <f t="shared" si="6"/>
        <v>0</v>
      </c>
      <c r="U36" s="74"/>
      <c r="V36" s="31">
        <f t="shared" si="7"/>
        <v>0</v>
      </c>
      <c r="W36" s="31">
        <f t="shared" si="8"/>
        <v>28035</v>
      </c>
      <c r="X36" s="148">
        <f t="shared" si="9"/>
        <v>1429785</v>
      </c>
      <c r="Y36" s="11" t="str">
        <f t="shared" si="4"/>
        <v>25</v>
      </c>
      <c r="Z36" s="246"/>
    </row>
    <row r="37" spans="1:29" s="108" customFormat="1" ht="19.5" customHeight="1">
      <c r="A37" s="20" t="s">
        <v>1146</v>
      </c>
      <c r="B37" s="33" t="s">
        <v>1246</v>
      </c>
      <c r="C37" s="34" t="s">
        <v>1219</v>
      </c>
      <c r="D37" s="10" t="s">
        <v>255</v>
      </c>
      <c r="E37" s="75" t="s">
        <v>39</v>
      </c>
      <c r="F37" s="10">
        <v>3</v>
      </c>
      <c r="G37" s="45"/>
      <c r="H37" s="81">
        <f t="shared" si="5"/>
        <v>3</v>
      </c>
      <c r="I37" s="10"/>
      <c r="J37" s="83">
        <f t="shared" si="0"/>
        <v>3</v>
      </c>
      <c r="K37" s="31">
        <f t="shared" si="1"/>
        <v>3150000</v>
      </c>
      <c r="L37" s="321" t="s">
        <v>858</v>
      </c>
      <c r="M37" s="31">
        <f t="shared" si="10"/>
        <v>1575000</v>
      </c>
      <c r="N37" s="31">
        <f t="shared" si="11"/>
        <v>1050000</v>
      </c>
      <c r="O37" s="146">
        <v>26</v>
      </c>
      <c r="P37" s="10">
        <v>26</v>
      </c>
      <c r="Q37" s="173">
        <f t="shared" si="2"/>
        <v>1575000</v>
      </c>
      <c r="R37" s="31">
        <f t="shared" si="3"/>
        <v>1575000</v>
      </c>
      <c r="S37" s="100"/>
      <c r="T37" s="31">
        <f t="shared" si="6"/>
        <v>0</v>
      </c>
      <c r="U37" s="74"/>
      <c r="V37" s="31">
        <f t="shared" si="7"/>
        <v>0</v>
      </c>
      <c r="W37" s="31">
        <f t="shared" si="8"/>
        <v>31500</v>
      </c>
      <c r="X37" s="46">
        <f t="shared" si="9"/>
        <v>1606500</v>
      </c>
      <c r="Y37" s="11" t="str">
        <f t="shared" si="4"/>
        <v>26</v>
      </c>
      <c r="Z37" s="125"/>
    </row>
    <row r="38" spans="1:29" s="108" customFormat="1" ht="25.5">
      <c r="A38" s="254" t="s">
        <v>1147</v>
      </c>
      <c r="B38" s="227" t="s">
        <v>44</v>
      </c>
      <c r="C38" s="228" t="s">
        <v>1203</v>
      </c>
      <c r="D38" s="231" t="s">
        <v>256</v>
      </c>
      <c r="E38" s="230" t="s">
        <v>43</v>
      </c>
      <c r="F38" s="255">
        <v>3.66</v>
      </c>
      <c r="G38" s="256"/>
      <c r="H38" s="233">
        <f>F38+(F38*G38)</f>
        <v>3.66</v>
      </c>
      <c r="I38" s="231"/>
      <c r="J38" s="255">
        <f t="shared" si="0"/>
        <v>3.66</v>
      </c>
      <c r="K38" s="235">
        <f>J38*$I$8</f>
        <v>3843000</v>
      </c>
      <c r="L38" s="321" t="s">
        <v>785</v>
      </c>
      <c r="M38" s="31">
        <f t="shared" si="10"/>
        <v>0</v>
      </c>
      <c r="N38" s="264">
        <f t="shared" si="11"/>
        <v>0</v>
      </c>
      <c r="O38" s="269">
        <v>0</v>
      </c>
      <c r="P38" s="231">
        <v>0</v>
      </c>
      <c r="Q38" s="257">
        <f t="shared" si="2"/>
        <v>0</v>
      </c>
      <c r="R38" s="235">
        <f t="shared" si="3"/>
        <v>0</v>
      </c>
      <c r="S38" s="258"/>
      <c r="T38" s="235">
        <f t="shared" si="6"/>
        <v>0</v>
      </c>
      <c r="U38" s="239"/>
      <c r="V38" s="235">
        <f t="shared" si="7"/>
        <v>0</v>
      </c>
      <c r="W38" s="235">
        <v>0</v>
      </c>
      <c r="X38" s="265">
        <f t="shared" si="9"/>
        <v>0</v>
      </c>
      <c r="Y38" s="241" t="str">
        <f t="shared" si="4"/>
        <v>27</v>
      </c>
      <c r="Z38" s="259" t="s">
        <v>776</v>
      </c>
    </row>
    <row r="39" spans="1:29" s="108" customFormat="1" ht="19.5" customHeight="1">
      <c r="A39" s="20" t="s">
        <v>1148</v>
      </c>
      <c r="B39" s="33" t="s">
        <v>298</v>
      </c>
      <c r="C39" s="34" t="s">
        <v>49</v>
      </c>
      <c r="D39" s="10" t="s">
        <v>348</v>
      </c>
      <c r="E39" s="102">
        <v>1603205183170</v>
      </c>
      <c r="F39" s="83">
        <v>2.34</v>
      </c>
      <c r="G39" s="45"/>
      <c r="H39" s="81">
        <f>F39+(F39*G39)</f>
        <v>2.34</v>
      </c>
      <c r="I39" s="10"/>
      <c r="J39" s="83">
        <f t="shared" si="0"/>
        <v>2.34</v>
      </c>
      <c r="K39" s="31">
        <f>J39*$I$8</f>
        <v>2457000</v>
      </c>
      <c r="L39" s="321" t="s">
        <v>858</v>
      </c>
      <c r="M39" s="31">
        <f t="shared" si="10"/>
        <v>1228500</v>
      </c>
      <c r="N39" s="31">
        <f t="shared" si="11"/>
        <v>1050000</v>
      </c>
      <c r="O39" s="146">
        <v>26</v>
      </c>
      <c r="P39" s="10">
        <v>26</v>
      </c>
      <c r="Q39" s="173">
        <f t="shared" si="2"/>
        <v>1228500</v>
      </c>
      <c r="R39" s="31">
        <f t="shared" si="3"/>
        <v>1228500</v>
      </c>
      <c r="S39" s="100"/>
      <c r="T39" s="31">
        <f t="shared" si="6"/>
        <v>0</v>
      </c>
      <c r="U39" s="74"/>
      <c r="V39" s="31">
        <f t="shared" si="7"/>
        <v>0</v>
      </c>
      <c r="W39" s="31">
        <f t="shared" si="8"/>
        <v>24570</v>
      </c>
      <c r="X39" s="46">
        <f t="shared" si="9"/>
        <v>1253070</v>
      </c>
      <c r="Y39" s="11" t="str">
        <f t="shared" si="4"/>
        <v>28</v>
      </c>
      <c r="Z39" s="125"/>
    </row>
    <row r="40" spans="1:29" s="108" customFormat="1" ht="19.5" customHeight="1">
      <c r="A40" s="20" t="s">
        <v>1149</v>
      </c>
      <c r="B40" s="33" t="s">
        <v>299</v>
      </c>
      <c r="C40" s="34" t="s">
        <v>974</v>
      </c>
      <c r="D40" s="10" t="s">
        <v>349</v>
      </c>
      <c r="E40" s="102">
        <v>1603205183062</v>
      </c>
      <c r="F40" s="83">
        <v>2.34</v>
      </c>
      <c r="G40" s="45"/>
      <c r="H40" s="81">
        <f t="shared" ref="H40:H60" si="12">F40+(F40*G40)</f>
        <v>2.34</v>
      </c>
      <c r="I40" s="10"/>
      <c r="J40" s="83">
        <f t="shared" si="0"/>
        <v>2.34</v>
      </c>
      <c r="K40" s="31">
        <f t="shared" ref="K40:K71" si="13">J40*$I$8</f>
        <v>2457000</v>
      </c>
      <c r="L40" s="321" t="s">
        <v>858</v>
      </c>
      <c r="M40" s="31">
        <f t="shared" si="10"/>
        <v>1228500</v>
      </c>
      <c r="N40" s="147">
        <f t="shared" si="11"/>
        <v>1050000</v>
      </c>
      <c r="O40" s="146">
        <v>26</v>
      </c>
      <c r="P40" s="10">
        <v>25</v>
      </c>
      <c r="Q40" s="173">
        <f t="shared" si="2"/>
        <v>1228500</v>
      </c>
      <c r="R40" s="31">
        <f t="shared" si="3"/>
        <v>1181250</v>
      </c>
      <c r="S40" s="100"/>
      <c r="T40" s="31">
        <f t="shared" si="6"/>
        <v>0</v>
      </c>
      <c r="U40" s="74"/>
      <c r="V40" s="31">
        <f t="shared" si="7"/>
        <v>0</v>
      </c>
      <c r="W40" s="31">
        <f t="shared" si="8"/>
        <v>24570</v>
      </c>
      <c r="X40" s="148">
        <f t="shared" si="9"/>
        <v>1205820</v>
      </c>
      <c r="Y40" s="11" t="str">
        <f t="shared" si="4"/>
        <v>29</v>
      </c>
      <c r="Z40" s="125" t="s">
        <v>783</v>
      </c>
    </row>
    <row r="41" spans="1:29" s="108" customFormat="1" ht="24" customHeight="1">
      <c r="A41" s="20" t="s">
        <v>1150</v>
      </c>
      <c r="B41" s="33" t="s">
        <v>300</v>
      </c>
      <c r="C41" s="34" t="s">
        <v>883</v>
      </c>
      <c r="D41" s="10" t="s">
        <v>350</v>
      </c>
      <c r="E41" s="102">
        <v>1603205246105</v>
      </c>
      <c r="F41" s="83">
        <v>2.34</v>
      </c>
      <c r="G41" s="45"/>
      <c r="H41" s="81">
        <f t="shared" si="12"/>
        <v>2.34</v>
      </c>
      <c r="I41" s="10"/>
      <c r="J41" s="83">
        <f t="shared" si="0"/>
        <v>2.34</v>
      </c>
      <c r="K41" s="31">
        <f t="shared" si="13"/>
        <v>2457000</v>
      </c>
      <c r="L41" s="321" t="s">
        <v>858</v>
      </c>
      <c r="M41" s="31">
        <f t="shared" si="10"/>
        <v>1228500</v>
      </c>
      <c r="N41" s="31">
        <f t="shared" si="11"/>
        <v>1050000</v>
      </c>
      <c r="O41" s="146">
        <v>26</v>
      </c>
      <c r="P41" s="10">
        <v>26</v>
      </c>
      <c r="Q41" s="173">
        <f t="shared" si="2"/>
        <v>1228500</v>
      </c>
      <c r="R41" s="31">
        <f t="shared" si="3"/>
        <v>1228500</v>
      </c>
      <c r="S41" s="100"/>
      <c r="T41" s="31">
        <f t="shared" si="6"/>
        <v>0</v>
      </c>
      <c r="U41" s="74"/>
      <c r="V41" s="31">
        <f t="shared" si="7"/>
        <v>0</v>
      </c>
      <c r="W41" s="31">
        <f t="shared" si="8"/>
        <v>24570</v>
      </c>
      <c r="X41" s="46">
        <f t="shared" si="9"/>
        <v>1253070</v>
      </c>
      <c r="Y41" s="11" t="str">
        <f t="shared" si="4"/>
        <v>30</v>
      </c>
      <c r="Z41" s="125"/>
    </row>
    <row r="42" spans="1:29" s="108" customFormat="1" ht="25.5">
      <c r="A42" s="20" t="s">
        <v>1151</v>
      </c>
      <c r="B42" s="33" t="s">
        <v>301</v>
      </c>
      <c r="C42" s="34" t="s">
        <v>292</v>
      </c>
      <c r="D42" s="10" t="s">
        <v>351</v>
      </c>
      <c r="E42" s="75" t="s">
        <v>397</v>
      </c>
      <c r="F42" s="83">
        <v>2.34</v>
      </c>
      <c r="G42" s="45"/>
      <c r="H42" s="81">
        <f t="shared" si="12"/>
        <v>2.34</v>
      </c>
      <c r="I42" s="10">
        <v>0.15</v>
      </c>
      <c r="J42" s="83">
        <f t="shared" si="0"/>
        <v>2.4899999999999998</v>
      </c>
      <c r="K42" s="31">
        <f t="shared" si="13"/>
        <v>2614499.9999999995</v>
      </c>
      <c r="L42" s="321" t="s">
        <v>858</v>
      </c>
      <c r="M42" s="31">
        <f t="shared" si="10"/>
        <v>1307249.9999999998</v>
      </c>
      <c r="N42" s="147">
        <f t="shared" si="11"/>
        <v>1050000</v>
      </c>
      <c r="O42" s="146">
        <v>26</v>
      </c>
      <c r="P42" s="10">
        <v>2</v>
      </c>
      <c r="Q42" s="173">
        <f t="shared" si="2"/>
        <v>1307249.9999999998</v>
      </c>
      <c r="R42" s="31">
        <f t="shared" si="3"/>
        <v>100558</v>
      </c>
      <c r="S42" s="100"/>
      <c r="T42" s="31">
        <f t="shared" si="6"/>
        <v>0</v>
      </c>
      <c r="U42" s="74"/>
      <c r="V42" s="31">
        <f t="shared" si="7"/>
        <v>0</v>
      </c>
      <c r="W42" s="31">
        <f t="shared" si="8"/>
        <v>26144.999999999996</v>
      </c>
      <c r="X42" s="148">
        <f t="shared" si="9"/>
        <v>126703</v>
      </c>
      <c r="Y42" s="11" t="str">
        <f t="shared" si="4"/>
        <v>31</v>
      </c>
      <c r="Z42" s="125" t="s">
        <v>796</v>
      </c>
    </row>
    <row r="43" spans="1:29" s="108" customFormat="1" ht="19.5" customHeight="1">
      <c r="A43" s="20" t="s">
        <v>1152</v>
      </c>
      <c r="B43" s="33" t="s">
        <v>1234</v>
      </c>
      <c r="C43" s="34" t="s">
        <v>293</v>
      </c>
      <c r="D43" s="10" t="s">
        <v>352</v>
      </c>
      <c r="E43" s="75" t="s">
        <v>398</v>
      </c>
      <c r="F43" s="83">
        <v>2.34</v>
      </c>
      <c r="G43" s="45"/>
      <c r="H43" s="81">
        <f t="shared" si="12"/>
        <v>2.34</v>
      </c>
      <c r="I43" s="10"/>
      <c r="J43" s="83">
        <f t="shared" si="0"/>
        <v>2.34</v>
      </c>
      <c r="K43" s="31">
        <f t="shared" si="13"/>
        <v>2457000</v>
      </c>
      <c r="L43" s="321" t="s">
        <v>858</v>
      </c>
      <c r="M43" s="31">
        <f t="shared" si="10"/>
        <v>1228500</v>
      </c>
      <c r="N43" s="31">
        <f t="shared" si="11"/>
        <v>1050000</v>
      </c>
      <c r="O43" s="146">
        <v>26</v>
      </c>
      <c r="P43" s="10">
        <v>26</v>
      </c>
      <c r="Q43" s="173">
        <f t="shared" si="2"/>
        <v>1228500</v>
      </c>
      <c r="R43" s="31">
        <f t="shared" si="3"/>
        <v>1228500</v>
      </c>
      <c r="S43" s="100"/>
      <c r="T43" s="31">
        <f t="shared" si="6"/>
        <v>0</v>
      </c>
      <c r="U43" s="74"/>
      <c r="V43" s="31">
        <f t="shared" si="7"/>
        <v>0</v>
      </c>
      <c r="W43" s="31">
        <f t="shared" si="8"/>
        <v>24570</v>
      </c>
      <c r="X43" s="46">
        <f t="shared" si="9"/>
        <v>1253070</v>
      </c>
      <c r="Y43" s="11" t="str">
        <f t="shared" si="4"/>
        <v>32</v>
      </c>
      <c r="Z43" s="125"/>
    </row>
    <row r="44" spans="1:29" s="108" customFormat="1" ht="15.75">
      <c r="A44" s="20" t="s">
        <v>1153</v>
      </c>
      <c r="B44" s="33" t="s">
        <v>302</v>
      </c>
      <c r="C44" s="34" t="s">
        <v>283</v>
      </c>
      <c r="D44" s="10" t="s">
        <v>353</v>
      </c>
      <c r="E44" s="75" t="s">
        <v>399</v>
      </c>
      <c r="F44" s="83">
        <v>2.34</v>
      </c>
      <c r="G44" s="45"/>
      <c r="H44" s="81">
        <f t="shared" si="12"/>
        <v>2.34</v>
      </c>
      <c r="I44" s="10"/>
      <c r="J44" s="83">
        <f t="shared" si="0"/>
        <v>2.34</v>
      </c>
      <c r="K44" s="31">
        <f t="shared" si="13"/>
        <v>2457000</v>
      </c>
      <c r="L44" s="321" t="s">
        <v>858</v>
      </c>
      <c r="M44" s="31">
        <f t="shared" si="10"/>
        <v>1228500</v>
      </c>
      <c r="N44" s="147">
        <f t="shared" si="11"/>
        <v>1050000</v>
      </c>
      <c r="O44" s="146">
        <v>26</v>
      </c>
      <c r="P44" s="10">
        <v>26</v>
      </c>
      <c r="Q44" s="173">
        <f t="shared" si="2"/>
        <v>1228500</v>
      </c>
      <c r="R44" s="31">
        <f t="shared" si="3"/>
        <v>1228500</v>
      </c>
      <c r="S44" s="100"/>
      <c r="T44" s="31">
        <f t="shared" si="6"/>
        <v>0</v>
      </c>
      <c r="U44" s="74"/>
      <c r="V44" s="31">
        <f t="shared" si="7"/>
        <v>0</v>
      </c>
      <c r="W44" s="31">
        <f t="shared" si="8"/>
        <v>24570</v>
      </c>
      <c r="X44" s="148">
        <f t="shared" si="9"/>
        <v>1253070</v>
      </c>
      <c r="Y44" s="11" t="str">
        <f t="shared" si="4"/>
        <v>33</v>
      </c>
      <c r="Z44" s="125"/>
    </row>
    <row r="45" spans="1:29" s="108" customFormat="1" ht="18.75" customHeight="1">
      <c r="A45" s="20" t="s">
        <v>1154</v>
      </c>
      <c r="B45" s="33" t="s">
        <v>890</v>
      </c>
      <c r="C45" s="34" t="s">
        <v>294</v>
      </c>
      <c r="D45" s="10" t="s">
        <v>354</v>
      </c>
      <c r="E45" s="75" t="s">
        <v>400</v>
      </c>
      <c r="F45" s="83">
        <v>2.34</v>
      </c>
      <c r="G45" s="45"/>
      <c r="H45" s="81">
        <f t="shared" si="12"/>
        <v>2.34</v>
      </c>
      <c r="I45" s="10"/>
      <c r="J45" s="83">
        <f t="shared" si="0"/>
        <v>2.34</v>
      </c>
      <c r="K45" s="31">
        <f t="shared" si="13"/>
        <v>2457000</v>
      </c>
      <c r="L45" s="321" t="s">
        <v>858</v>
      </c>
      <c r="M45" s="31">
        <f t="shared" si="10"/>
        <v>1228500</v>
      </c>
      <c r="N45" s="31">
        <f t="shared" si="11"/>
        <v>1050000</v>
      </c>
      <c r="O45" s="146">
        <v>26</v>
      </c>
      <c r="P45" s="10">
        <v>26</v>
      </c>
      <c r="Q45" s="173">
        <f t="shared" si="2"/>
        <v>1228500</v>
      </c>
      <c r="R45" s="31">
        <f t="shared" si="3"/>
        <v>1228500</v>
      </c>
      <c r="S45" s="100"/>
      <c r="T45" s="31">
        <f t="shared" si="6"/>
        <v>0</v>
      </c>
      <c r="U45" s="74"/>
      <c r="V45" s="31">
        <f t="shared" si="7"/>
        <v>0</v>
      </c>
      <c r="W45" s="31">
        <f t="shared" si="8"/>
        <v>24570</v>
      </c>
      <c r="X45" s="46">
        <f t="shared" si="9"/>
        <v>1253070</v>
      </c>
      <c r="Y45" s="11" t="str">
        <f t="shared" si="4"/>
        <v>34</v>
      </c>
      <c r="Z45" s="125"/>
    </row>
    <row r="46" spans="1:29" s="108" customFormat="1" ht="18.75" customHeight="1">
      <c r="A46" s="20" t="s">
        <v>1155</v>
      </c>
      <c r="B46" s="33" t="s">
        <v>1002</v>
      </c>
      <c r="C46" s="34" t="s">
        <v>295</v>
      </c>
      <c r="D46" s="10" t="s">
        <v>355</v>
      </c>
      <c r="E46" s="75" t="s">
        <v>401</v>
      </c>
      <c r="F46" s="83">
        <v>2.34</v>
      </c>
      <c r="G46" s="45"/>
      <c r="H46" s="81">
        <f t="shared" si="12"/>
        <v>2.34</v>
      </c>
      <c r="I46" s="10"/>
      <c r="J46" s="83">
        <f t="shared" si="0"/>
        <v>2.34</v>
      </c>
      <c r="K46" s="31">
        <f t="shared" si="13"/>
        <v>2457000</v>
      </c>
      <c r="L46" s="321" t="s">
        <v>858</v>
      </c>
      <c r="M46" s="31">
        <f t="shared" si="10"/>
        <v>1228500</v>
      </c>
      <c r="N46" s="147">
        <f t="shared" si="11"/>
        <v>1050000</v>
      </c>
      <c r="O46" s="146">
        <v>26</v>
      </c>
      <c r="P46" s="10">
        <v>26</v>
      </c>
      <c r="Q46" s="173">
        <f t="shared" si="2"/>
        <v>1228500</v>
      </c>
      <c r="R46" s="31">
        <f t="shared" si="3"/>
        <v>1228500</v>
      </c>
      <c r="S46" s="100"/>
      <c r="T46" s="31">
        <f t="shared" si="6"/>
        <v>0</v>
      </c>
      <c r="U46" s="74"/>
      <c r="V46" s="31">
        <f t="shared" si="7"/>
        <v>0</v>
      </c>
      <c r="W46" s="31">
        <f t="shared" si="8"/>
        <v>24570</v>
      </c>
      <c r="X46" s="148">
        <f t="shared" si="9"/>
        <v>1253070</v>
      </c>
      <c r="Y46" s="11" t="str">
        <f t="shared" si="4"/>
        <v>35</v>
      </c>
      <c r="Z46" s="125"/>
    </row>
    <row r="47" spans="1:29" s="108" customFormat="1" ht="16.5" customHeight="1">
      <c r="A47" s="20" t="s">
        <v>1156</v>
      </c>
      <c r="B47" s="33" t="s">
        <v>303</v>
      </c>
      <c r="C47" s="34" t="s">
        <v>296</v>
      </c>
      <c r="D47" s="10" t="s">
        <v>356</v>
      </c>
      <c r="E47" s="75" t="s">
        <v>402</v>
      </c>
      <c r="F47" s="83">
        <v>2.67</v>
      </c>
      <c r="G47" s="45"/>
      <c r="H47" s="81">
        <f t="shared" si="12"/>
        <v>2.67</v>
      </c>
      <c r="I47" s="10"/>
      <c r="J47" s="83">
        <f t="shared" si="0"/>
        <v>2.67</v>
      </c>
      <c r="K47" s="31">
        <f t="shared" si="13"/>
        <v>2803500</v>
      </c>
      <c r="L47" s="321" t="s">
        <v>858</v>
      </c>
      <c r="M47" s="31">
        <f t="shared" si="10"/>
        <v>1401750</v>
      </c>
      <c r="N47" s="31">
        <f t="shared" si="11"/>
        <v>1050000</v>
      </c>
      <c r="O47" s="146">
        <v>26</v>
      </c>
      <c r="P47" s="10">
        <v>26</v>
      </c>
      <c r="Q47" s="173">
        <f t="shared" si="2"/>
        <v>1401750</v>
      </c>
      <c r="R47" s="31">
        <f t="shared" si="3"/>
        <v>1401750</v>
      </c>
      <c r="S47" s="100"/>
      <c r="T47" s="31">
        <f t="shared" si="6"/>
        <v>0</v>
      </c>
      <c r="U47" s="74"/>
      <c r="V47" s="31">
        <f t="shared" si="7"/>
        <v>0</v>
      </c>
      <c r="W47" s="31">
        <f t="shared" si="8"/>
        <v>28035</v>
      </c>
      <c r="X47" s="46">
        <f t="shared" si="9"/>
        <v>1429785</v>
      </c>
      <c r="Y47" s="11" t="str">
        <f t="shared" si="4"/>
        <v>36</v>
      </c>
      <c r="Z47" s="125"/>
    </row>
    <row r="48" spans="1:29" s="108" customFormat="1" ht="19.5" customHeight="1">
      <c r="A48" s="20" t="s">
        <v>1157</v>
      </c>
      <c r="B48" s="33" t="s">
        <v>304</v>
      </c>
      <c r="C48" s="34" t="s">
        <v>863</v>
      </c>
      <c r="D48" s="10" t="s">
        <v>357</v>
      </c>
      <c r="E48" s="75" t="s">
        <v>403</v>
      </c>
      <c r="F48" s="83">
        <v>2.34</v>
      </c>
      <c r="G48" s="45"/>
      <c r="H48" s="81">
        <f t="shared" si="12"/>
        <v>2.34</v>
      </c>
      <c r="I48" s="10"/>
      <c r="J48" s="83">
        <f t="shared" si="0"/>
        <v>2.34</v>
      </c>
      <c r="K48" s="31">
        <f t="shared" si="13"/>
        <v>2457000</v>
      </c>
      <c r="L48" s="321" t="s">
        <v>858</v>
      </c>
      <c r="M48" s="31">
        <f t="shared" si="10"/>
        <v>1228500</v>
      </c>
      <c r="N48" s="147">
        <f t="shared" si="11"/>
        <v>1050000</v>
      </c>
      <c r="O48" s="146">
        <v>26</v>
      </c>
      <c r="P48" s="10">
        <v>26</v>
      </c>
      <c r="Q48" s="173">
        <f t="shared" si="2"/>
        <v>1228500</v>
      </c>
      <c r="R48" s="31">
        <f t="shared" si="3"/>
        <v>1228500</v>
      </c>
      <c r="S48" s="100"/>
      <c r="T48" s="31">
        <f t="shared" si="6"/>
        <v>0</v>
      </c>
      <c r="U48" s="74"/>
      <c r="V48" s="31">
        <f t="shared" si="7"/>
        <v>0</v>
      </c>
      <c r="W48" s="31">
        <f t="shared" si="8"/>
        <v>24570</v>
      </c>
      <c r="X48" s="148">
        <f t="shared" si="9"/>
        <v>1253070</v>
      </c>
      <c r="Y48" s="11" t="str">
        <f t="shared" si="4"/>
        <v>37</v>
      </c>
      <c r="Z48" s="125"/>
      <c r="AA48" s="125"/>
      <c r="AC48" s="141"/>
    </row>
    <row r="49" spans="1:29" s="108" customFormat="1" ht="21.75" customHeight="1">
      <c r="A49" s="20" t="s">
        <v>1158</v>
      </c>
      <c r="B49" s="33" t="s">
        <v>305</v>
      </c>
      <c r="C49" s="34" t="s">
        <v>966</v>
      </c>
      <c r="D49" s="10" t="s">
        <v>358</v>
      </c>
      <c r="E49" s="75" t="s">
        <v>404</v>
      </c>
      <c r="F49" s="83">
        <v>2.34</v>
      </c>
      <c r="G49" s="45"/>
      <c r="H49" s="81">
        <f t="shared" si="12"/>
        <v>2.34</v>
      </c>
      <c r="I49" s="10"/>
      <c r="J49" s="83">
        <f t="shared" si="0"/>
        <v>2.34</v>
      </c>
      <c r="K49" s="31">
        <f t="shared" si="13"/>
        <v>2457000</v>
      </c>
      <c r="L49" s="321" t="s">
        <v>858</v>
      </c>
      <c r="M49" s="31">
        <f t="shared" si="10"/>
        <v>1228500</v>
      </c>
      <c r="N49" s="31">
        <f t="shared" si="11"/>
        <v>1050000</v>
      </c>
      <c r="O49" s="146">
        <v>26</v>
      </c>
      <c r="P49" s="10">
        <v>26</v>
      </c>
      <c r="Q49" s="173">
        <f t="shared" si="2"/>
        <v>1228500</v>
      </c>
      <c r="R49" s="31">
        <f t="shared" si="3"/>
        <v>1228500</v>
      </c>
      <c r="S49" s="100"/>
      <c r="T49" s="31">
        <f t="shared" si="6"/>
        <v>0</v>
      </c>
      <c r="U49" s="74"/>
      <c r="V49" s="31">
        <f t="shared" si="7"/>
        <v>0</v>
      </c>
      <c r="W49" s="31">
        <f t="shared" si="8"/>
        <v>24570</v>
      </c>
      <c r="X49" s="46">
        <f t="shared" si="9"/>
        <v>1253070</v>
      </c>
      <c r="Y49" s="11" t="str">
        <f t="shared" si="4"/>
        <v>38</v>
      </c>
      <c r="Z49" s="125"/>
      <c r="AC49" s="141"/>
    </row>
    <row r="50" spans="1:29" s="108" customFormat="1" ht="18" customHeight="1">
      <c r="A50" s="20" t="s">
        <v>1159</v>
      </c>
      <c r="B50" s="33" t="s">
        <v>869</v>
      </c>
      <c r="C50" s="34" t="s">
        <v>297</v>
      </c>
      <c r="D50" s="10" t="s">
        <v>359</v>
      </c>
      <c r="E50" s="75" t="s">
        <v>405</v>
      </c>
      <c r="F50" s="83">
        <v>2.34</v>
      </c>
      <c r="G50" s="45"/>
      <c r="H50" s="81">
        <f t="shared" si="12"/>
        <v>2.34</v>
      </c>
      <c r="I50" s="10"/>
      <c r="J50" s="83">
        <f t="shared" si="0"/>
        <v>2.34</v>
      </c>
      <c r="K50" s="31">
        <f t="shared" si="13"/>
        <v>2457000</v>
      </c>
      <c r="L50" s="321" t="s">
        <v>858</v>
      </c>
      <c r="M50" s="31">
        <f t="shared" si="10"/>
        <v>1228500</v>
      </c>
      <c r="N50" s="147">
        <f t="shared" si="11"/>
        <v>1050000</v>
      </c>
      <c r="O50" s="146">
        <v>26</v>
      </c>
      <c r="P50" s="10">
        <v>26</v>
      </c>
      <c r="Q50" s="173">
        <f t="shared" si="2"/>
        <v>1228500</v>
      </c>
      <c r="R50" s="31">
        <f t="shared" si="3"/>
        <v>1228500</v>
      </c>
      <c r="S50" s="100"/>
      <c r="T50" s="31">
        <f t="shared" si="6"/>
        <v>0</v>
      </c>
      <c r="U50" s="74"/>
      <c r="V50" s="31">
        <f t="shared" si="7"/>
        <v>0</v>
      </c>
      <c r="W50" s="31">
        <f>(J50*$I$8*0.01)+(S50*$I$8*1%)+(U50*1%*$I$8)</f>
        <v>24570</v>
      </c>
      <c r="X50" s="148">
        <f t="shared" si="9"/>
        <v>1253070</v>
      </c>
      <c r="Y50" s="11" t="str">
        <f t="shared" si="4"/>
        <v>39</v>
      </c>
      <c r="Z50" s="125"/>
      <c r="AC50" s="141"/>
    </row>
    <row r="51" spans="1:29" s="108" customFormat="1" ht="15.75">
      <c r="A51" s="20" t="s">
        <v>1160</v>
      </c>
      <c r="B51" s="33" t="s">
        <v>1229</v>
      </c>
      <c r="C51" s="34" t="s">
        <v>1207</v>
      </c>
      <c r="D51" s="10" t="s">
        <v>360</v>
      </c>
      <c r="E51" s="75" t="s">
        <v>406</v>
      </c>
      <c r="F51" s="83">
        <v>2.34</v>
      </c>
      <c r="G51" s="45"/>
      <c r="H51" s="81">
        <f t="shared" si="12"/>
        <v>2.34</v>
      </c>
      <c r="I51" s="10"/>
      <c r="J51" s="83">
        <f t="shared" si="0"/>
        <v>2.34</v>
      </c>
      <c r="K51" s="31">
        <f t="shared" si="13"/>
        <v>2457000</v>
      </c>
      <c r="L51" s="321" t="s">
        <v>858</v>
      </c>
      <c r="M51" s="31">
        <f t="shared" si="10"/>
        <v>1228500</v>
      </c>
      <c r="N51" s="31">
        <f t="shared" si="11"/>
        <v>1050000</v>
      </c>
      <c r="O51" s="146">
        <v>26</v>
      </c>
      <c r="P51" s="10">
        <v>26</v>
      </c>
      <c r="Q51" s="173">
        <f>IF(M51&gt;N51,M51,N51)</f>
        <v>1228500</v>
      </c>
      <c r="R51" s="31">
        <f t="shared" si="3"/>
        <v>1228500</v>
      </c>
      <c r="S51" s="100"/>
      <c r="T51" s="31">
        <f t="shared" si="6"/>
        <v>0</v>
      </c>
      <c r="U51" s="74"/>
      <c r="V51" s="31">
        <f t="shared" si="7"/>
        <v>0</v>
      </c>
      <c r="W51" s="31">
        <f t="shared" si="8"/>
        <v>24570</v>
      </c>
      <c r="X51" s="46">
        <f t="shared" si="9"/>
        <v>1253070</v>
      </c>
      <c r="Y51" s="11" t="str">
        <f t="shared" si="4"/>
        <v>40</v>
      </c>
      <c r="Z51" s="125"/>
      <c r="AC51" s="141"/>
    </row>
    <row r="52" spans="1:29" s="108" customFormat="1" ht="24" customHeight="1">
      <c r="A52" s="20" t="s">
        <v>1161</v>
      </c>
      <c r="B52" s="33" t="s">
        <v>306</v>
      </c>
      <c r="C52" s="34" t="s">
        <v>307</v>
      </c>
      <c r="D52" s="10" t="s">
        <v>361</v>
      </c>
      <c r="E52" s="75" t="s">
        <v>407</v>
      </c>
      <c r="F52" s="83">
        <v>2.34</v>
      </c>
      <c r="G52" s="45"/>
      <c r="H52" s="81">
        <f t="shared" si="12"/>
        <v>2.34</v>
      </c>
      <c r="I52" s="10"/>
      <c r="J52" s="83">
        <f t="shared" si="0"/>
        <v>2.34</v>
      </c>
      <c r="K52" s="31">
        <f t="shared" si="13"/>
        <v>2457000</v>
      </c>
      <c r="L52" s="321" t="s">
        <v>858</v>
      </c>
      <c r="M52" s="31">
        <f t="shared" si="10"/>
        <v>1228500</v>
      </c>
      <c r="N52" s="147">
        <f t="shared" si="11"/>
        <v>1050000</v>
      </c>
      <c r="O52" s="146">
        <v>26</v>
      </c>
      <c r="P52" s="10">
        <v>26</v>
      </c>
      <c r="Q52" s="173">
        <f t="shared" si="2"/>
        <v>1228500</v>
      </c>
      <c r="R52" s="31">
        <f t="shared" si="3"/>
        <v>1228500</v>
      </c>
      <c r="S52" s="100"/>
      <c r="T52" s="31">
        <f t="shared" si="6"/>
        <v>0</v>
      </c>
      <c r="U52" s="74"/>
      <c r="V52" s="31">
        <f t="shared" si="7"/>
        <v>0</v>
      </c>
      <c r="W52" s="31">
        <f t="shared" si="8"/>
        <v>24570</v>
      </c>
      <c r="X52" s="148">
        <f t="shared" si="9"/>
        <v>1253070</v>
      </c>
      <c r="Y52" s="11" t="str">
        <f t="shared" si="4"/>
        <v>41</v>
      </c>
      <c r="Z52" s="125"/>
      <c r="AC52" s="141"/>
    </row>
    <row r="53" spans="1:29" s="108" customFormat="1" ht="18.75" customHeight="1">
      <c r="A53" s="20" t="s">
        <v>1162</v>
      </c>
      <c r="B53" s="33" t="s">
        <v>308</v>
      </c>
      <c r="C53" s="34" t="s">
        <v>917</v>
      </c>
      <c r="D53" s="10" t="s">
        <v>362</v>
      </c>
      <c r="E53" s="75" t="s">
        <v>408</v>
      </c>
      <c r="F53" s="83">
        <v>3.66</v>
      </c>
      <c r="G53" s="45"/>
      <c r="H53" s="81">
        <f t="shared" si="12"/>
        <v>3.66</v>
      </c>
      <c r="I53" s="10"/>
      <c r="J53" s="83">
        <f t="shared" si="0"/>
        <v>3.66</v>
      </c>
      <c r="K53" s="31">
        <f t="shared" si="13"/>
        <v>3843000</v>
      </c>
      <c r="L53" s="321" t="s">
        <v>858</v>
      </c>
      <c r="M53" s="31">
        <f t="shared" si="10"/>
        <v>1921500</v>
      </c>
      <c r="N53" s="31">
        <f t="shared" si="11"/>
        <v>1050000</v>
      </c>
      <c r="O53" s="146">
        <v>26</v>
      </c>
      <c r="P53" s="10">
        <v>26</v>
      </c>
      <c r="Q53" s="173">
        <f t="shared" si="2"/>
        <v>1921500</v>
      </c>
      <c r="R53" s="31">
        <f t="shared" si="3"/>
        <v>1921500</v>
      </c>
      <c r="S53" s="100"/>
      <c r="T53" s="31">
        <f t="shared" si="6"/>
        <v>0</v>
      </c>
      <c r="U53" s="74"/>
      <c r="V53" s="31">
        <f t="shared" si="7"/>
        <v>0</v>
      </c>
      <c r="W53" s="31">
        <f t="shared" si="8"/>
        <v>38430</v>
      </c>
      <c r="X53" s="46">
        <f t="shared" si="9"/>
        <v>1959930</v>
      </c>
      <c r="Y53" s="11" t="str">
        <f t="shared" si="4"/>
        <v>42</v>
      </c>
      <c r="Z53" s="125"/>
      <c r="AC53" s="141"/>
    </row>
    <row r="54" spans="1:29" s="108" customFormat="1" ht="18" customHeight="1">
      <c r="A54" s="20" t="s">
        <v>1163</v>
      </c>
      <c r="B54" s="33" t="s">
        <v>310</v>
      </c>
      <c r="C54" s="34" t="s">
        <v>309</v>
      </c>
      <c r="D54" s="10" t="s">
        <v>363</v>
      </c>
      <c r="E54" s="102">
        <v>1603205230627</v>
      </c>
      <c r="F54" s="83">
        <v>2.34</v>
      </c>
      <c r="G54" s="45"/>
      <c r="H54" s="81">
        <f t="shared" si="12"/>
        <v>2.34</v>
      </c>
      <c r="I54" s="10"/>
      <c r="J54" s="83">
        <f t="shared" si="0"/>
        <v>2.34</v>
      </c>
      <c r="K54" s="31">
        <f t="shared" si="13"/>
        <v>2457000</v>
      </c>
      <c r="L54" s="321" t="s">
        <v>858</v>
      </c>
      <c r="M54" s="31">
        <f t="shared" si="10"/>
        <v>1228500</v>
      </c>
      <c r="N54" s="147">
        <f t="shared" si="11"/>
        <v>1050000</v>
      </c>
      <c r="O54" s="146">
        <v>26</v>
      </c>
      <c r="P54" s="10">
        <v>26</v>
      </c>
      <c r="Q54" s="173">
        <f t="shared" si="2"/>
        <v>1228500</v>
      </c>
      <c r="R54" s="31">
        <f t="shared" si="3"/>
        <v>1228500</v>
      </c>
      <c r="S54" s="100"/>
      <c r="T54" s="31">
        <f t="shared" si="6"/>
        <v>0</v>
      </c>
      <c r="U54" s="74"/>
      <c r="V54" s="31">
        <f t="shared" si="7"/>
        <v>0</v>
      </c>
      <c r="W54" s="31">
        <f t="shared" si="8"/>
        <v>24570</v>
      </c>
      <c r="X54" s="148">
        <f t="shared" si="9"/>
        <v>1253070</v>
      </c>
      <c r="Y54" s="11" t="str">
        <f t="shared" si="4"/>
        <v>43</v>
      </c>
      <c r="Z54" s="125"/>
      <c r="AC54" s="141"/>
    </row>
    <row r="55" spans="1:29" s="108" customFormat="1" ht="16.5" customHeight="1">
      <c r="A55" s="20" t="s">
        <v>1164</v>
      </c>
      <c r="B55" s="33" t="s">
        <v>45</v>
      </c>
      <c r="C55" s="34" t="s">
        <v>923</v>
      </c>
      <c r="D55" s="113" t="s">
        <v>257</v>
      </c>
      <c r="E55" s="75" t="s">
        <v>46</v>
      </c>
      <c r="F55" s="83">
        <v>3.66</v>
      </c>
      <c r="G55" s="45"/>
      <c r="H55" s="81">
        <f t="shared" si="12"/>
        <v>3.66</v>
      </c>
      <c r="I55" s="10">
        <v>0.25</v>
      </c>
      <c r="J55" s="83">
        <f t="shared" si="0"/>
        <v>3.91</v>
      </c>
      <c r="K55" s="31">
        <f t="shared" si="13"/>
        <v>4105500</v>
      </c>
      <c r="L55" s="321" t="s">
        <v>858</v>
      </c>
      <c r="M55" s="31">
        <f t="shared" si="10"/>
        <v>2052750</v>
      </c>
      <c r="N55" s="31">
        <f t="shared" si="11"/>
        <v>1050000</v>
      </c>
      <c r="O55" s="146">
        <v>26</v>
      </c>
      <c r="P55" s="10">
        <v>26</v>
      </c>
      <c r="Q55" s="173">
        <f t="shared" si="2"/>
        <v>2052750</v>
      </c>
      <c r="R55" s="31">
        <f t="shared" si="3"/>
        <v>2052750</v>
      </c>
      <c r="S55" s="100"/>
      <c r="T55" s="31">
        <f t="shared" si="6"/>
        <v>0</v>
      </c>
      <c r="U55" s="74"/>
      <c r="V55" s="31">
        <f t="shared" si="7"/>
        <v>0</v>
      </c>
      <c r="W55" s="31">
        <f t="shared" si="8"/>
        <v>41055</v>
      </c>
      <c r="X55" s="46">
        <f t="shared" si="9"/>
        <v>2093805</v>
      </c>
      <c r="Y55" s="11" t="str">
        <f t="shared" si="4"/>
        <v>44</v>
      </c>
      <c r="Z55" s="125"/>
      <c r="AC55" s="141"/>
    </row>
    <row r="56" spans="1:29" s="287" customFormat="1" ht="18" customHeight="1">
      <c r="A56" s="270" t="s">
        <v>1165</v>
      </c>
      <c r="B56" s="271" t="s">
        <v>435</v>
      </c>
      <c r="C56" s="272" t="s">
        <v>436</v>
      </c>
      <c r="D56" s="273" t="s">
        <v>438</v>
      </c>
      <c r="E56" s="274" t="s">
        <v>437</v>
      </c>
      <c r="F56" s="275">
        <v>3</v>
      </c>
      <c r="G56" s="276"/>
      <c r="H56" s="277">
        <f t="shared" si="12"/>
        <v>3</v>
      </c>
      <c r="I56" s="278">
        <v>0.25</v>
      </c>
      <c r="J56" s="275">
        <f t="shared" si="0"/>
        <v>3.25</v>
      </c>
      <c r="K56" s="279">
        <f t="shared" si="13"/>
        <v>3412500</v>
      </c>
      <c r="L56" s="321" t="s">
        <v>858</v>
      </c>
      <c r="M56" s="31">
        <f t="shared" si="10"/>
        <v>1706250</v>
      </c>
      <c r="N56" s="280">
        <f t="shared" si="11"/>
        <v>1050000</v>
      </c>
      <c r="O56" s="269">
        <v>26</v>
      </c>
      <c r="P56" s="278">
        <v>26.5</v>
      </c>
      <c r="Q56" s="281">
        <f t="shared" si="2"/>
        <v>1706250</v>
      </c>
      <c r="R56" s="279">
        <f t="shared" si="3"/>
        <v>1706250</v>
      </c>
      <c r="S56" s="282"/>
      <c r="T56" s="279">
        <f t="shared" si="6"/>
        <v>0</v>
      </c>
      <c r="U56" s="283"/>
      <c r="V56" s="279">
        <f t="shared" si="7"/>
        <v>0</v>
      </c>
      <c r="W56" s="279">
        <f t="shared" si="8"/>
        <v>34125</v>
      </c>
      <c r="X56" s="284">
        <f t="shared" si="9"/>
        <v>1740375</v>
      </c>
      <c r="Y56" s="285" t="str">
        <f t="shared" si="4"/>
        <v>45</v>
      </c>
      <c r="Z56" s="286" t="s">
        <v>797</v>
      </c>
    </row>
    <row r="57" spans="1:29" s="108" customFormat="1" ht="19.5" customHeight="1">
      <c r="A57" s="20" t="s">
        <v>1166</v>
      </c>
      <c r="B57" s="33" t="s">
        <v>439</v>
      </c>
      <c r="C57" s="34" t="s">
        <v>440</v>
      </c>
      <c r="D57" s="113" t="s">
        <v>442</v>
      </c>
      <c r="E57" s="75" t="s">
        <v>441</v>
      </c>
      <c r="F57" s="83">
        <v>3</v>
      </c>
      <c r="G57" s="45"/>
      <c r="H57" s="81">
        <f t="shared" si="12"/>
        <v>3</v>
      </c>
      <c r="I57" s="10"/>
      <c r="J57" s="83">
        <f t="shared" si="0"/>
        <v>3</v>
      </c>
      <c r="K57" s="31">
        <f t="shared" si="13"/>
        <v>3150000</v>
      </c>
      <c r="L57" s="321" t="s">
        <v>858</v>
      </c>
      <c r="M57" s="31">
        <f t="shared" si="10"/>
        <v>1575000</v>
      </c>
      <c r="N57" s="31">
        <f t="shared" si="11"/>
        <v>1050000</v>
      </c>
      <c r="O57" s="146">
        <v>26</v>
      </c>
      <c r="P57" s="10">
        <v>26</v>
      </c>
      <c r="Q57" s="173">
        <f t="shared" si="2"/>
        <v>1575000</v>
      </c>
      <c r="R57" s="31">
        <f t="shared" si="3"/>
        <v>1575000</v>
      </c>
      <c r="S57" s="100"/>
      <c r="T57" s="31">
        <f t="shared" si="6"/>
        <v>0</v>
      </c>
      <c r="U57" s="74"/>
      <c r="V57" s="31">
        <f t="shared" si="7"/>
        <v>0</v>
      </c>
      <c r="W57" s="31">
        <f>(J57*$I$8*0.01)+(S57*$I$8*1%)+(U57*1%*$I$8)</f>
        <v>31500</v>
      </c>
      <c r="X57" s="46">
        <f t="shared" si="9"/>
        <v>1606500</v>
      </c>
      <c r="Y57" s="11" t="str">
        <f t="shared" si="4"/>
        <v>46</v>
      </c>
      <c r="Z57" s="125"/>
    </row>
    <row r="58" spans="1:29" s="108" customFormat="1" ht="19.5" customHeight="1">
      <c r="A58" s="20" t="s">
        <v>409</v>
      </c>
      <c r="B58" s="33" t="s">
        <v>474</v>
      </c>
      <c r="C58" s="34" t="s">
        <v>475</v>
      </c>
      <c r="D58" s="113" t="s">
        <v>482</v>
      </c>
      <c r="E58" s="75" t="s">
        <v>481</v>
      </c>
      <c r="F58" s="83">
        <v>2.34</v>
      </c>
      <c r="G58" s="45"/>
      <c r="H58" s="81">
        <f t="shared" si="12"/>
        <v>2.34</v>
      </c>
      <c r="I58" s="10"/>
      <c r="J58" s="83">
        <f t="shared" si="0"/>
        <v>2.34</v>
      </c>
      <c r="K58" s="31">
        <f t="shared" si="13"/>
        <v>2457000</v>
      </c>
      <c r="L58" s="321" t="s">
        <v>858</v>
      </c>
      <c r="M58" s="31">
        <f t="shared" si="10"/>
        <v>1228500</v>
      </c>
      <c r="N58" s="147">
        <f t="shared" si="11"/>
        <v>1050000</v>
      </c>
      <c r="O58" s="146">
        <v>26</v>
      </c>
      <c r="P58" s="10">
        <v>26</v>
      </c>
      <c r="Q58" s="173">
        <f t="shared" si="2"/>
        <v>1228500</v>
      </c>
      <c r="R58" s="31">
        <f t="shared" si="3"/>
        <v>1228500</v>
      </c>
      <c r="S58" s="100"/>
      <c r="T58" s="31">
        <f t="shared" si="6"/>
        <v>0</v>
      </c>
      <c r="U58" s="74"/>
      <c r="V58" s="31">
        <f t="shared" si="7"/>
        <v>0</v>
      </c>
      <c r="W58" s="31">
        <f t="shared" si="8"/>
        <v>24570</v>
      </c>
      <c r="X58" s="148">
        <f t="shared" si="9"/>
        <v>1253070</v>
      </c>
      <c r="Y58" s="11" t="str">
        <f t="shared" si="4"/>
        <v>47</v>
      </c>
      <c r="Z58" s="125"/>
    </row>
    <row r="59" spans="1:29" s="108" customFormat="1" ht="15.75">
      <c r="A59" s="20" t="s">
        <v>410</v>
      </c>
      <c r="B59" s="33" t="s">
        <v>476</v>
      </c>
      <c r="C59" s="34" t="s">
        <v>477</v>
      </c>
      <c r="D59" s="113" t="s">
        <v>486</v>
      </c>
      <c r="E59" s="75" t="s">
        <v>483</v>
      </c>
      <c r="F59" s="83">
        <v>2.34</v>
      </c>
      <c r="G59" s="45"/>
      <c r="H59" s="81">
        <f t="shared" si="12"/>
        <v>2.34</v>
      </c>
      <c r="I59" s="10"/>
      <c r="J59" s="83">
        <f t="shared" si="0"/>
        <v>2.34</v>
      </c>
      <c r="K59" s="31">
        <f t="shared" si="13"/>
        <v>2457000</v>
      </c>
      <c r="L59" s="321" t="s">
        <v>858</v>
      </c>
      <c r="M59" s="31">
        <f t="shared" si="10"/>
        <v>1228500</v>
      </c>
      <c r="N59" s="31">
        <f t="shared" si="11"/>
        <v>1050000</v>
      </c>
      <c r="O59" s="146">
        <v>26</v>
      </c>
      <c r="P59" s="10">
        <v>26</v>
      </c>
      <c r="Q59" s="173">
        <f t="shared" si="2"/>
        <v>1228500</v>
      </c>
      <c r="R59" s="31">
        <f t="shared" si="3"/>
        <v>1228500</v>
      </c>
      <c r="S59" s="100"/>
      <c r="T59" s="31">
        <f t="shared" si="6"/>
        <v>0</v>
      </c>
      <c r="U59" s="74"/>
      <c r="V59" s="31">
        <f t="shared" si="7"/>
        <v>0</v>
      </c>
      <c r="W59" s="31">
        <f>(J59*$I$8*0.01)+(S59*$I$8*1%)+(U59*1%*$I$8)</f>
        <v>24570</v>
      </c>
      <c r="X59" s="46">
        <f t="shared" si="9"/>
        <v>1253070</v>
      </c>
      <c r="Y59" s="11" t="str">
        <f t="shared" si="4"/>
        <v>48</v>
      </c>
      <c r="Z59" s="125"/>
    </row>
    <row r="60" spans="1:29" s="108" customFormat="1" ht="19.5" customHeight="1">
      <c r="A60" s="20" t="s">
        <v>411</v>
      </c>
      <c r="B60" s="33" t="s">
        <v>478</v>
      </c>
      <c r="C60" s="34" t="s">
        <v>920</v>
      </c>
      <c r="D60" s="113" t="s">
        <v>487</v>
      </c>
      <c r="E60" s="75" t="s">
        <v>484</v>
      </c>
      <c r="F60" s="83">
        <v>2.34</v>
      </c>
      <c r="G60" s="45"/>
      <c r="H60" s="81">
        <f t="shared" si="12"/>
        <v>2.34</v>
      </c>
      <c r="I60" s="10"/>
      <c r="J60" s="83">
        <f t="shared" si="0"/>
        <v>2.34</v>
      </c>
      <c r="K60" s="31">
        <f t="shared" si="13"/>
        <v>2457000</v>
      </c>
      <c r="L60" s="321" t="s">
        <v>858</v>
      </c>
      <c r="M60" s="31">
        <f t="shared" si="10"/>
        <v>1228500</v>
      </c>
      <c r="N60" s="147">
        <f t="shared" si="11"/>
        <v>1050000</v>
      </c>
      <c r="O60" s="146">
        <v>26</v>
      </c>
      <c r="P60" s="10">
        <v>26</v>
      </c>
      <c r="Q60" s="173">
        <f t="shared" si="2"/>
        <v>1228500</v>
      </c>
      <c r="R60" s="31">
        <f t="shared" si="3"/>
        <v>1228500</v>
      </c>
      <c r="S60" s="100"/>
      <c r="T60" s="31">
        <f t="shared" si="6"/>
        <v>0</v>
      </c>
      <c r="U60" s="74"/>
      <c r="V60" s="31">
        <f t="shared" si="7"/>
        <v>0</v>
      </c>
      <c r="W60" s="31">
        <f>(J60*$I$8*0.01)+(S60*$I$8*1%)+(U60*1%*$I$8)</f>
        <v>24570</v>
      </c>
      <c r="X60" s="148">
        <f t="shared" si="9"/>
        <v>1253070</v>
      </c>
      <c r="Y60" s="11" t="str">
        <f t="shared" si="4"/>
        <v>49</v>
      </c>
      <c r="Z60" s="125"/>
    </row>
    <row r="61" spans="1:29" s="108" customFormat="1" ht="15.75">
      <c r="A61" s="20" t="s">
        <v>412</v>
      </c>
      <c r="B61" s="33" t="s">
        <v>479</v>
      </c>
      <c r="C61" s="34" t="s">
        <v>480</v>
      </c>
      <c r="D61" s="113" t="s">
        <v>488</v>
      </c>
      <c r="E61" s="75" t="s">
        <v>485</v>
      </c>
      <c r="F61" s="83">
        <v>2.34</v>
      </c>
      <c r="G61" s="45"/>
      <c r="H61" s="81">
        <f>F61+(F61*G61)</f>
        <v>2.34</v>
      </c>
      <c r="I61" s="10"/>
      <c r="J61" s="83">
        <f>H61+I61</f>
        <v>2.34</v>
      </c>
      <c r="K61" s="31">
        <f t="shared" si="13"/>
        <v>2457000</v>
      </c>
      <c r="L61" s="321" t="s">
        <v>858</v>
      </c>
      <c r="M61" s="31">
        <f t="shared" si="10"/>
        <v>1228500</v>
      </c>
      <c r="N61" s="31">
        <f t="shared" si="11"/>
        <v>1050000</v>
      </c>
      <c r="O61" s="146">
        <v>26</v>
      </c>
      <c r="P61" s="10">
        <v>26</v>
      </c>
      <c r="Q61" s="173">
        <f>IF(M61&gt;N61,M61,N61)</f>
        <v>1228500</v>
      </c>
      <c r="R61" s="31">
        <f t="shared" si="3"/>
        <v>1228500</v>
      </c>
      <c r="S61" s="100"/>
      <c r="T61" s="31">
        <f t="shared" si="6"/>
        <v>0</v>
      </c>
      <c r="U61" s="74"/>
      <c r="V61" s="31">
        <f t="shared" si="7"/>
        <v>0</v>
      </c>
      <c r="W61" s="31">
        <f>(J61*$I$8*0.01)+(S61*$I$8*1%)+(U61*1%*$I$8)</f>
        <v>24570</v>
      </c>
      <c r="X61" s="46">
        <f t="shared" si="9"/>
        <v>1253070</v>
      </c>
      <c r="Y61" s="11" t="str">
        <f>A61</f>
        <v>50</v>
      </c>
      <c r="Z61" s="125"/>
    </row>
    <row r="62" spans="1:29" s="108" customFormat="1" ht="19.5" customHeight="1">
      <c r="A62" s="20" t="s">
        <v>413</v>
      </c>
      <c r="B62" s="33" t="s">
        <v>505</v>
      </c>
      <c r="C62" s="34" t="s">
        <v>979</v>
      </c>
      <c r="D62" s="113" t="s">
        <v>507</v>
      </c>
      <c r="E62" s="75" t="s">
        <v>506</v>
      </c>
      <c r="F62" s="223">
        <v>3.33</v>
      </c>
      <c r="G62" s="45"/>
      <c r="H62" s="81">
        <f>F62+(F62*G62)</f>
        <v>3.33</v>
      </c>
      <c r="I62" s="10"/>
      <c r="J62" s="83">
        <f>H62+I62</f>
        <v>3.33</v>
      </c>
      <c r="K62" s="31">
        <f t="shared" si="13"/>
        <v>3496500</v>
      </c>
      <c r="L62" s="321" t="s">
        <v>858</v>
      </c>
      <c r="M62" s="31">
        <f t="shared" si="10"/>
        <v>1748250</v>
      </c>
      <c r="N62" s="147">
        <f t="shared" si="11"/>
        <v>1050000</v>
      </c>
      <c r="O62" s="146">
        <v>26</v>
      </c>
      <c r="P62" s="10">
        <v>26</v>
      </c>
      <c r="Q62" s="173">
        <f>IF(M62&gt;N62,M62,N62)</f>
        <v>1748250</v>
      </c>
      <c r="R62" s="31">
        <f t="shared" si="3"/>
        <v>1748250</v>
      </c>
      <c r="S62" s="100"/>
      <c r="T62" s="31">
        <f t="shared" si="6"/>
        <v>0</v>
      </c>
      <c r="U62" s="74"/>
      <c r="V62" s="31">
        <f t="shared" si="7"/>
        <v>0</v>
      </c>
      <c r="W62" s="31">
        <f t="shared" ref="W62:W69" si="14">(J62*$I$8*0.01)+(S62*$I$8*1%)+(U62*1%*$I$8)</f>
        <v>34965</v>
      </c>
      <c r="X62" s="148">
        <f t="shared" si="9"/>
        <v>1783215</v>
      </c>
      <c r="Y62" s="11" t="str">
        <f>A62</f>
        <v>51</v>
      </c>
      <c r="Z62" s="125"/>
      <c r="AB62" s="142"/>
    </row>
    <row r="63" spans="1:29" s="108" customFormat="1" ht="17.25" customHeight="1">
      <c r="A63" s="20" t="s">
        <v>414</v>
      </c>
      <c r="B63" s="33" t="s">
        <v>1077</v>
      </c>
      <c r="C63" s="34" t="s">
        <v>920</v>
      </c>
      <c r="D63" s="113" t="s">
        <v>509</v>
      </c>
      <c r="E63" s="75" t="s">
        <v>508</v>
      </c>
      <c r="F63" s="83">
        <v>3.66</v>
      </c>
      <c r="G63" s="45"/>
      <c r="H63" s="81">
        <f>F63+(F63*G63)</f>
        <v>3.66</v>
      </c>
      <c r="I63" s="10"/>
      <c r="J63" s="83">
        <f t="shared" ref="J63:J71" si="15">H63+I63</f>
        <v>3.66</v>
      </c>
      <c r="K63" s="31">
        <f t="shared" si="13"/>
        <v>3843000</v>
      </c>
      <c r="L63" s="321" t="s">
        <v>858</v>
      </c>
      <c r="M63" s="31">
        <f t="shared" si="10"/>
        <v>1921500</v>
      </c>
      <c r="N63" s="31">
        <f t="shared" si="11"/>
        <v>1050000</v>
      </c>
      <c r="O63" s="146">
        <v>26</v>
      </c>
      <c r="P63" s="10">
        <v>26</v>
      </c>
      <c r="Q63" s="173">
        <f>IF(M63&gt;N63,M63,N63)</f>
        <v>1921500</v>
      </c>
      <c r="R63" s="31">
        <f t="shared" si="3"/>
        <v>1921500</v>
      </c>
      <c r="S63" s="100"/>
      <c r="T63" s="31">
        <f t="shared" si="6"/>
        <v>0</v>
      </c>
      <c r="U63" s="74"/>
      <c r="V63" s="31">
        <f t="shared" si="7"/>
        <v>0</v>
      </c>
      <c r="W63" s="31">
        <f t="shared" si="14"/>
        <v>38430</v>
      </c>
      <c r="X63" s="46">
        <f t="shared" si="9"/>
        <v>1959930</v>
      </c>
      <c r="Y63" s="11" t="str">
        <f>A63</f>
        <v>52</v>
      </c>
      <c r="Z63" s="125"/>
    </row>
    <row r="64" spans="1:29" s="108" customFormat="1" ht="19.5" customHeight="1">
      <c r="A64" s="20" t="s">
        <v>415</v>
      </c>
      <c r="B64" s="143" t="s">
        <v>513</v>
      </c>
      <c r="C64" s="34" t="s">
        <v>514</v>
      </c>
      <c r="D64" s="144" t="s">
        <v>519</v>
      </c>
      <c r="E64" s="183">
        <v>1603205299879</v>
      </c>
      <c r="F64" s="82">
        <f>2.34</f>
        <v>2.34</v>
      </c>
      <c r="G64" s="45"/>
      <c r="H64" s="81">
        <f t="shared" ref="H64:H71" si="16">F64+(F64*G64)</f>
        <v>2.34</v>
      </c>
      <c r="I64" s="10"/>
      <c r="J64" s="83">
        <f t="shared" si="15"/>
        <v>2.34</v>
      </c>
      <c r="K64" s="31">
        <f t="shared" si="13"/>
        <v>2457000</v>
      </c>
      <c r="L64" s="321" t="s">
        <v>858</v>
      </c>
      <c r="M64" s="31">
        <f t="shared" si="10"/>
        <v>1228500</v>
      </c>
      <c r="N64" s="147">
        <f t="shared" si="11"/>
        <v>1050000</v>
      </c>
      <c r="O64" s="146">
        <v>26</v>
      </c>
      <c r="P64" s="10">
        <v>26</v>
      </c>
      <c r="Q64" s="173">
        <f t="shared" ref="Q64:Q69" si="17">IF(M64&gt;N64,M64,N64)</f>
        <v>1228500</v>
      </c>
      <c r="R64" s="31">
        <f t="shared" si="3"/>
        <v>1228500</v>
      </c>
      <c r="S64" s="100"/>
      <c r="T64" s="31">
        <f t="shared" si="6"/>
        <v>0</v>
      </c>
      <c r="U64" s="74"/>
      <c r="V64" s="31">
        <f t="shared" si="7"/>
        <v>0</v>
      </c>
      <c r="W64" s="31">
        <f t="shared" si="14"/>
        <v>24570</v>
      </c>
      <c r="X64" s="148">
        <f t="shared" si="9"/>
        <v>1253070</v>
      </c>
      <c r="Y64" s="11" t="str">
        <f t="shared" ref="Y64:Y71" si="18">A64</f>
        <v>53</v>
      </c>
      <c r="Z64" s="125"/>
    </row>
    <row r="65" spans="1:26" s="108" customFormat="1" ht="38.25">
      <c r="A65" s="20" t="s">
        <v>416</v>
      </c>
      <c r="B65" s="143" t="s">
        <v>515</v>
      </c>
      <c r="C65" s="34" t="s">
        <v>1026</v>
      </c>
      <c r="D65" s="144" t="s">
        <v>520</v>
      </c>
      <c r="E65" s="145" t="s">
        <v>15</v>
      </c>
      <c r="F65" s="82">
        <f>2.34</f>
        <v>2.34</v>
      </c>
      <c r="G65" s="45"/>
      <c r="H65" s="81">
        <f t="shared" si="16"/>
        <v>2.34</v>
      </c>
      <c r="I65" s="10"/>
      <c r="J65" s="83">
        <f t="shared" si="15"/>
        <v>2.34</v>
      </c>
      <c r="K65" s="31">
        <f t="shared" si="13"/>
        <v>2457000</v>
      </c>
      <c r="L65" s="321" t="s">
        <v>525</v>
      </c>
      <c r="M65" s="31">
        <f t="shared" si="10"/>
        <v>921375</v>
      </c>
      <c r="N65" s="31">
        <f t="shared" si="11"/>
        <v>735000</v>
      </c>
      <c r="O65" s="146">
        <v>26</v>
      </c>
      <c r="P65" s="10">
        <v>25</v>
      </c>
      <c r="Q65" s="173">
        <f t="shared" si="17"/>
        <v>921375</v>
      </c>
      <c r="R65" s="31">
        <f t="shared" si="3"/>
        <v>885938</v>
      </c>
      <c r="S65" s="100"/>
      <c r="T65" s="31">
        <f t="shared" si="6"/>
        <v>0</v>
      </c>
      <c r="U65" s="74"/>
      <c r="V65" s="31">
        <f t="shared" si="7"/>
        <v>0</v>
      </c>
      <c r="W65" s="31">
        <f t="shared" si="14"/>
        <v>24570</v>
      </c>
      <c r="X65" s="46">
        <f t="shared" si="9"/>
        <v>910508</v>
      </c>
      <c r="Y65" s="11" t="str">
        <f t="shared" si="18"/>
        <v>54</v>
      </c>
      <c r="Z65" s="125" t="s">
        <v>829</v>
      </c>
    </row>
    <row r="66" spans="1:26" s="108" customFormat="1" ht="17.25" customHeight="1">
      <c r="A66" s="20" t="s">
        <v>417</v>
      </c>
      <c r="B66" s="143" t="s">
        <v>1059</v>
      </c>
      <c r="C66" s="34" t="s">
        <v>516</v>
      </c>
      <c r="D66" s="144" t="s">
        <v>521</v>
      </c>
      <c r="E66" s="145" t="s">
        <v>13</v>
      </c>
      <c r="F66" s="83">
        <v>3.33</v>
      </c>
      <c r="G66" s="45"/>
      <c r="H66" s="81">
        <f t="shared" si="16"/>
        <v>3.33</v>
      </c>
      <c r="I66" s="10"/>
      <c r="J66" s="83">
        <f t="shared" si="15"/>
        <v>3.33</v>
      </c>
      <c r="K66" s="31">
        <f t="shared" si="13"/>
        <v>3496500</v>
      </c>
      <c r="L66" s="321" t="s">
        <v>858</v>
      </c>
      <c r="M66" s="31">
        <f t="shared" si="10"/>
        <v>1748250</v>
      </c>
      <c r="N66" s="147">
        <f t="shared" si="11"/>
        <v>1050000</v>
      </c>
      <c r="O66" s="146">
        <v>26</v>
      </c>
      <c r="P66" s="10">
        <v>26</v>
      </c>
      <c r="Q66" s="173">
        <f t="shared" si="17"/>
        <v>1748250</v>
      </c>
      <c r="R66" s="31">
        <f t="shared" si="3"/>
        <v>1748250</v>
      </c>
      <c r="S66" s="100"/>
      <c r="T66" s="31">
        <f t="shared" si="6"/>
        <v>0</v>
      </c>
      <c r="U66" s="74"/>
      <c r="V66" s="31">
        <f t="shared" si="7"/>
        <v>0</v>
      </c>
      <c r="W66" s="31">
        <f t="shared" si="14"/>
        <v>34965</v>
      </c>
      <c r="X66" s="148">
        <f t="shared" si="9"/>
        <v>1783215</v>
      </c>
      <c r="Y66" s="11" t="str">
        <f t="shared" si="18"/>
        <v>55</v>
      </c>
      <c r="Z66" s="125"/>
    </row>
    <row r="67" spans="1:26" s="108" customFormat="1" ht="17.25" customHeight="1">
      <c r="A67" s="20" t="s">
        <v>418</v>
      </c>
      <c r="B67" s="143" t="s">
        <v>517</v>
      </c>
      <c r="C67" s="34" t="s">
        <v>1013</v>
      </c>
      <c r="D67" s="144" t="s">
        <v>522</v>
      </c>
      <c r="E67" s="145" t="s">
        <v>14</v>
      </c>
      <c r="F67" s="82">
        <f>2.34</f>
        <v>2.34</v>
      </c>
      <c r="G67" s="45"/>
      <c r="H67" s="81">
        <f t="shared" si="16"/>
        <v>2.34</v>
      </c>
      <c r="I67" s="10"/>
      <c r="J67" s="83">
        <f t="shared" si="15"/>
        <v>2.34</v>
      </c>
      <c r="K67" s="31">
        <f t="shared" si="13"/>
        <v>2457000</v>
      </c>
      <c r="L67" s="321" t="s">
        <v>858</v>
      </c>
      <c r="M67" s="31">
        <f t="shared" si="10"/>
        <v>1228500</v>
      </c>
      <c r="N67" s="31">
        <f t="shared" si="11"/>
        <v>1050000</v>
      </c>
      <c r="O67" s="146">
        <v>26</v>
      </c>
      <c r="P67" s="10">
        <v>26</v>
      </c>
      <c r="Q67" s="173">
        <f t="shared" si="17"/>
        <v>1228500</v>
      </c>
      <c r="R67" s="31">
        <f t="shared" si="3"/>
        <v>1228500</v>
      </c>
      <c r="S67" s="100"/>
      <c r="T67" s="31">
        <f t="shared" si="6"/>
        <v>0</v>
      </c>
      <c r="U67" s="74"/>
      <c r="V67" s="31">
        <f t="shared" si="7"/>
        <v>0</v>
      </c>
      <c r="W67" s="31">
        <f t="shared" si="14"/>
        <v>24570</v>
      </c>
      <c r="X67" s="46">
        <f t="shared" si="9"/>
        <v>1253070</v>
      </c>
      <c r="Y67" s="11" t="str">
        <f t="shared" si="18"/>
        <v>56</v>
      </c>
      <c r="Z67" s="125"/>
    </row>
    <row r="68" spans="1:26" s="108" customFormat="1" ht="17.25" customHeight="1">
      <c r="A68" s="20" t="s">
        <v>419</v>
      </c>
      <c r="B68" s="143" t="s">
        <v>995</v>
      </c>
      <c r="C68" s="34" t="s">
        <v>883</v>
      </c>
      <c r="D68" s="144" t="s">
        <v>523</v>
      </c>
      <c r="E68" s="145" t="s">
        <v>16</v>
      </c>
      <c r="F68" s="82">
        <f>2.34</f>
        <v>2.34</v>
      </c>
      <c r="G68" s="45"/>
      <c r="H68" s="81">
        <f t="shared" si="16"/>
        <v>2.34</v>
      </c>
      <c r="I68" s="10"/>
      <c r="J68" s="83">
        <f t="shared" si="15"/>
        <v>2.34</v>
      </c>
      <c r="K68" s="31">
        <f t="shared" si="13"/>
        <v>2457000</v>
      </c>
      <c r="L68" s="321" t="s">
        <v>858</v>
      </c>
      <c r="M68" s="31">
        <f t="shared" si="10"/>
        <v>1228500</v>
      </c>
      <c r="N68" s="147">
        <f t="shared" si="11"/>
        <v>1050000</v>
      </c>
      <c r="O68" s="146">
        <v>26</v>
      </c>
      <c r="P68" s="10">
        <v>26</v>
      </c>
      <c r="Q68" s="173">
        <f t="shared" si="17"/>
        <v>1228500</v>
      </c>
      <c r="R68" s="31">
        <f t="shared" si="3"/>
        <v>1228500</v>
      </c>
      <c r="S68" s="100"/>
      <c r="T68" s="31">
        <f t="shared" si="6"/>
        <v>0</v>
      </c>
      <c r="U68" s="74"/>
      <c r="V68" s="31">
        <f t="shared" si="7"/>
        <v>0</v>
      </c>
      <c r="W68" s="31">
        <f t="shared" si="14"/>
        <v>24570</v>
      </c>
      <c r="X68" s="148">
        <f t="shared" si="9"/>
        <v>1253070</v>
      </c>
      <c r="Y68" s="11" t="str">
        <f t="shared" si="18"/>
        <v>57</v>
      </c>
      <c r="Z68" s="125"/>
    </row>
    <row r="69" spans="1:26" s="108" customFormat="1" ht="17.25" customHeight="1">
      <c r="A69" s="20" t="s">
        <v>420</v>
      </c>
      <c r="B69" s="143" t="s">
        <v>518</v>
      </c>
      <c r="C69" s="34" t="s">
        <v>1030</v>
      </c>
      <c r="D69" s="144" t="s">
        <v>524</v>
      </c>
      <c r="E69" s="183" t="s">
        <v>17</v>
      </c>
      <c r="F69" s="82">
        <f>2.34</f>
        <v>2.34</v>
      </c>
      <c r="G69" s="45"/>
      <c r="H69" s="81">
        <f t="shared" si="16"/>
        <v>2.34</v>
      </c>
      <c r="I69" s="10"/>
      <c r="J69" s="83">
        <f t="shared" si="15"/>
        <v>2.34</v>
      </c>
      <c r="K69" s="31">
        <f t="shared" si="13"/>
        <v>2457000</v>
      </c>
      <c r="L69" s="321" t="s">
        <v>858</v>
      </c>
      <c r="M69" s="31">
        <f t="shared" si="10"/>
        <v>1228500</v>
      </c>
      <c r="N69" s="147">
        <f t="shared" si="11"/>
        <v>1050000</v>
      </c>
      <c r="O69" s="146">
        <v>26</v>
      </c>
      <c r="P69" s="10">
        <v>26</v>
      </c>
      <c r="Q69" s="173">
        <f t="shared" si="17"/>
        <v>1228500</v>
      </c>
      <c r="R69" s="31">
        <f t="shared" si="3"/>
        <v>1228500</v>
      </c>
      <c r="S69" s="100"/>
      <c r="T69" s="31">
        <f t="shared" si="6"/>
        <v>0</v>
      </c>
      <c r="U69" s="74"/>
      <c r="V69" s="31">
        <f t="shared" si="7"/>
        <v>0</v>
      </c>
      <c r="W69" s="31">
        <f t="shared" si="14"/>
        <v>24570</v>
      </c>
      <c r="X69" s="148">
        <f t="shared" si="9"/>
        <v>1253070</v>
      </c>
      <c r="Y69" s="11" t="str">
        <f t="shared" si="18"/>
        <v>58</v>
      </c>
      <c r="Z69" s="125"/>
    </row>
    <row r="70" spans="1:26" s="108" customFormat="1" ht="15.75">
      <c r="A70" s="20" t="s">
        <v>421</v>
      </c>
      <c r="B70" s="33" t="s">
        <v>756</v>
      </c>
      <c r="C70" s="34" t="s">
        <v>1019</v>
      </c>
      <c r="D70" s="113" t="s">
        <v>758</v>
      </c>
      <c r="E70" s="213">
        <v>1603205356530</v>
      </c>
      <c r="F70" s="82">
        <f>2.34*85%</f>
        <v>1.9889999999999999</v>
      </c>
      <c r="G70" s="45"/>
      <c r="H70" s="81">
        <f t="shared" si="16"/>
        <v>1.9889999999999999</v>
      </c>
      <c r="I70" s="10"/>
      <c r="J70" s="82">
        <f t="shared" si="15"/>
        <v>1.9889999999999999</v>
      </c>
      <c r="K70" s="31">
        <f t="shared" si="13"/>
        <v>2088449.9999999998</v>
      </c>
      <c r="L70" s="321" t="s">
        <v>858</v>
      </c>
      <c r="M70" s="31">
        <f t="shared" si="10"/>
        <v>1044224.9999999999</v>
      </c>
      <c r="N70" s="147">
        <f>IF(L70="A",1050000,IF(L70="B",735000,IF(L70="C",514500,0)))</f>
        <v>1050000</v>
      </c>
      <c r="O70" s="146">
        <v>26</v>
      </c>
      <c r="P70" s="10">
        <v>26</v>
      </c>
      <c r="Q70" s="173">
        <f>IF(M70&gt;N70,M70,N70)</f>
        <v>1050000</v>
      </c>
      <c r="R70" s="31">
        <f>ROUND(IF(P70&gt;=O70,Q70,Q70/O70*P70),0)</f>
        <v>1050000</v>
      </c>
      <c r="S70" s="100"/>
      <c r="T70" s="31">
        <f t="shared" si="6"/>
        <v>0</v>
      </c>
      <c r="U70" s="74"/>
      <c r="V70" s="31">
        <f t="shared" si="7"/>
        <v>0</v>
      </c>
      <c r="W70" s="31">
        <f>(J70*$I$8*0.01)+(S70*$I$8*1%)+(U70*1%*$I$8)</f>
        <v>20884.499999999996</v>
      </c>
      <c r="X70" s="148">
        <f>R70+T70+V70+W70</f>
        <v>1070884.5</v>
      </c>
      <c r="Y70" s="11" t="str">
        <f t="shared" si="18"/>
        <v>59</v>
      </c>
      <c r="Z70" s="125"/>
    </row>
    <row r="71" spans="1:26" s="108" customFormat="1" ht="15.75">
      <c r="A71" s="38" t="s">
        <v>422</v>
      </c>
      <c r="B71" s="61" t="s">
        <v>757</v>
      </c>
      <c r="C71" s="204" t="s">
        <v>1041</v>
      </c>
      <c r="D71" s="214" t="s">
        <v>759</v>
      </c>
      <c r="E71" s="215">
        <v>1603205356451</v>
      </c>
      <c r="F71" s="208">
        <f>2.34*85%</f>
        <v>1.9889999999999999</v>
      </c>
      <c r="G71" s="216"/>
      <c r="H71" s="84">
        <f t="shared" si="16"/>
        <v>1.9889999999999999</v>
      </c>
      <c r="I71" s="35"/>
      <c r="J71" s="208">
        <f t="shared" si="15"/>
        <v>1.9889999999999999</v>
      </c>
      <c r="K71" s="32">
        <f t="shared" si="13"/>
        <v>2088449.9999999998</v>
      </c>
      <c r="L71" s="319" t="s">
        <v>525</v>
      </c>
      <c r="M71" s="31">
        <f t="shared" si="10"/>
        <v>783168.74999999988</v>
      </c>
      <c r="N71" s="32">
        <f>IF(L71="A",1050000,IF(L71="B",735000,IF(L71="C",514500,0)))</f>
        <v>735000</v>
      </c>
      <c r="O71" s="146">
        <v>26</v>
      </c>
      <c r="P71" s="35">
        <v>23.5</v>
      </c>
      <c r="Q71" s="175">
        <f>IF(M71&gt;N71,M71,N71)</f>
        <v>783168.74999999988</v>
      </c>
      <c r="R71" s="32">
        <f>ROUND(IF(P71&gt;=O71,Q71,Q71/O71*P71),0)</f>
        <v>707864</v>
      </c>
      <c r="S71" s="217"/>
      <c r="T71" s="32">
        <f t="shared" si="6"/>
        <v>0</v>
      </c>
      <c r="U71" s="114"/>
      <c r="V71" s="32">
        <f t="shared" si="7"/>
        <v>0</v>
      </c>
      <c r="W71" s="32">
        <f>(J71*$I$8*0.01)+(S71*$I$8*1%)+(U71*1%*$I$8)</f>
        <v>20884.499999999996</v>
      </c>
      <c r="X71" s="211">
        <f>R71+T71+V71+W71</f>
        <v>728748.5</v>
      </c>
      <c r="Y71" s="19" t="str">
        <f t="shared" si="18"/>
        <v>60</v>
      </c>
      <c r="Z71" s="218" t="s">
        <v>826</v>
      </c>
    </row>
    <row r="72" spans="1:26" ht="25.5" customHeight="1">
      <c r="A72" s="136"/>
      <c r="B72" s="1620" t="s">
        <v>1109</v>
      </c>
      <c r="C72" s="1621"/>
      <c r="D72" s="128"/>
      <c r="E72" s="128"/>
      <c r="F72" s="129">
        <f t="shared" ref="F72:K72" si="19">SUM(F12:F71)</f>
        <v>169.45800000000014</v>
      </c>
      <c r="G72" s="129">
        <f t="shared" si="19"/>
        <v>0</v>
      </c>
      <c r="H72" s="129">
        <f t="shared" si="19"/>
        <v>169.45800000000014</v>
      </c>
      <c r="I72" s="129">
        <f t="shared" si="19"/>
        <v>3.7499999999999996</v>
      </c>
      <c r="J72" s="266">
        <f t="shared" si="19"/>
        <v>173.20800000000011</v>
      </c>
      <c r="K72" s="129">
        <f t="shared" si="19"/>
        <v>181868400</v>
      </c>
      <c r="L72" s="129"/>
      <c r="M72" s="189">
        <f t="shared" ref="M72:X72" si="20">SUM(M12:M71)</f>
        <v>86309081.25</v>
      </c>
      <c r="N72" s="189">
        <f t="shared" si="20"/>
        <v>59640000</v>
      </c>
      <c r="O72" s="189">
        <f t="shared" si="20"/>
        <v>1508</v>
      </c>
      <c r="P72" s="189">
        <f t="shared" si="20"/>
        <v>1478</v>
      </c>
      <c r="Q72" s="190">
        <f t="shared" si="20"/>
        <v>86314856.25</v>
      </c>
      <c r="R72" s="189">
        <f t="shared" si="20"/>
        <v>84849160</v>
      </c>
      <c r="S72" s="189">
        <f t="shared" si="20"/>
        <v>0</v>
      </c>
      <c r="T72" s="189">
        <f t="shared" si="20"/>
        <v>0</v>
      </c>
      <c r="U72" s="189">
        <f t="shared" si="20"/>
        <v>0</v>
      </c>
      <c r="V72" s="189">
        <f t="shared" si="20"/>
        <v>0</v>
      </c>
      <c r="W72" s="189">
        <f t="shared" si="20"/>
        <v>1752219</v>
      </c>
      <c r="X72" s="189">
        <f t="shared" si="20"/>
        <v>86601379</v>
      </c>
      <c r="Y72" s="1622"/>
      <c r="Z72" s="1623"/>
    </row>
    <row r="73" spans="1:26" ht="6" customHeight="1">
      <c r="A73" s="6"/>
      <c r="B73" s="6"/>
      <c r="C73" s="12"/>
      <c r="D73" s="12"/>
      <c r="E73" s="12"/>
      <c r="F73" s="12"/>
      <c r="G73" s="12"/>
      <c r="H73" s="12"/>
      <c r="I73" s="12"/>
      <c r="J73" s="12"/>
      <c r="K73" s="12"/>
      <c r="L73" s="12"/>
      <c r="M73" s="12"/>
      <c r="N73" s="12"/>
      <c r="O73" s="12"/>
      <c r="P73" s="12"/>
      <c r="Q73" s="12"/>
      <c r="R73" s="12"/>
      <c r="S73" s="95"/>
      <c r="T73" s="12"/>
      <c r="U73" s="12"/>
      <c r="V73" s="12"/>
      <c r="W73" s="12"/>
      <c r="X73" s="63"/>
      <c r="Y73" s="12"/>
      <c r="Z73" s="18"/>
    </row>
    <row r="74" spans="1:26" ht="17.25" customHeight="1">
      <c r="B74" s="87" t="e">
        <f ca="1">"Số tiền bằng chữ: "&amp;[29]!DocSoUniH(X72)&amp;" đồng."</f>
        <v>#NAME?</v>
      </c>
      <c r="C74" s="87"/>
      <c r="D74" s="87"/>
      <c r="E74" s="87"/>
      <c r="F74" s="187"/>
      <c r="G74" s="15"/>
      <c r="H74" s="15"/>
      <c r="I74" s="187"/>
      <c r="J74" s="16"/>
      <c r="K74" s="17"/>
      <c r="L74" s="18"/>
      <c r="M74" s="17"/>
      <c r="N74" s="17"/>
      <c r="O74" s="18"/>
      <c r="P74" s="18"/>
      <c r="Q74" s="18"/>
      <c r="R74" s="18"/>
      <c r="S74" s="71"/>
      <c r="T74" s="18"/>
      <c r="U74" s="18"/>
      <c r="V74" s="18"/>
      <c r="W74" s="17"/>
      <c r="X74" s="43"/>
    </row>
    <row r="75" spans="1:26" ht="10.5" customHeight="1">
      <c r="B75" s="86"/>
      <c r="C75" s="87"/>
      <c r="D75" s="87"/>
      <c r="E75" s="87"/>
      <c r="F75" s="187"/>
      <c r="G75" s="15"/>
      <c r="H75" s="15"/>
      <c r="I75" s="187"/>
      <c r="J75" s="16"/>
      <c r="K75" s="17"/>
      <c r="L75" s="18"/>
      <c r="M75" s="17"/>
      <c r="N75" s="17"/>
      <c r="O75" s="18"/>
      <c r="P75" s="18"/>
      <c r="Q75" s="18"/>
      <c r="R75" s="18"/>
      <c r="S75" s="71"/>
      <c r="T75" s="18"/>
      <c r="U75" s="18"/>
      <c r="V75" s="18"/>
      <c r="W75" s="17"/>
      <c r="X75" s="43"/>
    </row>
    <row r="76" spans="1:26" ht="15" customHeight="1">
      <c r="G76" s="4"/>
      <c r="K76" s="3"/>
      <c r="L76" s="1"/>
      <c r="M76" s="3"/>
      <c r="N76" s="3"/>
      <c r="O76" s="1"/>
      <c r="P76" s="1"/>
      <c r="Q76" s="1"/>
      <c r="R76" s="1"/>
      <c r="S76" s="73"/>
      <c r="T76" s="1"/>
      <c r="U76" s="25"/>
      <c r="X76" s="130" t="s">
        <v>794</v>
      </c>
    </row>
    <row r="77" spans="1:26" s="16" customFormat="1" ht="15">
      <c r="A77" s="1543" t="s">
        <v>859</v>
      </c>
      <c r="B77" s="1543"/>
      <c r="C77" s="14"/>
      <c r="D77" s="14"/>
      <c r="E77" s="14"/>
      <c r="F77" s="13"/>
      <c r="G77" s="14"/>
      <c r="H77" s="14"/>
      <c r="I77" s="13"/>
      <c r="K77" s="14"/>
      <c r="L77" s="13" t="s">
        <v>446</v>
      </c>
      <c r="N77" s="14"/>
      <c r="O77" s="14"/>
      <c r="P77" s="14"/>
      <c r="Q77" s="13"/>
      <c r="R77" s="1543" t="s">
        <v>1191</v>
      </c>
      <c r="S77" s="1543"/>
      <c r="T77" s="1543"/>
      <c r="U77" s="14"/>
      <c r="W77" s="1543" t="s">
        <v>41</v>
      </c>
      <c r="X77" s="1543"/>
      <c r="Y77" s="1543"/>
      <c r="Z77" s="14"/>
    </row>
    <row r="78" spans="1:26" s="16" customFormat="1" ht="15">
      <c r="F78" s="18"/>
      <c r="G78" s="21"/>
      <c r="H78" s="18"/>
      <c r="I78" s="18"/>
      <c r="M78" s="18"/>
      <c r="N78" s="18"/>
      <c r="O78" s="18"/>
      <c r="P78" s="18"/>
      <c r="Q78" s="18"/>
      <c r="R78" s="18"/>
      <c r="S78" s="71"/>
      <c r="T78" s="18"/>
      <c r="U78" s="26"/>
      <c r="V78" s="18"/>
      <c r="W78" s="18"/>
      <c r="X78" s="13"/>
      <c r="Y78" s="18"/>
      <c r="Z78" s="18"/>
    </row>
    <row r="79" spans="1:26" s="16" customFormat="1" ht="15">
      <c r="F79" s="18"/>
      <c r="G79" s="21"/>
      <c r="H79" s="18"/>
      <c r="I79" s="18"/>
      <c r="M79" s="18"/>
      <c r="N79" s="18"/>
      <c r="O79" s="18"/>
      <c r="P79" s="18"/>
      <c r="Q79" s="18"/>
      <c r="R79" s="18"/>
      <c r="S79" s="71"/>
      <c r="T79" s="18"/>
      <c r="U79" s="26"/>
      <c r="V79" s="18"/>
      <c r="W79" s="18"/>
      <c r="X79" s="18"/>
      <c r="Y79" s="18"/>
      <c r="Z79" s="18"/>
    </row>
    <row r="80" spans="1:26" s="16" customFormat="1" ht="15">
      <c r="F80" s="18"/>
      <c r="G80" s="21"/>
      <c r="H80" s="18"/>
      <c r="I80" s="18"/>
      <c r="M80" s="18"/>
      <c r="N80" s="18"/>
      <c r="O80" s="18"/>
      <c r="P80" s="18"/>
      <c r="Q80" s="18"/>
      <c r="R80" s="18"/>
      <c r="S80" s="71"/>
      <c r="T80" s="18"/>
      <c r="U80" s="26"/>
      <c r="V80" s="18"/>
      <c r="W80" s="18"/>
      <c r="X80" s="18"/>
      <c r="Y80" s="18"/>
      <c r="Z80" s="18"/>
    </row>
    <row r="81" spans="1:26" s="16" customFormat="1" ht="15">
      <c r="F81" s="18"/>
      <c r="G81" s="21"/>
      <c r="H81" s="18"/>
      <c r="I81" s="18"/>
      <c r="J81" s="18"/>
      <c r="K81" s="18"/>
      <c r="L81" s="18"/>
      <c r="M81" s="18"/>
      <c r="N81" s="18"/>
      <c r="O81" s="18"/>
      <c r="P81" s="18"/>
      <c r="Q81" s="18"/>
      <c r="R81" s="18"/>
      <c r="S81" s="71"/>
      <c r="T81" s="18"/>
      <c r="U81" s="26"/>
      <c r="V81" s="18"/>
      <c r="W81" s="18"/>
      <c r="X81" s="18"/>
      <c r="Y81" s="18"/>
      <c r="Z81" s="18"/>
    </row>
    <row r="82" spans="1:26" s="16" customFormat="1" ht="15">
      <c r="F82" s="18"/>
      <c r="G82" s="21"/>
      <c r="H82" s="18"/>
      <c r="I82" s="18"/>
      <c r="J82" s="18"/>
      <c r="K82" s="18"/>
      <c r="L82" s="18"/>
      <c r="M82" s="18"/>
      <c r="N82" s="18"/>
      <c r="O82" s="18"/>
      <c r="P82" s="18"/>
      <c r="Q82" s="18"/>
      <c r="R82" s="18"/>
      <c r="S82" s="71"/>
      <c r="T82" s="18"/>
      <c r="U82" s="26"/>
      <c r="V82" s="18"/>
      <c r="W82" s="18"/>
      <c r="X82" s="18"/>
      <c r="Y82" s="18"/>
      <c r="Z82" s="18"/>
    </row>
    <row r="83" spans="1:26" s="16" customFormat="1" ht="15">
      <c r="F83" s="18"/>
      <c r="G83" s="21"/>
      <c r="H83" s="18"/>
      <c r="I83" s="18"/>
      <c r="J83" s="18"/>
      <c r="K83" s="18"/>
      <c r="L83" s="18"/>
      <c r="M83" s="18"/>
      <c r="N83" s="18"/>
      <c r="O83" s="18"/>
      <c r="P83" s="18"/>
      <c r="Q83" s="18"/>
      <c r="R83" s="18"/>
      <c r="S83" s="71"/>
      <c r="T83" s="18"/>
      <c r="U83" s="26"/>
      <c r="V83" s="18"/>
      <c r="W83" s="18"/>
      <c r="X83" s="18"/>
      <c r="Y83" s="18"/>
      <c r="Z83" s="18"/>
    </row>
    <row r="84" spans="1:26" s="16" customFormat="1" ht="15">
      <c r="A84" s="1543" t="s">
        <v>554</v>
      </c>
      <c r="B84" s="1543"/>
      <c r="C84" s="13"/>
      <c r="D84" s="13"/>
      <c r="E84" s="13"/>
      <c r="F84" s="13"/>
      <c r="G84" s="14"/>
      <c r="H84" s="14"/>
      <c r="I84" s="13"/>
      <c r="K84" s="14"/>
      <c r="L84" s="13" t="s">
        <v>526</v>
      </c>
      <c r="N84" s="14"/>
      <c r="O84" s="14"/>
      <c r="P84" s="14"/>
      <c r="Q84" s="13"/>
      <c r="R84" s="1543" t="s">
        <v>1102</v>
      </c>
      <c r="S84" s="1543"/>
      <c r="T84" s="1543"/>
      <c r="U84" s="14"/>
      <c r="W84" s="1543" t="s">
        <v>725</v>
      </c>
      <c r="X84" s="1543"/>
      <c r="Y84" s="1543"/>
      <c r="Z84" s="14"/>
    </row>
    <row r="85" spans="1:26" s="16" customFormat="1" ht="15">
      <c r="A85" s="13"/>
      <c r="B85" s="13"/>
      <c r="C85" s="13"/>
      <c r="D85" s="13"/>
      <c r="E85" s="13"/>
      <c r="F85" s="13"/>
      <c r="G85" s="14"/>
      <c r="H85" s="14"/>
      <c r="I85" s="13"/>
      <c r="K85" s="14"/>
      <c r="L85" s="13"/>
      <c r="N85" s="14"/>
      <c r="O85" s="14"/>
      <c r="P85" s="14"/>
      <c r="Q85" s="13"/>
      <c r="R85" s="13"/>
      <c r="S85" s="13"/>
      <c r="T85" s="13"/>
      <c r="U85" s="14"/>
      <c r="W85" s="14"/>
      <c r="X85" s="14"/>
      <c r="Y85" s="14"/>
      <c r="Z85" s="14"/>
    </row>
    <row r="86" spans="1:26" s="16" customFormat="1" ht="15">
      <c r="A86" s="13"/>
      <c r="B86" s="13"/>
      <c r="C86" s="13"/>
      <c r="D86" s="13"/>
      <c r="E86" s="13"/>
      <c r="F86" s="13"/>
      <c r="G86" s="14"/>
      <c r="H86" s="14"/>
      <c r="I86" s="13"/>
      <c r="K86" s="14"/>
      <c r="L86" s="13"/>
      <c r="N86" s="14"/>
      <c r="O86" s="14"/>
      <c r="P86" s="14"/>
      <c r="Q86" s="13"/>
      <c r="R86" s="13"/>
      <c r="S86" s="13"/>
      <c r="T86" s="13"/>
      <c r="U86" s="14"/>
      <c r="W86" s="14"/>
      <c r="X86" s="14"/>
      <c r="Y86" s="14"/>
      <c r="Z86" s="14"/>
    </row>
    <row r="87" spans="1:26" s="16" customFormat="1" ht="15">
      <c r="A87" s="13"/>
      <c r="B87" s="13"/>
      <c r="C87" s="13"/>
      <c r="D87" s="13"/>
      <c r="E87" s="13"/>
      <c r="F87" s="13"/>
      <c r="G87" s="14"/>
      <c r="H87" s="14"/>
      <c r="I87" s="13"/>
      <c r="K87" s="14"/>
      <c r="L87" s="13"/>
      <c r="N87" s="14"/>
      <c r="O87" s="14"/>
      <c r="P87" s="14"/>
      <c r="Q87" s="13"/>
      <c r="R87" s="13"/>
      <c r="S87" s="13"/>
      <c r="T87" s="13"/>
      <c r="U87" s="14"/>
      <c r="W87" s="14"/>
      <c r="X87" s="14"/>
      <c r="Y87" s="14"/>
      <c r="Z87" s="14"/>
    </row>
    <row r="88" spans="1:26" s="16" customFormat="1" ht="15">
      <c r="A88" s="13"/>
      <c r="B88" s="13"/>
      <c r="C88" s="13"/>
      <c r="D88" s="13"/>
      <c r="E88" s="13"/>
      <c r="F88" s="13"/>
      <c r="G88" s="14"/>
      <c r="H88" s="14"/>
      <c r="I88" s="13"/>
      <c r="K88" s="14"/>
      <c r="L88" s="13"/>
      <c r="N88" s="14"/>
      <c r="O88" s="14"/>
      <c r="P88" s="14"/>
      <c r="Q88" s="13"/>
      <c r="R88" s="13"/>
      <c r="S88" s="13"/>
      <c r="T88" s="13"/>
      <c r="U88" s="14"/>
      <c r="W88" s="14"/>
      <c r="X88" s="14"/>
      <c r="Y88" s="14"/>
      <c r="Z88" s="14"/>
    </row>
    <row r="89" spans="1:26" ht="15.75">
      <c r="A89" s="6"/>
      <c r="G89" s="109"/>
      <c r="U89" s="104"/>
      <c r="X89" s="14"/>
    </row>
    <row r="90" spans="1:26" ht="14.25">
      <c r="R90" s="13"/>
    </row>
  </sheetData>
  <mergeCells count="22">
    <mergeCell ref="A84:B84"/>
    <mergeCell ref="R84:T84"/>
    <mergeCell ref="W84:Y84"/>
    <mergeCell ref="AA17:AB17"/>
    <mergeCell ref="AA26:AB26"/>
    <mergeCell ref="B72:C72"/>
    <mergeCell ref="Y72:Z72"/>
    <mergeCell ref="A77:B77"/>
    <mergeCell ref="B11:C11"/>
    <mergeCell ref="Y11:Z11"/>
    <mergeCell ref="R77:T77"/>
    <mergeCell ref="W77:Y77"/>
    <mergeCell ref="A6:Z6"/>
    <mergeCell ref="A7:Z7"/>
    <mergeCell ref="B10:C10"/>
    <mergeCell ref="Y10:Z10"/>
    <mergeCell ref="A5:Z5"/>
    <mergeCell ref="A1:L1"/>
    <mergeCell ref="M1:Z1"/>
    <mergeCell ref="A2:L2"/>
    <mergeCell ref="M2:Z2"/>
    <mergeCell ref="A3:L3"/>
  </mergeCells>
  <phoneticPr fontId="48" type="noConversion"/>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FF00"/>
  </sheetPr>
  <dimension ref="A1:AB29"/>
  <sheetViews>
    <sheetView workbookViewId="0">
      <selection activeCell="E17" sqref="E17"/>
    </sheetView>
  </sheetViews>
  <sheetFormatPr defaultColWidth="10.5703125" defaultRowHeight="12.75"/>
  <cols>
    <col min="1" max="1" width="6.5703125" style="2" customWidth="1"/>
    <col min="2" max="2" width="15.42578125" style="2" customWidth="1"/>
    <col min="3" max="4" width="10.28515625" style="2" customWidth="1"/>
    <col min="5" max="5" width="23.5703125" style="2" customWidth="1"/>
    <col min="6" max="6" width="26.5703125" style="2" customWidth="1"/>
    <col min="7" max="7" width="10.5703125" style="2" customWidth="1"/>
    <col min="8" max="8" width="7.42578125" style="2" customWidth="1"/>
    <col min="9" max="9" width="9" style="2" customWidth="1"/>
    <col min="10" max="10" width="10.5703125" style="2" customWidth="1"/>
    <col min="11" max="11" width="10" style="2" customWidth="1"/>
    <col min="12" max="12" width="10.5703125" style="2" customWidth="1"/>
    <col min="13" max="13" width="7.42578125" style="2" customWidth="1"/>
    <col min="14" max="15" width="10.5703125" style="2" customWidth="1"/>
    <col min="16" max="16" width="8.42578125" style="2" customWidth="1"/>
    <col min="17" max="17" width="8.140625" style="2" customWidth="1"/>
    <col min="18" max="18" width="12.140625" style="2" customWidth="1"/>
    <col min="19" max="19" width="10.5703125" style="2" customWidth="1"/>
    <col min="20" max="20" width="8.85546875" style="2" customWidth="1"/>
    <col min="21" max="21" width="8" style="2" customWidth="1"/>
    <col min="22" max="22" width="10.5703125" style="2" customWidth="1"/>
    <col min="23" max="23" width="9.140625" style="2" customWidth="1"/>
    <col min="24" max="24" width="10.5703125" style="2" customWidth="1"/>
    <col min="25" max="25" width="10.7109375" style="2" customWidth="1"/>
    <col min="26" max="26" width="5.28515625" style="2" customWidth="1"/>
    <col min="27" max="27" width="15.28515625" style="2" customWidth="1"/>
    <col min="28" max="16384" width="10.5703125" style="2"/>
  </cols>
  <sheetData>
    <row r="1" spans="1:28" ht="15">
      <c r="A1" s="1544" t="s">
        <v>492</v>
      </c>
      <c r="B1" s="1544"/>
      <c r="C1" s="1544"/>
      <c r="D1" s="1544"/>
      <c r="E1" s="1544"/>
      <c r="F1" s="1544"/>
      <c r="G1" s="1544"/>
      <c r="H1" s="1544"/>
      <c r="I1" s="1544"/>
      <c r="J1" s="1544"/>
      <c r="K1" s="1544"/>
      <c r="L1" s="1544"/>
      <c r="M1" s="1544"/>
      <c r="N1" s="1543" t="s">
        <v>849</v>
      </c>
      <c r="O1" s="1543"/>
      <c r="P1" s="1543"/>
      <c r="Q1" s="1543"/>
      <c r="R1" s="1543"/>
      <c r="S1" s="1543"/>
      <c r="T1" s="1543"/>
      <c r="U1" s="1543"/>
      <c r="V1" s="1543"/>
      <c r="W1" s="1543"/>
      <c r="X1" s="1543"/>
      <c r="Y1" s="1543"/>
      <c r="Z1" s="1543"/>
      <c r="AA1" s="1543"/>
    </row>
    <row r="2" spans="1:28" ht="14.25">
      <c r="A2" s="1543" t="s">
        <v>850</v>
      </c>
      <c r="B2" s="1543"/>
      <c r="C2" s="1543"/>
      <c r="D2" s="1543"/>
      <c r="E2" s="1543"/>
      <c r="F2" s="1543"/>
      <c r="G2" s="1543"/>
      <c r="H2" s="1543"/>
      <c r="I2" s="1543"/>
      <c r="J2" s="1543"/>
      <c r="K2" s="1543"/>
      <c r="L2" s="1543"/>
      <c r="M2" s="1543"/>
      <c r="N2" s="1613" t="s">
        <v>851</v>
      </c>
      <c r="O2" s="1613"/>
      <c r="P2" s="1613"/>
      <c r="Q2" s="1613"/>
      <c r="R2" s="1613"/>
      <c r="S2" s="1613"/>
      <c r="T2" s="1613"/>
      <c r="U2" s="1613"/>
      <c r="V2" s="1613"/>
      <c r="W2" s="1613"/>
      <c r="X2" s="1613"/>
      <c r="Y2" s="1613"/>
      <c r="Z2" s="1613"/>
      <c r="AA2" s="1613"/>
    </row>
    <row r="3" spans="1:28" ht="14.25">
      <c r="A3" s="1613" t="s">
        <v>852</v>
      </c>
      <c r="B3" s="1613"/>
      <c r="C3" s="1613"/>
      <c r="D3" s="1613"/>
      <c r="E3" s="1613"/>
      <c r="F3" s="1613"/>
      <c r="G3" s="1613"/>
      <c r="H3" s="1613"/>
      <c r="I3" s="1613"/>
      <c r="J3" s="1613"/>
      <c r="K3" s="1613"/>
      <c r="L3" s="1613"/>
      <c r="M3" s="1613"/>
      <c r="N3" s="3"/>
      <c r="O3" s="3"/>
      <c r="P3" s="1"/>
      <c r="Q3" s="1"/>
      <c r="R3" s="1"/>
      <c r="S3" s="1"/>
      <c r="T3" s="1"/>
      <c r="U3" s="1"/>
      <c r="V3" s="1"/>
      <c r="W3" s="1"/>
      <c r="X3" s="1"/>
      <c r="Y3" s="3"/>
    </row>
    <row r="4" spans="1:28" ht="13.5" customHeight="1">
      <c r="K4" s="1"/>
      <c r="L4" s="1"/>
      <c r="M4" s="1"/>
      <c r="N4" s="3"/>
      <c r="O4" s="3"/>
      <c r="P4" s="1"/>
      <c r="Q4" s="1"/>
      <c r="R4" s="1"/>
      <c r="S4" s="1"/>
      <c r="T4" s="1"/>
      <c r="U4" s="1"/>
      <c r="V4" s="1"/>
      <c r="W4" s="1"/>
      <c r="X4" s="1"/>
      <c r="Y4" s="3"/>
    </row>
    <row r="5" spans="1:28" ht="15.75">
      <c r="A5" s="1547" t="s">
        <v>788</v>
      </c>
      <c r="B5" s="1547"/>
      <c r="C5" s="1547"/>
      <c r="D5" s="1547"/>
      <c r="E5" s="1547"/>
      <c r="F5" s="1547"/>
      <c r="G5" s="1547"/>
      <c r="H5" s="1547"/>
      <c r="I5" s="1547"/>
      <c r="J5" s="1547"/>
      <c r="K5" s="1547"/>
      <c r="L5" s="1547"/>
      <c r="M5" s="1547"/>
      <c r="N5" s="1547"/>
      <c r="O5" s="1547"/>
      <c r="P5" s="1547"/>
      <c r="Q5" s="1547"/>
      <c r="R5" s="1547"/>
      <c r="S5" s="1547"/>
      <c r="T5" s="1547"/>
      <c r="U5" s="1547"/>
      <c r="V5" s="1547"/>
      <c r="W5" s="1547"/>
      <c r="X5" s="1547"/>
      <c r="Y5" s="1547"/>
      <c r="Z5" s="1547"/>
      <c r="AA5" s="1547"/>
    </row>
    <row r="6" spans="1:28" ht="15.75">
      <c r="A6" s="1547" t="s">
        <v>1136</v>
      </c>
      <c r="B6" s="1547"/>
      <c r="C6" s="1547"/>
      <c r="D6" s="1547"/>
      <c r="E6" s="1547"/>
      <c r="F6" s="1547"/>
      <c r="G6" s="1547"/>
      <c r="H6" s="1547"/>
      <c r="I6" s="1547"/>
      <c r="J6" s="1547"/>
      <c r="K6" s="1547"/>
      <c r="L6" s="1547"/>
      <c r="M6" s="1547"/>
      <c r="N6" s="1547"/>
      <c r="O6" s="1547"/>
      <c r="P6" s="1547"/>
      <c r="Q6" s="1547"/>
      <c r="R6" s="1547"/>
      <c r="S6" s="1547"/>
      <c r="T6" s="1547"/>
      <c r="U6" s="1547"/>
      <c r="V6" s="1547"/>
      <c r="W6" s="1547"/>
      <c r="X6" s="1547"/>
      <c r="Y6" s="1547"/>
      <c r="Z6" s="1547"/>
      <c r="AA6" s="1547"/>
    </row>
    <row r="7" spans="1:28" ht="34.5" customHeight="1">
      <c r="A7" s="1610" t="s">
        <v>833</v>
      </c>
      <c r="B7" s="1547"/>
      <c r="C7" s="1547"/>
      <c r="D7" s="1547"/>
      <c r="E7" s="1547"/>
      <c r="F7" s="1547"/>
      <c r="G7" s="1547"/>
      <c r="H7" s="1547"/>
      <c r="I7" s="1547"/>
      <c r="J7" s="1547"/>
      <c r="K7" s="1547"/>
      <c r="L7" s="1547"/>
      <c r="M7" s="1547"/>
      <c r="N7" s="1547"/>
      <c r="O7" s="1547"/>
      <c r="P7" s="1547"/>
      <c r="Q7" s="1547"/>
      <c r="R7" s="1547"/>
      <c r="S7" s="1547"/>
      <c r="T7" s="1547"/>
      <c r="U7" s="1547"/>
      <c r="V7" s="1547"/>
      <c r="W7" s="1547"/>
      <c r="X7" s="1547"/>
      <c r="Y7" s="1547"/>
      <c r="Z7" s="1547"/>
      <c r="AA7" s="1547"/>
    </row>
    <row r="8" spans="1:28" ht="11.25" customHeight="1">
      <c r="A8" s="5"/>
      <c r="B8" s="5"/>
      <c r="C8" s="5"/>
      <c r="D8" s="5"/>
      <c r="E8" s="5"/>
      <c r="F8" s="5"/>
      <c r="G8" s="5"/>
      <c r="H8" s="5"/>
      <c r="I8" s="5"/>
      <c r="J8" s="5"/>
      <c r="K8" s="5"/>
      <c r="L8" s="5"/>
      <c r="M8" s="5"/>
      <c r="N8" s="5"/>
      <c r="O8" s="5"/>
      <c r="P8" s="5"/>
      <c r="Q8" s="5"/>
      <c r="R8" s="5"/>
      <c r="S8" s="5"/>
      <c r="T8" s="5"/>
      <c r="U8" s="5"/>
      <c r="V8" s="5"/>
      <c r="W8" s="5"/>
      <c r="X8" s="5"/>
      <c r="Y8" s="5"/>
      <c r="Z8" s="5"/>
      <c r="AA8" s="5"/>
    </row>
    <row r="9" spans="1:28" s="16" customFormat="1" ht="15">
      <c r="A9" s="18"/>
      <c r="B9" s="14" t="s">
        <v>557</v>
      </c>
      <c r="C9" s="14"/>
      <c r="D9" s="14"/>
      <c r="E9" s="14"/>
      <c r="F9" s="14"/>
      <c r="G9" s="14"/>
      <c r="H9" s="14"/>
      <c r="I9" s="39">
        <v>1050000</v>
      </c>
      <c r="J9" s="14"/>
      <c r="K9" s="14"/>
      <c r="L9" s="14"/>
      <c r="M9" s="14"/>
      <c r="N9" s="42" t="s">
        <v>1195</v>
      </c>
      <c r="O9" s="13"/>
      <c r="P9" s="1612" t="s">
        <v>834</v>
      </c>
      <c r="Q9" s="1612"/>
      <c r="R9" s="1612"/>
      <c r="S9" s="1612"/>
      <c r="T9" s="1612"/>
      <c r="U9" s="1612"/>
      <c r="V9" s="14"/>
      <c r="W9" s="14" t="s">
        <v>1181</v>
      </c>
      <c r="X9" s="14"/>
      <c r="Y9" s="17"/>
      <c r="Z9" s="18"/>
      <c r="AA9" s="18"/>
    </row>
    <row r="10" spans="1:28">
      <c r="A10" s="1"/>
      <c r="B10" s="7"/>
      <c r="C10" s="7"/>
      <c r="D10" s="7"/>
      <c r="E10" s="7"/>
      <c r="F10" s="7"/>
      <c r="G10" s="7"/>
      <c r="H10" s="7"/>
      <c r="I10" s="7"/>
      <c r="J10" s="7"/>
      <c r="K10" s="7"/>
      <c r="L10" s="7"/>
      <c r="M10" s="7"/>
      <c r="N10" s="7"/>
      <c r="O10" s="7"/>
      <c r="P10" s="7"/>
      <c r="Q10" s="7"/>
      <c r="R10" s="7"/>
      <c r="S10" s="7"/>
      <c r="T10" s="7"/>
      <c r="U10" s="7"/>
      <c r="V10" s="7"/>
      <c r="W10" s="7"/>
      <c r="X10" s="7"/>
      <c r="Y10" s="3"/>
      <c r="Z10" s="1"/>
      <c r="AA10" s="1"/>
    </row>
    <row r="11" spans="1:28" s="108" customFormat="1" ht="78.75">
      <c r="A11" s="8" t="s">
        <v>853</v>
      </c>
      <c r="B11" s="1615" t="s">
        <v>854</v>
      </c>
      <c r="C11" s="1615"/>
      <c r="D11" s="8"/>
      <c r="E11" s="77" t="s">
        <v>51</v>
      </c>
      <c r="F11" s="77" t="s">
        <v>50</v>
      </c>
      <c r="G11" s="64" t="s">
        <v>1137</v>
      </c>
      <c r="H11" s="65" t="s">
        <v>1138</v>
      </c>
      <c r="I11" s="66" t="s">
        <v>1139</v>
      </c>
      <c r="J11" s="64" t="s">
        <v>1140</v>
      </c>
      <c r="K11" s="9" t="s">
        <v>855</v>
      </c>
      <c r="L11" s="64" t="s">
        <v>1141</v>
      </c>
      <c r="M11" s="9" t="s">
        <v>860</v>
      </c>
      <c r="N11" s="28" t="s">
        <v>1186</v>
      </c>
      <c r="O11" s="40" t="s">
        <v>47</v>
      </c>
      <c r="P11" s="28" t="s">
        <v>861</v>
      </c>
      <c r="Q11" s="28" t="s">
        <v>857</v>
      </c>
      <c r="R11" s="40" t="s">
        <v>1182</v>
      </c>
      <c r="S11" s="28" t="s">
        <v>1187</v>
      </c>
      <c r="T11" s="41" t="s">
        <v>1183</v>
      </c>
      <c r="U11" s="28" t="s">
        <v>1188</v>
      </c>
      <c r="V11" s="41" t="s">
        <v>1184</v>
      </c>
      <c r="W11" s="28" t="s">
        <v>1189</v>
      </c>
      <c r="X11" s="28" t="s">
        <v>1190</v>
      </c>
      <c r="Y11" s="8" t="s">
        <v>1100</v>
      </c>
      <c r="Z11" s="1615" t="s">
        <v>40</v>
      </c>
      <c r="AA11" s="1615"/>
    </row>
    <row r="12" spans="1:28" s="108" customFormat="1">
      <c r="A12" s="22" t="s">
        <v>1110</v>
      </c>
      <c r="B12" s="1625" t="s">
        <v>1111</v>
      </c>
      <c r="C12" s="1625"/>
      <c r="D12" s="22"/>
      <c r="E12" s="22"/>
      <c r="F12" s="29"/>
      <c r="G12" s="67" t="s">
        <v>1112</v>
      </c>
      <c r="H12" s="67" t="s">
        <v>1113</v>
      </c>
      <c r="I12" s="67" t="s">
        <v>1114</v>
      </c>
      <c r="J12" s="67" t="s">
        <v>1115</v>
      </c>
      <c r="K12" s="22" t="s">
        <v>1112</v>
      </c>
      <c r="L12" s="67" t="s">
        <v>1117</v>
      </c>
      <c r="M12" s="22" t="s">
        <v>1113</v>
      </c>
      <c r="N12" s="22" t="s">
        <v>1114</v>
      </c>
      <c r="O12" s="67" t="s">
        <v>1120</v>
      </c>
      <c r="P12" s="22" t="s">
        <v>1115</v>
      </c>
      <c r="Q12" s="22" t="s">
        <v>1116</v>
      </c>
      <c r="R12" s="67" t="s">
        <v>1123</v>
      </c>
      <c r="S12" s="22" t="s">
        <v>1117</v>
      </c>
      <c r="T12" s="69" t="s">
        <v>1125</v>
      </c>
      <c r="U12" s="22" t="s">
        <v>1118</v>
      </c>
      <c r="V12" s="69" t="s">
        <v>1127</v>
      </c>
      <c r="W12" s="22">
        <v>10</v>
      </c>
      <c r="X12" s="22">
        <v>11</v>
      </c>
      <c r="Y12" s="22">
        <v>12</v>
      </c>
      <c r="Z12" s="1625" t="s">
        <v>1122</v>
      </c>
      <c r="AA12" s="1625"/>
      <c r="AB12" s="159"/>
    </row>
    <row r="13" spans="1:28" s="108" customFormat="1" ht="22.5" customHeight="1">
      <c r="A13" s="58" t="s">
        <v>1110</v>
      </c>
      <c r="B13" s="59" t="s">
        <v>862</v>
      </c>
      <c r="C13" s="176" t="s">
        <v>863</v>
      </c>
      <c r="D13" s="176"/>
      <c r="E13" s="177" t="s">
        <v>258</v>
      </c>
      <c r="F13" s="76" t="s">
        <v>9</v>
      </c>
      <c r="G13" s="168">
        <v>6.1</v>
      </c>
      <c r="H13" s="168"/>
      <c r="I13" s="54">
        <f>G13+(G13*H13)</f>
        <v>6.1</v>
      </c>
      <c r="J13" s="168">
        <v>0.45</v>
      </c>
      <c r="K13" s="49">
        <f>I13+J13</f>
        <v>6.55</v>
      </c>
      <c r="L13" s="55">
        <f>K13*$I$9</f>
        <v>6877500</v>
      </c>
      <c r="M13" s="320" t="s">
        <v>858</v>
      </c>
      <c r="N13" s="55">
        <f>IF(M13="A",L13*0.5,IF(M13="B",L13*0.3,IF(M13="C",L13*0.1,0)))</f>
        <v>3438750</v>
      </c>
      <c r="O13" s="55">
        <f>IF(M13="A",1050000,IF(M13="B",735000,IF(M13="C",514500,0)))</f>
        <v>1050000</v>
      </c>
      <c r="P13" s="49">
        <v>21</v>
      </c>
      <c r="Q13" s="260">
        <v>19</v>
      </c>
      <c r="R13" s="169">
        <f>IF(N13&gt;O13,N13,O13)</f>
        <v>3438750</v>
      </c>
      <c r="S13" s="55">
        <f>IF(Q13&gt;=P13,R13,R13/P13*Q13)</f>
        <v>3111250</v>
      </c>
      <c r="T13" s="170"/>
      <c r="U13" s="55">
        <f>T13*$I$9*0.42</f>
        <v>0</v>
      </c>
      <c r="V13" s="101"/>
      <c r="W13" s="55">
        <f>V13*$I$9*0.42</f>
        <v>0</v>
      </c>
      <c r="X13" s="55">
        <f>(K13*$I$9*0.01)+(T13*1%*$I$9)+(V13*1%*$I$9)</f>
        <v>68775</v>
      </c>
      <c r="Y13" s="56">
        <f>S13+U13+W13+X13</f>
        <v>3180025</v>
      </c>
      <c r="Z13" s="60" t="str">
        <f>A13</f>
        <v>01</v>
      </c>
      <c r="AA13" s="171"/>
      <c r="AB13" s="159"/>
    </row>
    <row r="14" spans="1:28" s="108" customFormat="1" ht="22.5" customHeight="1">
      <c r="A14" s="20" t="s">
        <v>1111</v>
      </c>
      <c r="B14" s="33" t="s">
        <v>864</v>
      </c>
      <c r="C14" s="149" t="s">
        <v>865</v>
      </c>
      <c r="D14" s="149"/>
      <c r="E14" s="62" t="s">
        <v>259</v>
      </c>
      <c r="F14" s="75" t="s">
        <v>10</v>
      </c>
      <c r="G14" s="172">
        <v>2.06</v>
      </c>
      <c r="H14" s="172"/>
      <c r="I14" s="81">
        <f>G14+(G14*H14)</f>
        <v>2.06</v>
      </c>
      <c r="J14" s="172"/>
      <c r="K14" s="10">
        <f>I14+J14</f>
        <v>2.06</v>
      </c>
      <c r="L14" s="31">
        <f>K14*$I$9</f>
        <v>2163000</v>
      </c>
      <c r="M14" s="184" t="s">
        <v>858</v>
      </c>
      <c r="N14" s="31">
        <f>IF(M14="A",L14*0.5,IF(M14="B",L14*0.3,IF(M14="C",L14*0.1,0)))</f>
        <v>1081500</v>
      </c>
      <c r="O14" s="31">
        <f>IF(M14="A",1050000,IF(M14="B",735000,IF(M14="C",514500,0)))</f>
        <v>1050000</v>
      </c>
      <c r="P14" s="10">
        <v>21</v>
      </c>
      <c r="Q14" s="242">
        <v>21</v>
      </c>
      <c r="R14" s="173">
        <f>IF(N14&gt;O14,N14,O14)</f>
        <v>1081500</v>
      </c>
      <c r="S14" s="31">
        <f>IF(Q14&gt;=P14,R14,R14/P14*Q14)</f>
        <v>1081500</v>
      </c>
      <c r="T14" s="174"/>
      <c r="U14" s="31">
        <f>T14*$I$9*0.42</f>
        <v>0</v>
      </c>
      <c r="V14" s="74"/>
      <c r="W14" s="31">
        <f>V14*$I$9*0.42</f>
        <v>0</v>
      </c>
      <c r="X14" s="31">
        <f>(K14*$I$9*0.01)+(T14*1%*$I$9)+(V14*1%*$I$9)</f>
        <v>21630</v>
      </c>
      <c r="Y14" s="46">
        <f>S14+U14+W14+X14</f>
        <v>1103130</v>
      </c>
      <c r="Z14" s="11" t="str">
        <f>A14</f>
        <v>02</v>
      </c>
      <c r="AA14" s="112"/>
    </row>
    <row r="15" spans="1:28" s="108" customFormat="1" ht="22.5" customHeight="1">
      <c r="A15" s="20" t="s">
        <v>1112</v>
      </c>
      <c r="B15" s="33" t="s">
        <v>1180</v>
      </c>
      <c r="C15" s="149" t="s">
        <v>1178</v>
      </c>
      <c r="D15" s="149"/>
      <c r="E15" s="62" t="s">
        <v>260</v>
      </c>
      <c r="F15" s="75" t="s">
        <v>11</v>
      </c>
      <c r="G15" s="172">
        <v>1.86</v>
      </c>
      <c r="H15" s="172"/>
      <c r="I15" s="81">
        <f>G15+(G15*H15)</f>
        <v>1.86</v>
      </c>
      <c r="J15" s="172">
        <v>0</v>
      </c>
      <c r="K15" s="10">
        <f>I15+J15</f>
        <v>1.86</v>
      </c>
      <c r="L15" s="31">
        <f>K15*$I$9</f>
        <v>1953000</v>
      </c>
      <c r="M15" s="184" t="s">
        <v>858</v>
      </c>
      <c r="N15" s="31">
        <f>IF(M15="A",L15*0.5,IF(M15="B",L15*0.3,IF(M15="C",L15*0.1,0)))</f>
        <v>976500</v>
      </c>
      <c r="O15" s="31">
        <f>IF(M15="A",1050000,IF(M15="B",735000,IF(M15="C",514500,0)))</f>
        <v>1050000</v>
      </c>
      <c r="P15" s="10">
        <v>21</v>
      </c>
      <c r="Q15" s="242">
        <v>21</v>
      </c>
      <c r="R15" s="173">
        <f>IF(N15&gt;O15,N15,O15)</f>
        <v>1050000</v>
      </c>
      <c r="S15" s="31">
        <f>IF(Q15&gt;=P15,R15,R15/P15*Q15)</f>
        <v>1050000</v>
      </c>
      <c r="T15" s="174"/>
      <c r="U15" s="31">
        <f>T15*$I$9*0.42</f>
        <v>0</v>
      </c>
      <c r="V15" s="74"/>
      <c r="W15" s="31">
        <f>V15*$I$9*0.42</f>
        <v>0</v>
      </c>
      <c r="X15" s="31">
        <f>(K15*$I$9*0.01)+(T15*1%*$I$9)+(V15*1%*$I$9)</f>
        <v>19530</v>
      </c>
      <c r="Y15" s="46">
        <f>S15+U15+W15+X15</f>
        <v>1069530</v>
      </c>
      <c r="Z15" s="11" t="str">
        <f>A15</f>
        <v>03</v>
      </c>
      <c r="AA15" s="125"/>
    </row>
    <row r="16" spans="1:28" s="108" customFormat="1" ht="22.5" customHeight="1">
      <c r="A16" s="38" t="s">
        <v>1113</v>
      </c>
      <c r="B16" s="61" t="s">
        <v>1179</v>
      </c>
      <c r="C16" s="249" t="s">
        <v>987</v>
      </c>
      <c r="D16" s="249"/>
      <c r="E16" s="238" t="s">
        <v>261</v>
      </c>
      <c r="F16" s="250" t="s">
        <v>12</v>
      </c>
      <c r="G16" s="251">
        <v>2.06</v>
      </c>
      <c r="H16" s="251"/>
      <c r="I16" s="84">
        <f>G16+(G16*H16)</f>
        <v>2.06</v>
      </c>
      <c r="J16" s="251">
        <v>0</v>
      </c>
      <c r="K16" s="35">
        <v>2.2599999999999998</v>
      </c>
      <c r="L16" s="32">
        <f>K16*$I$9</f>
        <v>2373000</v>
      </c>
      <c r="M16" s="319" t="s">
        <v>858</v>
      </c>
      <c r="N16" s="32">
        <f>IF(M16="A",L16*0.5,IF(M16="B",L16*0.3,IF(M16="C",L16*0.1,0)))</f>
        <v>1186500</v>
      </c>
      <c r="O16" s="32">
        <f>IF(M16="A",1050000,IF(M16="B",735000,IF(M16="C",514500,0)))</f>
        <v>1050000</v>
      </c>
      <c r="P16" s="10">
        <v>21</v>
      </c>
      <c r="Q16" s="243">
        <v>16</v>
      </c>
      <c r="R16" s="175">
        <f>IF(N16&gt;O16,N16,O16)</f>
        <v>1186500</v>
      </c>
      <c r="S16" s="31">
        <f>IF(Q16&gt;=P16,R16,R16/P16*Q16)</f>
        <v>904000</v>
      </c>
      <c r="T16" s="252"/>
      <c r="U16" s="32">
        <f>T16*$I$9*0.42</f>
        <v>0</v>
      </c>
      <c r="V16" s="114"/>
      <c r="W16" s="32">
        <f>V16*$I$9*0.42</f>
        <v>0</v>
      </c>
      <c r="X16" s="31">
        <f>(K16*$I$9*0.01)+(T16*1%*$I$9)+(V16*1%*$I$9)</f>
        <v>23730</v>
      </c>
      <c r="Y16" s="46">
        <f>S16+U16+W16+X16</f>
        <v>927730</v>
      </c>
      <c r="Z16" s="19" t="str">
        <f>A16</f>
        <v>04</v>
      </c>
      <c r="AA16" s="253"/>
    </row>
    <row r="17" spans="1:27" s="7" customFormat="1" ht="20.25" customHeight="1">
      <c r="A17" s="50"/>
      <c r="B17" s="1624" t="s">
        <v>866</v>
      </c>
      <c r="C17" s="1624"/>
      <c r="D17" s="50"/>
      <c r="E17" s="50"/>
      <c r="F17" s="50"/>
      <c r="G17" s="50">
        <f>SUM(G13:G16)</f>
        <v>12.08</v>
      </c>
      <c r="H17" s="50">
        <f>SUM(H13:H16)</f>
        <v>0</v>
      </c>
      <c r="I17" s="50">
        <f>SUM(I13:I16)</f>
        <v>12.08</v>
      </c>
      <c r="J17" s="50">
        <f>SUM(J13:J16)</f>
        <v>0.45</v>
      </c>
      <c r="K17" s="50">
        <f>SUM(K13:K16)</f>
        <v>12.729999999999999</v>
      </c>
      <c r="L17" s="68">
        <f>K17*$I$9</f>
        <v>13366499.999999998</v>
      </c>
      <c r="M17" s="51"/>
      <c r="N17" s="52">
        <f>SUM(N13:N16)</f>
        <v>6683250</v>
      </c>
      <c r="O17" s="48"/>
      <c r="P17" s="50">
        <f>SUM(P13:P16)</f>
        <v>84</v>
      </c>
      <c r="Q17" s="50">
        <f>SUM(Q13:Q16)</f>
        <v>77</v>
      </c>
      <c r="R17" s="68"/>
      <c r="S17" s="52">
        <f t="shared" ref="S17:X17" si="0">SUM(S13:S16)</f>
        <v>6146750</v>
      </c>
      <c r="T17" s="70">
        <f t="shared" si="0"/>
        <v>0</v>
      </c>
      <c r="U17" s="52">
        <f t="shared" si="0"/>
        <v>0</v>
      </c>
      <c r="V17" s="70">
        <f t="shared" si="0"/>
        <v>0</v>
      </c>
      <c r="W17" s="52">
        <f t="shared" si="0"/>
        <v>0</v>
      </c>
      <c r="X17" s="52">
        <f t="shared" si="0"/>
        <v>133665</v>
      </c>
      <c r="Y17" s="164">
        <f>SUM(Y13:Y16)</f>
        <v>6280415</v>
      </c>
      <c r="Z17" s="105"/>
      <c r="AA17" s="110"/>
    </row>
    <row r="18" spans="1:27">
      <c r="K18" s="1"/>
      <c r="L18" s="1"/>
      <c r="M18" s="1"/>
      <c r="N18" s="3"/>
      <c r="O18" s="3"/>
      <c r="P18" s="1"/>
      <c r="Q18" s="1"/>
      <c r="R18" s="1"/>
      <c r="S18" s="1"/>
      <c r="T18" s="1"/>
      <c r="U18" s="1"/>
      <c r="V18" s="1"/>
      <c r="W18" s="1"/>
      <c r="X18" s="1"/>
      <c r="Y18" s="3"/>
    </row>
    <row r="19" spans="1:27" s="16" customFormat="1" ht="21" customHeight="1">
      <c r="B19" s="36" t="e">
        <f ca="1">"Số tiền bằng chữ: "&amp;[29]!DocSoUniH(Y17)&amp;" đồng."</f>
        <v>#NAME?</v>
      </c>
      <c r="C19" s="14"/>
      <c r="D19" s="14"/>
      <c r="E19" s="14"/>
      <c r="F19" s="14"/>
      <c r="G19" s="15"/>
      <c r="H19" s="15"/>
      <c r="I19" s="15"/>
      <c r="J19" s="15"/>
      <c r="K19" s="106"/>
      <c r="L19" s="17"/>
      <c r="M19" s="18"/>
      <c r="N19" s="17"/>
      <c r="O19" s="17"/>
      <c r="P19" s="18"/>
      <c r="Q19" s="18"/>
      <c r="R19" s="18"/>
      <c r="S19" s="18"/>
      <c r="T19" s="18"/>
      <c r="U19" s="18"/>
      <c r="V19" s="18"/>
      <c r="W19" s="18"/>
      <c r="X19" s="18"/>
      <c r="Y19" s="43"/>
    </row>
    <row r="20" spans="1:27" ht="15.75">
      <c r="Y20" s="130" t="s">
        <v>787</v>
      </c>
    </row>
    <row r="21" spans="1:27" s="16" customFormat="1" ht="15">
      <c r="A21" s="1543" t="s">
        <v>859</v>
      </c>
      <c r="B21" s="1543"/>
      <c r="C21" s="14"/>
      <c r="D21" s="14"/>
      <c r="E21" s="14"/>
      <c r="F21" s="14"/>
      <c r="G21" s="14"/>
      <c r="H21" s="14"/>
      <c r="I21" s="14"/>
      <c r="J21" s="14"/>
      <c r="L21" s="14"/>
      <c r="M21" s="13" t="s">
        <v>447</v>
      </c>
      <c r="O21" s="14"/>
      <c r="P21" s="14"/>
      <c r="Q21" s="1543" t="s">
        <v>1191</v>
      </c>
      <c r="R21" s="1543"/>
      <c r="S21" s="1543"/>
      <c r="T21" s="1543"/>
      <c r="U21" s="1543"/>
      <c r="V21" s="14"/>
      <c r="X21" s="1543" t="s">
        <v>41</v>
      </c>
      <c r="Y21" s="1543"/>
      <c r="Z21" s="1543"/>
      <c r="AA21" s="14"/>
    </row>
    <row r="22" spans="1:27" s="16" customFormat="1" ht="15">
      <c r="H22" s="21"/>
      <c r="I22" s="18"/>
      <c r="N22" s="18"/>
      <c r="O22" s="18"/>
      <c r="P22" s="18"/>
      <c r="Q22" s="18"/>
      <c r="R22" s="18"/>
      <c r="S22" s="18"/>
      <c r="T22" s="26"/>
      <c r="U22" s="18"/>
      <c r="V22" s="26"/>
      <c r="W22" s="18"/>
      <c r="X22" s="18"/>
      <c r="Y22" s="13"/>
      <c r="Z22" s="18"/>
      <c r="AA22" s="18"/>
    </row>
    <row r="23" spans="1:27" s="16" customFormat="1" ht="15">
      <c r="H23" s="21"/>
      <c r="I23" s="18"/>
      <c r="N23" s="18"/>
      <c r="O23" s="18"/>
      <c r="P23" s="18"/>
      <c r="Q23" s="18"/>
      <c r="R23" s="18"/>
      <c r="S23" s="18"/>
      <c r="T23" s="26"/>
      <c r="U23" s="18"/>
      <c r="V23" s="26"/>
      <c r="W23" s="18"/>
      <c r="X23" s="18"/>
      <c r="Y23" s="18"/>
      <c r="Z23" s="18"/>
      <c r="AA23" s="18"/>
    </row>
    <row r="24" spans="1:27" s="16" customFormat="1" ht="15">
      <c r="H24" s="21"/>
      <c r="I24" s="18"/>
      <c r="N24" s="18"/>
      <c r="O24" s="18"/>
      <c r="P24" s="18"/>
      <c r="Q24" s="18"/>
      <c r="R24" s="18"/>
      <c r="S24" s="18"/>
      <c r="T24" s="26"/>
      <c r="U24" s="18"/>
      <c r="V24" s="26"/>
      <c r="W24" s="18"/>
      <c r="X24" s="18"/>
      <c r="Y24" s="18"/>
      <c r="Z24" s="18"/>
      <c r="AA24" s="18"/>
    </row>
    <row r="25" spans="1:27" s="16" customFormat="1" ht="6.75" customHeight="1">
      <c r="H25" s="21"/>
      <c r="I25" s="18"/>
      <c r="J25" s="18"/>
      <c r="K25" s="18"/>
      <c r="L25" s="18"/>
      <c r="M25" s="18"/>
      <c r="N25" s="18"/>
      <c r="O25" s="18"/>
      <c r="P25" s="18"/>
      <c r="Q25" s="18"/>
      <c r="R25" s="18"/>
      <c r="S25" s="18"/>
      <c r="T25" s="26"/>
      <c r="U25" s="18"/>
      <c r="V25" s="26"/>
      <c r="W25" s="18"/>
      <c r="X25" s="18"/>
      <c r="Y25" s="18"/>
      <c r="Z25" s="18"/>
      <c r="AA25" s="18"/>
    </row>
    <row r="26" spans="1:27" s="16" customFormat="1" ht="15">
      <c r="H26" s="21"/>
      <c r="I26" s="18"/>
      <c r="J26" s="18"/>
      <c r="K26" s="18"/>
      <c r="L26" s="18"/>
      <c r="M26" s="18"/>
      <c r="N26" s="18"/>
      <c r="O26" s="18"/>
      <c r="P26" s="18"/>
      <c r="Q26" s="18"/>
      <c r="R26" s="18"/>
      <c r="S26" s="18"/>
      <c r="T26" s="26"/>
      <c r="U26" s="18"/>
      <c r="V26" s="26"/>
      <c r="W26" s="18"/>
      <c r="X26" s="18"/>
      <c r="Y26" s="18"/>
      <c r="Z26" s="18"/>
      <c r="AA26" s="18"/>
    </row>
    <row r="27" spans="1:27" s="16" customFormat="1" ht="15">
      <c r="H27" s="21"/>
      <c r="I27" s="18"/>
      <c r="J27" s="18"/>
      <c r="K27" s="18"/>
      <c r="L27" s="18"/>
      <c r="M27" s="18"/>
      <c r="N27" s="18"/>
      <c r="O27" s="18"/>
      <c r="P27" s="18"/>
      <c r="Q27" s="18"/>
      <c r="R27" s="18"/>
      <c r="S27" s="18"/>
      <c r="T27" s="26"/>
      <c r="U27" s="18"/>
      <c r="V27" s="26"/>
      <c r="W27" s="18"/>
      <c r="X27" s="18"/>
      <c r="Y27" s="18"/>
      <c r="Z27" s="18"/>
      <c r="AA27" s="18"/>
    </row>
    <row r="28" spans="1:27" s="16" customFormat="1" ht="15">
      <c r="A28" s="1543" t="s">
        <v>554</v>
      </c>
      <c r="B28" s="1543"/>
      <c r="C28" s="13"/>
      <c r="D28" s="13"/>
      <c r="E28" s="13"/>
      <c r="F28" s="13"/>
      <c r="G28" s="14"/>
      <c r="H28" s="14"/>
      <c r="I28" s="14"/>
      <c r="J28" s="14"/>
      <c r="L28" s="14"/>
      <c r="M28" s="13" t="s">
        <v>526</v>
      </c>
      <c r="O28" s="14"/>
      <c r="P28" s="14"/>
      <c r="Q28" s="1543" t="s">
        <v>1102</v>
      </c>
      <c r="R28" s="1543"/>
      <c r="S28" s="1543"/>
      <c r="T28" s="1543"/>
      <c r="U28" s="1543"/>
      <c r="V28" s="14"/>
      <c r="X28" s="1543" t="s">
        <v>725</v>
      </c>
      <c r="Y28" s="1543"/>
      <c r="Z28" s="1543"/>
      <c r="AA28" s="14"/>
    </row>
    <row r="29" spans="1:27" ht="15.75">
      <c r="A29" s="6"/>
      <c r="H29" s="109"/>
      <c r="T29" s="104"/>
      <c r="V29" s="104"/>
    </row>
  </sheetData>
  <mergeCells count="20">
    <mergeCell ref="P9:U9"/>
    <mergeCell ref="B11:C11"/>
    <mergeCell ref="Z11:AA11"/>
    <mergeCell ref="A28:B28"/>
    <mergeCell ref="Q28:U28"/>
    <mergeCell ref="X28:Z28"/>
    <mergeCell ref="B17:C17"/>
    <mergeCell ref="A21:B21"/>
    <mergeCell ref="Q21:U21"/>
    <mergeCell ref="X21:Z21"/>
    <mergeCell ref="B12:C12"/>
    <mergeCell ref="Z12:AA12"/>
    <mergeCell ref="A5:AA5"/>
    <mergeCell ref="A6:AA6"/>
    <mergeCell ref="A7:AA7"/>
    <mergeCell ref="A1:M1"/>
    <mergeCell ref="N1:AA1"/>
    <mergeCell ref="A2:M2"/>
    <mergeCell ref="N2:AA2"/>
    <mergeCell ref="A3:M3"/>
  </mergeCells>
  <phoneticPr fontId="48" type="noConversion"/>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M144"/>
  <sheetViews>
    <sheetView tabSelected="1" zoomScale="110" zoomScaleNormal="110" workbookViewId="0">
      <selection activeCell="Z11" sqref="Z11"/>
    </sheetView>
  </sheetViews>
  <sheetFormatPr defaultRowHeight="12.75"/>
  <cols>
    <col min="1" max="1" width="5.28515625" style="2" customWidth="1"/>
    <col min="2" max="2" width="18.5703125" style="2" customWidth="1"/>
    <col min="3" max="3" width="9.140625" style="2" hidden="1" customWidth="1"/>
    <col min="4" max="4" width="11" style="511" hidden="1" customWidth="1"/>
    <col min="5" max="5" width="5.85546875" style="2" hidden="1" customWidth="1"/>
    <col min="6" max="6" width="20.85546875" style="2" customWidth="1"/>
    <col min="7" max="7" width="6.42578125" style="2" customWidth="1"/>
    <col min="8" max="8" width="13.140625" style="79" customWidth="1"/>
    <col min="9" max="9" width="5.140625" style="79" hidden="1" customWidth="1"/>
    <col min="10" max="10" width="11.140625" style="79" customWidth="1"/>
    <col min="11" max="11" width="13.5703125" style="79" customWidth="1"/>
    <col min="12" max="12" width="13.42578125" style="79" customWidth="1"/>
    <col min="13" max="13" width="7" style="2" customWidth="1"/>
    <col min="14" max="14" width="13.7109375" style="2" customWidth="1"/>
    <col min="15" max="15" width="7.5703125" style="2" hidden="1" customWidth="1"/>
    <col min="16" max="17" width="8" style="645" hidden="1" customWidth="1"/>
    <col min="18" max="18" width="7.5703125" style="645" customWidth="1"/>
    <col min="19" max="19" width="7.140625" style="645" hidden="1" customWidth="1"/>
    <col min="20" max="20" width="7.5703125" style="645" customWidth="1"/>
    <col min="21" max="21" width="7.28515625" style="645" customWidth="1"/>
    <col min="22" max="22" width="14.28515625" style="2" customWidth="1"/>
    <col min="23" max="23" width="3.85546875" style="1" customWidth="1"/>
    <col min="24" max="24" width="10.5703125" style="96" customWidth="1"/>
    <col min="25" max="25" width="12" style="2" customWidth="1"/>
    <col min="26" max="26" width="29.140625" style="2" customWidth="1"/>
    <col min="27" max="27" width="11.7109375" style="2" customWidth="1"/>
    <col min="28" max="16384" width="9.140625" style="2"/>
  </cols>
  <sheetData>
    <row r="1" spans="1:48" ht="15">
      <c r="A1" s="1544" t="s">
        <v>492</v>
      </c>
      <c r="B1" s="1544"/>
      <c r="C1" s="1544"/>
      <c r="D1" s="1544"/>
      <c r="E1" s="1544"/>
      <c r="F1" s="1544"/>
      <c r="G1" s="1544"/>
      <c r="H1" s="1544"/>
      <c r="I1" s="1544"/>
      <c r="J1" s="1544"/>
      <c r="K1" s="16"/>
      <c r="L1" s="16"/>
      <c r="M1" s="1543" t="s">
        <v>849</v>
      </c>
      <c r="N1" s="1543"/>
      <c r="O1" s="1543"/>
      <c r="P1" s="1543"/>
      <c r="Q1" s="1543"/>
      <c r="R1" s="1543"/>
      <c r="S1" s="1543"/>
      <c r="T1" s="1543"/>
      <c r="U1" s="1543"/>
      <c r="V1" s="1543"/>
      <c r="W1" s="1543"/>
      <c r="X1" s="1543"/>
    </row>
    <row r="2" spans="1:48" ht="15" customHeight="1">
      <c r="A2" s="1543" t="s">
        <v>1563</v>
      </c>
      <c r="B2" s="1543"/>
      <c r="C2" s="1543"/>
      <c r="D2" s="1543"/>
      <c r="E2" s="1543"/>
      <c r="F2" s="1543"/>
      <c r="G2" s="1543"/>
      <c r="H2" s="1543"/>
      <c r="I2" s="1543"/>
      <c r="J2" s="1543"/>
      <c r="K2" s="14"/>
      <c r="L2" s="14"/>
      <c r="M2" s="1543" t="s">
        <v>2179</v>
      </c>
      <c r="N2" s="1543"/>
      <c r="O2" s="1543"/>
      <c r="P2" s="1543"/>
      <c r="Q2" s="1543"/>
      <c r="R2" s="1543"/>
      <c r="S2" s="1543"/>
      <c r="T2" s="1543"/>
      <c r="U2" s="1543"/>
      <c r="V2" s="1543"/>
      <c r="W2" s="1543"/>
      <c r="X2" s="1543"/>
    </row>
    <row r="3" spans="1:48" ht="16.5" customHeight="1">
      <c r="A3" s="1543" t="s">
        <v>1564</v>
      </c>
      <c r="B3" s="1543"/>
      <c r="C3" s="1543"/>
      <c r="D3" s="1543"/>
      <c r="E3" s="1543"/>
      <c r="F3" s="1543"/>
      <c r="G3" s="1543"/>
      <c r="H3" s="1543"/>
      <c r="I3" s="1543"/>
      <c r="J3" s="1543"/>
      <c r="K3" s="14"/>
      <c r="L3" s="14"/>
      <c r="M3" s="13"/>
      <c r="N3" s="13"/>
      <c r="O3" s="18"/>
      <c r="P3" s="595"/>
      <c r="Q3" s="595"/>
      <c r="R3" s="595"/>
      <c r="S3" s="595"/>
      <c r="T3" s="595"/>
      <c r="U3" s="595"/>
      <c r="V3" s="17"/>
      <c r="W3" s="18"/>
    </row>
    <row r="4" spans="1:48" ht="4.5" customHeight="1">
      <c r="A4" s="187"/>
      <c r="B4" s="187"/>
      <c r="C4" s="187"/>
      <c r="D4" s="596"/>
      <c r="E4" s="187"/>
      <c r="F4" s="187"/>
      <c r="G4" s="187"/>
      <c r="H4" s="187"/>
      <c r="I4" s="187"/>
      <c r="J4" s="187"/>
      <c r="K4" s="187"/>
      <c r="L4" s="187"/>
      <c r="M4" s="187"/>
      <c r="N4" s="187"/>
      <c r="O4" s="18"/>
      <c r="P4" s="595"/>
      <c r="Q4" s="595"/>
      <c r="R4" s="595"/>
      <c r="S4" s="595"/>
      <c r="T4" s="595"/>
      <c r="U4" s="595"/>
      <c r="V4" s="17"/>
      <c r="W4" s="18"/>
    </row>
    <row r="5" spans="1:48" ht="18.75" customHeight="1">
      <c r="A5" s="1547" t="s">
        <v>2473</v>
      </c>
      <c r="B5" s="1547"/>
      <c r="C5" s="1547"/>
      <c r="D5" s="1547"/>
      <c r="E5" s="1547"/>
      <c r="F5" s="1547"/>
      <c r="G5" s="1547"/>
      <c r="H5" s="1547"/>
      <c r="I5" s="1547"/>
      <c r="J5" s="1547"/>
      <c r="K5" s="1547"/>
      <c r="L5" s="1547"/>
      <c r="M5" s="1547"/>
      <c r="N5" s="1547"/>
      <c r="O5" s="1547"/>
      <c r="P5" s="1547"/>
      <c r="Q5" s="1547"/>
      <c r="R5" s="1547"/>
      <c r="S5" s="1547"/>
      <c r="T5" s="1547"/>
      <c r="U5" s="1547"/>
      <c r="V5" s="1547"/>
      <c r="W5" s="1547"/>
      <c r="X5" s="1547"/>
    </row>
    <row r="6" spans="1:48" ht="18.75" customHeight="1">
      <c r="A6" s="1547" t="s">
        <v>2160</v>
      </c>
      <c r="B6" s="1547"/>
      <c r="C6" s="1547"/>
      <c r="D6" s="1547"/>
      <c r="E6" s="1547"/>
      <c r="F6" s="1547"/>
      <c r="G6" s="1547"/>
      <c r="H6" s="1547"/>
      <c r="I6" s="1547"/>
      <c r="J6" s="1547"/>
      <c r="K6" s="1547"/>
      <c r="L6" s="1547"/>
      <c r="M6" s="1547"/>
      <c r="N6" s="1547"/>
      <c r="O6" s="1547"/>
      <c r="P6" s="1547"/>
      <c r="Q6" s="1547"/>
      <c r="R6" s="1547"/>
      <c r="S6" s="1547"/>
      <c r="T6" s="1547"/>
      <c r="U6" s="1547"/>
      <c r="V6" s="1547"/>
      <c r="W6" s="1547"/>
      <c r="X6" s="1547"/>
    </row>
    <row r="7" spans="1:48" ht="37.5" customHeight="1">
      <c r="A7" s="1548" t="s">
        <v>2416</v>
      </c>
      <c r="B7" s="1626"/>
      <c r="C7" s="1626"/>
      <c r="D7" s="1626"/>
      <c r="E7" s="1626"/>
      <c r="F7" s="1626"/>
      <c r="G7" s="1626"/>
      <c r="H7" s="1626"/>
      <c r="I7" s="1626"/>
      <c r="J7" s="1626"/>
      <c r="K7" s="1626"/>
      <c r="L7" s="1626"/>
      <c r="M7" s="1626"/>
      <c r="N7" s="1626"/>
      <c r="O7" s="1626"/>
      <c r="P7" s="1626"/>
      <c r="Q7" s="1626"/>
      <c r="R7" s="1626"/>
      <c r="S7" s="1626"/>
      <c r="T7" s="1626"/>
      <c r="U7" s="1626"/>
      <c r="V7" s="1626"/>
      <c r="W7" s="1626"/>
      <c r="X7" s="1626"/>
    </row>
    <row r="8" spans="1:48" s="16" customFormat="1" ht="19.5" customHeight="1">
      <c r="A8" s="7"/>
      <c r="C8" s="346">
        <v>1390000</v>
      </c>
      <c r="D8" s="503"/>
      <c r="E8" s="14"/>
      <c r="F8" s="14"/>
      <c r="G8" s="595"/>
      <c r="H8" s="597"/>
      <c r="I8" s="597"/>
      <c r="J8" s="597"/>
      <c r="K8" s="597"/>
      <c r="L8" s="597"/>
      <c r="M8" s="1636"/>
      <c r="N8" s="1636"/>
      <c r="O8" s="14"/>
      <c r="P8" s="14"/>
      <c r="Q8" s="14"/>
      <c r="R8" s="18"/>
      <c r="S8" s="18"/>
      <c r="T8" s="18"/>
      <c r="V8" s="1347" t="s">
        <v>1181</v>
      </c>
      <c r="W8" s="18"/>
      <c r="X8" s="96"/>
    </row>
    <row r="9" spans="1:48" ht="3.75" customHeight="1">
      <c r="A9" s="1"/>
      <c r="B9" s="7"/>
      <c r="C9" s="7"/>
      <c r="D9" s="598"/>
      <c r="E9" s="7"/>
      <c r="F9" s="7"/>
      <c r="G9" s="599"/>
      <c r="H9" s="600"/>
      <c r="I9" s="600"/>
      <c r="J9" s="600"/>
      <c r="K9" s="600"/>
      <c r="L9" s="600"/>
      <c r="M9" s="1"/>
      <c r="N9" s="1"/>
      <c r="O9" s="1"/>
      <c r="P9" s="599"/>
      <c r="Q9" s="599"/>
      <c r="R9" s="599"/>
      <c r="S9" s="599"/>
      <c r="T9" s="599"/>
      <c r="U9" s="599"/>
      <c r="V9" s="3"/>
    </row>
    <row r="10" spans="1:48" s="111" customFormat="1" ht="23.25" customHeight="1">
      <c r="A10" s="1567" t="s">
        <v>853</v>
      </c>
      <c r="B10" s="1627" t="s">
        <v>854</v>
      </c>
      <c r="C10" s="1628"/>
      <c r="D10" s="396" t="s">
        <v>2027</v>
      </c>
      <c r="E10" s="396" t="s">
        <v>50</v>
      </c>
      <c r="F10" s="1567" t="s">
        <v>2486</v>
      </c>
      <c r="G10" s="1631" t="s">
        <v>2028</v>
      </c>
      <c r="H10" s="1633" t="s">
        <v>2267</v>
      </c>
      <c r="I10" s="1634"/>
      <c r="J10" s="1634"/>
      <c r="K10" s="1634"/>
      <c r="L10" s="1635"/>
      <c r="M10" s="1564" t="s">
        <v>2468</v>
      </c>
      <c r="N10" s="1638"/>
      <c r="O10" s="401"/>
      <c r="P10" s="1318"/>
      <c r="Q10" s="1318"/>
      <c r="R10" s="1633" t="s">
        <v>2390</v>
      </c>
      <c r="S10" s="1634"/>
      <c r="T10" s="1635"/>
      <c r="U10" s="1631" t="s">
        <v>2306</v>
      </c>
      <c r="V10" s="1631" t="s">
        <v>1100</v>
      </c>
      <c r="W10" s="1639" t="s">
        <v>40</v>
      </c>
      <c r="X10" s="1640"/>
    </row>
    <row r="11" spans="1:48" s="111" customFormat="1" ht="42" customHeight="1">
      <c r="A11" s="1637"/>
      <c r="B11" s="1629"/>
      <c r="C11" s="1630"/>
      <c r="D11" s="396"/>
      <c r="E11" s="396"/>
      <c r="F11" s="1637"/>
      <c r="G11" s="1632"/>
      <c r="H11" s="1318" t="s">
        <v>2352</v>
      </c>
      <c r="I11" s="1318" t="s">
        <v>2351</v>
      </c>
      <c r="J11" s="1318" t="s">
        <v>2350</v>
      </c>
      <c r="K11" s="1141" t="s">
        <v>2305</v>
      </c>
      <c r="L11" s="1318" t="s">
        <v>2404</v>
      </c>
      <c r="M11" s="401" t="s">
        <v>860</v>
      </c>
      <c r="N11" s="401" t="s">
        <v>2469</v>
      </c>
      <c r="O11" s="401"/>
      <c r="P11" s="1318"/>
      <c r="Q11" s="1318"/>
      <c r="R11" s="1318" t="s">
        <v>2391</v>
      </c>
      <c r="S11" s="1318"/>
      <c r="T11" s="1318" t="s">
        <v>2392</v>
      </c>
      <c r="U11" s="1632"/>
      <c r="V11" s="1632"/>
      <c r="W11" s="1641"/>
      <c r="X11" s="1642"/>
    </row>
    <row r="12" spans="1:48" s="108" customFormat="1" ht="17.25" customHeight="1">
      <c r="A12" s="29" t="s">
        <v>1110</v>
      </c>
      <c r="B12" s="1558" t="s">
        <v>1111</v>
      </c>
      <c r="C12" s="1558"/>
      <c r="D12" s="29"/>
      <c r="E12" s="29"/>
      <c r="F12" s="29"/>
      <c r="G12" s="602" t="s">
        <v>1112</v>
      </c>
      <c r="H12" s="602" t="s">
        <v>1113</v>
      </c>
      <c r="I12" s="602" t="s">
        <v>1122</v>
      </c>
      <c r="J12" s="602" t="s">
        <v>1114</v>
      </c>
      <c r="K12" s="602" t="s">
        <v>1115</v>
      </c>
      <c r="L12" s="602" t="s">
        <v>1116</v>
      </c>
      <c r="M12" s="602" t="s">
        <v>1117</v>
      </c>
      <c r="N12" s="602" t="s">
        <v>1118</v>
      </c>
      <c r="O12" s="29" t="s">
        <v>1117</v>
      </c>
      <c r="P12" s="603" t="s">
        <v>1118</v>
      </c>
      <c r="Q12" s="603"/>
      <c r="R12" s="603" t="s">
        <v>1119</v>
      </c>
      <c r="S12" s="603" t="s">
        <v>1143</v>
      </c>
      <c r="T12" s="603">
        <v>11</v>
      </c>
      <c r="U12" s="603">
        <v>12</v>
      </c>
      <c r="V12" s="603">
        <v>13</v>
      </c>
      <c r="W12" s="1562">
        <v>14</v>
      </c>
      <c r="X12" s="1563"/>
      <c r="Z12" s="154"/>
      <c r="AA12" s="154"/>
      <c r="AB12" s="154"/>
    </row>
    <row r="13" spans="1:48" s="372" customFormat="1" ht="36" customHeight="1">
      <c r="A13" s="20">
        <f>_xlfn.AGGREGATE(4,7,A$12:A12)+1</f>
        <v>1</v>
      </c>
      <c r="B13" s="1330" t="s">
        <v>2029</v>
      </c>
      <c r="C13" s="1337" t="s">
        <v>1106</v>
      </c>
      <c r="D13" s="1338" t="s">
        <v>2030</v>
      </c>
      <c r="E13" s="1339">
        <v>1603205359393</v>
      </c>
      <c r="F13" s="1339" t="s">
        <v>2449</v>
      </c>
      <c r="G13" s="368" t="s">
        <v>2031</v>
      </c>
      <c r="H13" s="1325">
        <v>7328179</v>
      </c>
      <c r="I13" s="1326"/>
      <c r="J13" s="1327">
        <f>H13*I13</f>
        <v>0</v>
      </c>
      <c r="K13" s="1325">
        <f>H13+J13</f>
        <v>7328179</v>
      </c>
      <c r="L13" s="1327">
        <f>IF(G13="D.03",K13*70%,K13*130%)</f>
        <v>5129725.3</v>
      </c>
      <c r="M13" s="1328" t="str">
        <f>VLOOKUP(B13,[25]!Table2[[Column2]:[Column6]],4,FALSE)</f>
        <v>A4</v>
      </c>
      <c r="N13" s="1327">
        <f t="shared" ref="N13:N48" si="0">ROUND(IF(AND(M13="A1",L13*0.8),L13*0.8,IF(AND(M13="A2",L13*0.7),L13*0.7,IF(AND(M13="A3",L13*0.6),L13*0.6,IF(AND(M13="A4",L13*0.5),L13*0.5,IF(AND(M13="B1",L13*0.35),L13*0.35,IF(AND(M13="B2",L13*0.25),L13*0.25,IF(AND(M13="C1",L13*0.15),L13*0.15,IF(M13="C2",L13*0.1,0)))))))),)</f>
        <v>2564863</v>
      </c>
      <c r="O13" s="1328">
        <f>IFERROR(INDEX('[21]CN HĐ'!$J$10:$J$74,MATCH(B13,'[21]CN HĐ'!$H$10:$H$74,0)),"")</f>
        <v>24</v>
      </c>
      <c r="P13" s="1329">
        <f>IFERROR(INDEX('[22]CN HĐ'!$J$10:$J$74,MATCH(B13,'[22]CN HĐ'!$H$10:$H$74,0)),"")</f>
        <v>27</v>
      </c>
      <c r="Q13" s="1329">
        <f>VLOOKUP(B13,'[23]CN HĐ'!$H$10:$J$74,3,FALSE)</f>
        <v>24</v>
      </c>
      <c r="R13" s="1329">
        <v>24</v>
      </c>
      <c r="S13" s="1329">
        <f>VLOOKUP(B13,'[26]CN HĐ'!$G$10:$I$67,3,FALSE)</f>
        <v>24</v>
      </c>
      <c r="T13" s="1329">
        <f>IF(S13&gt;=R13,R13,IF(S13&lt;R13,S13))</f>
        <v>24</v>
      </c>
      <c r="U13" s="1329"/>
      <c r="V13" s="1346">
        <f>ROUND(N13/R13*T13,0)</f>
        <v>2564863</v>
      </c>
      <c r="W13" s="612">
        <f t="shared" ref="W13:W20" si="1">A13</f>
        <v>1</v>
      </c>
      <c r="X13" s="613">
        <f>VLOOKUP(B13,'[26]CN HĐ'!$G$10:$L$67,6,FALSE)</f>
        <v>0</v>
      </c>
      <c r="Y13" s="108" t="str">
        <f>VLOOKUP(B13,TH.T4!B21:AC351,28,FALSE)</f>
        <v>TCHC</v>
      </c>
      <c r="Z13" s="155"/>
      <c r="AA13" s="155"/>
      <c r="AB13" s="155"/>
      <c r="AC13" s="108"/>
      <c r="AD13" s="108"/>
      <c r="AE13" s="108"/>
      <c r="AF13" s="108"/>
      <c r="AG13" s="108"/>
      <c r="AH13" s="108"/>
      <c r="AI13" s="108"/>
      <c r="AJ13" s="108"/>
      <c r="AK13" s="108"/>
      <c r="AL13" s="108"/>
      <c r="AM13" s="108"/>
      <c r="AN13" s="108"/>
      <c r="AO13" s="108"/>
      <c r="AP13" s="108"/>
      <c r="AQ13" s="108"/>
      <c r="AR13" s="108"/>
      <c r="AS13" s="108"/>
      <c r="AT13" s="108"/>
      <c r="AU13" s="108"/>
      <c r="AV13" s="108"/>
    </row>
    <row r="14" spans="1:48" s="372" customFormat="1" ht="40.5" customHeight="1">
      <c r="A14" s="20">
        <f>_xlfn.AGGREGATE(4,7,A$12:A13)+1</f>
        <v>2</v>
      </c>
      <c r="B14" s="1330" t="s">
        <v>2035</v>
      </c>
      <c r="C14" s="1337"/>
      <c r="D14" s="1338"/>
      <c r="E14" s="1339" t="s">
        <v>2036</v>
      </c>
      <c r="F14" s="1339" t="s">
        <v>2449</v>
      </c>
      <c r="G14" s="368" t="s">
        <v>2031</v>
      </c>
      <c r="H14" s="1325">
        <v>5468400</v>
      </c>
      <c r="I14" s="1326"/>
      <c r="J14" s="1327">
        <f t="shared" ref="J14:J73" si="2">H14*I14</f>
        <v>0</v>
      </c>
      <c r="K14" s="1325">
        <f t="shared" ref="K14:K73" si="3">H14+J14</f>
        <v>5468400</v>
      </c>
      <c r="L14" s="1327">
        <f>IF(G14="D.03",K14*70%,K14*130%)</f>
        <v>3827879.9999999995</v>
      </c>
      <c r="M14" s="1328" t="str">
        <f>VLOOKUP(B14,[25]!Table2[[Column2]:[Column6]],4,FALSE)</f>
        <v>A4</v>
      </c>
      <c r="N14" s="1327">
        <f t="shared" si="0"/>
        <v>1913940</v>
      </c>
      <c r="O14" s="1328">
        <f>IFERROR(INDEX('[21]CN HĐ'!$J$10:$J$74,MATCH(B14,'[21]CN HĐ'!$H$10:$H$74,0)),"")</f>
        <v>27</v>
      </c>
      <c r="P14" s="1329">
        <f>IFERROR(INDEX('[22]CN HĐ'!$J$10:$J$74,MATCH(B14,'[22]CN HĐ'!$H$10:$H$74,0)),"")</f>
        <v>25</v>
      </c>
      <c r="Q14" s="1329">
        <f>VLOOKUP(B14,'[23]CN HĐ'!$H$10:$J$74,3,FALSE)</f>
        <v>23</v>
      </c>
      <c r="R14" s="1329">
        <v>24</v>
      </c>
      <c r="S14" s="1329">
        <f>VLOOKUP(B14,'[26]CN HĐ'!$G$10:$I$67,3,FALSE)</f>
        <v>24</v>
      </c>
      <c r="T14" s="1329">
        <f t="shared" ref="T14:T73" si="4">IF(S14&gt;=R14,R14,IF(S14&lt;R14,S14))</f>
        <v>24</v>
      </c>
      <c r="U14" s="1329"/>
      <c r="V14" s="1346">
        <f t="shared" ref="V14:V73" si="5">ROUND(N14/R14*T14,0)</f>
        <v>1913940</v>
      </c>
      <c r="W14" s="612">
        <f t="shared" si="1"/>
        <v>2</v>
      </c>
      <c r="X14" s="613">
        <f>VLOOKUP(B14,'[26]CN HĐ'!$G$10:$L$67,6,FALSE)</f>
        <v>0</v>
      </c>
      <c r="Y14" s="108" t="str">
        <f>VLOOKUP(B14,TH.T4!B23:AC353,28,FALSE)</f>
        <v>TCHC</v>
      </c>
      <c r="Z14" s="487"/>
      <c r="AA14" s="487"/>
      <c r="AB14" s="487"/>
    </row>
    <row r="15" spans="1:48" s="372" customFormat="1" ht="33.75" customHeight="1">
      <c r="A15" s="20">
        <f>_xlfn.AGGREGATE(4,7,A$12:A14)+1</f>
        <v>3</v>
      </c>
      <c r="B15" s="1330" t="s">
        <v>2039</v>
      </c>
      <c r="C15" s="1331"/>
      <c r="D15" s="368" t="s">
        <v>2040</v>
      </c>
      <c r="E15" s="1339">
        <v>1603205287913</v>
      </c>
      <c r="F15" s="1339" t="s">
        <v>2449</v>
      </c>
      <c r="G15" s="368" t="s">
        <v>2031</v>
      </c>
      <c r="H15" s="1325">
        <v>7694588</v>
      </c>
      <c r="I15" s="1326"/>
      <c r="J15" s="1327">
        <f t="shared" si="2"/>
        <v>0</v>
      </c>
      <c r="K15" s="1325">
        <f t="shared" si="3"/>
        <v>7694588</v>
      </c>
      <c r="L15" s="1327">
        <f t="shared" ref="L15:L73" si="6">IF(G15="D.03",K15*70%,K15*130%)</f>
        <v>5386211.5999999996</v>
      </c>
      <c r="M15" s="1328" t="str">
        <f>VLOOKUP(B15,[25]!Table2[[Column2]:[Column6]],4,FALSE)</f>
        <v>A4</v>
      </c>
      <c r="N15" s="1327">
        <f t="shared" si="0"/>
        <v>2693106</v>
      </c>
      <c r="O15" s="1328">
        <f>IFERROR(INDEX('[21]CN HĐ'!$J$10:$J$74,MATCH(B15,'[21]CN HĐ'!$H$10:$H$74,0)),"")</f>
        <v>23</v>
      </c>
      <c r="P15" s="1329">
        <f>IFERROR(INDEX('[22]CN HĐ'!$J$10:$J$74,MATCH(B15,'[22]CN HĐ'!$H$10:$H$74,0)),"")</f>
        <v>26</v>
      </c>
      <c r="Q15" s="1329">
        <f>VLOOKUP(B15,'[23]CN HĐ'!$H$10:$J$74,3,FALSE)</f>
        <v>24</v>
      </c>
      <c r="R15" s="1329">
        <v>24</v>
      </c>
      <c r="S15" s="1329">
        <f>VLOOKUP(B15,'[26]CN HĐ'!$G$10:$I$67,3,FALSE)</f>
        <v>24</v>
      </c>
      <c r="T15" s="1329">
        <f t="shared" si="4"/>
        <v>24</v>
      </c>
      <c r="U15" s="1329"/>
      <c r="V15" s="1346">
        <f t="shared" si="5"/>
        <v>2693106</v>
      </c>
      <c r="W15" s="612">
        <f t="shared" si="1"/>
        <v>3</v>
      </c>
      <c r="X15" s="613">
        <f>VLOOKUP(B15,'[26]CN HĐ'!$G$10:$L$67,6,FALSE)</f>
        <v>0</v>
      </c>
      <c r="Y15" s="108" t="str">
        <f>VLOOKUP(B15,TH.T4!B25:AC355,28,FALSE)</f>
        <v>TCHC</v>
      </c>
      <c r="Z15" s="465"/>
      <c r="AA15" s="108"/>
      <c r="AB15" s="108"/>
      <c r="AC15" s="108"/>
      <c r="AD15" s="108"/>
      <c r="AE15" s="108"/>
      <c r="AF15" s="108"/>
      <c r="AG15" s="108"/>
      <c r="AH15" s="108"/>
      <c r="AI15" s="108"/>
      <c r="AJ15" s="108"/>
      <c r="AK15" s="108"/>
      <c r="AL15" s="108"/>
      <c r="AM15" s="108"/>
      <c r="AN15" s="108"/>
      <c r="AO15" s="108"/>
      <c r="AP15" s="108"/>
      <c r="AQ15" s="108"/>
      <c r="AR15" s="108"/>
      <c r="AS15" s="108"/>
      <c r="AT15" s="108"/>
      <c r="AU15" s="108"/>
      <c r="AV15" s="108"/>
    </row>
    <row r="16" spans="1:48" s="372" customFormat="1" ht="33.75" customHeight="1">
      <c r="A16" s="20">
        <f>_xlfn.AGGREGATE(4,7,A$12:A15)+1</f>
        <v>4</v>
      </c>
      <c r="B16" s="1330" t="s">
        <v>2043</v>
      </c>
      <c r="C16" s="1331"/>
      <c r="D16" s="368" t="s">
        <v>2044</v>
      </c>
      <c r="E16" s="1341" t="s">
        <v>2045</v>
      </c>
      <c r="F16" s="1339" t="s">
        <v>2449</v>
      </c>
      <c r="G16" s="81" t="s">
        <v>2031</v>
      </c>
      <c r="H16" s="1325">
        <v>8483283</v>
      </c>
      <c r="I16" s="1326"/>
      <c r="J16" s="1327">
        <f t="shared" si="2"/>
        <v>0</v>
      </c>
      <c r="K16" s="1325">
        <f t="shared" si="3"/>
        <v>8483283</v>
      </c>
      <c r="L16" s="1327">
        <f t="shared" si="6"/>
        <v>5938298.0999999996</v>
      </c>
      <c r="M16" s="1328" t="str">
        <f>VLOOKUP(B16,[25]!Table2[[Column2]:[Column6]],4,FALSE)</f>
        <v>A4</v>
      </c>
      <c r="N16" s="1327">
        <f t="shared" si="0"/>
        <v>2969149</v>
      </c>
      <c r="O16" s="1328">
        <f>IFERROR(INDEX('[21]CN HĐ'!$J$10:$J$74,MATCH(B16,'[21]CN HĐ'!$H$10:$H$74,0)),"")</f>
        <v>23</v>
      </c>
      <c r="P16" s="1329">
        <f>IFERROR(INDEX('[22]CN HĐ'!$J$10:$J$74,MATCH(B16,'[22]CN HĐ'!$H$10:$H$74,0)),"")</f>
        <v>26</v>
      </c>
      <c r="Q16" s="1329">
        <f>VLOOKUP(B16,'[23]CN HĐ'!$H$10:$J$74,3,FALSE)</f>
        <v>24</v>
      </c>
      <c r="R16" s="1329">
        <v>24</v>
      </c>
      <c r="S16" s="1329">
        <f>VLOOKUP(B16,'[26]CN HĐ'!$G$10:$I$67,3,FALSE)</f>
        <v>21</v>
      </c>
      <c r="T16" s="1329">
        <f t="shared" si="4"/>
        <v>21</v>
      </c>
      <c r="U16" s="1329"/>
      <c r="V16" s="1346">
        <f t="shared" si="5"/>
        <v>2598005</v>
      </c>
      <c r="W16" s="612">
        <f t="shared" si="1"/>
        <v>4</v>
      </c>
      <c r="X16" s="613" t="str">
        <f>VLOOKUP(B16,'[26]CN HĐ'!$G$10:$L$67,6,FALSE)</f>
        <v>Trừ 3 ngày nghỉ phép 4+5+6/9</v>
      </c>
      <c r="Y16" s="108" t="str">
        <f>VLOOKUP(B16,TH.T4!B27:AC357,28,FALSE)</f>
        <v>TCHC</v>
      </c>
      <c r="Z16" s="155"/>
      <c r="AA16" s="108"/>
      <c r="AB16" s="108"/>
      <c r="AC16" s="108"/>
      <c r="AD16" s="108"/>
      <c r="AE16" s="108"/>
      <c r="AF16" s="108"/>
      <c r="AG16" s="108"/>
      <c r="AH16" s="108"/>
      <c r="AI16" s="108"/>
      <c r="AJ16" s="108"/>
      <c r="AK16" s="108"/>
      <c r="AL16" s="108"/>
      <c r="AM16" s="108"/>
      <c r="AN16" s="108"/>
      <c r="AO16" s="108"/>
      <c r="AP16" s="108"/>
      <c r="AQ16" s="108"/>
      <c r="AR16" s="108"/>
      <c r="AS16" s="108"/>
      <c r="AT16" s="108"/>
      <c r="AU16" s="108"/>
      <c r="AV16" s="108"/>
    </row>
    <row r="17" spans="1:48" s="372" customFormat="1" ht="33.75" customHeight="1">
      <c r="A17" s="20">
        <f>_xlfn.AGGREGATE(4,7,A$12:A16)+1</f>
        <v>5</v>
      </c>
      <c r="B17" s="1330" t="s">
        <v>2046</v>
      </c>
      <c r="C17" s="1331"/>
      <c r="D17" s="81" t="s">
        <v>2047</v>
      </c>
      <c r="E17" s="1339" t="s">
        <v>2048</v>
      </c>
      <c r="F17" s="1339" t="s">
        <v>2449</v>
      </c>
      <c r="G17" s="81" t="s">
        <v>2031</v>
      </c>
      <c r="H17" s="1325">
        <v>6646874</v>
      </c>
      <c r="I17" s="1326"/>
      <c r="J17" s="1327">
        <f t="shared" si="2"/>
        <v>0</v>
      </c>
      <c r="K17" s="1325">
        <f t="shared" si="3"/>
        <v>6646874</v>
      </c>
      <c r="L17" s="1327">
        <f t="shared" si="6"/>
        <v>4652811.8</v>
      </c>
      <c r="M17" s="1328" t="str">
        <f>VLOOKUP(B17,[25]!Table2[[Column2]:[Column6]],4,FALSE)</f>
        <v>A3</v>
      </c>
      <c r="N17" s="1327">
        <f t="shared" si="0"/>
        <v>2791687</v>
      </c>
      <c r="O17" s="1328">
        <f>IFERROR(INDEX('[21]CN HĐ'!$J$10:$J$74,MATCH(B17,'[21]CN HĐ'!$H$10:$H$74,0)),"")</f>
        <v>29</v>
      </c>
      <c r="P17" s="1329">
        <f>IFERROR(INDEX('[22]CN HĐ'!$J$10:$J$74,MATCH(B17,'[22]CN HĐ'!$H$10:$H$74,0)),"")</f>
        <v>27</v>
      </c>
      <c r="Q17" s="1329">
        <f>VLOOKUP(B17,'[23]CN HĐ'!$H$10:$J$74,3,FALSE)</f>
        <v>24</v>
      </c>
      <c r="R17" s="1329">
        <v>24</v>
      </c>
      <c r="S17" s="1329">
        <f>VLOOKUP(B17,'[26]CN HĐ'!$G$10:$I$67,3,FALSE)</f>
        <v>24</v>
      </c>
      <c r="T17" s="1329">
        <f t="shared" si="4"/>
        <v>24</v>
      </c>
      <c r="U17" s="1329"/>
      <c r="V17" s="1346">
        <f t="shared" si="5"/>
        <v>2791687</v>
      </c>
      <c r="W17" s="612">
        <f t="shared" si="1"/>
        <v>5</v>
      </c>
      <c r="X17" s="613">
        <f>VLOOKUP(B17,'[26]CN HĐ'!$G$10:$L$67,6,FALSE)</f>
        <v>0</v>
      </c>
      <c r="Y17" s="108" t="str">
        <f>VLOOKUP(B17,TH.T4!B28:AC358,28,FALSE)</f>
        <v>TCHC</v>
      </c>
      <c r="Z17" s="155"/>
      <c r="AA17" s="108"/>
      <c r="AB17" s="108"/>
      <c r="AC17" s="108"/>
      <c r="AD17" s="108"/>
      <c r="AE17" s="108"/>
      <c r="AF17" s="108"/>
      <c r="AG17" s="108"/>
      <c r="AH17" s="108"/>
      <c r="AI17" s="108"/>
      <c r="AJ17" s="108"/>
      <c r="AK17" s="108"/>
      <c r="AL17" s="108"/>
      <c r="AM17" s="108"/>
      <c r="AN17" s="108"/>
      <c r="AO17" s="108"/>
      <c r="AP17" s="108"/>
      <c r="AQ17" s="108"/>
      <c r="AR17" s="108"/>
      <c r="AS17" s="108"/>
      <c r="AT17" s="108"/>
      <c r="AU17" s="108"/>
      <c r="AV17" s="108"/>
    </row>
    <row r="18" spans="1:48" s="372" customFormat="1" ht="33.75" customHeight="1">
      <c r="A18" s="20">
        <f>_xlfn.AGGREGATE(4,7,A$12:A17)+1</f>
        <v>6</v>
      </c>
      <c r="B18" s="1330" t="s">
        <v>2049</v>
      </c>
      <c r="C18" s="1331"/>
      <c r="D18" s="368" t="s">
        <v>2050</v>
      </c>
      <c r="E18" s="1339" t="s">
        <v>2051</v>
      </c>
      <c r="F18" s="1339" t="s">
        <v>2449</v>
      </c>
      <c r="G18" s="368" t="s">
        <v>2031</v>
      </c>
      <c r="H18" s="1325">
        <v>6330357</v>
      </c>
      <c r="I18" s="1326"/>
      <c r="J18" s="1327">
        <f t="shared" si="2"/>
        <v>0</v>
      </c>
      <c r="K18" s="1325">
        <f t="shared" si="3"/>
        <v>6330357</v>
      </c>
      <c r="L18" s="1327">
        <f t="shared" si="6"/>
        <v>4431249.8999999994</v>
      </c>
      <c r="M18" s="1328" t="str">
        <f>VLOOKUP(B18,[25]!Table2[[Column2]:[Column6]],4,FALSE)</f>
        <v>A3</v>
      </c>
      <c r="N18" s="1327">
        <f t="shared" si="0"/>
        <v>2658750</v>
      </c>
      <c r="O18" s="1328">
        <f>IFERROR(INDEX('[21]CN HĐ'!$J$10:$J$74,MATCH(B18,'[21]CN HĐ'!$H$10:$H$74,0)),"")</f>
        <v>29</v>
      </c>
      <c r="P18" s="1329">
        <f>IFERROR(INDEX('[22]CN HĐ'!$J$10:$J$74,MATCH(B18,'[22]CN HĐ'!$H$10:$H$74,0)),"")</f>
        <v>27</v>
      </c>
      <c r="Q18" s="1329">
        <f>VLOOKUP(B18,'[23]CN HĐ'!$H$10:$J$74,3,FALSE)</f>
        <v>23</v>
      </c>
      <c r="R18" s="1329">
        <v>24</v>
      </c>
      <c r="S18" s="1329">
        <f>VLOOKUP(B18,'[26]CN HĐ'!$G$10:$I$67,3,FALSE)</f>
        <v>24</v>
      </c>
      <c r="T18" s="1329">
        <f t="shared" si="4"/>
        <v>24</v>
      </c>
      <c r="U18" s="1329"/>
      <c r="V18" s="1346">
        <f t="shared" si="5"/>
        <v>2658750</v>
      </c>
      <c r="W18" s="612">
        <f t="shared" si="1"/>
        <v>6</v>
      </c>
      <c r="X18" s="613">
        <f>VLOOKUP(B18,'[26]CN HĐ'!$G$10:$L$67,6,FALSE)</f>
        <v>0</v>
      </c>
      <c r="Y18" s="108" t="str">
        <f>VLOOKUP(B18,TH.T4!B29:AC359,28,FALSE)</f>
        <v>TCHC</v>
      </c>
      <c r="Z18" s="487"/>
    </row>
    <row r="19" spans="1:48" s="372" customFormat="1" ht="33.75" customHeight="1">
      <c r="A19" s="20">
        <f>_xlfn.AGGREGATE(4,7,A$12:A18)+1</f>
        <v>7</v>
      </c>
      <c r="B19" s="1330" t="s">
        <v>2052</v>
      </c>
      <c r="C19" s="1331"/>
      <c r="D19" s="368"/>
      <c r="E19" s="1339"/>
      <c r="F19" s="1339" t="s">
        <v>2449</v>
      </c>
      <c r="G19" s="368" t="s">
        <v>2042</v>
      </c>
      <c r="H19" s="1325">
        <v>6076213</v>
      </c>
      <c r="I19" s="1326"/>
      <c r="J19" s="1327">
        <f t="shared" si="2"/>
        <v>0</v>
      </c>
      <c r="K19" s="1325">
        <f t="shared" si="3"/>
        <v>6076213</v>
      </c>
      <c r="L19" s="1327">
        <f t="shared" si="6"/>
        <v>7899076.9000000004</v>
      </c>
      <c r="M19" s="1328" t="str">
        <f>VLOOKUP(B19,[25]!Table2[[Column2]:[Column6]],4,FALSE)</f>
        <v>A4</v>
      </c>
      <c r="N19" s="1327">
        <f t="shared" si="0"/>
        <v>3949538</v>
      </c>
      <c r="O19" s="1328">
        <f>IFERROR(INDEX('[21]CN HĐ'!$J$10:$J$74,MATCH(B19,'[21]CN HĐ'!$H$10:$H$74,0)),"")</f>
        <v>28</v>
      </c>
      <c r="P19" s="1329">
        <f>IFERROR(INDEX('[22]CN HĐ'!$J$10:$J$74,MATCH(B19,'[22]CN HĐ'!$H$10:$H$74,0)),"")</f>
        <v>26</v>
      </c>
      <c r="Q19" s="1329">
        <f>VLOOKUP(B19,'[23]CN HĐ'!$H$10:$J$74,3,FALSE)</f>
        <v>23</v>
      </c>
      <c r="R19" s="1329">
        <v>24</v>
      </c>
      <c r="S19" s="1329">
        <f>VLOOKUP(B19,'[26]CN HĐ'!$G$10:$I$67,3,FALSE)</f>
        <v>24</v>
      </c>
      <c r="T19" s="1329">
        <f t="shared" si="4"/>
        <v>24</v>
      </c>
      <c r="U19" s="1329"/>
      <c r="V19" s="1346">
        <f t="shared" si="5"/>
        <v>3949538</v>
      </c>
      <c r="W19" s="612">
        <f t="shared" si="1"/>
        <v>7</v>
      </c>
      <c r="X19" s="613">
        <f>VLOOKUP(B19,'[26]CN HĐ'!$G$10:$L$67,6,FALSE)</f>
        <v>0</v>
      </c>
      <c r="Y19" s="108" t="str">
        <f>VLOOKUP(B19,TH.T4!B30:AC360,28,FALSE)</f>
        <v>TCHC</v>
      </c>
      <c r="Z19" s="591"/>
    </row>
    <row r="20" spans="1:48" s="372" customFormat="1" ht="33.75" customHeight="1">
      <c r="A20" s="20">
        <f>_xlfn.AGGREGATE(4,7,A$12:A19)+1</f>
        <v>8</v>
      </c>
      <c r="B20" s="1330" t="s">
        <v>2053</v>
      </c>
      <c r="C20" s="1331"/>
      <c r="D20" s="368"/>
      <c r="E20" s="1339"/>
      <c r="F20" s="1339" t="s">
        <v>2449</v>
      </c>
      <c r="G20" s="368" t="s">
        <v>2031</v>
      </c>
      <c r="H20" s="1325">
        <v>5208000</v>
      </c>
      <c r="I20" s="1326"/>
      <c r="J20" s="1327">
        <f t="shared" si="2"/>
        <v>0</v>
      </c>
      <c r="K20" s="1325">
        <f t="shared" si="3"/>
        <v>5208000</v>
      </c>
      <c r="L20" s="1327">
        <f t="shared" si="6"/>
        <v>3645600</v>
      </c>
      <c r="M20" s="1328" t="str">
        <f>VLOOKUP(B20,[25]!Table2[[Column2]:[Column6]],4,FALSE)</f>
        <v>A3</v>
      </c>
      <c r="N20" s="1327">
        <f t="shared" si="0"/>
        <v>2187360</v>
      </c>
      <c r="O20" s="1328">
        <f>IFERROR(INDEX('[21]CN HĐ'!$J$10:$J$74,MATCH(B20,'[21]CN HĐ'!$H$10:$H$74,0)),"")</f>
        <v>29</v>
      </c>
      <c r="P20" s="1329">
        <f>IFERROR(INDEX('[22]CN HĐ'!$J$10:$J$74,MATCH(B20,'[22]CN HĐ'!$H$10:$H$74,0)),"")</f>
        <v>24</v>
      </c>
      <c r="Q20" s="1329">
        <f>VLOOKUP(B20,'[23]CN HĐ'!$H$10:$J$74,3,FALSE)</f>
        <v>22</v>
      </c>
      <c r="R20" s="1329">
        <v>24</v>
      </c>
      <c r="S20" s="1329">
        <f>VLOOKUP(B20,'[26]CN HĐ'!$G$10:$I$67,3,FALSE)</f>
        <v>24</v>
      </c>
      <c r="T20" s="1329">
        <f t="shared" si="4"/>
        <v>24</v>
      </c>
      <c r="U20" s="1329"/>
      <c r="V20" s="1346">
        <f t="shared" si="5"/>
        <v>2187360</v>
      </c>
      <c r="W20" s="612">
        <f t="shared" si="1"/>
        <v>8</v>
      </c>
      <c r="X20" s="613">
        <f>VLOOKUP(B20,'[26]CN HĐ'!$G$10:$L$67,6,FALSE)</f>
        <v>0</v>
      </c>
      <c r="Y20" s="108" t="str">
        <f>VLOOKUP(B20,TH.T4!B31:AC361,28,FALSE)</f>
        <v>TCHC</v>
      </c>
      <c r="Z20" s="465"/>
      <c r="AA20" s="108"/>
      <c r="AB20" s="108"/>
      <c r="AC20" s="108"/>
      <c r="AD20" s="108"/>
      <c r="AE20" s="108"/>
      <c r="AF20" s="108"/>
      <c r="AG20" s="108"/>
      <c r="AH20" s="108"/>
      <c r="AI20" s="108"/>
      <c r="AJ20" s="108"/>
      <c r="AK20" s="108"/>
      <c r="AL20" s="108"/>
      <c r="AM20" s="108"/>
      <c r="AN20" s="108"/>
      <c r="AO20" s="108"/>
      <c r="AP20" s="108"/>
      <c r="AQ20" s="108"/>
      <c r="AR20" s="108"/>
      <c r="AS20" s="108"/>
      <c r="AT20" s="108"/>
      <c r="AU20" s="108"/>
      <c r="AV20" s="108"/>
    </row>
    <row r="21" spans="1:48" s="372" customFormat="1" ht="33" customHeight="1">
      <c r="A21" s="20">
        <f>_xlfn.AGGREGATE(4,7,A$12:A20)+1</f>
        <v>9</v>
      </c>
      <c r="B21" s="1330" t="s">
        <v>2418</v>
      </c>
      <c r="C21" s="1331"/>
      <c r="D21" s="368"/>
      <c r="E21" s="1339"/>
      <c r="F21" s="1339" t="s">
        <v>2449</v>
      </c>
      <c r="G21" s="368" t="s">
        <v>2031</v>
      </c>
      <c r="H21" s="1325">
        <v>4960000</v>
      </c>
      <c r="I21" s="1326"/>
      <c r="J21" s="1327"/>
      <c r="K21" s="1325">
        <f t="shared" si="3"/>
        <v>4960000</v>
      </c>
      <c r="L21" s="1327">
        <f t="shared" si="6"/>
        <v>3472000</v>
      </c>
      <c r="M21" s="1328" t="str">
        <f>VLOOKUP(B21,[25]!Table2[[Column2]:[Column6]],4,FALSE)</f>
        <v>A3</v>
      </c>
      <c r="N21" s="1327">
        <f t="shared" si="0"/>
        <v>2083200</v>
      </c>
      <c r="O21" s="1328"/>
      <c r="P21" s="1329"/>
      <c r="Q21" s="1329"/>
      <c r="R21" s="1329">
        <v>24</v>
      </c>
      <c r="S21" s="1329">
        <f>VLOOKUP(B21,'[26]CN HĐ'!$G$10:$I$67,3,FALSE)</f>
        <v>24</v>
      </c>
      <c r="T21" s="1329">
        <f t="shared" si="4"/>
        <v>24</v>
      </c>
      <c r="U21" s="1329"/>
      <c r="V21" s="1346">
        <f t="shared" si="5"/>
        <v>2083200</v>
      </c>
      <c r="W21" s="612"/>
      <c r="X21" s="613">
        <f>VLOOKUP(B21,'[26]CN HĐ'!$G$10:$L$67,6,FALSE)</f>
        <v>0</v>
      </c>
      <c r="Z21" s="591"/>
    </row>
    <row r="22" spans="1:48" s="372" customFormat="1" ht="28.5" customHeight="1">
      <c r="A22" s="20">
        <f>_xlfn.AGGREGATE(4,7,A$12:A21)+1</f>
        <v>10</v>
      </c>
      <c r="B22" s="1330" t="s">
        <v>2057</v>
      </c>
      <c r="C22" s="1331"/>
      <c r="D22" s="368" t="s">
        <v>2058</v>
      </c>
      <c r="E22" s="1341" t="s">
        <v>1256</v>
      </c>
      <c r="F22" s="1339" t="s">
        <v>2449</v>
      </c>
      <c r="G22" s="368" t="s">
        <v>2038</v>
      </c>
      <c r="H22" s="1325">
        <v>9077113</v>
      </c>
      <c r="I22" s="1326">
        <v>7.0000000000000007E-2</v>
      </c>
      <c r="J22" s="1327">
        <f>H22*I22</f>
        <v>635397.91</v>
      </c>
      <c r="K22" s="1325">
        <f>H22+J22</f>
        <v>9712510.9100000001</v>
      </c>
      <c r="L22" s="1327">
        <f>IF(G22="D.03",K22*70%,K22*130%)</f>
        <v>12626264.183</v>
      </c>
      <c r="M22" s="1328" t="str">
        <f>VLOOKUP(B22,[25]!Table2[[Column2]:[Column6]],4,FALSE)</f>
        <v>A3</v>
      </c>
      <c r="N22" s="1327">
        <f>ROUND(IF(AND(M22="A1",L22*0.8),L22*0.8,IF(AND(M22="A2",L22*0.7),L22*0.7,IF(AND(M22="A3",L22*0.6),L22*0.6,IF(AND(M22="A4",L22*0.5),L22*0.5,IF(AND(M22="B1",L22*0.35),L22*0.35,IF(AND(M22="B2",L22*0.25),L22*0.25,IF(AND(M22="C1",L22*0.15),L22*0.15,IF(M22="C2",L22*0.1,0)))))))),)</f>
        <v>7575759</v>
      </c>
      <c r="O22" s="1328">
        <f>IFERROR(INDEX('[21]CN HĐ'!$J$10:$J$74,MATCH(B22,'[21]CN HĐ'!$H$10:$H$74,0)),"")</f>
        <v>23</v>
      </c>
      <c r="P22" s="1329">
        <f>IFERROR(INDEX('[22]CN HĐ'!$J$10:$J$74,MATCH(B22,'[22]CN HĐ'!$H$10:$H$74,0)),"")</f>
        <v>27</v>
      </c>
      <c r="Q22" s="1329">
        <f>VLOOKUP(B22,'[23]CN HĐ'!$H$10:$J$74,3,FALSE)</f>
        <v>24</v>
      </c>
      <c r="R22" s="1329">
        <v>24</v>
      </c>
      <c r="S22" s="1329">
        <f>VLOOKUP(B22,'[26]CN HĐ'!$G$10:$I$67,3,FALSE)</f>
        <v>24</v>
      </c>
      <c r="T22" s="1329">
        <f>IF(S22&gt;=R22,R22,IF(S22&lt;R22,S22))</f>
        <v>24</v>
      </c>
      <c r="U22" s="1329"/>
      <c r="V22" s="1346">
        <f>ROUND(N22/R22*T22,0)</f>
        <v>7575759</v>
      </c>
      <c r="W22" s="612">
        <f>A22</f>
        <v>10</v>
      </c>
      <c r="X22" s="613">
        <f>VLOOKUP(B22,'[26]CN HĐ'!$G$10:$L$67,6,FALSE)</f>
        <v>0</v>
      </c>
      <c r="Y22" s="108" t="str">
        <f>VLOOKUP(B22,TH.T4!B35:AC365,28,FALSE)</f>
        <v>TCHC</v>
      </c>
      <c r="Z22" s="155"/>
      <c r="AA22" s="108"/>
      <c r="AB22" s="108"/>
      <c r="AC22" s="108"/>
      <c r="AD22" s="108"/>
      <c r="AE22" s="108"/>
      <c r="AF22" s="108"/>
      <c r="AG22" s="108"/>
      <c r="AH22" s="108"/>
      <c r="AI22" s="108"/>
      <c r="AJ22" s="108"/>
      <c r="AK22" s="108"/>
      <c r="AL22" s="108"/>
      <c r="AM22" s="108"/>
      <c r="AN22" s="108"/>
      <c r="AO22" s="108"/>
      <c r="AP22" s="108"/>
      <c r="AQ22" s="108"/>
      <c r="AR22" s="108"/>
      <c r="AS22" s="108"/>
      <c r="AT22" s="108"/>
      <c r="AU22" s="108"/>
      <c r="AV22" s="108"/>
    </row>
    <row r="23" spans="1:48" s="372" customFormat="1" ht="29.25" customHeight="1">
      <c r="A23" s="20">
        <f>_xlfn.AGGREGATE(4,7,A$12:A22)+1</f>
        <v>11</v>
      </c>
      <c r="B23" s="1330" t="s">
        <v>2059</v>
      </c>
      <c r="C23" s="1331"/>
      <c r="D23" s="368"/>
      <c r="E23" s="1341"/>
      <c r="F23" s="1339" t="s">
        <v>2449</v>
      </c>
      <c r="G23" s="368" t="s">
        <v>2031</v>
      </c>
      <c r="H23" s="1325">
        <v>5208000</v>
      </c>
      <c r="I23" s="1326"/>
      <c r="J23" s="1327">
        <f>H23*I23</f>
        <v>0</v>
      </c>
      <c r="K23" s="1325">
        <f>H23+J23</f>
        <v>5208000</v>
      </c>
      <c r="L23" s="1327">
        <f>IF(G23="D.03",K23*70%,K23*130%)</f>
        <v>3645600</v>
      </c>
      <c r="M23" s="1328" t="str">
        <f>VLOOKUP(B23,[25]!Table2[[Column2]:[Column6]],4,FALSE)</f>
        <v>A3</v>
      </c>
      <c r="N23" s="1327">
        <f>ROUND(IF(AND(M23="A1",L23*0.8),L23*0.8,IF(AND(M23="A2",L23*0.7),L23*0.7,IF(AND(M23="A3",L23*0.6),L23*0.6,IF(AND(M23="A4",L23*0.5),L23*0.5,IF(AND(M23="B1",L23*0.35),L23*0.35,IF(AND(M23="B2",L23*0.25),L23*0.25,IF(AND(M23="C1",L23*0.15),L23*0.15,IF(M23="C2",L23*0.1,0)))))))),)</f>
        <v>2187360</v>
      </c>
      <c r="O23" s="1328">
        <f>IFERROR(INDEX('[21]CN HĐ'!$J$10:$J$74,MATCH(B23,'[21]CN HĐ'!$H$10:$H$74,0)),"")</f>
        <v>23</v>
      </c>
      <c r="P23" s="1329">
        <f>IFERROR(INDEX('[22]CN HĐ'!$J$10:$J$74,MATCH(B23,'[22]CN HĐ'!$H$10:$H$74,0)),"")</f>
        <v>29</v>
      </c>
      <c r="Q23" s="1329">
        <f>VLOOKUP(B23,'[23]CN HĐ'!$H$10:$J$74,3,FALSE)</f>
        <v>23</v>
      </c>
      <c r="R23" s="1329">
        <v>24</v>
      </c>
      <c r="S23" s="1329">
        <f>VLOOKUP(B23,'[26]CN HĐ'!$G$10:$I$67,3,FALSE)</f>
        <v>24</v>
      </c>
      <c r="T23" s="1329">
        <f>IF(S23&gt;=R23,R23,IF(S23&lt;R23,S23))</f>
        <v>24</v>
      </c>
      <c r="U23" s="1329"/>
      <c r="V23" s="1346">
        <f>ROUND(N23/R23*T23,0)</f>
        <v>2187360</v>
      </c>
      <c r="W23" s="612">
        <f>A23</f>
        <v>11</v>
      </c>
      <c r="X23" s="613">
        <f>VLOOKUP(B23,'[26]CN HĐ'!$G$10:$L$67,6,FALSE)</f>
        <v>0</v>
      </c>
      <c r="Y23" s="108" t="str">
        <f>VLOOKUP(B23,TH.T4!B36:AC366,28,FALSE)</f>
        <v>TCHC</v>
      </c>
      <c r="Z23" s="487"/>
    </row>
    <row r="24" spans="1:48" s="372" customFormat="1" ht="30.75" customHeight="1">
      <c r="A24" s="20">
        <f>_xlfn.AGGREGATE(4,7,A$12:A23)+1</f>
        <v>12</v>
      </c>
      <c r="B24" s="1330" t="s">
        <v>2054</v>
      </c>
      <c r="C24" s="1331"/>
      <c r="D24" s="368"/>
      <c r="E24" s="1340">
        <v>1603205639357</v>
      </c>
      <c r="F24" s="1340" t="s">
        <v>2450</v>
      </c>
      <c r="G24" s="368" t="s">
        <v>2038</v>
      </c>
      <c r="H24" s="1325">
        <v>5851188</v>
      </c>
      <c r="I24" s="1326"/>
      <c r="J24" s="1327">
        <f t="shared" si="2"/>
        <v>0</v>
      </c>
      <c r="K24" s="1325">
        <f t="shared" si="3"/>
        <v>5851188</v>
      </c>
      <c r="L24" s="1327">
        <f t="shared" si="6"/>
        <v>7606544.4000000004</v>
      </c>
      <c r="M24" s="1328" t="str">
        <f>VLOOKUP(B24,[25]!Table2[[Column2]:[Column6]],4,FALSE)</f>
        <v>A3</v>
      </c>
      <c r="N24" s="1327">
        <f t="shared" si="0"/>
        <v>4563927</v>
      </c>
      <c r="O24" s="1328">
        <f>IFERROR(INDEX('[21]CN HĐ'!$J$10:$J$74,MATCH(B24,'[21]CN HĐ'!$H$10:$H$74,0)),"")</f>
        <v>24</v>
      </c>
      <c r="P24" s="1329">
        <f>IFERROR(INDEX('[22]CN HĐ'!$J$10:$J$74,MATCH(B24,'[22]CN HĐ'!$H$10:$H$74,0)),"")</f>
        <v>26</v>
      </c>
      <c r="Q24" s="1329">
        <f>VLOOKUP(B24,'[23]CN HĐ'!$H$10:$J$74,3,FALSE)</f>
        <v>24</v>
      </c>
      <c r="R24" s="1329">
        <v>24</v>
      </c>
      <c r="S24" s="1329">
        <f>VLOOKUP(B24,'[26]CN HĐ'!$G$10:$I$67,3,FALSE)</f>
        <v>24</v>
      </c>
      <c r="T24" s="1329">
        <f t="shared" si="4"/>
        <v>24</v>
      </c>
      <c r="U24" s="1329"/>
      <c r="V24" s="1346">
        <f t="shared" si="5"/>
        <v>4563927</v>
      </c>
      <c r="W24" s="612">
        <f t="shared" ref="W24:W54" si="7">A24</f>
        <v>12</v>
      </c>
      <c r="X24" s="613">
        <f>VLOOKUP(B24,'[26]CN HĐ'!$G$10:$L$67,6,FALSE)</f>
        <v>0</v>
      </c>
      <c r="Y24" s="108" t="str">
        <f>VLOOKUP(B24,TH.T4!B32:AC362,28,FALSE)</f>
        <v>TCHC</v>
      </c>
      <c r="Z24" s="155"/>
      <c r="AA24" s="108"/>
      <c r="AB24" s="108"/>
      <c r="AC24" s="108"/>
      <c r="AD24" s="108"/>
      <c r="AE24" s="108"/>
      <c r="AF24" s="108"/>
      <c r="AG24" s="108"/>
      <c r="AH24" s="108"/>
      <c r="AI24" s="108"/>
      <c r="AJ24" s="108"/>
      <c r="AK24" s="108"/>
      <c r="AL24" s="108"/>
      <c r="AM24" s="108"/>
      <c r="AN24" s="108"/>
      <c r="AO24" s="108"/>
      <c r="AP24" s="108"/>
      <c r="AQ24" s="108"/>
      <c r="AR24" s="108"/>
      <c r="AS24" s="108"/>
      <c r="AT24" s="108"/>
      <c r="AU24" s="108"/>
      <c r="AV24" s="108"/>
    </row>
    <row r="25" spans="1:48" s="372" customFormat="1" ht="30.75" customHeight="1">
      <c r="A25" s="20">
        <f>_xlfn.AGGREGATE(4,7,A$12:A24)+1</f>
        <v>13</v>
      </c>
      <c r="B25" s="1330" t="s">
        <v>2055</v>
      </c>
      <c r="C25" s="1331"/>
      <c r="D25" s="368"/>
      <c r="E25" s="1341">
        <v>1603205641829</v>
      </c>
      <c r="F25" s="1341" t="s">
        <v>2451</v>
      </c>
      <c r="G25" s="368" t="s">
        <v>2031</v>
      </c>
      <c r="H25" s="1325">
        <v>5741820</v>
      </c>
      <c r="I25" s="1326"/>
      <c r="J25" s="1327">
        <f t="shared" si="2"/>
        <v>0</v>
      </c>
      <c r="K25" s="1325">
        <f t="shared" si="3"/>
        <v>5741820</v>
      </c>
      <c r="L25" s="1327">
        <f t="shared" si="6"/>
        <v>4019273.9999999995</v>
      </c>
      <c r="M25" s="1328" t="str">
        <f>VLOOKUP(B25,[25]!Table2[[Column2]:[Column6]],4,FALSE)</f>
        <v>A3</v>
      </c>
      <c r="N25" s="1327">
        <f t="shared" si="0"/>
        <v>2411564</v>
      </c>
      <c r="O25" s="1328">
        <f>IFERROR(INDEX('[21]CN HĐ'!$J$10:$J$74,MATCH(B25,'[21]CN HĐ'!$H$10:$H$74,0)),"")</f>
        <v>27</v>
      </c>
      <c r="P25" s="1329">
        <f>IFERROR(INDEX('[22]CN HĐ'!$J$10:$J$74,MATCH(B25,'[22]CN HĐ'!$H$10:$H$74,0)),"")</f>
        <v>26</v>
      </c>
      <c r="Q25" s="1329">
        <f>VLOOKUP(B25,'[23]CN HĐ'!$H$10:$J$74,3,FALSE)</f>
        <v>22</v>
      </c>
      <c r="R25" s="1329">
        <v>24</v>
      </c>
      <c r="S25" s="1329">
        <f>VLOOKUP(B25,'[26]CN HĐ'!$G$10:$I$67,3,FALSE)</f>
        <v>24</v>
      </c>
      <c r="T25" s="1329">
        <f t="shared" si="4"/>
        <v>24</v>
      </c>
      <c r="U25" s="1329"/>
      <c r="V25" s="1346">
        <f t="shared" si="5"/>
        <v>2411564</v>
      </c>
      <c r="W25" s="612">
        <f t="shared" si="7"/>
        <v>13</v>
      </c>
      <c r="X25" s="613">
        <f>VLOOKUP(B25,'[26]CN HĐ'!$G$10:$L$67,6,FALSE)</f>
        <v>0</v>
      </c>
      <c r="Y25" s="108" t="str">
        <f>VLOOKUP(B25,TH.T4!B33:AC363,28,FALSE)</f>
        <v>TCHC</v>
      </c>
      <c r="Z25" s="155"/>
      <c r="AA25" s="108"/>
      <c r="AB25" s="108"/>
      <c r="AC25" s="108"/>
      <c r="AD25" s="108"/>
      <c r="AE25" s="108"/>
      <c r="AF25" s="108"/>
      <c r="AG25" s="108"/>
      <c r="AH25" s="108"/>
      <c r="AI25" s="108"/>
      <c r="AJ25" s="108"/>
      <c r="AK25" s="108"/>
      <c r="AL25" s="108"/>
      <c r="AM25" s="108"/>
      <c r="AN25" s="108"/>
      <c r="AO25" s="108"/>
      <c r="AP25" s="108"/>
    </row>
    <row r="26" spans="1:48" s="372" customFormat="1" ht="35.25" customHeight="1">
      <c r="A26" s="20">
        <f>_xlfn.AGGREGATE(4,7,A$12:A25)+1</f>
        <v>14</v>
      </c>
      <c r="B26" s="1330" t="s">
        <v>2060</v>
      </c>
      <c r="C26" s="1331"/>
      <c r="D26" s="368" t="s">
        <v>2061</v>
      </c>
      <c r="E26" s="1341" t="s">
        <v>1275</v>
      </c>
      <c r="F26" s="1341" t="s">
        <v>2452</v>
      </c>
      <c r="G26" s="81" t="s">
        <v>2042</v>
      </c>
      <c r="H26" s="1325">
        <v>8522203</v>
      </c>
      <c r="I26" s="1326"/>
      <c r="J26" s="1327">
        <f t="shared" si="2"/>
        <v>0</v>
      </c>
      <c r="K26" s="1325">
        <f t="shared" si="3"/>
        <v>8522203</v>
      </c>
      <c r="L26" s="1327">
        <f t="shared" si="6"/>
        <v>11078863.9</v>
      </c>
      <c r="M26" s="1328" t="str">
        <f>VLOOKUP(B26,[25]!Table2[[Column2]:[Column6]],4,FALSE)</f>
        <v>A3</v>
      </c>
      <c r="N26" s="1327">
        <f t="shared" si="0"/>
        <v>6647318</v>
      </c>
      <c r="O26" s="1328">
        <f>IFERROR(INDEX('[21]CN HĐ'!$J$10:$J$74,MATCH(B26,'[21]CN HĐ'!$H$10:$H$74,0)),"")</f>
        <v>25.5</v>
      </c>
      <c r="P26" s="1329">
        <f>IFERROR(INDEX('[22]CN HĐ'!$J$10:$J$74,MATCH(B26,'[22]CN HĐ'!$H$10:$H$74,0)),"")</f>
        <v>26</v>
      </c>
      <c r="Q26" s="1329">
        <f>VLOOKUP(B26,'[23]CN HĐ'!$H$10:$J$74,3,FALSE)</f>
        <v>21.5</v>
      </c>
      <c r="R26" s="1329">
        <v>24</v>
      </c>
      <c r="S26" s="1329">
        <f>VLOOKUP(B26,'[26]CN HĐ'!$G$10:$I$67,3,FALSE)</f>
        <v>23</v>
      </c>
      <c r="T26" s="1329">
        <f t="shared" si="4"/>
        <v>23</v>
      </c>
      <c r="U26" s="1329"/>
      <c r="V26" s="1346">
        <f t="shared" si="5"/>
        <v>6370346</v>
      </c>
      <c r="W26" s="612">
        <f t="shared" si="7"/>
        <v>14</v>
      </c>
      <c r="X26" s="613" t="str">
        <f>VLOOKUP(B26,'[26]CN HĐ'!$G$10:$L$67,6,FALSE)</f>
        <v>Trừ 1 ngày nghỉ phép 13/9</v>
      </c>
      <c r="Y26" s="108" t="str">
        <f>VLOOKUP(B26,TH.T4!B37:AC367,28,FALSE)</f>
        <v>TCHC</v>
      </c>
      <c r="Z26" s="155"/>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row>
    <row r="27" spans="1:48" s="372" customFormat="1" ht="33.75" customHeight="1">
      <c r="A27" s="20">
        <f>_xlfn.AGGREGATE(4,7,A$12:A26)+1</f>
        <v>15</v>
      </c>
      <c r="B27" s="1330" t="s">
        <v>2106</v>
      </c>
      <c r="C27" s="1337" t="s">
        <v>891</v>
      </c>
      <c r="D27" s="1338" t="s">
        <v>2107</v>
      </c>
      <c r="E27" s="1341">
        <v>1603205192034</v>
      </c>
      <c r="F27" s="1341" t="s">
        <v>2452</v>
      </c>
      <c r="G27" s="368" t="s">
        <v>2038</v>
      </c>
      <c r="H27" s="1325">
        <v>6773482</v>
      </c>
      <c r="I27" s="1326"/>
      <c r="J27" s="1327">
        <f>H27*I27</f>
        <v>0</v>
      </c>
      <c r="K27" s="1325">
        <f>H27+J27</f>
        <v>6773482</v>
      </c>
      <c r="L27" s="1327">
        <f>IF(G27="D.03",K27*70%,K27*130%)</f>
        <v>8805526.5999999996</v>
      </c>
      <c r="M27" s="1328" t="str">
        <f>VLOOKUP(B27,[25]!Table2[[Column2]:[Column6]],4,FALSE)</f>
        <v>A3</v>
      </c>
      <c r="N27" s="1327">
        <f>ROUND(IF(AND(M27="A1",L27*0.8),L27*0.8,IF(AND(M27="A2",L27*0.7),L27*0.7,IF(AND(M27="A3",L27*0.6),L27*0.6,IF(AND(M27="A4",L27*0.5),L27*0.5,IF(AND(M27="B1",L27*0.35),L27*0.35,IF(AND(M27="B2",L27*0.25),L27*0.25,IF(AND(M27="C1",L27*0.15),L27*0.15,IF(M27="C2",L27*0.1,0)))))))),)</f>
        <v>5283316</v>
      </c>
      <c r="O27" s="1328">
        <f>IFERROR(INDEX('[21]CN HĐ'!$J$10:$J$74,MATCH(B27,'[21]CN HĐ'!$H$10:$H$74,0)),"")</f>
        <v>27</v>
      </c>
      <c r="P27" s="1329">
        <f>IFERROR(INDEX('[22]CN HĐ'!$J$10:$J$74,MATCH(B27,'[22]CN HĐ'!$H$10:$H$74,0)),"")</f>
        <v>26</v>
      </c>
      <c r="Q27" s="1329">
        <f>VLOOKUP(B27,'[23]CN HĐ'!$H$10:$J$74,3,FALSE)</f>
        <v>23</v>
      </c>
      <c r="R27" s="1329">
        <v>24</v>
      </c>
      <c r="S27" s="1329">
        <f>VLOOKUP(B27,'[26]CN HĐ'!$G$10:$I$67,3,FALSE)</f>
        <v>24</v>
      </c>
      <c r="T27" s="1329">
        <f>IF(S27&gt;=R27,R27,IF(S27&lt;R27,S27))</f>
        <v>24</v>
      </c>
      <c r="U27" s="1329"/>
      <c r="V27" s="1346">
        <f>ROUND(N27/R27*T27,0)</f>
        <v>5283316</v>
      </c>
      <c r="W27" s="612">
        <f>A27</f>
        <v>15</v>
      </c>
      <c r="X27" s="613">
        <f>VLOOKUP(B27,'[26]CN HĐ'!$G$10:$L$67,6,FALSE)</f>
        <v>0</v>
      </c>
      <c r="Y27" s="108" t="str">
        <f>VLOOKUP(B27,TH.T4!B60:AC390,28,FALSE)</f>
        <v>TTrGD</v>
      </c>
      <c r="Z27" s="108"/>
      <c r="AA27" s="108"/>
      <c r="AB27" s="108"/>
      <c r="AC27" s="108"/>
      <c r="AD27" s="108"/>
      <c r="AE27" s="108"/>
      <c r="AF27" s="108"/>
      <c r="AG27" s="108"/>
      <c r="AH27" s="108"/>
      <c r="AI27" s="108"/>
      <c r="AJ27" s="108"/>
      <c r="AK27" s="108"/>
      <c r="AL27" s="108"/>
      <c r="AM27" s="108"/>
      <c r="AN27" s="108"/>
      <c r="AO27" s="108"/>
      <c r="AP27" s="108"/>
      <c r="AQ27" s="108"/>
      <c r="AR27" s="108"/>
      <c r="AS27" s="108"/>
      <c r="AT27" s="108"/>
      <c r="AU27" s="108"/>
      <c r="AV27" s="108"/>
    </row>
    <row r="28" spans="1:48" s="372" customFormat="1" ht="30.75" customHeight="1">
      <c r="A28" s="20">
        <f>_xlfn.AGGREGATE(4,7,A$12:A27)+1</f>
        <v>16</v>
      </c>
      <c r="B28" s="1330" t="s">
        <v>2062</v>
      </c>
      <c r="C28" s="1337" t="s">
        <v>874</v>
      </c>
      <c r="D28" s="1338" t="s">
        <v>2063</v>
      </c>
      <c r="E28" s="1341" t="s">
        <v>2064</v>
      </c>
      <c r="F28" s="1341" t="s">
        <v>2453</v>
      </c>
      <c r="G28" s="368" t="s">
        <v>2042</v>
      </c>
      <c r="H28" s="1325">
        <v>7964676</v>
      </c>
      <c r="I28" s="1326"/>
      <c r="J28" s="1327">
        <f t="shared" si="2"/>
        <v>0</v>
      </c>
      <c r="K28" s="1325">
        <f t="shared" si="3"/>
        <v>7964676</v>
      </c>
      <c r="L28" s="1327">
        <f t="shared" si="6"/>
        <v>10354078.800000001</v>
      </c>
      <c r="M28" s="1328" t="str">
        <f>VLOOKUP(B28,[25]!Table2[[Column2]:[Column6]],4,FALSE)</f>
        <v>A2</v>
      </c>
      <c r="N28" s="1327">
        <f t="shared" si="0"/>
        <v>7247855</v>
      </c>
      <c r="O28" s="1328">
        <f>IFERROR(INDEX('[21]CN HĐ'!$J$10:$J$74,MATCH(B28,'[21]CN HĐ'!$H$10:$H$74,0)),"")</f>
        <v>23</v>
      </c>
      <c r="P28" s="1329">
        <f>IFERROR(INDEX('[22]CN HĐ'!$J$10:$J$74,MATCH(B28,'[22]CN HĐ'!$H$10:$H$74,0)),"")</f>
        <v>0</v>
      </c>
      <c r="Q28" s="1329">
        <f>VLOOKUP(B28,'[23]CN HĐ'!$H$10:$J$74,3,FALSE)</f>
        <v>0</v>
      </c>
      <c r="R28" s="1329">
        <v>24</v>
      </c>
      <c r="S28" s="1329">
        <f>VLOOKUP(B28,'[26]CN HĐ'!$G$10:$I$67,3,FALSE)</f>
        <v>24</v>
      </c>
      <c r="T28" s="1329">
        <f t="shared" si="4"/>
        <v>24</v>
      </c>
      <c r="U28" s="1329"/>
      <c r="V28" s="1346">
        <f t="shared" si="5"/>
        <v>7247855</v>
      </c>
      <c r="W28" s="612">
        <f t="shared" si="7"/>
        <v>16</v>
      </c>
      <c r="X28" s="613">
        <f>VLOOKUP(B28,'[26]CN HĐ'!$G$10:$L$67,6,FALSE)</f>
        <v>0</v>
      </c>
      <c r="Y28" s="372" t="str">
        <f>VLOOKUP(B28,TH.T4!B38:AC368,28,FALSE)</f>
        <v>QTDV</v>
      </c>
    </row>
    <row r="29" spans="1:48" s="372" customFormat="1" ht="41.25" customHeight="1">
      <c r="A29" s="20">
        <f>_xlfn.AGGREGATE(4,7,A$12:A28)+1</f>
        <v>17</v>
      </c>
      <c r="B29" s="1330" t="s">
        <v>2065</v>
      </c>
      <c r="C29" s="1337" t="s">
        <v>921</v>
      </c>
      <c r="D29" s="1338" t="s">
        <v>2066</v>
      </c>
      <c r="E29" s="1341">
        <v>1603205186060</v>
      </c>
      <c r="F29" s="1341" t="s">
        <v>2453</v>
      </c>
      <c r="G29" s="368" t="s">
        <v>2038</v>
      </c>
      <c r="H29" s="1325">
        <v>7112156</v>
      </c>
      <c r="I29" s="1326"/>
      <c r="J29" s="1327">
        <f t="shared" si="2"/>
        <v>0</v>
      </c>
      <c r="K29" s="1325">
        <f t="shared" si="3"/>
        <v>7112156</v>
      </c>
      <c r="L29" s="1327">
        <f t="shared" si="6"/>
        <v>9245802.8000000007</v>
      </c>
      <c r="M29" s="1328" t="str">
        <f>VLOOKUP(B29,[25]!Table2[[Column2]:[Column6]],4,FALSE)</f>
        <v>A1</v>
      </c>
      <c r="N29" s="1327">
        <f t="shared" si="0"/>
        <v>7396642</v>
      </c>
      <c r="O29" s="1328">
        <f>IFERROR(INDEX('[21]CN HĐ'!$J$10:$J$74,MATCH(B29,'[21]CN HĐ'!$H$10:$H$74,0)),"")</f>
        <v>24</v>
      </c>
      <c r="P29" s="1329">
        <f>IFERROR(INDEX('[22]CN HĐ'!$J$10:$J$74,MATCH(B29,'[22]CN HĐ'!$H$10:$H$74,0)),"")</f>
        <v>26</v>
      </c>
      <c r="Q29" s="1329">
        <f>VLOOKUP(B29,'[23]CN HĐ'!$H$10:$J$74,3,FALSE)</f>
        <v>23</v>
      </c>
      <c r="R29" s="1329">
        <v>24</v>
      </c>
      <c r="S29" s="1329">
        <f>VLOOKUP(B29,'[26]CN HĐ'!$G$10:$I$67,3,FALSE)</f>
        <v>23</v>
      </c>
      <c r="T29" s="1329">
        <f t="shared" si="4"/>
        <v>23</v>
      </c>
      <c r="U29" s="1329"/>
      <c r="V29" s="1346">
        <f t="shared" si="5"/>
        <v>7088449</v>
      </c>
      <c r="W29" s="612">
        <f t="shared" si="7"/>
        <v>17</v>
      </c>
      <c r="X29" s="613" t="str">
        <f>VLOOKUP(B29,'[26]CN HĐ'!$G$10:$L$67,6,FALSE)</f>
        <v>Trừ 1 ngày nghỉ phép 15/9</v>
      </c>
      <c r="Y29" s="108" t="str">
        <f>VLOOKUP(B29,TH.T4!B39:AC369,28,FALSE)</f>
        <v>QTDV</v>
      </c>
      <c r="Z29" s="108"/>
      <c r="AA29" s="108"/>
      <c r="AB29" s="108"/>
      <c r="AC29" s="108"/>
      <c r="AD29" s="108"/>
      <c r="AE29" s="108"/>
      <c r="AF29" s="108"/>
      <c r="AG29" s="108"/>
      <c r="AH29" s="108"/>
      <c r="AI29" s="108"/>
      <c r="AJ29" s="108"/>
      <c r="AK29" s="108"/>
      <c r="AL29" s="108"/>
      <c r="AM29" s="108"/>
      <c r="AN29" s="108"/>
      <c r="AO29" s="108"/>
      <c r="AP29" s="108"/>
      <c r="AQ29" s="108"/>
      <c r="AR29" s="108"/>
      <c r="AS29" s="108"/>
      <c r="AT29" s="108"/>
      <c r="AU29" s="108"/>
      <c r="AV29" s="108"/>
    </row>
    <row r="30" spans="1:48" s="372" customFormat="1" ht="29.25" customHeight="1">
      <c r="A30" s="20">
        <f>_xlfn.AGGREGATE(4,7,A$12:A29)+1</f>
        <v>18</v>
      </c>
      <c r="B30" s="1330" t="s">
        <v>2067</v>
      </c>
      <c r="C30" s="1337" t="s">
        <v>882</v>
      </c>
      <c r="D30" s="1338" t="s">
        <v>2068</v>
      </c>
      <c r="E30" s="1341">
        <v>1603205327532</v>
      </c>
      <c r="F30" s="1341" t="s">
        <v>2453</v>
      </c>
      <c r="G30" s="368" t="s">
        <v>2042</v>
      </c>
      <c r="H30" s="1325">
        <v>8522203</v>
      </c>
      <c r="I30" s="1326"/>
      <c r="J30" s="1327">
        <f t="shared" si="2"/>
        <v>0</v>
      </c>
      <c r="K30" s="1325">
        <f t="shared" si="3"/>
        <v>8522203</v>
      </c>
      <c r="L30" s="1327">
        <f t="shared" si="6"/>
        <v>11078863.9</v>
      </c>
      <c r="M30" s="1328" t="str">
        <f>VLOOKUP(B30,[25]!Table2[[Column2]:[Column6]],4,FALSE)</f>
        <v>A2</v>
      </c>
      <c r="N30" s="1327">
        <f t="shared" si="0"/>
        <v>7755205</v>
      </c>
      <c r="O30" s="1328">
        <f>IFERROR(INDEX('[21]CN HĐ'!$J$10:$J$74,MATCH(B30,'[21]CN HĐ'!$H$10:$H$74,0)),"")</f>
        <v>25</v>
      </c>
      <c r="P30" s="1329">
        <f>IFERROR(INDEX('[22]CN HĐ'!$J$10:$J$74,MATCH(B30,'[22]CN HĐ'!$H$10:$H$74,0)),"")</f>
        <v>27</v>
      </c>
      <c r="Q30" s="1329">
        <f>VLOOKUP(B30,'[23]CN HĐ'!$H$10:$J$74,3,FALSE)</f>
        <v>24</v>
      </c>
      <c r="R30" s="1329">
        <v>24</v>
      </c>
      <c r="S30" s="1329">
        <f>VLOOKUP(B30,'[26]CN HĐ'!$G$10:$I$67,3,FALSE)</f>
        <v>24</v>
      </c>
      <c r="T30" s="1329">
        <f t="shared" si="4"/>
        <v>24</v>
      </c>
      <c r="U30" s="1329"/>
      <c r="V30" s="1346">
        <f t="shared" si="5"/>
        <v>7755205</v>
      </c>
      <c r="W30" s="612">
        <f t="shared" si="7"/>
        <v>18</v>
      </c>
      <c r="X30" s="613">
        <f>VLOOKUP(B30,'[26]CN HĐ'!$G$10:$L$67,6,FALSE)</f>
        <v>0</v>
      </c>
      <c r="Y30" s="108" t="str">
        <f>VLOOKUP(B30,TH.T4!B40:AC370,28,FALSE)</f>
        <v>TTĐT</v>
      </c>
      <c r="Z30" s="108"/>
      <c r="AA30" s="108"/>
      <c r="AB30" s="108"/>
      <c r="AC30" s="108"/>
      <c r="AD30" s="108"/>
      <c r="AE30" s="108"/>
      <c r="AF30" s="108"/>
      <c r="AG30" s="108"/>
      <c r="AH30" s="108"/>
      <c r="AI30" s="108"/>
      <c r="AJ30" s="108"/>
      <c r="AK30" s="108"/>
      <c r="AL30" s="108"/>
      <c r="AM30" s="108"/>
      <c r="AN30" s="108"/>
      <c r="AO30" s="108"/>
      <c r="AP30" s="108"/>
      <c r="AQ30" s="108"/>
      <c r="AR30" s="108"/>
      <c r="AS30" s="108"/>
      <c r="AT30" s="108"/>
      <c r="AU30" s="108"/>
      <c r="AV30" s="108"/>
    </row>
    <row r="31" spans="1:48" s="372" customFormat="1" ht="29.25" customHeight="1">
      <c r="A31" s="20">
        <f>_xlfn.AGGREGATE(4,7,A$12:A30)+1</f>
        <v>19</v>
      </c>
      <c r="B31" s="1330" t="s">
        <v>2069</v>
      </c>
      <c r="C31" s="1337" t="s">
        <v>2070</v>
      </c>
      <c r="D31" s="1338" t="s">
        <v>2071</v>
      </c>
      <c r="E31" s="1339" t="s">
        <v>2072</v>
      </c>
      <c r="F31" s="1341" t="s">
        <v>2453</v>
      </c>
      <c r="G31" s="368" t="s">
        <v>2038</v>
      </c>
      <c r="H31" s="1325">
        <v>6143747</v>
      </c>
      <c r="I31" s="1326"/>
      <c r="J31" s="1327">
        <f t="shared" si="2"/>
        <v>0</v>
      </c>
      <c r="K31" s="1325">
        <f t="shared" si="3"/>
        <v>6143747</v>
      </c>
      <c r="L31" s="1327">
        <f t="shared" si="6"/>
        <v>7986871.1000000006</v>
      </c>
      <c r="M31" s="1328" t="str">
        <f>VLOOKUP(B31,[25]!Table2[[Column2]:[Column6]],4,FALSE)</f>
        <v>A1</v>
      </c>
      <c r="N31" s="1327">
        <f t="shared" si="0"/>
        <v>6389497</v>
      </c>
      <c r="O31" s="1328">
        <f>IFERROR(INDEX('[21]CN HĐ'!$J$10:$J$74,MATCH(B31,'[21]CN HĐ'!$H$10:$H$74,0)),"")</f>
        <v>25</v>
      </c>
      <c r="P31" s="1329">
        <f>IFERROR(INDEX('[22]CN HĐ'!$J$10:$J$74,MATCH(B31,'[22]CN HĐ'!$H$10:$H$74,0)),"")</f>
        <v>26</v>
      </c>
      <c r="Q31" s="1329">
        <f>VLOOKUP(B31,'[23]CN HĐ'!$H$10:$J$74,3,FALSE)</f>
        <v>23</v>
      </c>
      <c r="R31" s="1329">
        <v>24</v>
      </c>
      <c r="S31" s="1329">
        <f>VLOOKUP(B31,'[26]CN HĐ'!$G$10:$I$67,3,FALSE)</f>
        <v>24</v>
      </c>
      <c r="T31" s="1329">
        <f t="shared" si="4"/>
        <v>24</v>
      </c>
      <c r="U31" s="1329"/>
      <c r="V31" s="1346">
        <f t="shared" si="5"/>
        <v>6389497</v>
      </c>
      <c r="W31" s="612">
        <f t="shared" si="7"/>
        <v>19</v>
      </c>
      <c r="X31" s="613">
        <f>VLOOKUP(B31,'[26]CN HĐ'!$G$10:$L$67,6,FALSE)</f>
        <v>0</v>
      </c>
      <c r="Y31" s="108" t="str">
        <f>VLOOKUP(B31,TH.T4!B41:AC371,28,FALSE)</f>
        <v>QTDV</v>
      </c>
      <c r="Z31" s="108"/>
      <c r="AA31" s="108"/>
      <c r="AB31" s="108"/>
      <c r="AC31" s="108"/>
      <c r="AD31" s="108"/>
      <c r="AE31" s="108"/>
      <c r="AF31" s="108"/>
      <c r="AG31" s="108"/>
      <c r="AH31" s="108"/>
      <c r="AI31" s="108"/>
      <c r="AJ31" s="108"/>
      <c r="AK31" s="108"/>
      <c r="AL31" s="108"/>
      <c r="AM31" s="108"/>
      <c r="AN31" s="108"/>
      <c r="AO31" s="108"/>
      <c r="AP31" s="108"/>
      <c r="AQ31" s="108"/>
      <c r="AR31" s="108"/>
      <c r="AS31" s="108"/>
      <c r="AT31" s="108"/>
      <c r="AU31" s="108"/>
      <c r="AV31" s="108"/>
    </row>
    <row r="32" spans="1:48" s="372" customFormat="1" ht="41.25" customHeight="1">
      <c r="A32" s="20">
        <f>_xlfn.AGGREGATE(4,7,A$12:A31)+1</f>
        <v>20</v>
      </c>
      <c r="B32" s="1330" t="s">
        <v>2073</v>
      </c>
      <c r="C32" s="1331" t="s">
        <v>1171</v>
      </c>
      <c r="D32" s="368" t="s">
        <v>2074</v>
      </c>
      <c r="E32" s="620" t="s">
        <v>1266</v>
      </c>
      <c r="F32" s="1341" t="s">
        <v>2453</v>
      </c>
      <c r="G32" s="368" t="s">
        <v>2038</v>
      </c>
      <c r="H32" s="1325">
        <v>6773482</v>
      </c>
      <c r="I32" s="1326"/>
      <c r="J32" s="1327">
        <f t="shared" si="2"/>
        <v>0</v>
      </c>
      <c r="K32" s="1325">
        <f t="shared" si="3"/>
        <v>6773482</v>
      </c>
      <c r="L32" s="1327">
        <f t="shared" si="6"/>
        <v>8805526.5999999996</v>
      </c>
      <c r="M32" s="1328" t="str">
        <f>VLOOKUP(B32,[25]!Table2[[Column2]:[Column6]],4,FALSE)</f>
        <v>A3</v>
      </c>
      <c r="N32" s="1327">
        <f t="shared" si="0"/>
        <v>5283316</v>
      </c>
      <c r="O32" s="1328">
        <f>IFERROR(INDEX('[21]CN HĐ'!$J$10:$J$74,MATCH(B32,'[21]CN HĐ'!$H$10:$H$74,0)),"")</f>
        <v>24</v>
      </c>
      <c r="P32" s="1329">
        <f>IFERROR(INDEX('[22]CN HĐ'!$J$10:$J$74,MATCH(B32,'[22]CN HĐ'!$H$10:$H$74,0)),"")</f>
        <v>26</v>
      </c>
      <c r="Q32" s="1329">
        <f>VLOOKUP(B32,'[23]CN HĐ'!$H$10:$J$74,3,FALSE)</f>
        <v>23</v>
      </c>
      <c r="R32" s="1329">
        <v>24</v>
      </c>
      <c r="S32" s="1329">
        <f>VLOOKUP(B32,'[26]CN HĐ'!$G$10:$I$67,3,FALSE)</f>
        <v>24</v>
      </c>
      <c r="T32" s="1329">
        <f t="shared" si="4"/>
        <v>24</v>
      </c>
      <c r="U32" s="1329"/>
      <c r="V32" s="1346">
        <f t="shared" si="5"/>
        <v>5283316</v>
      </c>
      <c r="W32" s="612">
        <f t="shared" si="7"/>
        <v>20</v>
      </c>
      <c r="X32" s="613">
        <f>VLOOKUP(B32,'[26]CN HĐ'!$G$10:$L$67,6,FALSE)</f>
        <v>0</v>
      </c>
      <c r="Y32" s="108" t="str">
        <f>VLOOKUP(B32,TH.T4!B42:AC372,28,FALSE)</f>
        <v>QTDV</v>
      </c>
      <c r="Z32" s="155"/>
      <c r="AA32" s="108"/>
      <c r="AB32" s="108"/>
      <c r="AC32" s="108"/>
      <c r="AD32" s="108"/>
      <c r="AE32" s="108"/>
      <c r="AF32" s="108"/>
      <c r="AG32" s="108"/>
      <c r="AH32" s="108"/>
      <c r="AI32" s="108"/>
      <c r="AJ32" s="108"/>
      <c r="AK32" s="108"/>
      <c r="AL32" s="108"/>
      <c r="AM32" s="108"/>
      <c r="AN32" s="108"/>
      <c r="AO32" s="108"/>
      <c r="AP32" s="108"/>
      <c r="AQ32" s="108"/>
      <c r="AR32" s="108"/>
      <c r="AS32" s="108"/>
      <c r="AT32" s="108"/>
      <c r="AU32" s="108"/>
      <c r="AV32" s="108"/>
    </row>
    <row r="33" spans="1:48" s="372" customFormat="1" ht="39" customHeight="1">
      <c r="A33" s="20">
        <f>_xlfn.AGGREGATE(4,7,A$12:A32)+1</f>
        <v>21</v>
      </c>
      <c r="B33" s="1330" t="s">
        <v>2037</v>
      </c>
      <c r="C33" s="1337"/>
      <c r="D33" s="1338"/>
      <c r="E33" s="1340">
        <v>1603215005626</v>
      </c>
      <c r="F33" s="1341" t="s">
        <v>2453</v>
      </c>
      <c r="G33" s="368" t="s">
        <v>2038</v>
      </c>
      <c r="H33" s="1325">
        <v>5572560</v>
      </c>
      <c r="I33" s="1326"/>
      <c r="J33" s="1327">
        <f>H33*I33</f>
        <v>0</v>
      </c>
      <c r="K33" s="1325">
        <f>H33+J33</f>
        <v>5572560</v>
      </c>
      <c r="L33" s="1327">
        <f>IF(G33="D.03",K33*70%,K33*130%)</f>
        <v>7244328</v>
      </c>
      <c r="M33" s="1328" t="str">
        <f>VLOOKUP(B33,[25]!Table2[[Column2]:[Column6]],4,FALSE)</f>
        <v>A1</v>
      </c>
      <c r="N33" s="1327">
        <f>ROUND(IF(AND(M33="A1",L33*0.8),L33*0.8,IF(AND(M33="A2",L33*0.7),L33*0.7,IF(AND(M33="A3",L33*0.6),L33*0.6,IF(AND(M33="A4",L33*0.5),L33*0.5,IF(AND(M33="B1",L33*0.35),L33*0.35,IF(AND(M33="B2",L33*0.25),L33*0.25,IF(AND(M33="C1",L33*0.15),L33*0.15,IF(M33="C2",L33*0.1,0)))))))),)</f>
        <v>5795462</v>
      </c>
      <c r="O33" s="1328">
        <f>IFERROR(INDEX('[21]CN HĐ'!$J$10:$J$74,MATCH(B33,'[21]CN HĐ'!$H$10:$H$74,0)),"")</f>
        <v>27</v>
      </c>
      <c r="P33" s="1329">
        <f>IFERROR(INDEX('[22]CN HĐ'!$J$10:$J$74,MATCH(B33,'[22]CN HĐ'!$H$10:$H$74,0)),"")</f>
        <v>25</v>
      </c>
      <c r="Q33" s="1329">
        <f>VLOOKUP(B33,'[23]CN HĐ'!$H$10:$J$74,3,FALSE)</f>
        <v>23</v>
      </c>
      <c r="R33" s="1329">
        <v>24</v>
      </c>
      <c r="S33" s="1329">
        <f>VLOOKUP(B33,'[26]CN HĐ'!$G$10:$I$67,3,FALSE)</f>
        <v>22</v>
      </c>
      <c r="T33" s="1329">
        <f>IF(S33&gt;=R33,R33,IF(S33&lt;R33,S33))</f>
        <v>22</v>
      </c>
      <c r="U33" s="1329"/>
      <c r="V33" s="1346">
        <f>ROUND(N33/R33*T33,0)</f>
        <v>5312507</v>
      </c>
      <c r="W33" s="612">
        <f>A33</f>
        <v>21</v>
      </c>
      <c r="X33" s="613" t="str">
        <f>VLOOKUP(B33,'[26]CN HĐ'!$G$10:$L$67,6,FALSE)</f>
        <v>Trừ 2 ngày nghỉ phép 13+20/9</v>
      </c>
      <c r="Y33" s="108" t="s">
        <v>2219</v>
      </c>
      <c r="Z33" s="155"/>
      <c r="AA33" s="155"/>
      <c r="AB33" s="155"/>
      <c r="AC33" s="108"/>
      <c r="AD33" s="108"/>
      <c r="AE33" s="108"/>
      <c r="AF33" s="108"/>
      <c r="AG33" s="108"/>
      <c r="AH33" s="108"/>
      <c r="AI33" s="108"/>
      <c r="AJ33" s="108"/>
      <c r="AK33" s="108"/>
      <c r="AL33" s="108"/>
      <c r="AM33" s="108"/>
      <c r="AN33" s="108"/>
      <c r="AO33" s="108"/>
      <c r="AP33" s="108"/>
      <c r="AQ33" s="108"/>
      <c r="AR33" s="108"/>
      <c r="AS33" s="108"/>
      <c r="AT33" s="108"/>
      <c r="AU33" s="108"/>
      <c r="AV33" s="108"/>
    </row>
    <row r="34" spans="1:48" s="372" customFormat="1" ht="32.25" customHeight="1">
      <c r="A34" s="20">
        <f>_xlfn.AGGREGATE(4,7,A$12:A33)+1</f>
        <v>22</v>
      </c>
      <c r="B34" s="1330" t="s">
        <v>2075</v>
      </c>
      <c r="C34" s="1331"/>
      <c r="D34" s="368" t="s">
        <v>2076</v>
      </c>
      <c r="E34" s="1341">
        <v>1603205185856</v>
      </c>
      <c r="F34" s="1341" t="s">
        <v>2454</v>
      </c>
      <c r="G34" s="368" t="s">
        <v>2031</v>
      </c>
      <c r="H34" s="1325">
        <v>8483283</v>
      </c>
      <c r="I34" s="1326">
        <v>0.05</v>
      </c>
      <c r="J34" s="1327">
        <f t="shared" si="2"/>
        <v>424164.15</v>
      </c>
      <c r="K34" s="1325">
        <f t="shared" si="3"/>
        <v>8907447.1500000004</v>
      </c>
      <c r="L34" s="1327">
        <f t="shared" si="6"/>
        <v>6235213.0049999999</v>
      </c>
      <c r="M34" s="1328" t="str">
        <f>VLOOKUP(B34,[25]!Table2[[Column2]:[Column6]],4,FALSE)</f>
        <v>A3</v>
      </c>
      <c r="N34" s="1327">
        <f t="shared" si="0"/>
        <v>3741128</v>
      </c>
      <c r="O34" s="1328">
        <f>IFERROR(INDEX('[21]CN HĐ'!$J$10:$J$74,MATCH(B34,'[21]CN HĐ'!$H$10:$H$74,0)),"")</f>
        <v>23</v>
      </c>
      <c r="P34" s="1329">
        <f>IFERROR(INDEX('[22]CN HĐ'!$J$10:$J$74,MATCH(B34,'[22]CN HĐ'!$H$10:$H$74,0)),"")</f>
        <v>26</v>
      </c>
      <c r="Q34" s="1329">
        <f>VLOOKUP(B34,'[23]CN HĐ'!$H$10:$J$74,3,FALSE)</f>
        <v>23</v>
      </c>
      <c r="R34" s="1329">
        <v>24</v>
      </c>
      <c r="S34" s="1329">
        <f>VLOOKUP(B34,'[26]CN HĐ'!$G$10:$I$67,3,FALSE)</f>
        <v>24</v>
      </c>
      <c r="T34" s="1329">
        <f t="shared" si="4"/>
        <v>24</v>
      </c>
      <c r="U34" s="1329"/>
      <c r="V34" s="1346">
        <f t="shared" si="5"/>
        <v>3741128</v>
      </c>
      <c r="W34" s="612">
        <f t="shared" si="7"/>
        <v>22</v>
      </c>
      <c r="X34" s="613">
        <f>VLOOKUP(B34,'[26]CN HĐ'!$G$10:$L$67,6,FALSE)</f>
        <v>0</v>
      </c>
      <c r="Y34" s="108" t="str">
        <f>VLOOKUP(B34,TH.T4!B43:AC373,28,FALSE)</f>
        <v>QTDV</v>
      </c>
      <c r="Z34" s="155"/>
      <c r="AA34" s="108"/>
      <c r="AB34" s="108"/>
      <c r="AC34" s="108"/>
      <c r="AD34" s="108"/>
      <c r="AE34" s="108"/>
      <c r="AF34" s="108"/>
      <c r="AG34" s="108"/>
      <c r="AH34" s="108"/>
      <c r="AI34" s="108"/>
      <c r="AJ34" s="108"/>
      <c r="AK34" s="108"/>
      <c r="AL34" s="108"/>
      <c r="AM34" s="108"/>
      <c r="AN34" s="108"/>
      <c r="AO34" s="108"/>
      <c r="AP34" s="108"/>
      <c r="AQ34" s="108"/>
      <c r="AR34" s="108"/>
      <c r="AS34" s="108"/>
      <c r="AT34" s="108"/>
      <c r="AU34" s="108"/>
      <c r="AV34" s="108"/>
    </row>
    <row r="35" spans="1:48" s="372" customFormat="1" ht="32.25" customHeight="1">
      <c r="A35" s="20">
        <f>_xlfn.AGGREGATE(4,7,A$12:A34)+1</f>
        <v>23</v>
      </c>
      <c r="B35" s="1330" t="s">
        <v>2080</v>
      </c>
      <c r="C35" s="1331"/>
      <c r="D35" s="368"/>
      <c r="E35" s="1343" t="s">
        <v>2081</v>
      </c>
      <c r="F35" s="1341" t="s">
        <v>2454</v>
      </c>
      <c r="G35" s="368" t="s">
        <v>2031</v>
      </c>
      <c r="H35" s="1325">
        <v>5468400</v>
      </c>
      <c r="I35" s="1326"/>
      <c r="J35" s="1327">
        <f t="shared" si="2"/>
        <v>0</v>
      </c>
      <c r="K35" s="1325">
        <f t="shared" si="3"/>
        <v>5468400</v>
      </c>
      <c r="L35" s="1327">
        <f t="shared" si="6"/>
        <v>3827879.9999999995</v>
      </c>
      <c r="M35" s="1328" t="str">
        <f>VLOOKUP(B35,[25]!Table2[[Column2]:[Column6]],4,FALSE)</f>
        <v>A3</v>
      </c>
      <c r="N35" s="1327">
        <f t="shared" si="0"/>
        <v>2296728</v>
      </c>
      <c r="O35" s="1328">
        <f>IFERROR(INDEX('[21]CN HĐ'!$J$10:$J$74,MATCH(B35,'[21]CN HĐ'!$H$10:$H$74,0)),"")</f>
        <v>27</v>
      </c>
      <c r="P35" s="1329">
        <f>IFERROR(INDEX('[22]CN HĐ'!$J$10:$J$74,MATCH(B35,'[22]CN HĐ'!$H$10:$H$74,0)),"")</f>
        <v>26</v>
      </c>
      <c r="Q35" s="1329">
        <f>VLOOKUP(B35,'[23]CN HĐ'!$H$10:$J$74,3,FALSE)</f>
        <v>23</v>
      </c>
      <c r="R35" s="1329">
        <v>24</v>
      </c>
      <c r="S35" s="1329">
        <f>VLOOKUP(B35,'[26]CN HĐ'!$G$10:$I$67,3,FALSE)</f>
        <v>24</v>
      </c>
      <c r="T35" s="1329">
        <f t="shared" si="4"/>
        <v>24</v>
      </c>
      <c r="U35" s="1329"/>
      <c r="V35" s="1346">
        <f t="shared" si="5"/>
        <v>2296728</v>
      </c>
      <c r="W35" s="612">
        <f t="shared" si="7"/>
        <v>23</v>
      </c>
      <c r="X35" s="613">
        <f>VLOOKUP(B35,'[26]CN HĐ'!$G$10:$L$67,6,FALSE)</f>
        <v>0</v>
      </c>
      <c r="Y35" s="108" t="str">
        <f>VLOOKUP(B35,TH.T4!B45:AC375,28,FALSE)</f>
        <v>QTDV</v>
      </c>
      <c r="Z35" s="155"/>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row>
    <row r="36" spans="1:48" s="372" customFormat="1" ht="32.25" customHeight="1">
      <c r="A36" s="20">
        <f>_xlfn.AGGREGATE(4,7,A$12:A35)+1</f>
        <v>24</v>
      </c>
      <c r="B36" s="1330" t="s">
        <v>2082</v>
      </c>
      <c r="C36" s="1331"/>
      <c r="D36" s="368"/>
      <c r="E36" s="1339" t="s">
        <v>2083</v>
      </c>
      <c r="F36" s="1341" t="s">
        <v>2454</v>
      </c>
      <c r="G36" s="368" t="s">
        <v>2031</v>
      </c>
      <c r="H36" s="1325">
        <v>5468400</v>
      </c>
      <c r="I36" s="1326"/>
      <c r="J36" s="1327">
        <f t="shared" si="2"/>
        <v>0</v>
      </c>
      <c r="K36" s="1325">
        <f t="shared" si="3"/>
        <v>5468400</v>
      </c>
      <c r="L36" s="1327">
        <f t="shared" si="6"/>
        <v>3827879.9999999995</v>
      </c>
      <c r="M36" s="1328" t="str">
        <f>VLOOKUP(B36,[25]!Table2[[Column2]:[Column6]],4,FALSE)</f>
        <v>A3</v>
      </c>
      <c r="N36" s="1327">
        <f t="shared" si="0"/>
        <v>2296728</v>
      </c>
      <c r="O36" s="1328">
        <f>IFERROR(INDEX('[21]CN HĐ'!$J$10:$J$74,MATCH(B36,'[21]CN HĐ'!$H$10:$H$74,0)),"")</f>
        <v>24</v>
      </c>
      <c r="P36" s="1329">
        <f>IFERROR(INDEX('[22]CN HĐ'!$J$10:$J$74,MATCH(B36,'[22]CN HĐ'!$H$10:$H$74,0)),"")</f>
        <v>26</v>
      </c>
      <c r="Q36" s="1329">
        <f>VLOOKUP(B36,'[23]CN HĐ'!$H$10:$J$74,3,FALSE)</f>
        <v>23</v>
      </c>
      <c r="R36" s="1329">
        <v>24</v>
      </c>
      <c r="S36" s="1329">
        <f>VLOOKUP(B36,'[26]CN HĐ'!$G$10:$I$67,3,FALSE)</f>
        <v>24</v>
      </c>
      <c r="T36" s="1329">
        <f t="shared" si="4"/>
        <v>24</v>
      </c>
      <c r="U36" s="1329"/>
      <c r="V36" s="1346">
        <f t="shared" si="5"/>
        <v>2296728</v>
      </c>
      <c r="W36" s="612">
        <f t="shared" si="7"/>
        <v>24</v>
      </c>
      <c r="X36" s="613">
        <f>VLOOKUP(B36,'[26]CN HĐ'!$G$10:$L$67,6,FALSE)</f>
        <v>0</v>
      </c>
      <c r="Y36" s="108" t="str">
        <f>VLOOKUP(B36,TH.T4!B46:AC376,28,FALSE)</f>
        <v>QTDV</v>
      </c>
      <c r="Z36" s="155"/>
      <c r="AA36" s="108"/>
      <c r="AB36" s="108"/>
      <c r="AC36" s="108"/>
      <c r="AD36" s="108"/>
      <c r="AE36" s="108"/>
      <c r="AF36" s="108"/>
      <c r="AG36" s="108"/>
      <c r="AH36" s="108"/>
      <c r="AI36" s="108"/>
      <c r="AJ36" s="108"/>
      <c r="AK36" s="108"/>
      <c r="AL36" s="108"/>
      <c r="AM36" s="108"/>
      <c r="AN36" s="108"/>
      <c r="AO36" s="108"/>
      <c r="AP36" s="108"/>
      <c r="AQ36" s="108"/>
      <c r="AR36" s="108"/>
      <c r="AS36" s="108"/>
      <c r="AT36" s="108"/>
      <c r="AU36" s="108"/>
      <c r="AV36" s="108"/>
    </row>
    <row r="37" spans="1:48" s="372" customFormat="1" ht="32.25" customHeight="1">
      <c r="A37" s="20">
        <f>_xlfn.AGGREGATE(4,7,A$12:A36)+1</f>
        <v>25</v>
      </c>
      <c r="B37" s="1330" t="s">
        <v>2084</v>
      </c>
      <c r="C37" s="1331"/>
      <c r="D37" s="368"/>
      <c r="E37" s="1339" t="s">
        <v>2085</v>
      </c>
      <c r="F37" s="1341" t="s">
        <v>2454</v>
      </c>
      <c r="G37" s="368" t="s">
        <v>2031</v>
      </c>
      <c r="H37" s="1325">
        <v>5468400</v>
      </c>
      <c r="I37" s="1326"/>
      <c r="J37" s="1327">
        <f t="shared" si="2"/>
        <v>0</v>
      </c>
      <c r="K37" s="1325">
        <f t="shared" si="3"/>
        <v>5468400</v>
      </c>
      <c r="L37" s="1327">
        <f t="shared" si="6"/>
        <v>3827879.9999999995</v>
      </c>
      <c r="M37" s="1328" t="str">
        <f>VLOOKUP(B37,[25]!Table2[[Column2]:[Column6]],4,FALSE)</f>
        <v>A3</v>
      </c>
      <c r="N37" s="1327">
        <f t="shared" si="0"/>
        <v>2296728</v>
      </c>
      <c r="O37" s="1328">
        <f>IFERROR(INDEX('[21]CN HĐ'!$J$10:$J$74,MATCH(B37,'[21]CN HĐ'!$H$10:$H$74,0)),"")</f>
        <v>27</v>
      </c>
      <c r="P37" s="1329">
        <f>IFERROR(INDEX('[22]CN HĐ'!$J$10:$J$74,MATCH(B37,'[22]CN HĐ'!$H$10:$H$74,0)),"")</f>
        <v>26</v>
      </c>
      <c r="Q37" s="1329">
        <f>VLOOKUP(B37,'[23]CN HĐ'!$H$10:$J$74,3,FALSE)</f>
        <v>23</v>
      </c>
      <c r="R37" s="1329">
        <v>24</v>
      </c>
      <c r="S37" s="1329">
        <f>VLOOKUP(B37,'[26]CN HĐ'!$G$10:$I$67,3,FALSE)</f>
        <v>24</v>
      </c>
      <c r="T37" s="1329">
        <f t="shared" si="4"/>
        <v>24</v>
      </c>
      <c r="U37" s="1329"/>
      <c r="V37" s="1346">
        <f t="shared" si="5"/>
        <v>2296728</v>
      </c>
      <c r="W37" s="612">
        <f t="shared" si="7"/>
        <v>25</v>
      </c>
      <c r="X37" s="613">
        <f>VLOOKUP(B37,'[26]CN HĐ'!$G$10:$L$67,6,FALSE)</f>
        <v>0</v>
      </c>
      <c r="Y37" s="108" t="str">
        <f>VLOOKUP(B37,TH.T4!B47:AC377,28,FALSE)</f>
        <v>QTDV</v>
      </c>
      <c r="Z37" s="155"/>
      <c r="AA37" s="108"/>
      <c r="AB37" s="108"/>
      <c r="AC37" s="108"/>
      <c r="AD37" s="108"/>
      <c r="AE37" s="108"/>
      <c r="AF37" s="108"/>
      <c r="AG37" s="108"/>
      <c r="AH37" s="108"/>
      <c r="AI37" s="108"/>
      <c r="AJ37" s="108"/>
      <c r="AK37" s="108"/>
      <c r="AL37" s="108"/>
      <c r="AM37" s="108"/>
      <c r="AN37" s="108"/>
      <c r="AO37" s="108"/>
      <c r="AP37" s="108"/>
      <c r="AQ37" s="108"/>
      <c r="AR37" s="108"/>
      <c r="AS37" s="108"/>
      <c r="AT37" s="108"/>
      <c r="AU37" s="108"/>
      <c r="AV37" s="108"/>
    </row>
    <row r="38" spans="1:48" s="372" customFormat="1" ht="32.25" customHeight="1">
      <c r="A38" s="20">
        <f>_xlfn.AGGREGATE(4,7,A$12:A37)+1</f>
        <v>26</v>
      </c>
      <c r="B38" s="1330" t="s">
        <v>2086</v>
      </c>
      <c r="C38" s="1331"/>
      <c r="D38" s="368"/>
      <c r="E38" s="1339"/>
      <c r="F38" s="1341" t="s">
        <v>2454</v>
      </c>
      <c r="G38" s="368" t="s">
        <v>2031</v>
      </c>
      <c r="H38" s="1325">
        <v>5468400</v>
      </c>
      <c r="I38" s="1326"/>
      <c r="J38" s="1327">
        <f t="shared" si="2"/>
        <v>0</v>
      </c>
      <c r="K38" s="1325">
        <f t="shared" si="3"/>
        <v>5468400</v>
      </c>
      <c r="L38" s="1327">
        <f t="shared" si="6"/>
        <v>3827879.9999999995</v>
      </c>
      <c r="M38" s="1328" t="str">
        <f>VLOOKUP(B38,[25]!Table2[[Column2]:[Column6]],4,FALSE)</f>
        <v>A3</v>
      </c>
      <c r="N38" s="1327">
        <f t="shared" si="0"/>
        <v>2296728</v>
      </c>
      <c r="O38" s="1328">
        <f>IFERROR(INDEX('[21]CN HĐ'!$J$10:$J$74,MATCH(B38,'[21]CN HĐ'!$H$10:$H$74,0)),"")</f>
        <v>27</v>
      </c>
      <c r="P38" s="1329">
        <f>IFERROR(INDEX('[22]CN HĐ'!$J$10:$J$74,MATCH(B38,'[22]CN HĐ'!$H$10:$H$74,0)),"")</f>
        <v>26</v>
      </c>
      <c r="Q38" s="1329">
        <f>VLOOKUP(B38,'[23]CN HĐ'!$H$10:$J$74,3,FALSE)</f>
        <v>23</v>
      </c>
      <c r="R38" s="1329">
        <v>24</v>
      </c>
      <c r="S38" s="1329">
        <f>VLOOKUP(B38,'[26]CN HĐ'!$G$10:$I$67,3,FALSE)</f>
        <v>24</v>
      </c>
      <c r="T38" s="1329">
        <f t="shared" si="4"/>
        <v>24</v>
      </c>
      <c r="U38" s="1329"/>
      <c r="V38" s="1346">
        <f t="shared" si="5"/>
        <v>2296728</v>
      </c>
      <c r="W38" s="612">
        <f t="shared" si="7"/>
        <v>26</v>
      </c>
      <c r="X38" s="613">
        <f>VLOOKUP(B38,'[26]CN HĐ'!$G$10:$L$67,6,FALSE)</f>
        <v>0</v>
      </c>
      <c r="Y38" s="108" t="str">
        <f>VLOOKUP(B38,TH.T4!B48:AC378,28,FALSE)</f>
        <v>QTDV</v>
      </c>
      <c r="Z38" s="155"/>
      <c r="AA38" s="108"/>
      <c r="AB38" s="108"/>
      <c r="AC38" s="108"/>
      <c r="AD38" s="108"/>
      <c r="AE38" s="108"/>
      <c r="AF38" s="108"/>
      <c r="AG38" s="108"/>
      <c r="AH38" s="108"/>
      <c r="AI38" s="108"/>
      <c r="AJ38" s="108"/>
      <c r="AK38" s="108"/>
      <c r="AL38" s="108"/>
      <c r="AM38" s="108"/>
      <c r="AN38" s="108"/>
      <c r="AO38" s="108"/>
      <c r="AP38" s="108"/>
      <c r="AQ38" s="108"/>
      <c r="AR38" s="108"/>
      <c r="AS38" s="108"/>
      <c r="AT38" s="108"/>
      <c r="AU38" s="108"/>
      <c r="AV38" s="108"/>
    </row>
    <row r="39" spans="1:48" s="372" customFormat="1" ht="32.25" customHeight="1">
      <c r="A39" s="20">
        <f>_xlfn.AGGREGATE(4,7,A$12:A38)+1</f>
        <v>27</v>
      </c>
      <c r="B39" s="1330" t="s">
        <v>2087</v>
      </c>
      <c r="C39" s="1331"/>
      <c r="D39" s="368"/>
      <c r="E39" s="1339"/>
      <c r="F39" s="1341" t="s">
        <v>2454</v>
      </c>
      <c r="G39" s="368" t="s">
        <v>2031</v>
      </c>
      <c r="H39" s="1325">
        <v>5468400</v>
      </c>
      <c r="I39" s="1326"/>
      <c r="J39" s="1327">
        <f t="shared" si="2"/>
        <v>0</v>
      </c>
      <c r="K39" s="1325">
        <f t="shared" si="3"/>
        <v>5468400</v>
      </c>
      <c r="L39" s="1327">
        <f t="shared" si="6"/>
        <v>3827879.9999999995</v>
      </c>
      <c r="M39" s="1328" t="str">
        <f>VLOOKUP(B39,[25]!Table2[[Column2]:[Column6]],4,FALSE)</f>
        <v>A4</v>
      </c>
      <c r="N39" s="1327">
        <f t="shared" si="0"/>
        <v>1913940</v>
      </c>
      <c r="O39" s="1328">
        <f>IFERROR(INDEX('[21]CN HĐ'!$J$10:$J$74,MATCH(B39,'[21]CN HĐ'!$H$10:$H$74,0)),"")</f>
        <v>27</v>
      </c>
      <c r="P39" s="1329">
        <f>IFERROR(INDEX('[22]CN HĐ'!$J$10:$J$74,MATCH(B39,'[22]CN HĐ'!$H$10:$H$74,0)),"")</f>
        <v>25</v>
      </c>
      <c r="Q39" s="1329">
        <f>VLOOKUP(B39,'[23]CN HĐ'!$H$10:$J$74,3,FALSE)</f>
        <v>23</v>
      </c>
      <c r="R39" s="1329">
        <v>24</v>
      </c>
      <c r="S39" s="1329">
        <f>VLOOKUP(B39,'[26]CN HĐ'!$G$10:$I$67,3,FALSE)</f>
        <v>25</v>
      </c>
      <c r="T39" s="1329">
        <f t="shared" si="4"/>
        <v>24</v>
      </c>
      <c r="U39" s="1329"/>
      <c r="V39" s="1346">
        <f t="shared" si="5"/>
        <v>1913940</v>
      </c>
      <c r="W39" s="612">
        <f t="shared" si="7"/>
        <v>27</v>
      </c>
      <c r="X39" s="613">
        <f>VLOOKUP(B39,'[26]CN HĐ'!$G$10:$L$67,6,FALSE)</f>
        <v>0</v>
      </c>
      <c r="Y39" s="108" t="str">
        <f>VLOOKUP(B39,TH.T4!B49:AC379,28,FALSE)</f>
        <v>QTDV</v>
      </c>
      <c r="Z39" s="155"/>
      <c r="AA39" s="108"/>
      <c r="AB39" s="108"/>
      <c r="AC39" s="108"/>
      <c r="AD39" s="108"/>
      <c r="AE39" s="108"/>
      <c r="AF39" s="108"/>
      <c r="AG39" s="108"/>
      <c r="AH39" s="108"/>
      <c r="AI39" s="108"/>
      <c r="AJ39" s="108"/>
      <c r="AK39" s="108"/>
      <c r="AL39" s="108"/>
      <c r="AM39" s="108"/>
      <c r="AN39" s="108"/>
      <c r="AO39" s="108"/>
      <c r="AP39" s="108"/>
      <c r="AQ39" s="108"/>
      <c r="AR39" s="108"/>
      <c r="AS39" s="108"/>
      <c r="AT39" s="108"/>
      <c r="AU39" s="108"/>
      <c r="AV39" s="108"/>
    </row>
    <row r="40" spans="1:48" s="372" customFormat="1" ht="32.25" customHeight="1">
      <c r="A40" s="20">
        <f>_xlfn.AGGREGATE(4,7,A$12:A39)+1</f>
        <v>28</v>
      </c>
      <c r="B40" s="1330" t="s">
        <v>2253</v>
      </c>
      <c r="C40" s="1331"/>
      <c r="D40" s="368"/>
      <c r="E40" s="1339"/>
      <c r="F40" s="1341" t="s">
        <v>2454</v>
      </c>
      <c r="G40" s="368" t="s">
        <v>2038</v>
      </c>
      <c r="H40" s="1325">
        <v>5307200</v>
      </c>
      <c r="I40" s="1326"/>
      <c r="J40" s="1327">
        <f t="shared" si="2"/>
        <v>0</v>
      </c>
      <c r="K40" s="1325">
        <f t="shared" si="3"/>
        <v>5307200</v>
      </c>
      <c r="L40" s="1327">
        <f t="shared" si="6"/>
        <v>6899360</v>
      </c>
      <c r="M40" s="1328" t="str">
        <f>VLOOKUP(B40,[25]!Table2[[Column2]:[Column6]],4,FALSE)</f>
        <v>A2</v>
      </c>
      <c r="N40" s="1327">
        <f t="shared" si="0"/>
        <v>4829552</v>
      </c>
      <c r="O40" s="1328">
        <f>IFERROR(INDEX('[21]CN HĐ'!$J$10:$J$74,MATCH(B40,'[21]CN HĐ'!$H$10:$H$74,0)),"")</f>
        <v>27</v>
      </c>
      <c r="P40" s="1329">
        <f>IFERROR(INDEX('[22]CN HĐ'!$J$10:$J$74,MATCH(B40,'[22]CN HĐ'!$H$10:$H$74,0)),"")</f>
        <v>25</v>
      </c>
      <c r="Q40" s="1329">
        <f>VLOOKUP(B40,'[23]CN HĐ'!$H$10:$J$74,3,FALSE)</f>
        <v>24</v>
      </c>
      <c r="R40" s="1329">
        <v>24</v>
      </c>
      <c r="S40" s="1329">
        <f>VLOOKUP(B40,'[26]CN HĐ'!$G$10:$I$67,3,FALSE)</f>
        <v>23</v>
      </c>
      <c r="T40" s="1329">
        <f t="shared" si="4"/>
        <v>23</v>
      </c>
      <c r="U40" s="1329"/>
      <c r="V40" s="1346">
        <f t="shared" si="5"/>
        <v>4628321</v>
      </c>
      <c r="W40" s="612">
        <f t="shared" si="7"/>
        <v>28</v>
      </c>
      <c r="X40" s="613" t="str">
        <f>VLOOKUP(B40,'[26]CN HĐ'!$G$10:$L$67,6,FALSE)</f>
        <v>Trừ 1 ngày nghỉ phép 27/9</v>
      </c>
      <c r="Y40" s="372" t="s">
        <v>2219</v>
      </c>
      <c r="Z40" s="487"/>
    </row>
    <row r="41" spans="1:48" s="372" customFormat="1" ht="32.25" customHeight="1">
      <c r="A41" s="20">
        <f>_xlfn.AGGREGATE(4,7,A$12:A40)+1</f>
        <v>29</v>
      </c>
      <c r="B41" s="1330" t="s">
        <v>2088</v>
      </c>
      <c r="C41" s="1331"/>
      <c r="D41" s="368"/>
      <c r="E41" s="1339"/>
      <c r="F41" s="1341" t="s">
        <v>2454</v>
      </c>
      <c r="G41" s="368" t="s">
        <v>2031</v>
      </c>
      <c r="H41" s="1325">
        <v>5208000</v>
      </c>
      <c r="I41" s="1326"/>
      <c r="J41" s="1327">
        <f t="shared" si="2"/>
        <v>0</v>
      </c>
      <c r="K41" s="1325">
        <f t="shared" si="3"/>
        <v>5208000</v>
      </c>
      <c r="L41" s="1327">
        <f t="shared" si="6"/>
        <v>3645600</v>
      </c>
      <c r="M41" s="1328" t="str">
        <f>VLOOKUP(B41,[25]!Table2[[Column2]:[Column6]],4,FALSE)</f>
        <v>A1</v>
      </c>
      <c r="N41" s="1327">
        <f t="shared" si="0"/>
        <v>2916480</v>
      </c>
      <c r="O41" s="1328">
        <f>IFERROR(INDEX('[21]CN HĐ'!$J$10:$J$74,MATCH(B41,'[21]CN HĐ'!$H$10:$H$74,0)),"")</f>
        <v>24</v>
      </c>
      <c r="P41" s="1329">
        <f>IFERROR(INDEX('[22]CN HĐ'!$J$10:$J$74,MATCH(B41,'[22]CN HĐ'!$H$10:$H$74,0)),"")</f>
        <v>26</v>
      </c>
      <c r="Q41" s="1329">
        <f>VLOOKUP(B41,'[23]CN HĐ'!$H$10:$J$74,3,FALSE)</f>
        <v>23</v>
      </c>
      <c r="R41" s="1329">
        <v>24</v>
      </c>
      <c r="S41" s="1329">
        <f>VLOOKUP(B41,'[26]CN HĐ'!$G$10:$I$67,3,FALSE)</f>
        <v>24</v>
      </c>
      <c r="T41" s="1329">
        <f t="shared" si="4"/>
        <v>24</v>
      </c>
      <c r="U41" s="1329"/>
      <c r="V41" s="1346">
        <f t="shared" si="5"/>
        <v>2916480</v>
      </c>
      <c r="W41" s="612">
        <f t="shared" si="7"/>
        <v>29</v>
      </c>
      <c r="X41" s="613">
        <f>VLOOKUP(B41,'[26]CN HĐ'!$G$10:$L$67,6,FALSE)</f>
        <v>0</v>
      </c>
      <c r="Y41" s="372" t="str">
        <f>VLOOKUP(B41,TH.T4!B50:AC380,28,FALSE)</f>
        <v>QTDV</v>
      </c>
      <c r="Z41" s="487"/>
    </row>
    <row r="42" spans="1:48" s="372" customFormat="1" ht="29.25" customHeight="1">
      <c r="A42" s="20">
        <f>_xlfn.AGGREGATE(4,7,A$12:A41)+1</f>
        <v>30</v>
      </c>
      <c r="B42" s="1330" t="s">
        <v>2110</v>
      </c>
      <c r="C42" s="1337" t="s">
        <v>2111</v>
      </c>
      <c r="D42" s="1338" t="s">
        <v>2112</v>
      </c>
      <c r="E42" s="1341">
        <v>1603205355935</v>
      </c>
      <c r="F42" s="1341" t="s">
        <v>2454</v>
      </c>
      <c r="G42" s="368" t="s">
        <v>2038</v>
      </c>
      <c r="H42" s="1325">
        <v>6143747</v>
      </c>
      <c r="I42" s="1326"/>
      <c r="J42" s="1327">
        <f t="shared" ref="J42:J47" si="8">H42*I42</f>
        <v>0</v>
      </c>
      <c r="K42" s="1325">
        <f t="shared" ref="K42:K47" si="9">H42+J42</f>
        <v>6143747</v>
      </c>
      <c r="L42" s="1327">
        <f t="shared" ref="L42:L47" si="10">IF(G42="D.03",K42*70%,K42*130%)</f>
        <v>7986871.1000000006</v>
      </c>
      <c r="M42" s="1328" t="str">
        <f>VLOOKUP(B42,[25]!Table2[[Column2]:[Column6]],4,FALSE)</f>
        <v>A4</v>
      </c>
      <c r="N42" s="1327">
        <f t="shared" ref="N42:N47" si="11">ROUND(IF(AND(M42="A1",L42*0.8),L42*0.8,IF(AND(M42="A2",L42*0.7),L42*0.7,IF(AND(M42="A3",L42*0.6),L42*0.6,IF(AND(M42="A4",L42*0.5),L42*0.5,IF(AND(M42="B1",L42*0.35),L42*0.35,IF(AND(M42="B2",L42*0.25),L42*0.25,IF(AND(M42="C1",L42*0.15),L42*0.15,IF(M42="C2",L42*0.1,0)))))))),)</f>
        <v>3993436</v>
      </c>
      <c r="O42" s="1328">
        <f>IFERROR(INDEX('[21]CN HĐ'!$J$10:$J$74,MATCH(B42,'[21]CN HĐ'!$H$10:$H$74,0)),"")</f>
        <v>23</v>
      </c>
      <c r="P42" s="1329">
        <f>IFERROR(INDEX('[22]CN HĐ'!$J$10:$J$74,MATCH(B42,'[22]CN HĐ'!$H$10:$H$74,0)),"")</f>
        <v>26</v>
      </c>
      <c r="Q42" s="1329">
        <f>VLOOKUP(B42,'[23]CN HĐ'!$H$10:$J$74,3,FALSE)</f>
        <v>23</v>
      </c>
      <c r="R42" s="1329">
        <v>24</v>
      </c>
      <c r="S42" s="1329">
        <f>VLOOKUP(B42,'[26]CN HĐ'!$G$10:$I$67,3,FALSE)</f>
        <v>24</v>
      </c>
      <c r="T42" s="1329">
        <f t="shared" ref="T42:T47" si="12">IF(S42&gt;=R42,R42,IF(S42&lt;R42,S42))</f>
        <v>24</v>
      </c>
      <c r="U42" s="1329"/>
      <c r="V42" s="1346">
        <f t="shared" ref="V42:V47" si="13">ROUND(N42/R42*T42,0)</f>
        <v>3993436</v>
      </c>
      <c r="W42" s="612">
        <f t="shared" ref="W42:W47" si="14">A42</f>
        <v>30</v>
      </c>
      <c r="X42" s="613">
        <f>VLOOKUP(B42,'[26]CN HĐ'!$G$10:$L$67,6,FALSE)</f>
        <v>0</v>
      </c>
      <c r="Y42" s="108" t="str">
        <f>VLOOKUP(B42,TH.T4!B63:AC393,28,FALSE)</f>
        <v>QTDV</v>
      </c>
    </row>
    <row r="43" spans="1:48" s="372" customFormat="1" ht="32.25" customHeight="1">
      <c r="A43" s="20">
        <f>_xlfn.AGGREGATE(4,7,A$12:A42)+1</f>
        <v>31</v>
      </c>
      <c r="B43" s="1330" t="s">
        <v>2100</v>
      </c>
      <c r="C43" s="1337" t="s">
        <v>1053</v>
      </c>
      <c r="D43" s="1338" t="s">
        <v>2101</v>
      </c>
      <c r="E43" s="1339">
        <v>1603205399011</v>
      </c>
      <c r="F43" s="1341" t="s">
        <v>2458</v>
      </c>
      <c r="G43" s="368" t="s">
        <v>2042</v>
      </c>
      <c r="H43" s="1325">
        <v>9118758</v>
      </c>
      <c r="I43" s="1326"/>
      <c r="J43" s="1327">
        <f t="shared" si="8"/>
        <v>0</v>
      </c>
      <c r="K43" s="1325">
        <f t="shared" si="9"/>
        <v>9118758</v>
      </c>
      <c r="L43" s="1327">
        <f t="shared" si="10"/>
        <v>11854385.4</v>
      </c>
      <c r="M43" s="1328" t="str">
        <f>VLOOKUP(B43,[25]!Table2[[Column2]:[Column6]],4,FALSE)</f>
        <v>A1</v>
      </c>
      <c r="N43" s="1327">
        <f t="shared" si="11"/>
        <v>9483508</v>
      </c>
      <c r="O43" s="1328">
        <f>IFERROR(INDEX('[21]CN HĐ'!$J$10:$J$74,MATCH(B43,'[21]CN HĐ'!$H$10:$H$74,0)),"")</f>
        <v>21</v>
      </c>
      <c r="P43" s="1329">
        <f>IFERROR(INDEX('[22]CN HĐ'!$J$10:$J$74,MATCH(B43,'[22]CN HĐ'!$H$10:$H$74,0)),"")</f>
        <v>26</v>
      </c>
      <c r="Q43" s="1329">
        <f>VLOOKUP(B43,'[23]CN HĐ'!$H$10:$J$74,3,FALSE)</f>
        <v>23</v>
      </c>
      <c r="R43" s="1329">
        <v>24</v>
      </c>
      <c r="S43" s="1329">
        <f>VLOOKUP(B43,'[26]CN HĐ'!$G$10:$I$67,3,FALSE)</f>
        <v>24</v>
      </c>
      <c r="T43" s="1329">
        <f t="shared" si="12"/>
        <v>24</v>
      </c>
      <c r="U43" s="1329"/>
      <c r="V43" s="1346">
        <f t="shared" si="13"/>
        <v>9483508</v>
      </c>
      <c r="W43" s="612">
        <f t="shared" si="14"/>
        <v>31</v>
      </c>
      <c r="X43" s="613">
        <f>VLOOKUP(B43,'[26]CN HĐ'!$G$10:$L$67,6,FALSE)</f>
        <v>0</v>
      </c>
      <c r="Y43" s="372" t="str">
        <f>VLOOKUP(B43,TH.T4!B58:AC388,28,FALSE)</f>
        <v>TTrGD</v>
      </c>
    </row>
    <row r="44" spans="1:48" s="372" customFormat="1" ht="55.5" customHeight="1">
      <c r="A44" s="20">
        <f>_xlfn.AGGREGATE(4,7,A$12:A43)+1</f>
        <v>32</v>
      </c>
      <c r="B44" s="1330" t="s">
        <v>2091</v>
      </c>
      <c r="C44" s="1337"/>
      <c r="D44" s="1338"/>
      <c r="E44" s="1341"/>
      <c r="F44" s="1341" t="s">
        <v>2458</v>
      </c>
      <c r="G44" s="368" t="s">
        <v>2031</v>
      </c>
      <c r="H44" s="1325">
        <v>5208000</v>
      </c>
      <c r="I44" s="1326"/>
      <c r="J44" s="1327">
        <f t="shared" si="8"/>
        <v>0</v>
      </c>
      <c r="K44" s="1325">
        <f t="shared" si="9"/>
        <v>5208000</v>
      </c>
      <c r="L44" s="1327">
        <f t="shared" si="10"/>
        <v>3645600</v>
      </c>
      <c r="M44" s="1328" t="str">
        <f>VLOOKUP(B44,[25]!Table2[[Column2]:[Column6]],4,FALSE)</f>
        <v>A4</v>
      </c>
      <c r="N44" s="1327">
        <f t="shared" si="11"/>
        <v>1822800</v>
      </c>
      <c r="O44" s="1328">
        <f>IFERROR(INDEX('[21]CN HĐ'!$J$10:$J$74,MATCH(B44,'[21]CN HĐ'!$H$10:$H$74,0)),"")</f>
        <v>27</v>
      </c>
      <c r="P44" s="1329">
        <f>IFERROR(INDEX('[22]CN HĐ'!$J$10:$J$74,MATCH(B44,'[22]CN HĐ'!$H$10:$H$74,0)),"")</f>
        <v>24</v>
      </c>
      <c r="Q44" s="1329">
        <f>VLOOKUP(B44,'[23]CN HĐ'!$H$10:$J$74,3,FALSE)</f>
        <v>23</v>
      </c>
      <c r="R44" s="1329">
        <v>24</v>
      </c>
      <c r="S44" s="1329">
        <f>VLOOKUP(B44,'[26]CN HĐ'!$G$10:$I$67,3,FALSE)</f>
        <v>23</v>
      </c>
      <c r="T44" s="1329">
        <f t="shared" si="12"/>
        <v>23</v>
      </c>
      <c r="U44" s="1329"/>
      <c r="V44" s="1346">
        <f t="shared" si="13"/>
        <v>1746850</v>
      </c>
      <c r="W44" s="612">
        <f t="shared" si="14"/>
        <v>32</v>
      </c>
      <c r="X44" s="613">
        <f>VLOOKUP(B44,'[26]CN HĐ'!$G$10:$L$67,6,FALSE)</f>
        <v>0</v>
      </c>
      <c r="Y44" s="108" t="str">
        <f>VLOOKUP(B44,TH.T4!B52:AC382,28,FALSE)</f>
        <v>QTDV</v>
      </c>
      <c r="Z44" s="108"/>
      <c r="AA44" s="108"/>
      <c r="AB44" s="108"/>
      <c r="AC44" s="108"/>
      <c r="AD44" s="108"/>
      <c r="AE44" s="108"/>
      <c r="AF44" s="108"/>
      <c r="AG44" s="108"/>
      <c r="AH44" s="108"/>
      <c r="AI44" s="108"/>
      <c r="AJ44" s="108"/>
      <c r="AK44" s="108"/>
      <c r="AL44" s="108"/>
      <c r="AM44" s="108"/>
      <c r="AN44" s="108"/>
      <c r="AO44" s="108"/>
      <c r="AP44" s="108"/>
    </row>
    <row r="45" spans="1:48" s="372" customFormat="1" ht="34.5" customHeight="1">
      <c r="A45" s="20">
        <f>_xlfn.AGGREGATE(4,7,A$12:A44)+1</f>
        <v>33</v>
      </c>
      <c r="B45" s="1330" t="s">
        <v>2056</v>
      </c>
      <c r="C45" s="1331"/>
      <c r="D45" s="368"/>
      <c r="E45" s="1341"/>
      <c r="F45" s="1341" t="s">
        <v>2460</v>
      </c>
      <c r="G45" s="368" t="s">
        <v>2042</v>
      </c>
      <c r="H45" s="1325">
        <v>6076213</v>
      </c>
      <c r="I45" s="1326"/>
      <c r="J45" s="1327">
        <f t="shared" si="8"/>
        <v>0</v>
      </c>
      <c r="K45" s="1325">
        <f t="shared" si="9"/>
        <v>6076213</v>
      </c>
      <c r="L45" s="1327">
        <f t="shared" si="10"/>
        <v>7899076.9000000004</v>
      </c>
      <c r="M45" s="1328" t="str">
        <f>VLOOKUP(B45,[25]!Table2[[Column2]:[Column6]],4,FALSE)</f>
        <v>A4</v>
      </c>
      <c r="N45" s="1327">
        <f t="shared" si="11"/>
        <v>3949538</v>
      </c>
      <c r="O45" s="1328">
        <f>IFERROR(INDEX('[21]CN HĐ'!$J$10:$J$74,MATCH(B45,'[21]CN HĐ'!$H$10:$H$74,0)),"")</f>
        <v>24</v>
      </c>
      <c r="P45" s="1329">
        <f>IFERROR(INDEX('[22]CN HĐ'!$J$10:$J$74,MATCH(B45,'[22]CN HĐ'!$H$10:$H$74,0)),"")</f>
        <v>26</v>
      </c>
      <c r="Q45" s="1329">
        <f>VLOOKUP(B45,'[23]CN HĐ'!$H$10:$J$74,3,FALSE)</f>
        <v>23</v>
      </c>
      <c r="R45" s="1329">
        <v>24</v>
      </c>
      <c r="S45" s="1329">
        <f>VLOOKUP(B45,'[26]CN HĐ'!$G$10:$I$67,3,FALSE)</f>
        <v>24</v>
      </c>
      <c r="T45" s="1329">
        <f t="shared" si="12"/>
        <v>24</v>
      </c>
      <c r="U45" s="1329"/>
      <c r="V45" s="1346">
        <f t="shared" si="13"/>
        <v>3949538</v>
      </c>
      <c r="W45" s="612">
        <f t="shared" si="14"/>
        <v>33</v>
      </c>
      <c r="X45" s="613">
        <f>VLOOKUP(B45,'[26]CN HĐ'!$G$10:$L$67,6,FALSE)</f>
        <v>0</v>
      </c>
      <c r="Y45" s="372" t="str">
        <f>VLOOKUP(B45,TH.T4!B34:AC364,28,FALSE)</f>
        <v>TTrGD</v>
      </c>
      <c r="Z45" s="487"/>
    </row>
    <row r="46" spans="1:48" s="372" customFormat="1" ht="35.25" customHeight="1">
      <c r="A46" s="20">
        <f>_xlfn.AGGREGATE(4,7,A$12:A45)+1</f>
        <v>34</v>
      </c>
      <c r="B46" s="1330" t="s">
        <v>2113</v>
      </c>
      <c r="C46" s="1337"/>
      <c r="D46" s="1338"/>
      <c r="E46" s="1339">
        <v>1603205639363</v>
      </c>
      <c r="F46" s="1341" t="s">
        <v>2460</v>
      </c>
      <c r="G46" s="368" t="s">
        <v>2042</v>
      </c>
      <c r="H46" s="1325">
        <v>6076213</v>
      </c>
      <c r="I46" s="1326"/>
      <c r="J46" s="1327">
        <f t="shared" si="8"/>
        <v>0</v>
      </c>
      <c r="K46" s="1325">
        <f t="shared" si="9"/>
        <v>6076213</v>
      </c>
      <c r="L46" s="1327">
        <f t="shared" si="10"/>
        <v>7899076.9000000004</v>
      </c>
      <c r="M46" s="1328" t="str">
        <f>VLOOKUP(B46,[25]!Table2[[Column2]:[Column6]],4,FALSE)</f>
        <v>A4</v>
      </c>
      <c r="N46" s="1327">
        <f t="shared" si="11"/>
        <v>3949538</v>
      </c>
      <c r="O46" s="1328">
        <f>IFERROR(INDEX('[21]CN HĐ'!$J$10:$J$74,MATCH(B46,'[21]CN HĐ'!$H$10:$H$74,0)),"")</f>
        <v>24</v>
      </c>
      <c r="P46" s="1329">
        <f>IFERROR(INDEX('[22]CN HĐ'!$J$10:$J$74,MATCH(B46,'[22]CN HĐ'!$H$10:$H$74,0)),"")</f>
        <v>24</v>
      </c>
      <c r="Q46" s="1329">
        <f>VLOOKUP(B46,'[23]CN HĐ'!$H$10:$J$74,3,FALSE)</f>
        <v>23</v>
      </c>
      <c r="R46" s="1329">
        <v>24</v>
      </c>
      <c r="S46" s="1329">
        <f>VLOOKUP(B46,'[26]CN HĐ'!$G$10:$I$67,3,FALSE)</f>
        <v>24</v>
      </c>
      <c r="T46" s="1329">
        <f t="shared" si="12"/>
        <v>24</v>
      </c>
      <c r="U46" s="1329"/>
      <c r="V46" s="1346">
        <f t="shared" si="13"/>
        <v>3949538</v>
      </c>
      <c r="W46" s="612">
        <f t="shared" si="14"/>
        <v>34</v>
      </c>
      <c r="X46" s="613">
        <f>VLOOKUP(B46,'[26]CN HĐ'!$G$10:$L$67,6,FALSE)</f>
        <v>0</v>
      </c>
      <c r="Y46" s="108" t="str">
        <f>VLOOKUP(B46,TH.T4!B64:AC394,28,FALSE)</f>
        <v>TTrGD</v>
      </c>
    </row>
    <row r="47" spans="1:48" s="372" customFormat="1" ht="34.5" customHeight="1">
      <c r="A47" s="20">
        <f>_xlfn.AGGREGATE(4,7,A$12:A46)+1</f>
        <v>35</v>
      </c>
      <c r="B47" s="1330" t="s">
        <v>2108</v>
      </c>
      <c r="C47" s="1337"/>
      <c r="D47" s="1338"/>
      <c r="E47" s="1341"/>
      <c r="F47" s="1341" t="s">
        <v>2459</v>
      </c>
      <c r="G47" s="368" t="s">
        <v>2042</v>
      </c>
      <c r="H47" s="1325">
        <v>6076213</v>
      </c>
      <c r="I47" s="1326"/>
      <c r="J47" s="1327">
        <f t="shared" si="8"/>
        <v>0</v>
      </c>
      <c r="K47" s="1325">
        <f t="shared" si="9"/>
        <v>6076213</v>
      </c>
      <c r="L47" s="1327">
        <f t="shared" si="10"/>
        <v>7899076.9000000004</v>
      </c>
      <c r="M47" s="1328" t="str">
        <f>VLOOKUP(B47,[25]!Table2[[Column2]:[Column6]],4,FALSE)</f>
        <v>A4</v>
      </c>
      <c r="N47" s="1327">
        <f t="shared" si="11"/>
        <v>3949538</v>
      </c>
      <c r="O47" s="1328">
        <f>IFERROR(INDEX('[21]CN HĐ'!$J$10:$J$74,MATCH(B47,'[21]CN HĐ'!$H$10:$H$74,0)),"")</f>
        <v>25</v>
      </c>
      <c r="P47" s="1329">
        <f>IFERROR(INDEX('[22]CN HĐ'!$J$10:$J$74,MATCH(B47,'[22]CN HĐ'!$H$10:$H$74,0)),"")</f>
        <v>24</v>
      </c>
      <c r="Q47" s="1329">
        <f>VLOOKUP(B47,'[23]CN HĐ'!$H$10:$J$74,3,FALSE)</f>
        <v>22</v>
      </c>
      <c r="R47" s="1329">
        <v>24</v>
      </c>
      <c r="S47" s="1329">
        <f>VLOOKUP(B47,'[26]CN HĐ'!$G$10:$I$67,3,FALSE)</f>
        <v>22</v>
      </c>
      <c r="T47" s="1329">
        <f t="shared" si="12"/>
        <v>22</v>
      </c>
      <c r="U47" s="1329"/>
      <c r="V47" s="1346">
        <f t="shared" si="13"/>
        <v>3620410</v>
      </c>
      <c r="W47" s="612">
        <f t="shared" si="14"/>
        <v>35</v>
      </c>
      <c r="X47" s="613" t="str">
        <f>VLOOKUP(B47,'[26]CN HĐ'!$G$10:$L$67,6,FALSE)</f>
        <v>Trừ 2 ngày nghỉ phép 13+27/9</v>
      </c>
      <c r="Y47" s="108" t="str">
        <f>VLOOKUP(B47,TH.T4!B61:AC391,28,FALSE)</f>
        <v>TTrGD</v>
      </c>
      <c r="Z47" s="108"/>
      <c r="AA47" s="108"/>
      <c r="AB47" s="108"/>
      <c r="AC47" s="108"/>
      <c r="AD47" s="108"/>
      <c r="AE47" s="108"/>
      <c r="AF47" s="108"/>
      <c r="AG47" s="108"/>
      <c r="AH47" s="108"/>
      <c r="AI47" s="108"/>
      <c r="AJ47" s="108"/>
      <c r="AK47" s="108"/>
      <c r="AL47" s="108"/>
      <c r="AM47" s="108"/>
      <c r="AN47" s="108"/>
      <c r="AO47" s="108"/>
      <c r="AP47" s="108"/>
      <c r="AQ47" s="108"/>
      <c r="AR47" s="108"/>
      <c r="AS47" s="108"/>
      <c r="AT47" s="108"/>
      <c r="AU47" s="108"/>
      <c r="AV47" s="108"/>
    </row>
    <row r="48" spans="1:48" s="372" customFormat="1" ht="63.75" customHeight="1">
      <c r="A48" s="20">
        <f>_xlfn.AGGREGATE(4,7,A$12:A47)+1</f>
        <v>36</v>
      </c>
      <c r="B48" s="1330" t="s">
        <v>2089</v>
      </c>
      <c r="C48" s="1337" t="s">
        <v>307</v>
      </c>
      <c r="D48" s="1338" t="s">
        <v>2090</v>
      </c>
      <c r="E48" s="1341">
        <v>1603205194204</v>
      </c>
      <c r="F48" s="1341" t="s">
        <v>2455</v>
      </c>
      <c r="G48" s="368" t="s">
        <v>2038</v>
      </c>
      <c r="H48" s="1325">
        <v>7841152</v>
      </c>
      <c r="I48" s="1326"/>
      <c r="J48" s="1327">
        <f t="shared" si="2"/>
        <v>0</v>
      </c>
      <c r="K48" s="1325">
        <f t="shared" si="3"/>
        <v>7841152</v>
      </c>
      <c r="L48" s="1327">
        <f t="shared" si="6"/>
        <v>10193497.6</v>
      </c>
      <c r="M48" s="1328" t="str">
        <f>VLOOKUP(B48,[25]!Table2[[Column2]:[Column6]],4,FALSE)</f>
        <v>A4</v>
      </c>
      <c r="N48" s="1327">
        <f t="shared" si="0"/>
        <v>5096749</v>
      </c>
      <c r="O48" s="1328">
        <f>IFERROR(INDEX('[21]CN HĐ'!$J$10:$J$74,MATCH(B48,'[21]CN HĐ'!$H$10:$H$74,0)),"")</f>
        <v>24</v>
      </c>
      <c r="P48" s="1329">
        <f>IFERROR(INDEX('[22]CN HĐ'!$J$10:$J$74,MATCH(B48,'[22]CN HĐ'!$H$10:$H$74,0)),"")</f>
        <v>26</v>
      </c>
      <c r="Q48" s="1329">
        <f>VLOOKUP(B48,'[23]CN HĐ'!$H$10:$J$74,3,FALSE)</f>
        <v>23</v>
      </c>
      <c r="R48" s="1329">
        <v>24</v>
      </c>
      <c r="S48" s="1329">
        <f>VLOOKUP(B48,'[26]CN HĐ'!$G$10:$I$67,3,FALSE)</f>
        <v>24</v>
      </c>
      <c r="T48" s="1329">
        <f t="shared" si="4"/>
        <v>24</v>
      </c>
      <c r="U48" s="1329"/>
      <c r="V48" s="1346">
        <f t="shared" si="5"/>
        <v>5096749</v>
      </c>
      <c r="W48" s="612">
        <f t="shared" si="7"/>
        <v>36</v>
      </c>
      <c r="X48" s="613">
        <f>VLOOKUP(B48,'[26]CN HĐ'!$G$10:$L$67,6,FALSE)</f>
        <v>0</v>
      </c>
      <c r="Y48" s="372" t="str">
        <f>VLOOKUP(B48,TH.T4!B51:AC381,28,FALSE)</f>
        <v>TTYT</v>
      </c>
    </row>
    <row r="49" spans="1:65" s="372" customFormat="1" ht="43.5" customHeight="1">
      <c r="A49" s="20">
        <f>_xlfn.AGGREGATE(4,7,A$12:A48)+1</f>
        <v>37</v>
      </c>
      <c r="B49" s="1344" t="s">
        <v>2092</v>
      </c>
      <c r="C49" s="267"/>
      <c r="D49" s="1338"/>
      <c r="E49" s="1340" t="s">
        <v>2093</v>
      </c>
      <c r="F49" s="1340" t="s">
        <v>2456</v>
      </c>
      <c r="G49" s="368" t="s">
        <v>2042</v>
      </c>
      <c r="H49" s="1325">
        <v>11952831</v>
      </c>
      <c r="I49" s="1326">
        <v>0.12</v>
      </c>
      <c r="J49" s="1327">
        <f t="shared" si="2"/>
        <v>1434339.72</v>
      </c>
      <c r="K49" s="1325">
        <f t="shared" si="3"/>
        <v>13387170.720000001</v>
      </c>
      <c r="L49" s="1327">
        <f t="shared" si="6"/>
        <v>17403321.936000001</v>
      </c>
      <c r="M49" s="1328" t="str">
        <f>VLOOKUP(B49,[25]!Table2[[Column2]:[Column6]],4,FALSE)</f>
        <v>A1</v>
      </c>
      <c r="N49" s="1327">
        <f t="shared" ref="N49:N72" si="15">ROUND(IF(AND(M49="A1",L49*0.8),L49*0.8,IF(AND(M49="A2",L49*0.7),L49*0.7,IF(AND(M49="A3",L49*0.6),L49*0.6,IF(AND(M49="A4",L49*0.5),L49*0.5,IF(AND(M49="B1",L49*0.35),L49*0.35,IF(AND(M49="B2",L49*0.25),L49*0.25,IF(AND(M49="C1",L49*0.15),L49*0.15,IF(M49="C2",L49*0.1,0)))))))),)</f>
        <v>13922658</v>
      </c>
      <c r="O49" s="1328">
        <f>IFERROR(INDEX('[21]CN HĐ'!$J$10:$J$74,MATCH(B49,'[21]CN HĐ'!$H$10:$H$74,0)),"")</f>
        <v>31</v>
      </c>
      <c r="P49" s="1329">
        <f>IFERROR(INDEX('[22]CN HĐ'!$J$10:$J$74,MATCH(B49,'[22]CN HĐ'!$H$10:$H$74,0)),"")</f>
        <v>30</v>
      </c>
      <c r="Q49" s="1329">
        <f>VLOOKUP(B49,'[23]CN HĐ'!$H$10:$J$74,3,FALSE)</f>
        <v>27</v>
      </c>
      <c r="R49" s="1329">
        <v>24</v>
      </c>
      <c r="S49" s="1329">
        <f>VLOOKUP(B49,'[26]CN HĐ'!$G$10:$I$67,3,FALSE)</f>
        <v>28</v>
      </c>
      <c r="T49" s="1329">
        <f t="shared" si="4"/>
        <v>24</v>
      </c>
      <c r="U49" s="1329"/>
      <c r="V49" s="1346">
        <f t="shared" si="5"/>
        <v>13922658</v>
      </c>
      <c r="W49" s="612">
        <f t="shared" si="7"/>
        <v>37</v>
      </c>
      <c r="X49" s="613">
        <f>VLOOKUP(B49,'[26]CN HĐ'!$G$10:$L$67,6,FALSE)</f>
        <v>0</v>
      </c>
      <c r="Y49" s="108" t="str">
        <f>VLOOKUP(B49,TH.T4!B53:AC383,28,FALSE)</f>
        <v>TTĐT</v>
      </c>
      <c r="Z49" s="108"/>
      <c r="AA49" s="108"/>
      <c r="AB49" s="108"/>
      <c r="AC49" s="108"/>
      <c r="AD49" s="108"/>
      <c r="AE49" s="108"/>
      <c r="AF49" s="108"/>
      <c r="AG49" s="108"/>
      <c r="AH49" s="108"/>
      <c r="AI49" s="108"/>
      <c r="AJ49" s="108"/>
      <c r="AK49" s="108"/>
      <c r="AL49" s="108"/>
      <c r="AM49" s="108"/>
      <c r="AN49" s="108"/>
      <c r="AO49" s="108"/>
      <c r="AP49" s="108"/>
      <c r="AQ49" s="108"/>
      <c r="AR49" s="108"/>
      <c r="AS49" s="108"/>
      <c r="AT49" s="108"/>
      <c r="AU49" s="108"/>
      <c r="AV49" s="108"/>
      <c r="AW49" s="108"/>
      <c r="AX49" s="108"/>
      <c r="AY49" s="108"/>
      <c r="AZ49" s="108"/>
      <c r="BA49" s="108"/>
      <c r="BB49" s="108"/>
      <c r="BC49" s="108"/>
      <c r="BD49" s="108"/>
      <c r="BE49" s="108"/>
      <c r="BF49" s="108"/>
      <c r="BG49" s="108"/>
      <c r="BH49" s="108"/>
      <c r="BI49" s="108"/>
      <c r="BJ49" s="108"/>
      <c r="BK49" s="108"/>
      <c r="BL49" s="108"/>
      <c r="BM49" s="108"/>
    </row>
    <row r="50" spans="1:65" s="372" customFormat="1" ht="51.75" customHeight="1">
      <c r="A50" s="20">
        <f>_xlfn.AGGREGATE(4,7,A$12:A49)+1</f>
        <v>38</v>
      </c>
      <c r="B50" s="1330" t="s">
        <v>2094</v>
      </c>
      <c r="C50" s="1337" t="s">
        <v>1602</v>
      </c>
      <c r="D50" s="1338" t="s">
        <v>2095</v>
      </c>
      <c r="E50" s="1339">
        <v>1603205341982</v>
      </c>
      <c r="F50" s="1339" t="s">
        <v>2457</v>
      </c>
      <c r="G50" s="368" t="s">
        <v>2042</v>
      </c>
      <c r="H50" s="1325">
        <v>7964676</v>
      </c>
      <c r="I50" s="1326"/>
      <c r="J50" s="1327">
        <f t="shared" si="2"/>
        <v>0</v>
      </c>
      <c r="K50" s="1325">
        <f t="shared" si="3"/>
        <v>7964676</v>
      </c>
      <c r="L50" s="1327">
        <f t="shared" si="6"/>
        <v>10354078.800000001</v>
      </c>
      <c r="M50" s="1328" t="str">
        <f>VLOOKUP(B50,[25]!Table2[[Column2]:[Column6]],4,FALSE)</f>
        <v>A2</v>
      </c>
      <c r="N50" s="1327">
        <f t="shared" si="15"/>
        <v>7247855</v>
      </c>
      <c r="O50" s="1328">
        <f>IFERROR(INDEX('[21]CN HĐ'!$J$10:$J$74,MATCH(B50,'[21]CN HĐ'!$H$10:$H$74,0)),"")</f>
        <v>25</v>
      </c>
      <c r="P50" s="1329">
        <f>IFERROR(INDEX('[22]CN HĐ'!$J$10:$J$74,MATCH(B50,'[22]CN HĐ'!$H$10:$H$74,0)),"")</f>
        <v>27</v>
      </c>
      <c r="Q50" s="1329">
        <f>VLOOKUP(B50,'[23]CN HĐ'!$H$10:$J$74,3,FALSE)</f>
        <v>24</v>
      </c>
      <c r="R50" s="1329">
        <v>24</v>
      </c>
      <c r="S50" s="1329">
        <f>VLOOKUP(B50,'[26]CN HĐ'!$G$10:$I$67,3,FALSE)</f>
        <v>25</v>
      </c>
      <c r="T50" s="1329">
        <f t="shared" si="4"/>
        <v>24</v>
      </c>
      <c r="U50" s="1329"/>
      <c r="V50" s="1346">
        <f t="shared" si="5"/>
        <v>7247855</v>
      </c>
      <c r="W50" s="612">
        <f t="shared" si="7"/>
        <v>38</v>
      </c>
      <c r="X50" s="613">
        <f>VLOOKUP(B50,'[26]CN HĐ'!$G$10:$L$67,6,FALSE)</f>
        <v>0</v>
      </c>
      <c r="Y50" s="108" t="str">
        <f>VLOOKUP(B50,TH.T4!B54:AC384,28,FALSE)</f>
        <v>KHTC</v>
      </c>
      <c r="Z50" s="108"/>
      <c r="AA50" s="108"/>
      <c r="AB50" s="108"/>
      <c r="AC50" s="108"/>
      <c r="AD50" s="108"/>
      <c r="AE50" s="108"/>
      <c r="AF50" s="108"/>
      <c r="AG50" s="108"/>
      <c r="AH50" s="108"/>
      <c r="AI50" s="108"/>
      <c r="AJ50" s="108"/>
      <c r="AK50" s="108"/>
      <c r="AL50" s="108"/>
      <c r="AM50" s="108"/>
      <c r="AN50" s="108"/>
      <c r="AO50" s="108"/>
      <c r="AP50" s="108"/>
      <c r="AQ50" s="108"/>
      <c r="AR50" s="108"/>
      <c r="AS50" s="108"/>
      <c r="AT50" s="108"/>
      <c r="AU50" s="108"/>
      <c r="AV50" s="108"/>
    </row>
    <row r="51" spans="1:65" s="372" customFormat="1" ht="38.25" customHeight="1">
      <c r="A51" s="20">
        <f>_xlfn.AGGREGATE(4,7,A$12:A50)+1</f>
        <v>39</v>
      </c>
      <c r="B51" s="1330" t="s">
        <v>2098</v>
      </c>
      <c r="C51" s="1337"/>
      <c r="D51" s="1338"/>
      <c r="E51" s="1341"/>
      <c r="F51" s="1339" t="s">
        <v>2457</v>
      </c>
      <c r="G51" s="368" t="s">
        <v>2042</v>
      </c>
      <c r="H51" s="1325">
        <v>6076213</v>
      </c>
      <c r="I51" s="1326"/>
      <c r="J51" s="1327">
        <f t="shared" si="2"/>
        <v>0</v>
      </c>
      <c r="K51" s="1325">
        <f t="shared" si="3"/>
        <v>6076213</v>
      </c>
      <c r="L51" s="1327">
        <f t="shared" si="6"/>
        <v>7899076.9000000004</v>
      </c>
      <c r="M51" s="1328" t="str">
        <f>VLOOKUP(B51,[25]!Table2[[Column2]:[Column6]],4,FALSE)</f>
        <v>A2</v>
      </c>
      <c r="N51" s="1327">
        <f t="shared" si="15"/>
        <v>5529354</v>
      </c>
      <c r="O51" s="1328">
        <f>IFERROR(INDEX('[21]CN HĐ'!$J$10:$J$74,MATCH(B51,'[21]CN HĐ'!$H$10:$H$74,0)),"")</f>
        <v>24</v>
      </c>
      <c r="P51" s="1329">
        <f>IFERROR(INDEX('[22]CN HĐ'!$J$10:$J$74,MATCH(B51,'[22]CN HĐ'!$H$10:$H$74,0)),"")</f>
        <v>26</v>
      </c>
      <c r="Q51" s="1329">
        <f>VLOOKUP(B51,'[23]CN HĐ'!$H$10:$J$74,3,FALSE)</f>
        <v>23</v>
      </c>
      <c r="R51" s="1329">
        <v>24</v>
      </c>
      <c r="S51" s="1329">
        <f>VLOOKUP(B51,'[26]CN HĐ'!$G$10:$I$67,3,FALSE)</f>
        <v>22</v>
      </c>
      <c r="T51" s="1329">
        <f t="shared" si="4"/>
        <v>22</v>
      </c>
      <c r="U51" s="1329"/>
      <c r="V51" s="1346">
        <f t="shared" si="5"/>
        <v>5068575</v>
      </c>
      <c r="W51" s="612">
        <f t="shared" si="7"/>
        <v>39</v>
      </c>
      <c r="X51" s="613" t="str">
        <f>VLOOKUP(B51,'[26]CN HĐ'!$G$10:$L$67,6,FALSE)</f>
        <v>Trừ 3 ngày nghỉ phép 17+18+19/9</v>
      </c>
      <c r="Y51" s="108" t="str">
        <f>VLOOKUP(B51,TH.T4!B56:AC386,28,FALSE)</f>
        <v>KHTC</v>
      </c>
      <c r="Z51" s="108"/>
      <c r="AA51" s="108"/>
      <c r="AB51" s="108"/>
      <c r="AC51" s="108"/>
      <c r="AD51" s="108"/>
      <c r="AE51" s="108"/>
      <c r="AF51" s="108"/>
      <c r="AG51" s="108"/>
      <c r="AH51" s="108"/>
      <c r="AI51" s="108"/>
      <c r="AJ51" s="108"/>
      <c r="AK51" s="108"/>
      <c r="AL51" s="108"/>
      <c r="AM51" s="108"/>
      <c r="AN51" s="108"/>
      <c r="AO51" s="108"/>
      <c r="AP51" s="108"/>
      <c r="AQ51" s="108"/>
      <c r="AR51" s="108"/>
      <c r="AS51" s="108"/>
      <c r="AT51" s="108"/>
      <c r="AU51" s="108"/>
      <c r="AV51" s="108"/>
    </row>
    <row r="52" spans="1:65" s="372" customFormat="1" ht="29.25" customHeight="1">
      <c r="A52" s="20">
        <f>_xlfn.AGGREGATE(4,7,A$12:A51)+1</f>
        <v>40</v>
      </c>
      <c r="B52" s="1330" t="s">
        <v>2099</v>
      </c>
      <c r="C52" s="1337"/>
      <c r="D52" s="1338"/>
      <c r="E52" s="1341"/>
      <c r="F52" s="1339" t="s">
        <v>2457</v>
      </c>
      <c r="G52" s="368" t="s">
        <v>2042</v>
      </c>
      <c r="H52" s="1325">
        <v>6076213</v>
      </c>
      <c r="I52" s="1326"/>
      <c r="J52" s="1327">
        <f t="shared" si="2"/>
        <v>0</v>
      </c>
      <c r="K52" s="1325">
        <f t="shared" si="3"/>
        <v>6076213</v>
      </c>
      <c r="L52" s="1327">
        <f t="shared" si="6"/>
        <v>7899076.9000000004</v>
      </c>
      <c r="M52" s="1328" t="str">
        <f>VLOOKUP(B52,[25]!Table2[[Column2]:[Column6]],4,FALSE)</f>
        <v>A2</v>
      </c>
      <c r="N52" s="1327">
        <f t="shared" si="15"/>
        <v>5529354</v>
      </c>
      <c r="O52" s="1328">
        <f>IFERROR(INDEX('[21]CN HĐ'!$J$10:$J$74,MATCH(B52,'[21]CN HĐ'!$H$10:$H$74,0)),"")</f>
        <v>24</v>
      </c>
      <c r="P52" s="1329">
        <f>IFERROR(INDEX('[22]CN HĐ'!$J$10:$J$74,MATCH(B52,'[22]CN HĐ'!$H$10:$H$74,0)),"")</f>
        <v>26</v>
      </c>
      <c r="Q52" s="1329">
        <f>VLOOKUP(B52,'[23]CN HĐ'!$H$10:$J$74,3,FALSE)</f>
        <v>25</v>
      </c>
      <c r="R52" s="1329">
        <v>24</v>
      </c>
      <c r="S52" s="1329">
        <f>VLOOKUP(B52,'[26]CN HĐ'!$G$10:$I$67,3,FALSE)</f>
        <v>26</v>
      </c>
      <c r="T52" s="1329">
        <f t="shared" si="4"/>
        <v>24</v>
      </c>
      <c r="U52" s="1329"/>
      <c r="V52" s="1346">
        <f t="shared" si="5"/>
        <v>5529354</v>
      </c>
      <c r="W52" s="612">
        <f t="shared" si="7"/>
        <v>40</v>
      </c>
      <c r="X52" s="613">
        <f>VLOOKUP(B52,'[26]CN HĐ'!$G$10:$L$67,6,FALSE)</f>
        <v>0</v>
      </c>
      <c r="Y52" s="108" t="str">
        <f>VLOOKUP(B52,TH.T4!B57:AC387,28,FALSE)</f>
        <v>KHTC</v>
      </c>
      <c r="Z52" s="108"/>
      <c r="AA52" s="108"/>
      <c r="AB52" s="108"/>
      <c r="AC52" s="108"/>
      <c r="AD52" s="108"/>
      <c r="AE52" s="108"/>
      <c r="AF52" s="108"/>
      <c r="AG52" s="108"/>
      <c r="AH52" s="108"/>
      <c r="AI52" s="108"/>
      <c r="AJ52" s="108"/>
      <c r="AK52" s="108"/>
      <c r="AL52" s="108"/>
      <c r="AM52" s="108"/>
      <c r="AN52" s="108"/>
      <c r="AO52" s="108"/>
      <c r="AP52" s="108"/>
    </row>
    <row r="53" spans="1:65" s="372" customFormat="1" ht="29.25" customHeight="1">
      <c r="A53" s="20">
        <f>_xlfn.AGGREGATE(4,7,A$12:A52)+1</f>
        <v>41</v>
      </c>
      <c r="B53" s="1330" t="s">
        <v>2102</v>
      </c>
      <c r="C53" s="1337" t="s">
        <v>2103</v>
      </c>
      <c r="D53" s="1338" t="s">
        <v>2104</v>
      </c>
      <c r="E53" s="1339" t="s">
        <v>2105</v>
      </c>
      <c r="F53" s="1339" t="s">
        <v>2453</v>
      </c>
      <c r="G53" s="368" t="s">
        <v>2038</v>
      </c>
      <c r="H53" s="1325">
        <v>6773482</v>
      </c>
      <c r="I53" s="1326"/>
      <c r="J53" s="1327">
        <f t="shared" si="2"/>
        <v>0</v>
      </c>
      <c r="K53" s="1325">
        <f t="shared" si="3"/>
        <v>6773482</v>
      </c>
      <c r="L53" s="1327">
        <f t="shared" si="6"/>
        <v>8805526.5999999996</v>
      </c>
      <c r="M53" s="1328" t="str">
        <f>VLOOKUP(B53,[25]!Table2[[Column2]:[Column6]],4,FALSE)</f>
        <v>A4</v>
      </c>
      <c r="N53" s="1327">
        <f t="shared" si="15"/>
        <v>4402763</v>
      </c>
      <c r="O53" s="1328">
        <f>IFERROR(INDEX('[21]CN HĐ'!$J$10:$J$74,MATCH(B53,'[21]CN HĐ'!$H$10:$H$74,0)),"")</f>
        <v>23</v>
      </c>
      <c r="P53" s="1329">
        <f>IFERROR(INDEX('[22]CN HĐ'!$J$10:$J$74,MATCH(B53,'[22]CN HĐ'!$H$10:$H$74,0)),"")</f>
        <v>26</v>
      </c>
      <c r="Q53" s="1329">
        <f>VLOOKUP(B53,'[23]CN HĐ'!$H$10:$J$74,3,FALSE)</f>
        <v>23</v>
      </c>
      <c r="R53" s="1329">
        <v>24</v>
      </c>
      <c r="S53" s="1329">
        <f>VLOOKUP(B53,'[26]CN HĐ'!$G$10:$I$67,3,FALSE)</f>
        <v>24</v>
      </c>
      <c r="T53" s="1329">
        <f t="shared" si="4"/>
        <v>24</v>
      </c>
      <c r="U53" s="1329"/>
      <c r="V53" s="1346">
        <f t="shared" si="5"/>
        <v>4402763</v>
      </c>
      <c r="W53" s="612">
        <f t="shared" si="7"/>
        <v>41</v>
      </c>
      <c r="X53" s="613">
        <f>VLOOKUP(B53,'[26]CN HĐ'!$G$10:$L$67,6,FALSE)</f>
        <v>0</v>
      </c>
      <c r="Y53" s="108" t="str">
        <f>VLOOKUP(B53,TH.T4!B59:AC389,28,FALSE)</f>
        <v>QTDV</v>
      </c>
      <c r="Z53" s="108"/>
      <c r="AA53" s="108"/>
      <c r="AB53" s="108"/>
      <c r="AC53" s="108"/>
      <c r="AD53" s="108"/>
      <c r="AE53" s="108"/>
      <c r="AF53" s="108"/>
      <c r="AG53" s="108"/>
      <c r="AH53" s="108"/>
      <c r="AI53" s="108"/>
      <c r="AJ53" s="108"/>
      <c r="AK53" s="108"/>
      <c r="AL53" s="108"/>
      <c r="AM53" s="108"/>
      <c r="AN53" s="108"/>
      <c r="AO53" s="108"/>
      <c r="AP53" s="108"/>
      <c r="AQ53" s="108"/>
      <c r="AR53" s="108"/>
      <c r="AS53" s="108"/>
      <c r="AT53" s="108"/>
      <c r="AU53" s="108"/>
      <c r="AV53" s="108"/>
    </row>
    <row r="54" spans="1:65" s="372" customFormat="1" ht="55.5" customHeight="1">
      <c r="A54" s="20">
        <f>_xlfn.AGGREGATE(4,7,A$12:A53)+1</f>
        <v>42</v>
      </c>
      <c r="B54" s="1342" t="s">
        <v>2109</v>
      </c>
      <c r="C54" s="1492"/>
      <c r="D54" s="1493"/>
      <c r="E54" s="1500"/>
      <c r="F54" s="1500" t="s">
        <v>2456</v>
      </c>
      <c r="G54" s="554" t="s">
        <v>2038</v>
      </c>
      <c r="H54" s="1494">
        <v>5572560</v>
      </c>
      <c r="I54" s="1495"/>
      <c r="J54" s="1496">
        <f t="shared" si="2"/>
        <v>0</v>
      </c>
      <c r="K54" s="1494">
        <f t="shared" si="3"/>
        <v>5572560</v>
      </c>
      <c r="L54" s="1496">
        <f t="shared" si="6"/>
        <v>7244328</v>
      </c>
      <c r="M54" s="1328" t="str">
        <f>VLOOKUP(B54,[25]!Table2[[Column2]:[Column6]],4,FALSE)</f>
        <v>A DN</v>
      </c>
      <c r="N54" s="1496">
        <f>ROUND(IF(AND(M54="A1",L54*0.8),L54*0.8,IF(AND(M54="A2",L54*0.7),L54*0.7,IF(AND(M54="A3",L54*0.6),L54*0.6,IF(AND(M54="A4",L54*0.5),L54*0.5,IF(AND(M54="B1",L54*0.35),L54*0.35,IF(AND(M54="B2",L54*0.25),L54*0.25,IF(AND(M54="C1",L54*0.15),L54*0.15,IF(M54="C2",L54*0.1,0)))))))),)</f>
        <v>0</v>
      </c>
      <c r="O54" s="1497">
        <f>IFERROR(INDEX('[21]CN HĐ'!$J$10:$J$74,MATCH(B54,'[21]CN HĐ'!$H$10:$H$74,0)),"")</f>
        <v>26</v>
      </c>
      <c r="P54" s="1498">
        <f>IFERROR(INDEX('[22]CN HĐ'!$J$10:$J$74,MATCH(B54,'[22]CN HĐ'!$H$10:$H$74,0)),"")</f>
        <v>25</v>
      </c>
      <c r="Q54" s="1498">
        <f>VLOOKUP(B54,'[23]CN HĐ'!$H$10:$J$74,3,FALSE)</f>
        <v>23</v>
      </c>
      <c r="R54" s="1329">
        <v>24</v>
      </c>
      <c r="S54" s="1329">
        <f>VLOOKUP(B54,'[26]CN HĐ'!$G$10:$I$69,3,FALSE)</f>
        <v>0</v>
      </c>
      <c r="T54" s="1329">
        <f t="shared" si="4"/>
        <v>0</v>
      </c>
      <c r="U54" s="1498"/>
      <c r="V54" s="1514">
        <f t="shared" si="5"/>
        <v>0</v>
      </c>
      <c r="W54" s="1499">
        <f t="shared" si="7"/>
        <v>42</v>
      </c>
      <c r="X54" s="613" t="str">
        <f>VLOOKUP(B54,'[26]CN HĐ'!$G$10:$L$69,6,FALSE)</f>
        <v>Nghỉ hộ sản hưởng chế độ BHXH từ 29/4/2025</v>
      </c>
      <c r="Y54" s="108" t="str">
        <f>VLOOKUP(B54,TH.T4!B62:AC392,28,FALSE)</f>
        <v>TTrGD</v>
      </c>
    </row>
    <row r="55" spans="1:65" s="372" customFormat="1" ht="29.25" customHeight="1">
      <c r="A55" s="20">
        <f>_xlfn.AGGREGATE(4,7,A$12:A54)+1</f>
        <v>43</v>
      </c>
      <c r="B55" s="1330" t="s">
        <v>2114</v>
      </c>
      <c r="C55" s="1337" t="s">
        <v>2115</v>
      </c>
      <c r="D55" s="1338" t="s">
        <v>2116</v>
      </c>
      <c r="E55" s="1339">
        <v>1603205324898</v>
      </c>
      <c r="F55" s="1339" t="s">
        <v>2452</v>
      </c>
      <c r="G55" s="368" t="s">
        <v>2042</v>
      </c>
      <c r="H55" s="1325">
        <v>7964676</v>
      </c>
      <c r="I55" s="1326"/>
      <c r="J55" s="1327">
        <f t="shared" si="2"/>
        <v>0</v>
      </c>
      <c r="K55" s="1325">
        <f t="shared" si="3"/>
        <v>7964676</v>
      </c>
      <c r="L55" s="1327">
        <f t="shared" si="6"/>
        <v>10354078.800000001</v>
      </c>
      <c r="M55" s="1328" t="str">
        <f>VLOOKUP(B55,[25]!Table2[[Column2]:[Column6]],4,FALSE)</f>
        <v>A2</v>
      </c>
      <c r="N55" s="1327">
        <f t="shared" si="15"/>
        <v>7247855</v>
      </c>
      <c r="O55" s="1328">
        <f>IFERROR(INDEX('[21]CN HĐ'!$J$10:$J$74,MATCH(B55,'[21]CN HĐ'!$H$10:$H$74,0)),"")</f>
        <v>27</v>
      </c>
      <c r="P55" s="1329">
        <f>IFERROR(INDEX('[22]CN HĐ'!$J$10:$J$74,MATCH(B55,'[22]CN HĐ'!$H$10:$H$74,0)),"")</f>
        <v>25</v>
      </c>
      <c r="Q55" s="1329">
        <f>VLOOKUP(B55,'[23]CN HĐ'!$H$10:$J$74,3,FALSE)</f>
        <v>23</v>
      </c>
      <c r="R55" s="1329">
        <v>24</v>
      </c>
      <c r="S55" s="1329">
        <f>VLOOKUP(B55,'[26]CN HĐ'!$G$10:$I$67,3,FALSE)</f>
        <v>24</v>
      </c>
      <c r="T55" s="1329">
        <f t="shared" si="4"/>
        <v>24</v>
      </c>
      <c r="U55" s="1329"/>
      <c r="V55" s="1346">
        <f t="shared" si="5"/>
        <v>7247855</v>
      </c>
      <c r="W55" s="612">
        <f t="shared" ref="W55:W73" si="16">A55</f>
        <v>43</v>
      </c>
      <c r="X55" s="613">
        <f>VLOOKUP(B55,'[26]CN HĐ'!$G$10:$L$67,6,FALSE)</f>
        <v>0</v>
      </c>
      <c r="Y55" s="108" t="str">
        <f>VLOOKUP(B55,TH.T4!B65:AC395,28,FALSE)</f>
        <v>QLKH</v>
      </c>
    </row>
    <row r="56" spans="1:65" s="372" customFormat="1" ht="33" customHeight="1">
      <c r="A56" s="20">
        <f>_xlfn.AGGREGATE(4,7,A$12:A55)+1</f>
        <v>44</v>
      </c>
      <c r="B56" s="1330" t="s">
        <v>2117</v>
      </c>
      <c r="C56" s="1337"/>
      <c r="D56" s="1338"/>
      <c r="E56" s="1340" t="s">
        <v>2118</v>
      </c>
      <c r="F56" s="1340" t="s">
        <v>2461</v>
      </c>
      <c r="G56" s="368" t="s">
        <v>2042</v>
      </c>
      <c r="H56" s="1325">
        <v>6076213</v>
      </c>
      <c r="I56" s="1326"/>
      <c r="J56" s="1327">
        <f t="shared" si="2"/>
        <v>0</v>
      </c>
      <c r="K56" s="1325">
        <f t="shared" si="3"/>
        <v>6076213</v>
      </c>
      <c r="L56" s="1327">
        <f t="shared" si="6"/>
        <v>7899076.9000000004</v>
      </c>
      <c r="M56" s="1328" t="str">
        <f>VLOOKUP(B56,[25]!Table2[[Column2]:[Column6]],4,FALSE)</f>
        <v>A2</v>
      </c>
      <c r="N56" s="1327">
        <f t="shared" si="15"/>
        <v>5529354</v>
      </c>
      <c r="O56" s="1328">
        <f>IFERROR(INDEX('[21]CN HĐ'!$J$10:$J$74,MATCH(B56,'[21]CN HĐ'!$H$10:$H$74,0)),"")</f>
        <v>27</v>
      </c>
      <c r="P56" s="1329">
        <f>IFERROR(INDEX('[22]CN HĐ'!$J$10:$J$74,MATCH(B56,'[22]CN HĐ'!$H$10:$H$74,0)),"")</f>
        <v>26</v>
      </c>
      <c r="Q56" s="1329">
        <f>VLOOKUP(B56,'[23]CN HĐ'!$H$10:$J$74,3,FALSE)</f>
        <v>22</v>
      </c>
      <c r="R56" s="1329">
        <v>24</v>
      </c>
      <c r="S56" s="1329">
        <f>VLOOKUP(B56,'[26]CN HĐ'!$G$10:$I$67,3,FALSE)</f>
        <v>24</v>
      </c>
      <c r="T56" s="1329">
        <f t="shared" si="4"/>
        <v>24</v>
      </c>
      <c r="U56" s="1329"/>
      <c r="V56" s="1346">
        <f t="shared" si="5"/>
        <v>5529354</v>
      </c>
      <c r="W56" s="612">
        <f t="shared" si="16"/>
        <v>44</v>
      </c>
      <c r="X56" s="613">
        <f>VLOOKUP(B56,'[26]CN HĐ'!$G$10:$L$67,6,FALSE)</f>
        <v>0</v>
      </c>
      <c r="Y56" s="108" t="str">
        <f>VLOOKUP(B56,TH.T4!B66:AC396,28,FALSE)</f>
        <v>QLKH</v>
      </c>
      <c r="Z56" s="108"/>
      <c r="AA56" s="108"/>
      <c r="AB56" s="108"/>
      <c r="AC56" s="108"/>
      <c r="AD56" s="108"/>
      <c r="AE56" s="108"/>
      <c r="AF56" s="108"/>
      <c r="AG56" s="108"/>
      <c r="AH56" s="108"/>
      <c r="AI56" s="108"/>
      <c r="AJ56" s="108"/>
      <c r="AK56" s="108"/>
      <c r="AL56" s="108"/>
      <c r="AM56" s="108"/>
      <c r="AN56" s="108"/>
      <c r="AO56" s="108"/>
      <c r="AP56" s="108"/>
      <c r="AQ56" s="108"/>
      <c r="AR56" s="108"/>
      <c r="AS56" s="108"/>
      <c r="AT56" s="108"/>
      <c r="AU56" s="108"/>
      <c r="AV56" s="108"/>
    </row>
    <row r="57" spans="1:65" s="372" customFormat="1" ht="44.25" customHeight="1">
      <c r="A57" s="20">
        <f>_xlfn.AGGREGATE(4,7,A$12:A56)+1</f>
        <v>45</v>
      </c>
      <c r="B57" s="1330" t="s">
        <v>2119</v>
      </c>
      <c r="C57" s="1337" t="s">
        <v>2120</v>
      </c>
      <c r="D57" s="1338" t="s">
        <v>2121</v>
      </c>
      <c r="E57" s="1339" t="s">
        <v>2122</v>
      </c>
      <c r="F57" s="1339" t="s">
        <v>2459</v>
      </c>
      <c r="G57" s="81" t="s">
        <v>2042</v>
      </c>
      <c r="H57" s="1325">
        <v>6076213</v>
      </c>
      <c r="I57" s="1326"/>
      <c r="J57" s="1327">
        <f t="shared" si="2"/>
        <v>0</v>
      </c>
      <c r="K57" s="1325">
        <f t="shared" si="3"/>
        <v>6076213</v>
      </c>
      <c r="L57" s="1327">
        <f t="shared" si="6"/>
        <v>7899076.9000000004</v>
      </c>
      <c r="M57" s="1328" t="str">
        <f>VLOOKUP(B57,[25]!Table2[[Column2]:[Column6]],4,FALSE)</f>
        <v>A3</v>
      </c>
      <c r="N57" s="1327">
        <f t="shared" si="15"/>
        <v>4739446</v>
      </c>
      <c r="O57" s="1328">
        <f>IFERROR(INDEX('[21]CN HĐ'!$J$10:$J$74,MATCH(B57,'[21]CN HĐ'!$H$10:$H$74,0)),"")</f>
        <v>27</v>
      </c>
      <c r="P57" s="1329">
        <f>IFERROR(INDEX('[22]CN HĐ'!$J$10:$J$74,MATCH(B57,'[22]CN HĐ'!$H$10:$H$74,0)),"")</f>
        <v>26</v>
      </c>
      <c r="Q57" s="1329">
        <f>VLOOKUP(B57,'[23]CN HĐ'!$H$10:$J$74,3,FALSE)</f>
        <v>23</v>
      </c>
      <c r="R57" s="1329">
        <v>24</v>
      </c>
      <c r="S57" s="1329">
        <f>VLOOKUP(B57,'[26]CN HĐ'!$G$10:$I$67,3,FALSE)</f>
        <v>24</v>
      </c>
      <c r="T57" s="1329">
        <f t="shared" si="4"/>
        <v>24</v>
      </c>
      <c r="U57" s="1329"/>
      <c r="V57" s="1346">
        <f t="shared" si="5"/>
        <v>4739446</v>
      </c>
      <c r="W57" s="612">
        <f t="shared" si="16"/>
        <v>45</v>
      </c>
      <c r="X57" s="613">
        <f>VLOOKUP(B57,'[26]CN HĐ'!$G$10:$L$67,6,FALSE)</f>
        <v>0</v>
      </c>
      <c r="Y57" s="108" t="str">
        <f>VLOOKUP(B57,TH.T4!B67:AC397,28,FALSE)</f>
        <v>TTrGD</v>
      </c>
      <c r="Z57" s="108"/>
      <c r="AA57" s="108"/>
      <c r="AB57" s="108"/>
      <c r="AC57" s="108"/>
      <c r="AD57" s="108"/>
      <c r="AE57" s="108"/>
      <c r="AF57" s="108"/>
      <c r="AG57" s="108"/>
      <c r="AH57" s="108"/>
      <c r="AI57" s="108"/>
      <c r="AJ57" s="108"/>
      <c r="AK57" s="108"/>
      <c r="AL57" s="108"/>
      <c r="AM57" s="108"/>
      <c r="AN57" s="108"/>
      <c r="AO57" s="108"/>
      <c r="AP57" s="108"/>
      <c r="AQ57" s="108"/>
      <c r="AR57" s="108"/>
      <c r="AS57" s="108"/>
      <c r="AT57" s="108"/>
      <c r="AU57" s="108"/>
      <c r="AV57" s="108"/>
    </row>
    <row r="58" spans="1:65" s="372" customFormat="1" ht="41.25" customHeight="1">
      <c r="A58" s="20">
        <f>_xlfn.AGGREGATE(4,7,A$12:A57)+1</f>
        <v>46</v>
      </c>
      <c r="B58" s="1330" t="s">
        <v>2123</v>
      </c>
      <c r="C58" s="1337" t="s">
        <v>1103</v>
      </c>
      <c r="D58" s="1338" t="s">
        <v>2124</v>
      </c>
      <c r="E58" s="1339">
        <v>1603205327079</v>
      </c>
      <c r="F58" s="1339" t="s">
        <v>2459</v>
      </c>
      <c r="G58" s="368" t="s">
        <v>2038</v>
      </c>
      <c r="H58" s="1325">
        <v>6773482</v>
      </c>
      <c r="I58" s="1326"/>
      <c r="J58" s="1327">
        <f t="shared" si="2"/>
        <v>0</v>
      </c>
      <c r="K58" s="1325">
        <f t="shared" si="3"/>
        <v>6773482</v>
      </c>
      <c r="L58" s="1327">
        <f t="shared" si="6"/>
        <v>8805526.5999999996</v>
      </c>
      <c r="M58" s="1328" t="str">
        <f>VLOOKUP(B58,[25]!Table2[[Column2]:[Column6]],4,FALSE)</f>
        <v>A4</v>
      </c>
      <c r="N58" s="1327">
        <f t="shared" si="15"/>
        <v>4402763</v>
      </c>
      <c r="O58" s="1328">
        <f>IFERROR(INDEX('[21]CN HĐ'!$J$10:$J$74,MATCH(B58,'[21]CN HĐ'!$H$10:$H$74,0)),"")</f>
        <v>23</v>
      </c>
      <c r="P58" s="1329">
        <f>IFERROR(INDEX('[22]CN HĐ'!$J$10:$J$74,MATCH(B58,'[22]CN HĐ'!$H$10:$H$74,0)),"")</f>
        <v>26</v>
      </c>
      <c r="Q58" s="1329">
        <f>VLOOKUP(B58,'[23]CN HĐ'!$H$10:$J$74,3,FALSE)</f>
        <v>22</v>
      </c>
      <c r="R58" s="1329">
        <v>24</v>
      </c>
      <c r="S58" s="1329">
        <f>VLOOKUP(B58,'[26]CN HĐ'!$G$10:$I$67,3,FALSE)</f>
        <v>24</v>
      </c>
      <c r="T58" s="1329">
        <f t="shared" si="4"/>
        <v>24</v>
      </c>
      <c r="U58" s="1329"/>
      <c r="V58" s="1346">
        <f t="shared" si="5"/>
        <v>4402763</v>
      </c>
      <c r="W58" s="612">
        <f t="shared" si="16"/>
        <v>46</v>
      </c>
      <c r="X58" s="613">
        <f>VLOOKUP(B58,'[26]CN HĐ'!$G$10:$L$67,6,FALSE)</f>
        <v>0</v>
      </c>
      <c r="Y58" s="108" t="str">
        <f>VLOOKUP(B58,TH.T4!B68:AC398,28,FALSE)</f>
        <v>TTrGD</v>
      </c>
    </row>
    <row r="59" spans="1:65" s="372" customFormat="1" ht="34.5" customHeight="1">
      <c r="A59" s="20">
        <f>_xlfn.AGGREGATE(4,7,A$12:A58)+1</f>
        <v>47</v>
      </c>
      <c r="B59" s="1330" t="s">
        <v>2125</v>
      </c>
      <c r="C59" s="1337" t="s">
        <v>1431</v>
      </c>
      <c r="D59" s="1338" t="s">
        <v>2126</v>
      </c>
      <c r="E59" s="1339" t="s">
        <v>2127</v>
      </c>
      <c r="F59" s="1339" t="s">
        <v>2462</v>
      </c>
      <c r="G59" s="368" t="s">
        <v>2042</v>
      </c>
      <c r="H59" s="1325">
        <v>7443623</v>
      </c>
      <c r="I59" s="1326"/>
      <c r="J59" s="1327">
        <f t="shared" si="2"/>
        <v>0</v>
      </c>
      <c r="K59" s="1325">
        <f t="shared" si="3"/>
        <v>7443623</v>
      </c>
      <c r="L59" s="1327">
        <f t="shared" si="6"/>
        <v>9676709.9000000004</v>
      </c>
      <c r="M59" s="1328" t="str">
        <f>VLOOKUP(B59,[25]!Table2[[Column2]:[Column6]],4,FALSE)</f>
        <v>A1</v>
      </c>
      <c r="N59" s="1327">
        <f t="shared" si="15"/>
        <v>7741368</v>
      </c>
      <c r="O59" s="1328">
        <f>IFERROR(INDEX('[21]CN HĐ'!$J$10:$J$74,MATCH(B59,'[21]CN HĐ'!$H$10:$H$74,0)),"")</f>
        <v>23.5</v>
      </c>
      <c r="P59" s="1329">
        <f>IFERROR(INDEX('[22]CN HĐ'!$J$10:$J$74,MATCH(B59,'[22]CN HĐ'!$H$10:$H$74,0)),"")</f>
        <v>26</v>
      </c>
      <c r="Q59" s="1329">
        <f>VLOOKUP(B59,'[23]CN HĐ'!$H$10:$J$74,3,FALSE)</f>
        <v>22</v>
      </c>
      <c r="R59" s="1329">
        <v>24</v>
      </c>
      <c r="S59" s="1329">
        <f>VLOOKUP(B59,'[26]CN HĐ'!$G$10:$I$67,3,FALSE)</f>
        <v>23.5</v>
      </c>
      <c r="T59" s="1329">
        <f t="shared" si="4"/>
        <v>23.5</v>
      </c>
      <c r="U59" s="1329"/>
      <c r="V59" s="1346">
        <f t="shared" si="5"/>
        <v>7580090</v>
      </c>
      <c r="W59" s="612">
        <f t="shared" si="16"/>
        <v>47</v>
      </c>
      <c r="X59" s="613" t="str">
        <f>VLOOKUP(B59,'[26]CN HĐ'!$G$10:$L$67,6,FALSE)</f>
        <v>Trừ 2 ngày nghỉ phép 5+6/9</v>
      </c>
      <c r="Y59" s="108" t="str">
        <f>VLOOKUP(B59,TH.T4!B69:AC399,28,FALSE)</f>
        <v>TSĐT</v>
      </c>
      <c r="Z59" s="108"/>
      <c r="AA59" s="108"/>
      <c r="AB59" s="108"/>
      <c r="AC59" s="108"/>
      <c r="AD59" s="108"/>
      <c r="AE59" s="108"/>
      <c r="AF59" s="108"/>
      <c r="AG59" s="108"/>
      <c r="AH59" s="108"/>
      <c r="AI59" s="108"/>
      <c r="AJ59" s="108"/>
      <c r="AK59" s="108"/>
      <c r="AL59" s="108"/>
      <c r="AM59" s="108"/>
      <c r="AN59" s="108"/>
      <c r="AO59" s="108"/>
      <c r="AP59" s="108"/>
      <c r="AQ59" s="108"/>
      <c r="AR59" s="108"/>
      <c r="AS59" s="108"/>
      <c r="AT59" s="108"/>
      <c r="AU59" s="108"/>
      <c r="AV59" s="108"/>
    </row>
    <row r="60" spans="1:65" s="372" customFormat="1" ht="29.25" customHeight="1">
      <c r="A60" s="20">
        <f>_xlfn.AGGREGATE(4,7,A$12:A59)+1</f>
        <v>48</v>
      </c>
      <c r="B60" s="1330" t="s">
        <v>2128</v>
      </c>
      <c r="C60" s="1337" t="s">
        <v>1064</v>
      </c>
      <c r="D60" s="1338" t="s">
        <v>2129</v>
      </c>
      <c r="E60" s="1339" t="s">
        <v>2130</v>
      </c>
      <c r="F60" s="1339" t="s">
        <v>2462</v>
      </c>
      <c r="G60" s="368" t="s">
        <v>2042</v>
      </c>
      <c r="H60" s="1325">
        <v>6076213</v>
      </c>
      <c r="I60" s="1326"/>
      <c r="J60" s="1327">
        <f t="shared" si="2"/>
        <v>0</v>
      </c>
      <c r="K60" s="1325">
        <f t="shared" si="3"/>
        <v>6076213</v>
      </c>
      <c r="L60" s="1327">
        <f t="shared" si="6"/>
        <v>7899076.9000000004</v>
      </c>
      <c r="M60" s="1328" t="str">
        <f>VLOOKUP(B60,[25]!Table2[[Column2]:[Column6]],4,FALSE)</f>
        <v>A1</v>
      </c>
      <c r="N60" s="1327">
        <f t="shared" si="15"/>
        <v>6319262</v>
      </c>
      <c r="O60" s="1328">
        <f>IFERROR(INDEX('[21]CN HĐ'!$J$10:$J$74,MATCH(B60,'[21]CN HĐ'!$H$10:$H$74,0)),"")</f>
        <v>28</v>
      </c>
      <c r="P60" s="1329">
        <f>IFERROR(INDEX('[22]CN HĐ'!$J$10:$J$74,MATCH(B60,'[22]CN HĐ'!$H$10:$H$74,0)),"")</f>
        <v>25</v>
      </c>
      <c r="Q60" s="1329">
        <f>VLOOKUP(B60,'[23]CN HĐ'!$H$10:$J$74,3,FALSE)</f>
        <v>23</v>
      </c>
      <c r="R60" s="1329">
        <v>24</v>
      </c>
      <c r="S60" s="1329">
        <f>VLOOKUP(B60,'[26]CN HĐ'!$G$10:$I$67,3,FALSE)</f>
        <v>25</v>
      </c>
      <c r="T60" s="1329">
        <f t="shared" si="4"/>
        <v>24</v>
      </c>
      <c r="U60" s="1329"/>
      <c r="V60" s="1346">
        <f t="shared" si="5"/>
        <v>6319262</v>
      </c>
      <c r="W60" s="612">
        <f t="shared" si="16"/>
        <v>48</v>
      </c>
      <c r="X60" s="613">
        <f>VLOOKUP(B60,'[26]CN HĐ'!$G$10:$L$67,6,FALSE)</f>
        <v>0</v>
      </c>
      <c r="Y60" s="108" t="str">
        <f>VLOOKUP(B60,TH.T4!B70:AC400,28,FALSE)</f>
        <v>TSĐT</v>
      </c>
      <c r="Z60" s="108"/>
      <c r="AA60" s="108"/>
      <c r="AB60" s="108"/>
      <c r="AC60" s="108"/>
      <c r="AD60" s="108"/>
      <c r="AE60" s="108"/>
      <c r="AF60" s="108"/>
      <c r="AG60" s="108"/>
      <c r="AH60" s="108"/>
      <c r="AI60" s="108"/>
      <c r="AJ60" s="108"/>
      <c r="AK60" s="108"/>
      <c r="AL60" s="108"/>
      <c r="AM60" s="108"/>
      <c r="AN60" s="108"/>
      <c r="AO60" s="108"/>
      <c r="AP60" s="108"/>
      <c r="AQ60" s="108"/>
      <c r="AR60" s="108"/>
      <c r="AS60" s="108"/>
      <c r="AT60" s="108"/>
      <c r="AU60" s="108"/>
      <c r="AV60" s="108"/>
    </row>
    <row r="61" spans="1:65" s="372" customFormat="1" ht="31.5" customHeight="1">
      <c r="A61" s="20">
        <f>_xlfn.AGGREGATE(4,7,A$12:A60)+1</f>
        <v>49</v>
      </c>
      <c r="B61" s="1330" t="s">
        <v>2131</v>
      </c>
      <c r="C61" s="1337"/>
      <c r="D61" s="1338" t="s">
        <v>2132</v>
      </c>
      <c r="E61" s="1339" t="s">
        <v>2133</v>
      </c>
      <c r="F61" s="1339" t="s">
        <v>2462</v>
      </c>
      <c r="G61" s="368" t="s">
        <v>2042</v>
      </c>
      <c r="H61" s="1325">
        <v>7964676</v>
      </c>
      <c r="I61" s="1326"/>
      <c r="J61" s="1327">
        <f t="shared" si="2"/>
        <v>0</v>
      </c>
      <c r="K61" s="1325">
        <f t="shared" si="3"/>
        <v>7964676</v>
      </c>
      <c r="L61" s="1327">
        <f t="shared" si="6"/>
        <v>10354078.800000001</v>
      </c>
      <c r="M61" s="1328" t="str">
        <f>VLOOKUP(B61,[25]!Table2[[Column2]:[Column6]],4,FALSE)</f>
        <v>A1</v>
      </c>
      <c r="N61" s="1327">
        <f t="shared" si="15"/>
        <v>8283263</v>
      </c>
      <c r="O61" s="1328">
        <f>IFERROR(INDEX('[21]CN HĐ'!$J$10:$J$74,MATCH(B61,'[21]CN HĐ'!$H$10:$H$74,0)),"")</f>
        <v>24</v>
      </c>
      <c r="P61" s="1329">
        <f>IFERROR(INDEX('[22]CN HĐ'!$J$10:$J$74,MATCH(B61,'[22]CN HĐ'!$H$10:$H$74,0)),"")</f>
        <v>27</v>
      </c>
      <c r="Q61" s="1329">
        <f>VLOOKUP(B61,'[23]CN HĐ'!$H$10:$J$74,3,FALSE)</f>
        <v>23</v>
      </c>
      <c r="R61" s="1329">
        <v>24</v>
      </c>
      <c r="S61" s="1329">
        <f>VLOOKUP(B61,'[26]CN HĐ'!$G$10:$I$67,3,FALSE)</f>
        <v>24.5</v>
      </c>
      <c r="T61" s="1329">
        <f t="shared" si="4"/>
        <v>24</v>
      </c>
      <c r="U61" s="1329"/>
      <c r="V61" s="1346">
        <f t="shared" si="5"/>
        <v>8283263</v>
      </c>
      <c r="W61" s="612">
        <f t="shared" si="16"/>
        <v>49</v>
      </c>
      <c r="X61" s="613">
        <f>VLOOKUP(B61,'[26]CN HĐ'!$G$10:$L$67,6,FALSE)</f>
        <v>0</v>
      </c>
      <c r="Y61" s="108" t="str">
        <f>VLOOKUP(B61,TH.T4!B71:AC401,28,FALSE)</f>
        <v>TSĐT</v>
      </c>
      <c r="Z61" s="108"/>
      <c r="AA61" s="108"/>
      <c r="AB61" s="108"/>
      <c r="AC61" s="108"/>
      <c r="AD61" s="108"/>
      <c r="AE61" s="108"/>
      <c r="AF61" s="108"/>
      <c r="AG61" s="108"/>
      <c r="AH61" s="108"/>
      <c r="AI61" s="108"/>
      <c r="AJ61" s="108"/>
      <c r="AK61" s="108"/>
      <c r="AL61" s="108"/>
      <c r="AM61" s="108"/>
      <c r="AN61" s="108"/>
      <c r="AO61" s="108"/>
      <c r="AP61" s="108"/>
      <c r="AQ61" s="108"/>
      <c r="AR61" s="108"/>
      <c r="AS61" s="108"/>
      <c r="AT61" s="108"/>
      <c r="AU61" s="108"/>
      <c r="AV61" s="108"/>
    </row>
    <row r="62" spans="1:65" s="372" customFormat="1" ht="36" customHeight="1">
      <c r="A62" s="20">
        <f>_xlfn.AGGREGATE(4,7,A$12:A61)+1</f>
        <v>50</v>
      </c>
      <c r="B62" s="1330" t="s">
        <v>2134</v>
      </c>
      <c r="C62" s="1337" t="s">
        <v>1043</v>
      </c>
      <c r="D62" s="1338" t="s">
        <v>2135</v>
      </c>
      <c r="E62" s="1339" t="s">
        <v>2136</v>
      </c>
      <c r="F62" s="1339" t="s">
        <v>2462</v>
      </c>
      <c r="G62" s="368" t="s">
        <v>2042</v>
      </c>
      <c r="H62" s="1325">
        <v>9118756</v>
      </c>
      <c r="I62" s="1326"/>
      <c r="J62" s="1327">
        <f t="shared" si="2"/>
        <v>0</v>
      </c>
      <c r="K62" s="1325">
        <f t="shared" si="3"/>
        <v>9118756</v>
      </c>
      <c r="L62" s="1327">
        <f t="shared" si="6"/>
        <v>11854382.800000001</v>
      </c>
      <c r="M62" s="1328" t="str">
        <f>VLOOKUP(B62,[25]!Table2[[Column2]:[Column6]],4,FALSE)</f>
        <v>A1</v>
      </c>
      <c r="N62" s="1327">
        <f t="shared" si="15"/>
        <v>9483506</v>
      </c>
      <c r="O62" s="1328">
        <f>IFERROR(INDEX('[21]CN HĐ'!$J$10:$J$74,MATCH(B62,'[21]CN HĐ'!$H$10:$H$74,0)),"")</f>
        <v>26.5</v>
      </c>
      <c r="P62" s="1329">
        <f>IFERROR(INDEX('[22]CN HĐ'!$J$10:$J$74,MATCH(B62,'[22]CN HĐ'!$H$10:$H$74,0)),"")</f>
        <v>26</v>
      </c>
      <c r="Q62" s="1329">
        <f>VLOOKUP(B62,'[23]CN HĐ'!$H$10:$J$74,3,FALSE)</f>
        <v>24</v>
      </c>
      <c r="R62" s="1329">
        <v>24</v>
      </c>
      <c r="S62" s="1329">
        <f>VLOOKUP(B62,'[26]CN HĐ'!$G$10:$I$67,3,FALSE)</f>
        <v>25.5</v>
      </c>
      <c r="T62" s="1329">
        <f t="shared" si="4"/>
        <v>24</v>
      </c>
      <c r="U62" s="1329"/>
      <c r="V62" s="1346">
        <f t="shared" si="5"/>
        <v>9483506</v>
      </c>
      <c r="W62" s="612">
        <f t="shared" si="16"/>
        <v>50</v>
      </c>
      <c r="X62" s="613">
        <f>VLOOKUP(B62,'[26]CN HĐ'!$G$10:$L$67,6,FALSE)</f>
        <v>0</v>
      </c>
      <c r="Y62" s="108" t="str">
        <f>VLOOKUP(B62,TH.T4!B72:AC402,28,FALSE)</f>
        <v>TSĐT</v>
      </c>
      <c r="Z62" s="108"/>
      <c r="AA62" s="108"/>
      <c r="AB62" s="108"/>
      <c r="AC62" s="108"/>
      <c r="AD62" s="108"/>
      <c r="AE62" s="108"/>
      <c r="AF62" s="108"/>
      <c r="AG62" s="108"/>
      <c r="AH62" s="108"/>
      <c r="AI62" s="108"/>
      <c r="AJ62" s="108"/>
      <c r="AK62" s="108"/>
      <c r="AL62" s="108"/>
      <c r="AM62" s="108"/>
      <c r="AN62" s="108"/>
      <c r="AO62" s="108"/>
      <c r="AP62" s="108"/>
      <c r="AQ62" s="108"/>
      <c r="AR62" s="108"/>
      <c r="AS62" s="108"/>
      <c r="AT62" s="108"/>
      <c r="AU62" s="108"/>
      <c r="AV62" s="108"/>
    </row>
    <row r="63" spans="1:65" s="372" customFormat="1" ht="36" customHeight="1">
      <c r="A63" s="20">
        <f>_xlfn.AGGREGATE(4,7,A$12:A62)+1</f>
        <v>51</v>
      </c>
      <c r="B63" s="1330" t="s">
        <v>2137</v>
      </c>
      <c r="C63" s="1337"/>
      <c r="D63" s="1338"/>
      <c r="E63" s="1339"/>
      <c r="F63" s="1339" t="s">
        <v>2462</v>
      </c>
      <c r="G63" s="368" t="s">
        <v>2042</v>
      </c>
      <c r="H63" s="1325">
        <v>5678704</v>
      </c>
      <c r="I63" s="1326"/>
      <c r="J63" s="1327">
        <f t="shared" si="2"/>
        <v>0</v>
      </c>
      <c r="K63" s="1325">
        <f t="shared" si="3"/>
        <v>5678704</v>
      </c>
      <c r="L63" s="1327">
        <f t="shared" si="6"/>
        <v>7382315.2000000002</v>
      </c>
      <c r="M63" s="1328" t="str">
        <f>VLOOKUP(B63,[25]!Table2[[Column2]:[Column6]],4,FALSE)</f>
        <v>A1</v>
      </c>
      <c r="N63" s="1327">
        <f t="shared" si="15"/>
        <v>5905852</v>
      </c>
      <c r="O63" s="1328">
        <f>IFERROR(INDEX('[21]CN HĐ'!$J$10:$J$74,MATCH(B63,'[21]CN HĐ'!$H$10:$H$74,0)),"")</f>
        <v>24</v>
      </c>
      <c r="P63" s="1329">
        <f>IFERROR(INDEX('[22]CN HĐ'!$J$10:$J$74,MATCH(B63,'[22]CN HĐ'!$H$10:$H$74,0)),"")</f>
        <v>24</v>
      </c>
      <c r="Q63" s="1329">
        <f>VLOOKUP(B63,'[23]CN HĐ'!$H$10:$J$74,3,FALSE)</f>
        <v>23</v>
      </c>
      <c r="R63" s="1329">
        <v>24</v>
      </c>
      <c r="S63" s="1329">
        <f>VLOOKUP(B63,'[26]CN HĐ'!$G$10:$I$67,3,FALSE)</f>
        <v>24.5</v>
      </c>
      <c r="T63" s="1329">
        <f t="shared" si="4"/>
        <v>24</v>
      </c>
      <c r="U63" s="1329"/>
      <c r="V63" s="1346">
        <f t="shared" si="5"/>
        <v>5905852</v>
      </c>
      <c r="W63" s="612">
        <f t="shared" si="16"/>
        <v>51</v>
      </c>
      <c r="X63" s="613">
        <f>VLOOKUP(B63,'[26]CN HĐ'!$G$10:$L$67,6,FALSE)</f>
        <v>0</v>
      </c>
      <c r="Y63" s="108" t="str">
        <f>VLOOKUP(B63,TH.T4!B73:AC403,28,FALSE)</f>
        <v>TSĐT</v>
      </c>
    </row>
    <row r="64" spans="1:65" s="372" customFormat="1" ht="36" customHeight="1">
      <c r="A64" s="20">
        <f>_xlfn.AGGREGATE(4,7,A$12:A63)+1</f>
        <v>52</v>
      </c>
      <c r="B64" s="1330" t="s">
        <v>2353</v>
      </c>
      <c r="C64" s="1337"/>
      <c r="D64" s="1338"/>
      <c r="E64" s="1339"/>
      <c r="F64" s="1339" t="s">
        <v>2462</v>
      </c>
      <c r="G64" s="368" t="s">
        <v>2038</v>
      </c>
      <c r="H64" s="1325">
        <v>5307200</v>
      </c>
      <c r="I64" s="1326"/>
      <c r="J64" s="1327">
        <f t="shared" si="2"/>
        <v>0</v>
      </c>
      <c r="K64" s="1325">
        <f t="shared" si="3"/>
        <v>5307200</v>
      </c>
      <c r="L64" s="1327">
        <f t="shared" si="6"/>
        <v>6899360</v>
      </c>
      <c r="M64" s="1328" t="str">
        <f>VLOOKUP(B64,[25]!Table2[[Column2]:[Column6]],4,FALSE)</f>
        <v>A2</v>
      </c>
      <c r="N64" s="1327">
        <f t="shared" si="15"/>
        <v>4829552</v>
      </c>
      <c r="O64" s="1328">
        <f>IFERROR(INDEX('[21]CN HĐ'!$J$10:$J$74,MATCH(B64,'[21]CN HĐ'!$H$10:$H$74,0)),"")</f>
        <v>17</v>
      </c>
      <c r="P64" s="1329">
        <f>IFERROR(INDEX('[22]CN HĐ'!$J$10:$J$74,MATCH(B64,'[22]CN HĐ'!$H$10:$H$74,0)),"")</f>
        <v>25</v>
      </c>
      <c r="Q64" s="1329">
        <f>VLOOKUP(B64,'[23]CN HĐ'!$H$10:$J$74,3,FALSE)</f>
        <v>22</v>
      </c>
      <c r="R64" s="1329">
        <v>24</v>
      </c>
      <c r="S64" s="1329">
        <f>VLOOKUP(B64,'[26]CN HĐ'!$G$10:$I$67,3,FALSE)</f>
        <v>23.5</v>
      </c>
      <c r="T64" s="1329">
        <f t="shared" si="4"/>
        <v>23.5</v>
      </c>
      <c r="U64" s="1329"/>
      <c r="V64" s="1346">
        <f t="shared" si="5"/>
        <v>4728936</v>
      </c>
      <c r="W64" s="612">
        <f t="shared" si="16"/>
        <v>52</v>
      </c>
      <c r="X64" s="613" t="str">
        <f>VLOOKUP(B64,'[26]CN HĐ'!$G$10:$L$67,6,FALSE)</f>
        <v>Trừ 1/2 ngày 6/7</v>
      </c>
      <c r="Y64" s="108" t="s">
        <v>2226</v>
      </c>
    </row>
    <row r="65" spans="1:48" s="372" customFormat="1" ht="44.25" customHeight="1">
      <c r="A65" s="20">
        <f>_xlfn.AGGREGATE(4,7,A$12:A64)+1</f>
        <v>53</v>
      </c>
      <c r="B65" s="1330" t="s">
        <v>2142</v>
      </c>
      <c r="C65" s="1337"/>
      <c r="D65" s="1338"/>
      <c r="E65" s="1339"/>
      <c r="F65" s="1339" t="s">
        <v>2456</v>
      </c>
      <c r="G65" s="368" t="s">
        <v>2038</v>
      </c>
      <c r="H65" s="1325">
        <v>5572560</v>
      </c>
      <c r="I65" s="1326"/>
      <c r="J65" s="1327">
        <f t="shared" si="2"/>
        <v>0</v>
      </c>
      <c r="K65" s="1325">
        <f t="shared" si="3"/>
        <v>5572560</v>
      </c>
      <c r="L65" s="1327">
        <f t="shared" si="6"/>
        <v>7244328</v>
      </c>
      <c r="M65" s="1328" t="str">
        <f>VLOOKUP(B65,[25]!Table2[[Column2]:[Column6]],4,FALSE)</f>
        <v>A2</v>
      </c>
      <c r="N65" s="1327">
        <f t="shared" si="15"/>
        <v>5071030</v>
      </c>
      <c r="O65" s="1328">
        <f>IFERROR(INDEX('[21]CN HĐ'!$J$10:$J$74,MATCH(B65,'[21]CN HĐ'!$H$10:$H$74,0)),"")</f>
        <v>24</v>
      </c>
      <c r="P65" s="1329">
        <f>IFERROR(INDEX('[22]CN HĐ'!$J$10:$J$74,MATCH(B65,'[22]CN HĐ'!$H$10:$H$74,0)),"")</f>
        <v>27</v>
      </c>
      <c r="Q65" s="1329">
        <f>VLOOKUP(B65,'[23]CN HĐ'!$H$10:$J$74,3,FALSE)</f>
        <v>23</v>
      </c>
      <c r="R65" s="1329">
        <v>24</v>
      </c>
      <c r="S65" s="1329">
        <f>VLOOKUP(B65,'[26]CN HĐ'!$G$10:$I$69,3,FALSE)</f>
        <v>23</v>
      </c>
      <c r="T65" s="1329">
        <f t="shared" si="4"/>
        <v>23</v>
      </c>
      <c r="U65" s="1329"/>
      <c r="V65" s="1346">
        <f t="shared" si="5"/>
        <v>4859737</v>
      </c>
      <c r="W65" s="612">
        <f t="shared" si="16"/>
        <v>53</v>
      </c>
      <c r="X65" s="613">
        <f>VLOOKUP(B65,'[26]CN HĐ'!$G$10:$L$69,6,FALSE)</f>
        <v>0</v>
      </c>
      <c r="Y65" s="108" t="str">
        <f>VLOOKUP(B65,TH.T4!B75:AC405,28,FALSE)</f>
        <v>TTĐHDL</v>
      </c>
      <c r="Z65" s="108"/>
      <c r="AA65" s="108"/>
      <c r="AB65" s="108"/>
      <c r="AC65" s="108"/>
      <c r="AD65" s="108"/>
      <c r="AE65" s="108"/>
      <c r="AF65" s="108"/>
      <c r="AG65" s="108"/>
      <c r="AH65" s="108"/>
      <c r="AI65" s="108"/>
      <c r="AJ65" s="108"/>
      <c r="AK65" s="108"/>
      <c r="AL65" s="108"/>
      <c r="AM65" s="108"/>
      <c r="AN65" s="108"/>
      <c r="AO65" s="108"/>
      <c r="AP65" s="108"/>
    </row>
    <row r="66" spans="1:48" s="372" customFormat="1" ht="44.25" customHeight="1">
      <c r="A66" s="20">
        <f>_xlfn.AGGREGATE(4,7,A$12:A65)+1</f>
        <v>54</v>
      </c>
      <c r="B66" s="1330" t="s">
        <v>2144</v>
      </c>
      <c r="C66" s="1337" t="s">
        <v>2145</v>
      </c>
      <c r="D66" s="1338" t="s">
        <v>2146</v>
      </c>
      <c r="E66" s="1339">
        <v>1603205351493</v>
      </c>
      <c r="F66" s="1339" t="s">
        <v>2463</v>
      </c>
      <c r="G66" s="368" t="s">
        <v>2042</v>
      </c>
      <c r="H66" s="1325">
        <v>7964676</v>
      </c>
      <c r="I66" s="1326"/>
      <c r="J66" s="1327">
        <f t="shared" si="2"/>
        <v>0</v>
      </c>
      <c r="K66" s="1325">
        <f t="shared" si="3"/>
        <v>7964676</v>
      </c>
      <c r="L66" s="1327">
        <f t="shared" si="6"/>
        <v>10354078.800000001</v>
      </c>
      <c r="M66" s="1328" t="str">
        <f>VLOOKUP(B66,[25]!Table2[[Column2]:[Column6]],4,FALSE)</f>
        <v>A3</v>
      </c>
      <c r="N66" s="1327">
        <f t="shared" si="15"/>
        <v>6212447</v>
      </c>
      <c r="O66" s="1328">
        <f>IFERROR(INDEX('[21]CN HĐ'!$J$10:$J$74,MATCH(B66,'[21]CN HĐ'!$H$10:$H$74,0)),"")</f>
        <v>25</v>
      </c>
      <c r="P66" s="1329">
        <f>IFERROR(INDEX('[22]CN HĐ'!$J$10:$J$74,MATCH(B66,'[22]CN HĐ'!$H$10:$H$74,0)),"")</f>
        <v>26</v>
      </c>
      <c r="Q66" s="1329">
        <f>VLOOKUP(B66,'[23]CN HĐ'!$H$10:$J$74,3,FALSE)</f>
        <v>4</v>
      </c>
      <c r="R66" s="1329">
        <v>24</v>
      </c>
      <c r="S66" s="1329">
        <f>VLOOKUP(B66,'[26]CN HĐ'!$G$10:$I$67,3,FALSE)</f>
        <v>24</v>
      </c>
      <c r="T66" s="1329">
        <f t="shared" si="4"/>
        <v>24</v>
      </c>
      <c r="U66" s="1329"/>
      <c r="V66" s="1346">
        <f t="shared" si="5"/>
        <v>6212447</v>
      </c>
      <c r="W66" s="612">
        <f t="shared" si="16"/>
        <v>54</v>
      </c>
      <c r="X66" s="613">
        <f>VLOOKUP(B66,'[26]CN HĐ'!$G$10:$L$67,6,FALSE)</f>
        <v>0</v>
      </c>
      <c r="Y66" s="372" t="str">
        <f>VLOOKUP(B66,TH.T4!B77:AC407,28,FALSE)</f>
        <v>KTĐBCL</v>
      </c>
    </row>
    <row r="67" spans="1:48" s="372" customFormat="1" ht="33.75" customHeight="1">
      <c r="A67" s="20">
        <f>_xlfn.AGGREGATE(4,7,A$12:A66)+1</f>
        <v>55</v>
      </c>
      <c r="B67" s="1330" t="s">
        <v>2147</v>
      </c>
      <c r="C67" s="1337"/>
      <c r="D67" s="1338"/>
      <c r="E67" s="20" t="s">
        <v>2148</v>
      </c>
      <c r="F67" s="20" t="s">
        <v>2464</v>
      </c>
      <c r="G67" s="368" t="s">
        <v>2042</v>
      </c>
      <c r="H67" s="1325">
        <v>11952831</v>
      </c>
      <c r="I67" s="1326"/>
      <c r="J67" s="1327">
        <f t="shared" si="2"/>
        <v>0</v>
      </c>
      <c r="K67" s="1325">
        <f t="shared" si="3"/>
        <v>11952831</v>
      </c>
      <c r="L67" s="1327">
        <f t="shared" si="6"/>
        <v>15538680.300000001</v>
      </c>
      <c r="M67" s="1328" t="str">
        <f>VLOOKUP(B67,[25]!Table2[[Column2]:[Column6]],4,FALSE)</f>
        <v>A4</v>
      </c>
      <c r="N67" s="1327">
        <f t="shared" si="15"/>
        <v>7769340</v>
      </c>
      <c r="O67" s="1328">
        <f>IFERROR(INDEX('[21]CN HĐ'!$J$10:$J$74,MATCH(B67,'[21]CN HĐ'!$H$10:$H$74,0)),"")</f>
        <v>25</v>
      </c>
      <c r="P67" s="1329">
        <f>IFERROR(INDEX('[22]CN HĐ'!$J$10:$J$74,MATCH(B67,'[22]CN HĐ'!$H$10:$H$74,0)),"")</f>
        <v>26</v>
      </c>
      <c r="Q67" s="1329">
        <f>VLOOKUP(B67,'[23]CN HĐ'!$H$10:$J$74,3,FALSE)</f>
        <v>23</v>
      </c>
      <c r="R67" s="1329">
        <v>24</v>
      </c>
      <c r="S67" s="1329">
        <f>VLOOKUP(B67,'[26]CN HĐ'!$G$10:$I$67,3,FALSE)</f>
        <v>24</v>
      </c>
      <c r="T67" s="1329">
        <f t="shared" si="4"/>
        <v>24</v>
      </c>
      <c r="U67" s="1329"/>
      <c r="V67" s="1346">
        <f t="shared" si="5"/>
        <v>7769340</v>
      </c>
      <c r="W67" s="612">
        <f t="shared" si="16"/>
        <v>55</v>
      </c>
      <c r="X67" s="613">
        <f>VLOOKUP(B67,'[26]CN HĐ'!$G$10:$L$67,6,FALSE)</f>
        <v>0</v>
      </c>
      <c r="Y67" s="108" t="str">
        <f>VLOOKUP(B67,TH.T4!B78:AC408,28,FALSE)</f>
        <v>ĐL</v>
      </c>
      <c r="Z67" s="108"/>
      <c r="AA67" s="108"/>
      <c r="AB67" s="108"/>
      <c r="AC67" s="108"/>
      <c r="AD67" s="108"/>
      <c r="AE67" s="108"/>
      <c r="AF67" s="108"/>
      <c r="AG67" s="108"/>
      <c r="AH67" s="108"/>
      <c r="AI67" s="108"/>
      <c r="AJ67" s="108"/>
      <c r="AK67" s="108"/>
      <c r="AL67" s="108"/>
      <c r="AM67" s="108"/>
      <c r="AN67" s="108"/>
      <c r="AO67" s="108"/>
      <c r="AP67" s="108"/>
      <c r="AQ67" s="108"/>
      <c r="AR67" s="108"/>
      <c r="AS67" s="108"/>
      <c r="AT67" s="108"/>
      <c r="AU67" s="108"/>
      <c r="AV67" s="108"/>
    </row>
    <row r="68" spans="1:48" s="372" customFormat="1" ht="44.25" customHeight="1">
      <c r="A68" s="20">
        <f>_xlfn.AGGREGATE(4,7,A$12:A67)+1</f>
        <v>56</v>
      </c>
      <c r="B68" s="1330" t="s">
        <v>2149</v>
      </c>
      <c r="C68" s="1337"/>
      <c r="D68" s="1338" t="s">
        <v>2150</v>
      </c>
      <c r="E68" s="20" t="s">
        <v>11</v>
      </c>
      <c r="F68" s="1339" t="s">
        <v>2456</v>
      </c>
      <c r="G68" s="368" t="s">
        <v>2038</v>
      </c>
      <c r="H68" s="1325">
        <v>6773482</v>
      </c>
      <c r="I68" s="1326"/>
      <c r="J68" s="1327">
        <f t="shared" si="2"/>
        <v>0</v>
      </c>
      <c r="K68" s="1325">
        <f t="shared" si="3"/>
        <v>6773482</v>
      </c>
      <c r="L68" s="1327">
        <f t="shared" si="6"/>
        <v>8805526.5999999996</v>
      </c>
      <c r="M68" s="1328" t="str">
        <f>VLOOKUP(B68,[25]!Table2[[Column2]:[Column6]],4,FALSE)</f>
        <v>A4</v>
      </c>
      <c r="N68" s="1327">
        <f t="shared" si="15"/>
        <v>4402763</v>
      </c>
      <c r="O68" s="1328">
        <f>IFERROR(INDEX('[21]CN HĐ'!$J$10:$J$74,MATCH(B68,'[21]CN HĐ'!$H$10:$H$74,0)),"")</f>
        <v>29</v>
      </c>
      <c r="P68" s="1329">
        <f>IFERROR(INDEX('[22]CN HĐ'!$J$10:$J$74,MATCH(B68,'[22]CN HĐ'!$H$10:$H$74,0)),"")</f>
        <v>26</v>
      </c>
      <c r="Q68" s="1329">
        <f>VLOOKUP(B68,'[23]CN HĐ'!$H$10:$J$74,3,FALSE)</f>
        <v>24</v>
      </c>
      <c r="R68" s="1329">
        <v>24</v>
      </c>
      <c r="S68" s="1329">
        <f>VLOOKUP(B68,'[26]CN HĐ'!$G$10:$I$67,3,FALSE)</f>
        <v>26</v>
      </c>
      <c r="T68" s="1329">
        <f t="shared" si="4"/>
        <v>24</v>
      </c>
      <c r="U68" s="1329"/>
      <c r="V68" s="1346">
        <f t="shared" si="5"/>
        <v>4402763</v>
      </c>
      <c r="W68" s="612">
        <f t="shared" si="16"/>
        <v>56</v>
      </c>
      <c r="X68" s="613">
        <f>VLOOKUP(B68,'[26]CN HĐ'!$G$10:$L$67,6,FALSE)</f>
        <v>0</v>
      </c>
      <c r="Y68" s="108" t="str">
        <f>VLOOKUP(B68,TH.T4!B79:AC409,28,FALSE)</f>
        <v>TTĐT</v>
      </c>
      <c r="Z68" s="108"/>
      <c r="AA68" s="108"/>
      <c r="AB68" s="108"/>
      <c r="AC68" s="108"/>
      <c r="AD68" s="108"/>
      <c r="AE68" s="108"/>
      <c r="AF68" s="108"/>
      <c r="AG68" s="108"/>
      <c r="AH68" s="108"/>
      <c r="AI68" s="108"/>
      <c r="AJ68" s="108"/>
      <c r="AK68" s="108"/>
      <c r="AL68" s="108"/>
      <c r="AM68" s="108"/>
      <c r="AN68" s="108"/>
      <c r="AO68" s="108"/>
      <c r="AP68" s="108"/>
      <c r="AQ68" s="108"/>
      <c r="AR68" s="108"/>
      <c r="AS68" s="108"/>
      <c r="AT68" s="108"/>
      <c r="AU68" s="108"/>
      <c r="AV68" s="108"/>
    </row>
    <row r="69" spans="1:48" s="372" customFormat="1" ht="44.25" customHeight="1">
      <c r="A69" s="20">
        <f>_xlfn.AGGREGATE(4,7,A$12:A68)+1</f>
        <v>57</v>
      </c>
      <c r="B69" s="1330" t="s">
        <v>2151</v>
      </c>
      <c r="C69" s="1337"/>
      <c r="D69" s="1338"/>
      <c r="E69" s="636"/>
      <c r="F69" s="1339" t="s">
        <v>2456</v>
      </c>
      <c r="G69" s="368" t="s">
        <v>2031</v>
      </c>
      <c r="H69" s="1325">
        <v>5208000</v>
      </c>
      <c r="I69" s="1326"/>
      <c r="J69" s="1327">
        <f t="shared" si="2"/>
        <v>0</v>
      </c>
      <c r="K69" s="1325">
        <f t="shared" si="3"/>
        <v>5208000</v>
      </c>
      <c r="L69" s="1327">
        <f t="shared" si="6"/>
        <v>3645600</v>
      </c>
      <c r="M69" s="1328" t="str">
        <f>VLOOKUP(B69,[25]!Table2[[Column2]:[Column6]],4,FALSE)</f>
        <v>A3</v>
      </c>
      <c r="N69" s="1327">
        <f t="shared" si="15"/>
        <v>2187360</v>
      </c>
      <c r="O69" s="1328">
        <f>IFERROR(INDEX('[21]CN HĐ'!$J$10:$J$74,MATCH(B69,'[21]CN HĐ'!$H$10:$H$74,0)),"")</f>
        <v>24</v>
      </c>
      <c r="P69" s="1329">
        <f>IFERROR(INDEX('[22]CN HĐ'!$J$10:$J$74,MATCH(B69,'[22]CN HĐ'!$H$10:$H$74,0)),"")</f>
        <v>26</v>
      </c>
      <c r="Q69" s="1329">
        <f>VLOOKUP(B69,'[23]CN HĐ'!$H$10:$J$74,3,FALSE)</f>
        <v>24</v>
      </c>
      <c r="R69" s="1329">
        <v>24</v>
      </c>
      <c r="S69" s="1329">
        <f>VLOOKUP(B69,'[26]CN HĐ'!$G$10:$I$70,3,FALSE)</f>
        <v>24</v>
      </c>
      <c r="T69" s="1329">
        <f t="shared" si="4"/>
        <v>24</v>
      </c>
      <c r="U69" s="1329"/>
      <c r="V69" s="1346">
        <f t="shared" si="5"/>
        <v>2187360</v>
      </c>
      <c r="W69" s="612">
        <f t="shared" si="16"/>
        <v>57</v>
      </c>
      <c r="X69" s="613">
        <f>VLOOKUP(B69,'[26]CN HĐ'!$G$10:$L$70,6,FALSE)</f>
        <v>0</v>
      </c>
      <c r="Y69" s="108" t="str">
        <f>VLOOKUP(B69,TH.T4!B80:AC410,28,FALSE)</f>
        <v>TTĐT</v>
      </c>
    </row>
    <row r="70" spans="1:48" s="372" customFormat="1" ht="64.5" customHeight="1">
      <c r="A70" s="20">
        <f>_xlfn.AGGREGATE(4,7,A$12:A69)+1</f>
        <v>58</v>
      </c>
      <c r="B70" s="1502" t="s">
        <v>2138</v>
      </c>
      <c r="C70" s="1503" t="s">
        <v>2139</v>
      </c>
      <c r="D70" s="1504" t="s">
        <v>2140</v>
      </c>
      <c r="E70" s="1501" t="s">
        <v>2141</v>
      </c>
      <c r="F70" s="1501" t="s">
        <v>2459</v>
      </c>
      <c r="G70" s="1505" t="s">
        <v>2031</v>
      </c>
      <c r="H70" s="1506">
        <v>6028911</v>
      </c>
      <c r="I70" s="1507"/>
      <c r="J70" s="1508">
        <f>H70*I70</f>
        <v>0</v>
      </c>
      <c r="K70" s="1506">
        <f>H70+J70</f>
        <v>6028911</v>
      </c>
      <c r="L70" s="1508">
        <f>IF(G70="D.03",K70*70%,K70*130%)</f>
        <v>4220237.7</v>
      </c>
      <c r="M70" s="1328" t="str">
        <f>VLOOKUP(B70,[25]!Table2[[Column2]:[Column6]],4,FALSE)</f>
        <v>A DN</v>
      </c>
      <c r="N70" s="1508">
        <f>ROUND(IF(AND(M70="A1",L70*0.8),L70*0.8,IF(AND(M70="A2",L70*0.7),L70*0.7,IF(AND(M70="A3",L70*0.6),L70*0.6,IF(AND(M70="A4",L70*0.5),L70*0.5,IF(AND(M70="B1",L70*0.35),L70*0.35,IF(AND(M70="B2",L70*0.25),L70*0.25,IF(AND(M70="C1",L70*0.15),L70*0.15,IF(M70="C2",L70*0.1,0)))))))),)</f>
        <v>0</v>
      </c>
      <c r="O70" s="1509">
        <f>IFERROR(INDEX('[21]CN HĐ'!$J$10:$J$74,MATCH(B70,'[21]CN HĐ'!$H$10:$H$74,0)),"")</f>
        <v>27</v>
      </c>
      <c r="P70" s="1510">
        <f>IFERROR(INDEX('[22]CN HĐ'!$J$10:$J$74,MATCH(B70,'[22]CN HĐ'!$H$10:$H$74,0)),"")</f>
        <v>23</v>
      </c>
      <c r="Q70" s="1510">
        <f>VLOOKUP(B70,'[23]CN HĐ'!$H$10:$J$74,3,FALSE)</f>
        <v>20</v>
      </c>
      <c r="R70" s="1329">
        <v>24</v>
      </c>
      <c r="S70" s="1329">
        <f>VLOOKUP(B70,'[26]CN HĐ'!$G$10:$I$67,3,FALSE)</f>
        <v>0</v>
      </c>
      <c r="T70" s="1510">
        <f>IF(S70&gt;=R70,R70,IF(S70&lt;R70,S70))</f>
        <v>0</v>
      </c>
      <c r="U70" s="1510"/>
      <c r="V70" s="1511">
        <f>ROUND(N70/R70*T70,0)</f>
        <v>0</v>
      </c>
      <c r="W70" s="1512">
        <f>A70</f>
        <v>58</v>
      </c>
      <c r="X70" s="613" t="str">
        <f>VLOOKUP(B70,'[26]CN HĐ'!$G$10:$L$67,6,FALSE)</f>
        <v>Nghỉ hộ sản hưởng chế độ BHXH từ 01/7/2025</v>
      </c>
      <c r="Y70" s="372" t="str">
        <f>VLOOKUP(B70,TH.T4!B74:AC404,28,FALSE)</f>
        <v>TTĐHDL</v>
      </c>
    </row>
    <row r="71" spans="1:48" s="372" customFormat="1" ht="45" customHeight="1">
      <c r="A71" s="20">
        <f>_xlfn.AGGREGATE(4,7,A$12:A70)+1</f>
        <v>59</v>
      </c>
      <c r="B71" s="1330" t="s">
        <v>2152</v>
      </c>
      <c r="C71" s="1337" t="s">
        <v>960</v>
      </c>
      <c r="D71" s="1338" t="s">
        <v>2153</v>
      </c>
      <c r="E71" s="1339" t="s">
        <v>2154</v>
      </c>
      <c r="F71" s="1339" t="s">
        <v>2465</v>
      </c>
      <c r="G71" s="368" t="s">
        <v>2042</v>
      </c>
      <c r="H71" s="1325">
        <v>6956657</v>
      </c>
      <c r="I71" s="1326"/>
      <c r="J71" s="1327">
        <f t="shared" si="2"/>
        <v>0</v>
      </c>
      <c r="K71" s="1325">
        <f t="shared" si="3"/>
        <v>6956657</v>
      </c>
      <c r="L71" s="1327">
        <f t="shared" si="6"/>
        <v>9043654.0999999996</v>
      </c>
      <c r="M71" s="1328" t="str">
        <f>VLOOKUP(B71,[25]!Table2[[Column2]:[Column6]],4,FALSE)</f>
        <v>A4</v>
      </c>
      <c r="N71" s="1327">
        <f t="shared" si="15"/>
        <v>4521827</v>
      </c>
      <c r="O71" s="1328">
        <f>IFERROR(INDEX('[21]CN HĐ'!$J$10:$J$74,MATCH(B71,'[21]CN HĐ'!$H$10:$H$74,0)),"")</f>
        <v>23</v>
      </c>
      <c r="P71" s="1329">
        <f>IFERROR(INDEX('[22]CN HĐ'!$J$10:$J$74,MATCH(B71,'[22]CN HĐ'!$H$10:$H$74,0)),"")</f>
        <v>26</v>
      </c>
      <c r="Q71" s="1329">
        <f>VLOOKUP(B71,'[23]CN HĐ'!$H$10:$J$74,3,FALSE)</f>
        <v>23</v>
      </c>
      <c r="R71" s="1329">
        <v>24</v>
      </c>
      <c r="S71" s="1329">
        <f>VLOOKUP(B71,'[26]CN HĐ'!$G$10:$I$67,3,FALSE)</f>
        <v>24</v>
      </c>
      <c r="T71" s="1329">
        <f t="shared" si="4"/>
        <v>24</v>
      </c>
      <c r="U71" s="1329"/>
      <c r="V71" s="1346">
        <f t="shared" si="5"/>
        <v>4521827</v>
      </c>
      <c r="W71" s="612">
        <f t="shared" si="16"/>
        <v>59</v>
      </c>
      <c r="X71" s="613">
        <f>VLOOKUP(B71,'[26]CN HĐ'!$G$10:$L$67,6,FALSE)</f>
        <v>0</v>
      </c>
      <c r="Y71" s="108" t="str">
        <f>VLOOKUP(B71,TH.T4!B81:AC411,28,FALSE)</f>
        <v>TTTV</v>
      </c>
      <c r="Z71" s="108"/>
      <c r="AA71" s="108"/>
      <c r="AB71" s="108"/>
      <c r="AC71" s="108"/>
      <c r="AD71" s="108"/>
      <c r="AE71" s="108"/>
      <c r="AF71" s="108"/>
      <c r="AG71" s="108"/>
      <c r="AH71" s="108"/>
      <c r="AI71" s="108"/>
      <c r="AJ71" s="108"/>
      <c r="AK71" s="108"/>
      <c r="AL71" s="108"/>
      <c r="AM71" s="108"/>
      <c r="AN71" s="108"/>
      <c r="AO71" s="108"/>
      <c r="AP71" s="108"/>
      <c r="AQ71" s="108"/>
      <c r="AR71" s="108"/>
      <c r="AS71" s="108"/>
      <c r="AT71" s="108"/>
      <c r="AU71" s="108"/>
      <c r="AV71" s="108"/>
    </row>
    <row r="72" spans="1:48" s="372" customFormat="1" ht="66.75" customHeight="1">
      <c r="A72" s="20">
        <f>_xlfn.AGGREGATE(4,7,A$12:A71)+1</f>
        <v>60</v>
      </c>
      <c r="B72" s="1330" t="s">
        <v>2155</v>
      </c>
      <c r="C72" s="1337"/>
      <c r="D72" s="1338"/>
      <c r="E72" s="1339"/>
      <c r="F72" s="1339" t="s">
        <v>2465</v>
      </c>
      <c r="G72" s="368" t="s">
        <v>2038</v>
      </c>
      <c r="H72" s="1325">
        <v>5851188</v>
      </c>
      <c r="I72" s="1326"/>
      <c r="J72" s="1327">
        <f t="shared" si="2"/>
        <v>0</v>
      </c>
      <c r="K72" s="1325">
        <f t="shared" si="3"/>
        <v>5851188</v>
      </c>
      <c r="L72" s="1327">
        <f t="shared" si="6"/>
        <v>7606544.4000000004</v>
      </c>
      <c r="M72" s="1328" t="str">
        <f>VLOOKUP(B72,[25]!Table2[[Column2]:[Column6]],4,FALSE)</f>
        <v>A4</v>
      </c>
      <c r="N72" s="1327">
        <f t="shared" si="15"/>
        <v>3803272</v>
      </c>
      <c r="O72" s="1328">
        <f>IFERROR(INDEX('[21]CN HĐ'!$J$10:$J$74,MATCH(B72,'[21]CN HĐ'!$H$10:$H$74,0)),"")</f>
        <v>24</v>
      </c>
      <c r="P72" s="1329">
        <f>IFERROR(INDEX('[22]CN HĐ'!$J$10:$J$74,MATCH(B72,'[22]CN HĐ'!$H$10:$H$74,0)),"")</f>
        <v>26</v>
      </c>
      <c r="Q72" s="1329">
        <f>VLOOKUP(B72,'[23]CN HĐ'!$H$10:$J$74,3,FALSE)</f>
        <v>22.5</v>
      </c>
      <c r="R72" s="1329">
        <v>24</v>
      </c>
      <c r="S72" s="1329">
        <v>22</v>
      </c>
      <c r="T72" s="1329">
        <f t="shared" si="4"/>
        <v>22</v>
      </c>
      <c r="U72" s="1329"/>
      <c r="V72" s="1346">
        <f t="shared" si="5"/>
        <v>3486333</v>
      </c>
      <c r="W72" s="612">
        <f t="shared" si="16"/>
        <v>60</v>
      </c>
      <c r="X72" s="613" t="s">
        <v>2467</v>
      </c>
      <c r="Y72" s="108" t="str">
        <f>VLOOKUP(B72,TH.T4!B82:AC412,28,FALSE)</f>
        <v>TTTV</v>
      </c>
      <c r="Z72" s="108"/>
      <c r="AA72" s="108"/>
      <c r="AB72" s="108"/>
      <c r="AC72" s="108"/>
      <c r="AD72" s="108"/>
      <c r="AE72" s="108"/>
      <c r="AF72" s="108"/>
      <c r="AG72" s="108"/>
      <c r="AH72" s="108"/>
      <c r="AI72" s="108"/>
      <c r="AJ72" s="108"/>
      <c r="AK72" s="108"/>
      <c r="AL72" s="108"/>
      <c r="AM72" s="108"/>
      <c r="AN72" s="108"/>
      <c r="AO72" s="108"/>
      <c r="AP72" s="108"/>
      <c r="AQ72" s="108"/>
      <c r="AR72" s="108"/>
      <c r="AS72" s="108"/>
      <c r="AT72" s="108"/>
      <c r="AU72" s="108"/>
      <c r="AV72" s="108"/>
    </row>
    <row r="73" spans="1:48" s="372" customFormat="1" ht="36.75" customHeight="1">
      <c r="A73" s="20">
        <f>_xlfn.AGGREGATE(4,7,A$12:A72)+1</f>
        <v>61</v>
      </c>
      <c r="B73" s="1330" t="s">
        <v>2156</v>
      </c>
      <c r="C73" s="1337" t="s">
        <v>920</v>
      </c>
      <c r="D73" s="1338" t="s">
        <v>2157</v>
      </c>
      <c r="E73" s="1345" t="s">
        <v>2158</v>
      </c>
      <c r="F73" s="1339" t="s">
        <v>2465</v>
      </c>
      <c r="G73" s="81" t="s">
        <v>2042</v>
      </c>
      <c r="H73" s="1325">
        <v>7443623</v>
      </c>
      <c r="I73" s="1326"/>
      <c r="J73" s="1327">
        <f t="shared" si="2"/>
        <v>0</v>
      </c>
      <c r="K73" s="1325">
        <f t="shared" si="3"/>
        <v>7443623</v>
      </c>
      <c r="L73" s="1327">
        <f t="shared" si="6"/>
        <v>9676709.9000000004</v>
      </c>
      <c r="M73" s="1328" t="str">
        <f>VLOOKUP(B73,[25]!Table2[[Column2]:[Column6]],4,FALSE)</f>
        <v>A3</v>
      </c>
      <c r="N73" s="1327">
        <f t="shared" ref="N73" si="17">ROUND(IF(AND(M73="A1",L73*0.8),L73*0.8,IF(AND(M73="A2",L73*0.7),L73*0.7,IF(AND(M73="A3",L73*0.6),L73*0.6,IF(AND(M73="A4",L73*0.5),L73*0.5,IF(AND(M73="B1",L73*0.35),L73*0.35,IF(AND(M73="B2",L73*0.25),L73*0.25,IF(AND(M73="C1",L73*0.15),L73*0.15,IF(M73="C2",L73*0.1,0)))))))),)</f>
        <v>5806026</v>
      </c>
      <c r="O73" s="1328">
        <f>IFERROR(INDEX('[21]CN HĐ'!$J$10:$J$74,MATCH(B73,'[21]CN HĐ'!$H$10:$H$74,0)),"")</f>
        <v>23.5</v>
      </c>
      <c r="P73" s="1329">
        <f>IFERROR(INDEX('[22]CN HĐ'!$J$10:$J$74,MATCH(B73,'[22]CN HĐ'!$H$10:$H$74,0)),"")</f>
        <v>25.5</v>
      </c>
      <c r="Q73" s="1329">
        <f>VLOOKUP(B73,'[23]CN HĐ'!$H$10:$J$74,3,FALSE)</f>
        <v>23</v>
      </c>
      <c r="R73" s="1329">
        <v>24</v>
      </c>
      <c r="S73" s="1329">
        <f>VLOOKUP(B73,'[26]CN HĐ'!$G$10:$I$67,3,FALSE)</f>
        <v>24</v>
      </c>
      <c r="T73" s="1329">
        <f t="shared" si="4"/>
        <v>24</v>
      </c>
      <c r="U73" s="1329"/>
      <c r="V73" s="1346">
        <f t="shared" si="5"/>
        <v>5806026</v>
      </c>
      <c r="W73" s="612">
        <f t="shared" si="16"/>
        <v>61</v>
      </c>
      <c r="X73" s="613">
        <f>VLOOKUP(B73,'[26]CN HĐ'!$G$10:$L$67,6,FALSE)</f>
        <v>0</v>
      </c>
      <c r="Y73" s="108" t="str">
        <f>VLOOKUP(B73,TH.T4!B83:AC413,28,FALSE)</f>
        <v>TTTV</v>
      </c>
      <c r="Z73" s="108"/>
      <c r="AA73" s="108"/>
      <c r="AB73" s="108"/>
      <c r="AC73" s="108"/>
      <c r="AD73" s="108"/>
      <c r="AE73" s="108"/>
      <c r="AF73" s="108"/>
      <c r="AG73" s="108"/>
      <c r="AH73" s="108"/>
      <c r="AI73" s="108"/>
      <c r="AJ73" s="108"/>
      <c r="AK73" s="108"/>
      <c r="AL73" s="108"/>
      <c r="AM73" s="108"/>
      <c r="AN73" s="108"/>
      <c r="AO73" s="108"/>
      <c r="AP73" s="108"/>
      <c r="AQ73" s="108"/>
      <c r="AR73" s="108"/>
      <c r="AS73" s="108"/>
      <c r="AT73" s="108"/>
      <c r="AU73" s="108"/>
      <c r="AV73" s="108"/>
    </row>
    <row r="74" spans="1:48" s="124" customFormat="1" ht="25.5" customHeight="1">
      <c r="A74" s="1333"/>
      <c r="B74" s="1334" t="s">
        <v>1109</v>
      </c>
      <c r="C74" s="1335"/>
      <c r="D74" s="1334"/>
      <c r="E74" s="1335"/>
      <c r="F74" s="1335"/>
      <c r="G74" s="1226"/>
      <c r="H74" s="1336">
        <f t="shared" ref="H74:T74" si="18">SUM(H13:H73)</f>
        <v>410986962</v>
      </c>
      <c r="I74" s="1336">
        <f t="shared" si="18"/>
        <v>0.24</v>
      </c>
      <c r="J74" s="1336">
        <f t="shared" si="18"/>
        <v>2493901.7800000003</v>
      </c>
      <c r="K74" s="1336">
        <f t="shared" si="18"/>
        <v>413480863.77999997</v>
      </c>
      <c r="L74" s="1336">
        <f t="shared" si="18"/>
        <v>464942007.42399997</v>
      </c>
      <c r="M74" s="1336">
        <f t="shared" si="18"/>
        <v>0</v>
      </c>
      <c r="N74" s="1336">
        <f t="shared" si="18"/>
        <v>288070203</v>
      </c>
      <c r="O74" s="1336">
        <f t="shared" si="18"/>
        <v>1508</v>
      </c>
      <c r="P74" s="1336">
        <f t="shared" si="18"/>
        <v>1527.5</v>
      </c>
      <c r="Q74" s="1336">
        <f t="shared" si="18"/>
        <v>1344</v>
      </c>
      <c r="R74" s="1336">
        <f t="shared" si="18"/>
        <v>1464</v>
      </c>
      <c r="S74" s="1336">
        <f t="shared" si="18"/>
        <v>1412.5</v>
      </c>
      <c r="T74" s="1336">
        <f t="shared" si="18"/>
        <v>1399</v>
      </c>
      <c r="U74" s="1336">
        <f>SUM(U13:U73)</f>
        <v>0</v>
      </c>
      <c r="V74" s="1336">
        <f>SUM(V13:V73)</f>
        <v>284773725</v>
      </c>
      <c r="W74" s="639"/>
      <c r="X74" s="641"/>
    </row>
    <row r="75" spans="1:48" ht="6" customHeight="1">
      <c r="M75" s="1"/>
      <c r="N75" s="1"/>
      <c r="O75" s="1"/>
      <c r="P75" s="599"/>
      <c r="Q75" s="599"/>
      <c r="R75" s="599"/>
      <c r="S75" s="599"/>
      <c r="T75" s="599"/>
      <c r="U75" s="599"/>
      <c r="V75" s="3"/>
      <c r="X75" s="642"/>
    </row>
    <row r="76" spans="1:48" s="16" customFormat="1" ht="16.5" customHeight="1">
      <c r="B76" s="643" t="s">
        <v>2484</v>
      </c>
      <c r="C76" s="14"/>
      <c r="D76" s="503"/>
      <c r="E76" s="14"/>
      <c r="F76" s="14"/>
      <c r="G76" s="15"/>
      <c r="H76" s="80"/>
      <c r="I76" s="80"/>
      <c r="J76" s="80"/>
      <c r="K76" s="80"/>
      <c r="L76" s="80"/>
      <c r="M76" s="18"/>
      <c r="N76" s="18"/>
      <c r="O76" s="18"/>
      <c r="P76" s="595"/>
      <c r="Q76" s="595"/>
      <c r="R76" s="595"/>
      <c r="S76" s="595"/>
      <c r="T76" s="595"/>
      <c r="U76" s="595"/>
      <c r="V76" s="43"/>
      <c r="W76" s="18"/>
      <c r="X76" s="644"/>
    </row>
    <row r="77" spans="1:48" s="16" customFormat="1" ht="3.75" customHeight="1">
      <c r="B77" s="37"/>
      <c r="C77" s="14"/>
      <c r="D77" s="503"/>
      <c r="E77" s="14"/>
      <c r="F77" s="14"/>
      <c r="G77" s="15"/>
      <c r="H77" s="80"/>
      <c r="I77" s="80"/>
      <c r="J77" s="80"/>
      <c r="K77" s="80"/>
      <c r="L77" s="80"/>
      <c r="M77" s="18"/>
      <c r="N77" s="18"/>
      <c r="O77" s="18"/>
      <c r="P77" s="595"/>
      <c r="Q77" s="595"/>
      <c r="R77" s="595"/>
      <c r="S77" s="595"/>
      <c r="T77" s="595"/>
      <c r="U77" s="595"/>
      <c r="V77" s="43"/>
      <c r="W77" s="18"/>
      <c r="X77" s="97"/>
    </row>
    <row r="78" spans="1:48" ht="21.75" customHeight="1">
      <c r="M78" s="1643" t="s">
        <v>2472</v>
      </c>
      <c r="N78" s="1643"/>
      <c r="O78" s="1643"/>
      <c r="P78" s="1643"/>
      <c r="Q78" s="1643"/>
      <c r="R78" s="1643"/>
      <c r="S78" s="1643"/>
      <c r="T78" s="1643"/>
      <c r="U78" s="1643"/>
      <c r="V78" s="1643"/>
      <c r="W78" s="1643"/>
      <c r="X78" s="1643"/>
    </row>
    <row r="79" spans="1:48" s="500" customFormat="1" ht="18" customHeight="1">
      <c r="A79" s="1644" t="s">
        <v>859</v>
      </c>
      <c r="B79" s="1644"/>
      <c r="C79" s="1644"/>
      <c r="D79" s="1644"/>
      <c r="E79" s="1644"/>
      <c r="F79" s="1644"/>
      <c r="G79" s="1644"/>
      <c r="H79" s="1645" t="s">
        <v>1446</v>
      </c>
      <c r="I79" s="1645"/>
      <c r="J79" s="1645"/>
      <c r="K79" s="1645"/>
      <c r="L79" s="1644" t="s">
        <v>1191</v>
      </c>
      <c r="M79" s="1644"/>
      <c r="N79" s="1644"/>
      <c r="O79" s="1348"/>
      <c r="P79" s="1348"/>
      <c r="Q79" s="1348"/>
      <c r="R79" s="1645" t="s">
        <v>2419</v>
      </c>
      <c r="S79" s="1645"/>
      <c r="T79" s="1645"/>
      <c r="U79" s="1645"/>
      <c r="V79" s="1645"/>
      <c r="W79" s="1645"/>
      <c r="X79" s="1645"/>
    </row>
    <row r="80" spans="1:48" s="16" customFormat="1" ht="15">
      <c r="A80" s="13"/>
      <c r="B80" s="13"/>
      <c r="C80" s="14"/>
      <c r="D80" s="503"/>
      <c r="E80" s="14"/>
      <c r="F80" s="14"/>
      <c r="G80" s="13"/>
      <c r="H80" s="178"/>
      <c r="I80" s="178"/>
      <c r="J80" s="178"/>
      <c r="K80" s="178"/>
      <c r="L80" s="178"/>
      <c r="M80" s="535">
        <f>COUNTIF($M$13:$M$73,"A1")</f>
        <v>11</v>
      </c>
      <c r="N80" s="535"/>
      <c r="O80" s="13"/>
      <c r="P80" s="594"/>
      <c r="Q80" s="594"/>
      <c r="R80" s="1543"/>
      <c r="S80" s="1543"/>
      <c r="T80" s="1543"/>
      <c r="U80" s="1543"/>
      <c r="V80" s="1543"/>
      <c r="W80" s="1543"/>
      <c r="X80" s="1543"/>
    </row>
    <row r="81" spans="1:24" s="16" customFormat="1" ht="10.5" customHeight="1">
      <c r="D81" s="505"/>
      <c r="H81" s="178"/>
      <c r="I81" s="178"/>
      <c r="J81" s="178"/>
      <c r="K81" s="178"/>
      <c r="L81" s="178"/>
      <c r="M81" s="535">
        <f>COUNTIF($M$13:$M$73,"A2")</f>
        <v>10</v>
      </c>
      <c r="N81" s="535"/>
      <c r="O81" s="18"/>
      <c r="P81" s="595"/>
      <c r="Q81" s="595"/>
      <c r="R81" s="18"/>
      <c r="S81" s="18"/>
      <c r="T81" s="18"/>
      <c r="U81" s="18"/>
      <c r="V81" s="18"/>
      <c r="W81" s="18"/>
      <c r="X81" s="96"/>
    </row>
    <row r="82" spans="1:24" s="16" customFormat="1" ht="15.75">
      <c r="D82" s="505"/>
      <c r="H82" s="178"/>
      <c r="I82" s="178"/>
      <c r="J82" s="178"/>
      <c r="K82" s="178"/>
      <c r="L82" s="178"/>
      <c r="M82" s="535">
        <f>COUNTIF($M$13:$M$73,"A3")</f>
        <v>20</v>
      </c>
      <c r="N82" s="535"/>
      <c r="O82" s="18"/>
      <c r="P82" s="595"/>
      <c r="Q82" s="595"/>
      <c r="R82" s="18"/>
      <c r="S82" s="18"/>
      <c r="T82" s="18"/>
      <c r="U82" s="18"/>
      <c r="V82" s="87"/>
      <c r="W82" s="18"/>
      <c r="X82" s="96"/>
    </row>
    <row r="83" spans="1:24" s="16" customFormat="1" ht="15">
      <c r="D83" s="505"/>
      <c r="H83" s="178"/>
      <c r="I83" s="178"/>
      <c r="J83" s="178"/>
      <c r="K83" s="178"/>
      <c r="L83" s="178"/>
      <c r="M83" s="535">
        <f>COUNTIF($M$13:$M$73,"A4")</f>
        <v>18</v>
      </c>
      <c r="N83" s="535"/>
      <c r="O83" s="18"/>
      <c r="P83" s="595"/>
      <c r="Q83" s="595"/>
      <c r="R83" s="18"/>
      <c r="S83" s="18"/>
      <c r="T83" s="18"/>
      <c r="U83" s="18"/>
      <c r="V83" s="44"/>
      <c r="W83" s="18"/>
      <c r="X83" s="96"/>
    </row>
    <row r="84" spans="1:24" s="16" customFormat="1" ht="15">
      <c r="D84" s="505"/>
      <c r="G84" s="18"/>
      <c r="H84" s="225"/>
      <c r="I84" s="225"/>
      <c r="J84" s="225"/>
      <c r="K84" s="225"/>
      <c r="L84" s="225"/>
      <c r="M84" s="535"/>
      <c r="N84" s="535"/>
      <c r="O84" s="18"/>
      <c r="P84" s="595"/>
      <c r="Q84" s="595"/>
      <c r="R84" s="18"/>
      <c r="S84" s="18"/>
      <c r="T84" s="18"/>
      <c r="U84" s="18"/>
      <c r="V84" s="18"/>
      <c r="W84" s="18"/>
      <c r="X84" s="96"/>
    </row>
    <row r="85" spans="1:24" s="16" customFormat="1" ht="15">
      <c r="D85" s="505"/>
      <c r="G85" s="18"/>
      <c r="H85" s="225"/>
      <c r="I85" s="225"/>
      <c r="J85" s="225"/>
      <c r="K85" s="225"/>
      <c r="L85" s="225"/>
      <c r="M85" s="14"/>
      <c r="N85" s="535"/>
      <c r="O85" s="18"/>
      <c r="P85" s="595"/>
      <c r="Q85" s="595"/>
      <c r="R85" s="18"/>
      <c r="S85" s="18"/>
      <c r="T85" s="18"/>
      <c r="U85" s="18"/>
      <c r="V85" s="18"/>
      <c r="W85" s="18"/>
      <c r="X85" s="96"/>
    </row>
    <row r="86" spans="1:24" s="16" customFormat="1" ht="15">
      <c r="A86" s="1543" t="s">
        <v>1827</v>
      </c>
      <c r="B86" s="1543"/>
      <c r="C86" s="1543"/>
      <c r="D86" s="1543"/>
      <c r="E86" s="1543"/>
      <c r="F86" s="1543"/>
      <c r="G86" s="1543"/>
      <c r="H86" s="1552" t="s">
        <v>2485</v>
      </c>
      <c r="I86" s="1552"/>
      <c r="J86" s="1552"/>
      <c r="K86" s="1552"/>
      <c r="L86" s="1543" t="s">
        <v>1445</v>
      </c>
      <c r="M86" s="1543"/>
      <c r="N86" s="1543"/>
      <c r="O86" s="178"/>
      <c r="P86" s="178"/>
      <c r="Q86" s="178"/>
      <c r="R86" s="1552" t="s">
        <v>2420</v>
      </c>
      <c r="S86" s="1552"/>
      <c r="T86" s="1552"/>
      <c r="U86" s="1552"/>
      <c r="V86" s="1552"/>
      <c r="W86" s="1552"/>
      <c r="X86" s="1552"/>
    </row>
    <row r="87" spans="1:24" ht="15.75">
      <c r="A87" s="6"/>
      <c r="H87" s="179"/>
      <c r="I87" s="179"/>
      <c r="J87" s="179"/>
      <c r="K87" s="179"/>
      <c r="L87" s="179"/>
      <c r="M87" s="7"/>
      <c r="N87" s="7"/>
      <c r="R87" s="2"/>
      <c r="S87" s="2"/>
      <c r="T87" s="2"/>
      <c r="U87" s="2"/>
    </row>
    <row r="88" spans="1:24" ht="15.75" customHeight="1">
      <c r="A88" s="6"/>
      <c r="B88" s="646"/>
      <c r="C88" s="646"/>
      <c r="D88" s="646"/>
      <c r="E88" s="646"/>
      <c r="F88" s="646"/>
      <c r="G88" s="646"/>
      <c r="H88" s="646"/>
      <c r="I88" s="646"/>
      <c r="J88" s="646"/>
      <c r="K88" s="646"/>
      <c r="L88" s="646"/>
      <c r="M88" s="646"/>
      <c r="N88" s="646"/>
      <c r="O88" s="646"/>
      <c r="P88" s="646"/>
      <c r="Q88" s="646"/>
      <c r="R88" s="646"/>
      <c r="S88" s="646"/>
      <c r="T88" s="646"/>
      <c r="U88" s="646"/>
      <c r="V88" s="646"/>
    </row>
    <row r="91" spans="1:24">
      <c r="C91" s="79"/>
    </row>
    <row r="144" ht="15.75" customHeight="1"/>
  </sheetData>
  <mergeCells count="31">
    <mergeCell ref="W12:X12"/>
    <mergeCell ref="M78:X78"/>
    <mergeCell ref="A79:G79"/>
    <mergeCell ref="A86:G86"/>
    <mergeCell ref="R79:X79"/>
    <mergeCell ref="R80:X80"/>
    <mergeCell ref="H79:K79"/>
    <mergeCell ref="H86:K86"/>
    <mergeCell ref="L79:N79"/>
    <mergeCell ref="L86:N86"/>
    <mergeCell ref="R86:X86"/>
    <mergeCell ref="B12:C12"/>
    <mergeCell ref="M1:X1"/>
    <mergeCell ref="M2:X2"/>
    <mergeCell ref="A1:J1"/>
    <mergeCell ref="A2:J2"/>
    <mergeCell ref="A3:J3"/>
    <mergeCell ref="A5:X5"/>
    <mergeCell ref="A6:X6"/>
    <mergeCell ref="A7:X7"/>
    <mergeCell ref="B10:C11"/>
    <mergeCell ref="G10:G11"/>
    <mergeCell ref="H10:L10"/>
    <mergeCell ref="M8:N8"/>
    <mergeCell ref="A10:A11"/>
    <mergeCell ref="M10:N10"/>
    <mergeCell ref="U10:U11"/>
    <mergeCell ref="V10:V11"/>
    <mergeCell ref="W10:X11"/>
    <mergeCell ref="R10:T10"/>
    <mergeCell ref="F10:F11"/>
  </mergeCells>
  <conditionalFormatting sqref="A79 A86 D28 D49 D67:D70 E55:F55 D50:F50 E57:F57 D29:F29 A10:B10 M10 U10:W10 O10:R10 D11:E11 A1:A3 K1:L2 L79 L86 O8:X8 K3:X3 H11:T11 D13:G13 D10:H10 A8:L8 A78:L78 A80:R80 A77:X77 A75:W76 A81:X85 A9:X9 A12:W12 A4:X7 A87:XFD65536 D14 D33 B15:C27 E24:G25 E26:F27 E22:E23 G14:G23 D30:E31 F30:F33 G49:G50 D27:O27 G55:G57 D55:D57 D42:E47 F46:F47 B45:C47 B45:O45 B44:E44 G42:O47 D51:G54 D47:G48 H47:O64 G65:O69 D70:O73 D58:G64 D65:F66 G28:G47 B32:C43 Y1:IU86 V13:W73 H13:O42 M15:M73 A13:A73 A74:X74">
    <cfRule type="cellIs" dxfId="1901" priority="92" stopIfTrue="1" operator="equal">
      <formula>"KXL"</formula>
    </cfRule>
    <cfRule type="cellIs" dxfId="1900" priority="93" stopIfTrue="1" operator="equal">
      <formula>"A DN"</formula>
    </cfRule>
    <cfRule type="cellIs" dxfId="1899" priority="94" stopIfTrue="1" operator="equal">
      <formula>"C"</formula>
    </cfRule>
    <cfRule type="cellIs" dxfId="1898" priority="95" stopIfTrue="1" operator="equal">
      <formula>"B"</formula>
    </cfRule>
  </conditionalFormatting>
  <conditionalFormatting sqref="M13:N73">
    <cfRule type="cellIs" dxfId="1897" priority="91" stopIfTrue="1" operator="equal">
      <formula>"D"</formula>
    </cfRule>
  </conditionalFormatting>
  <conditionalFormatting sqref="E32:E33">
    <cfRule type="cellIs" dxfId="1896" priority="83" stopIfTrue="1" operator="equal">
      <formula>"KXL"</formula>
    </cfRule>
    <cfRule type="cellIs" dxfId="1895" priority="84" stopIfTrue="1" operator="equal">
      <formula>"A DN"</formula>
    </cfRule>
    <cfRule type="cellIs" dxfId="1894" priority="85" stopIfTrue="1" operator="equal">
      <formula>"C"</formula>
    </cfRule>
    <cfRule type="cellIs" dxfId="1893" priority="86" stopIfTrue="1" operator="equal">
      <formula>"B"</formula>
    </cfRule>
  </conditionalFormatting>
  <conditionalFormatting sqref="E67:F67 E68:E70">
    <cfRule type="cellIs" dxfId="1892" priority="47" stopIfTrue="1" operator="equal">
      <formula>"KXL"</formula>
    </cfRule>
    <cfRule type="cellIs" dxfId="1891" priority="48" stopIfTrue="1" operator="equal">
      <formula>"A DN"</formula>
    </cfRule>
    <cfRule type="cellIs" dxfId="1890" priority="49" stopIfTrue="1" operator="equal">
      <formula>"C"</formula>
    </cfRule>
    <cfRule type="cellIs" dxfId="1889" priority="50" stopIfTrue="1" operator="equal">
      <formula>"B"</formula>
    </cfRule>
  </conditionalFormatting>
  <conditionalFormatting sqref="E28:F28">
    <cfRule type="cellIs" dxfId="1888" priority="75" stopIfTrue="1" operator="equal">
      <formula>"KXL"</formula>
    </cfRule>
    <cfRule type="cellIs" dxfId="1887" priority="76" stopIfTrue="1" operator="equal">
      <formula>"A DN"</formula>
    </cfRule>
    <cfRule type="cellIs" dxfId="1886" priority="77" stopIfTrue="1" operator="equal">
      <formula>"C"</formula>
    </cfRule>
    <cfRule type="cellIs" dxfId="1885" priority="78" stopIfTrue="1" operator="equal">
      <formula>"B"</formula>
    </cfRule>
  </conditionalFormatting>
  <conditionalFormatting sqref="E35">
    <cfRule type="cellIs" dxfId="1884" priority="67" stopIfTrue="1" operator="equal">
      <formula>"KXL"</formula>
    </cfRule>
    <cfRule type="cellIs" dxfId="1883" priority="68" stopIfTrue="1" operator="equal">
      <formula>"A DN"</formula>
    </cfRule>
    <cfRule type="cellIs" dxfId="1882" priority="69" stopIfTrue="1" operator="equal">
      <formula>"C"</formula>
    </cfRule>
    <cfRule type="cellIs" dxfId="1881" priority="70" stopIfTrue="1" operator="equal">
      <formula>"B"</formula>
    </cfRule>
  </conditionalFormatting>
  <conditionalFormatting sqref="E49:F49">
    <cfRule type="cellIs" dxfId="1880" priority="63" stopIfTrue="1" operator="equal">
      <formula>"KXL"</formula>
    </cfRule>
    <cfRule type="cellIs" dxfId="1879" priority="64" stopIfTrue="1" operator="equal">
      <formula>"A DN"</formula>
    </cfRule>
    <cfRule type="cellIs" dxfId="1878" priority="65" stopIfTrue="1" operator="equal">
      <formula>"C"</formula>
    </cfRule>
    <cfRule type="cellIs" dxfId="1877" priority="66" stopIfTrue="1" operator="equal">
      <formula>"B"</formula>
    </cfRule>
  </conditionalFormatting>
  <conditionalFormatting sqref="E46:E47">
    <cfRule type="cellIs" dxfId="1876" priority="55" stopIfTrue="1" operator="equal">
      <formula>"KXL"</formula>
    </cfRule>
    <cfRule type="cellIs" dxfId="1875" priority="56" stopIfTrue="1" operator="equal">
      <formula>"A DN"</formula>
    </cfRule>
    <cfRule type="cellIs" dxfId="1874" priority="57" stopIfTrue="1" operator="equal">
      <formula>"C"</formula>
    </cfRule>
    <cfRule type="cellIs" dxfId="1873" priority="58" stopIfTrue="1" operator="equal">
      <formula>"B"</formula>
    </cfRule>
  </conditionalFormatting>
  <conditionalFormatting sqref="E56:F56">
    <cfRule type="cellIs" dxfId="1872" priority="51" stopIfTrue="1" operator="equal">
      <formula>"KXL"</formula>
    </cfRule>
    <cfRule type="cellIs" dxfId="1871" priority="52" stopIfTrue="1" operator="equal">
      <formula>"A DN"</formula>
    </cfRule>
    <cfRule type="cellIs" dxfId="1870" priority="53" stopIfTrue="1" operator="equal">
      <formula>"C"</formula>
    </cfRule>
    <cfRule type="cellIs" dxfId="1869" priority="54" stopIfTrue="1" operator="equal">
      <formula>"B"</formula>
    </cfRule>
  </conditionalFormatting>
  <conditionalFormatting sqref="G26:G27">
    <cfRule type="cellIs" dxfId="1868" priority="43" stopIfTrue="1" operator="equal">
      <formula>"KXL"</formula>
    </cfRule>
    <cfRule type="cellIs" dxfId="1867" priority="44" stopIfTrue="1" operator="equal">
      <formula>"A DN"</formula>
    </cfRule>
    <cfRule type="cellIs" dxfId="1866" priority="45" stopIfTrue="1" operator="equal">
      <formula>"C"</formula>
    </cfRule>
    <cfRule type="cellIs" dxfId="1865" priority="46" stopIfTrue="1" operator="equal">
      <formula>"B"</formula>
    </cfRule>
  </conditionalFormatting>
  <conditionalFormatting sqref="M3:N7 M9:N9 M11:N73">
    <cfRule type="cellIs" dxfId="1864" priority="96" operator="equal">
      <formula>"A DN"</formula>
    </cfRule>
    <cfRule type="cellIs" dxfId="1863" priority="97" operator="equal">
      <formula>"D"</formula>
    </cfRule>
    <cfRule type="cellIs" dxfId="1862" priority="98" operator="equal">
      <formula>"C2"</formula>
    </cfRule>
    <cfRule type="cellIs" dxfId="1861" priority="99" operator="equal">
      <formula>"C1"</formula>
    </cfRule>
    <cfRule type="cellIs" dxfId="1860" priority="100" operator="equal">
      <formula>"C"</formula>
    </cfRule>
    <cfRule type="cellIs" dxfId="1859" priority="101" operator="equal">
      <formula>"B2"</formula>
    </cfRule>
    <cfRule type="cellIs" dxfId="1858" priority="102" operator="equal">
      <formula>"B1"</formula>
    </cfRule>
    <cfRule type="cellIs" dxfId="1857" priority="103" operator="equal">
      <formula>"B"</formula>
    </cfRule>
    <cfRule type="cellIs" dxfId="1856" priority="104" operator="equal">
      <formula>"B1"</formula>
    </cfRule>
    <cfRule type="cellIs" dxfId="1855" priority="105" operator="greaterThan">
      <formula>B</formula>
    </cfRule>
    <cfRule type="expression" dxfId="1854" priority="106">
      <formula>#REF!</formula>
    </cfRule>
    <cfRule type="cellIs" dxfId="1853" priority="107" operator="equal">
      <formula>#REF!</formula>
    </cfRule>
  </conditionalFormatting>
  <conditionalFormatting sqref="M10">
    <cfRule type="cellIs" dxfId="1852" priority="4468" operator="equal">
      <formula>"A DN"</formula>
    </cfRule>
    <cfRule type="cellIs" dxfId="1851" priority="4469" operator="equal">
      <formula>"D"</formula>
    </cfRule>
    <cfRule type="cellIs" dxfId="1850" priority="4470" operator="equal">
      <formula>"C2"</formula>
    </cfRule>
    <cfRule type="cellIs" dxfId="1849" priority="4471" operator="equal">
      <formula>"C1"</formula>
    </cfRule>
    <cfRule type="cellIs" dxfId="1848" priority="4472" operator="equal">
      <formula>"C"</formula>
    </cfRule>
    <cfRule type="cellIs" dxfId="1847" priority="4473" operator="equal">
      <formula>"B2"</formula>
    </cfRule>
    <cfRule type="cellIs" dxfId="1846" priority="4474" operator="equal">
      <formula>"B1"</formula>
    </cfRule>
    <cfRule type="cellIs" dxfId="1845" priority="4475" operator="equal">
      <formula>"B"</formula>
    </cfRule>
    <cfRule type="cellIs" dxfId="1844" priority="4476" operator="equal">
      <formula>"B1"</formula>
    </cfRule>
    <cfRule type="cellIs" dxfId="1843" priority="4477" operator="greaterThan">
      <formula>B</formula>
    </cfRule>
    <cfRule type="expression" dxfId="1842" priority="4478">
      <formula>#REF!</formula>
    </cfRule>
    <cfRule type="cellIs" dxfId="1841" priority="4479" operator="equal">
      <formula>#REF!</formula>
    </cfRule>
  </conditionalFormatting>
  <conditionalFormatting sqref="M87:N1048576 M26:N26 M65:N70 M28:N34">
    <cfRule type="cellIs" dxfId="1840" priority="4786" operator="equal">
      <formula>"A DN"</formula>
    </cfRule>
    <cfRule type="cellIs" dxfId="1839" priority="4787" operator="equal">
      <formula>"D"</formula>
    </cfRule>
    <cfRule type="cellIs" dxfId="1838" priority="4788" operator="equal">
      <formula>"C2"</formula>
    </cfRule>
    <cfRule type="cellIs" dxfId="1837" priority="4789" operator="equal">
      <formula>"C1"</formula>
    </cfRule>
    <cfRule type="cellIs" dxfId="1836" priority="4790" operator="equal">
      <formula>"C"</formula>
    </cfRule>
    <cfRule type="cellIs" dxfId="1835" priority="4791" operator="equal">
      <formula>"B2"</formula>
    </cfRule>
    <cfRule type="cellIs" dxfId="1834" priority="4792" operator="equal">
      <formula>"B1"</formula>
    </cfRule>
    <cfRule type="cellIs" dxfId="1833" priority="4793" operator="equal">
      <formula>"B"</formula>
    </cfRule>
    <cfRule type="cellIs" dxfId="1832" priority="4794" operator="equal">
      <formula>"B1"</formula>
    </cfRule>
    <cfRule type="cellIs" dxfId="1831" priority="4795" operator="greaterThan">
      <formula>B</formula>
    </cfRule>
    <cfRule type="expression" dxfId="1830" priority="4796">
      <formula>C20</formula>
    </cfRule>
    <cfRule type="cellIs" dxfId="1829" priority="4797" operator="equal">
      <formula>C20</formula>
    </cfRule>
  </conditionalFormatting>
  <conditionalFormatting sqref="M80:N85 M26:N27 M44:N47 M35:N42">
    <cfRule type="cellIs" dxfId="1828" priority="4810" operator="equal">
      <formula>"A DN"</formula>
    </cfRule>
    <cfRule type="cellIs" dxfId="1827" priority="4811" operator="equal">
      <formula>"D"</formula>
    </cfRule>
    <cfRule type="cellIs" dxfId="1826" priority="4812" operator="equal">
      <formula>"C2"</formula>
    </cfRule>
    <cfRule type="cellIs" dxfId="1825" priority="4813" operator="equal">
      <formula>"C1"</formula>
    </cfRule>
    <cfRule type="cellIs" dxfId="1824" priority="4814" operator="equal">
      <formula>"C"</formula>
    </cfRule>
    <cfRule type="cellIs" dxfId="1823" priority="4815" operator="equal">
      <formula>"B2"</formula>
    </cfRule>
    <cfRule type="cellIs" dxfId="1822" priority="4816" operator="equal">
      <formula>"B1"</formula>
    </cfRule>
    <cfRule type="cellIs" dxfId="1821" priority="4817" operator="equal">
      <formula>"B"</formula>
    </cfRule>
    <cfRule type="cellIs" dxfId="1820" priority="4818" operator="equal">
      <formula>"B1"</formula>
    </cfRule>
    <cfRule type="cellIs" dxfId="1819" priority="4819" operator="greaterThan">
      <formula>B</formula>
    </cfRule>
    <cfRule type="expression" dxfId="1818" priority="4820">
      <formula>C21</formula>
    </cfRule>
    <cfRule type="cellIs" dxfId="1817" priority="4821" operator="equal">
      <formula>C21</formula>
    </cfRule>
  </conditionalFormatting>
  <conditionalFormatting sqref="M28:N32 M43:N44 M71:N73 M65:M69">
    <cfRule type="cellIs" dxfId="1816" priority="4858" operator="equal">
      <formula>"A DN"</formula>
    </cfRule>
    <cfRule type="cellIs" dxfId="1815" priority="4859" operator="equal">
      <formula>"D"</formula>
    </cfRule>
    <cfRule type="cellIs" dxfId="1814" priority="4860" operator="equal">
      <formula>"C2"</formula>
    </cfRule>
    <cfRule type="cellIs" dxfId="1813" priority="4861" operator="equal">
      <formula>"C1"</formula>
    </cfRule>
    <cfRule type="cellIs" dxfId="1812" priority="4862" operator="equal">
      <formula>"C"</formula>
    </cfRule>
    <cfRule type="cellIs" dxfId="1811" priority="4863" operator="equal">
      <formula>"B2"</formula>
    </cfRule>
    <cfRule type="cellIs" dxfId="1810" priority="4864" operator="equal">
      <formula>"B1"</formula>
    </cfRule>
    <cfRule type="cellIs" dxfId="1809" priority="4865" operator="equal">
      <formula>"B"</formula>
    </cfRule>
    <cfRule type="cellIs" dxfId="1808" priority="4866" operator="equal">
      <formula>"B1"</formula>
    </cfRule>
    <cfRule type="cellIs" dxfId="1807" priority="4867" operator="greaterThan">
      <formula>B</formula>
    </cfRule>
    <cfRule type="expression" dxfId="1806" priority="4868">
      <formula>C21</formula>
    </cfRule>
    <cfRule type="cellIs" dxfId="1805" priority="4869" operator="equal">
      <formula>C21</formula>
    </cfRule>
  </conditionalFormatting>
  <conditionalFormatting sqref="M43:N44 M54">
    <cfRule type="cellIs" dxfId="1804" priority="4906" operator="equal">
      <formula>"A DN"</formula>
    </cfRule>
    <cfRule type="cellIs" dxfId="1803" priority="4907" operator="equal">
      <formula>"D"</formula>
    </cfRule>
    <cfRule type="cellIs" dxfId="1802" priority="4908" operator="equal">
      <formula>"C2"</formula>
    </cfRule>
    <cfRule type="cellIs" dxfId="1801" priority="4909" operator="equal">
      <formula>"C1"</formula>
    </cfRule>
    <cfRule type="cellIs" dxfId="1800" priority="4910" operator="equal">
      <formula>"C"</formula>
    </cfRule>
    <cfRule type="cellIs" dxfId="1799" priority="4911" operator="equal">
      <formula>"B2"</formula>
    </cfRule>
    <cfRule type="cellIs" dxfId="1798" priority="4912" operator="equal">
      <formula>"B1"</formula>
    </cfRule>
    <cfRule type="cellIs" dxfId="1797" priority="4913" operator="equal">
      <formula>"B"</formula>
    </cfRule>
    <cfRule type="cellIs" dxfId="1796" priority="4914" operator="equal">
      <formula>"B1"</formula>
    </cfRule>
    <cfRule type="cellIs" dxfId="1795" priority="4915" operator="greaterThan">
      <formula>B</formula>
    </cfRule>
    <cfRule type="expression" dxfId="1794" priority="4916">
      <formula>C39</formula>
    </cfRule>
    <cfRule type="cellIs" dxfId="1793" priority="4917" operator="equal">
      <formula>C39</formula>
    </cfRule>
  </conditionalFormatting>
  <conditionalFormatting sqref="M54:N64">
    <cfRule type="cellIs" dxfId="1792" priority="4954" operator="equal">
      <formula>"A DN"</formula>
    </cfRule>
    <cfRule type="cellIs" dxfId="1791" priority="4955" operator="equal">
      <formula>"D"</formula>
    </cfRule>
    <cfRule type="cellIs" dxfId="1790" priority="4956" operator="equal">
      <formula>"C2"</formula>
    </cfRule>
    <cfRule type="cellIs" dxfId="1789" priority="4957" operator="equal">
      <formula>"C1"</formula>
    </cfRule>
    <cfRule type="cellIs" dxfId="1788" priority="4958" operator="equal">
      <formula>"C"</formula>
    </cfRule>
    <cfRule type="cellIs" dxfId="1787" priority="4959" operator="equal">
      <formula>"B2"</formula>
    </cfRule>
    <cfRule type="cellIs" dxfId="1786" priority="4960" operator="equal">
      <formula>"B1"</formula>
    </cfRule>
    <cfRule type="cellIs" dxfId="1785" priority="4961" operator="equal">
      <formula>"B"</formula>
    </cfRule>
    <cfRule type="cellIs" dxfId="1784" priority="4962" operator="equal">
      <formula>"B1"</formula>
    </cfRule>
    <cfRule type="cellIs" dxfId="1783" priority="4963" operator="greaterThan">
      <formula>B</formula>
    </cfRule>
    <cfRule type="expression" dxfId="1782" priority="4964">
      <formula>C53</formula>
    </cfRule>
    <cfRule type="cellIs" dxfId="1781" priority="4965" operator="equal">
      <formula>C53</formula>
    </cfRule>
  </conditionalFormatting>
  <conditionalFormatting sqref="M22:N23 M41:N42 M53:N54">
    <cfRule type="cellIs" dxfId="1780" priority="5495" operator="equal">
      <formula>"A DN"</formula>
    </cfRule>
    <cfRule type="cellIs" dxfId="1779" priority="5496" operator="equal">
      <formula>"D"</formula>
    </cfRule>
    <cfRule type="cellIs" dxfId="1778" priority="5497" operator="equal">
      <formula>"C2"</formula>
    </cfRule>
    <cfRule type="cellIs" dxfId="1777" priority="5498" operator="equal">
      <formula>"C1"</formula>
    </cfRule>
    <cfRule type="cellIs" dxfId="1776" priority="5499" operator="equal">
      <formula>"C"</formula>
    </cfRule>
    <cfRule type="cellIs" dxfId="1775" priority="5500" operator="equal">
      <formula>"B2"</formula>
    </cfRule>
    <cfRule type="cellIs" dxfId="1774" priority="5501" operator="equal">
      <formula>"B1"</formula>
    </cfRule>
    <cfRule type="cellIs" dxfId="1773" priority="5502" operator="equal">
      <formula>"B"</formula>
    </cfRule>
    <cfRule type="cellIs" dxfId="1772" priority="5503" operator="equal">
      <formula>"B1"</formula>
    </cfRule>
    <cfRule type="cellIs" dxfId="1771" priority="5504" operator="greaterThan">
      <formula>B</formula>
    </cfRule>
    <cfRule type="expression" dxfId="1770" priority="5505">
      <formula>C19</formula>
    </cfRule>
    <cfRule type="cellIs" dxfId="1769" priority="5506" operator="equal">
      <formula>C19</formula>
    </cfRule>
  </conditionalFormatting>
  <conditionalFormatting sqref="M24:N25 M43:N43 M45:N47 M49:N53 M55:M64 M71:M73">
    <cfRule type="cellIs" dxfId="1768" priority="5749" operator="equal">
      <formula>"A DN"</formula>
    </cfRule>
    <cfRule type="cellIs" dxfId="1767" priority="5750" operator="equal">
      <formula>"D"</formula>
    </cfRule>
    <cfRule type="cellIs" dxfId="1766" priority="5751" operator="equal">
      <formula>"C2"</formula>
    </cfRule>
    <cfRule type="cellIs" dxfId="1765" priority="5752" operator="equal">
      <formula>"C1"</formula>
    </cfRule>
    <cfRule type="cellIs" dxfId="1764" priority="5753" operator="equal">
      <formula>"C"</formula>
    </cfRule>
    <cfRule type="cellIs" dxfId="1763" priority="5754" operator="equal">
      <formula>"B2"</formula>
    </cfRule>
    <cfRule type="cellIs" dxfId="1762" priority="5755" operator="equal">
      <formula>"B1"</formula>
    </cfRule>
    <cfRule type="cellIs" dxfId="1761" priority="5756" operator="equal">
      <formula>"B"</formula>
    </cfRule>
    <cfRule type="cellIs" dxfId="1760" priority="5757" operator="equal">
      <formula>"B1"</formula>
    </cfRule>
    <cfRule type="cellIs" dxfId="1759" priority="5758" operator="greaterThan">
      <formula>B</formula>
    </cfRule>
    <cfRule type="expression" dxfId="1758" priority="5759">
      <formula>C16</formula>
    </cfRule>
    <cfRule type="cellIs" dxfId="1757" priority="5760" operator="equal">
      <formula>C16</formula>
    </cfRule>
  </conditionalFormatting>
  <conditionalFormatting sqref="M45:N45">
    <cfRule type="cellIs" dxfId="1756" priority="5986" operator="equal">
      <formula>"A DN"</formula>
    </cfRule>
    <cfRule type="cellIs" dxfId="1755" priority="5987" operator="equal">
      <formula>"D"</formula>
    </cfRule>
    <cfRule type="cellIs" dxfId="1754" priority="5988" operator="equal">
      <formula>"C2"</formula>
    </cfRule>
    <cfRule type="cellIs" dxfId="1753" priority="5989" operator="equal">
      <formula>"C1"</formula>
    </cfRule>
    <cfRule type="cellIs" dxfId="1752" priority="5990" operator="equal">
      <formula>"C"</formula>
    </cfRule>
    <cfRule type="cellIs" dxfId="1751" priority="5991" operator="equal">
      <formula>"B2"</formula>
    </cfRule>
    <cfRule type="cellIs" dxfId="1750" priority="5992" operator="equal">
      <formula>"B1"</formula>
    </cfRule>
    <cfRule type="cellIs" dxfId="1749" priority="5993" operator="equal">
      <formula>"B"</formula>
    </cfRule>
    <cfRule type="cellIs" dxfId="1748" priority="5994" operator="equal">
      <formula>"B1"</formula>
    </cfRule>
    <cfRule type="cellIs" dxfId="1747" priority="5995" operator="greaterThan">
      <formula>B</formula>
    </cfRule>
    <cfRule type="expression" dxfId="1746" priority="5996">
      <formula>C18</formula>
    </cfRule>
    <cfRule type="cellIs" dxfId="1745" priority="5997" operator="equal">
      <formula>C18</formula>
    </cfRule>
  </conditionalFormatting>
  <conditionalFormatting sqref="M45:N47">
    <cfRule type="cellIs" dxfId="1744" priority="6532" operator="equal">
      <formula>"A DN"</formula>
    </cfRule>
    <cfRule type="cellIs" dxfId="1743" priority="6533" operator="equal">
      <formula>"D"</formula>
    </cfRule>
    <cfRule type="cellIs" dxfId="1742" priority="6534" operator="equal">
      <formula>"C2"</formula>
    </cfRule>
    <cfRule type="cellIs" dxfId="1741" priority="6535" operator="equal">
      <formula>"C1"</formula>
    </cfRule>
    <cfRule type="cellIs" dxfId="1740" priority="6536" operator="equal">
      <formula>"C"</formula>
    </cfRule>
    <cfRule type="cellIs" dxfId="1739" priority="6537" operator="equal">
      <formula>"B2"</formula>
    </cfRule>
    <cfRule type="cellIs" dxfId="1738" priority="6538" operator="equal">
      <formula>"B1"</formula>
    </cfRule>
    <cfRule type="cellIs" dxfId="1737" priority="6539" operator="equal">
      <formula>"B"</formula>
    </cfRule>
    <cfRule type="cellIs" dxfId="1736" priority="6540" operator="equal">
      <formula>"B1"</formula>
    </cfRule>
    <cfRule type="cellIs" dxfId="1735" priority="6541" operator="greaterThan">
      <formula>B</formula>
    </cfRule>
    <cfRule type="expression" dxfId="1734" priority="6542">
      <formula>C48</formula>
    </cfRule>
    <cfRule type="cellIs" dxfId="1733" priority="6543" operator="equal">
      <formula>C48</formula>
    </cfRule>
  </conditionalFormatting>
  <conditionalFormatting sqref="M43:M47">
    <cfRule type="cellIs" dxfId="1732" priority="6556" operator="equal">
      <formula>"A DN"</formula>
    </cfRule>
    <cfRule type="cellIs" dxfId="1731" priority="6557" operator="equal">
      <formula>"D"</formula>
    </cfRule>
    <cfRule type="cellIs" dxfId="1730" priority="6558" operator="equal">
      <formula>"C2"</formula>
    </cfRule>
    <cfRule type="cellIs" dxfId="1729" priority="6559" operator="equal">
      <formula>"C1"</formula>
    </cfRule>
    <cfRule type="cellIs" dxfId="1728" priority="6560" operator="equal">
      <formula>"C"</formula>
    </cfRule>
    <cfRule type="cellIs" dxfId="1727" priority="6561" operator="equal">
      <formula>"B2"</formula>
    </cfRule>
    <cfRule type="cellIs" dxfId="1726" priority="6562" operator="equal">
      <formula>"B1"</formula>
    </cfRule>
    <cfRule type="cellIs" dxfId="1725" priority="6563" operator="equal">
      <formula>"B"</formula>
    </cfRule>
    <cfRule type="cellIs" dxfId="1724" priority="6564" operator="equal">
      <formula>"B1"</formula>
    </cfRule>
    <cfRule type="cellIs" dxfId="1723" priority="6565" operator="greaterThan">
      <formula>B</formula>
    </cfRule>
    <cfRule type="expression" dxfId="1722" priority="6566">
      <formula>#REF!</formula>
    </cfRule>
    <cfRule type="cellIs" dxfId="1721" priority="6567" operator="equal">
      <formula>#REF!</formula>
    </cfRule>
  </conditionalFormatting>
  <conditionalFormatting sqref="M45:N47">
    <cfRule type="cellIs" dxfId="1720" priority="6580" operator="equal">
      <formula>"A DN"</formula>
    </cfRule>
    <cfRule type="cellIs" dxfId="1719" priority="6581" operator="equal">
      <formula>"D"</formula>
    </cfRule>
    <cfRule type="cellIs" dxfId="1718" priority="6582" operator="equal">
      <formula>"C2"</formula>
    </cfRule>
    <cfRule type="cellIs" dxfId="1717" priority="6583" operator="equal">
      <formula>"C1"</formula>
    </cfRule>
    <cfRule type="cellIs" dxfId="1716" priority="6584" operator="equal">
      <formula>"C"</formula>
    </cfRule>
    <cfRule type="cellIs" dxfId="1715" priority="6585" operator="equal">
      <formula>"B2"</formula>
    </cfRule>
    <cfRule type="cellIs" dxfId="1714" priority="6586" operator="equal">
      <formula>"B1"</formula>
    </cfRule>
    <cfRule type="cellIs" dxfId="1713" priority="6587" operator="equal">
      <formula>"B"</formula>
    </cfRule>
    <cfRule type="cellIs" dxfId="1712" priority="6588" operator="equal">
      <formula>"B1"</formula>
    </cfRule>
    <cfRule type="cellIs" dxfId="1711" priority="6589" operator="greaterThan">
      <formula>B</formula>
    </cfRule>
    <cfRule type="expression" dxfId="1710" priority="6590">
      <formula>C50</formula>
    </cfRule>
    <cfRule type="cellIs" dxfId="1709" priority="6591" operator="equal">
      <formula>C50</formula>
    </cfRule>
  </conditionalFormatting>
  <conditionalFormatting sqref="M51:M52 M34:N34">
    <cfRule type="cellIs" dxfId="1708" priority="6670" operator="equal">
      <formula>"A DN"</formula>
    </cfRule>
    <cfRule type="cellIs" dxfId="1707" priority="6671" operator="equal">
      <formula>"D"</formula>
    </cfRule>
    <cfRule type="cellIs" dxfId="1706" priority="6672" operator="equal">
      <formula>"C2"</formula>
    </cfRule>
    <cfRule type="cellIs" dxfId="1705" priority="6673" operator="equal">
      <formula>"C1"</formula>
    </cfRule>
    <cfRule type="cellIs" dxfId="1704" priority="6674" operator="equal">
      <formula>"C"</formula>
    </cfRule>
    <cfRule type="cellIs" dxfId="1703" priority="6675" operator="equal">
      <formula>"B2"</formula>
    </cfRule>
    <cfRule type="cellIs" dxfId="1702" priority="6676" operator="equal">
      <formula>"B1"</formula>
    </cfRule>
    <cfRule type="cellIs" dxfId="1701" priority="6677" operator="equal">
      <formula>"B"</formula>
    </cfRule>
    <cfRule type="cellIs" dxfId="1700" priority="6678" operator="equal">
      <formula>"B1"</formula>
    </cfRule>
    <cfRule type="cellIs" dxfId="1699" priority="6679" operator="greaterThan">
      <formula>B</formula>
    </cfRule>
    <cfRule type="expression" dxfId="1698" priority="6680">
      <formula>C23</formula>
    </cfRule>
    <cfRule type="cellIs" dxfId="1697" priority="6681" operator="equal">
      <formula>C23</formula>
    </cfRule>
  </conditionalFormatting>
  <conditionalFormatting sqref="M27">
    <cfRule type="cellIs" dxfId="1696" priority="6899" operator="equal">
      <formula>"A DN"</formula>
    </cfRule>
    <cfRule type="cellIs" dxfId="1695" priority="6900" operator="equal">
      <formula>"D"</formula>
    </cfRule>
    <cfRule type="cellIs" dxfId="1694" priority="6901" operator="equal">
      <formula>"C2"</formula>
    </cfRule>
    <cfRule type="cellIs" dxfId="1693" priority="6902" operator="equal">
      <formula>"C1"</formula>
    </cfRule>
    <cfRule type="cellIs" dxfId="1692" priority="6903" operator="equal">
      <formula>"C"</formula>
    </cfRule>
    <cfRule type="cellIs" dxfId="1691" priority="6904" operator="equal">
      <formula>"B2"</formula>
    </cfRule>
    <cfRule type="cellIs" dxfId="1690" priority="6905" operator="equal">
      <formula>"B1"</formula>
    </cfRule>
    <cfRule type="cellIs" dxfId="1689" priority="6906" operator="equal">
      <formula>"B"</formula>
    </cfRule>
    <cfRule type="cellIs" dxfId="1688" priority="6907" operator="equal">
      <formula>"B1"</formula>
    </cfRule>
    <cfRule type="cellIs" dxfId="1687" priority="6908" operator="greaterThan">
      <formula>B</formula>
    </cfRule>
    <cfRule type="expression" dxfId="1686" priority="6909">
      <formula>C48</formula>
    </cfRule>
    <cfRule type="cellIs" dxfId="1685" priority="6910" operator="equal">
      <formula>C48</formula>
    </cfRule>
  </conditionalFormatting>
  <conditionalFormatting sqref="M27:N27">
    <cfRule type="cellIs" dxfId="1684" priority="6947" operator="equal">
      <formula>"A DN"</formula>
    </cfRule>
    <cfRule type="cellIs" dxfId="1683" priority="6948" operator="equal">
      <formula>"D"</formula>
    </cfRule>
    <cfRule type="cellIs" dxfId="1682" priority="6949" operator="equal">
      <formula>"C2"</formula>
    </cfRule>
    <cfRule type="cellIs" dxfId="1681" priority="6950" operator="equal">
      <formula>"C1"</formula>
    </cfRule>
    <cfRule type="cellIs" dxfId="1680" priority="6951" operator="equal">
      <formula>"C"</formula>
    </cfRule>
    <cfRule type="cellIs" dxfId="1679" priority="6952" operator="equal">
      <formula>"B2"</formula>
    </cfRule>
    <cfRule type="cellIs" dxfId="1678" priority="6953" operator="equal">
      <formula>"B1"</formula>
    </cfRule>
    <cfRule type="cellIs" dxfId="1677" priority="6954" operator="equal">
      <formula>"B"</formula>
    </cfRule>
    <cfRule type="cellIs" dxfId="1676" priority="6955" operator="equal">
      <formula>"B1"</formula>
    </cfRule>
    <cfRule type="cellIs" dxfId="1675" priority="6956" operator="greaterThan">
      <formula>B</formula>
    </cfRule>
    <cfRule type="expression" dxfId="1674" priority="6957">
      <formula>C49</formula>
    </cfRule>
    <cfRule type="cellIs" dxfId="1673" priority="6958" operator="equal">
      <formula>C49</formula>
    </cfRule>
  </conditionalFormatting>
  <conditionalFormatting sqref="M27:N27">
    <cfRule type="cellIs" dxfId="1672" priority="6983" operator="equal">
      <formula>"A DN"</formula>
    </cfRule>
    <cfRule type="cellIs" dxfId="1671" priority="6984" operator="equal">
      <formula>"D"</formula>
    </cfRule>
    <cfRule type="cellIs" dxfId="1670" priority="6985" operator="equal">
      <formula>"C2"</formula>
    </cfRule>
    <cfRule type="cellIs" dxfId="1669" priority="6986" operator="equal">
      <formula>"C1"</formula>
    </cfRule>
    <cfRule type="cellIs" dxfId="1668" priority="6987" operator="equal">
      <formula>"C"</formula>
    </cfRule>
    <cfRule type="cellIs" dxfId="1667" priority="6988" operator="equal">
      <formula>"B2"</formula>
    </cfRule>
    <cfRule type="cellIs" dxfId="1666" priority="6989" operator="equal">
      <formula>"B1"</formula>
    </cfRule>
    <cfRule type="cellIs" dxfId="1665" priority="6990" operator="equal">
      <formula>"B"</formula>
    </cfRule>
    <cfRule type="cellIs" dxfId="1664" priority="6991" operator="equal">
      <formula>"B1"</formula>
    </cfRule>
    <cfRule type="cellIs" dxfId="1663" priority="6992" operator="greaterThan">
      <formula>B</formula>
    </cfRule>
    <cfRule type="expression" dxfId="1662" priority="6993">
      <formula>C51</formula>
    </cfRule>
    <cfRule type="cellIs" dxfId="1661" priority="6994" operator="equal">
      <formula>C51</formula>
    </cfRule>
  </conditionalFormatting>
  <conditionalFormatting sqref="M44:N44 M53 M55:N64">
    <cfRule type="cellIs" dxfId="1660" priority="7145" operator="equal">
      <formula>"A DN"</formula>
    </cfRule>
    <cfRule type="cellIs" dxfId="1659" priority="7146" operator="equal">
      <formula>"D"</formula>
    </cfRule>
    <cfRule type="cellIs" dxfId="1658" priority="7147" operator="equal">
      <formula>"C2"</formula>
    </cfRule>
    <cfRule type="cellIs" dxfId="1657" priority="7148" operator="equal">
      <formula>"C1"</formula>
    </cfRule>
    <cfRule type="cellIs" dxfId="1656" priority="7149" operator="equal">
      <formula>"C"</formula>
    </cfRule>
    <cfRule type="cellIs" dxfId="1655" priority="7150" operator="equal">
      <formula>"B2"</formula>
    </cfRule>
    <cfRule type="cellIs" dxfId="1654" priority="7151" operator="equal">
      <formula>"B1"</formula>
    </cfRule>
    <cfRule type="cellIs" dxfId="1653" priority="7152" operator="equal">
      <formula>"B"</formula>
    </cfRule>
    <cfRule type="cellIs" dxfId="1652" priority="7153" operator="equal">
      <formula>"B1"</formula>
    </cfRule>
    <cfRule type="cellIs" dxfId="1651" priority="7154" operator="greaterThan">
      <formula>B</formula>
    </cfRule>
    <cfRule type="expression" dxfId="1650" priority="7155">
      <formula>C35</formula>
    </cfRule>
    <cfRule type="cellIs" dxfId="1649" priority="7156" operator="equal">
      <formula>C35</formula>
    </cfRule>
  </conditionalFormatting>
  <conditionalFormatting sqref="M42:N42">
    <cfRule type="cellIs" dxfId="1648" priority="7418" operator="equal">
      <formula>"A DN"</formula>
    </cfRule>
    <cfRule type="cellIs" dxfId="1647" priority="7419" operator="equal">
      <formula>"D"</formula>
    </cfRule>
    <cfRule type="cellIs" dxfId="1646" priority="7420" operator="equal">
      <formula>"C2"</formula>
    </cfRule>
    <cfRule type="cellIs" dxfId="1645" priority="7421" operator="equal">
      <formula>"C1"</formula>
    </cfRule>
    <cfRule type="cellIs" dxfId="1644" priority="7422" operator="equal">
      <formula>"C"</formula>
    </cfRule>
    <cfRule type="cellIs" dxfId="1643" priority="7423" operator="equal">
      <formula>"B2"</formula>
    </cfRule>
    <cfRule type="cellIs" dxfId="1642" priority="7424" operator="equal">
      <formula>"B1"</formula>
    </cfRule>
    <cfRule type="cellIs" dxfId="1641" priority="7425" operator="equal">
      <formula>"B"</formula>
    </cfRule>
    <cfRule type="cellIs" dxfId="1640" priority="7426" operator="equal">
      <formula>"B1"</formula>
    </cfRule>
    <cfRule type="cellIs" dxfId="1639" priority="7427" operator="greaterThan">
      <formula>B</formula>
    </cfRule>
    <cfRule type="expression" dxfId="1638" priority="7428">
      <formula>C51</formula>
    </cfRule>
    <cfRule type="cellIs" dxfId="1637" priority="7429" operator="equal">
      <formula>C51</formula>
    </cfRule>
  </conditionalFormatting>
  <conditionalFormatting sqref="M42:N42">
    <cfRule type="cellIs" dxfId="1636" priority="7466" operator="equal">
      <formula>"A DN"</formula>
    </cfRule>
    <cfRule type="cellIs" dxfId="1635" priority="7467" operator="equal">
      <formula>"D"</formula>
    </cfRule>
    <cfRule type="cellIs" dxfId="1634" priority="7468" operator="equal">
      <formula>"C2"</formula>
    </cfRule>
    <cfRule type="cellIs" dxfId="1633" priority="7469" operator="equal">
      <formula>"C1"</formula>
    </cfRule>
    <cfRule type="cellIs" dxfId="1632" priority="7470" operator="equal">
      <formula>"C"</formula>
    </cfRule>
    <cfRule type="cellIs" dxfId="1631" priority="7471" operator="equal">
      <formula>"B2"</formula>
    </cfRule>
    <cfRule type="cellIs" dxfId="1630" priority="7472" operator="equal">
      <formula>"B1"</formula>
    </cfRule>
    <cfRule type="cellIs" dxfId="1629" priority="7473" operator="equal">
      <formula>"B"</formula>
    </cfRule>
    <cfRule type="cellIs" dxfId="1628" priority="7474" operator="equal">
      <formula>"B1"</formula>
    </cfRule>
    <cfRule type="cellIs" dxfId="1627" priority="7475" operator="greaterThan">
      <formula>B</formula>
    </cfRule>
    <cfRule type="expression" dxfId="1626" priority="7476">
      <formula>C53</formula>
    </cfRule>
    <cfRule type="cellIs" dxfId="1625" priority="7477" operator="equal">
      <formula>C53</formula>
    </cfRule>
  </conditionalFormatting>
  <conditionalFormatting sqref="M42:N42">
    <cfRule type="cellIs" dxfId="1624" priority="7490" operator="equal">
      <formula>"A DN"</formula>
    </cfRule>
    <cfRule type="cellIs" dxfId="1623" priority="7491" operator="equal">
      <formula>"D"</formula>
    </cfRule>
    <cfRule type="cellIs" dxfId="1622" priority="7492" operator="equal">
      <formula>"C2"</formula>
    </cfRule>
    <cfRule type="cellIs" dxfId="1621" priority="7493" operator="equal">
      <formula>"C1"</formula>
    </cfRule>
    <cfRule type="cellIs" dxfId="1620" priority="7494" operator="equal">
      <formula>"C"</formula>
    </cfRule>
    <cfRule type="cellIs" dxfId="1619" priority="7495" operator="equal">
      <formula>"B2"</formula>
    </cfRule>
    <cfRule type="cellIs" dxfId="1618" priority="7496" operator="equal">
      <formula>"B1"</formula>
    </cfRule>
    <cfRule type="cellIs" dxfId="1617" priority="7497" operator="equal">
      <formula>"B"</formula>
    </cfRule>
    <cfRule type="cellIs" dxfId="1616" priority="7498" operator="equal">
      <formula>"B1"</formula>
    </cfRule>
    <cfRule type="cellIs" dxfId="1615" priority="7499" operator="greaterThan">
      <formula>B</formula>
    </cfRule>
    <cfRule type="expression" dxfId="1614" priority="7500">
      <formula>C54</formula>
    </cfRule>
    <cfRule type="cellIs" dxfId="1613" priority="7501" operator="equal">
      <formula>C54</formula>
    </cfRule>
  </conditionalFormatting>
  <conditionalFormatting sqref="M42">
    <cfRule type="cellIs" dxfId="1612" priority="7516" operator="equal">
      <formula>"A DN"</formula>
    </cfRule>
    <cfRule type="cellIs" dxfId="1611" priority="7517" operator="equal">
      <formula>"D"</formula>
    </cfRule>
    <cfRule type="cellIs" dxfId="1610" priority="7518" operator="equal">
      <formula>"C2"</formula>
    </cfRule>
    <cfRule type="cellIs" dxfId="1609" priority="7519" operator="equal">
      <formula>"C1"</formula>
    </cfRule>
    <cfRule type="cellIs" dxfId="1608" priority="7520" operator="equal">
      <formula>"C"</formula>
    </cfRule>
    <cfRule type="cellIs" dxfId="1607" priority="7521" operator="equal">
      <formula>"B2"</formula>
    </cfRule>
    <cfRule type="cellIs" dxfId="1606" priority="7522" operator="equal">
      <formula>"B1"</formula>
    </cfRule>
    <cfRule type="cellIs" dxfId="1605" priority="7523" operator="equal">
      <formula>"B"</formula>
    </cfRule>
    <cfRule type="cellIs" dxfId="1604" priority="7524" operator="equal">
      <formula>"B1"</formula>
    </cfRule>
    <cfRule type="cellIs" dxfId="1603" priority="7525" operator="greaterThan">
      <formula>B</formula>
    </cfRule>
    <cfRule type="expression" dxfId="1602" priority="7526">
      <formula>C27</formula>
    </cfRule>
    <cfRule type="cellIs" dxfId="1601" priority="7527" operator="equal">
      <formula>C27</formula>
    </cfRule>
  </conditionalFormatting>
  <conditionalFormatting sqref="M46:N47">
    <cfRule type="cellIs" dxfId="1600" priority="7594" operator="equal">
      <formula>"A DN"</formula>
    </cfRule>
    <cfRule type="cellIs" dxfId="1599" priority="7595" operator="equal">
      <formula>"D"</formula>
    </cfRule>
    <cfRule type="cellIs" dxfId="1598" priority="7596" operator="equal">
      <formula>"C2"</formula>
    </cfRule>
    <cfRule type="cellIs" dxfId="1597" priority="7597" operator="equal">
      <formula>"C1"</formula>
    </cfRule>
    <cfRule type="cellIs" dxfId="1596" priority="7598" operator="equal">
      <formula>"C"</formula>
    </cfRule>
    <cfRule type="cellIs" dxfId="1595" priority="7599" operator="equal">
      <formula>"B2"</formula>
    </cfRule>
    <cfRule type="cellIs" dxfId="1594" priority="7600" operator="equal">
      <formula>"B1"</formula>
    </cfRule>
    <cfRule type="cellIs" dxfId="1593" priority="7601" operator="equal">
      <formula>"B"</formula>
    </cfRule>
    <cfRule type="cellIs" dxfId="1592" priority="7602" operator="equal">
      <formula>"B1"</formula>
    </cfRule>
    <cfRule type="cellIs" dxfId="1591" priority="7603" operator="greaterThan">
      <formula>B</formula>
    </cfRule>
    <cfRule type="expression" dxfId="1590" priority="7604">
      <formula>C45</formula>
    </cfRule>
    <cfRule type="cellIs" dxfId="1589" priority="7605" operator="equal">
      <formula>C45</formula>
    </cfRule>
  </conditionalFormatting>
  <conditionalFormatting sqref="M48:N52 M35:N39">
    <cfRule type="cellIs" dxfId="1588" priority="7672" operator="equal">
      <formula>"A DN"</formula>
    </cfRule>
    <cfRule type="cellIs" dxfId="1587" priority="7673" operator="equal">
      <formula>"D"</formula>
    </cfRule>
    <cfRule type="cellIs" dxfId="1586" priority="7674" operator="equal">
      <formula>"C2"</formula>
    </cfRule>
    <cfRule type="cellIs" dxfId="1585" priority="7675" operator="equal">
      <formula>"C1"</formula>
    </cfRule>
    <cfRule type="cellIs" dxfId="1584" priority="7676" operator="equal">
      <formula>"C"</formula>
    </cfRule>
    <cfRule type="cellIs" dxfId="1583" priority="7677" operator="equal">
      <formula>"B2"</formula>
    </cfRule>
    <cfRule type="cellIs" dxfId="1582" priority="7678" operator="equal">
      <formula>"B1"</formula>
    </cfRule>
    <cfRule type="cellIs" dxfId="1581" priority="7679" operator="equal">
      <formula>"B"</formula>
    </cfRule>
    <cfRule type="cellIs" dxfId="1580" priority="7680" operator="equal">
      <formula>"B1"</formula>
    </cfRule>
    <cfRule type="cellIs" dxfId="1579" priority="7681" operator="greaterThan">
      <formula>B</formula>
    </cfRule>
    <cfRule type="expression" dxfId="1578" priority="7682">
      <formula>C25</formula>
    </cfRule>
    <cfRule type="cellIs" dxfId="1577" priority="7683" operator="equal">
      <formula>C25</formula>
    </cfRule>
  </conditionalFormatting>
  <conditionalFormatting sqref="M48:N48">
    <cfRule type="cellIs" dxfId="1576" priority="7708" operator="equal">
      <formula>"A DN"</formula>
    </cfRule>
    <cfRule type="cellIs" dxfId="1575" priority="7709" operator="equal">
      <formula>"D"</formula>
    </cfRule>
    <cfRule type="cellIs" dxfId="1574" priority="7710" operator="equal">
      <formula>"C2"</formula>
    </cfRule>
    <cfRule type="cellIs" dxfId="1573" priority="7711" operator="equal">
      <formula>"C1"</formula>
    </cfRule>
    <cfRule type="cellIs" dxfId="1572" priority="7712" operator="equal">
      <formula>"C"</formula>
    </cfRule>
    <cfRule type="cellIs" dxfId="1571" priority="7713" operator="equal">
      <formula>"B2"</formula>
    </cfRule>
    <cfRule type="cellIs" dxfId="1570" priority="7714" operator="equal">
      <formula>"B1"</formula>
    </cfRule>
    <cfRule type="cellIs" dxfId="1569" priority="7715" operator="equal">
      <formula>"B"</formula>
    </cfRule>
    <cfRule type="cellIs" dxfId="1568" priority="7716" operator="equal">
      <formula>"B1"</formula>
    </cfRule>
    <cfRule type="cellIs" dxfId="1567" priority="7717" operator="greaterThan">
      <formula>B</formula>
    </cfRule>
    <cfRule type="expression" dxfId="1566" priority="7718">
      <formula>C37</formula>
    </cfRule>
    <cfRule type="cellIs" dxfId="1565" priority="7719" operator="equal">
      <formula>C37</formula>
    </cfRule>
  </conditionalFormatting>
  <conditionalFormatting sqref="M45 M46:N47 M43:N44">
    <cfRule type="cellIs" dxfId="1564" priority="7969" operator="equal">
      <formula>"A DN"</formula>
    </cfRule>
    <cfRule type="cellIs" dxfId="1563" priority="7970" operator="equal">
      <formula>"D"</formula>
    </cfRule>
    <cfRule type="cellIs" dxfId="1562" priority="7971" operator="equal">
      <formula>"C2"</formula>
    </cfRule>
    <cfRule type="cellIs" dxfId="1561" priority="7972" operator="equal">
      <formula>"C1"</formula>
    </cfRule>
    <cfRule type="cellIs" dxfId="1560" priority="7973" operator="equal">
      <formula>"C"</formula>
    </cfRule>
    <cfRule type="cellIs" dxfId="1559" priority="7974" operator="equal">
      <formula>"B2"</formula>
    </cfRule>
    <cfRule type="cellIs" dxfId="1558" priority="7975" operator="equal">
      <formula>"B1"</formula>
    </cfRule>
    <cfRule type="cellIs" dxfId="1557" priority="7976" operator="equal">
      <formula>"B"</formula>
    </cfRule>
    <cfRule type="cellIs" dxfId="1556" priority="7977" operator="equal">
      <formula>"B1"</formula>
    </cfRule>
    <cfRule type="cellIs" dxfId="1555" priority="7978" operator="greaterThan">
      <formula>B</formula>
    </cfRule>
    <cfRule type="expression" dxfId="1554" priority="7979">
      <formula>C49</formula>
    </cfRule>
    <cfRule type="cellIs" dxfId="1553" priority="7980" operator="equal">
      <formula>C49</formula>
    </cfRule>
  </conditionalFormatting>
  <conditionalFormatting sqref="M45:N45 M46">
    <cfRule type="cellIs" dxfId="1552" priority="8017" operator="equal">
      <formula>"A DN"</formula>
    </cfRule>
    <cfRule type="cellIs" dxfId="1551" priority="8018" operator="equal">
      <formula>"D"</formula>
    </cfRule>
    <cfRule type="cellIs" dxfId="1550" priority="8019" operator="equal">
      <formula>"C2"</formula>
    </cfRule>
    <cfRule type="cellIs" dxfId="1549" priority="8020" operator="equal">
      <formula>"C1"</formula>
    </cfRule>
    <cfRule type="cellIs" dxfId="1548" priority="8021" operator="equal">
      <formula>"C"</formula>
    </cfRule>
    <cfRule type="cellIs" dxfId="1547" priority="8022" operator="equal">
      <formula>"B2"</formula>
    </cfRule>
    <cfRule type="cellIs" dxfId="1546" priority="8023" operator="equal">
      <formula>"B1"</formula>
    </cfRule>
    <cfRule type="cellIs" dxfId="1545" priority="8024" operator="equal">
      <formula>"B"</formula>
    </cfRule>
    <cfRule type="cellIs" dxfId="1544" priority="8025" operator="equal">
      <formula>"B1"</formula>
    </cfRule>
    <cfRule type="cellIs" dxfId="1543" priority="8026" operator="greaterThan">
      <formula>B</formula>
    </cfRule>
    <cfRule type="expression" dxfId="1542" priority="8027">
      <formula>C52</formula>
    </cfRule>
    <cfRule type="cellIs" dxfId="1541" priority="8028" operator="equal">
      <formula>C52</formula>
    </cfRule>
  </conditionalFormatting>
  <conditionalFormatting sqref="M46:M47">
    <cfRule type="cellIs" dxfId="1540" priority="8139" operator="equal">
      <formula>"A DN"</formula>
    </cfRule>
    <cfRule type="cellIs" dxfId="1539" priority="8140" operator="equal">
      <formula>"D"</formula>
    </cfRule>
    <cfRule type="cellIs" dxfId="1538" priority="8141" operator="equal">
      <formula>"C2"</formula>
    </cfRule>
    <cfRule type="cellIs" dxfId="1537" priority="8142" operator="equal">
      <formula>"C1"</formula>
    </cfRule>
    <cfRule type="cellIs" dxfId="1536" priority="8143" operator="equal">
      <formula>"C"</formula>
    </cfRule>
    <cfRule type="cellIs" dxfId="1535" priority="8144" operator="equal">
      <formula>"B2"</formula>
    </cfRule>
    <cfRule type="cellIs" dxfId="1534" priority="8145" operator="equal">
      <formula>"B1"</formula>
    </cfRule>
    <cfRule type="cellIs" dxfId="1533" priority="8146" operator="equal">
      <formula>"B"</formula>
    </cfRule>
    <cfRule type="cellIs" dxfId="1532" priority="8147" operator="equal">
      <formula>"B1"</formula>
    </cfRule>
    <cfRule type="cellIs" dxfId="1531" priority="8148" operator="greaterThan">
      <formula>B</formula>
    </cfRule>
    <cfRule type="expression" dxfId="1530" priority="8149">
      <formula>C28</formula>
    </cfRule>
    <cfRule type="cellIs" dxfId="1529" priority="8150" operator="equal">
      <formula>C28</formula>
    </cfRule>
  </conditionalFormatting>
  <conditionalFormatting sqref="M45:N47">
    <cfRule type="cellIs" dxfId="1528" priority="8265" operator="equal">
      <formula>"A DN"</formula>
    </cfRule>
    <cfRule type="cellIs" dxfId="1527" priority="8266" operator="equal">
      <formula>"D"</formula>
    </cfRule>
    <cfRule type="cellIs" dxfId="1526" priority="8267" operator="equal">
      <formula>"C2"</formula>
    </cfRule>
    <cfRule type="cellIs" dxfId="1525" priority="8268" operator="equal">
      <formula>"C1"</formula>
    </cfRule>
    <cfRule type="cellIs" dxfId="1524" priority="8269" operator="equal">
      <formula>"C"</formula>
    </cfRule>
    <cfRule type="cellIs" dxfId="1523" priority="8270" operator="equal">
      <formula>"B2"</formula>
    </cfRule>
    <cfRule type="cellIs" dxfId="1522" priority="8271" operator="equal">
      <formula>"B1"</formula>
    </cfRule>
    <cfRule type="cellIs" dxfId="1521" priority="8272" operator="equal">
      <formula>"B"</formula>
    </cfRule>
    <cfRule type="cellIs" dxfId="1520" priority="8273" operator="equal">
      <formula>"B1"</formula>
    </cfRule>
    <cfRule type="cellIs" dxfId="1519" priority="8274" operator="greaterThan">
      <formula>B</formula>
    </cfRule>
    <cfRule type="expression" dxfId="1518" priority="8275">
      <formula>C36</formula>
    </cfRule>
    <cfRule type="cellIs" dxfId="1517" priority="8276" operator="equal">
      <formula>C36</formula>
    </cfRule>
  </conditionalFormatting>
  <conditionalFormatting sqref="M42">
    <cfRule type="cellIs" dxfId="1516" priority="8337" operator="equal">
      <formula>"A DN"</formula>
    </cfRule>
    <cfRule type="cellIs" dxfId="1515" priority="8338" operator="equal">
      <formula>"D"</formula>
    </cfRule>
    <cfRule type="cellIs" dxfId="1514" priority="8339" operator="equal">
      <formula>"C2"</formula>
    </cfRule>
    <cfRule type="cellIs" dxfId="1513" priority="8340" operator="equal">
      <formula>"C1"</formula>
    </cfRule>
    <cfRule type="cellIs" dxfId="1512" priority="8341" operator="equal">
      <formula>"C"</formula>
    </cfRule>
    <cfRule type="cellIs" dxfId="1511" priority="8342" operator="equal">
      <formula>"B2"</formula>
    </cfRule>
    <cfRule type="cellIs" dxfId="1510" priority="8343" operator="equal">
      <formula>"B1"</formula>
    </cfRule>
    <cfRule type="cellIs" dxfId="1509" priority="8344" operator="equal">
      <formula>"B"</formula>
    </cfRule>
    <cfRule type="cellIs" dxfId="1508" priority="8345" operator="equal">
      <formula>"B1"</formula>
    </cfRule>
    <cfRule type="cellIs" dxfId="1507" priority="8346" operator="greaterThan">
      <formula>B</formula>
    </cfRule>
    <cfRule type="expression" dxfId="1506" priority="8347">
      <formula>C52</formula>
    </cfRule>
    <cfRule type="cellIs" dxfId="1505" priority="8348" operator="equal">
      <formula>C52</formula>
    </cfRule>
  </conditionalFormatting>
  <conditionalFormatting sqref="M43:N43 M46:N46">
    <cfRule type="cellIs" dxfId="1504" priority="8688" operator="equal">
      <formula>"A DN"</formula>
    </cfRule>
    <cfRule type="cellIs" dxfId="1503" priority="8689" operator="equal">
      <formula>"D"</formula>
    </cfRule>
    <cfRule type="cellIs" dxfId="1502" priority="8690" operator="equal">
      <formula>"C2"</formula>
    </cfRule>
    <cfRule type="cellIs" dxfId="1501" priority="8691" operator="equal">
      <formula>"C1"</formula>
    </cfRule>
    <cfRule type="cellIs" dxfId="1500" priority="8692" operator="equal">
      <formula>"C"</formula>
    </cfRule>
    <cfRule type="cellIs" dxfId="1499" priority="8693" operator="equal">
      <formula>"B2"</formula>
    </cfRule>
    <cfRule type="cellIs" dxfId="1498" priority="8694" operator="equal">
      <formula>"B1"</formula>
    </cfRule>
    <cfRule type="cellIs" dxfId="1497" priority="8695" operator="equal">
      <formula>"B"</formula>
    </cfRule>
    <cfRule type="cellIs" dxfId="1496" priority="8696" operator="equal">
      <formula>"B1"</formula>
    </cfRule>
    <cfRule type="cellIs" dxfId="1495" priority="8697" operator="greaterThan">
      <formula>B</formula>
    </cfRule>
    <cfRule type="expression" dxfId="1494" priority="8698">
      <formula>C44</formula>
    </cfRule>
    <cfRule type="cellIs" dxfId="1493" priority="8699" operator="equal">
      <formula>C44</formula>
    </cfRule>
  </conditionalFormatting>
  <conditionalFormatting sqref="M71:M73">
    <cfRule type="cellIs" dxfId="1492" priority="8742" operator="equal">
      <formula>"A DN"</formula>
    </cfRule>
    <cfRule type="cellIs" dxfId="1491" priority="8743" operator="equal">
      <formula>"D"</formula>
    </cfRule>
    <cfRule type="cellIs" dxfId="1490" priority="8744" operator="equal">
      <formula>"C2"</formula>
    </cfRule>
    <cfRule type="cellIs" dxfId="1489" priority="8745" operator="equal">
      <formula>"C1"</formula>
    </cfRule>
    <cfRule type="cellIs" dxfId="1488" priority="8746" operator="equal">
      <formula>"C"</formula>
    </cfRule>
    <cfRule type="cellIs" dxfId="1487" priority="8747" operator="equal">
      <formula>"B2"</formula>
    </cfRule>
    <cfRule type="cellIs" dxfId="1486" priority="8748" operator="equal">
      <formula>"B1"</formula>
    </cfRule>
    <cfRule type="cellIs" dxfId="1485" priority="8749" operator="equal">
      <formula>"B"</formula>
    </cfRule>
    <cfRule type="cellIs" dxfId="1484" priority="8750" operator="equal">
      <formula>"B1"</formula>
    </cfRule>
    <cfRule type="cellIs" dxfId="1483" priority="8751" operator="greaterThan">
      <formula>B</formula>
    </cfRule>
    <cfRule type="expression" dxfId="1482" priority="8752">
      <formula>C44</formula>
    </cfRule>
    <cfRule type="cellIs" dxfId="1481" priority="8753" operator="equal">
      <formula>C44</formula>
    </cfRule>
  </conditionalFormatting>
  <conditionalFormatting sqref="M47 M45:N45">
    <cfRule type="cellIs" dxfId="1480" priority="8963" operator="equal">
      <formula>"A DN"</formula>
    </cfRule>
    <cfRule type="cellIs" dxfId="1479" priority="8964" operator="equal">
      <formula>"D"</formula>
    </cfRule>
    <cfRule type="cellIs" dxfId="1478" priority="8965" operator="equal">
      <formula>"C2"</formula>
    </cfRule>
    <cfRule type="cellIs" dxfId="1477" priority="8966" operator="equal">
      <formula>"C1"</formula>
    </cfRule>
    <cfRule type="cellIs" dxfId="1476" priority="8967" operator="equal">
      <formula>"C"</formula>
    </cfRule>
    <cfRule type="cellIs" dxfId="1475" priority="8968" operator="equal">
      <formula>"B2"</formula>
    </cfRule>
    <cfRule type="cellIs" dxfId="1474" priority="8969" operator="equal">
      <formula>"B1"</formula>
    </cfRule>
    <cfRule type="cellIs" dxfId="1473" priority="8970" operator="equal">
      <formula>"B"</formula>
    </cfRule>
    <cfRule type="cellIs" dxfId="1472" priority="8971" operator="equal">
      <formula>"B1"</formula>
    </cfRule>
    <cfRule type="cellIs" dxfId="1471" priority="8972" operator="greaterThan">
      <formula>B</formula>
    </cfRule>
    <cfRule type="expression" dxfId="1470" priority="8973">
      <formula>C47</formula>
    </cfRule>
    <cfRule type="cellIs" dxfId="1469" priority="8974" operator="equal">
      <formula>C47</formula>
    </cfRule>
  </conditionalFormatting>
  <conditionalFormatting sqref="F68:F70">
    <cfRule type="cellIs" dxfId="1468" priority="1" stopIfTrue="1" operator="equal">
      <formula>"KXL"</formula>
    </cfRule>
    <cfRule type="cellIs" dxfId="1467" priority="2" stopIfTrue="1" operator="equal">
      <formula>"A DN"</formula>
    </cfRule>
    <cfRule type="cellIs" dxfId="1466" priority="3" stopIfTrue="1" operator="equal">
      <formula>"C"</formula>
    </cfRule>
    <cfRule type="cellIs" dxfId="1465" priority="4" stopIfTrue="1" operator="equal">
      <formula>"B"</formula>
    </cfRule>
  </conditionalFormatting>
  <conditionalFormatting sqref="M71:N77">
    <cfRule type="cellIs" dxfId="1464" priority="9067" operator="equal">
      <formula>"A DN"</formula>
    </cfRule>
    <cfRule type="cellIs" dxfId="1463" priority="9068" operator="equal">
      <formula>"D"</formula>
    </cfRule>
    <cfRule type="cellIs" dxfId="1462" priority="9069" operator="equal">
      <formula>"C2"</formula>
    </cfRule>
    <cfRule type="cellIs" dxfId="1461" priority="9070" operator="equal">
      <formula>"C1"</formula>
    </cfRule>
    <cfRule type="cellIs" dxfId="1460" priority="9071" operator="equal">
      <formula>"C"</formula>
    </cfRule>
    <cfRule type="cellIs" dxfId="1459" priority="9072" operator="equal">
      <formula>"B2"</formula>
    </cfRule>
    <cfRule type="cellIs" dxfId="1458" priority="9073" operator="equal">
      <formula>"B1"</formula>
    </cfRule>
    <cfRule type="cellIs" dxfId="1457" priority="9074" operator="equal">
      <formula>"B"</formula>
    </cfRule>
    <cfRule type="cellIs" dxfId="1456" priority="9075" operator="equal">
      <formula>"B1"</formula>
    </cfRule>
    <cfRule type="cellIs" dxfId="1455" priority="9076" operator="greaterThan">
      <formula>B</formula>
    </cfRule>
    <cfRule type="expression" dxfId="1454" priority="9077">
      <formula>C69</formula>
    </cfRule>
    <cfRule type="cellIs" dxfId="1453" priority="9078" operator="equal">
      <formula>C69</formula>
    </cfRule>
  </conditionalFormatting>
  <conditionalFormatting sqref="M70:N70">
    <cfRule type="cellIs" dxfId="1452" priority="9342" operator="equal">
      <formula>"A DN"</formula>
    </cfRule>
    <cfRule type="cellIs" dxfId="1451" priority="9343" operator="equal">
      <formula>"D"</formula>
    </cfRule>
    <cfRule type="cellIs" dxfId="1450" priority="9344" operator="equal">
      <formula>"C2"</formula>
    </cfRule>
    <cfRule type="cellIs" dxfId="1449" priority="9345" operator="equal">
      <formula>"C1"</formula>
    </cfRule>
    <cfRule type="cellIs" dxfId="1448" priority="9346" operator="equal">
      <formula>"C"</formula>
    </cfRule>
    <cfRule type="cellIs" dxfId="1447" priority="9347" operator="equal">
      <formula>"B2"</formula>
    </cfRule>
    <cfRule type="cellIs" dxfId="1446" priority="9348" operator="equal">
      <formula>"B1"</formula>
    </cfRule>
    <cfRule type="cellIs" dxfId="1445" priority="9349" operator="equal">
      <formula>"B"</formula>
    </cfRule>
    <cfRule type="cellIs" dxfId="1444" priority="9350" operator="equal">
      <formula>"B1"</formula>
    </cfRule>
    <cfRule type="cellIs" dxfId="1443" priority="9351" operator="greaterThan">
      <formula>B</formula>
    </cfRule>
    <cfRule type="expression" dxfId="1442" priority="9352">
      <formula>C58</formula>
    </cfRule>
    <cfRule type="cellIs" dxfId="1441" priority="9353" operator="equal">
      <formula>C58</formula>
    </cfRule>
  </conditionalFormatting>
  <conditionalFormatting sqref="M70">
    <cfRule type="cellIs" dxfId="1440" priority="9402" operator="equal">
      <formula>"A DN"</formula>
    </cfRule>
    <cfRule type="cellIs" dxfId="1439" priority="9403" operator="equal">
      <formula>"D"</formula>
    </cfRule>
    <cfRule type="cellIs" dxfId="1438" priority="9404" operator="equal">
      <formula>"C2"</formula>
    </cfRule>
    <cfRule type="cellIs" dxfId="1437" priority="9405" operator="equal">
      <formula>"C1"</formula>
    </cfRule>
    <cfRule type="cellIs" dxfId="1436" priority="9406" operator="equal">
      <formula>"C"</formula>
    </cfRule>
    <cfRule type="cellIs" dxfId="1435" priority="9407" operator="equal">
      <formula>"B2"</formula>
    </cfRule>
    <cfRule type="cellIs" dxfId="1434" priority="9408" operator="equal">
      <formula>"B1"</formula>
    </cfRule>
    <cfRule type="cellIs" dxfId="1433" priority="9409" operator="equal">
      <formula>"B"</formula>
    </cfRule>
    <cfRule type="cellIs" dxfId="1432" priority="9410" operator="equal">
      <formula>"B1"</formula>
    </cfRule>
    <cfRule type="cellIs" dxfId="1431" priority="9411" operator="greaterThan">
      <formula>B</formula>
    </cfRule>
    <cfRule type="expression" dxfId="1430" priority="9412">
      <formula>C57</formula>
    </cfRule>
    <cfRule type="cellIs" dxfId="1429" priority="9413" operator="equal">
      <formula>C57</formula>
    </cfRule>
  </conditionalFormatting>
  <conditionalFormatting sqref="M70">
    <cfRule type="cellIs" dxfId="1428" priority="9438" operator="equal">
      <formula>"A DN"</formula>
    </cfRule>
    <cfRule type="cellIs" dxfId="1427" priority="9439" operator="equal">
      <formula>"D"</formula>
    </cfRule>
    <cfRule type="cellIs" dxfId="1426" priority="9440" operator="equal">
      <formula>"C2"</formula>
    </cfRule>
    <cfRule type="cellIs" dxfId="1425" priority="9441" operator="equal">
      <formula>"C1"</formula>
    </cfRule>
    <cfRule type="cellIs" dxfId="1424" priority="9442" operator="equal">
      <formula>"C"</formula>
    </cfRule>
    <cfRule type="cellIs" dxfId="1423" priority="9443" operator="equal">
      <formula>"B2"</formula>
    </cfRule>
    <cfRule type="cellIs" dxfId="1422" priority="9444" operator="equal">
      <formula>"B1"</formula>
    </cfRule>
    <cfRule type="cellIs" dxfId="1421" priority="9445" operator="equal">
      <formula>"B"</formula>
    </cfRule>
    <cfRule type="cellIs" dxfId="1420" priority="9446" operator="equal">
      <formula>"B1"</formula>
    </cfRule>
    <cfRule type="cellIs" dxfId="1419" priority="9447" operator="greaterThan">
      <formula>B</formula>
    </cfRule>
    <cfRule type="expression" dxfId="1418" priority="9448">
      <formula>C38</formula>
    </cfRule>
    <cfRule type="cellIs" dxfId="1417" priority="9449" operator="equal">
      <formula>C38</formula>
    </cfRule>
  </conditionalFormatting>
  <conditionalFormatting sqref="M65:N69">
    <cfRule type="cellIs" dxfId="1416" priority="9494" operator="equal">
      <formula>"A DN"</formula>
    </cfRule>
    <cfRule type="cellIs" dxfId="1415" priority="9495" operator="equal">
      <formula>"D"</formula>
    </cfRule>
    <cfRule type="cellIs" dxfId="1414" priority="9496" operator="equal">
      <formula>"C2"</formula>
    </cfRule>
    <cfRule type="cellIs" dxfId="1413" priority="9497" operator="equal">
      <formula>"C1"</formula>
    </cfRule>
    <cfRule type="cellIs" dxfId="1412" priority="9498" operator="equal">
      <formula>"C"</formula>
    </cfRule>
    <cfRule type="cellIs" dxfId="1411" priority="9499" operator="equal">
      <formula>"B2"</formula>
    </cfRule>
    <cfRule type="cellIs" dxfId="1410" priority="9500" operator="equal">
      <formula>"B1"</formula>
    </cfRule>
    <cfRule type="cellIs" dxfId="1409" priority="9501" operator="equal">
      <formula>"B"</formula>
    </cfRule>
    <cfRule type="cellIs" dxfId="1408" priority="9502" operator="equal">
      <formula>"B1"</formula>
    </cfRule>
    <cfRule type="cellIs" dxfId="1407" priority="9503" operator="greaterThan">
      <formula>B</formula>
    </cfRule>
    <cfRule type="expression" dxfId="1406" priority="9504">
      <formula>#REF!</formula>
    </cfRule>
    <cfRule type="cellIs" dxfId="1405" priority="9505" operator="equal">
      <formula>#REF!</formula>
    </cfRule>
  </conditionalFormatting>
  <conditionalFormatting sqref="M55:M69">
    <cfRule type="cellIs" dxfId="1404" priority="9554" operator="equal">
      <formula>"A DN"</formula>
    </cfRule>
    <cfRule type="cellIs" dxfId="1403" priority="9555" operator="equal">
      <formula>"D"</formula>
    </cfRule>
    <cfRule type="cellIs" dxfId="1402" priority="9556" operator="equal">
      <formula>"C2"</formula>
    </cfRule>
    <cfRule type="cellIs" dxfId="1401" priority="9557" operator="equal">
      <formula>"C1"</formula>
    </cfRule>
    <cfRule type="cellIs" dxfId="1400" priority="9558" operator="equal">
      <formula>"C"</formula>
    </cfRule>
    <cfRule type="cellIs" dxfId="1399" priority="9559" operator="equal">
      <formula>"B2"</formula>
    </cfRule>
    <cfRule type="cellIs" dxfId="1398" priority="9560" operator="equal">
      <formula>"B1"</formula>
    </cfRule>
    <cfRule type="cellIs" dxfId="1397" priority="9561" operator="equal">
      <formula>"B"</formula>
    </cfRule>
    <cfRule type="cellIs" dxfId="1396" priority="9562" operator="equal">
      <formula>"B1"</formula>
    </cfRule>
    <cfRule type="cellIs" dxfId="1395" priority="9563" operator="greaterThan">
      <formula>B</formula>
    </cfRule>
    <cfRule type="expression" dxfId="1394" priority="9564">
      <formula>C29</formula>
    </cfRule>
    <cfRule type="cellIs" dxfId="1393" priority="9565" operator="equal">
      <formula>C29</formula>
    </cfRule>
  </conditionalFormatting>
  <conditionalFormatting sqref="M41:N41">
    <cfRule type="cellIs" dxfId="1392" priority="9706" operator="equal">
      <formula>"A DN"</formula>
    </cfRule>
    <cfRule type="cellIs" dxfId="1391" priority="9707" operator="equal">
      <formula>"D"</formula>
    </cfRule>
    <cfRule type="cellIs" dxfId="1390" priority="9708" operator="equal">
      <formula>"C2"</formula>
    </cfRule>
    <cfRule type="cellIs" dxfId="1389" priority="9709" operator="equal">
      <formula>"C1"</formula>
    </cfRule>
    <cfRule type="cellIs" dxfId="1388" priority="9710" operator="equal">
      <formula>"C"</formula>
    </cfRule>
    <cfRule type="cellIs" dxfId="1387" priority="9711" operator="equal">
      <formula>"B2"</formula>
    </cfRule>
    <cfRule type="cellIs" dxfId="1386" priority="9712" operator="equal">
      <formula>"B1"</formula>
    </cfRule>
    <cfRule type="cellIs" dxfId="1385" priority="9713" operator="equal">
      <formula>"B"</formula>
    </cfRule>
    <cfRule type="cellIs" dxfId="1384" priority="9714" operator="equal">
      <formula>"B1"</formula>
    </cfRule>
    <cfRule type="cellIs" dxfId="1383" priority="9715" operator="greaterThan">
      <formula>B</formula>
    </cfRule>
    <cfRule type="expression" dxfId="1382" priority="9716">
      <formula>#REF!</formula>
    </cfRule>
    <cfRule type="cellIs" dxfId="1381" priority="9717" operator="equal">
      <formula>#REF!</formula>
    </cfRule>
  </conditionalFormatting>
  <pageMargins left="0.27559055118110198" right="0.15748031496063" top="0.33" bottom="0.28000000000000003" header="0.118110236220472" footer="0.16"/>
  <pageSetup paperSize="9" scale="83"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42" operator="containsText" id="{2E4ECE99-D88C-4928-B16F-D2A36C65A6C4}">
            <xm:f>NOT(ISERROR(SEARCH(B,M3)))</xm:f>
            <xm:f>B</xm:f>
            <x14:dxf>
              <fill>
                <patternFill>
                  <bgColor theme="9" tint="0.59996337778862885"/>
                </patternFill>
              </fill>
            </x14:dxf>
          </x14:cfRule>
          <xm:sqref>M10 M3:N7 M9:N9 M80:N85 M87:N1048576 M11:N77</xm:sqref>
        </x14:conditionalFormatting>
      </x14:conditionalFormatting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X30"/>
  <sheetViews>
    <sheetView topLeftCell="A4"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143" hidden="1" customWidth="1"/>
    <col min="9" max="9" width="9" style="1143" customWidth="1"/>
    <col min="10" max="10" width="6.140625" style="12" customWidth="1"/>
    <col min="11" max="11" width="5.140625" style="12" hidden="1" customWidth="1"/>
    <col min="12" max="12" width="8.5703125" style="1142" customWidth="1"/>
    <col min="13" max="13" width="9.140625" style="6" customWidth="1"/>
    <col min="14" max="14" width="11.140625" style="6" customWidth="1"/>
    <col min="15" max="15" width="7.42578125" style="6" customWidth="1"/>
    <col min="16" max="16" width="4.5703125" style="1143"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144" customWidth="1"/>
    <col min="23" max="23" width="13" style="6" bestFit="1" customWidth="1"/>
    <col min="24" max="24" width="18.42578125" style="6" customWidth="1"/>
    <col min="25" max="25" width="14" style="6" customWidth="1"/>
    <col min="26" max="16384" width="9.140625" style="6"/>
  </cols>
  <sheetData>
    <row r="1" spans="1:24">
      <c r="A1" s="1646" t="s">
        <v>2307</v>
      </c>
      <c r="B1" s="1646"/>
      <c r="C1" s="1646"/>
      <c r="D1" s="1646"/>
      <c r="E1" s="1646"/>
      <c r="F1" s="1646"/>
      <c r="G1" s="1646"/>
      <c r="H1" s="1646"/>
      <c r="I1" s="1646"/>
      <c r="N1" s="1547" t="s">
        <v>2308</v>
      </c>
      <c r="O1" s="1547"/>
      <c r="P1" s="1547"/>
      <c r="Q1" s="1547"/>
      <c r="R1" s="1547"/>
      <c r="S1" s="1547"/>
      <c r="T1" s="1547"/>
      <c r="U1" s="1547"/>
      <c r="V1" s="1547"/>
    </row>
    <row r="2" spans="1:24">
      <c r="A2" s="1626" t="s">
        <v>2309</v>
      </c>
      <c r="B2" s="1626"/>
      <c r="C2" s="1626"/>
      <c r="D2" s="1626"/>
      <c r="E2" s="1626"/>
      <c r="F2" s="1626"/>
      <c r="G2" s="1626"/>
      <c r="H2" s="1626"/>
      <c r="I2" s="1626"/>
      <c r="N2" s="1547" t="s">
        <v>851</v>
      </c>
      <c r="O2" s="1547"/>
      <c r="P2" s="1547"/>
      <c r="Q2" s="1547"/>
      <c r="R2" s="1547"/>
      <c r="S2" s="1547"/>
      <c r="T2" s="1547"/>
      <c r="U2" s="1547"/>
      <c r="V2" s="1547"/>
    </row>
    <row r="4" spans="1:24" s="1145" customFormat="1" ht="20.25">
      <c r="A4" s="1647" t="s">
        <v>2310</v>
      </c>
      <c r="B4" s="1647"/>
      <c r="C4" s="1647"/>
      <c r="D4" s="1647"/>
      <c r="E4" s="1647"/>
      <c r="F4" s="1647"/>
      <c r="G4" s="1647"/>
      <c r="H4" s="1647"/>
      <c r="I4" s="1647"/>
      <c r="J4" s="1647"/>
      <c r="K4" s="1647"/>
      <c r="L4" s="1647"/>
      <c r="M4" s="1647"/>
      <c r="N4" s="1647"/>
      <c r="O4" s="1647"/>
      <c r="P4" s="1647"/>
      <c r="Q4" s="1647"/>
      <c r="R4" s="1647"/>
      <c r="S4" s="1647"/>
      <c r="T4" s="1647"/>
      <c r="U4" s="1647"/>
      <c r="V4" s="1647"/>
    </row>
    <row r="6" spans="1:24" s="659" customFormat="1" ht="12.75">
      <c r="A6" s="1649" t="s">
        <v>2311</v>
      </c>
      <c r="B6" s="1615" t="s">
        <v>2312</v>
      </c>
      <c r="C6" s="1146"/>
      <c r="D6" s="1615" t="s">
        <v>2313</v>
      </c>
      <c r="E6" s="1649" t="s">
        <v>854</v>
      </c>
      <c r="F6" s="1648" t="s">
        <v>2314</v>
      </c>
      <c r="G6" s="1648"/>
      <c r="H6" s="1648"/>
      <c r="I6" s="1648"/>
      <c r="J6" s="1648"/>
      <c r="K6" s="1648"/>
      <c r="L6" s="1648"/>
      <c r="M6" s="1648"/>
      <c r="N6" s="1648" t="s">
        <v>2315</v>
      </c>
      <c r="O6" s="1648"/>
      <c r="P6" s="1648"/>
      <c r="Q6" s="1648"/>
      <c r="R6" s="1648"/>
      <c r="S6" s="1648"/>
      <c r="T6" s="1648"/>
      <c r="U6" s="1648"/>
      <c r="V6" s="1649" t="s">
        <v>2316</v>
      </c>
    </row>
    <row r="7" spans="1:24" s="659" customFormat="1" ht="24">
      <c r="A7" s="1649"/>
      <c r="B7" s="1615"/>
      <c r="C7" s="1146"/>
      <c r="D7" s="1615"/>
      <c r="E7" s="1649"/>
      <c r="F7" s="1147" t="s">
        <v>2317</v>
      </c>
      <c r="G7" s="1147" t="s">
        <v>2318</v>
      </c>
      <c r="H7" s="1148"/>
      <c r="I7" s="1149" t="s">
        <v>2319</v>
      </c>
      <c r="J7" s="1147" t="s">
        <v>2320</v>
      </c>
      <c r="K7" s="1150"/>
      <c r="L7" s="1151" t="s">
        <v>2321</v>
      </c>
      <c r="M7" s="1147" t="s">
        <v>2322</v>
      </c>
      <c r="N7" s="1147" t="s">
        <v>2317</v>
      </c>
      <c r="O7" s="1147" t="s">
        <v>2318</v>
      </c>
      <c r="P7" s="1148"/>
      <c r="Q7" s="1149" t="s">
        <v>2323</v>
      </c>
      <c r="R7" s="1147" t="s">
        <v>2320</v>
      </c>
      <c r="S7" s="1150"/>
      <c r="T7" s="1147" t="s">
        <v>2321</v>
      </c>
      <c r="U7" s="1147" t="s">
        <v>2322</v>
      </c>
      <c r="V7" s="1649"/>
    </row>
    <row r="8" spans="1:24" s="659" customFormat="1" ht="12.75">
      <c r="A8" s="1152" t="s">
        <v>1110</v>
      </c>
      <c r="B8" s="1152" t="s">
        <v>1111</v>
      </c>
      <c r="C8" s="1153" t="s">
        <v>2324</v>
      </c>
      <c r="D8" s="1152" t="s">
        <v>1112</v>
      </c>
      <c r="E8" s="1152" t="s">
        <v>1113</v>
      </c>
      <c r="F8" s="1152" t="s">
        <v>1114</v>
      </c>
      <c r="G8" s="1152" t="s">
        <v>1115</v>
      </c>
      <c r="H8" s="1154" t="s">
        <v>2324</v>
      </c>
      <c r="I8" s="1155" t="s">
        <v>1116</v>
      </c>
      <c r="J8" s="1156" t="s">
        <v>1117</v>
      </c>
      <c r="K8" s="1153" t="s">
        <v>2324</v>
      </c>
      <c r="L8" s="1157" t="s">
        <v>1118</v>
      </c>
      <c r="M8" s="1157" t="s">
        <v>1119</v>
      </c>
      <c r="N8" s="1157" t="s">
        <v>1120</v>
      </c>
      <c r="O8" s="1157" t="s">
        <v>1121</v>
      </c>
      <c r="P8" s="1154" t="s">
        <v>2324</v>
      </c>
      <c r="Q8" s="1155" t="s">
        <v>1122</v>
      </c>
      <c r="R8" s="1156" t="s">
        <v>1123</v>
      </c>
      <c r="S8" s="1153" t="s">
        <v>2324</v>
      </c>
      <c r="T8" s="1156" t="s">
        <v>1124</v>
      </c>
      <c r="U8" s="1156" t="s">
        <v>1125</v>
      </c>
      <c r="V8" s="1156" t="s">
        <v>1126</v>
      </c>
    </row>
    <row r="9" spans="1:24" s="1165" customFormat="1" ht="47.25">
      <c r="A9" s="1158" t="s">
        <v>1110</v>
      </c>
      <c r="B9" s="657">
        <v>12</v>
      </c>
      <c r="C9" s="657"/>
      <c r="D9" s="657"/>
      <c r="E9" s="967" t="s">
        <v>1854</v>
      </c>
      <c r="F9" s="1159" t="s">
        <v>2325</v>
      </c>
      <c r="G9" s="373">
        <v>4.9800000000000004</v>
      </c>
      <c r="H9" s="1160">
        <v>7.0000000000000007E-2</v>
      </c>
      <c r="I9" s="1161">
        <f>G9*H9</f>
        <v>0.34860000000000008</v>
      </c>
      <c r="J9" s="657">
        <v>0.45</v>
      </c>
      <c r="K9" s="1162"/>
      <c r="L9" s="1163"/>
      <c r="M9" s="366"/>
      <c r="N9" s="1159" t="s">
        <v>2325</v>
      </c>
      <c r="O9" s="373">
        <v>4.9800000000000004</v>
      </c>
      <c r="P9" s="1160">
        <v>7.0000000000000007E-2</v>
      </c>
      <c r="Q9" s="485">
        <f>P9*O9</f>
        <v>0.34860000000000008</v>
      </c>
      <c r="R9" s="657"/>
      <c r="S9" s="1162"/>
      <c r="T9" s="1163"/>
      <c r="U9" s="366"/>
      <c r="V9" s="1164" t="s">
        <v>2326</v>
      </c>
    </row>
    <row r="10" spans="1:24" s="1165" customFormat="1" ht="63">
      <c r="A10" s="1158" t="s">
        <v>1111</v>
      </c>
      <c r="B10" s="657">
        <v>66</v>
      </c>
      <c r="C10" s="657"/>
      <c r="D10" s="657"/>
      <c r="E10" s="967" t="s">
        <v>2018</v>
      </c>
      <c r="F10" s="1159" t="s">
        <v>2327</v>
      </c>
      <c r="G10" s="373">
        <v>1.9890000000000001</v>
      </c>
      <c r="H10" s="1160"/>
      <c r="I10" s="1161">
        <f t="shared" ref="I10:I18" si="0">G10*H10</f>
        <v>0</v>
      </c>
      <c r="J10" s="657"/>
      <c r="K10" s="1162"/>
      <c r="L10" s="1163">
        <f t="shared" ref="L10" si="1">(G10+I10+J10)*K10</f>
        <v>0</v>
      </c>
      <c r="M10" s="366" t="s">
        <v>2328</v>
      </c>
      <c r="N10" s="1159" t="s">
        <v>2327</v>
      </c>
      <c r="O10" s="373"/>
      <c r="P10" s="1160"/>
      <c r="Q10" s="485">
        <f>P10*O10</f>
        <v>0</v>
      </c>
      <c r="R10" s="657"/>
      <c r="S10" s="1162"/>
      <c r="T10" s="1163"/>
      <c r="U10" s="366"/>
      <c r="V10" s="1164" t="s">
        <v>2329</v>
      </c>
    </row>
    <row r="11" spans="1:24" s="1165" customFormat="1" ht="94.5">
      <c r="A11" s="1158" t="s">
        <v>1112</v>
      </c>
      <c r="B11" s="657">
        <v>140</v>
      </c>
      <c r="C11" s="657"/>
      <c r="D11" s="657"/>
      <c r="E11" s="967" t="s">
        <v>1947</v>
      </c>
      <c r="F11" s="1159" t="s">
        <v>2327</v>
      </c>
      <c r="G11" s="373">
        <v>2.34</v>
      </c>
      <c r="H11" s="1160"/>
      <c r="I11" s="1161">
        <f t="shared" si="0"/>
        <v>0</v>
      </c>
      <c r="J11" s="657"/>
      <c r="K11" s="1162"/>
      <c r="L11" s="1163"/>
      <c r="M11" s="366"/>
      <c r="N11" s="1159" t="s">
        <v>2327</v>
      </c>
      <c r="O11" s="373" t="s">
        <v>2330</v>
      </c>
      <c r="P11" s="1160"/>
      <c r="Q11" s="485"/>
      <c r="R11" s="657"/>
      <c r="S11" s="1162"/>
      <c r="T11" s="1163"/>
      <c r="U11" s="366"/>
      <c r="V11" s="1164" t="s">
        <v>2331</v>
      </c>
      <c r="X11" s="1165" t="s">
        <v>2332</v>
      </c>
    </row>
    <row r="12" spans="1:24" s="1165" customFormat="1" ht="31.5">
      <c r="A12" s="1158" t="s">
        <v>1113</v>
      </c>
      <c r="B12" s="657">
        <v>145</v>
      </c>
      <c r="C12" s="657"/>
      <c r="D12" s="657"/>
      <c r="E12" s="967" t="s">
        <v>1482</v>
      </c>
      <c r="F12" s="1159" t="s">
        <v>2327</v>
      </c>
      <c r="G12" s="373">
        <v>3.33</v>
      </c>
      <c r="H12" s="1160"/>
      <c r="I12" s="1161">
        <f t="shared" si="0"/>
        <v>0</v>
      </c>
      <c r="J12" s="657"/>
      <c r="K12" s="1162">
        <v>0.08</v>
      </c>
      <c r="L12" s="1163">
        <f t="shared" ref="L12:L18" si="2">(G12+I12+J12)*K12</f>
        <v>0.26640000000000003</v>
      </c>
      <c r="M12" s="366" t="s">
        <v>2328</v>
      </c>
      <c r="N12" s="1159" t="s">
        <v>2325</v>
      </c>
      <c r="O12" s="373">
        <v>3.33</v>
      </c>
      <c r="P12" s="1160"/>
      <c r="Q12" s="485">
        <f t="shared" ref="Q12:Q13" si="3">P12*O12</f>
        <v>0</v>
      </c>
      <c r="R12" s="657"/>
      <c r="S12" s="1162">
        <v>0.09</v>
      </c>
      <c r="T12" s="1163">
        <f t="shared" ref="T12:T18" si="4">(O12+Q12+R12)*S12</f>
        <v>0.29970000000000002</v>
      </c>
      <c r="U12" s="366" t="s">
        <v>2328</v>
      </c>
      <c r="V12" s="1164" t="s">
        <v>2333</v>
      </c>
    </row>
    <row r="13" spans="1:24" s="1165" customFormat="1" ht="31.5">
      <c r="A13" s="1158" t="s">
        <v>1114</v>
      </c>
      <c r="B13" s="657">
        <v>171</v>
      </c>
      <c r="C13" s="657"/>
      <c r="D13" s="657"/>
      <c r="E13" s="967" t="s">
        <v>2006</v>
      </c>
      <c r="F13" s="1159" t="s">
        <v>2327</v>
      </c>
      <c r="G13" s="373">
        <v>1.9890000000000001</v>
      </c>
      <c r="H13" s="1160"/>
      <c r="I13" s="1161">
        <f t="shared" si="0"/>
        <v>0</v>
      </c>
      <c r="J13" s="657"/>
      <c r="K13" s="1162"/>
      <c r="L13" s="1163">
        <f t="shared" si="2"/>
        <v>0</v>
      </c>
      <c r="M13" s="366" t="s">
        <v>2328</v>
      </c>
      <c r="N13" s="1159" t="s">
        <v>2327</v>
      </c>
      <c r="O13" s="373">
        <v>2.34</v>
      </c>
      <c r="P13" s="1160"/>
      <c r="Q13" s="485">
        <f t="shared" si="3"/>
        <v>0</v>
      </c>
      <c r="R13" s="657"/>
      <c r="S13" s="1162"/>
      <c r="T13" s="1163">
        <f t="shared" si="4"/>
        <v>0</v>
      </c>
      <c r="U13" s="366" t="s">
        <v>2328</v>
      </c>
      <c r="V13" s="1164" t="s">
        <v>2334</v>
      </c>
    </row>
    <row r="14" spans="1:24" s="1165" customFormat="1" ht="31.5">
      <c r="A14" s="1158" t="s">
        <v>1115</v>
      </c>
      <c r="B14" s="657">
        <v>181</v>
      </c>
      <c r="C14" s="657"/>
      <c r="D14" s="657"/>
      <c r="E14" s="967" t="s">
        <v>1880</v>
      </c>
      <c r="F14" s="1159" t="s">
        <v>2327</v>
      </c>
      <c r="G14" s="373"/>
      <c r="H14" s="1160"/>
      <c r="I14" s="1161">
        <f t="shared" si="0"/>
        <v>0</v>
      </c>
      <c r="J14" s="657"/>
      <c r="K14" s="1162"/>
      <c r="L14" s="1163">
        <f t="shared" si="2"/>
        <v>0</v>
      </c>
      <c r="M14" s="366" t="s">
        <v>2335</v>
      </c>
      <c r="N14" s="1159" t="s">
        <v>2327</v>
      </c>
      <c r="O14" s="373">
        <v>3.66</v>
      </c>
      <c r="P14" s="1160"/>
      <c r="Q14" s="485">
        <f>P14*O14</f>
        <v>0</v>
      </c>
      <c r="R14" s="657">
        <v>0</v>
      </c>
      <c r="S14" s="1162">
        <v>0.13</v>
      </c>
      <c r="T14" s="1163">
        <f t="shared" si="4"/>
        <v>0.47580000000000006</v>
      </c>
      <c r="U14" s="366" t="s">
        <v>2335</v>
      </c>
      <c r="V14" s="1164" t="s">
        <v>2336</v>
      </c>
    </row>
    <row r="15" spans="1:24" s="1165" customFormat="1" ht="31.5">
      <c r="A15" s="1158" t="s">
        <v>1116</v>
      </c>
      <c r="B15" s="1166">
        <v>204</v>
      </c>
      <c r="C15" s="1166"/>
      <c r="D15" s="1166"/>
      <c r="E15" s="1167" t="s">
        <v>2011</v>
      </c>
      <c r="F15" s="1159" t="s">
        <v>2327</v>
      </c>
      <c r="G15" s="785">
        <v>2.2690000000000001</v>
      </c>
      <c r="H15" s="1168"/>
      <c r="I15" s="1161">
        <f t="shared" si="0"/>
        <v>0</v>
      </c>
      <c r="J15" s="1166"/>
      <c r="K15" s="1169"/>
      <c r="L15" s="1163">
        <f t="shared" si="2"/>
        <v>0</v>
      </c>
      <c r="M15" s="366" t="s">
        <v>2328</v>
      </c>
      <c r="N15" s="1159" t="s">
        <v>2327</v>
      </c>
      <c r="O15" s="785">
        <v>2.67</v>
      </c>
      <c r="P15" s="1168"/>
      <c r="Q15" s="1170"/>
      <c r="R15" s="1166"/>
      <c r="S15" s="1169"/>
      <c r="T15" s="1163">
        <f t="shared" si="4"/>
        <v>0</v>
      </c>
      <c r="U15" s="366" t="s">
        <v>2328</v>
      </c>
      <c r="V15" s="1171" t="s">
        <v>2334</v>
      </c>
    </row>
    <row r="16" spans="1:24" s="1165" customFormat="1" ht="31.5">
      <c r="A16" s="1158" t="s">
        <v>1117</v>
      </c>
      <c r="B16" s="657">
        <v>224</v>
      </c>
      <c r="C16" s="657"/>
      <c r="D16" s="657"/>
      <c r="E16" s="967" t="s">
        <v>2000</v>
      </c>
      <c r="F16" s="1159" t="s">
        <v>2327</v>
      </c>
      <c r="G16" s="373">
        <v>2.67</v>
      </c>
      <c r="H16" s="1160"/>
      <c r="I16" s="1161">
        <f t="shared" si="0"/>
        <v>0</v>
      </c>
      <c r="J16" s="657"/>
      <c r="K16" s="1162">
        <v>0.08</v>
      </c>
      <c r="L16" s="1163">
        <f t="shared" si="2"/>
        <v>0.21360000000000001</v>
      </c>
      <c r="M16" s="366" t="s">
        <v>2328</v>
      </c>
      <c r="N16" s="1159" t="s">
        <v>2327</v>
      </c>
      <c r="O16" s="373">
        <v>2.67</v>
      </c>
      <c r="P16" s="1160"/>
      <c r="Q16" s="485"/>
      <c r="R16" s="657"/>
      <c r="S16" s="1162">
        <v>0.09</v>
      </c>
      <c r="T16" s="1163">
        <f t="shared" si="4"/>
        <v>0.24029999999999999</v>
      </c>
      <c r="U16" s="366" t="s">
        <v>2328</v>
      </c>
      <c r="V16" s="1164" t="s">
        <v>2333</v>
      </c>
    </row>
    <row r="17" spans="1:24" s="1165" customFormat="1" ht="31.5">
      <c r="A17" s="1158" t="s">
        <v>1118</v>
      </c>
      <c r="B17" s="657">
        <v>256</v>
      </c>
      <c r="C17" s="657"/>
      <c r="D17" s="657"/>
      <c r="E17" s="967" t="s">
        <v>1945</v>
      </c>
      <c r="F17" s="1159" t="s">
        <v>2327</v>
      </c>
      <c r="G17" s="373">
        <v>3.66</v>
      </c>
      <c r="H17" s="1160"/>
      <c r="I17" s="1161">
        <f t="shared" si="0"/>
        <v>0</v>
      </c>
      <c r="J17" s="657"/>
      <c r="K17" s="1162">
        <v>0.12</v>
      </c>
      <c r="L17" s="1163">
        <f t="shared" si="2"/>
        <v>0.43919999999999998</v>
      </c>
      <c r="M17" s="366" t="s">
        <v>2328</v>
      </c>
      <c r="N17" s="1159" t="s">
        <v>2327</v>
      </c>
      <c r="O17" s="373">
        <v>3.66</v>
      </c>
      <c r="P17" s="1160"/>
      <c r="Q17" s="485"/>
      <c r="R17" s="657"/>
      <c r="S17" s="1162">
        <v>0.12</v>
      </c>
      <c r="T17" s="1163">
        <f t="shared" si="4"/>
        <v>0.43919999999999998</v>
      </c>
      <c r="U17" s="366" t="s">
        <v>2328</v>
      </c>
      <c r="V17" s="1164" t="s">
        <v>2333</v>
      </c>
    </row>
    <row r="18" spans="1:24" s="1165" customFormat="1" ht="31.5">
      <c r="A18" s="1172" t="s">
        <v>1119</v>
      </c>
      <c r="B18" s="1173">
        <v>260</v>
      </c>
      <c r="C18" s="1173"/>
      <c r="D18" s="1173"/>
      <c r="E18" s="1174" t="s">
        <v>2010</v>
      </c>
      <c r="F18" s="1175" t="s">
        <v>2327</v>
      </c>
      <c r="G18" s="863">
        <v>1.9890000000000001</v>
      </c>
      <c r="H18" s="1176"/>
      <c r="I18" s="1177">
        <f t="shared" si="0"/>
        <v>0</v>
      </c>
      <c r="J18" s="1173"/>
      <c r="K18" s="1178"/>
      <c r="L18" s="1179">
        <f t="shared" si="2"/>
        <v>0</v>
      </c>
      <c r="M18" s="869" t="s">
        <v>2328</v>
      </c>
      <c r="N18" s="1175" t="s">
        <v>2327</v>
      </c>
      <c r="O18" s="863">
        <v>2.34</v>
      </c>
      <c r="P18" s="1176"/>
      <c r="Q18" s="1180"/>
      <c r="R18" s="1173"/>
      <c r="S18" s="1178"/>
      <c r="T18" s="1179">
        <f t="shared" si="4"/>
        <v>0</v>
      </c>
      <c r="U18" s="869" t="s">
        <v>2328</v>
      </c>
      <c r="V18" s="1181" t="s">
        <v>2334</v>
      </c>
    </row>
    <row r="19" spans="1:24" s="1165" customFormat="1">
      <c r="A19" s="1182"/>
      <c r="B19" s="1182"/>
      <c r="C19" s="1182"/>
      <c r="E19" s="1183"/>
      <c r="F19" s="1184"/>
      <c r="G19" s="1185"/>
      <c r="H19" s="1186"/>
      <c r="I19" s="1187"/>
      <c r="J19" s="1182"/>
      <c r="K19" s="1188"/>
      <c r="L19" s="1189"/>
      <c r="N19" s="1184"/>
      <c r="O19" s="1185"/>
      <c r="P19" s="1186"/>
      <c r="Q19" s="1190"/>
      <c r="R19" s="1182"/>
      <c r="S19" s="1188"/>
      <c r="T19" s="1189"/>
      <c r="V19" s="1191"/>
    </row>
    <row r="20" spans="1:24" s="1165" customFormat="1" hidden="1">
      <c r="A20" s="1182"/>
      <c r="B20" s="1182"/>
      <c r="C20" s="1182"/>
      <c r="E20" s="1650" t="s">
        <v>2337</v>
      </c>
      <c r="F20" s="1650"/>
      <c r="G20" s="1650"/>
      <c r="H20" s="1650"/>
      <c r="I20" s="1650"/>
      <c r="J20" s="1650"/>
      <c r="K20" s="1650"/>
      <c r="L20" s="1650"/>
      <c r="M20" s="1650"/>
      <c r="N20" s="1650"/>
      <c r="O20" s="1650"/>
      <c r="P20" s="1650"/>
      <c r="Q20" s="1650"/>
      <c r="R20" s="1650"/>
      <c r="S20" s="1650"/>
      <c r="T20" s="1650"/>
      <c r="V20" s="1191"/>
    </row>
    <row r="21" spans="1:24" s="1194" customFormat="1" ht="15.75" customHeight="1">
      <c r="A21" s="1192"/>
      <c r="B21" s="1193"/>
      <c r="C21" s="1193"/>
      <c r="D21" s="1194" t="s">
        <v>2338</v>
      </c>
      <c r="F21" s="1184"/>
      <c r="G21" s="1195"/>
      <c r="H21" s="1196"/>
      <c r="I21" s="1197"/>
      <c r="J21" s="1182"/>
      <c r="K21" s="1182"/>
      <c r="L21" s="1198"/>
      <c r="M21" s="1165"/>
      <c r="N21" s="1199"/>
      <c r="O21" s="1200"/>
      <c r="P21" s="1201"/>
      <c r="Q21" s="1200"/>
      <c r="V21" s="1202" t="s">
        <v>2339</v>
      </c>
    </row>
    <row r="22" spans="1:24" s="87" customFormat="1">
      <c r="A22" s="1547" t="s">
        <v>2340</v>
      </c>
      <c r="B22" s="1547"/>
      <c r="C22" s="1547"/>
      <c r="D22" s="1547"/>
      <c r="E22" s="1547"/>
      <c r="F22" s="1547"/>
      <c r="G22" s="1547" t="s">
        <v>1191</v>
      </c>
      <c r="H22" s="1547"/>
      <c r="I22" s="1547"/>
      <c r="J22" s="1547"/>
      <c r="K22" s="1547"/>
      <c r="L22" s="1547"/>
      <c r="M22" s="1547"/>
      <c r="N22" s="1547"/>
      <c r="O22" s="1547"/>
      <c r="P22" s="1547"/>
      <c r="Q22" s="1547"/>
      <c r="R22" s="1547"/>
      <c r="S22" s="5"/>
      <c r="T22" s="5"/>
      <c r="U22" s="1547" t="s">
        <v>2341</v>
      </c>
      <c r="V22" s="1547"/>
    </row>
    <row r="23" spans="1:24">
      <c r="U23" s="1547"/>
      <c r="V23" s="1547"/>
      <c r="X23" s="87"/>
    </row>
    <row r="26" spans="1:24" hidden="1"/>
    <row r="30" spans="1:24" s="87" customFormat="1">
      <c r="A30" s="1547" t="s">
        <v>1827</v>
      </c>
      <c r="B30" s="1547"/>
      <c r="C30" s="1547"/>
      <c r="D30" s="1547"/>
      <c r="E30" s="1547"/>
      <c r="F30" s="1547"/>
      <c r="G30" s="1547" t="s">
        <v>1445</v>
      </c>
      <c r="H30" s="1547"/>
      <c r="I30" s="1547"/>
      <c r="J30" s="1547"/>
      <c r="K30" s="1547"/>
      <c r="L30" s="1547"/>
      <c r="M30" s="1547"/>
      <c r="N30" s="1547"/>
      <c r="O30" s="1547"/>
      <c r="P30" s="1547"/>
      <c r="Q30" s="1547"/>
      <c r="R30" s="1547"/>
      <c r="U30" s="1547" t="s">
        <v>1433</v>
      </c>
      <c r="V30" s="1547"/>
    </row>
  </sheetData>
  <mergeCells count="20">
    <mergeCell ref="U23:V23"/>
    <mergeCell ref="A30:F30"/>
    <mergeCell ref="G30:R30"/>
    <mergeCell ref="U30:V30"/>
    <mergeCell ref="N6:U6"/>
    <mergeCell ref="V6:V7"/>
    <mergeCell ref="E20:T20"/>
    <mergeCell ref="A22:F22"/>
    <mergeCell ref="G22:R22"/>
    <mergeCell ref="U22:V22"/>
    <mergeCell ref="A6:A7"/>
    <mergeCell ref="B6:B7"/>
    <mergeCell ref="D6:D7"/>
    <mergeCell ref="E6:E7"/>
    <mergeCell ref="F6:M6"/>
    <mergeCell ref="A1:I1"/>
    <mergeCell ref="N1:V1"/>
    <mergeCell ref="A2:I2"/>
    <mergeCell ref="N2:V2"/>
    <mergeCell ref="A4:V4"/>
  </mergeCell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X28"/>
  <sheetViews>
    <sheetView topLeftCell="A7"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143" hidden="1" customWidth="1"/>
    <col min="9" max="9" width="9" style="1143" customWidth="1"/>
    <col min="10" max="10" width="6.140625" style="12" customWidth="1"/>
    <col min="11" max="11" width="5.140625" style="12" hidden="1" customWidth="1"/>
    <col min="12" max="12" width="8.5703125" style="1142" customWidth="1"/>
    <col min="13" max="13" width="9.140625" style="6" customWidth="1"/>
    <col min="14" max="14" width="11.140625" style="6" customWidth="1"/>
    <col min="15" max="15" width="7.42578125" style="6" customWidth="1"/>
    <col min="16" max="16" width="4.5703125" style="1143"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144" customWidth="1"/>
    <col min="23" max="23" width="13" style="6" bestFit="1" customWidth="1"/>
    <col min="24" max="24" width="18.42578125" style="6" customWidth="1"/>
    <col min="25" max="25" width="14" style="6" customWidth="1"/>
    <col min="26" max="16384" width="9.140625" style="6"/>
  </cols>
  <sheetData>
    <row r="1" spans="1:24">
      <c r="A1" s="1646" t="s">
        <v>2307</v>
      </c>
      <c r="B1" s="1646"/>
      <c r="C1" s="1646"/>
      <c r="D1" s="1646"/>
      <c r="E1" s="1646"/>
      <c r="F1" s="1646"/>
      <c r="G1" s="1646"/>
      <c r="H1" s="1646"/>
      <c r="I1" s="1646"/>
      <c r="N1" s="1547" t="s">
        <v>2308</v>
      </c>
      <c r="O1" s="1547"/>
      <c r="P1" s="1547"/>
      <c r="Q1" s="1547"/>
      <c r="R1" s="1547"/>
      <c r="S1" s="1547"/>
      <c r="T1" s="1547"/>
      <c r="U1" s="1547"/>
      <c r="V1" s="1547"/>
    </row>
    <row r="2" spans="1:24">
      <c r="A2" s="1626" t="s">
        <v>2309</v>
      </c>
      <c r="B2" s="1626"/>
      <c r="C2" s="1626"/>
      <c r="D2" s="1626"/>
      <c r="E2" s="1626"/>
      <c r="F2" s="1626"/>
      <c r="G2" s="1626"/>
      <c r="H2" s="1626"/>
      <c r="I2" s="1626"/>
      <c r="N2" s="1547" t="s">
        <v>851</v>
      </c>
      <c r="O2" s="1547"/>
      <c r="P2" s="1547"/>
      <c r="Q2" s="1547"/>
      <c r="R2" s="1547"/>
      <c r="S2" s="1547"/>
      <c r="T2" s="1547"/>
      <c r="U2" s="1547"/>
      <c r="V2" s="1547"/>
    </row>
    <row r="4" spans="1:24" s="1145" customFormat="1" ht="20.25">
      <c r="A4" s="1647" t="s">
        <v>2342</v>
      </c>
      <c r="B4" s="1647"/>
      <c r="C4" s="1647"/>
      <c r="D4" s="1647"/>
      <c r="E4" s="1647"/>
      <c r="F4" s="1647"/>
      <c r="G4" s="1647"/>
      <c r="H4" s="1647"/>
      <c r="I4" s="1647"/>
      <c r="J4" s="1647"/>
      <c r="K4" s="1647"/>
      <c r="L4" s="1647"/>
      <c r="M4" s="1647"/>
      <c r="N4" s="1647"/>
      <c r="O4" s="1647"/>
      <c r="P4" s="1647"/>
      <c r="Q4" s="1647"/>
      <c r="R4" s="1647"/>
      <c r="S4" s="1647"/>
      <c r="T4" s="1647"/>
      <c r="U4" s="1647"/>
      <c r="V4" s="1647"/>
    </row>
    <row r="6" spans="1:24" s="659" customFormat="1" ht="12.75">
      <c r="A6" s="1649" t="s">
        <v>2311</v>
      </c>
      <c r="B6" s="1615" t="s">
        <v>2312</v>
      </c>
      <c r="C6" s="1146"/>
      <c r="D6" s="1615" t="s">
        <v>2313</v>
      </c>
      <c r="E6" s="1649" t="s">
        <v>854</v>
      </c>
      <c r="F6" s="1648" t="s">
        <v>2315</v>
      </c>
      <c r="G6" s="1648"/>
      <c r="H6" s="1648"/>
      <c r="I6" s="1648"/>
      <c r="J6" s="1648"/>
      <c r="K6" s="1648"/>
      <c r="L6" s="1648"/>
      <c r="M6" s="1648"/>
      <c r="N6" s="1648" t="s">
        <v>2343</v>
      </c>
      <c r="O6" s="1648"/>
      <c r="P6" s="1648"/>
      <c r="Q6" s="1648"/>
      <c r="R6" s="1648"/>
      <c r="S6" s="1648"/>
      <c r="T6" s="1648"/>
      <c r="U6" s="1648"/>
      <c r="V6" s="1649" t="s">
        <v>2316</v>
      </c>
    </row>
    <row r="7" spans="1:24" s="659" customFormat="1" ht="24">
      <c r="A7" s="1649"/>
      <c r="B7" s="1615"/>
      <c r="C7" s="1146"/>
      <c r="D7" s="1615"/>
      <c r="E7" s="1649"/>
      <c r="F7" s="1147" t="s">
        <v>2317</v>
      </c>
      <c r="G7" s="1147" t="s">
        <v>2318</v>
      </c>
      <c r="H7" s="1148"/>
      <c r="I7" s="1149" t="s">
        <v>2319</v>
      </c>
      <c r="J7" s="1147" t="s">
        <v>2320</v>
      </c>
      <c r="K7" s="1150"/>
      <c r="L7" s="1151" t="s">
        <v>2321</v>
      </c>
      <c r="M7" s="1147" t="s">
        <v>2322</v>
      </c>
      <c r="N7" s="1147" t="s">
        <v>2317</v>
      </c>
      <c r="O7" s="1147" t="s">
        <v>2318</v>
      </c>
      <c r="P7" s="1148"/>
      <c r="Q7" s="1149" t="s">
        <v>2323</v>
      </c>
      <c r="R7" s="1147" t="s">
        <v>2320</v>
      </c>
      <c r="S7" s="1150"/>
      <c r="T7" s="1147" t="s">
        <v>2321</v>
      </c>
      <c r="U7" s="1147" t="s">
        <v>2322</v>
      </c>
      <c r="V7" s="1649"/>
    </row>
    <row r="8" spans="1:24" s="659" customFormat="1" ht="12.75">
      <c r="A8" s="1152" t="s">
        <v>1110</v>
      </c>
      <c r="B8" s="1152" t="s">
        <v>1111</v>
      </c>
      <c r="C8" s="1153" t="s">
        <v>2324</v>
      </c>
      <c r="D8" s="1152" t="s">
        <v>1112</v>
      </c>
      <c r="E8" s="1152" t="s">
        <v>1113</v>
      </c>
      <c r="F8" s="1152" t="s">
        <v>1114</v>
      </c>
      <c r="G8" s="1152" t="s">
        <v>1115</v>
      </c>
      <c r="H8" s="1154" t="s">
        <v>2324</v>
      </c>
      <c r="I8" s="1155" t="s">
        <v>1116</v>
      </c>
      <c r="J8" s="1156" t="s">
        <v>1117</v>
      </c>
      <c r="K8" s="1153" t="s">
        <v>2324</v>
      </c>
      <c r="L8" s="1157" t="s">
        <v>1118</v>
      </c>
      <c r="M8" s="1157" t="s">
        <v>1119</v>
      </c>
      <c r="N8" s="1157" t="s">
        <v>1120</v>
      </c>
      <c r="O8" s="1157" t="s">
        <v>1121</v>
      </c>
      <c r="P8" s="1154" t="s">
        <v>2324</v>
      </c>
      <c r="Q8" s="1155" t="s">
        <v>1122</v>
      </c>
      <c r="R8" s="1156" t="s">
        <v>1123</v>
      </c>
      <c r="S8" s="1153" t="s">
        <v>2324</v>
      </c>
      <c r="T8" s="1156" t="s">
        <v>1124</v>
      </c>
      <c r="U8" s="1156" t="s">
        <v>1125</v>
      </c>
      <c r="V8" s="1156" t="s">
        <v>1126</v>
      </c>
    </row>
    <row r="9" spans="1:24" s="1165" customFormat="1" ht="47.25">
      <c r="A9" s="1158" t="s">
        <v>1110</v>
      </c>
      <c r="B9" s="657">
        <v>12</v>
      </c>
      <c r="C9" s="657"/>
      <c r="D9" s="657"/>
      <c r="E9" s="967" t="s">
        <v>1854</v>
      </c>
      <c r="F9" s="1159" t="s">
        <v>2325</v>
      </c>
      <c r="G9" s="373">
        <v>4.9800000000000004</v>
      </c>
      <c r="H9" s="1160">
        <v>7.0000000000000007E-2</v>
      </c>
      <c r="I9" s="1161">
        <f>G9*H9</f>
        <v>0.34860000000000008</v>
      </c>
      <c r="J9" s="657">
        <v>0.45</v>
      </c>
      <c r="K9" s="1162"/>
      <c r="L9" s="1163"/>
      <c r="M9" s="366"/>
      <c r="N9" s="1159" t="s">
        <v>2325</v>
      </c>
      <c r="O9" s="373">
        <v>4.9800000000000004</v>
      </c>
      <c r="P9" s="1160">
        <v>7.0000000000000007E-2</v>
      </c>
      <c r="Q9" s="485">
        <f>P9*O9</f>
        <v>0.34860000000000008</v>
      </c>
      <c r="R9" s="657"/>
      <c r="S9" s="1162"/>
      <c r="T9" s="1163"/>
      <c r="U9" s="366"/>
      <c r="V9" s="1164" t="s">
        <v>2326</v>
      </c>
    </row>
    <row r="10" spans="1:24" s="1165" customFormat="1" ht="31.5">
      <c r="A10" s="1158" t="s">
        <v>1111</v>
      </c>
      <c r="B10" s="657">
        <v>39</v>
      </c>
      <c r="C10" s="657"/>
      <c r="D10" s="657"/>
      <c r="E10" s="967" t="s">
        <v>1895</v>
      </c>
      <c r="F10" s="1159" t="s">
        <v>2327</v>
      </c>
      <c r="G10" s="373">
        <v>4.9800000000000004</v>
      </c>
      <c r="H10" s="1160">
        <v>7.0000000000000007E-2</v>
      </c>
      <c r="I10" s="1161">
        <f>G10*H10</f>
        <v>0.34860000000000008</v>
      </c>
      <c r="J10" s="657"/>
      <c r="K10" s="1162">
        <v>0.17</v>
      </c>
      <c r="L10" s="1163">
        <f>(G10+I10+J10)*K10</f>
        <v>0.90586200000000017</v>
      </c>
      <c r="M10" s="366" t="s">
        <v>2328</v>
      </c>
      <c r="N10" s="1159" t="s">
        <v>2327</v>
      </c>
      <c r="O10" s="373">
        <v>4.9800000000000004</v>
      </c>
      <c r="P10" s="1160">
        <v>7.0000000000000007E-2</v>
      </c>
      <c r="Q10" s="485">
        <f>P10*O10</f>
        <v>0.34860000000000008</v>
      </c>
      <c r="R10" s="657">
        <v>0</v>
      </c>
      <c r="S10" s="1162">
        <v>0.18</v>
      </c>
      <c r="T10" s="1163">
        <f>(O10+Q10+R10)*S10</f>
        <v>0.95914800000000011</v>
      </c>
      <c r="U10" s="366" t="s">
        <v>2328</v>
      </c>
      <c r="V10" s="1164" t="s">
        <v>2344</v>
      </c>
    </row>
    <row r="11" spans="1:24" s="1165" customFormat="1" ht="31.5">
      <c r="A11" s="1158" t="s">
        <v>1112</v>
      </c>
      <c r="B11" s="657">
        <v>65</v>
      </c>
      <c r="C11" s="657"/>
      <c r="D11" s="657"/>
      <c r="E11" s="967" t="s">
        <v>2345</v>
      </c>
      <c r="F11" s="1159"/>
      <c r="G11" s="373"/>
      <c r="H11" s="1160"/>
      <c r="I11" s="1161"/>
      <c r="J11" s="657"/>
      <c r="K11" s="1162">
        <v>0.08</v>
      </c>
      <c r="L11" s="1163"/>
      <c r="M11" s="366"/>
      <c r="N11" s="1159" t="s">
        <v>2327</v>
      </c>
      <c r="O11" s="373">
        <v>1.9890000000000001</v>
      </c>
      <c r="P11" s="1160"/>
      <c r="Q11" s="485">
        <f>P11*O11</f>
        <v>0</v>
      </c>
      <c r="R11" s="657"/>
      <c r="S11" s="1162">
        <v>0</v>
      </c>
      <c r="T11" s="1163">
        <f>(O11+Q11+R11)*S11</f>
        <v>0</v>
      </c>
      <c r="U11" s="366" t="s">
        <v>2328</v>
      </c>
      <c r="V11" s="1164" t="s">
        <v>2346</v>
      </c>
    </row>
    <row r="12" spans="1:24" s="1165" customFormat="1" ht="63">
      <c r="A12" s="1158" t="s">
        <v>1113</v>
      </c>
      <c r="B12" s="657">
        <v>66</v>
      </c>
      <c r="C12" s="657"/>
      <c r="D12" s="657"/>
      <c r="E12" s="967" t="s">
        <v>2018</v>
      </c>
      <c r="F12" s="1159" t="s">
        <v>2327</v>
      </c>
      <c r="G12" s="373">
        <v>1.9890000000000001</v>
      </c>
      <c r="H12" s="1160"/>
      <c r="I12" s="1161">
        <f>G12*H12</f>
        <v>0</v>
      </c>
      <c r="J12" s="657"/>
      <c r="K12" s="1162"/>
      <c r="L12" s="1163">
        <f>(G12+I12+J12)*K12</f>
        <v>0</v>
      </c>
      <c r="M12" s="366" t="s">
        <v>2328</v>
      </c>
      <c r="N12" s="1159" t="s">
        <v>2327</v>
      </c>
      <c r="O12" s="373"/>
      <c r="P12" s="1160"/>
      <c r="Q12" s="485">
        <f>P12*O12</f>
        <v>0</v>
      </c>
      <c r="R12" s="657"/>
      <c r="S12" s="1162"/>
      <c r="T12" s="1163"/>
      <c r="U12" s="366"/>
      <c r="V12" s="1164" t="s">
        <v>2347</v>
      </c>
    </row>
    <row r="13" spans="1:24" s="1165" customFormat="1" ht="94.5">
      <c r="A13" s="1158" t="s">
        <v>1114</v>
      </c>
      <c r="B13" s="657">
        <v>140</v>
      </c>
      <c r="C13" s="657"/>
      <c r="D13" s="657"/>
      <c r="E13" s="967" t="s">
        <v>1947</v>
      </c>
      <c r="F13" s="1159" t="s">
        <v>2327</v>
      </c>
      <c r="G13" s="373">
        <v>2.34</v>
      </c>
      <c r="H13" s="1160"/>
      <c r="I13" s="1161">
        <f>G13*H13</f>
        <v>0</v>
      </c>
      <c r="J13" s="657"/>
      <c r="K13" s="1162"/>
      <c r="L13" s="1163"/>
      <c r="M13" s="366"/>
      <c r="N13" s="1159" t="s">
        <v>2327</v>
      </c>
      <c r="O13" s="373" t="s">
        <v>2330</v>
      </c>
      <c r="P13" s="1160"/>
      <c r="Q13" s="485"/>
      <c r="R13" s="657"/>
      <c r="S13" s="1162"/>
      <c r="T13" s="1163"/>
      <c r="U13" s="366"/>
      <c r="V13" s="1164" t="s">
        <v>2331</v>
      </c>
      <c r="X13" s="1165" t="s">
        <v>2332</v>
      </c>
    </row>
    <row r="14" spans="1:24" s="1165" customFormat="1" ht="31.5">
      <c r="A14" s="1158" t="s">
        <v>1115</v>
      </c>
      <c r="B14" s="657">
        <v>152</v>
      </c>
      <c r="C14" s="657"/>
      <c r="D14" s="657"/>
      <c r="E14" s="967" t="s">
        <v>1491</v>
      </c>
      <c r="F14" s="1159" t="s">
        <v>2327</v>
      </c>
      <c r="G14" s="373">
        <v>4.32</v>
      </c>
      <c r="H14" s="1160"/>
      <c r="I14" s="1161">
        <f>G14*H14</f>
        <v>0</v>
      </c>
      <c r="J14" s="657"/>
      <c r="K14" s="1162">
        <v>0.21</v>
      </c>
      <c r="L14" s="1163">
        <f>(G14+I14+J14)*K14</f>
        <v>0.90720000000000001</v>
      </c>
      <c r="M14" s="366" t="s">
        <v>2328</v>
      </c>
      <c r="N14" s="1159" t="s">
        <v>2327</v>
      </c>
      <c r="O14" s="373">
        <v>4.32</v>
      </c>
      <c r="P14" s="1160"/>
      <c r="Q14" s="485">
        <f>P14*O14</f>
        <v>0</v>
      </c>
      <c r="R14" s="657"/>
      <c r="S14" s="1162">
        <v>0.22</v>
      </c>
      <c r="T14" s="1163">
        <f>(O14+Q14+R14)*S14</f>
        <v>0.95040000000000002</v>
      </c>
      <c r="U14" s="366" t="s">
        <v>2328</v>
      </c>
      <c r="V14" s="1164" t="s">
        <v>2344</v>
      </c>
    </row>
    <row r="15" spans="1:24" s="1165" customFormat="1" ht="31.5">
      <c r="A15" s="1158" t="s">
        <v>1116</v>
      </c>
      <c r="B15" s="1166">
        <v>217</v>
      </c>
      <c r="C15" s="1166"/>
      <c r="D15" s="1166"/>
      <c r="E15" s="1167" t="s">
        <v>1530</v>
      </c>
      <c r="F15" s="1159" t="s">
        <v>2327</v>
      </c>
      <c r="G15" s="785">
        <v>3.66</v>
      </c>
      <c r="H15" s="1168"/>
      <c r="I15" s="1161">
        <f>G15*H15</f>
        <v>0</v>
      </c>
      <c r="J15" s="1166"/>
      <c r="K15" s="1169">
        <v>0.13</v>
      </c>
      <c r="L15" s="1163">
        <f>(G15+I15+J15)*K15</f>
        <v>0.47580000000000006</v>
      </c>
      <c r="M15" s="366" t="s">
        <v>2328</v>
      </c>
      <c r="N15" s="1159" t="s">
        <v>2327</v>
      </c>
      <c r="O15" s="785">
        <v>3.66</v>
      </c>
      <c r="P15" s="1168"/>
      <c r="Q15" s="1170"/>
      <c r="R15" s="1166"/>
      <c r="S15" s="1169">
        <v>0.14000000000000001</v>
      </c>
      <c r="T15" s="1163">
        <f>(O15+Q15+R15)*S15</f>
        <v>0.51240000000000008</v>
      </c>
      <c r="U15" s="366" t="s">
        <v>2328</v>
      </c>
      <c r="V15" s="1171" t="s">
        <v>2344</v>
      </c>
    </row>
    <row r="16" spans="1:24" s="1165" customFormat="1" ht="78.75">
      <c r="A16" s="1172" t="s">
        <v>1117</v>
      </c>
      <c r="B16" s="1173">
        <v>260</v>
      </c>
      <c r="C16" s="1173"/>
      <c r="D16" s="1173"/>
      <c r="E16" s="1174" t="s">
        <v>1942</v>
      </c>
      <c r="F16" s="1175" t="s">
        <v>2327</v>
      </c>
      <c r="G16" s="863">
        <v>2.34</v>
      </c>
      <c r="H16" s="1176"/>
      <c r="I16" s="1177">
        <f>G16*H16</f>
        <v>0</v>
      </c>
      <c r="J16" s="1173"/>
      <c r="K16" s="1178"/>
      <c r="L16" s="1179">
        <f>(G16+I16+J16)*K16</f>
        <v>0</v>
      </c>
      <c r="M16" s="869" t="s">
        <v>2328</v>
      </c>
      <c r="N16" s="1175"/>
      <c r="O16" s="863"/>
      <c r="P16" s="1176"/>
      <c r="Q16" s="1180"/>
      <c r="R16" s="1173"/>
      <c r="S16" s="1178"/>
      <c r="T16" s="1179"/>
      <c r="U16" s="869"/>
      <c r="V16" s="1181" t="s">
        <v>2348</v>
      </c>
    </row>
    <row r="17" spans="1:24" s="1165" customFormat="1">
      <c r="A17" s="1182"/>
      <c r="B17" s="1182"/>
      <c r="C17" s="1182"/>
      <c r="E17" s="1183"/>
      <c r="F17" s="1184"/>
      <c r="G17" s="1185"/>
      <c r="H17" s="1186"/>
      <c r="I17" s="1187"/>
      <c r="J17" s="1182"/>
      <c r="K17" s="1188"/>
      <c r="L17" s="1189"/>
      <c r="N17" s="1184"/>
      <c r="O17" s="1185"/>
      <c r="P17" s="1186"/>
      <c r="Q17" s="1190"/>
      <c r="R17" s="1182"/>
      <c r="S17" s="1188"/>
      <c r="T17" s="1189"/>
      <c r="V17" s="1191"/>
    </row>
    <row r="18" spans="1:24" s="1165" customFormat="1" hidden="1">
      <c r="A18" s="1182"/>
      <c r="B18" s="1182"/>
      <c r="C18" s="1182"/>
      <c r="E18" s="1650" t="s">
        <v>2337</v>
      </c>
      <c r="F18" s="1650"/>
      <c r="G18" s="1650"/>
      <c r="H18" s="1650"/>
      <c r="I18" s="1650"/>
      <c r="J18" s="1650"/>
      <c r="K18" s="1650"/>
      <c r="L18" s="1650"/>
      <c r="M18" s="1650"/>
      <c r="N18" s="1650"/>
      <c r="O18" s="1650"/>
      <c r="P18" s="1650"/>
      <c r="Q18" s="1650"/>
      <c r="R18" s="1650"/>
      <c r="S18" s="1650"/>
      <c r="T18" s="1650"/>
      <c r="V18" s="1191"/>
    </row>
    <row r="19" spans="1:24" s="1194" customFormat="1">
      <c r="A19" s="1192"/>
      <c r="B19" s="1193"/>
      <c r="C19" s="1193"/>
      <c r="D19" s="1194" t="s">
        <v>2338</v>
      </c>
      <c r="F19" s="1184"/>
      <c r="G19" s="1195"/>
      <c r="H19" s="1196"/>
      <c r="I19" s="1197"/>
      <c r="J19" s="1182"/>
      <c r="K19" s="1182"/>
      <c r="L19" s="1198"/>
      <c r="M19" s="1165"/>
      <c r="N19" s="1199"/>
      <c r="O19" s="1200"/>
      <c r="P19" s="1201"/>
      <c r="Q19" s="1200"/>
      <c r="V19" s="1202" t="s">
        <v>2349</v>
      </c>
    </row>
    <row r="20" spans="1:24" s="87" customFormat="1">
      <c r="A20" s="1547" t="s">
        <v>2340</v>
      </c>
      <c r="B20" s="1547"/>
      <c r="C20" s="1547"/>
      <c r="D20" s="1547"/>
      <c r="E20" s="1547"/>
      <c r="F20" s="1547"/>
      <c r="G20" s="1547" t="s">
        <v>1191</v>
      </c>
      <c r="H20" s="1547"/>
      <c r="I20" s="1547"/>
      <c r="J20" s="1547"/>
      <c r="K20" s="1547"/>
      <c r="L20" s="1547"/>
      <c r="M20" s="1547"/>
      <c r="N20" s="1547"/>
      <c r="O20" s="1547"/>
      <c r="P20" s="1547"/>
      <c r="Q20" s="1547"/>
      <c r="R20" s="1547"/>
      <c r="S20" s="5"/>
      <c r="T20" s="5"/>
      <c r="U20" s="1547" t="s">
        <v>2341</v>
      </c>
      <c r="V20" s="1547"/>
    </row>
    <row r="21" spans="1:24">
      <c r="U21" s="1547"/>
      <c r="V21" s="1547"/>
      <c r="X21" s="87"/>
    </row>
    <row r="24" spans="1:24" hidden="1"/>
    <row r="28" spans="1:24" s="87" customFormat="1">
      <c r="A28" s="1547" t="s">
        <v>1827</v>
      </c>
      <c r="B28" s="1547"/>
      <c r="C28" s="1547"/>
      <c r="D28" s="1547"/>
      <c r="E28" s="1547"/>
      <c r="F28" s="1547"/>
      <c r="G28" s="1547" t="s">
        <v>1445</v>
      </c>
      <c r="H28" s="1547"/>
      <c r="I28" s="1547"/>
      <c r="J28" s="1547"/>
      <c r="K28" s="1547"/>
      <c r="L28" s="1547"/>
      <c r="M28" s="1547"/>
      <c r="N28" s="1547"/>
      <c r="O28" s="1547"/>
      <c r="P28" s="1547"/>
      <c r="Q28" s="1547"/>
      <c r="R28" s="1547"/>
      <c r="U28" s="1547" t="s">
        <v>1433</v>
      </c>
      <c r="V28" s="1547"/>
    </row>
  </sheetData>
  <mergeCells count="20">
    <mergeCell ref="U21:V21"/>
    <mergeCell ref="A28:F28"/>
    <mergeCell ref="G28:R28"/>
    <mergeCell ref="U28:V28"/>
    <mergeCell ref="N6:U6"/>
    <mergeCell ref="V6:V7"/>
    <mergeCell ref="E18:T18"/>
    <mergeCell ref="A20:F20"/>
    <mergeCell ref="G20:R20"/>
    <mergeCell ref="U20:V20"/>
    <mergeCell ref="A6:A7"/>
    <mergeCell ref="B6:B7"/>
    <mergeCell ref="D6:D7"/>
    <mergeCell ref="E6:E7"/>
    <mergeCell ref="F6:M6"/>
    <mergeCell ref="A1:I1"/>
    <mergeCell ref="N1:V1"/>
    <mergeCell ref="A2:I2"/>
    <mergeCell ref="N2:V2"/>
    <mergeCell ref="A4:V4"/>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
  <sheetViews>
    <sheetView workbookViewId="0">
      <selection activeCell="V13" sqref="V13"/>
    </sheetView>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23</vt:i4>
      </vt:variant>
    </vt:vector>
  </HeadingPairs>
  <TitlesOfParts>
    <vt:vector size="42" baseType="lpstr">
      <vt:lpstr>TH.T3</vt:lpstr>
      <vt:lpstr>TH</vt:lpstr>
      <vt:lpstr>TL</vt:lpstr>
      <vt:lpstr>TH.T4</vt:lpstr>
      <vt:lpstr>TH.T5</vt:lpstr>
      <vt:lpstr>TH T10</vt:lpstr>
      <vt:lpstr>TH.Q2</vt:lpstr>
      <vt:lpstr>TH.T6</vt:lpstr>
      <vt:lpstr>T9</vt:lpstr>
      <vt:lpstr>TH T11</vt:lpstr>
      <vt:lpstr>CN</vt:lpstr>
      <vt:lpstr>NH</vt:lpstr>
      <vt:lpstr>CN mới</vt:lpstr>
      <vt:lpstr>THPT mới</vt:lpstr>
      <vt:lpstr>NH mới</vt:lpstr>
      <vt:lpstr>111</vt:lpstr>
      <vt:lpstr>DC T7</vt:lpstr>
      <vt:lpstr>DC T8</vt:lpstr>
      <vt:lpstr>DC T9</vt:lpstr>
      <vt:lpstr>CN!Print_Area</vt:lpstr>
      <vt:lpstr>NH!Print_Area</vt:lpstr>
      <vt:lpstr>'T9'!Print_Area</vt:lpstr>
      <vt:lpstr>TH!Print_Area</vt:lpstr>
      <vt:lpstr>'TH T10'!Print_Area</vt:lpstr>
      <vt:lpstr>'TH T11'!Print_Area</vt:lpstr>
      <vt:lpstr>TH.Q2!Print_Area</vt:lpstr>
      <vt:lpstr>TH.T3!Print_Area</vt:lpstr>
      <vt:lpstr>TH.T4!Print_Area</vt:lpstr>
      <vt:lpstr>TH.T5!Print_Area</vt:lpstr>
      <vt:lpstr>TL!Print_Area</vt:lpstr>
      <vt:lpstr>'111'!Print_Titles</vt:lpstr>
      <vt:lpstr>CN!Print_Titles</vt:lpstr>
      <vt:lpstr>'T9'!Print_Titles</vt:lpstr>
      <vt:lpstr>TH!Print_Titles</vt:lpstr>
      <vt:lpstr>'TH T10'!Print_Titles</vt:lpstr>
      <vt:lpstr>'TH T11'!Print_Titles</vt:lpstr>
      <vt:lpstr>TH.Q2!Print_Titles</vt:lpstr>
      <vt:lpstr>TH.T3!Print_Titles</vt:lpstr>
      <vt:lpstr>TH.T4!Print_Titles</vt:lpstr>
      <vt:lpstr>TH.T5!Print_Titles</vt:lpstr>
      <vt:lpstr>TH.T6!Print_Titles</vt:lpstr>
      <vt:lpstr>TL!Print_Titles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PC</cp:lastModifiedBy>
  <cp:lastPrinted>2025-11-21T10:34:43Z</cp:lastPrinted>
  <dcterms:created xsi:type="dcterms:W3CDTF">2007-10-05T01:09:12Z</dcterms:created>
  <dcterms:modified xsi:type="dcterms:W3CDTF">2025-11-21T10:35:03Z</dcterms:modified>
</cp:coreProperties>
</file>